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SUHF\Kalkylen\"/>
    </mc:Choice>
  </mc:AlternateContent>
  <bookViews>
    <workbookView xWindow="0" yWindow="0" windowWidth="19200" windowHeight="7020" tabRatio="891"/>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WALLENBERG" sheetId="27" r:id="rId12"/>
    <sheet name="13. PRISMA" sheetId="35" r:id="rId13"/>
    <sheet name="14. EUFP" sheetId="37"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C6" i="26" l="1"/>
  <c r="C8" i="26" l="1"/>
  <c r="K10" i="23" l="1"/>
  <c r="B21" i="29" l="1"/>
  <c r="B20" i="29"/>
  <c r="B17" i="24" l="1"/>
  <c r="B18" i="24"/>
  <c r="B18" i="22"/>
  <c r="B17" i="22"/>
  <c r="T17" i="24" l="1"/>
  <c r="S17" i="24"/>
  <c r="B192" i="22" l="1"/>
  <c r="B191" i="22"/>
  <c r="AC191" i="22" s="1"/>
  <c r="AC18" i="22"/>
  <c r="AC192" i="22"/>
  <c r="G10" i="23" l="1"/>
  <c r="B23" i="27"/>
  <c r="H204" i="27"/>
  <c r="H27" i="27" s="1"/>
  <c r="D29" i="27"/>
  <c r="E29" i="27"/>
  <c r="F29" i="27"/>
  <c r="G29" i="27"/>
  <c r="H29" i="27"/>
  <c r="I29" i="27"/>
  <c r="J29" i="27"/>
  <c r="K29" i="27"/>
  <c r="L29" i="27"/>
  <c r="M29" i="27"/>
  <c r="N29" i="27"/>
  <c r="D30" i="27"/>
  <c r="N30" i="27" s="1"/>
  <c r="E30" i="27"/>
  <c r="F30" i="27"/>
  <c r="G30" i="27"/>
  <c r="H30" i="27"/>
  <c r="I30" i="27"/>
  <c r="J30" i="27"/>
  <c r="K30" i="27"/>
  <c r="L30" i="27"/>
  <c r="M30" i="27"/>
  <c r="D31" i="27"/>
  <c r="N31" i="27" s="1"/>
  <c r="E31" i="27"/>
  <c r="F31" i="27"/>
  <c r="G31" i="27"/>
  <c r="H31" i="27"/>
  <c r="I31" i="27"/>
  <c r="J31" i="27"/>
  <c r="K31" i="27"/>
  <c r="L31" i="27"/>
  <c r="M31" i="27"/>
  <c r="D32" i="27"/>
  <c r="E32" i="27"/>
  <c r="F32" i="27"/>
  <c r="G32" i="27"/>
  <c r="H32" i="27"/>
  <c r="I32" i="27"/>
  <c r="J32" i="27"/>
  <c r="K32" i="27"/>
  <c r="L32" i="27"/>
  <c r="M32" i="27"/>
  <c r="N32" i="27"/>
  <c r="D33" i="27"/>
  <c r="N33" i="27" s="1"/>
  <c r="E33" i="27"/>
  <c r="F33" i="27"/>
  <c r="G33" i="27"/>
  <c r="H33" i="27"/>
  <c r="I33" i="27"/>
  <c r="J33" i="27"/>
  <c r="K33" i="27"/>
  <c r="L33" i="27"/>
  <c r="M33" i="27"/>
  <c r="D34" i="27"/>
  <c r="N34" i="27" s="1"/>
  <c r="E34" i="27"/>
  <c r="F34" i="27"/>
  <c r="G34" i="27"/>
  <c r="H34" i="27"/>
  <c r="I34" i="27"/>
  <c r="J34" i="27"/>
  <c r="K34" i="27"/>
  <c r="L34" i="27"/>
  <c r="M34" i="27"/>
  <c r="D35" i="27"/>
  <c r="E35" i="27"/>
  <c r="F35" i="27"/>
  <c r="G35" i="27"/>
  <c r="H35" i="27"/>
  <c r="I35" i="27"/>
  <c r="J35" i="27"/>
  <c r="K35" i="27"/>
  <c r="L35" i="27"/>
  <c r="M35" i="27"/>
  <c r="N35" i="27" s="1"/>
  <c r="D36" i="27"/>
  <c r="N36" i="27" s="1"/>
  <c r="E36" i="27"/>
  <c r="F36" i="27"/>
  <c r="G36" i="27"/>
  <c r="H36" i="27"/>
  <c r="I36" i="27"/>
  <c r="J36" i="27"/>
  <c r="K36" i="27"/>
  <c r="L36" i="27"/>
  <c r="M36" i="27"/>
  <c r="D37" i="27"/>
  <c r="N37" i="27" s="1"/>
  <c r="E37" i="27"/>
  <c r="F37" i="27"/>
  <c r="G37" i="27"/>
  <c r="H37" i="27"/>
  <c r="I37" i="27"/>
  <c r="J37" i="27"/>
  <c r="K37" i="27"/>
  <c r="L37" i="27"/>
  <c r="M37" i="27"/>
  <c r="D38" i="27"/>
  <c r="E38" i="27"/>
  <c r="F38" i="27"/>
  <c r="G38" i="27"/>
  <c r="H38" i="27"/>
  <c r="I38" i="27"/>
  <c r="J38" i="27"/>
  <c r="K38" i="27"/>
  <c r="L38" i="27"/>
  <c r="M38" i="27"/>
  <c r="N38" i="27"/>
  <c r="D39" i="27"/>
  <c r="N39" i="27" s="1"/>
  <c r="E39" i="27"/>
  <c r="F39" i="27"/>
  <c r="G39" i="27"/>
  <c r="H39" i="27"/>
  <c r="I39" i="27"/>
  <c r="J39" i="27"/>
  <c r="K39" i="27"/>
  <c r="L39" i="27"/>
  <c r="M39" i="27"/>
  <c r="D40" i="27"/>
  <c r="N40" i="27" s="1"/>
  <c r="E40" i="27"/>
  <c r="F40" i="27"/>
  <c r="G40" i="27"/>
  <c r="H40" i="27"/>
  <c r="I40" i="27"/>
  <c r="J40" i="27"/>
  <c r="K40" i="27"/>
  <c r="L40" i="27"/>
  <c r="M40" i="27"/>
  <c r="D41" i="27"/>
  <c r="E41" i="27"/>
  <c r="F41" i="27"/>
  <c r="G41" i="27"/>
  <c r="H41" i="27"/>
  <c r="I41" i="27"/>
  <c r="J41" i="27"/>
  <c r="K41" i="27"/>
  <c r="L41" i="27"/>
  <c r="M41" i="27"/>
  <c r="N41" i="27"/>
  <c r="D42" i="27"/>
  <c r="N42" i="27" s="1"/>
  <c r="E42" i="27"/>
  <c r="F42" i="27"/>
  <c r="G42" i="27"/>
  <c r="H42" i="27"/>
  <c r="I42" i="27"/>
  <c r="J42" i="27"/>
  <c r="K42" i="27"/>
  <c r="L42" i="27"/>
  <c r="M42" i="27"/>
  <c r="D43" i="27"/>
  <c r="N43" i="27" s="1"/>
  <c r="E43" i="27"/>
  <c r="F43" i="27"/>
  <c r="G43" i="27"/>
  <c r="H43" i="27"/>
  <c r="I43" i="27"/>
  <c r="J43" i="27"/>
  <c r="K43" i="27"/>
  <c r="L43" i="27"/>
  <c r="M43" i="27"/>
  <c r="D44" i="27"/>
  <c r="E44" i="27"/>
  <c r="F44" i="27"/>
  <c r="G44" i="27"/>
  <c r="H44" i="27"/>
  <c r="I44" i="27"/>
  <c r="J44" i="27"/>
  <c r="K44" i="27"/>
  <c r="L44" i="27"/>
  <c r="M44" i="27"/>
  <c r="N44" i="27"/>
  <c r="D45" i="27"/>
  <c r="E45" i="27"/>
  <c r="F45" i="27"/>
  <c r="G45" i="27"/>
  <c r="H45" i="27"/>
  <c r="I45" i="27"/>
  <c r="J45" i="27"/>
  <c r="K45" i="27"/>
  <c r="L45" i="27"/>
  <c r="M45" i="27"/>
  <c r="N45" i="27"/>
  <c r="D46" i="27"/>
  <c r="N46" i="27" s="1"/>
  <c r="E46" i="27"/>
  <c r="F46" i="27"/>
  <c r="G46" i="27"/>
  <c r="H46" i="27"/>
  <c r="I46" i="27"/>
  <c r="J46" i="27"/>
  <c r="K46" i="27"/>
  <c r="L46" i="27"/>
  <c r="M46" i="27"/>
  <c r="D47" i="27"/>
  <c r="N47" i="27" s="1"/>
  <c r="E47" i="27"/>
  <c r="F47" i="27"/>
  <c r="G47" i="27"/>
  <c r="H47" i="27"/>
  <c r="I47" i="27"/>
  <c r="J47" i="27"/>
  <c r="K47" i="27"/>
  <c r="L47" i="27"/>
  <c r="M47" i="27"/>
  <c r="D48" i="27"/>
  <c r="E48" i="27"/>
  <c r="F48" i="27"/>
  <c r="G48" i="27"/>
  <c r="H48" i="27"/>
  <c r="I48" i="27"/>
  <c r="J48" i="27"/>
  <c r="K48" i="27"/>
  <c r="L48" i="27"/>
  <c r="M48" i="27"/>
  <c r="N48" i="27"/>
  <c r="D49" i="27"/>
  <c r="N49" i="27" s="1"/>
  <c r="E49" i="27"/>
  <c r="F49" i="27"/>
  <c r="G49" i="27"/>
  <c r="H49" i="27"/>
  <c r="I49" i="27"/>
  <c r="J49" i="27"/>
  <c r="K49" i="27"/>
  <c r="L49" i="27"/>
  <c r="M49" i="27"/>
  <c r="D50" i="27"/>
  <c r="N50" i="27" s="1"/>
  <c r="E50" i="27"/>
  <c r="F50" i="27"/>
  <c r="G50" i="27"/>
  <c r="H50" i="27"/>
  <c r="I50" i="27"/>
  <c r="J50" i="27"/>
  <c r="K50" i="27"/>
  <c r="L50" i="27"/>
  <c r="M50" i="27"/>
  <c r="D51" i="27"/>
  <c r="E51" i="27"/>
  <c r="F51" i="27"/>
  <c r="G51" i="27"/>
  <c r="H51" i="27"/>
  <c r="I51" i="27"/>
  <c r="J51" i="27"/>
  <c r="K51" i="27"/>
  <c r="L51" i="27"/>
  <c r="M51" i="27"/>
  <c r="N51" i="27"/>
  <c r="D52" i="27"/>
  <c r="N52" i="27" s="1"/>
  <c r="E52" i="27"/>
  <c r="F52" i="27"/>
  <c r="G52" i="27"/>
  <c r="H52" i="27"/>
  <c r="I52" i="27"/>
  <c r="J52" i="27"/>
  <c r="K52" i="27"/>
  <c r="L52" i="27"/>
  <c r="M52" i="27"/>
  <c r="D53" i="27"/>
  <c r="N53" i="27" s="1"/>
  <c r="E53" i="27"/>
  <c r="F53" i="27"/>
  <c r="G53" i="27"/>
  <c r="H53" i="27"/>
  <c r="I53" i="27"/>
  <c r="J53" i="27"/>
  <c r="K53" i="27"/>
  <c r="L53" i="27"/>
  <c r="M53" i="27"/>
  <c r="D54" i="27"/>
  <c r="E54" i="27"/>
  <c r="F54" i="27"/>
  <c r="G54" i="27"/>
  <c r="H54" i="27"/>
  <c r="I54" i="27"/>
  <c r="J54" i="27"/>
  <c r="K54" i="27"/>
  <c r="L54" i="27"/>
  <c r="M54" i="27"/>
  <c r="N54" i="27"/>
  <c r="D55" i="27"/>
  <c r="N55" i="27" s="1"/>
  <c r="E55" i="27"/>
  <c r="F55" i="27"/>
  <c r="G55" i="27"/>
  <c r="H55" i="27"/>
  <c r="I55" i="27"/>
  <c r="J55" i="27"/>
  <c r="K55" i="27"/>
  <c r="L55" i="27"/>
  <c r="M55" i="27"/>
  <c r="D56" i="27"/>
  <c r="N56" i="27" s="1"/>
  <c r="E56" i="27"/>
  <c r="F56" i="27"/>
  <c r="G56" i="27"/>
  <c r="H56" i="27"/>
  <c r="I56" i="27"/>
  <c r="J56" i="27"/>
  <c r="K56" i="27"/>
  <c r="L56" i="27"/>
  <c r="M56" i="27"/>
  <c r="D57" i="27"/>
  <c r="E57" i="27"/>
  <c r="F57" i="27"/>
  <c r="G57" i="27"/>
  <c r="H57" i="27"/>
  <c r="I57" i="27"/>
  <c r="J57" i="27"/>
  <c r="K57" i="27"/>
  <c r="L57" i="27"/>
  <c r="M57" i="27"/>
  <c r="N57" i="27"/>
  <c r="D58" i="27"/>
  <c r="N58" i="27" s="1"/>
  <c r="E58" i="27"/>
  <c r="F58" i="27"/>
  <c r="G58" i="27"/>
  <c r="H58" i="27"/>
  <c r="I58" i="27"/>
  <c r="J58" i="27"/>
  <c r="K58" i="27"/>
  <c r="L58" i="27"/>
  <c r="M58" i="27"/>
  <c r="D59" i="27"/>
  <c r="N59" i="27" s="1"/>
  <c r="E59" i="27"/>
  <c r="F59" i="27"/>
  <c r="G59" i="27"/>
  <c r="H59" i="27"/>
  <c r="I59" i="27"/>
  <c r="J59" i="27"/>
  <c r="K59" i="27"/>
  <c r="L59" i="27"/>
  <c r="M59" i="27"/>
  <c r="D60" i="27"/>
  <c r="E60" i="27"/>
  <c r="F60" i="27"/>
  <c r="G60" i="27"/>
  <c r="H60" i="27"/>
  <c r="I60" i="27"/>
  <c r="J60" i="27"/>
  <c r="K60" i="27"/>
  <c r="L60" i="27"/>
  <c r="M60" i="27"/>
  <c r="N60" i="27"/>
  <c r="D61" i="27"/>
  <c r="E61" i="27"/>
  <c r="F61" i="27"/>
  <c r="G61" i="27"/>
  <c r="H61" i="27"/>
  <c r="I61" i="27"/>
  <c r="J61" i="27"/>
  <c r="K61" i="27"/>
  <c r="L61" i="27"/>
  <c r="M61" i="27"/>
  <c r="N61" i="27"/>
  <c r="D62" i="27"/>
  <c r="N62" i="27" s="1"/>
  <c r="E62" i="27"/>
  <c r="F62" i="27"/>
  <c r="G62" i="27"/>
  <c r="H62" i="27"/>
  <c r="I62" i="27"/>
  <c r="J62" i="27"/>
  <c r="K62" i="27"/>
  <c r="L62" i="27"/>
  <c r="M62" i="27"/>
  <c r="D63" i="27"/>
  <c r="N63" i="27" s="1"/>
  <c r="E63" i="27"/>
  <c r="F63" i="27"/>
  <c r="G63" i="27"/>
  <c r="H63" i="27"/>
  <c r="I63" i="27"/>
  <c r="J63" i="27"/>
  <c r="K63" i="27"/>
  <c r="L63" i="27"/>
  <c r="M63" i="27"/>
  <c r="D64" i="27"/>
  <c r="E64" i="27"/>
  <c r="F64" i="27"/>
  <c r="G64" i="27"/>
  <c r="H64" i="27"/>
  <c r="I64" i="27"/>
  <c r="J64" i="27"/>
  <c r="K64" i="27"/>
  <c r="L64" i="27"/>
  <c r="M64" i="27"/>
  <c r="N64" i="27"/>
  <c r="D65" i="27"/>
  <c r="N65" i="27" s="1"/>
  <c r="E65" i="27"/>
  <c r="F65" i="27"/>
  <c r="G65" i="27"/>
  <c r="H65" i="27"/>
  <c r="I65" i="27"/>
  <c r="J65" i="27"/>
  <c r="K65" i="27"/>
  <c r="L65" i="27"/>
  <c r="M65" i="27"/>
  <c r="D66" i="27"/>
  <c r="N66" i="27" s="1"/>
  <c r="E66" i="27"/>
  <c r="F66" i="27"/>
  <c r="G66" i="27"/>
  <c r="H66" i="27"/>
  <c r="I66" i="27"/>
  <c r="J66" i="27"/>
  <c r="K66" i="27"/>
  <c r="L66" i="27"/>
  <c r="M66" i="27"/>
  <c r="D67" i="27"/>
  <c r="E67" i="27"/>
  <c r="F67" i="27"/>
  <c r="G67" i="27"/>
  <c r="H67" i="27"/>
  <c r="I67" i="27"/>
  <c r="J67" i="27"/>
  <c r="K67" i="27"/>
  <c r="L67" i="27"/>
  <c r="M67" i="27"/>
  <c r="N67" i="27"/>
  <c r="D68" i="27"/>
  <c r="N68" i="27" s="1"/>
  <c r="E68" i="27"/>
  <c r="F68" i="27"/>
  <c r="G68" i="27"/>
  <c r="H68" i="27"/>
  <c r="I68" i="27"/>
  <c r="J68" i="27"/>
  <c r="K68" i="27"/>
  <c r="L68" i="27"/>
  <c r="M68" i="27"/>
  <c r="D69" i="27"/>
  <c r="N69" i="27" s="1"/>
  <c r="E69" i="27"/>
  <c r="F69" i="27"/>
  <c r="G69" i="27"/>
  <c r="H69" i="27"/>
  <c r="I69" i="27"/>
  <c r="J69" i="27"/>
  <c r="K69" i="27"/>
  <c r="L69" i="27"/>
  <c r="M69" i="27"/>
  <c r="D70" i="27"/>
  <c r="E70" i="27"/>
  <c r="F70" i="27"/>
  <c r="G70" i="27"/>
  <c r="H70" i="27"/>
  <c r="I70" i="27"/>
  <c r="J70" i="27"/>
  <c r="K70" i="27"/>
  <c r="L70" i="27"/>
  <c r="M70" i="27"/>
  <c r="N70" i="27"/>
  <c r="D71" i="27"/>
  <c r="N71" i="27" s="1"/>
  <c r="E71" i="27"/>
  <c r="F71" i="27"/>
  <c r="G71" i="27"/>
  <c r="H71" i="27"/>
  <c r="I71" i="27"/>
  <c r="J71" i="27"/>
  <c r="K71" i="27"/>
  <c r="L71" i="27"/>
  <c r="M71" i="27"/>
  <c r="D72" i="27"/>
  <c r="N72" i="27" s="1"/>
  <c r="E72" i="27"/>
  <c r="F72" i="27"/>
  <c r="G72" i="27"/>
  <c r="H72" i="27"/>
  <c r="I72" i="27"/>
  <c r="J72" i="27"/>
  <c r="K72" i="27"/>
  <c r="L72" i="27"/>
  <c r="M72" i="27"/>
  <c r="D73" i="27"/>
  <c r="E73" i="27"/>
  <c r="F73" i="27"/>
  <c r="G73" i="27"/>
  <c r="H73" i="27"/>
  <c r="I73" i="27"/>
  <c r="J73" i="27"/>
  <c r="K73" i="27"/>
  <c r="L73" i="27"/>
  <c r="M73" i="27"/>
  <c r="N73" i="27"/>
  <c r="D74" i="27"/>
  <c r="N74" i="27" s="1"/>
  <c r="E74" i="27"/>
  <c r="F74" i="27"/>
  <c r="G74" i="27"/>
  <c r="H74" i="27"/>
  <c r="I74" i="27"/>
  <c r="J74" i="27"/>
  <c r="K74" i="27"/>
  <c r="L74" i="27"/>
  <c r="M74" i="27"/>
  <c r="D75" i="27"/>
  <c r="N75" i="27" s="1"/>
  <c r="E75" i="27"/>
  <c r="F75" i="27"/>
  <c r="G75" i="27"/>
  <c r="H75" i="27"/>
  <c r="I75" i="27"/>
  <c r="J75" i="27"/>
  <c r="K75" i="27"/>
  <c r="L75" i="27"/>
  <c r="M75" i="27"/>
  <c r="D76" i="27"/>
  <c r="E76" i="27"/>
  <c r="F76" i="27"/>
  <c r="G76" i="27"/>
  <c r="H76" i="27"/>
  <c r="I76" i="27"/>
  <c r="J76" i="27"/>
  <c r="K76" i="27"/>
  <c r="L76" i="27"/>
  <c r="M76" i="27"/>
  <c r="N76" i="27"/>
  <c r="D77" i="27"/>
  <c r="E77" i="27"/>
  <c r="F77" i="27"/>
  <c r="G77" i="27"/>
  <c r="H77" i="27"/>
  <c r="I77" i="27"/>
  <c r="J77" i="27"/>
  <c r="K77" i="27"/>
  <c r="L77" i="27"/>
  <c r="M77" i="27"/>
  <c r="N77" i="27"/>
  <c r="D78" i="27"/>
  <c r="N78" i="27" s="1"/>
  <c r="E78" i="27"/>
  <c r="F78" i="27"/>
  <c r="G78" i="27"/>
  <c r="H78" i="27"/>
  <c r="I78" i="27"/>
  <c r="J78" i="27"/>
  <c r="K78" i="27"/>
  <c r="L78" i="27"/>
  <c r="M78" i="27"/>
  <c r="D79" i="27"/>
  <c r="E79" i="27"/>
  <c r="F79" i="27"/>
  <c r="G79" i="27"/>
  <c r="N79" i="27" s="1"/>
  <c r="H79" i="27"/>
  <c r="I79" i="27"/>
  <c r="J79" i="27"/>
  <c r="K79" i="27"/>
  <c r="L79" i="27"/>
  <c r="M79" i="27"/>
  <c r="D80" i="27"/>
  <c r="E80" i="27"/>
  <c r="F80" i="27"/>
  <c r="G80" i="27"/>
  <c r="H80" i="27"/>
  <c r="I80" i="27"/>
  <c r="J80" i="27"/>
  <c r="K80" i="27"/>
  <c r="L80" i="27"/>
  <c r="M80" i="27"/>
  <c r="N80" i="27"/>
  <c r="D81" i="27"/>
  <c r="N81" i="27" s="1"/>
  <c r="E81" i="27"/>
  <c r="F81" i="27"/>
  <c r="G81" i="27"/>
  <c r="H81" i="27"/>
  <c r="I81" i="27"/>
  <c r="J81" i="27"/>
  <c r="K81" i="27"/>
  <c r="L81" i="27"/>
  <c r="M81" i="27"/>
  <c r="D82" i="27"/>
  <c r="E82" i="27"/>
  <c r="F82" i="27"/>
  <c r="G82" i="27"/>
  <c r="N82" i="27" s="1"/>
  <c r="H82" i="27"/>
  <c r="I82" i="27"/>
  <c r="J82" i="27"/>
  <c r="K82" i="27"/>
  <c r="L82" i="27"/>
  <c r="M82" i="27"/>
  <c r="D83" i="27"/>
  <c r="E83" i="27"/>
  <c r="F83" i="27"/>
  <c r="G83" i="27"/>
  <c r="H83" i="27"/>
  <c r="I83" i="27"/>
  <c r="J83" i="27"/>
  <c r="K83" i="27"/>
  <c r="L83" i="27"/>
  <c r="M83" i="27"/>
  <c r="N83" i="27"/>
  <c r="D84" i="27"/>
  <c r="N84" i="27" s="1"/>
  <c r="E84" i="27"/>
  <c r="F84" i="27"/>
  <c r="G84" i="27"/>
  <c r="H84" i="27"/>
  <c r="I84" i="27"/>
  <c r="J84" i="27"/>
  <c r="K84" i="27"/>
  <c r="L84" i="27"/>
  <c r="M84" i="27"/>
  <c r="D85" i="27"/>
  <c r="E85" i="27"/>
  <c r="F85" i="27"/>
  <c r="N85" i="27" s="1"/>
  <c r="G85" i="27"/>
  <c r="H85" i="27"/>
  <c r="I85" i="27"/>
  <c r="J85" i="27"/>
  <c r="K85" i="27"/>
  <c r="L85" i="27"/>
  <c r="M85" i="27"/>
  <c r="D86" i="27"/>
  <c r="E86" i="27"/>
  <c r="F86" i="27"/>
  <c r="G86" i="27"/>
  <c r="H86" i="27"/>
  <c r="I86" i="27"/>
  <c r="J86" i="27"/>
  <c r="K86" i="27"/>
  <c r="L86" i="27"/>
  <c r="M86" i="27"/>
  <c r="N86" i="27"/>
  <c r="D87" i="27"/>
  <c r="N87" i="27" s="1"/>
  <c r="E87" i="27"/>
  <c r="F87" i="27"/>
  <c r="G87" i="27"/>
  <c r="H87" i="27"/>
  <c r="I87" i="27"/>
  <c r="J87" i="27"/>
  <c r="K87" i="27"/>
  <c r="L87" i="27"/>
  <c r="M87" i="27"/>
  <c r="D88" i="27"/>
  <c r="E88" i="27"/>
  <c r="F88" i="27"/>
  <c r="N88" i="27" s="1"/>
  <c r="G88" i="27"/>
  <c r="H88" i="27"/>
  <c r="I88" i="27"/>
  <c r="J88" i="27"/>
  <c r="K88" i="27"/>
  <c r="L88" i="27"/>
  <c r="M88" i="27"/>
  <c r="D89" i="27"/>
  <c r="E89" i="27"/>
  <c r="F89" i="27"/>
  <c r="G89" i="27"/>
  <c r="H89" i="27"/>
  <c r="I89" i="27"/>
  <c r="J89" i="27"/>
  <c r="K89" i="27"/>
  <c r="L89" i="27"/>
  <c r="M89" i="27"/>
  <c r="N89" i="27"/>
  <c r="D90" i="27"/>
  <c r="N90" i="27" s="1"/>
  <c r="E90" i="27"/>
  <c r="F90" i="27"/>
  <c r="G90" i="27"/>
  <c r="H90" i="27"/>
  <c r="I90" i="27"/>
  <c r="J90" i="27"/>
  <c r="K90" i="27"/>
  <c r="L90" i="27"/>
  <c r="M90" i="27"/>
  <c r="D91" i="27"/>
  <c r="E91" i="27"/>
  <c r="N91" i="27" s="1"/>
  <c r="F91" i="27"/>
  <c r="G91" i="27"/>
  <c r="H91" i="27"/>
  <c r="I91" i="27"/>
  <c r="J91" i="27"/>
  <c r="K91" i="27"/>
  <c r="L91" i="27"/>
  <c r="M91" i="27"/>
  <c r="D92" i="27"/>
  <c r="E92" i="27"/>
  <c r="F92" i="27"/>
  <c r="G92" i="27"/>
  <c r="H92" i="27"/>
  <c r="I92" i="27"/>
  <c r="J92" i="27"/>
  <c r="K92" i="27"/>
  <c r="L92" i="27"/>
  <c r="M92" i="27"/>
  <c r="N92" i="27"/>
  <c r="D93" i="27"/>
  <c r="E93" i="27"/>
  <c r="F93" i="27"/>
  <c r="G93" i="27"/>
  <c r="H93" i="27"/>
  <c r="I93" i="27"/>
  <c r="J93" i="27"/>
  <c r="K93" i="27"/>
  <c r="L93" i="27"/>
  <c r="M93" i="27"/>
  <c r="N93" i="27"/>
  <c r="D94" i="27"/>
  <c r="N94" i="27" s="1"/>
  <c r="E94" i="27"/>
  <c r="F94" i="27"/>
  <c r="G94" i="27"/>
  <c r="H94" i="27"/>
  <c r="I94" i="27"/>
  <c r="J94" i="27"/>
  <c r="K94" i="27"/>
  <c r="L94" i="27"/>
  <c r="M94" i="27"/>
  <c r="D95" i="27"/>
  <c r="N95" i="27" s="1"/>
  <c r="E95" i="27"/>
  <c r="F95" i="27"/>
  <c r="G95" i="27"/>
  <c r="H95" i="27"/>
  <c r="I95" i="27"/>
  <c r="J95" i="27"/>
  <c r="K95" i="27"/>
  <c r="L95" i="27"/>
  <c r="M95" i="27"/>
  <c r="D96" i="27"/>
  <c r="E96" i="27"/>
  <c r="F96" i="27"/>
  <c r="G96" i="27"/>
  <c r="H96" i="27"/>
  <c r="I96" i="27"/>
  <c r="J96" i="27"/>
  <c r="K96" i="27"/>
  <c r="L96" i="27"/>
  <c r="M96" i="27"/>
  <c r="N96" i="27"/>
  <c r="D97" i="27"/>
  <c r="N97" i="27" s="1"/>
  <c r="E97" i="27"/>
  <c r="F97" i="27"/>
  <c r="G97" i="27"/>
  <c r="H97" i="27"/>
  <c r="I97" i="27"/>
  <c r="J97" i="27"/>
  <c r="K97" i="27"/>
  <c r="L97" i="27"/>
  <c r="M97" i="27"/>
  <c r="D98" i="27"/>
  <c r="E98" i="27"/>
  <c r="F98" i="27"/>
  <c r="G98" i="27"/>
  <c r="H98" i="27"/>
  <c r="N98" i="27" s="1"/>
  <c r="I98" i="27"/>
  <c r="J98" i="27"/>
  <c r="K98" i="27"/>
  <c r="L98" i="27"/>
  <c r="M98" i="27"/>
  <c r="D99" i="27"/>
  <c r="E99" i="27"/>
  <c r="F99" i="27"/>
  <c r="G99" i="27"/>
  <c r="H99" i="27"/>
  <c r="I99" i="27"/>
  <c r="J99" i="27"/>
  <c r="K99" i="27"/>
  <c r="L99" i="27"/>
  <c r="M99" i="27"/>
  <c r="N99" i="27"/>
  <c r="D100" i="27"/>
  <c r="N100" i="27" s="1"/>
  <c r="E100" i="27"/>
  <c r="F100" i="27"/>
  <c r="G100" i="27"/>
  <c r="H100" i="27"/>
  <c r="I100" i="27"/>
  <c r="J100" i="27"/>
  <c r="K100" i="27"/>
  <c r="L100" i="27"/>
  <c r="M100" i="27"/>
  <c r="D101" i="27"/>
  <c r="E101" i="27"/>
  <c r="N101" i="27" s="1"/>
  <c r="F101" i="27"/>
  <c r="G101" i="27"/>
  <c r="H101" i="27"/>
  <c r="I101" i="27"/>
  <c r="J101" i="27"/>
  <c r="K101" i="27"/>
  <c r="L101" i="27"/>
  <c r="M101" i="27"/>
  <c r="D102" i="27"/>
  <c r="E102" i="27"/>
  <c r="F102" i="27"/>
  <c r="G102" i="27"/>
  <c r="H102" i="27"/>
  <c r="I102" i="27"/>
  <c r="J102" i="27"/>
  <c r="K102" i="27"/>
  <c r="L102" i="27"/>
  <c r="M102" i="27"/>
  <c r="N102" i="27"/>
  <c r="D103" i="27"/>
  <c r="N103" i="27" s="1"/>
  <c r="E103" i="27"/>
  <c r="F103" i="27"/>
  <c r="G103" i="27"/>
  <c r="H103" i="27"/>
  <c r="I103" i="27"/>
  <c r="J103" i="27"/>
  <c r="K103" i="27"/>
  <c r="L103" i="27"/>
  <c r="M103" i="27"/>
  <c r="D104" i="27"/>
  <c r="E104" i="27"/>
  <c r="F104" i="27"/>
  <c r="G104" i="27"/>
  <c r="N104" i="27" s="1"/>
  <c r="H104" i="27"/>
  <c r="I104" i="27"/>
  <c r="J104" i="27"/>
  <c r="K104" i="27"/>
  <c r="L104" i="27"/>
  <c r="M104" i="27"/>
  <c r="D105" i="27"/>
  <c r="E105" i="27"/>
  <c r="F105" i="27"/>
  <c r="G105" i="27"/>
  <c r="H105" i="27"/>
  <c r="I105" i="27"/>
  <c r="J105" i="27"/>
  <c r="K105" i="27"/>
  <c r="L105" i="27"/>
  <c r="M105" i="27"/>
  <c r="N105" i="27"/>
  <c r="D106" i="27"/>
  <c r="N106" i="27" s="1"/>
  <c r="E106" i="27"/>
  <c r="F106" i="27"/>
  <c r="G106" i="27"/>
  <c r="H106" i="27"/>
  <c r="I106" i="27"/>
  <c r="J106" i="27"/>
  <c r="K106" i="27"/>
  <c r="L106" i="27"/>
  <c r="M106" i="27"/>
  <c r="D107" i="27"/>
  <c r="E107" i="27"/>
  <c r="F107" i="27"/>
  <c r="G107" i="27"/>
  <c r="N107" i="27" s="1"/>
  <c r="H107" i="27"/>
  <c r="I107" i="27"/>
  <c r="J107" i="27"/>
  <c r="K107" i="27"/>
  <c r="L107" i="27"/>
  <c r="M107" i="27"/>
  <c r="D108" i="27"/>
  <c r="E108" i="27"/>
  <c r="F108" i="27"/>
  <c r="G108" i="27"/>
  <c r="H108" i="27"/>
  <c r="I108" i="27"/>
  <c r="J108" i="27"/>
  <c r="K108" i="27"/>
  <c r="L108" i="27"/>
  <c r="M108" i="27"/>
  <c r="N108" i="27"/>
  <c r="D109" i="27"/>
  <c r="E109" i="27"/>
  <c r="F109" i="27"/>
  <c r="G109" i="27"/>
  <c r="H109" i="27"/>
  <c r="I109" i="27"/>
  <c r="J109" i="27"/>
  <c r="K109" i="27"/>
  <c r="L109" i="27"/>
  <c r="M109" i="27"/>
  <c r="N109" i="27" s="1"/>
  <c r="D110" i="27"/>
  <c r="E110" i="27"/>
  <c r="F110" i="27"/>
  <c r="N110" i="27" s="1"/>
  <c r="G110" i="27"/>
  <c r="H110" i="27"/>
  <c r="I110" i="27"/>
  <c r="J110" i="27"/>
  <c r="K110" i="27"/>
  <c r="L110" i="27"/>
  <c r="M110" i="27"/>
  <c r="D111" i="27"/>
  <c r="N111" i="27" s="1"/>
  <c r="E111" i="27"/>
  <c r="F111" i="27"/>
  <c r="G111" i="27"/>
  <c r="H111" i="27"/>
  <c r="I111" i="27"/>
  <c r="J111" i="27"/>
  <c r="K111" i="27"/>
  <c r="L111" i="27"/>
  <c r="M111" i="27"/>
  <c r="D112" i="27"/>
  <c r="E112" i="27"/>
  <c r="F112" i="27"/>
  <c r="G112" i="27"/>
  <c r="H112" i="27"/>
  <c r="N112" i="27" s="1"/>
  <c r="I112" i="27"/>
  <c r="J112" i="27"/>
  <c r="K112" i="27"/>
  <c r="L112" i="27"/>
  <c r="M112" i="27"/>
  <c r="D113" i="27"/>
  <c r="E113" i="27"/>
  <c r="N113" i="27" s="1"/>
  <c r="F113" i="27"/>
  <c r="G113" i="27"/>
  <c r="H113" i="27"/>
  <c r="I113" i="27"/>
  <c r="J113" i="27"/>
  <c r="K113" i="27"/>
  <c r="L113" i="27"/>
  <c r="M113" i="27"/>
  <c r="D114" i="27"/>
  <c r="E114" i="27"/>
  <c r="F114" i="27"/>
  <c r="N114" i="27" s="1"/>
  <c r="G114" i="27"/>
  <c r="H114" i="27"/>
  <c r="I114" i="27"/>
  <c r="J114" i="27"/>
  <c r="K114" i="27"/>
  <c r="L114" i="27"/>
  <c r="M114" i="27"/>
  <c r="D115" i="27"/>
  <c r="E115" i="27"/>
  <c r="F115" i="27"/>
  <c r="G115" i="27"/>
  <c r="N115" i="27" s="1"/>
  <c r="H115" i="27"/>
  <c r="I115" i="27"/>
  <c r="J115" i="27"/>
  <c r="K115" i="27"/>
  <c r="L115" i="27"/>
  <c r="M115" i="27"/>
  <c r="D116" i="27"/>
  <c r="N116" i="27" s="1"/>
  <c r="E116" i="27"/>
  <c r="F116" i="27"/>
  <c r="G116" i="27"/>
  <c r="H116" i="27"/>
  <c r="I116" i="27"/>
  <c r="J116" i="27"/>
  <c r="K116" i="27"/>
  <c r="L116" i="27"/>
  <c r="M116" i="27"/>
  <c r="D117" i="27"/>
  <c r="N117" i="27" s="1"/>
  <c r="E117" i="27"/>
  <c r="F117" i="27"/>
  <c r="G117" i="27"/>
  <c r="H117" i="27"/>
  <c r="I117" i="27"/>
  <c r="J117" i="27"/>
  <c r="K117" i="27"/>
  <c r="L117" i="27"/>
  <c r="M117" i="27"/>
  <c r="D118" i="27"/>
  <c r="E118" i="27"/>
  <c r="F118" i="27"/>
  <c r="G118" i="27"/>
  <c r="H118" i="27"/>
  <c r="I118" i="27"/>
  <c r="J118" i="27"/>
  <c r="N118" i="27" s="1"/>
  <c r="K118" i="27"/>
  <c r="L118" i="27"/>
  <c r="M118" i="27"/>
  <c r="D119" i="27"/>
  <c r="N119" i="27" s="1"/>
  <c r="E119" i="27"/>
  <c r="F119" i="27"/>
  <c r="G119" i="27"/>
  <c r="H119" i="27"/>
  <c r="I119" i="27"/>
  <c r="J119" i="27"/>
  <c r="K119" i="27"/>
  <c r="L119" i="27"/>
  <c r="M119" i="27"/>
  <c r="D120" i="27"/>
  <c r="N120" i="27" s="1"/>
  <c r="E120" i="27"/>
  <c r="F120" i="27"/>
  <c r="G120" i="27"/>
  <c r="H120" i="27"/>
  <c r="I120" i="27"/>
  <c r="J120" i="27"/>
  <c r="K120" i="27"/>
  <c r="L120" i="27"/>
  <c r="M120" i="27"/>
  <c r="D121" i="27"/>
  <c r="E121" i="27"/>
  <c r="F121" i="27"/>
  <c r="G121" i="27"/>
  <c r="H121" i="27"/>
  <c r="I121" i="27"/>
  <c r="J121" i="27"/>
  <c r="K121" i="27"/>
  <c r="L121" i="27"/>
  <c r="M121" i="27"/>
  <c r="N121" i="27"/>
  <c r="D122" i="27"/>
  <c r="N122" i="27" s="1"/>
  <c r="E122" i="27"/>
  <c r="F122" i="27"/>
  <c r="G122" i="27"/>
  <c r="H122" i="27"/>
  <c r="I122" i="27"/>
  <c r="J122" i="27"/>
  <c r="K122" i="27"/>
  <c r="L122" i="27"/>
  <c r="M122" i="27"/>
  <c r="D123" i="27"/>
  <c r="N123" i="27" s="1"/>
  <c r="E123" i="27"/>
  <c r="F123" i="27"/>
  <c r="G123" i="27"/>
  <c r="H123" i="27"/>
  <c r="I123" i="27"/>
  <c r="J123" i="27"/>
  <c r="K123" i="27"/>
  <c r="L123" i="27"/>
  <c r="M123" i="27"/>
  <c r="D124" i="27"/>
  <c r="E124" i="27"/>
  <c r="F124" i="27"/>
  <c r="G124" i="27"/>
  <c r="H124" i="27"/>
  <c r="I124" i="27"/>
  <c r="J124" i="27"/>
  <c r="K124" i="27"/>
  <c r="L124" i="27"/>
  <c r="M124" i="27"/>
  <c r="N124" i="27"/>
  <c r="D125" i="27"/>
  <c r="E125" i="27"/>
  <c r="F125" i="27"/>
  <c r="G125" i="27"/>
  <c r="H125" i="27"/>
  <c r="I125" i="27"/>
  <c r="J125" i="27"/>
  <c r="N125" i="27" s="1"/>
  <c r="K125" i="27"/>
  <c r="L125" i="27"/>
  <c r="M125" i="27"/>
  <c r="D126" i="27"/>
  <c r="E126" i="27"/>
  <c r="F126" i="27"/>
  <c r="N126" i="27" s="1"/>
  <c r="G126" i="27"/>
  <c r="H126" i="27"/>
  <c r="I126" i="27"/>
  <c r="J126" i="27"/>
  <c r="K126" i="27"/>
  <c r="L126" i="27"/>
  <c r="M126" i="27"/>
  <c r="D127" i="27"/>
  <c r="N127" i="27" s="1"/>
  <c r="E127" i="27"/>
  <c r="F127" i="27"/>
  <c r="G127" i="27"/>
  <c r="H127" i="27"/>
  <c r="I127" i="27"/>
  <c r="J127" i="27"/>
  <c r="K127" i="27"/>
  <c r="L127" i="27"/>
  <c r="M127" i="27"/>
  <c r="D128" i="27"/>
  <c r="N128" i="27" s="1"/>
  <c r="E128" i="27"/>
  <c r="F128" i="27"/>
  <c r="G128" i="27"/>
  <c r="H128" i="27"/>
  <c r="I128" i="27"/>
  <c r="J128" i="27"/>
  <c r="K128" i="27"/>
  <c r="L128" i="27"/>
  <c r="M128" i="27"/>
  <c r="D129" i="27"/>
  <c r="E129" i="27"/>
  <c r="F129" i="27"/>
  <c r="N129" i="27" s="1"/>
  <c r="G129" i="27"/>
  <c r="H129" i="27"/>
  <c r="I129" i="27"/>
  <c r="J129" i="27"/>
  <c r="K129" i="27"/>
  <c r="L129" i="27"/>
  <c r="M129" i="27"/>
  <c r="D130" i="27"/>
  <c r="E130" i="27"/>
  <c r="F130" i="27"/>
  <c r="N130" i="27" s="1"/>
  <c r="G130" i="27"/>
  <c r="H130" i="27"/>
  <c r="I130" i="27"/>
  <c r="J130" i="27"/>
  <c r="K130" i="27"/>
  <c r="L130" i="27"/>
  <c r="M130" i="27"/>
  <c r="D131" i="27"/>
  <c r="E131" i="27"/>
  <c r="F131" i="27"/>
  <c r="G131" i="27"/>
  <c r="H131" i="27"/>
  <c r="N131" i="27" s="1"/>
  <c r="I131" i="27"/>
  <c r="J131" i="27"/>
  <c r="K131" i="27"/>
  <c r="L131" i="27"/>
  <c r="M131" i="27"/>
  <c r="D132" i="27"/>
  <c r="E132" i="27"/>
  <c r="N132" i="27" s="1"/>
  <c r="F132" i="27"/>
  <c r="G132" i="27"/>
  <c r="H132" i="27"/>
  <c r="I132" i="27"/>
  <c r="J132" i="27"/>
  <c r="K132" i="27"/>
  <c r="L132" i="27"/>
  <c r="M132" i="27"/>
  <c r="D133" i="27"/>
  <c r="E133" i="27"/>
  <c r="N133" i="27" s="1"/>
  <c r="F133" i="27"/>
  <c r="G133" i="27"/>
  <c r="H133" i="27"/>
  <c r="I133" i="27"/>
  <c r="J133" i="27"/>
  <c r="K133" i="27"/>
  <c r="L133" i="27"/>
  <c r="M133" i="27"/>
  <c r="D134" i="27"/>
  <c r="E134" i="27"/>
  <c r="F134" i="27"/>
  <c r="G134" i="27"/>
  <c r="N134" i="27" s="1"/>
  <c r="H134" i="27"/>
  <c r="I134" i="27"/>
  <c r="J134" i="27"/>
  <c r="K134" i="27"/>
  <c r="L134" i="27"/>
  <c r="M134" i="27"/>
  <c r="D135" i="27"/>
  <c r="N135" i="27" s="1"/>
  <c r="E135" i="27"/>
  <c r="F135" i="27"/>
  <c r="G135" i="27"/>
  <c r="H135" i="27"/>
  <c r="I135" i="27"/>
  <c r="J135" i="27"/>
  <c r="K135" i="27"/>
  <c r="L135" i="27"/>
  <c r="M135" i="27"/>
  <c r="D136" i="27"/>
  <c r="N136" i="27" s="1"/>
  <c r="E136" i="27"/>
  <c r="F136" i="27"/>
  <c r="G136" i="27"/>
  <c r="H136" i="27"/>
  <c r="I136" i="27"/>
  <c r="J136" i="27"/>
  <c r="K136" i="27"/>
  <c r="L136" i="27"/>
  <c r="M136" i="27"/>
  <c r="D137" i="27"/>
  <c r="E137" i="27"/>
  <c r="F137" i="27"/>
  <c r="G137" i="27"/>
  <c r="H137" i="27"/>
  <c r="I137" i="27"/>
  <c r="J137" i="27"/>
  <c r="K137" i="27"/>
  <c r="L137" i="27"/>
  <c r="M137" i="27"/>
  <c r="N137" i="27"/>
  <c r="D138" i="27"/>
  <c r="N138" i="27" s="1"/>
  <c r="E138" i="27"/>
  <c r="F138" i="27"/>
  <c r="G138" i="27"/>
  <c r="H138" i="27"/>
  <c r="I138" i="27"/>
  <c r="J138" i="27"/>
  <c r="K138" i="27"/>
  <c r="L138" i="27"/>
  <c r="M138" i="27"/>
  <c r="D139" i="27"/>
  <c r="E139" i="27"/>
  <c r="F139" i="27"/>
  <c r="G139" i="27"/>
  <c r="H139" i="27"/>
  <c r="N139" i="27" s="1"/>
  <c r="I139" i="27"/>
  <c r="J139" i="27"/>
  <c r="K139" i="27"/>
  <c r="L139" i="27"/>
  <c r="M139" i="27"/>
  <c r="D140" i="27"/>
  <c r="E140" i="27"/>
  <c r="F140" i="27"/>
  <c r="G140" i="27"/>
  <c r="H140" i="27"/>
  <c r="I140" i="27"/>
  <c r="J140" i="27"/>
  <c r="K140" i="27"/>
  <c r="L140" i="27"/>
  <c r="M140" i="27"/>
  <c r="N140" i="27"/>
  <c r="D141" i="27"/>
  <c r="E141" i="27"/>
  <c r="F141" i="27"/>
  <c r="G141" i="27"/>
  <c r="H141" i="27"/>
  <c r="I141" i="27"/>
  <c r="N141" i="27" s="1"/>
  <c r="J141" i="27"/>
  <c r="K141" i="27"/>
  <c r="L141" i="27"/>
  <c r="M141" i="27"/>
  <c r="D142" i="27"/>
  <c r="E142" i="27"/>
  <c r="F142" i="27"/>
  <c r="G142" i="27"/>
  <c r="N142" i="27" s="1"/>
  <c r="H142" i="27"/>
  <c r="I142" i="27"/>
  <c r="J142" i="27"/>
  <c r="K142" i="27"/>
  <c r="L142" i="27"/>
  <c r="M142" i="27"/>
  <c r="D143" i="27"/>
  <c r="E143" i="27"/>
  <c r="N143" i="27" s="1"/>
  <c r="F143" i="27"/>
  <c r="G143" i="27"/>
  <c r="H143" i="27"/>
  <c r="I143" i="27"/>
  <c r="J143" i="27"/>
  <c r="K143" i="27"/>
  <c r="L143" i="27"/>
  <c r="M143" i="27"/>
  <c r="D144" i="27"/>
  <c r="N144" i="27" s="1"/>
  <c r="E144" i="27"/>
  <c r="F144" i="27"/>
  <c r="G144" i="27"/>
  <c r="H144" i="27"/>
  <c r="I144" i="27"/>
  <c r="J144" i="27"/>
  <c r="K144" i="27"/>
  <c r="L144" i="27"/>
  <c r="M144" i="27"/>
  <c r="D145" i="27"/>
  <c r="E145" i="27"/>
  <c r="F145" i="27"/>
  <c r="N145" i="27" s="1"/>
  <c r="G145" i="27"/>
  <c r="H145" i="27"/>
  <c r="I145" i="27"/>
  <c r="J145" i="27"/>
  <c r="K145" i="27"/>
  <c r="L145" i="27"/>
  <c r="M145" i="27"/>
  <c r="D146" i="27"/>
  <c r="N146" i="27" s="1"/>
  <c r="E146" i="27"/>
  <c r="F146" i="27"/>
  <c r="G146" i="27"/>
  <c r="H146" i="27"/>
  <c r="I146" i="27"/>
  <c r="J146" i="27"/>
  <c r="K146" i="27"/>
  <c r="L146" i="27"/>
  <c r="M146" i="27"/>
  <c r="D147" i="27"/>
  <c r="N147" i="27" s="1"/>
  <c r="E147" i="27"/>
  <c r="F147" i="27"/>
  <c r="G147" i="27"/>
  <c r="H147" i="27"/>
  <c r="I147" i="27"/>
  <c r="J147" i="27"/>
  <c r="K147" i="27"/>
  <c r="L147" i="27"/>
  <c r="M147" i="27"/>
  <c r="D148" i="27"/>
  <c r="E148" i="27"/>
  <c r="N148" i="27" s="1"/>
  <c r="F148" i="27"/>
  <c r="G148" i="27"/>
  <c r="H148" i="27"/>
  <c r="I148" i="27"/>
  <c r="J148" i="27"/>
  <c r="K148" i="27"/>
  <c r="L148" i="27"/>
  <c r="M148" i="27"/>
  <c r="D149" i="27"/>
  <c r="E149" i="27"/>
  <c r="N149" i="27" s="1"/>
  <c r="F149" i="27"/>
  <c r="G149" i="27"/>
  <c r="H149" i="27"/>
  <c r="I149" i="27"/>
  <c r="J149" i="27"/>
  <c r="K149" i="27"/>
  <c r="L149" i="27"/>
  <c r="M149" i="27"/>
  <c r="D150" i="27"/>
  <c r="N150" i="27" s="1"/>
  <c r="E150" i="27"/>
  <c r="F150" i="27"/>
  <c r="G150" i="27"/>
  <c r="H150" i="27"/>
  <c r="I150" i="27"/>
  <c r="J150" i="27"/>
  <c r="K150" i="27"/>
  <c r="L150" i="27"/>
  <c r="M150" i="27"/>
  <c r="D151" i="27"/>
  <c r="N151" i="27" s="1"/>
  <c r="E151" i="27"/>
  <c r="F151" i="27"/>
  <c r="G151" i="27"/>
  <c r="H151" i="27"/>
  <c r="I151" i="27"/>
  <c r="J151" i="27"/>
  <c r="K151" i="27"/>
  <c r="L151" i="27"/>
  <c r="M151" i="27"/>
  <c r="D152" i="27"/>
  <c r="N152" i="27" s="1"/>
  <c r="E152" i="27"/>
  <c r="F152" i="27"/>
  <c r="G152" i="27"/>
  <c r="H152" i="27"/>
  <c r="I152" i="27"/>
  <c r="J152" i="27"/>
  <c r="K152" i="27"/>
  <c r="L152" i="27"/>
  <c r="M152" i="27"/>
  <c r="D153" i="27"/>
  <c r="E153" i="27"/>
  <c r="F153" i="27"/>
  <c r="G153" i="27"/>
  <c r="H153" i="27"/>
  <c r="I153" i="27"/>
  <c r="J153" i="27"/>
  <c r="K153" i="27"/>
  <c r="L153" i="27"/>
  <c r="M153" i="27"/>
  <c r="N153" i="27"/>
  <c r="D154" i="27"/>
  <c r="N154" i="27" s="1"/>
  <c r="E154" i="27"/>
  <c r="F154" i="27"/>
  <c r="G154" i="27"/>
  <c r="H154" i="27"/>
  <c r="I154" i="27"/>
  <c r="J154" i="27"/>
  <c r="K154" i="27"/>
  <c r="L154" i="27"/>
  <c r="M154" i="27"/>
  <c r="D155" i="27"/>
  <c r="E155" i="27"/>
  <c r="F155" i="27"/>
  <c r="G155" i="27"/>
  <c r="H155" i="27"/>
  <c r="N155" i="27" s="1"/>
  <c r="I155" i="27"/>
  <c r="J155" i="27"/>
  <c r="K155" i="27"/>
  <c r="L155" i="27"/>
  <c r="M155" i="27"/>
  <c r="D156" i="27"/>
  <c r="E156" i="27"/>
  <c r="F156" i="27"/>
  <c r="G156" i="27"/>
  <c r="H156" i="27"/>
  <c r="I156" i="27"/>
  <c r="J156" i="27"/>
  <c r="K156" i="27"/>
  <c r="L156" i="27"/>
  <c r="M156" i="27"/>
  <c r="N156" i="27"/>
  <c r="D157" i="27"/>
  <c r="E157" i="27"/>
  <c r="N157" i="27" s="1"/>
  <c r="F157" i="27"/>
  <c r="G157" i="27"/>
  <c r="H157" i="27"/>
  <c r="I157" i="27"/>
  <c r="J157" i="27"/>
  <c r="K157" i="27"/>
  <c r="L157" i="27"/>
  <c r="M157" i="27"/>
  <c r="D158" i="27"/>
  <c r="E158" i="27"/>
  <c r="F158" i="27"/>
  <c r="G158" i="27"/>
  <c r="N158" i="27" s="1"/>
  <c r="H158" i="27"/>
  <c r="I158" i="27"/>
  <c r="J158" i="27"/>
  <c r="K158" i="27"/>
  <c r="L158" i="27"/>
  <c r="M158" i="27"/>
  <c r="D159" i="27"/>
  <c r="E159" i="27"/>
  <c r="N159" i="27" s="1"/>
  <c r="F159" i="27"/>
  <c r="G159" i="27"/>
  <c r="H159" i="27"/>
  <c r="I159" i="27"/>
  <c r="J159" i="27"/>
  <c r="K159" i="27"/>
  <c r="L159" i="27"/>
  <c r="M159" i="27"/>
  <c r="D160" i="27"/>
  <c r="N160" i="27" s="1"/>
  <c r="E160" i="27"/>
  <c r="F160" i="27"/>
  <c r="G160" i="27"/>
  <c r="H160" i="27"/>
  <c r="I160" i="27"/>
  <c r="J160" i="27"/>
  <c r="K160" i="27"/>
  <c r="L160" i="27"/>
  <c r="M160" i="27"/>
  <c r="D161" i="27"/>
  <c r="E161" i="27"/>
  <c r="F161" i="27"/>
  <c r="N161" i="27" s="1"/>
  <c r="G161" i="27"/>
  <c r="H161" i="27"/>
  <c r="I161" i="27"/>
  <c r="J161" i="27"/>
  <c r="K161" i="27"/>
  <c r="L161" i="27"/>
  <c r="M161" i="27"/>
  <c r="D162" i="27"/>
  <c r="N162" i="27" s="1"/>
  <c r="E162" i="27"/>
  <c r="F162" i="27"/>
  <c r="G162" i="27"/>
  <c r="H162" i="27"/>
  <c r="I162" i="27"/>
  <c r="J162" i="27"/>
  <c r="K162" i="27"/>
  <c r="L162" i="27"/>
  <c r="M162" i="27"/>
  <c r="D163" i="27"/>
  <c r="E163" i="27"/>
  <c r="N163" i="27" s="1"/>
  <c r="F163" i="27"/>
  <c r="G163" i="27"/>
  <c r="H163" i="27"/>
  <c r="I163" i="27"/>
  <c r="J163" i="27"/>
  <c r="K163" i="27"/>
  <c r="L163" i="27"/>
  <c r="M163" i="27"/>
  <c r="D164" i="27"/>
  <c r="E164" i="27"/>
  <c r="N164" i="27" s="1"/>
  <c r="F164" i="27"/>
  <c r="G164" i="27"/>
  <c r="H164" i="27"/>
  <c r="I164" i="27"/>
  <c r="J164" i="27"/>
  <c r="K164" i="27"/>
  <c r="L164" i="27"/>
  <c r="M164" i="27"/>
  <c r="D165" i="27"/>
  <c r="N165" i="27" s="1"/>
  <c r="E165" i="27"/>
  <c r="F165" i="27"/>
  <c r="G165" i="27"/>
  <c r="H165" i="27"/>
  <c r="I165" i="27"/>
  <c r="J165" i="27"/>
  <c r="K165" i="27"/>
  <c r="L165" i="27"/>
  <c r="M165" i="27"/>
  <c r="D166" i="27"/>
  <c r="N166" i="27" s="1"/>
  <c r="E166" i="27"/>
  <c r="F166" i="27"/>
  <c r="G166" i="27"/>
  <c r="H166" i="27"/>
  <c r="I166" i="27"/>
  <c r="J166" i="27"/>
  <c r="K166" i="27"/>
  <c r="L166" i="27"/>
  <c r="M166" i="27"/>
  <c r="D167" i="27"/>
  <c r="N167" i="27" s="1"/>
  <c r="E167" i="27"/>
  <c r="F167" i="27"/>
  <c r="G167" i="27"/>
  <c r="H167" i="27"/>
  <c r="I167" i="27"/>
  <c r="J167" i="27"/>
  <c r="K167" i="27"/>
  <c r="L167" i="27"/>
  <c r="M167" i="27"/>
  <c r="D168" i="27"/>
  <c r="N168" i="27" s="1"/>
  <c r="E168" i="27"/>
  <c r="F168" i="27"/>
  <c r="G168" i="27"/>
  <c r="H168" i="27"/>
  <c r="I168" i="27"/>
  <c r="J168" i="27"/>
  <c r="K168" i="27"/>
  <c r="L168" i="27"/>
  <c r="M168" i="27"/>
  <c r="D169" i="27"/>
  <c r="E169" i="27"/>
  <c r="F169" i="27"/>
  <c r="G169" i="27"/>
  <c r="H169" i="27"/>
  <c r="I169" i="27"/>
  <c r="J169" i="27"/>
  <c r="K169" i="27"/>
  <c r="L169" i="27"/>
  <c r="M169" i="27"/>
  <c r="N169" i="27"/>
  <c r="D170" i="27"/>
  <c r="N170" i="27" s="1"/>
  <c r="E170" i="27"/>
  <c r="F170" i="27"/>
  <c r="G170" i="27"/>
  <c r="H170" i="27"/>
  <c r="I170" i="27"/>
  <c r="J170" i="27"/>
  <c r="K170" i="27"/>
  <c r="L170" i="27"/>
  <c r="M170" i="27"/>
  <c r="D171" i="27"/>
  <c r="E171" i="27"/>
  <c r="F171" i="27"/>
  <c r="G171" i="27"/>
  <c r="H171" i="27"/>
  <c r="N171" i="27" s="1"/>
  <c r="I171" i="27"/>
  <c r="J171" i="27"/>
  <c r="K171" i="27"/>
  <c r="L171" i="27"/>
  <c r="M171" i="27"/>
  <c r="D172" i="27"/>
  <c r="E172" i="27"/>
  <c r="F172" i="27"/>
  <c r="G172" i="27"/>
  <c r="H172" i="27"/>
  <c r="I172" i="27"/>
  <c r="J172" i="27"/>
  <c r="K172" i="27"/>
  <c r="L172" i="27"/>
  <c r="M172" i="27"/>
  <c r="N172" i="27"/>
  <c r="D173" i="27"/>
  <c r="E173" i="27"/>
  <c r="F173" i="27"/>
  <c r="G173" i="27"/>
  <c r="H173" i="27"/>
  <c r="I173" i="27"/>
  <c r="N173" i="27" s="1"/>
  <c r="J173" i="27"/>
  <c r="K173" i="27"/>
  <c r="L173" i="27"/>
  <c r="M173" i="27"/>
  <c r="D174" i="27"/>
  <c r="E174" i="27"/>
  <c r="F174" i="27"/>
  <c r="G174" i="27"/>
  <c r="N174" i="27" s="1"/>
  <c r="H174" i="27"/>
  <c r="I174" i="27"/>
  <c r="J174" i="27"/>
  <c r="K174" i="27"/>
  <c r="L174" i="27"/>
  <c r="M174" i="27"/>
  <c r="D175" i="27"/>
  <c r="N175" i="27" s="1"/>
  <c r="E175" i="27"/>
  <c r="F175" i="27"/>
  <c r="G175" i="27"/>
  <c r="H175" i="27"/>
  <c r="I175" i="27"/>
  <c r="J175" i="27"/>
  <c r="K175" i="27"/>
  <c r="L175" i="27"/>
  <c r="M175" i="27"/>
  <c r="D176" i="27"/>
  <c r="N176" i="27" s="1"/>
  <c r="E176" i="27"/>
  <c r="F176" i="27"/>
  <c r="G176" i="27"/>
  <c r="H176" i="27"/>
  <c r="I176" i="27"/>
  <c r="J176" i="27"/>
  <c r="K176" i="27"/>
  <c r="L176" i="27"/>
  <c r="M176" i="27"/>
  <c r="D177" i="27"/>
  <c r="E177" i="27"/>
  <c r="F177" i="27"/>
  <c r="N177" i="27" s="1"/>
  <c r="G177" i="27"/>
  <c r="H177" i="27"/>
  <c r="I177" i="27"/>
  <c r="J177" i="27"/>
  <c r="K177" i="27"/>
  <c r="L177" i="27"/>
  <c r="M177" i="27"/>
  <c r="D178" i="27"/>
  <c r="E178" i="27"/>
  <c r="F178" i="27"/>
  <c r="N178" i="27" s="1"/>
  <c r="G178" i="27"/>
  <c r="H178" i="27"/>
  <c r="I178" i="27"/>
  <c r="J178" i="27"/>
  <c r="K178" i="27"/>
  <c r="L178" i="27"/>
  <c r="M178" i="27"/>
  <c r="D179" i="27"/>
  <c r="E179" i="27"/>
  <c r="N179" i="27" s="1"/>
  <c r="F179" i="27"/>
  <c r="G179" i="27"/>
  <c r="H179" i="27"/>
  <c r="I179" i="27"/>
  <c r="J179" i="27"/>
  <c r="K179" i="27"/>
  <c r="L179" i="27"/>
  <c r="M179" i="27"/>
  <c r="D180" i="27"/>
  <c r="N180" i="27" s="1"/>
  <c r="E180" i="27"/>
  <c r="F180" i="27"/>
  <c r="G180" i="27"/>
  <c r="H180" i="27"/>
  <c r="I180" i="27"/>
  <c r="J180" i="27"/>
  <c r="K180" i="27"/>
  <c r="L180" i="27"/>
  <c r="M180" i="27"/>
  <c r="D181" i="27"/>
  <c r="N181" i="27" s="1"/>
  <c r="E181" i="27"/>
  <c r="F181" i="27"/>
  <c r="G181" i="27"/>
  <c r="H181" i="27"/>
  <c r="I181" i="27"/>
  <c r="J181" i="27"/>
  <c r="K181" i="27"/>
  <c r="L181" i="27"/>
  <c r="M181" i="27"/>
  <c r="D182" i="27"/>
  <c r="E182" i="27"/>
  <c r="F182" i="27"/>
  <c r="N182" i="27" s="1"/>
  <c r="G182" i="27"/>
  <c r="H182" i="27"/>
  <c r="I182" i="27"/>
  <c r="J182" i="27"/>
  <c r="K182" i="27"/>
  <c r="L182" i="27"/>
  <c r="M182" i="27"/>
  <c r="D183" i="27"/>
  <c r="N183" i="27" s="1"/>
  <c r="E183" i="27"/>
  <c r="F183" i="27"/>
  <c r="G183" i="27"/>
  <c r="H183" i="27"/>
  <c r="I183" i="27"/>
  <c r="J183" i="27"/>
  <c r="K183" i="27"/>
  <c r="L183" i="27"/>
  <c r="M183" i="27"/>
  <c r="D184" i="27"/>
  <c r="N184" i="27" s="1"/>
  <c r="E184" i="27"/>
  <c r="F184" i="27"/>
  <c r="G184" i="27"/>
  <c r="H184" i="27"/>
  <c r="I184" i="27"/>
  <c r="J184" i="27"/>
  <c r="K184" i="27"/>
  <c r="L184" i="27"/>
  <c r="M184" i="27"/>
  <c r="D185" i="27"/>
  <c r="E185" i="27"/>
  <c r="F185" i="27"/>
  <c r="G185" i="27"/>
  <c r="H185" i="27"/>
  <c r="I185" i="27"/>
  <c r="J185" i="27"/>
  <c r="K185" i="27"/>
  <c r="L185" i="27"/>
  <c r="M185" i="27"/>
  <c r="N185" i="27"/>
  <c r="D186" i="27"/>
  <c r="N186" i="27" s="1"/>
  <c r="E186" i="27"/>
  <c r="F186" i="27"/>
  <c r="G186" i="27"/>
  <c r="H186" i="27"/>
  <c r="I186" i="27"/>
  <c r="J186" i="27"/>
  <c r="K186" i="27"/>
  <c r="L186" i="27"/>
  <c r="M186" i="27"/>
  <c r="D187" i="27"/>
  <c r="E187" i="27"/>
  <c r="F187" i="27"/>
  <c r="G187" i="27"/>
  <c r="H187" i="27"/>
  <c r="N187" i="27" s="1"/>
  <c r="I187" i="27"/>
  <c r="J187" i="27"/>
  <c r="K187" i="27"/>
  <c r="L187" i="27"/>
  <c r="M187" i="27"/>
  <c r="D188" i="27"/>
  <c r="E188" i="27"/>
  <c r="F188" i="27"/>
  <c r="G188" i="27"/>
  <c r="H188" i="27"/>
  <c r="I188" i="27"/>
  <c r="J188" i="27"/>
  <c r="K188" i="27"/>
  <c r="L188" i="27"/>
  <c r="M188" i="27"/>
  <c r="N188" i="27"/>
  <c r="D189" i="27"/>
  <c r="E189" i="27"/>
  <c r="F189" i="27"/>
  <c r="G189" i="27"/>
  <c r="H189" i="27"/>
  <c r="I189" i="27"/>
  <c r="N189" i="27" s="1"/>
  <c r="J189" i="27"/>
  <c r="K189" i="27"/>
  <c r="L189" i="27"/>
  <c r="M189" i="27"/>
  <c r="D190" i="27"/>
  <c r="E190" i="27"/>
  <c r="F190" i="27"/>
  <c r="G190" i="27"/>
  <c r="N190" i="27" s="1"/>
  <c r="H190" i="27"/>
  <c r="I190" i="27"/>
  <c r="J190" i="27"/>
  <c r="K190" i="27"/>
  <c r="L190" i="27"/>
  <c r="M190" i="27"/>
  <c r="D191" i="27"/>
  <c r="N191" i="27" s="1"/>
  <c r="E191" i="27"/>
  <c r="F191" i="27"/>
  <c r="G191" i="27"/>
  <c r="H191" i="27"/>
  <c r="I191" i="27"/>
  <c r="J191" i="27"/>
  <c r="K191" i="27"/>
  <c r="L191" i="27"/>
  <c r="M191" i="27"/>
  <c r="D192" i="27"/>
  <c r="N192" i="27" s="1"/>
  <c r="E192" i="27"/>
  <c r="F192" i="27"/>
  <c r="G192" i="27"/>
  <c r="H192" i="27"/>
  <c r="I192" i="27"/>
  <c r="J192" i="27"/>
  <c r="K192" i="27"/>
  <c r="L192" i="27"/>
  <c r="M192" i="27"/>
  <c r="D193" i="27"/>
  <c r="E193" i="27"/>
  <c r="F193" i="27"/>
  <c r="N193" i="27" s="1"/>
  <c r="G193" i="27"/>
  <c r="H193" i="27"/>
  <c r="I193" i="27"/>
  <c r="J193" i="27"/>
  <c r="K193" i="27"/>
  <c r="L193" i="27"/>
  <c r="M193" i="27"/>
  <c r="D194" i="27"/>
  <c r="N194" i="27" s="1"/>
  <c r="E194" i="27"/>
  <c r="F194" i="27"/>
  <c r="G194" i="27"/>
  <c r="H194" i="27"/>
  <c r="I194" i="27"/>
  <c r="J194" i="27"/>
  <c r="K194" i="27"/>
  <c r="L194" i="27"/>
  <c r="M194" i="27"/>
  <c r="D195" i="27"/>
  <c r="E195" i="27"/>
  <c r="F195" i="27"/>
  <c r="G195" i="27"/>
  <c r="N195" i="27" s="1"/>
  <c r="H195" i="27"/>
  <c r="I195" i="27"/>
  <c r="J195" i="27"/>
  <c r="K195" i="27"/>
  <c r="L195" i="27"/>
  <c r="M195" i="27"/>
  <c r="D196" i="27"/>
  <c r="E196" i="27"/>
  <c r="N196" i="27" s="1"/>
  <c r="F196" i="27"/>
  <c r="G196" i="27"/>
  <c r="H196" i="27"/>
  <c r="I196" i="27"/>
  <c r="J196" i="27"/>
  <c r="K196" i="27"/>
  <c r="L196" i="27"/>
  <c r="M196" i="27"/>
  <c r="D197" i="27"/>
  <c r="N197" i="27" s="1"/>
  <c r="E197" i="27"/>
  <c r="F197" i="27"/>
  <c r="G197" i="27"/>
  <c r="H197" i="27"/>
  <c r="I197" i="27"/>
  <c r="J197" i="27"/>
  <c r="K197" i="27"/>
  <c r="L197" i="27"/>
  <c r="M197" i="27"/>
  <c r="D198" i="27"/>
  <c r="E198" i="27"/>
  <c r="F198" i="27"/>
  <c r="N198" i="27" s="1"/>
  <c r="G198" i="27"/>
  <c r="H198" i="27"/>
  <c r="I198" i="27"/>
  <c r="J198" i="27"/>
  <c r="K198" i="27"/>
  <c r="L198" i="27"/>
  <c r="M198" i="27"/>
  <c r="D199" i="27"/>
  <c r="N199" i="27" s="1"/>
  <c r="E199" i="27"/>
  <c r="F199" i="27"/>
  <c r="G199" i="27"/>
  <c r="H199" i="27"/>
  <c r="I199" i="27"/>
  <c r="J199" i="27"/>
  <c r="K199" i="27"/>
  <c r="L199" i="27"/>
  <c r="M199" i="27"/>
  <c r="D200" i="27"/>
  <c r="N200" i="27" s="1"/>
  <c r="E200" i="27"/>
  <c r="F200" i="27"/>
  <c r="G200" i="27"/>
  <c r="H200" i="27"/>
  <c r="I200" i="27"/>
  <c r="J200" i="27"/>
  <c r="K200" i="27"/>
  <c r="L200" i="27"/>
  <c r="M200" i="27"/>
  <c r="D201" i="27"/>
  <c r="E201" i="27"/>
  <c r="F201" i="27"/>
  <c r="G201" i="27"/>
  <c r="H201" i="27"/>
  <c r="I201" i="27"/>
  <c r="J201" i="27"/>
  <c r="K201" i="27"/>
  <c r="L201" i="27"/>
  <c r="M201" i="27"/>
  <c r="N201" i="27"/>
  <c r="D202" i="27"/>
  <c r="N202" i="27" s="1"/>
  <c r="E202" i="27"/>
  <c r="F202" i="27"/>
  <c r="G202" i="27"/>
  <c r="H202" i="27"/>
  <c r="I202" i="27"/>
  <c r="J202" i="27"/>
  <c r="K202" i="27"/>
  <c r="L202" i="27"/>
  <c r="M202" i="27"/>
  <c r="D203" i="27"/>
  <c r="N203" i="27" s="1"/>
  <c r="E203" i="27"/>
  <c r="F203" i="27"/>
  <c r="G203" i="27"/>
  <c r="H203" i="27"/>
  <c r="I203" i="27"/>
  <c r="J203" i="27"/>
  <c r="K203" i="27"/>
  <c r="L203" i="27"/>
  <c r="M203" i="27"/>
  <c r="E28" i="27"/>
  <c r="E204" i="27" s="1"/>
  <c r="E27" i="27" s="1"/>
  <c r="F28" i="27"/>
  <c r="F204" i="27" s="1"/>
  <c r="F27" i="27" s="1"/>
  <c r="G28" i="27"/>
  <c r="G204" i="27" s="1"/>
  <c r="G27" i="27" s="1"/>
  <c r="H28" i="27"/>
  <c r="I28" i="27"/>
  <c r="I204" i="27" s="1"/>
  <c r="I27" i="27" s="1"/>
  <c r="J28" i="27"/>
  <c r="J204" i="27" s="1"/>
  <c r="J27" i="27" s="1"/>
  <c r="K28" i="27"/>
  <c r="K204" i="27" s="1"/>
  <c r="K27" i="27" s="1"/>
  <c r="L28" i="27"/>
  <c r="L204" i="27" s="1"/>
  <c r="L27" i="27" s="1"/>
  <c r="M28" i="27"/>
  <c r="M204" i="27" s="1"/>
  <c r="M27" i="27" s="1"/>
  <c r="D28" i="27"/>
  <c r="N28" i="27" s="1"/>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D204" i="27" l="1"/>
  <c r="D27" i="27" s="1"/>
  <c r="N204" i="27"/>
  <c r="N27" i="27" s="1"/>
  <c r="C28" i="27"/>
  <c r="B12" i="27"/>
  <c r="Q21" i="27"/>
  <c r="R16" i="27" s="1"/>
  <c r="B16" i="27"/>
  <c r="R17" i="27" l="1"/>
  <c r="R15" i="27"/>
  <c r="R20" i="27"/>
  <c r="R19" i="27"/>
  <c r="R18" i="27"/>
  <c r="B27" i="27"/>
  <c r="B204" i="27" s="1"/>
  <c r="B20" i="35"/>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8" i="27"/>
  <c r="B21" i="35"/>
  <c r="D25" i="27"/>
  <c r="C26" i="27"/>
  <c r="C25" i="27"/>
  <c r="B14" i="27"/>
  <c r="N2" i="27"/>
  <c r="O21" i="27" l="1"/>
  <c r="P16" i="27" s="1"/>
  <c r="P20" i="27" l="1"/>
  <c r="P19" i="27"/>
  <c r="P15" i="27"/>
  <c r="P17" i="27"/>
  <c r="P18" i="27"/>
  <c r="F10" i="23"/>
  <c r="N12" i="23"/>
  <c r="M12" i="23"/>
  <c r="L12" i="23"/>
  <c r="K12" i="23"/>
  <c r="N2" i="23"/>
  <c r="B9" i="29" l="1"/>
  <c r="K13" i="22" l="1"/>
  <c r="D4" i="23" l="1"/>
  <c r="L12" i="22"/>
  <c r="B4" i="26"/>
  <c r="C11" i="37" l="1"/>
  <c r="C4" i="32"/>
  <c r="B24" i="37"/>
  <c r="L3810" i="33" l="1"/>
  <c r="K3810" i="33"/>
  <c r="J3810" i="33"/>
  <c r="I3810" i="33"/>
  <c r="H3810" i="33"/>
  <c r="G3810" i="33"/>
  <c r="F3810" i="33"/>
  <c r="E3810" i="33"/>
  <c r="D3810" i="33"/>
  <c r="C3810" i="33"/>
  <c r="L3809" i="33"/>
  <c r="K3809" i="33"/>
  <c r="J3809" i="33"/>
  <c r="I3809" i="33"/>
  <c r="H3809" i="33"/>
  <c r="G3809" i="33"/>
  <c r="F3809" i="33"/>
  <c r="E3809" i="33"/>
  <c r="D3809" i="33"/>
  <c r="C3809" i="33"/>
  <c r="L3758" i="33"/>
  <c r="K3758" i="33"/>
  <c r="J3758" i="33"/>
  <c r="I3758" i="33"/>
  <c r="H3758" i="33"/>
  <c r="G3758" i="33"/>
  <c r="F3758" i="33"/>
  <c r="E3758" i="33"/>
  <c r="D3758" i="33"/>
  <c r="C3758" i="33"/>
  <c r="L3757" i="33"/>
  <c r="K3757" i="33"/>
  <c r="J3757" i="33"/>
  <c r="I3757" i="33"/>
  <c r="H3757" i="33"/>
  <c r="G3757" i="33"/>
  <c r="F3757" i="33"/>
  <c r="E3757" i="33"/>
  <c r="D3757" i="33"/>
  <c r="C3757" i="33"/>
  <c r="L3706" i="33"/>
  <c r="K3706" i="33"/>
  <c r="J3706" i="33"/>
  <c r="I3706" i="33"/>
  <c r="H3706" i="33"/>
  <c r="G3706" i="33"/>
  <c r="F3706" i="33"/>
  <c r="E3706" i="33"/>
  <c r="D3706" i="33"/>
  <c r="C3706" i="33"/>
  <c r="L3705" i="33"/>
  <c r="K3705" i="33"/>
  <c r="J3705" i="33"/>
  <c r="I3705" i="33"/>
  <c r="H3705" i="33"/>
  <c r="G3705" i="33"/>
  <c r="F3705" i="33"/>
  <c r="E3705" i="33"/>
  <c r="D3705" i="33"/>
  <c r="C3705" i="33"/>
  <c r="L3654" i="33"/>
  <c r="K3654" i="33"/>
  <c r="J3654" i="33"/>
  <c r="I3654" i="33"/>
  <c r="H3654" i="33"/>
  <c r="G3654" i="33"/>
  <c r="F3654" i="33"/>
  <c r="E3654" i="33"/>
  <c r="D3654" i="33"/>
  <c r="C3654" i="33"/>
  <c r="L3653" i="33"/>
  <c r="K3653" i="33"/>
  <c r="J3653" i="33"/>
  <c r="I3653" i="33"/>
  <c r="H3653" i="33"/>
  <c r="G3653" i="33"/>
  <c r="F3653" i="33"/>
  <c r="E3653" i="33"/>
  <c r="D3653" i="33"/>
  <c r="C3653" i="33"/>
  <c r="L3602" i="33"/>
  <c r="K3602" i="33"/>
  <c r="J3602" i="33"/>
  <c r="I3602" i="33"/>
  <c r="H3602" i="33"/>
  <c r="G3602" i="33"/>
  <c r="F3602" i="33"/>
  <c r="E3602" i="33"/>
  <c r="D3602" i="33"/>
  <c r="C3602" i="33"/>
  <c r="L3601" i="33"/>
  <c r="K3601" i="33"/>
  <c r="J3601" i="33"/>
  <c r="I3601" i="33"/>
  <c r="H3601" i="33"/>
  <c r="G3601" i="33"/>
  <c r="F3601" i="33"/>
  <c r="E3601" i="33"/>
  <c r="D3601" i="33"/>
  <c r="C3601" i="33"/>
  <c r="L3550" i="33"/>
  <c r="K3550" i="33"/>
  <c r="J3550" i="33"/>
  <c r="I3550" i="33"/>
  <c r="H3550" i="33"/>
  <c r="G3550" i="33"/>
  <c r="F3550" i="33"/>
  <c r="E3550" i="33"/>
  <c r="D3550" i="33"/>
  <c r="C3550" i="33"/>
  <c r="L3549" i="33"/>
  <c r="K3549" i="33"/>
  <c r="J3549" i="33"/>
  <c r="I3549" i="33"/>
  <c r="H3549" i="33"/>
  <c r="G3549" i="33"/>
  <c r="F3549" i="33"/>
  <c r="E3549" i="33"/>
  <c r="D3549" i="33"/>
  <c r="C3549" i="33"/>
  <c r="L3498" i="33"/>
  <c r="K3498" i="33"/>
  <c r="J3498" i="33"/>
  <c r="I3498" i="33"/>
  <c r="H3498" i="33"/>
  <c r="G3498" i="33"/>
  <c r="F3498" i="33"/>
  <c r="E3498" i="33"/>
  <c r="D3498" i="33"/>
  <c r="C3498" i="33"/>
  <c r="L3497" i="33"/>
  <c r="K3497" i="33"/>
  <c r="J3497" i="33"/>
  <c r="I3497" i="33"/>
  <c r="H3497" i="33"/>
  <c r="G3497" i="33"/>
  <c r="F3497" i="33"/>
  <c r="E3497" i="33"/>
  <c r="D3497" i="33"/>
  <c r="C3497" i="33"/>
  <c r="L3446" i="33"/>
  <c r="K3446" i="33"/>
  <c r="J3446" i="33"/>
  <c r="I3446" i="33"/>
  <c r="H3446" i="33"/>
  <c r="G3446" i="33"/>
  <c r="F3446" i="33"/>
  <c r="E3446" i="33"/>
  <c r="D3446" i="33"/>
  <c r="C3446" i="33"/>
  <c r="L3445" i="33"/>
  <c r="K3445" i="33"/>
  <c r="J3445" i="33"/>
  <c r="I3445" i="33"/>
  <c r="H3445" i="33"/>
  <c r="G3445" i="33"/>
  <c r="F3445" i="33"/>
  <c r="E3445" i="33"/>
  <c r="D3445" i="33"/>
  <c r="C3445" i="33"/>
  <c r="L3394" i="33"/>
  <c r="K3394" i="33"/>
  <c r="J3394" i="33"/>
  <c r="I3394" i="33"/>
  <c r="H3394" i="33"/>
  <c r="G3394" i="33"/>
  <c r="F3394" i="33"/>
  <c r="E3394" i="33"/>
  <c r="D3394" i="33"/>
  <c r="C3394" i="33"/>
  <c r="L3393" i="33"/>
  <c r="K3393" i="33"/>
  <c r="J3393" i="33"/>
  <c r="I3393" i="33"/>
  <c r="H3393" i="33"/>
  <c r="G3393" i="33"/>
  <c r="F3393" i="33"/>
  <c r="E3393" i="33"/>
  <c r="D3393" i="33"/>
  <c r="C3393" i="33"/>
  <c r="L3342" i="33"/>
  <c r="K3342" i="33"/>
  <c r="J3342" i="33"/>
  <c r="I3342" i="33"/>
  <c r="H3342" i="33"/>
  <c r="G3342" i="33"/>
  <c r="F3342" i="33"/>
  <c r="E3342" i="33"/>
  <c r="D3342" i="33"/>
  <c r="C3342" i="33"/>
  <c r="L3341" i="33"/>
  <c r="K3341" i="33"/>
  <c r="J3341" i="33"/>
  <c r="I3341" i="33"/>
  <c r="H3341" i="33"/>
  <c r="G3341" i="33"/>
  <c r="F3341" i="33"/>
  <c r="E3341" i="33"/>
  <c r="D3341" i="33"/>
  <c r="C3341" i="33"/>
  <c r="L3290" i="33"/>
  <c r="K3290" i="33"/>
  <c r="J3290" i="33"/>
  <c r="I3290" i="33"/>
  <c r="H3290" i="33"/>
  <c r="G3290" i="33"/>
  <c r="F3290" i="33"/>
  <c r="E3290" i="33"/>
  <c r="D3290" i="33"/>
  <c r="C3290" i="33"/>
  <c r="L3289" i="33"/>
  <c r="K3289" i="33"/>
  <c r="J3289" i="33"/>
  <c r="I3289" i="33"/>
  <c r="H3289" i="33"/>
  <c r="G3289" i="33"/>
  <c r="F3289" i="33"/>
  <c r="E3289" i="33"/>
  <c r="D3289" i="33"/>
  <c r="C3289" i="33"/>
  <c r="L3238" i="33"/>
  <c r="K3238" i="33"/>
  <c r="J3238" i="33"/>
  <c r="I3238" i="33"/>
  <c r="H3238" i="33"/>
  <c r="G3238" i="33"/>
  <c r="F3238" i="33"/>
  <c r="E3238" i="33"/>
  <c r="D3238" i="33"/>
  <c r="C3238" i="33"/>
  <c r="L3237" i="33"/>
  <c r="K3237" i="33"/>
  <c r="J3237" i="33"/>
  <c r="I3237" i="33"/>
  <c r="H3237" i="33"/>
  <c r="G3237" i="33"/>
  <c r="F3237" i="33"/>
  <c r="E3237" i="33"/>
  <c r="D3237" i="33"/>
  <c r="C3237" i="33"/>
  <c r="L3186" i="33"/>
  <c r="K3186" i="33"/>
  <c r="J3186" i="33"/>
  <c r="I3186" i="33"/>
  <c r="H3186" i="33"/>
  <c r="G3186" i="33"/>
  <c r="F3186" i="33"/>
  <c r="E3186" i="33"/>
  <c r="D3186" i="33"/>
  <c r="C3186" i="33"/>
  <c r="L3185" i="33"/>
  <c r="K3185" i="33"/>
  <c r="J3185" i="33"/>
  <c r="I3185" i="33"/>
  <c r="H3185" i="33"/>
  <c r="G3185" i="33"/>
  <c r="F3185" i="33"/>
  <c r="E3185" i="33"/>
  <c r="D3185" i="33"/>
  <c r="C3185" i="33"/>
  <c r="L3134" i="33"/>
  <c r="K3134" i="33"/>
  <c r="J3134" i="33"/>
  <c r="I3134" i="33"/>
  <c r="H3134" i="33"/>
  <c r="G3134" i="33"/>
  <c r="F3134" i="33"/>
  <c r="E3134" i="33"/>
  <c r="D3134" i="33"/>
  <c r="C3134" i="33"/>
  <c r="L3133" i="33"/>
  <c r="K3133" i="33"/>
  <c r="J3133" i="33"/>
  <c r="I3133" i="33"/>
  <c r="H3133" i="33"/>
  <c r="G3133" i="33"/>
  <c r="F3133" i="33"/>
  <c r="E3133" i="33"/>
  <c r="D3133" i="33"/>
  <c r="C3133" i="33"/>
  <c r="L3082" i="33"/>
  <c r="K3082" i="33"/>
  <c r="J3082" i="33"/>
  <c r="I3082" i="33"/>
  <c r="H3082" i="33"/>
  <c r="G3082" i="33"/>
  <c r="F3082" i="33"/>
  <c r="E3082" i="33"/>
  <c r="D3082" i="33"/>
  <c r="C3082" i="33"/>
  <c r="L3081" i="33"/>
  <c r="K3081" i="33"/>
  <c r="J3081" i="33"/>
  <c r="I3081" i="33"/>
  <c r="H3081" i="33"/>
  <c r="G3081" i="33"/>
  <c r="F3081" i="33"/>
  <c r="E3081" i="33"/>
  <c r="D3081" i="33"/>
  <c r="C3081" i="33"/>
  <c r="L3030" i="33"/>
  <c r="K3030" i="33"/>
  <c r="J3030" i="33"/>
  <c r="I3030" i="33"/>
  <c r="H3030" i="33"/>
  <c r="G3030" i="33"/>
  <c r="F3030" i="33"/>
  <c r="E3030" i="33"/>
  <c r="D3030" i="33"/>
  <c r="C3030" i="33"/>
  <c r="L3029" i="33"/>
  <c r="K3029" i="33"/>
  <c r="J3029" i="33"/>
  <c r="I3029" i="33"/>
  <c r="H3029" i="33"/>
  <c r="G3029" i="33"/>
  <c r="F3029" i="33"/>
  <c r="E3029" i="33"/>
  <c r="D3029" i="33"/>
  <c r="C3029" i="33"/>
  <c r="L2978" i="33"/>
  <c r="K2978" i="33"/>
  <c r="J2978" i="33"/>
  <c r="I2978" i="33"/>
  <c r="H2978" i="33"/>
  <c r="G2978" i="33"/>
  <c r="F2978" i="33"/>
  <c r="E2978" i="33"/>
  <c r="D2978" i="33"/>
  <c r="C2978" i="33"/>
  <c r="L2977" i="33"/>
  <c r="K2977" i="33"/>
  <c r="J2977" i="33"/>
  <c r="I2977" i="33"/>
  <c r="H2977" i="33"/>
  <c r="G2977" i="33"/>
  <c r="F2977" i="33"/>
  <c r="E2977" i="33"/>
  <c r="D2977" i="33"/>
  <c r="C2977" i="33"/>
  <c r="L2926" i="33"/>
  <c r="K2926" i="33"/>
  <c r="J2926" i="33"/>
  <c r="I2926" i="33"/>
  <c r="H2926" i="33"/>
  <c r="G2926" i="33"/>
  <c r="F2926" i="33"/>
  <c r="E2926" i="33"/>
  <c r="D2926" i="33"/>
  <c r="C2926" i="33"/>
  <c r="L2925" i="33"/>
  <c r="K2925" i="33"/>
  <c r="J2925" i="33"/>
  <c r="I2925" i="33"/>
  <c r="H2925" i="33"/>
  <c r="G2925" i="33"/>
  <c r="F2925" i="33"/>
  <c r="E2925" i="33"/>
  <c r="D2925" i="33"/>
  <c r="C2925" i="33"/>
  <c r="L2874" i="33"/>
  <c r="K2874" i="33"/>
  <c r="J2874" i="33"/>
  <c r="I2874" i="33"/>
  <c r="H2874" i="33"/>
  <c r="G2874" i="33"/>
  <c r="F2874" i="33"/>
  <c r="E2874" i="33"/>
  <c r="D2874" i="33"/>
  <c r="C2874" i="33"/>
  <c r="L2873" i="33"/>
  <c r="K2873" i="33"/>
  <c r="J2873" i="33"/>
  <c r="I2873" i="33"/>
  <c r="H2873" i="33"/>
  <c r="G2873" i="33"/>
  <c r="F2873" i="33"/>
  <c r="E2873" i="33"/>
  <c r="D2873" i="33"/>
  <c r="C2873" i="33"/>
  <c r="L2822" i="33"/>
  <c r="K2822" i="33"/>
  <c r="J2822" i="33"/>
  <c r="I2822" i="33"/>
  <c r="H2822" i="33"/>
  <c r="G2822" i="33"/>
  <c r="F2822" i="33"/>
  <c r="E2822" i="33"/>
  <c r="D2822" i="33"/>
  <c r="C2822" i="33"/>
  <c r="L2821" i="33"/>
  <c r="K2821" i="33"/>
  <c r="J2821" i="33"/>
  <c r="I2821" i="33"/>
  <c r="H2821" i="33"/>
  <c r="G2821" i="33"/>
  <c r="F2821" i="33"/>
  <c r="E2821" i="33"/>
  <c r="D2821" i="33"/>
  <c r="C2821" i="33"/>
  <c r="L2770" i="33"/>
  <c r="K2770" i="33"/>
  <c r="J2770" i="33"/>
  <c r="I2770" i="33"/>
  <c r="H2770" i="33"/>
  <c r="G2770" i="33"/>
  <c r="F2770" i="33"/>
  <c r="E2770" i="33"/>
  <c r="D2770" i="33"/>
  <c r="C2770" i="33"/>
  <c r="L2769" i="33"/>
  <c r="K2769" i="33"/>
  <c r="J2769" i="33"/>
  <c r="I2769" i="33"/>
  <c r="H2769" i="33"/>
  <c r="G2769" i="33"/>
  <c r="F2769" i="33"/>
  <c r="E2769" i="33"/>
  <c r="D2769" i="33"/>
  <c r="C2769" i="33"/>
  <c r="L2718" i="33"/>
  <c r="K2718" i="33"/>
  <c r="J2718" i="33"/>
  <c r="I2718" i="33"/>
  <c r="H2718" i="33"/>
  <c r="G2718" i="33"/>
  <c r="F2718" i="33"/>
  <c r="E2718" i="33"/>
  <c r="D2718" i="33"/>
  <c r="C2718" i="33"/>
  <c r="L2717" i="33"/>
  <c r="K2717" i="33"/>
  <c r="J2717" i="33"/>
  <c r="I2717" i="33"/>
  <c r="H2717" i="33"/>
  <c r="G2717" i="33"/>
  <c r="F2717" i="33"/>
  <c r="E2717" i="33"/>
  <c r="D2717" i="33"/>
  <c r="C2717" i="33"/>
  <c r="L2666" i="33"/>
  <c r="K2666" i="33"/>
  <c r="J2666" i="33"/>
  <c r="I2666" i="33"/>
  <c r="H2666" i="33"/>
  <c r="G2666" i="33"/>
  <c r="F2666" i="33"/>
  <c r="E2666" i="33"/>
  <c r="D2666" i="33"/>
  <c r="C2666" i="33"/>
  <c r="L2665" i="33"/>
  <c r="K2665" i="33"/>
  <c r="J2665" i="33"/>
  <c r="I2665" i="33"/>
  <c r="H2665" i="33"/>
  <c r="G2665" i="33"/>
  <c r="F2665" i="33"/>
  <c r="E2665" i="33"/>
  <c r="D2665" i="33"/>
  <c r="C2665" i="33"/>
  <c r="L2614" i="33"/>
  <c r="K2614" i="33"/>
  <c r="J2614" i="33"/>
  <c r="I2614" i="33"/>
  <c r="H2614" i="33"/>
  <c r="G2614" i="33"/>
  <c r="F2614" i="33"/>
  <c r="E2614" i="33"/>
  <c r="D2614" i="33"/>
  <c r="C2614" i="33"/>
  <c r="L2613" i="33"/>
  <c r="K2613" i="33"/>
  <c r="J2613" i="33"/>
  <c r="I2613" i="33"/>
  <c r="H2613" i="33"/>
  <c r="G2613" i="33"/>
  <c r="F2613" i="33"/>
  <c r="E2613" i="33"/>
  <c r="D2613" i="33"/>
  <c r="C2613" i="33"/>
  <c r="L2562" i="33"/>
  <c r="K2562" i="33"/>
  <c r="J2562" i="33"/>
  <c r="I2562" i="33"/>
  <c r="H2562" i="33"/>
  <c r="G2562" i="33"/>
  <c r="F2562" i="33"/>
  <c r="E2562" i="33"/>
  <c r="D2562" i="33"/>
  <c r="C2562" i="33"/>
  <c r="L2561" i="33"/>
  <c r="K2561" i="33"/>
  <c r="J2561" i="33"/>
  <c r="I2561" i="33"/>
  <c r="H2561" i="33"/>
  <c r="G2561" i="33"/>
  <c r="F2561" i="33"/>
  <c r="E2561" i="33"/>
  <c r="D2561" i="33"/>
  <c r="C2561" i="33"/>
  <c r="L2510" i="33"/>
  <c r="K2510" i="33"/>
  <c r="J2510" i="33"/>
  <c r="I2510" i="33"/>
  <c r="H2510" i="33"/>
  <c r="G2510" i="33"/>
  <c r="F2510" i="33"/>
  <c r="E2510" i="33"/>
  <c r="D2510" i="33"/>
  <c r="C2510" i="33"/>
  <c r="L2509" i="33"/>
  <c r="K2509" i="33"/>
  <c r="J2509" i="33"/>
  <c r="I2509" i="33"/>
  <c r="H2509" i="33"/>
  <c r="G2509" i="33"/>
  <c r="F2509" i="33"/>
  <c r="E2509" i="33"/>
  <c r="D2509" i="33"/>
  <c r="C2509" i="33"/>
  <c r="L2458" i="33"/>
  <c r="K2458" i="33"/>
  <c r="J2458" i="33"/>
  <c r="I2458" i="33"/>
  <c r="H2458" i="33"/>
  <c r="G2458" i="33"/>
  <c r="F2458" i="33"/>
  <c r="E2458" i="33"/>
  <c r="D2458" i="33"/>
  <c r="C2458" i="33"/>
  <c r="L2457" i="33"/>
  <c r="K2457" i="33"/>
  <c r="J2457" i="33"/>
  <c r="I2457" i="33"/>
  <c r="H2457" i="33"/>
  <c r="G2457" i="33"/>
  <c r="F2457" i="33"/>
  <c r="E2457" i="33"/>
  <c r="D2457" i="33"/>
  <c r="C2457" i="33"/>
  <c r="L2406" i="33"/>
  <c r="K2406" i="33"/>
  <c r="J2406" i="33"/>
  <c r="I2406" i="33"/>
  <c r="H2406" i="33"/>
  <c r="G2406" i="33"/>
  <c r="F2406" i="33"/>
  <c r="E2406" i="33"/>
  <c r="D2406" i="33"/>
  <c r="C2406" i="33"/>
  <c r="L2405" i="33"/>
  <c r="K2405" i="33"/>
  <c r="J2405" i="33"/>
  <c r="I2405" i="33"/>
  <c r="H2405" i="33"/>
  <c r="G2405" i="33"/>
  <c r="F2405" i="33"/>
  <c r="E2405" i="33"/>
  <c r="D2405" i="33"/>
  <c r="C2405" i="33"/>
  <c r="L2354" i="33"/>
  <c r="K2354" i="33"/>
  <c r="J2354" i="33"/>
  <c r="I2354" i="33"/>
  <c r="H2354" i="33"/>
  <c r="G2354" i="33"/>
  <c r="F2354" i="33"/>
  <c r="E2354" i="33"/>
  <c r="D2354" i="33"/>
  <c r="C2354" i="33"/>
  <c r="L2353" i="33"/>
  <c r="K2353" i="33"/>
  <c r="J2353" i="33"/>
  <c r="I2353" i="33"/>
  <c r="H2353" i="33"/>
  <c r="G2353" i="33"/>
  <c r="F2353" i="33"/>
  <c r="E2353" i="33"/>
  <c r="D2353" i="33"/>
  <c r="C2353" i="33"/>
  <c r="D2301" i="33"/>
  <c r="E2301" i="33"/>
  <c r="F2301" i="33"/>
  <c r="G2301" i="33"/>
  <c r="H2301" i="33"/>
  <c r="I2301" i="33"/>
  <c r="J2301" i="33"/>
  <c r="K2301" i="33"/>
  <c r="L2301" i="33"/>
  <c r="C2301" i="33"/>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197" i="35"/>
  <c r="N14" i="35"/>
  <c r="N13" i="35"/>
  <c r="N12" i="35"/>
  <c r="N11" i="35"/>
  <c r="N10" i="35"/>
  <c r="O9" i="35"/>
  <c r="C4" i="35"/>
  <c r="C4" i="27"/>
  <c r="O2" i="35"/>
  <c r="B20" i="27"/>
  <c r="B19" i="27"/>
  <c r="B18" i="27"/>
  <c r="B17" i="27"/>
  <c r="B15" i="27"/>
  <c r="D2" i="24"/>
  <c r="C4" i="34"/>
  <c r="B1111" i="34"/>
  <c r="B1108" i="34"/>
  <c r="B1107" i="34"/>
  <c r="B1106" i="34"/>
  <c r="B1105" i="34"/>
  <c r="B1104" i="34"/>
  <c r="B1103" i="34"/>
  <c r="B1095" i="34"/>
  <c r="B1094" i="34"/>
  <c r="B1093" i="34"/>
  <c r="B1090" i="34"/>
  <c r="B1089" i="34"/>
  <c r="B1088" i="34"/>
  <c r="B1087" i="34"/>
  <c r="B1086" i="34"/>
  <c r="B1085" i="34"/>
  <c r="B1083" i="34"/>
  <c r="B1059" i="34"/>
  <c r="B1056" i="34"/>
  <c r="B1055" i="34"/>
  <c r="B1054" i="34"/>
  <c r="B1053" i="34"/>
  <c r="B1052" i="34"/>
  <c r="B1051" i="34"/>
  <c r="B1043" i="34"/>
  <c r="B1042" i="34"/>
  <c r="B1041" i="34"/>
  <c r="B1038" i="34"/>
  <c r="B1037" i="34"/>
  <c r="B1036" i="34"/>
  <c r="B1035" i="34"/>
  <c r="B1034" i="34"/>
  <c r="B1033" i="34"/>
  <c r="B1031" i="34"/>
  <c r="B1007" i="34"/>
  <c r="B1004" i="34"/>
  <c r="B1003" i="34"/>
  <c r="B1002" i="34"/>
  <c r="B1001" i="34"/>
  <c r="B1000" i="34"/>
  <c r="B999" i="34"/>
  <c r="B991" i="34"/>
  <c r="B990" i="34"/>
  <c r="B989" i="34"/>
  <c r="B986" i="34"/>
  <c r="B985" i="34"/>
  <c r="B984" i="34"/>
  <c r="B983" i="34"/>
  <c r="B982" i="34"/>
  <c r="B981" i="34"/>
  <c r="B979" i="34"/>
  <c r="B955" i="34"/>
  <c r="B952" i="34"/>
  <c r="B951" i="34"/>
  <c r="B950" i="34"/>
  <c r="B949" i="34"/>
  <c r="B948" i="34"/>
  <c r="B947" i="34"/>
  <c r="B939" i="34"/>
  <c r="B938" i="34"/>
  <c r="B937" i="34"/>
  <c r="B934" i="34"/>
  <c r="B933" i="34"/>
  <c r="B932" i="34"/>
  <c r="B931" i="34"/>
  <c r="B930" i="34"/>
  <c r="B929" i="34"/>
  <c r="B927" i="34"/>
  <c r="B903" i="34"/>
  <c r="B900" i="34"/>
  <c r="B899" i="34"/>
  <c r="B898" i="34"/>
  <c r="B897" i="34"/>
  <c r="B896" i="34"/>
  <c r="B895" i="34"/>
  <c r="B887" i="34"/>
  <c r="B886" i="34"/>
  <c r="B885" i="34"/>
  <c r="B882" i="34"/>
  <c r="B881" i="34"/>
  <c r="B880" i="34"/>
  <c r="B879" i="34"/>
  <c r="B878" i="34"/>
  <c r="B877" i="34"/>
  <c r="B875" i="34"/>
  <c r="B851" i="34"/>
  <c r="B848" i="34"/>
  <c r="B847" i="34"/>
  <c r="B846" i="34"/>
  <c r="B845" i="34"/>
  <c r="B844" i="34"/>
  <c r="B843" i="34"/>
  <c r="B835" i="34"/>
  <c r="B834" i="34"/>
  <c r="B833" i="34"/>
  <c r="B830" i="34"/>
  <c r="B829" i="34"/>
  <c r="B828" i="34"/>
  <c r="B827" i="34"/>
  <c r="B826" i="34"/>
  <c r="B825" i="34"/>
  <c r="B823" i="34"/>
  <c r="B799" i="34"/>
  <c r="B796" i="34"/>
  <c r="B795" i="34"/>
  <c r="B794" i="34"/>
  <c r="B793" i="34"/>
  <c r="B792" i="34"/>
  <c r="B791" i="34"/>
  <c r="B783" i="34"/>
  <c r="B782" i="34"/>
  <c r="B781" i="34"/>
  <c r="B778" i="34"/>
  <c r="B777" i="34"/>
  <c r="B776" i="34"/>
  <c r="B775" i="34"/>
  <c r="B774" i="34"/>
  <c r="B773" i="34"/>
  <c r="B771" i="34"/>
  <c r="B747" i="34"/>
  <c r="B744" i="34"/>
  <c r="B743" i="34"/>
  <c r="B742" i="34"/>
  <c r="B741" i="34"/>
  <c r="B740" i="34"/>
  <c r="B739" i="34"/>
  <c r="B731" i="34"/>
  <c r="B730" i="34"/>
  <c r="B729" i="34"/>
  <c r="B726" i="34"/>
  <c r="B725" i="34"/>
  <c r="B724" i="34"/>
  <c r="B723" i="34"/>
  <c r="B722" i="34"/>
  <c r="B721" i="34"/>
  <c r="B719" i="34"/>
  <c r="B695" i="34"/>
  <c r="B692" i="34"/>
  <c r="B691" i="34"/>
  <c r="B690" i="34"/>
  <c r="B689" i="34"/>
  <c r="B688" i="34"/>
  <c r="B687" i="34"/>
  <c r="B679" i="34"/>
  <c r="B678" i="34"/>
  <c r="B677" i="34"/>
  <c r="B674" i="34"/>
  <c r="B673" i="34"/>
  <c r="B672" i="34"/>
  <c r="B671" i="34"/>
  <c r="B670" i="34"/>
  <c r="B669" i="34"/>
  <c r="B667" i="34"/>
  <c r="B643" i="34"/>
  <c r="B640" i="34"/>
  <c r="B639" i="34"/>
  <c r="B638" i="34"/>
  <c r="B637" i="34"/>
  <c r="B636" i="34"/>
  <c r="B635" i="34"/>
  <c r="B627" i="34"/>
  <c r="B626" i="34"/>
  <c r="B625" i="34"/>
  <c r="B622" i="34"/>
  <c r="B621" i="34"/>
  <c r="B620" i="34"/>
  <c r="B619" i="34"/>
  <c r="B618" i="34"/>
  <c r="B617" i="34"/>
  <c r="B615" i="34"/>
  <c r="B591" i="34"/>
  <c r="B588" i="34"/>
  <c r="B587" i="34"/>
  <c r="B586" i="34"/>
  <c r="B585" i="34"/>
  <c r="B584" i="34"/>
  <c r="B583" i="34"/>
  <c r="B575" i="34"/>
  <c r="B574" i="34"/>
  <c r="B573" i="34"/>
  <c r="B570" i="34"/>
  <c r="B569" i="34"/>
  <c r="B568" i="34"/>
  <c r="B567" i="34"/>
  <c r="B566" i="34"/>
  <c r="B565" i="34"/>
  <c r="B563" i="34"/>
  <c r="B539" i="34"/>
  <c r="B536" i="34"/>
  <c r="B535" i="34"/>
  <c r="B534" i="34"/>
  <c r="B533" i="34"/>
  <c r="B532" i="34"/>
  <c r="B531" i="34"/>
  <c r="B523" i="34"/>
  <c r="B522" i="34"/>
  <c r="B521" i="34"/>
  <c r="B518" i="34"/>
  <c r="B517" i="34"/>
  <c r="B516" i="34"/>
  <c r="B515" i="34"/>
  <c r="B514" i="34"/>
  <c r="B513" i="34"/>
  <c r="B511" i="34"/>
  <c r="B487" i="34"/>
  <c r="B484" i="34"/>
  <c r="B483" i="34"/>
  <c r="B482" i="34"/>
  <c r="B481" i="34"/>
  <c r="B480" i="34"/>
  <c r="B479" i="34"/>
  <c r="B471" i="34"/>
  <c r="B470" i="34"/>
  <c r="B469" i="34"/>
  <c r="B466" i="34"/>
  <c r="B465" i="34"/>
  <c r="B464" i="34"/>
  <c r="B463" i="34"/>
  <c r="B462" i="34"/>
  <c r="B461" i="34"/>
  <c r="B459" i="34"/>
  <c r="B435" i="34"/>
  <c r="B432" i="34"/>
  <c r="B431" i="34"/>
  <c r="B430" i="34"/>
  <c r="B429" i="34"/>
  <c r="B428" i="34"/>
  <c r="B427" i="34"/>
  <c r="B419" i="34"/>
  <c r="B418" i="34"/>
  <c r="B417" i="34"/>
  <c r="B414" i="34"/>
  <c r="B413" i="34"/>
  <c r="B412" i="34"/>
  <c r="B411" i="34"/>
  <c r="B410" i="34"/>
  <c r="B409" i="34"/>
  <c r="B407" i="34"/>
  <c r="B383" i="34"/>
  <c r="B380" i="34"/>
  <c r="B379" i="34"/>
  <c r="B378" i="34"/>
  <c r="B377" i="34"/>
  <c r="B376" i="34"/>
  <c r="B375" i="34"/>
  <c r="B367" i="34"/>
  <c r="B366" i="34"/>
  <c r="B365" i="34"/>
  <c r="B362" i="34"/>
  <c r="B361" i="34"/>
  <c r="B360" i="34"/>
  <c r="B359" i="34"/>
  <c r="B358" i="34"/>
  <c r="B357" i="34"/>
  <c r="B355" i="34"/>
  <c r="B331" i="34"/>
  <c r="B328" i="34"/>
  <c r="B327" i="34"/>
  <c r="B326" i="34"/>
  <c r="B325" i="34"/>
  <c r="B324" i="34"/>
  <c r="B323" i="34"/>
  <c r="B315" i="34"/>
  <c r="B314" i="34"/>
  <c r="B313" i="34"/>
  <c r="B310" i="34"/>
  <c r="B309" i="34"/>
  <c r="B308" i="34"/>
  <c r="B307" i="34"/>
  <c r="B306" i="34"/>
  <c r="B305" i="34"/>
  <c r="B303" i="34"/>
  <c r="B279" i="34"/>
  <c r="B276" i="34"/>
  <c r="B275" i="34"/>
  <c r="B274" i="34"/>
  <c r="B273" i="34"/>
  <c r="B272" i="34"/>
  <c r="B271" i="34"/>
  <c r="B263" i="34"/>
  <c r="B262" i="34"/>
  <c r="B261" i="34"/>
  <c r="B258" i="34"/>
  <c r="B257" i="34"/>
  <c r="B256" i="34"/>
  <c r="B255" i="34"/>
  <c r="B254" i="34"/>
  <c r="B253" i="34"/>
  <c r="B251" i="34"/>
  <c r="B227" i="34"/>
  <c r="B224" i="34"/>
  <c r="B223" i="34"/>
  <c r="B222" i="34"/>
  <c r="B221" i="34"/>
  <c r="B220" i="34"/>
  <c r="B219" i="34"/>
  <c r="B211" i="34"/>
  <c r="B210" i="34"/>
  <c r="B209" i="34"/>
  <c r="B206" i="34"/>
  <c r="B205" i="34"/>
  <c r="B204" i="34"/>
  <c r="B203" i="34"/>
  <c r="B202" i="34"/>
  <c r="B201" i="34"/>
  <c r="B199" i="34"/>
  <c r="B175" i="34"/>
  <c r="B172" i="34"/>
  <c r="B171" i="34"/>
  <c r="B170" i="34"/>
  <c r="B169" i="34"/>
  <c r="B168" i="34"/>
  <c r="B167" i="34"/>
  <c r="B159" i="34"/>
  <c r="B158" i="34"/>
  <c r="B157" i="34"/>
  <c r="B154" i="34"/>
  <c r="B153" i="34"/>
  <c r="B152" i="34"/>
  <c r="B151" i="34"/>
  <c r="B150" i="34"/>
  <c r="B149" i="34"/>
  <c r="B147" i="34"/>
  <c r="B123" i="34"/>
  <c r="B120" i="34"/>
  <c r="B119" i="34"/>
  <c r="B118" i="34"/>
  <c r="B117" i="34"/>
  <c r="B116" i="34"/>
  <c r="B115" i="34"/>
  <c r="B107" i="34"/>
  <c r="B106" i="34"/>
  <c r="B105" i="34"/>
  <c r="B102" i="34"/>
  <c r="B101" i="34"/>
  <c r="B100" i="34"/>
  <c r="B99" i="34"/>
  <c r="B98" i="34"/>
  <c r="B97" i="34"/>
  <c r="B95" i="34"/>
  <c r="B71" i="34"/>
  <c r="B68" i="34"/>
  <c r="B67" i="34"/>
  <c r="B66" i="34"/>
  <c r="B65" i="34"/>
  <c r="B64" i="34"/>
  <c r="B63"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J13" i="34"/>
  <c r="E13" i="34"/>
  <c r="C13"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6" i="33"/>
  <c r="B525" i="33"/>
  <c r="B524" i="33"/>
  <c r="B521" i="33"/>
  <c r="B520" i="33"/>
  <c r="B519" i="33"/>
  <c r="B518" i="33"/>
  <c r="B517" i="33"/>
  <c r="B516" i="33"/>
  <c r="B514" i="33"/>
  <c r="B1199" i="33"/>
  <c r="B1198" i="33"/>
  <c r="B1197" i="33"/>
  <c r="B1196" i="33"/>
  <c r="B1195" i="33"/>
  <c r="B1194" i="33"/>
  <c r="B1186" i="33"/>
  <c r="B1185" i="33"/>
  <c r="B1184" i="33"/>
  <c r="B1181" i="33"/>
  <c r="B1180" i="33"/>
  <c r="B1179" i="33"/>
  <c r="B1178" i="33"/>
  <c r="B1177" i="33"/>
  <c r="B1176" i="33"/>
  <c r="B1174" i="33"/>
  <c r="B1859" i="33"/>
  <c r="B1858" i="33"/>
  <c r="B1857" i="33"/>
  <c r="B1856" i="33"/>
  <c r="B1855" i="33"/>
  <c r="B1854" i="33"/>
  <c r="B1846" i="33"/>
  <c r="B1845" i="33"/>
  <c r="B1844" i="33"/>
  <c r="B1841" i="33"/>
  <c r="B1840" i="33"/>
  <c r="B1839" i="33"/>
  <c r="B1838" i="33"/>
  <c r="B1837" i="33"/>
  <c r="B1836" i="33"/>
  <c r="B1834" i="33"/>
  <c r="B2103" i="33"/>
  <c r="B2102" i="33"/>
  <c r="B2101" i="33"/>
  <c r="B2100" i="33"/>
  <c r="B2099" i="33"/>
  <c r="B2098" i="33"/>
  <c r="B2090" i="33"/>
  <c r="B2089" i="33"/>
  <c r="B2088" i="33"/>
  <c r="B2085" i="33"/>
  <c r="B2084" i="33"/>
  <c r="B2083" i="33"/>
  <c r="B2082" i="33"/>
  <c r="B2081" i="33"/>
  <c r="B2080" i="33"/>
  <c r="B2078" i="33"/>
  <c r="B2243" i="33"/>
  <c r="B2242" i="33"/>
  <c r="B2241" i="33"/>
  <c r="B2240" i="33"/>
  <c r="B2239" i="33"/>
  <c r="B2238" i="33"/>
  <c r="B2230" i="33"/>
  <c r="B2229" i="33"/>
  <c r="B2228" i="33"/>
  <c r="B2225" i="33"/>
  <c r="B2224" i="33"/>
  <c r="B2223" i="33"/>
  <c r="B2222" i="33"/>
  <c r="B2221" i="33"/>
  <c r="B2220" i="33"/>
  <c r="B2218" i="33"/>
  <c r="B2279" i="33"/>
  <c r="B2278" i="33"/>
  <c r="B2277" i="33"/>
  <c r="B2276" i="33"/>
  <c r="B2275" i="33"/>
  <c r="B2274" i="33"/>
  <c r="B2266" i="33"/>
  <c r="B2265" i="33"/>
  <c r="B2264" i="33"/>
  <c r="B2261" i="33"/>
  <c r="B2260" i="33"/>
  <c r="B2259" i="33"/>
  <c r="B2258" i="33"/>
  <c r="B2257" i="33"/>
  <c r="B2256" i="33"/>
  <c r="B2254" i="33"/>
  <c r="B3909" i="33"/>
  <c r="B3908" i="33"/>
  <c r="B3907" i="33"/>
  <c r="B3906" i="33"/>
  <c r="B3905" i="33"/>
  <c r="B3904" i="33"/>
  <c r="B3896" i="33"/>
  <c r="B3895" i="33"/>
  <c r="B3894" i="33"/>
  <c r="B3891" i="33"/>
  <c r="B3890" i="33"/>
  <c r="B3889" i="33"/>
  <c r="B3888" i="33"/>
  <c r="B3887" i="33"/>
  <c r="B3886" i="33"/>
  <c r="B3884" i="33"/>
  <c r="B3875" i="33"/>
  <c r="B3874" i="33"/>
  <c r="B3873" i="33"/>
  <c r="B3872" i="33"/>
  <c r="B3871" i="33"/>
  <c r="B3870" i="33"/>
  <c r="B3862" i="33"/>
  <c r="B3861" i="33"/>
  <c r="B3860" i="33"/>
  <c r="B3857" i="33"/>
  <c r="B3856" i="33"/>
  <c r="B3855" i="33"/>
  <c r="B3854" i="33"/>
  <c r="B3853" i="33"/>
  <c r="B3852" i="33"/>
  <c r="B3850" i="33"/>
  <c r="B3837" i="33"/>
  <c r="B3835" i="33"/>
  <c r="B3829" i="33"/>
  <c r="B3826" i="33"/>
  <c r="B3823" i="33"/>
  <c r="B3822" i="33"/>
  <c r="B3821" i="33"/>
  <c r="B3820" i="33"/>
  <c r="B3819" i="33"/>
  <c r="B3818" i="33"/>
  <c r="B3810" i="33"/>
  <c r="B3809" i="33"/>
  <c r="B3808" i="33"/>
  <c r="B3805" i="33"/>
  <c r="B3804" i="33"/>
  <c r="B3803" i="33"/>
  <c r="B3802" i="33"/>
  <c r="B3801" i="33"/>
  <c r="B3800" i="33"/>
  <c r="B3798" i="33"/>
  <c r="B3785" i="33"/>
  <c r="B3783" i="33"/>
  <c r="B3777" i="33"/>
  <c r="B3774" i="33"/>
  <c r="B3771" i="33"/>
  <c r="B3770" i="33"/>
  <c r="B3769" i="33"/>
  <c r="B3768" i="33"/>
  <c r="B3767" i="33"/>
  <c r="B3766" i="33"/>
  <c r="B3758" i="33"/>
  <c r="B3757" i="33"/>
  <c r="B3756" i="33"/>
  <c r="B3753" i="33"/>
  <c r="B3752" i="33"/>
  <c r="B3751" i="33"/>
  <c r="B3750" i="33"/>
  <c r="B3749" i="33"/>
  <c r="B3748" i="33"/>
  <c r="B3746" i="33"/>
  <c r="B3733" i="33"/>
  <c r="B3731" i="33"/>
  <c r="B3725" i="33"/>
  <c r="B3722" i="33"/>
  <c r="B3719" i="33"/>
  <c r="B3718" i="33"/>
  <c r="B3717" i="33"/>
  <c r="B3716" i="33"/>
  <c r="B3715" i="33"/>
  <c r="B3714" i="33"/>
  <c r="B3706" i="33"/>
  <c r="B3705" i="33"/>
  <c r="B3704" i="33"/>
  <c r="B3701" i="33"/>
  <c r="B3700" i="33"/>
  <c r="B3699" i="33"/>
  <c r="B3698" i="33"/>
  <c r="B3697" i="33"/>
  <c r="B3696" i="33"/>
  <c r="B3694" i="33"/>
  <c r="B3681" i="33"/>
  <c r="B3679" i="33"/>
  <c r="B3673" i="33"/>
  <c r="B3670" i="33"/>
  <c r="B3667" i="33"/>
  <c r="B3666" i="33"/>
  <c r="B3665" i="33"/>
  <c r="B3664" i="33"/>
  <c r="B3663" i="33"/>
  <c r="B3662" i="33"/>
  <c r="B3654" i="33"/>
  <c r="B3653" i="33"/>
  <c r="B3652" i="33"/>
  <c r="B3649" i="33"/>
  <c r="B3648" i="33"/>
  <c r="B3647" i="33"/>
  <c r="B3646" i="33"/>
  <c r="B3645" i="33"/>
  <c r="B3644" i="33"/>
  <c r="B3642" i="33"/>
  <c r="B3629" i="33"/>
  <c r="B3627" i="33"/>
  <c r="B3621" i="33"/>
  <c r="B3618" i="33"/>
  <c r="B3615" i="33"/>
  <c r="B3614" i="33"/>
  <c r="B3613" i="33"/>
  <c r="B3612" i="33"/>
  <c r="B3611" i="33"/>
  <c r="B3610" i="33"/>
  <c r="B3602" i="33"/>
  <c r="B3601" i="33"/>
  <c r="B3600" i="33"/>
  <c r="B3597" i="33"/>
  <c r="B3596" i="33"/>
  <c r="B3595" i="33"/>
  <c r="B3594" i="33"/>
  <c r="B3593" i="33"/>
  <c r="B3592" i="33"/>
  <c r="B3590" i="33"/>
  <c r="B3577" i="33"/>
  <c r="B3575" i="33"/>
  <c r="B3569" i="33"/>
  <c r="B3566" i="33"/>
  <c r="B3563" i="33"/>
  <c r="B3562" i="33"/>
  <c r="B3561" i="33"/>
  <c r="B3560" i="33"/>
  <c r="B3559" i="33"/>
  <c r="B3558" i="33"/>
  <c r="B3550" i="33"/>
  <c r="B3549" i="33"/>
  <c r="B3548" i="33"/>
  <c r="B3545" i="33"/>
  <c r="B3544" i="33"/>
  <c r="B3543" i="33"/>
  <c r="B3542" i="33"/>
  <c r="B3541" i="33"/>
  <c r="B3540" i="33"/>
  <c r="B3538" i="33"/>
  <c r="B3525" i="33"/>
  <c r="B3523" i="33"/>
  <c r="B3517" i="33"/>
  <c r="B3514" i="33"/>
  <c r="B3511" i="33"/>
  <c r="B3510" i="33"/>
  <c r="B3509" i="33"/>
  <c r="B3508" i="33"/>
  <c r="B3507" i="33"/>
  <c r="B3506" i="33"/>
  <c r="B3498" i="33"/>
  <c r="B3497" i="33"/>
  <c r="B3496" i="33"/>
  <c r="B3493" i="33"/>
  <c r="B3492" i="33"/>
  <c r="B3491" i="33"/>
  <c r="B3490" i="33"/>
  <c r="B3489" i="33"/>
  <c r="B3488" i="33"/>
  <c r="B3486" i="33"/>
  <c r="B3473" i="33"/>
  <c r="B3471" i="33"/>
  <c r="B3465" i="33"/>
  <c r="B3462" i="33"/>
  <c r="B3459" i="33"/>
  <c r="B3458" i="33"/>
  <c r="B3457" i="33"/>
  <c r="B3456" i="33"/>
  <c r="B3455" i="33"/>
  <c r="B3454" i="33"/>
  <c r="B3446" i="33"/>
  <c r="B3445" i="33"/>
  <c r="B3444" i="33"/>
  <c r="B3441" i="33"/>
  <c r="B3440" i="33"/>
  <c r="B3439" i="33"/>
  <c r="B3438" i="33"/>
  <c r="B3437" i="33"/>
  <c r="B3436" i="33"/>
  <c r="B3434" i="33"/>
  <c r="B3421" i="33"/>
  <c r="B3419" i="33"/>
  <c r="B3413" i="33"/>
  <c r="B3410" i="33"/>
  <c r="B3407" i="33"/>
  <c r="B3406" i="33"/>
  <c r="B3405" i="33"/>
  <c r="B3404" i="33"/>
  <c r="B3403" i="33"/>
  <c r="B3402" i="33"/>
  <c r="B3394" i="33"/>
  <c r="B3393" i="33"/>
  <c r="B3392" i="33"/>
  <c r="B3389" i="33"/>
  <c r="B3388" i="33"/>
  <c r="B3387" i="33"/>
  <c r="B3386" i="33"/>
  <c r="B3385" i="33"/>
  <c r="B3384" i="33"/>
  <c r="B3382" i="33"/>
  <c r="B3369" i="33"/>
  <c r="B3367" i="33"/>
  <c r="B3361" i="33"/>
  <c r="B3358" i="33"/>
  <c r="B3355" i="33"/>
  <c r="B3354" i="33"/>
  <c r="B3353" i="33"/>
  <c r="B3352" i="33"/>
  <c r="B3351" i="33"/>
  <c r="B3350" i="33"/>
  <c r="B3342" i="33"/>
  <c r="B3341" i="33"/>
  <c r="B3340" i="33"/>
  <c r="B3337" i="33"/>
  <c r="B3336" i="33"/>
  <c r="B3335" i="33"/>
  <c r="B3334" i="33"/>
  <c r="B3333" i="33"/>
  <c r="B3332" i="33"/>
  <c r="B3330" i="33"/>
  <c r="B3317" i="33"/>
  <c r="B3315" i="33"/>
  <c r="B3309" i="33"/>
  <c r="B3306" i="33"/>
  <c r="B3303" i="33"/>
  <c r="B3302" i="33"/>
  <c r="B3301" i="33"/>
  <c r="B3300" i="33"/>
  <c r="B3299" i="33"/>
  <c r="B3298" i="33"/>
  <c r="B3290" i="33"/>
  <c r="B3289" i="33"/>
  <c r="B3288" i="33"/>
  <c r="B3285" i="33"/>
  <c r="B3284" i="33"/>
  <c r="B3283" i="33"/>
  <c r="B3282" i="33"/>
  <c r="B3281" i="33"/>
  <c r="B3280" i="33"/>
  <c r="B3278" i="33"/>
  <c r="B3265" i="33"/>
  <c r="B3263" i="33"/>
  <c r="B3257" i="33"/>
  <c r="B3254" i="33"/>
  <c r="B3251" i="33"/>
  <c r="B3250" i="33"/>
  <c r="B3249" i="33"/>
  <c r="B3248" i="33"/>
  <c r="B3247" i="33"/>
  <c r="B3246" i="33"/>
  <c r="B3238" i="33"/>
  <c r="B3237" i="33"/>
  <c r="B3236" i="33"/>
  <c r="B3233" i="33"/>
  <c r="B3232" i="33"/>
  <c r="B3231" i="33"/>
  <c r="B3230" i="33"/>
  <c r="B3229" i="33"/>
  <c r="B3228" i="33"/>
  <c r="B3226" i="33"/>
  <c r="B3213" i="33"/>
  <c r="B3211" i="33"/>
  <c r="B3205" i="33"/>
  <c r="B3202" i="33"/>
  <c r="B3199" i="33"/>
  <c r="B3198" i="33"/>
  <c r="B3197" i="33"/>
  <c r="B3196" i="33"/>
  <c r="B3195" i="33"/>
  <c r="B3194" i="33"/>
  <c r="B3186" i="33"/>
  <c r="B3185" i="33"/>
  <c r="B3184" i="33"/>
  <c r="B3181" i="33"/>
  <c r="B3180" i="33"/>
  <c r="B3179" i="33"/>
  <c r="B3178" i="33"/>
  <c r="B3177" i="33"/>
  <c r="B3176" i="33"/>
  <c r="B3174" i="33"/>
  <c r="B3161" i="33"/>
  <c r="B3159" i="33"/>
  <c r="B3153" i="33"/>
  <c r="B3150" i="33"/>
  <c r="B3147" i="33"/>
  <c r="B3146" i="33"/>
  <c r="B3145" i="33"/>
  <c r="B3144" i="33"/>
  <c r="B3143" i="33"/>
  <c r="B3142" i="33"/>
  <c r="B3134" i="33"/>
  <c r="B3133" i="33"/>
  <c r="B3132" i="33"/>
  <c r="B3129" i="33"/>
  <c r="B3128" i="33"/>
  <c r="B3127" i="33"/>
  <c r="B3126" i="33"/>
  <c r="B3125" i="33"/>
  <c r="B3124" i="33"/>
  <c r="B3122" i="33"/>
  <c r="B3109" i="33"/>
  <c r="B3107" i="33"/>
  <c r="B3101" i="33"/>
  <c r="B3098" i="33"/>
  <c r="B3095" i="33"/>
  <c r="B3094" i="33"/>
  <c r="B3093" i="33"/>
  <c r="B3092" i="33"/>
  <c r="B3091" i="33"/>
  <c r="B3090" i="33"/>
  <c r="B3082" i="33"/>
  <c r="B3081" i="33"/>
  <c r="B3080" i="33"/>
  <c r="B3077" i="33"/>
  <c r="B3076" i="33"/>
  <c r="B3075" i="33"/>
  <c r="B3074" i="33"/>
  <c r="B3073" i="33"/>
  <c r="B3072" i="33"/>
  <c r="B3070" i="33"/>
  <c r="B3057" i="33"/>
  <c r="B3055" i="33"/>
  <c r="B3049" i="33"/>
  <c r="B3046" i="33"/>
  <c r="B3043" i="33"/>
  <c r="B3042" i="33"/>
  <c r="B3041" i="33"/>
  <c r="B3040" i="33"/>
  <c r="B3039" i="33"/>
  <c r="B3038" i="33"/>
  <c r="B3030" i="33"/>
  <c r="B3029" i="33"/>
  <c r="B3028" i="33"/>
  <c r="B3025" i="33"/>
  <c r="B3024" i="33"/>
  <c r="B3023" i="33"/>
  <c r="B3022" i="33"/>
  <c r="B3021" i="33"/>
  <c r="B3020" i="33"/>
  <c r="B3018" i="33"/>
  <c r="B3005" i="33"/>
  <c r="B3003" i="33"/>
  <c r="B2997" i="33"/>
  <c r="B2994" i="33"/>
  <c r="B2991" i="33"/>
  <c r="B2990" i="33"/>
  <c r="B2989" i="33"/>
  <c r="B2988" i="33"/>
  <c r="B2987" i="33"/>
  <c r="B2986" i="33"/>
  <c r="B2978" i="33"/>
  <c r="B2977" i="33"/>
  <c r="B2976" i="33"/>
  <c r="B2973" i="33"/>
  <c r="B2972" i="33"/>
  <c r="B2971" i="33"/>
  <c r="B2970" i="33"/>
  <c r="B2969" i="33"/>
  <c r="B2968" i="33"/>
  <c r="B2966" i="33"/>
  <c r="B2953" i="33"/>
  <c r="B2951" i="33"/>
  <c r="B2945" i="33"/>
  <c r="B2942" i="33"/>
  <c r="B2939" i="33"/>
  <c r="B2938" i="33"/>
  <c r="B2937" i="33"/>
  <c r="B2936" i="33"/>
  <c r="B2935" i="33"/>
  <c r="B2934" i="33"/>
  <c r="B2926" i="33"/>
  <c r="B2925" i="33"/>
  <c r="B2924" i="33"/>
  <c r="B2921" i="33"/>
  <c r="B2920" i="33"/>
  <c r="B2919" i="33"/>
  <c r="B2918" i="33"/>
  <c r="B2917" i="33"/>
  <c r="B2916" i="33"/>
  <c r="B2914" i="33"/>
  <c r="B2901" i="33"/>
  <c r="B2899" i="33"/>
  <c r="B2893" i="33"/>
  <c r="B2890" i="33"/>
  <c r="B2887" i="33"/>
  <c r="B2886" i="33"/>
  <c r="B2885" i="33"/>
  <c r="B2884" i="33"/>
  <c r="B2883" i="33"/>
  <c r="B2882" i="33"/>
  <c r="B2874" i="33"/>
  <c r="B2873" i="33"/>
  <c r="B2872" i="33"/>
  <c r="B2869" i="33"/>
  <c r="B2868" i="33"/>
  <c r="B2867" i="33"/>
  <c r="B2866" i="33"/>
  <c r="B2865" i="33"/>
  <c r="B2864" i="33"/>
  <c r="B2862" i="33"/>
  <c r="B2849" i="33"/>
  <c r="B2847" i="33"/>
  <c r="B2841" i="33"/>
  <c r="B2838" i="33"/>
  <c r="B2835" i="33"/>
  <c r="B2834" i="33"/>
  <c r="B2833" i="33"/>
  <c r="B2832" i="33"/>
  <c r="B2831" i="33"/>
  <c r="B2830" i="33"/>
  <c r="B2822" i="33"/>
  <c r="B2821" i="33"/>
  <c r="B2820" i="33"/>
  <c r="B2817" i="33"/>
  <c r="B2816" i="33"/>
  <c r="B2815" i="33"/>
  <c r="B2814" i="33"/>
  <c r="B2813" i="33"/>
  <c r="B2812" i="33"/>
  <c r="B2810" i="33"/>
  <c r="B2797" i="33"/>
  <c r="B2795" i="33"/>
  <c r="B2789" i="33"/>
  <c r="B2786" i="33"/>
  <c r="B2783" i="33"/>
  <c r="B2782" i="33"/>
  <c r="B2781" i="33"/>
  <c r="B2780" i="33"/>
  <c r="B2779" i="33"/>
  <c r="B2778" i="33"/>
  <c r="B2770" i="33"/>
  <c r="B2769" i="33"/>
  <c r="B2768" i="33"/>
  <c r="B2765" i="33"/>
  <c r="B2764" i="33"/>
  <c r="B2763" i="33"/>
  <c r="B2762" i="33"/>
  <c r="B2761" i="33"/>
  <c r="B2760" i="33"/>
  <c r="B2758" i="33"/>
  <c r="B2745" i="33"/>
  <c r="B2743" i="33"/>
  <c r="B2737" i="33"/>
  <c r="B2734" i="33"/>
  <c r="B2731" i="33"/>
  <c r="B2730" i="33"/>
  <c r="B2729" i="33"/>
  <c r="B2728" i="33"/>
  <c r="B2727" i="33"/>
  <c r="B2726" i="33"/>
  <c r="B2718" i="33"/>
  <c r="B2717" i="33"/>
  <c r="B2716" i="33"/>
  <c r="B2713" i="33"/>
  <c r="B2712" i="33"/>
  <c r="B2711" i="33"/>
  <c r="B2710" i="33"/>
  <c r="B2709" i="33"/>
  <c r="B2708" i="33"/>
  <c r="B2706" i="33"/>
  <c r="B2693" i="33"/>
  <c r="B2691" i="33"/>
  <c r="B2685" i="33"/>
  <c r="B2682" i="33"/>
  <c r="B2679" i="33"/>
  <c r="B2678" i="33"/>
  <c r="B2677" i="33"/>
  <c r="B2676" i="33"/>
  <c r="B2675" i="33"/>
  <c r="B2674" i="33"/>
  <c r="B2666" i="33"/>
  <c r="B2665" i="33"/>
  <c r="B2664" i="33"/>
  <c r="B2661" i="33"/>
  <c r="B2660" i="33"/>
  <c r="B2659" i="33"/>
  <c r="B2658" i="33"/>
  <c r="B2657" i="33"/>
  <c r="B2656" i="33"/>
  <c r="B2654" i="33"/>
  <c r="B2641" i="33"/>
  <c r="B2639" i="33"/>
  <c r="B2633" i="33"/>
  <c r="B2630" i="33"/>
  <c r="B2627" i="33"/>
  <c r="B2626" i="33"/>
  <c r="B2625" i="33"/>
  <c r="B2624" i="33"/>
  <c r="B2623" i="33"/>
  <c r="B2622" i="33"/>
  <c r="B2614" i="33"/>
  <c r="B2613" i="33"/>
  <c r="B2612" i="33"/>
  <c r="B2609" i="33"/>
  <c r="B2608" i="33"/>
  <c r="B2607" i="33"/>
  <c r="B2606" i="33"/>
  <c r="B2605" i="33"/>
  <c r="B2604" i="33"/>
  <c r="B2602" i="33"/>
  <c r="B2589" i="33"/>
  <c r="B2587" i="33"/>
  <c r="B2581" i="33"/>
  <c r="B2578" i="33"/>
  <c r="B2575" i="33"/>
  <c r="B2574" i="33"/>
  <c r="B2573" i="33"/>
  <c r="B2572" i="33"/>
  <c r="B2571" i="33"/>
  <c r="B2570" i="33"/>
  <c r="B2562" i="33"/>
  <c r="B2561" i="33"/>
  <c r="B2560" i="33"/>
  <c r="B2557" i="33"/>
  <c r="B2556" i="33"/>
  <c r="B2555" i="33"/>
  <c r="B2554" i="33"/>
  <c r="B2553" i="33"/>
  <c r="B2552" i="33"/>
  <c r="B2550" i="33"/>
  <c r="B2537" i="33"/>
  <c r="B2535" i="33"/>
  <c r="B2529" i="33"/>
  <c r="B2526" i="33"/>
  <c r="B2523" i="33"/>
  <c r="B2522" i="33"/>
  <c r="B2521" i="33"/>
  <c r="B2520" i="33"/>
  <c r="B2519" i="33"/>
  <c r="B2518" i="33"/>
  <c r="B2510" i="33"/>
  <c r="B2509" i="33"/>
  <c r="B2508" i="33"/>
  <c r="B2505" i="33"/>
  <c r="B2504" i="33"/>
  <c r="B2503" i="33"/>
  <c r="B2502" i="33"/>
  <c r="B2501" i="33"/>
  <c r="B2500" i="33"/>
  <c r="B2498" i="33"/>
  <c r="B2485" i="33"/>
  <c r="B2483" i="33"/>
  <c r="B2477" i="33"/>
  <c r="B2474" i="33"/>
  <c r="B2471" i="33"/>
  <c r="B2470" i="33"/>
  <c r="B2469" i="33"/>
  <c r="B2468" i="33"/>
  <c r="B2467" i="33"/>
  <c r="B2466" i="33"/>
  <c r="B2458" i="33"/>
  <c r="B2457" i="33"/>
  <c r="B2456" i="33"/>
  <c r="B2453" i="33"/>
  <c r="B2452" i="33"/>
  <c r="B2451" i="33"/>
  <c r="B2450" i="33"/>
  <c r="B2449" i="33"/>
  <c r="B2448" i="33"/>
  <c r="B2446" i="33"/>
  <c r="B2433" i="33"/>
  <c r="B2431" i="33"/>
  <c r="B2425" i="33"/>
  <c r="B2422" i="33"/>
  <c r="B2419" i="33"/>
  <c r="B2418" i="33"/>
  <c r="B2417" i="33"/>
  <c r="B2416" i="33"/>
  <c r="B2415" i="33"/>
  <c r="B2414" i="33"/>
  <c r="B2406" i="33"/>
  <c r="B2405" i="33"/>
  <c r="B2404" i="33"/>
  <c r="B2401" i="33"/>
  <c r="B2400" i="33"/>
  <c r="B2399" i="33"/>
  <c r="B2398" i="33"/>
  <c r="B2397" i="33"/>
  <c r="B2396" i="33"/>
  <c r="B2394" i="33"/>
  <c r="B2381" i="33"/>
  <c r="B2379" i="33"/>
  <c r="B2373" i="33"/>
  <c r="B2370" i="33"/>
  <c r="B2367" i="33"/>
  <c r="B2366" i="33"/>
  <c r="B2365" i="33"/>
  <c r="B2364" i="33"/>
  <c r="B2363" i="33"/>
  <c r="B2362" i="33"/>
  <c r="B2354" i="33"/>
  <c r="B2353" i="33"/>
  <c r="B2352" i="33"/>
  <c r="B2349" i="33"/>
  <c r="B2348" i="33"/>
  <c r="B2347" i="33"/>
  <c r="B2346" i="33"/>
  <c r="B2345" i="33"/>
  <c r="B2344" i="33"/>
  <c r="B2342" i="33"/>
  <c r="B2329" i="33"/>
  <c r="B2327" i="33"/>
  <c r="B2321" i="33"/>
  <c r="B2318" i="33"/>
  <c r="B2315" i="33"/>
  <c r="B2314" i="33"/>
  <c r="B2313" i="33"/>
  <c r="B2312" i="33"/>
  <c r="B2311" i="33"/>
  <c r="B2310" i="33"/>
  <c r="B2302" i="33"/>
  <c r="B2301" i="33"/>
  <c r="B2300" i="33"/>
  <c r="B2297" i="33"/>
  <c r="B2296" i="33"/>
  <c r="B2295" i="33"/>
  <c r="B2294" i="33"/>
  <c r="B2293" i="33"/>
  <c r="B2292" i="33"/>
  <c r="B2290" i="33"/>
  <c r="B2205" i="33"/>
  <c r="B2203" i="33"/>
  <c r="B2197" i="33"/>
  <c r="B2194" i="33"/>
  <c r="B2191" i="33"/>
  <c r="B2190" i="33"/>
  <c r="B2189" i="33"/>
  <c r="B2188" i="33"/>
  <c r="B2187" i="33"/>
  <c r="B2186" i="33"/>
  <c r="B2178" i="33"/>
  <c r="B2177" i="33"/>
  <c r="B2176" i="33"/>
  <c r="B2173" i="33"/>
  <c r="B2172" i="33"/>
  <c r="B2171" i="33"/>
  <c r="B2170" i="33"/>
  <c r="B2169" i="33"/>
  <c r="B2168" i="33"/>
  <c r="B2166" i="33"/>
  <c r="B2153" i="33"/>
  <c r="B2151" i="33"/>
  <c r="B2145" i="33"/>
  <c r="B2142" i="33"/>
  <c r="B2139" i="33"/>
  <c r="B2138" i="33"/>
  <c r="B2137" i="33"/>
  <c r="B2136" i="33"/>
  <c r="B2135" i="33"/>
  <c r="B2134" i="33"/>
  <c r="B2126" i="33"/>
  <c r="B2125" i="33"/>
  <c r="B2124" i="33"/>
  <c r="B2121" i="33"/>
  <c r="B2120" i="33"/>
  <c r="B2119" i="33"/>
  <c r="B2118" i="33"/>
  <c r="B2117" i="33"/>
  <c r="B2116" i="33"/>
  <c r="B2114" i="33"/>
  <c r="B2065" i="33"/>
  <c r="B2063" i="33"/>
  <c r="B2057" i="33"/>
  <c r="B2054" i="33"/>
  <c r="B2051" i="33"/>
  <c r="B2050" i="33"/>
  <c r="B2049" i="33"/>
  <c r="B2048" i="33"/>
  <c r="B2047" i="33"/>
  <c r="B2046" i="33"/>
  <c r="B2038" i="33"/>
  <c r="B2037" i="33"/>
  <c r="B2036" i="33"/>
  <c r="B2033" i="33"/>
  <c r="B2032" i="33"/>
  <c r="B2031" i="33"/>
  <c r="B2030" i="33"/>
  <c r="B2029" i="33"/>
  <c r="B2028" i="33"/>
  <c r="B2026" i="33"/>
  <c r="B2013" i="33"/>
  <c r="B2011" i="33"/>
  <c r="B2005" i="33"/>
  <c r="B2002" i="33"/>
  <c r="B1999" i="33"/>
  <c r="B1998" i="33"/>
  <c r="B1997" i="33"/>
  <c r="B1996" i="33"/>
  <c r="B1995" i="33"/>
  <c r="B1994" i="33"/>
  <c r="B1986" i="33"/>
  <c r="B1985" i="33"/>
  <c r="B1984" i="33"/>
  <c r="B1981" i="33"/>
  <c r="B1980" i="33"/>
  <c r="B1979" i="33"/>
  <c r="B1978" i="33"/>
  <c r="B1977" i="33"/>
  <c r="B1976" i="33"/>
  <c r="B1974" i="33"/>
  <c r="B1961" i="33"/>
  <c r="B1959" i="33"/>
  <c r="B1953" i="33"/>
  <c r="B1950" i="33"/>
  <c r="B1947" i="33"/>
  <c r="B1946" i="33"/>
  <c r="B1945" i="33"/>
  <c r="B1944" i="33"/>
  <c r="B1943" i="33"/>
  <c r="B1942" i="33"/>
  <c r="B1934" i="33"/>
  <c r="B1933" i="33"/>
  <c r="B1932" i="33"/>
  <c r="B1929" i="33"/>
  <c r="B1928" i="33"/>
  <c r="B1927" i="33"/>
  <c r="B1926" i="33"/>
  <c r="B1925" i="33"/>
  <c r="B1924" i="33"/>
  <c r="B1922" i="33"/>
  <c r="B1909" i="33"/>
  <c r="B1907" i="33"/>
  <c r="B1901" i="33"/>
  <c r="B1898" i="33"/>
  <c r="B1895" i="33"/>
  <c r="B1894" i="33"/>
  <c r="B1893" i="33"/>
  <c r="B1892" i="33"/>
  <c r="B1891" i="33"/>
  <c r="B1890" i="33"/>
  <c r="B1882" i="33"/>
  <c r="B1881" i="33"/>
  <c r="B1880" i="33"/>
  <c r="B1877" i="33"/>
  <c r="B1876" i="33"/>
  <c r="B1875" i="33"/>
  <c r="B1874" i="33"/>
  <c r="B1873" i="33"/>
  <c r="B1872" i="33"/>
  <c r="B1870" i="33"/>
  <c r="B1821" i="33"/>
  <c r="B1819" i="33"/>
  <c r="B1813" i="33"/>
  <c r="B1810" i="33"/>
  <c r="B1807" i="33"/>
  <c r="B1806" i="33"/>
  <c r="B1805" i="33"/>
  <c r="B1804" i="33"/>
  <c r="B1803" i="33"/>
  <c r="B1802" i="33"/>
  <c r="B1794" i="33"/>
  <c r="B1793" i="33"/>
  <c r="B1792" i="33"/>
  <c r="B1789" i="33"/>
  <c r="B1788" i="33"/>
  <c r="B1787" i="33"/>
  <c r="B1786" i="33"/>
  <c r="B1785" i="33"/>
  <c r="B1784" i="33"/>
  <c r="B1782" i="33"/>
  <c r="B1769" i="33"/>
  <c r="B1767" i="33"/>
  <c r="B1761" i="33"/>
  <c r="B1758" i="33"/>
  <c r="B1755" i="33"/>
  <c r="B1754" i="33"/>
  <c r="B1753" i="33"/>
  <c r="B1752" i="33"/>
  <c r="B1751" i="33"/>
  <c r="B1750" i="33"/>
  <c r="B1742" i="33"/>
  <c r="B1741" i="33"/>
  <c r="B1740" i="33"/>
  <c r="B1737" i="33"/>
  <c r="B1736" i="33"/>
  <c r="B1735" i="33"/>
  <c r="B1734" i="33"/>
  <c r="B1733" i="33"/>
  <c r="B1732" i="33"/>
  <c r="B1730" i="33"/>
  <c r="B1717" i="33"/>
  <c r="B1715" i="33"/>
  <c r="B1709" i="33"/>
  <c r="B1703" i="33"/>
  <c r="B1702" i="33"/>
  <c r="B1701" i="33"/>
  <c r="B1700" i="33"/>
  <c r="B1699" i="33"/>
  <c r="B1698" i="33"/>
  <c r="B1690" i="33"/>
  <c r="B1689" i="33"/>
  <c r="B1688" i="33"/>
  <c r="B1685" i="33"/>
  <c r="B1684" i="33"/>
  <c r="B1683" i="33"/>
  <c r="B1682" i="33"/>
  <c r="B1681" i="33"/>
  <c r="B1680" i="33"/>
  <c r="B1678" i="33"/>
  <c r="B1665" i="33"/>
  <c r="B1663" i="33"/>
  <c r="B1657" i="33"/>
  <c r="B1654" i="33"/>
  <c r="B1651" i="33"/>
  <c r="B1650" i="33"/>
  <c r="B1649" i="33"/>
  <c r="B1648" i="33"/>
  <c r="B1647" i="33"/>
  <c r="B1646" i="33"/>
  <c r="B1638" i="33"/>
  <c r="B1637" i="33"/>
  <c r="B1636" i="33"/>
  <c r="B1633" i="33"/>
  <c r="B1632" i="33"/>
  <c r="B1631" i="33"/>
  <c r="B1630" i="33"/>
  <c r="B1629" i="33"/>
  <c r="B1628" i="33"/>
  <c r="B1626" i="33"/>
  <c r="B1613" i="33"/>
  <c r="B1611" i="33"/>
  <c r="B1605" i="33"/>
  <c r="B1602" i="33"/>
  <c r="B1599" i="33"/>
  <c r="B1598" i="33"/>
  <c r="B1597" i="33"/>
  <c r="B1596" i="33"/>
  <c r="B1595" i="33"/>
  <c r="B1594" i="33"/>
  <c r="B1586" i="33"/>
  <c r="B1585" i="33"/>
  <c r="B1584" i="33"/>
  <c r="B1581" i="33"/>
  <c r="B1580" i="33"/>
  <c r="B1579" i="33"/>
  <c r="B1578" i="33"/>
  <c r="B1577" i="33"/>
  <c r="B1576" i="33"/>
  <c r="B1574" i="33"/>
  <c r="B1561" i="33"/>
  <c r="B1559" i="33"/>
  <c r="B1553" i="33"/>
  <c r="B1550" i="33"/>
  <c r="B1547" i="33"/>
  <c r="B1546" i="33"/>
  <c r="B1545" i="33"/>
  <c r="B1544" i="33"/>
  <c r="B1543" i="33"/>
  <c r="B1542" i="33"/>
  <c r="B1534" i="33"/>
  <c r="B1533" i="33"/>
  <c r="B1532" i="33"/>
  <c r="B1529" i="33"/>
  <c r="B1528" i="33"/>
  <c r="B1527" i="33"/>
  <c r="B1526" i="33"/>
  <c r="B1525" i="33"/>
  <c r="B1524" i="33"/>
  <c r="B1522" i="33"/>
  <c r="B1509" i="33"/>
  <c r="B1507" i="33"/>
  <c r="B1501" i="33"/>
  <c r="B1498" i="33"/>
  <c r="B1495" i="33"/>
  <c r="B1494" i="33"/>
  <c r="B1493" i="33"/>
  <c r="B1492" i="33"/>
  <c r="B1491" i="33"/>
  <c r="B1490" i="33"/>
  <c r="B1482" i="33"/>
  <c r="B1481" i="33"/>
  <c r="B1480" i="33"/>
  <c r="B1477" i="33"/>
  <c r="B1476" i="33"/>
  <c r="B1475" i="33"/>
  <c r="B1474" i="33"/>
  <c r="B1473" i="33"/>
  <c r="B1472" i="33"/>
  <c r="B1470" i="33"/>
  <c r="B1457" i="33"/>
  <c r="B1455" i="33"/>
  <c r="B1449" i="33"/>
  <c r="B1446" i="33"/>
  <c r="B1443" i="33"/>
  <c r="B1442" i="33"/>
  <c r="B1441" i="33"/>
  <c r="B1440" i="33"/>
  <c r="B1439" i="33"/>
  <c r="B1438" i="33"/>
  <c r="B1430" i="33"/>
  <c r="B1429" i="33"/>
  <c r="B1428" i="33"/>
  <c r="B1425" i="33"/>
  <c r="B1424" i="33"/>
  <c r="B1423" i="33"/>
  <c r="B1422" i="33"/>
  <c r="B1421" i="33"/>
  <c r="B1420" i="33"/>
  <c r="B1418" i="33"/>
  <c r="B1405" i="33"/>
  <c r="B1403" i="33"/>
  <c r="B1397" i="33"/>
  <c r="B1394" i="33"/>
  <c r="B1391" i="33"/>
  <c r="B1390" i="33"/>
  <c r="B1389" i="33"/>
  <c r="B1388" i="33"/>
  <c r="B1387" i="33"/>
  <c r="B1386" i="33"/>
  <c r="B1378" i="33"/>
  <c r="B1377" i="33"/>
  <c r="B1376" i="33"/>
  <c r="B1373" i="33"/>
  <c r="B1372" i="33"/>
  <c r="B1371" i="33"/>
  <c r="B1370" i="33"/>
  <c r="B1369" i="33"/>
  <c r="B1368" i="33"/>
  <c r="B1366" i="33"/>
  <c r="B1353" i="33"/>
  <c r="B1351" i="33"/>
  <c r="B1345" i="33"/>
  <c r="B1342" i="33"/>
  <c r="B1339" i="33"/>
  <c r="B1338" i="33"/>
  <c r="B1337" i="33"/>
  <c r="B1336" i="33"/>
  <c r="B1335" i="33"/>
  <c r="B1334" i="33"/>
  <c r="B1326" i="33"/>
  <c r="B1325" i="33"/>
  <c r="B1324" i="33"/>
  <c r="B1321" i="33"/>
  <c r="B1320" i="33"/>
  <c r="B1319" i="33"/>
  <c r="B1318" i="33"/>
  <c r="B1317" i="33"/>
  <c r="B1316" i="33"/>
  <c r="B1314" i="33"/>
  <c r="B1301" i="33"/>
  <c r="B1299" i="33"/>
  <c r="B1293" i="33"/>
  <c r="B1290" i="33"/>
  <c r="B1287" i="33"/>
  <c r="B1286" i="33"/>
  <c r="B1285" i="33"/>
  <c r="B1284" i="33"/>
  <c r="B1283" i="33"/>
  <c r="B1282" i="33"/>
  <c r="B1274" i="33"/>
  <c r="B1273" i="33"/>
  <c r="B1272" i="33"/>
  <c r="B1269" i="33"/>
  <c r="B1268" i="33"/>
  <c r="B1267" i="33"/>
  <c r="B1266" i="33"/>
  <c r="B1265" i="33"/>
  <c r="B1264" i="33"/>
  <c r="B1262" i="33"/>
  <c r="B1249" i="33"/>
  <c r="B1247" i="33"/>
  <c r="B1241" i="33"/>
  <c r="B1238" i="33"/>
  <c r="B1235" i="33"/>
  <c r="B1234" i="33"/>
  <c r="B1233" i="33"/>
  <c r="B1232" i="33"/>
  <c r="B1231" i="33"/>
  <c r="B1230" i="33"/>
  <c r="B1222" i="33"/>
  <c r="B1221" i="33"/>
  <c r="B1220" i="33"/>
  <c r="B1217" i="33"/>
  <c r="B1216" i="33"/>
  <c r="B1215" i="33"/>
  <c r="B1214" i="33"/>
  <c r="B1213" i="33"/>
  <c r="B1212" i="33"/>
  <c r="B1210" i="33"/>
  <c r="B1161" i="33"/>
  <c r="B1159" i="33"/>
  <c r="B1153" i="33"/>
  <c r="B1150" i="33"/>
  <c r="B1147" i="33"/>
  <c r="B1146" i="33"/>
  <c r="B1145" i="33"/>
  <c r="B1144" i="33"/>
  <c r="B1143" i="33"/>
  <c r="B1142" i="33"/>
  <c r="B1134" i="33"/>
  <c r="B1133" i="33"/>
  <c r="B1132" i="33"/>
  <c r="B1129" i="33"/>
  <c r="B1128" i="33"/>
  <c r="B1127" i="33"/>
  <c r="B1126" i="33"/>
  <c r="B1125" i="33"/>
  <c r="B1124" i="33"/>
  <c r="B1122" i="33"/>
  <c r="B1109" i="33"/>
  <c r="B1107" i="33"/>
  <c r="B1101" i="33"/>
  <c r="B1098" i="33"/>
  <c r="B1095" i="33"/>
  <c r="B1094" i="33"/>
  <c r="B1093" i="33"/>
  <c r="B1092" i="33"/>
  <c r="B1091" i="33"/>
  <c r="B1090" i="33"/>
  <c r="B1082" i="33"/>
  <c r="B1081" i="33"/>
  <c r="B1080" i="33"/>
  <c r="B1077" i="33"/>
  <c r="B1076" i="33"/>
  <c r="B1075" i="33"/>
  <c r="B1074" i="33"/>
  <c r="B1073" i="33"/>
  <c r="B1072" i="33"/>
  <c r="B1070" i="33"/>
  <c r="B1057" i="33"/>
  <c r="B1055" i="33"/>
  <c r="B1049" i="33"/>
  <c r="B1046" i="33"/>
  <c r="B1043" i="33"/>
  <c r="B1042" i="33"/>
  <c r="B1041" i="33"/>
  <c r="B1040" i="33"/>
  <c r="B1039" i="33"/>
  <c r="B1038" i="33"/>
  <c r="B1030" i="33"/>
  <c r="B1029" i="33"/>
  <c r="B1028" i="33"/>
  <c r="B1025" i="33"/>
  <c r="B1024" i="33"/>
  <c r="B1023" i="33"/>
  <c r="B1022" i="33"/>
  <c r="B1021" i="33"/>
  <c r="B1020" i="33"/>
  <c r="B1018" i="33"/>
  <c r="B1005" i="33"/>
  <c r="B1003" i="33"/>
  <c r="B997" i="33"/>
  <c r="B994" i="33"/>
  <c r="B991" i="33"/>
  <c r="B990" i="33"/>
  <c r="B989" i="33"/>
  <c r="B988" i="33"/>
  <c r="B987" i="33"/>
  <c r="B986" i="33"/>
  <c r="B978" i="33"/>
  <c r="B977" i="33"/>
  <c r="B976" i="33"/>
  <c r="B973" i="33"/>
  <c r="B972" i="33"/>
  <c r="B971" i="33"/>
  <c r="B970" i="33"/>
  <c r="B969" i="33"/>
  <c r="B968" i="33"/>
  <c r="B966" i="33"/>
  <c r="B953" i="33"/>
  <c r="B951" i="33"/>
  <c r="B945" i="33"/>
  <c r="B942" i="33"/>
  <c r="B939" i="33"/>
  <c r="B938" i="33"/>
  <c r="B937" i="33"/>
  <c r="B936" i="33"/>
  <c r="B935" i="33"/>
  <c r="B934" i="33"/>
  <c r="B926" i="33"/>
  <c r="B925" i="33"/>
  <c r="B924" i="33"/>
  <c r="B921" i="33"/>
  <c r="B920" i="33"/>
  <c r="B919" i="33"/>
  <c r="B918" i="33"/>
  <c r="B917" i="33"/>
  <c r="B916" i="33"/>
  <c r="B914" i="33"/>
  <c r="B901" i="33"/>
  <c r="B899" i="33"/>
  <c r="B893" i="33"/>
  <c r="B890" i="33"/>
  <c r="B887" i="33"/>
  <c r="B886" i="33"/>
  <c r="B885" i="33"/>
  <c r="B884" i="33"/>
  <c r="B883" i="33"/>
  <c r="B882" i="33"/>
  <c r="B874" i="33"/>
  <c r="B873" i="33"/>
  <c r="B872" i="33"/>
  <c r="B869" i="33"/>
  <c r="B868" i="33"/>
  <c r="B867" i="33"/>
  <c r="B866" i="33"/>
  <c r="B865" i="33"/>
  <c r="B864" i="33"/>
  <c r="B862" i="33"/>
  <c r="B849" i="33"/>
  <c r="B847" i="33"/>
  <c r="B841" i="33"/>
  <c r="B838" i="33"/>
  <c r="B835" i="33"/>
  <c r="B834" i="33"/>
  <c r="B833" i="33"/>
  <c r="B832" i="33"/>
  <c r="B831" i="33"/>
  <c r="B830" i="33"/>
  <c r="B822" i="33"/>
  <c r="B821" i="33"/>
  <c r="B820" i="33"/>
  <c r="B817" i="33"/>
  <c r="B816" i="33"/>
  <c r="B815" i="33"/>
  <c r="B814" i="33"/>
  <c r="B813" i="33"/>
  <c r="B812" i="33"/>
  <c r="B810" i="33"/>
  <c r="B797" i="33"/>
  <c r="B795" i="33"/>
  <c r="B789" i="33"/>
  <c r="B783" i="33"/>
  <c r="B782" i="33"/>
  <c r="B781" i="33"/>
  <c r="B780" i="33"/>
  <c r="B779" i="33"/>
  <c r="B778" i="33"/>
  <c r="B770" i="33"/>
  <c r="B769" i="33"/>
  <c r="B768" i="33"/>
  <c r="B765" i="33"/>
  <c r="B764" i="33"/>
  <c r="B763" i="33"/>
  <c r="B762" i="33"/>
  <c r="B761" i="33"/>
  <c r="B760" i="33"/>
  <c r="B758" i="33"/>
  <c r="B745" i="33"/>
  <c r="B743" i="33"/>
  <c r="B737" i="33"/>
  <c r="B731" i="33"/>
  <c r="B730" i="33"/>
  <c r="B729" i="33"/>
  <c r="B728" i="33"/>
  <c r="B727" i="33"/>
  <c r="B726" i="33"/>
  <c r="B718" i="33"/>
  <c r="B717" i="33"/>
  <c r="B716" i="33"/>
  <c r="B713" i="33"/>
  <c r="B712" i="33"/>
  <c r="B711" i="33"/>
  <c r="B710" i="33"/>
  <c r="B709" i="33"/>
  <c r="B708" i="33"/>
  <c r="B706" i="33"/>
  <c r="B693" i="33"/>
  <c r="B691" i="33"/>
  <c r="B685" i="33"/>
  <c r="B682" i="33"/>
  <c r="B679" i="33"/>
  <c r="B678" i="33"/>
  <c r="B677" i="33"/>
  <c r="B676" i="33"/>
  <c r="B675" i="33"/>
  <c r="B674" i="33"/>
  <c r="B666" i="33"/>
  <c r="B665" i="33"/>
  <c r="B664" i="33"/>
  <c r="B661" i="33"/>
  <c r="B660" i="33"/>
  <c r="B659" i="33"/>
  <c r="B658" i="33"/>
  <c r="B657" i="33"/>
  <c r="B656" i="33"/>
  <c r="B654" i="33"/>
  <c r="B641" i="33"/>
  <c r="B639" i="33"/>
  <c r="B633" i="33"/>
  <c r="B630" i="33"/>
  <c r="B627" i="33"/>
  <c r="B626" i="33"/>
  <c r="B625" i="33"/>
  <c r="B624" i="33"/>
  <c r="B623" i="33"/>
  <c r="B622" i="33"/>
  <c r="B614" i="33"/>
  <c r="B613" i="33"/>
  <c r="B612" i="33"/>
  <c r="B609" i="33"/>
  <c r="B608" i="33"/>
  <c r="B607" i="33"/>
  <c r="B606" i="33"/>
  <c r="B605" i="33"/>
  <c r="B604" i="33"/>
  <c r="B602" i="33"/>
  <c r="B589" i="33"/>
  <c r="B587" i="33"/>
  <c r="B581" i="33"/>
  <c r="B578" i="33"/>
  <c r="B575" i="33"/>
  <c r="B574" i="33"/>
  <c r="B573" i="33"/>
  <c r="B572" i="33"/>
  <c r="B571" i="33"/>
  <c r="B570" i="33"/>
  <c r="B562" i="33"/>
  <c r="B561" i="33"/>
  <c r="B560" i="33"/>
  <c r="B557" i="33"/>
  <c r="B556" i="33"/>
  <c r="B555" i="33"/>
  <c r="B554" i="33"/>
  <c r="B553" i="33"/>
  <c r="B552" i="33"/>
  <c r="B550" i="33"/>
  <c r="B501" i="33"/>
  <c r="B499" i="33"/>
  <c r="B493" i="33"/>
  <c r="B490" i="33"/>
  <c r="B487" i="33"/>
  <c r="B486" i="33"/>
  <c r="B485" i="33"/>
  <c r="B484" i="33"/>
  <c r="B483" i="33"/>
  <c r="B482" i="33"/>
  <c r="B474" i="33"/>
  <c r="B473" i="33"/>
  <c r="B472" i="33"/>
  <c r="B469" i="33"/>
  <c r="B468" i="33"/>
  <c r="B467" i="33"/>
  <c r="B466" i="33"/>
  <c r="B465" i="33"/>
  <c r="B464" i="33"/>
  <c r="B462" i="33"/>
  <c r="B449" i="33"/>
  <c r="B447" i="33"/>
  <c r="B441" i="33"/>
  <c r="B438" i="33"/>
  <c r="B435" i="33"/>
  <c r="B434" i="33"/>
  <c r="B433" i="33"/>
  <c r="B432" i="33"/>
  <c r="B431" i="33"/>
  <c r="B430" i="33"/>
  <c r="B422" i="33"/>
  <c r="B421" i="33"/>
  <c r="B420" i="33"/>
  <c r="B417" i="33"/>
  <c r="B416" i="33"/>
  <c r="B415" i="33"/>
  <c r="B414" i="33"/>
  <c r="B413" i="33"/>
  <c r="B412" i="33"/>
  <c r="B410" i="33"/>
  <c r="B397" i="33"/>
  <c r="B395" i="33"/>
  <c r="B389" i="33"/>
  <c r="B386" i="33"/>
  <c r="B383" i="33"/>
  <c r="B382" i="33"/>
  <c r="B381" i="33"/>
  <c r="B380" i="33"/>
  <c r="B379" i="33"/>
  <c r="B378" i="33"/>
  <c r="B370" i="33"/>
  <c r="B369" i="33"/>
  <c r="B368" i="33"/>
  <c r="B365" i="33"/>
  <c r="B364" i="33"/>
  <c r="B363" i="33"/>
  <c r="B362" i="33"/>
  <c r="B361" i="33"/>
  <c r="B360" i="33"/>
  <c r="B358" i="33"/>
  <c r="B345" i="33"/>
  <c r="B343" i="33"/>
  <c r="B337" i="33"/>
  <c r="B334" i="33"/>
  <c r="B331" i="33"/>
  <c r="B330" i="33"/>
  <c r="B329" i="33"/>
  <c r="B328" i="33"/>
  <c r="B327" i="33"/>
  <c r="B326" i="33"/>
  <c r="B318" i="33"/>
  <c r="B317" i="33"/>
  <c r="B316" i="33"/>
  <c r="B313" i="33"/>
  <c r="B312" i="33"/>
  <c r="B311" i="33"/>
  <c r="B310" i="33"/>
  <c r="B309" i="33"/>
  <c r="B308" i="33"/>
  <c r="B306" i="33"/>
  <c r="B293" i="33"/>
  <c r="B291" i="33"/>
  <c r="B285" i="33"/>
  <c r="B282" i="33"/>
  <c r="B279" i="33"/>
  <c r="B278" i="33"/>
  <c r="B277" i="33"/>
  <c r="B276" i="33"/>
  <c r="B275" i="33"/>
  <c r="B274" i="33"/>
  <c r="B266" i="33"/>
  <c r="B265" i="33"/>
  <c r="B264" i="33"/>
  <c r="B261" i="33"/>
  <c r="B260" i="33"/>
  <c r="B259" i="33"/>
  <c r="B258" i="33"/>
  <c r="B257" i="33"/>
  <c r="B256" i="33"/>
  <c r="B254" i="33"/>
  <c r="B241" i="33"/>
  <c r="B239" i="33"/>
  <c r="B233" i="33"/>
  <c r="B230" i="33"/>
  <c r="B227" i="33"/>
  <c r="B226" i="33"/>
  <c r="B225" i="33"/>
  <c r="B224" i="33"/>
  <c r="B223" i="33"/>
  <c r="B222" i="33"/>
  <c r="B214" i="33"/>
  <c r="B213" i="33"/>
  <c r="B212" i="33"/>
  <c r="B209" i="33"/>
  <c r="B208" i="33"/>
  <c r="B207" i="33"/>
  <c r="B206" i="33"/>
  <c r="B205" i="33"/>
  <c r="B204" i="33"/>
  <c r="B202" i="33"/>
  <c r="B189" i="33"/>
  <c r="B187" i="33"/>
  <c r="B181" i="33"/>
  <c r="B178" i="33"/>
  <c r="B175" i="33"/>
  <c r="B174" i="33"/>
  <c r="B173" i="33"/>
  <c r="B172" i="33"/>
  <c r="B171" i="33"/>
  <c r="B170" i="33"/>
  <c r="B162" i="33"/>
  <c r="B161" i="33"/>
  <c r="B160" i="33"/>
  <c r="B157" i="33"/>
  <c r="B156" i="33"/>
  <c r="B155" i="33"/>
  <c r="B154" i="33"/>
  <c r="B153" i="33"/>
  <c r="B152" i="33"/>
  <c r="B150" i="33"/>
  <c r="B137" i="33"/>
  <c r="B135" i="33"/>
  <c r="B126" i="33"/>
  <c r="B123" i="33"/>
  <c r="B122" i="33"/>
  <c r="B121" i="33"/>
  <c r="B120" i="33"/>
  <c r="B119" i="33"/>
  <c r="B118" i="33"/>
  <c r="B110" i="33"/>
  <c r="B109" i="33"/>
  <c r="B108" i="33"/>
  <c r="B24" i="25"/>
  <c r="B23" i="25"/>
  <c r="B105" i="33"/>
  <c r="B104" i="33"/>
  <c r="B103" i="33"/>
  <c r="B102" i="33"/>
  <c r="B101" i="33"/>
  <c r="B100" i="33"/>
  <c r="B19" i="25"/>
  <c r="B18" i="25"/>
  <c r="B14" i="25"/>
  <c r="B98" i="33"/>
  <c r="B12" i="25"/>
  <c r="B15" i="25"/>
  <c r="C3798" i="33" l="1"/>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498" i="33"/>
  <c r="C2446" i="33"/>
  <c r="C2394" i="33"/>
  <c r="C2342"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B90" i="33" l="1"/>
  <c r="B89" i="33"/>
  <c r="B57" i="33"/>
  <c r="B54" i="33"/>
  <c r="B49" i="33"/>
  <c r="B36" i="33"/>
  <c r="B23" i="33"/>
  <c r="B13" i="33"/>
  <c r="B60" i="33"/>
  <c r="D2342" i="33" s="1"/>
  <c r="B61" i="33"/>
  <c r="D2394" i="33" s="1"/>
  <c r="B62" i="33"/>
  <c r="D2446" i="33" s="1"/>
  <c r="B63" i="33"/>
  <c r="D2498" i="33" s="1"/>
  <c r="B64" i="33"/>
  <c r="D2550" i="33" s="1"/>
  <c r="B65" i="33"/>
  <c r="D2602" i="33" s="1"/>
  <c r="B66" i="33"/>
  <c r="D2654" i="33" s="1"/>
  <c r="B67" i="33"/>
  <c r="D2706" i="33" s="1"/>
  <c r="B68" i="33"/>
  <c r="D2758" i="33" s="1"/>
  <c r="B69" i="33"/>
  <c r="D2810" i="33" s="1"/>
  <c r="B70" i="33"/>
  <c r="D2862" i="33" s="1"/>
  <c r="B71" i="33"/>
  <c r="D2914" i="33" s="1"/>
  <c r="B72" i="33"/>
  <c r="D2966" i="33" s="1"/>
  <c r="B73" i="33"/>
  <c r="D3018" i="33" s="1"/>
  <c r="B74" i="33"/>
  <c r="D3070" i="33" s="1"/>
  <c r="B75" i="33"/>
  <c r="D3122" i="33" s="1"/>
  <c r="B76" i="33"/>
  <c r="D3174" i="33" s="1"/>
  <c r="B77" i="33"/>
  <c r="D3226" i="33" s="1"/>
  <c r="B78" i="33"/>
  <c r="D3278" i="33" s="1"/>
  <c r="B79" i="33"/>
  <c r="D3330" i="33" s="1"/>
  <c r="B80" i="33"/>
  <c r="D3382" i="33" s="1"/>
  <c r="B81" i="33"/>
  <c r="D3434" i="33" s="1"/>
  <c r="B82" i="33"/>
  <c r="D3486" i="33" s="1"/>
  <c r="B83" i="33"/>
  <c r="D3538" i="33" s="1"/>
  <c r="B84" i="33"/>
  <c r="D3590" i="33" s="1"/>
  <c r="B85" i="33"/>
  <c r="D3642" i="33" s="1"/>
  <c r="B86" i="33"/>
  <c r="D3694" i="33" s="1"/>
  <c r="B87" i="33"/>
  <c r="D3746" i="33" s="1"/>
  <c r="B88" i="33"/>
  <c r="D3798" i="33" s="1"/>
  <c r="B59" i="33"/>
  <c r="D2290" i="33" s="1"/>
  <c r="I13" i="33"/>
  <c r="G14" i="33"/>
  <c r="E13" i="33"/>
  <c r="C13" i="33"/>
  <c r="C10"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4" i="29" l="1"/>
  <c r="M10" i="25" l="1"/>
  <c r="B19" i="26"/>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H12" i="24"/>
  <c r="AH10" i="22"/>
  <c r="F10" i="24"/>
  <c r="C10" i="24" l="1"/>
  <c r="C9" i="36"/>
  <c r="C9" i="23"/>
  <c r="G10" i="22"/>
  <c r="R2" i="24"/>
  <c r="L2" i="22"/>
  <c r="B10" i="24"/>
  <c r="G12" i="22"/>
  <c r="G13" i="22"/>
  <c r="M11" i="22"/>
  <c r="P13" i="22"/>
  <c r="F14" i="22"/>
  <c r="H14" i="31" s="1"/>
  <c r="AI10" i="22"/>
  <c r="C7" i="22"/>
  <c r="AC17" i="22" l="1"/>
  <c r="AB17" i="22"/>
  <c r="C7" i="31"/>
  <c r="C14" i="37"/>
  <c r="C768" i="34"/>
  <c r="C352" i="34"/>
  <c r="C10" i="34"/>
  <c r="C716" i="34"/>
  <c r="C300" i="34"/>
  <c r="C1080" i="34"/>
  <c r="C664" i="34"/>
  <c r="C248" i="34"/>
  <c r="C1028" i="34"/>
  <c r="C612" i="34"/>
  <c r="C196" i="34"/>
  <c r="C976" i="34"/>
  <c r="C560" i="34"/>
  <c r="C144" i="34"/>
  <c r="C924" i="34"/>
  <c r="C508" i="34"/>
  <c r="C92" i="34"/>
  <c r="C13" i="35"/>
  <c r="C10" i="27"/>
  <c r="C872" i="34"/>
  <c r="C456" i="34"/>
  <c r="C40" i="34"/>
  <c r="C820" i="34"/>
  <c r="C404" i="34"/>
  <c r="C3881" i="33"/>
  <c r="C3483" i="33"/>
  <c r="C3067" i="33"/>
  <c r="C2651" i="33"/>
  <c r="C2251" i="33"/>
  <c r="C1867" i="33"/>
  <c r="C1467" i="33"/>
  <c r="C1067" i="33"/>
  <c r="C651" i="33"/>
  <c r="C251" i="33"/>
  <c r="C2023" i="33"/>
  <c r="C1171" i="33"/>
  <c r="C2703" i="33"/>
  <c r="C1259" i="33"/>
  <c r="C3847" i="33"/>
  <c r="C3431" i="33"/>
  <c r="C3015" i="33"/>
  <c r="C2599" i="33"/>
  <c r="C2215" i="33"/>
  <c r="C1831" i="33"/>
  <c r="C1415" i="33"/>
  <c r="C1015" i="33"/>
  <c r="C599" i="33"/>
  <c r="C199" i="33"/>
  <c r="C859" i="33"/>
  <c r="C407" i="33"/>
  <c r="C355" i="33"/>
  <c r="C10" i="33"/>
  <c r="C3795" i="33"/>
  <c r="C3379" i="33"/>
  <c r="C2963" i="33"/>
  <c r="C2547" i="33"/>
  <c r="C2163" i="33"/>
  <c r="C1779" i="33"/>
  <c r="C1363" i="33"/>
  <c r="C963" i="33"/>
  <c r="C547" i="33"/>
  <c r="C147" i="33"/>
  <c r="C755" i="33"/>
  <c r="C2287" i="33"/>
  <c r="C1207" i="33"/>
  <c r="C2755" i="33"/>
  <c r="C3119" i="33"/>
  <c r="C3743" i="33"/>
  <c r="C3327" i="33"/>
  <c r="C2911" i="33"/>
  <c r="C2495" i="33"/>
  <c r="C2111" i="33"/>
  <c r="C1727" i="33"/>
  <c r="C1311" i="33"/>
  <c r="C911" i="33"/>
  <c r="C511" i="33"/>
  <c r="C95" i="33"/>
  <c r="C1971" i="33"/>
  <c r="C1919" i="33"/>
  <c r="C459" i="33"/>
  <c r="C1623" i="33"/>
  <c r="C1571" i="33"/>
  <c r="C1519" i="33"/>
  <c r="C3691" i="33"/>
  <c r="C3275" i="33"/>
  <c r="C2859" i="33"/>
  <c r="C2443" i="33"/>
  <c r="C2075" i="33"/>
  <c r="C1675" i="33"/>
  <c r="C807" i="33"/>
  <c r="C2339" i="33"/>
  <c r="C303" i="33"/>
  <c r="C3171" i="33"/>
  <c r="C3535" i="33"/>
  <c r="C3639" i="33"/>
  <c r="C3223" i="33"/>
  <c r="C2807" i="33"/>
  <c r="C2391" i="33"/>
  <c r="C1119" i="33"/>
  <c r="C703" i="33"/>
  <c r="C3587" i="33"/>
  <c r="C10" i="25"/>
  <c r="Q17" i="22"/>
  <c r="J10" i="31"/>
  <c r="G10" i="32"/>
  <c r="I10" i="24"/>
  <c r="C7" i="24"/>
  <c r="B7" i="29"/>
  <c r="B6" i="29"/>
  <c r="AH12" i="22"/>
  <c r="Q10" i="22"/>
  <c r="AR2" i="22"/>
  <c r="B7" i="22"/>
  <c r="F5" i="22"/>
  <c r="F2" i="29"/>
  <c r="C29" i="26"/>
  <c r="B10" i="34" l="1"/>
  <c r="B716" i="34"/>
  <c r="B508" i="34"/>
  <c r="B1080" i="34"/>
  <c r="B248" i="34"/>
  <c r="B612" i="34"/>
  <c r="B976" i="34"/>
  <c r="B144" i="34"/>
  <c r="B872" i="34"/>
  <c r="B820" i="34"/>
  <c r="B13" i="35"/>
  <c r="B40" i="34"/>
  <c r="B404" i="34"/>
  <c r="B768" i="34"/>
  <c r="B300" i="34"/>
  <c r="B664" i="34"/>
  <c r="B10"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8" i="27"/>
  <c r="B818" i="34"/>
  <c r="B714" i="34"/>
  <c r="B246" i="34"/>
  <c r="B610" i="34"/>
  <c r="B974" i="34"/>
  <c r="B142" i="34"/>
  <c r="B506" i="34"/>
  <c r="B11" i="35"/>
  <c r="B870" i="34"/>
  <c r="B38" i="34"/>
  <c r="B766" i="34"/>
  <c r="B402" i="34"/>
  <c r="B1026" i="34"/>
  <c r="B298" i="34"/>
  <c r="B662" i="34"/>
  <c r="B558" i="34"/>
  <c r="B194" i="34"/>
  <c r="B9" i="34"/>
  <c r="B9"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7"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0"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D7" i="23" l="1"/>
  <c r="D6" i="23"/>
  <c r="B2" i="26"/>
  <c r="J1" i="26"/>
  <c r="M1" i="23" l="1"/>
  <c r="M1" i="27"/>
  <c r="C13" i="37"/>
  <c r="C6" i="24"/>
  <c r="C6" i="32"/>
  <c r="C715" i="34"/>
  <c r="C975" i="34"/>
  <c r="C143" i="34"/>
  <c r="C403" i="34"/>
  <c r="C663" i="34"/>
  <c r="C923" i="34"/>
  <c r="C91" i="34"/>
  <c r="C351" i="34"/>
  <c r="C611" i="34"/>
  <c r="C871" i="34"/>
  <c r="C39" i="34"/>
  <c r="C767" i="34"/>
  <c r="C299" i="34"/>
  <c r="C559" i="34"/>
  <c r="C819" i="34"/>
  <c r="C9" i="34"/>
  <c r="C1079" i="34"/>
  <c r="C247" i="34"/>
  <c r="C507" i="34"/>
  <c r="C12" i="35"/>
  <c r="C9"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7"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11" i="27"/>
  <c r="C821" i="34"/>
  <c r="C353" i="34"/>
  <c r="C717" i="34"/>
  <c r="C1081" i="34"/>
  <c r="C249" i="34"/>
  <c r="L1" i="34"/>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F1" i="36"/>
  <c r="C23" i="29"/>
  <c r="B18" i="29"/>
  <c r="B19" i="29"/>
  <c r="B17" i="29" l="1"/>
  <c r="B17" i="31"/>
  <c r="B18" i="32"/>
  <c r="B19"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B19" i="22" l="1"/>
  <c r="B20" i="22"/>
  <c r="B19" i="24"/>
  <c r="B20" i="24"/>
  <c r="S20" i="24" l="1"/>
  <c r="T20" i="24"/>
  <c r="AB20" i="22"/>
  <c r="AC20" i="22"/>
  <c r="S19" i="24"/>
  <c r="T19" i="24"/>
  <c r="AB19" i="22"/>
  <c r="AC19" i="22"/>
  <c r="Q20" i="22"/>
  <c r="AA20" i="22"/>
  <c r="Q19" i="22"/>
  <c r="AA19" i="22"/>
  <c r="D615" i="34"/>
  <c r="D771" i="34"/>
  <c r="D979" i="34"/>
  <c r="D1031" i="34"/>
  <c r="C1031" i="34"/>
  <c r="C979" i="34"/>
  <c r="G1004" i="34" s="1"/>
  <c r="C927" i="34"/>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AB41" i="22" l="1"/>
  <c r="AC41" i="22"/>
  <c r="AB123" i="22"/>
  <c r="AC123" i="22"/>
  <c r="AB107" i="22"/>
  <c r="AC107" i="22"/>
  <c r="AB91" i="22"/>
  <c r="AC91" i="22"/>
  <c r="AB75" i="22"/>
  <c r="AC75" i="22"/>
  <c r="AB59" i="22"/>
  <c r="AC59" i="22"/>
  <c r="AB43" i="22"/>
  <c r="AC43" i="22"/>
  <c r="AB27" i="22"/>
  <c r="AC27" i="22"/>
  <c r="S77" i="24"/>
  <c r="T77" i="24"/>
  <c r="S61" i="24"/>
  <c r="T61" i="24"/>
  <c r="S45" i="24"/>
  <c r="T45" i="24"/>
  <c r="S29" i="24"/>
  <c r="T29" i="24"/>
  <c r="AB90" i="22"/>
  <c r="AC90" i="22"/>
  <c r="AB58" i="22"/>
  <c r="AC58" i="22"/>
  <c r="AB42" i="22"/>
  <c r="AC42" i="22"/>
  <c r="AB26" i="22"/>
  <c r="AC26" i="22"/>
  <c r="S76" i="24"/>
  <c r="T76" i="24"/>
  <c r="S60" i="24"/>
  <c r="T60" i="24"/>
  <c r="S44" i="24"/>
  <c r="T44" i="24"/>
  <c r="S28" i="24"/>
  <c r="T28" i="24"/>
  <c r="S75" i="24"/>
  <c r="T75" i="24"/>
  <c r="S59" i="24"/>
  <c r="T59" i="24"/>
  <c r="S43" i="24"/>
  <c r="T43" i="24"/>
  <c r="S27" i="24"/>
  <c r="T27" i="24"/>
  <c r="AB106" i="22"/>
  <c r="AC106" i="22"/>
  <c r="AB120" i="22"/>
  <c r="AC120" i="22"/>
  <c r="AB56" i="22"/>
  <c r="AC56" i="22"/>
  <c r="AB40" i="22"/>
  <c r="AC40" i="22"/>
  <c r="AB24" i="22"/>
  <c r="AC24" i="22"/>
  <c r="S74" i="24"/>
  <c r="T74" i="24"/>
  <c r="S58" i="24"/>
  <c r="T58" i="24"/>
  <c r="S42" i="24"/>
  <c r="T42" i="24"/>
  <c r="S26" i="24"/>
  <c r="T26" i="24"/>
  <c r="AB74" i="22"/>
  <c r="AC74" i="22"/>
  <c r="AB119" i="22"/>
  <c r="AC119" i="22"/>
  <c r="AB103" i="22"/>
  <c r="AC103" i="22"/>
  <c r="AB87" i="22"/>
  <c r="AC87" i="22"/>
  <c r="AB71" i="22"/>
  <c r="AC71" i="22"/>
  <c r="AB55" i="22"/>
  <c r="AC55" i="22"/>
  <c r="AB39" i="22"/>
  <c r="AC39" i="22"/>
  <c r="AB23" i="22"/>
  <c r="AC23" i="22"/>
  <c r="S73" i="24"/>
  <c r="T73" i="24"/>
  <c r="S57" i="24"/>
  <c r="T57" i="24"/>
  <c r="S41" i="24"/>
  <c r="T41" i="24"/>
  <c r="S25" i="24"/>
  <c r="T25" i="24"/>
  <c r="AB86" i="22"/>
  <c r="AC86" i="22"/>
  <c r="AB70" i="22"/>
  <c r="AC70" i="22"/>
  <c r="AB54" i="22"/>
  <c r="AC54" i="22"/>
  <c r="AB38" i="22"/>
  <c r="AC38" i="22"/>
  <c r="S88" i="24"/>
  <c r="T88" i="24"/>
  <c r="S72" i="24"/>
  <c r="T72" i="24"/>
  <c r="S56" i="24"/>
  <c r="T56" i="24"/>
  <c r="S40" i="24"/>
  <c r="T40" i="24"/>
  <c r="S39" i="24"/>
  <c r="T39" i="24"/>
  <c r="AB105" i="22"/>
  <c r="AC105" i="22"/>
  <c r="AB118" i="22"/>
  <c r="AC118" i="22"/>
  <c r="AB85" i="22"/>
  <c r="AC85" i="22"/>
  <c r="AB37" i="22"/>
  <c r="AC37" i="22"/>
  <c r="AB100" i="22"/>
  <c r="AC100" i="22"/>
  <c r="AB84" i="22"/>
  <c r="AC84" i="22"/>
  <c r="AB68" i="22"/>
  <c r="AC68" i="22"/>
  <c r="AB52" i="22"/>
  <c r="AC52" i="22"/>
  <c r="AB36" i="22"/>
  <c r="AC36" i="22"/>
  <c r="S86" i="24"/>
  <c r="T86" i="24"/>
  <c r="S70" i="24"/>
  <c r="T70" i="24"/>
  <c r="S54" i="24"/>
  <c r="T54" i="24"/>
  <c r="S38" i="24"/>
  <c r="T38" i="24"/>
  <c r="AB101" i="22"/>
  <c r="AC101" i="22"/>
  <c r="S71" i="24"/>
  <c r="T71" i="24"/>
  <c r="AB116" i="22"/>
  <c r="AC116" i="22"/>
  <c r="AB115" i="22"/>
  <c r="AC115" i="22"/>
  <c r="AB99" i="22"/>
  <c r="AC99" i="22"/>
  <c r="AB83" i="22"/>
  <c r="AC83" i="22"/>
  <c r="AB67" i="22"/>
  <c r="AC67" i="22"/>
  <c r="AB51" i="22"/>
  <c r="AC51" i="22"/>
  <c r="AB35" i="22"/>
  <c r="AC35" i="22"/>
  <c r="S85" i="24"/>
  <c r="T85" i="24"/>
  <c r="S69" i="24"/>
  <c r="T69" i="24"/>
  <c r="S53" i="24"/>
  <c r="T53" i="24"/>
  <c r="S37" i="24"/>
  <c r="T37" i="24"/>
  <c r="AB89" i="22"/>
  <c r="AC89" i="22"/>
  <c r="AB88" i="22"/>
  <c r="AC88" i="22"/>
  <c r="AB117" i="22"/>
  <c r="AC117" i="22"/>
  <c r="AB98" i="22"/>
  <c r="AC98" i="22"/>
  <c r="AB82" i="22"/>
  <c r="AC82" i="22"/>
  <c r="AB66" i="22"/>
  <c r="AC66" i="22"/>
  <c r="AB50" i="22"/>
  <c r="AC50" i="22"/>
  <c r="AB34" i="22"/>
  <c r="AC34" i="22"/>
  <c r="S84" i="24"/>
  <c r="T84" i="24"/>
  <c r="S68" i="24"/>
  <c r="T68" i="24"/>
  <c r="S52" i="24"/>
  <c r="T52" i="24"/>
  <c r="S36" i="24"/>
  <c r="T36" i="24"/>
  <c r="AB102" i="22"/>
  <c r="AC102" i="22"/>
  <c r="AB81" i="22"/>
  <c r="AC81" i="22"/>
  <c r="AB65" i="22"/>
  <c r="AC65" i="22"/>
  <c r="AB49" i="22"/>
  <c r="AC49" i="22"/>
  <c r="AB33" i="22"/>
  <c r="AC33" i="22"/>
  <c r="S83" i="24"/>
  <c r="T83" i="24"/>
  <c r="S67" i="24"/>
  <c r="T67" i="24"/>
  <c r="S51" i="24"/>
  <c r="T51" i="24"/>
  <c r="S35" i="24"/>
  <c r="T35" i="24"/>
  <c r="AB121" i="22"/>
  <c r="AC121" i="22"/>
  <c r="AB25" i="22"/>
  <c r="AC25" i="22"/>
  <c r="AB69" i="22"/>
  <c r="AC69" i="22"/>
  <c r="AB96" i="22"/>
  <c r="AC96" i="22"/>
  <c r="AB80" i="22"/>
  <c r="AC80" i="22"/>
  <c r="AB64" i="22"/>
  <c r="AC64" i="22"/>
  <c r="AB48" i="22"/>
  <c r="AC48" i="22"/>
  <c r="AB32" i="22"/>
  <c r="AC32" i="22"/>
  <c r="S82" i="24"/>
  <c r="T82" i="24"/>
  <c r="S66" i="24"/>
  <c r="T66" i="24"/>
  <c r="S50" i="24"/>
  <c r="T50" i="24"/>
  <c r="S34" i="24"/>
  <c r="T34" i="24"/>
  <c r="AB53" i="22"/>
  <c r="AC53" i="22"/>
  <c r="AB130" i="22"/>
  <c r="AC130" i="22"/>
  <c r="AB129" i="22"/>
  <c r="AC129" i="22"/>
  <c r="AB128" i="22"/>
  <c r="AC128" i="22"/>
  <c r="AB127" i="22"/>
  <c r="AC127" i="22"/>
  <c r="AB111" i="22"/>
  <c r="AC111" i="22"/>
  <c r="AB79" i="22"/>
  <c r="AC79" i="22"/>
  <c r="AB63" i="22"/>
  <c r="AC63" i="22"/>
  <c r="AB47" i="22"/>
  <c r="AC47" i="22"/>
  <c r="AB31" i="22"/>
  <c r="AC31" i="22"/>
  <c r="S81" i="24"/>
  <c r="T81" i="24"/>
  <c r="S65" i="24"/>
  <c r="T65" i="24"/>
  <c r="S49" i="24"/>
  <c r="T49" i="24"/>
  <c r="S33" i="24"/>
  <c r="T33" i="24"/>
  <c r="AB122" i="22"/>
  <c r="AC122" i="22"/>
  <c r="AB57" i="22"/>
  <c r="AC57" i="22"/>
  <c r="AB104" i="22"/>
  <c r="AC104" i="22"/>
  <c r="AB95" i="22"/>
  <c r="AC95" i="22"/>
  <c r="AB126" i="22"/>
  <c r="AC126" i="22"/>
  <c r="AB110" i="22"/>
  <c r="AC110" i="22"/>
  <c r="AB94" i="22"/>
  <c r="AC94" i="22"/>
  <c r="AB78" i="22"/>
  <c r="AC78" i="22"/>
  <c r="AB62" i="22"/>
  <c r="AC62" i="22"/>
  <c r="AB46" i="22"/>
  <c r="AC46" i="22"/>
  <c r="AB30" i="22"/>
  <c r="AC30" i="22"/>
  <c r="S80" i="24"/>
  <c r="T80" i="24"/>
  <c r="S64" i="24"/>
  <c r="T64" i="24"/>
  <c r="S48" i="24"/>
  <c r="T48" i="24"/>
  <c r="S32" i="24"/>
  <c r="T32" i="24"/>
  <c r="AB73" i="22"/>
  <c r="AC73" i="22"/>
  <c r="S55" i="24"/>
  <c r="T55" i="24"/>
  <c r="AB113" i="22"/>
  <c r="AC113" i="22"/>
  <c r="AB109" i="22"/>
  <c r="AC109" i="22"/>
  <c r="AB93" i="22"/>
  <c r="AC93" i="22"/>
  <c r="AB77" i="22"/>
  <c r="AC77" i="22"/>
  <c r="AB61" i="22"/>
  <c r="AC61" i="22"/>
  <c r="AB45" i="22"/>
  <c r="AC45" i="22"/>
  <c r="AB29" i="22"/>
  <c r="AC29" i="22"/>
  <c r="S79" i="24"/>
  <c r="T79" i="24"/>
  <c r="S63" i="24"/>
  <c r="T63" i="24"/>
  <c r="S47" i="24"/>
  <c r="T47" i="24"/>
  <c r="S31" i="24"/>
  <c r="T31" i="24"/>
  <c r="AB72" i="22"/>
  <c r="AC72" i="22"/>
  <c r="S87" i="24"/>
  <c r="T87" i="24"/>
  <c r="AB114" i="22"/>
  <c r="AC114" i="22"/>
  <c r="AB97" i="22"/>
  <c r="AC97" i="22"/>
  <c r="AB112" i="22"/>
  <c r="AC112" i="22"/>
  <c r="AB125" i="22"/>
  <c r="AC125" i="22"/>
  <c r="AB124" i="22"/>
  <c r="AC124" i="22"/>
  <c r="AB108" i="22"/>
  <c r="AC108" i="22"/>
  <c r="AB92" i="22"/>
  <c r="AC92" i="22"/>
  <c r="AB76" i="22"/>
  <c r="AC76" i="22"/>
  <c r="AB60" i="22"/>
  <c r="AC60" i="22"/>
  <c r="AB44" i="22"/>
  <c r="AC44" i="22"/>
  <c r="AB28" i="22"/>
  <c r="AC28" i="22"/>
  <c r="S78" i="24"/>
  <c r="T78" i="24"/>
  <c r="S62" i="24"/>
  <c r="T62" i="24"/>
  <c r="S46" i="24"/>
  <c r="T46" i="24"/>
  <c r="S30" i="24"/>
  <c r="T30" i="24"/>
  <c r="Q91" i="22"/>
  <c r="AA91" i="22"/>
  <c r="Q75" i="22"/>
  <c r="AA75" i="22"/>
  <c r="Q59" i="22"/>
  <c r="AA59" i="22"/>
  <c r="Q43" i="22"/>
  <c r="AA43" i="22"/>
  <c r="Q27" i="22"/>
  <c r="AA27" i="22"/>
  <c r="AA106" i="22"/>
  <c r="Q106" i="22"/>
  <c r="AA90" i="22"/>
  <c r="Q90" i="22"/>
  <c r="AA74" i="22"/>
  <c r="Q74" i="22"/>
  <c r="AA58" i="22"/>
  <c r="Q58" i="22"/>
  <c r="AA42" i="22"/>
  <c r="Q42" i="22"/>
  <c r="AA26" i="22"/>
  <c r="Q26" i="22"/>
  <c r="AA89" i="22"/>
  <c r="Q89" i="22"/>
  <c r="AA73" i="22"/>
  <c r="Q73" i="22"/>
  <c r="AA57" i="22"/>
  <c r="Q57" i="22"/>
  <c r="AA41" i="22"/>
  <c r="Q41" i="22"/>
  <c r="AA25" i="22"/>
  <c r="Q25" i="22"/>
  <c r="AA120" i="22"/>
  <c r="Q120" i="22"/>
  <c r="AA104" i="22"/>
  <c r="Q104" i="22"/>
  <c r="AA88" i="22"/>
  <c r="Q88" i="22"/>
  <c r="AA72" i="22"/>
  <c r="Q72" i="22"/>
  <c r="AA56" i="22"/>
  <c r="Q56" i="22"/>
  <c r="AA40" i="22"/>
  <c r="Q40" i="22"/>
  <c r="AA24" i="22"/>
  <c r="Q24" i="22"/>
  <c r="Q119" i="22"/>
  <c r="AA119" i="22"/>
  <c r="Q103" i="22"/>
  <c r="AA103" i="22"/>
  <c r="Q87" i="22"/>
  <c r="AA87" i="22"/>
  <c r="Q71" i="22"/>
  <c r="AA71" i="22"/>
  <c r="Q55" i="22"/>
  <c r="AA55" i="22"/>
  <c r="Q39" i="22"/>
  <c r="AA39" i="22"/>
  <c r="Q23" i="22"/>
  <c r="AA23" i="22"/>
  <c r="Q118" i="22"/>
  <c r="AA118" i="22"/>
  <c r="Q102" i="22"/>
  <c r="AA102" i="22"/>
  <c r="Q86" i="22"/>
  <c r="AA86" i="22"/>
  <c r="Q70" i="22"/>
  <c r="AA70" i="22"/>
  <c r="Q54" i="22"/>
  <c r="AA54" i="22"/>
  <c r="Q38" i="22"/>
  <c r="AA38" i="22"/>
  <c r="AA122" i="22"/>
  <c r="Q122" i="22"/>
  <c r="Q101" i="22"/>
  <c r="AA101" i="22"/>
  <c r="Q85" i="22"/>
  <c r="AA85" i="22"/>
  <c r="Q69" i="22"/>
  <c r="AA69" i="22"/>
  <c r="Q53" i="22"/>
  <c r="AA53" i="22"/>
  <c r="Q37" i="22"/>
  <c r="AA37" i="22"/>
  <c r="Q84" i="22"/>
  <c r="AA84" i="22"/>
  <c r="Q68" i="22"/>
  <c r="AA68" i="22"/>
  <c r="Q52" i="22"/>
  <c r="AA52" i="22"/>
  <c r="Q36" i="22"/>
  <c r="AA36" i="22"/>
  <c r="Q67" i="22"/>
  <c r="AA67" i="22"/>
  <c r="Q51" i="22"/>
  <c r="AA51" i="22"/>
  <c r="Q35" i="22"/>
  <c r="AA35" i="22"/>
  <c r="Q123" i="22"/>
  <c r="AA123" i="22"/>
  <c r="AA114" i="22"/>
  <c r="Q114" i="22"/>
  <c r="AA98" i="22"/>
  <c r="Q98" i="22"/>
  <c r="AA82" i="22"/>
  <c r="Q82" i="22"/>
  <c r="AA66" i="22"/>
  <c r="Q66" i="22"/>
  <c r="AA50" i="22"/>
  <c r="Q50" i="22"/>
  <c r="AA34" i="22"/>
  <c r="Q34" i="22"/>
  <c r="Q107" i="22"/>
  <c r="AA107" i="22"/>
  <c r="Q117" i="22"/>
  <c r="AA117" i="22"/>
  <c r="AA129" i="22"/>
  <c r="Q129" i="22"/>
  <c r="AA113" i="22"/>
  <c r="Q113" i="22"/>
  <c r="AA97" i="22"/>
  <c r="Q97" i="22"/>
  <c r="AA81" i="22"/>
  <c r="Q81" i="22"/>
  <c r="AA65" i="22"/>
  <c r="Q65" i="22"/>
  <c r="AA49" i="22"/>
  <c r="Q49" i="22"/>
  <c r="AA33" i="22"/>
  <c r="Q33" i="22"/>
  <c r="Q100" i="22"/>
  <c r="AA100" i="22"/>
  <c r="Q128" i="22"/>
  <c r="AA128" i="22"/>
  <c r="Q112" i="22"/>
  <c r="AA112" i="22"/>
  <c r="Q96" i="22"/>
  <c r="AA96" i="22"/>
  <c r="Q80" i="22"/>
  <c r="AA80" i="22"/>
  <c r="AA64" i="22"/>
  <c r="Q64" i="22"/>
  <c r="AA48" i="22"/>
  <c r="Q48" i="22"/>
  <c r="Q32" i="22"/>
  <c r="AA32" i="22"/>
  <c r="Q83" i="22"/>
  <c r="AA83" i="22"/>
  <c r="AA127" i="22"/>
  <c r="Q127" i="22"/>
  <c r="AA111" i="22"/>
  <c r="Q111" i="22"/>
  <c r="AA95" i="22"/>
  <c r="Q95" i="22"/>
  <c r="AA79" i="22"/>
  <c r="Q79" i="22"/>
  <c r="AA63" i="22"/>
  <c r="Q63" i="22"/>
  <c r="AA47" i="22"/>
  <c r="Q47" i="22"/>
  <c r="AA31" i="22"/>
  <c r="Q31" i="22"/>
  <c r="AA105" i="22"/>
  <c r="Q105" i="22"/>
  <c r="Q115" i="22"/>
  <c r="AA115" i="22"/>
  <c r="AA126" i="22"/>
  <c r="Q126" i="22"/>
  <c r="AA110" i="22"/>
  <c r="Q110" i="22"/>
  <c r="AA94" i="22"/>
  <c r="Q94" i="22"/>
  <c r="AA78" i="22"/>
  <c r="Q78" i="22"/>
  <c r="AA62" i="22"/>
  <c r="Q62" i="22"/>
  <c r="AA46" i="22"/>
  <c r="Q46" i="22"/>
  <c r="AA30" i="22"/>
  <c r="Q30" i="22"/>
  <c r="Q99" i="22"/>
  <c r="AA99" i="22"/>
  <c r="AA125" i="22"/>
  <c r="Q125" i="22"/>
  <c r="AA109" i="22"/>
  <c r="Q109" i="22"/>
  <c r="AA93" i="22"/>
  <c r="Q93" i="22"/>
  <c r="AA77" i="22"/>
  <c r="Q77" i="22"/>
  <c r="AA61" i="22"/>
  <c r="Q61" i="22"/>
  <c r="AA45" i="22"/>
  <c r="Q45" i="22"/>
  <c r="AA29" i="22"/>
  <c r="Q29" i="22"/>
  <c r="AA121" i="22"/>
  <c r="Q121" i="22"/>
  <c r="Q116" i="22"/>
  <c r="AA116" i="22"/>
  <c r="AA130" i="22"/>
  <c r="Q130" i="22"/>
  <c r="AA124" i="22"/>
  <c r="Q124" i="22"/>
  <c r="AA108" i="22"/>
  <c r="Q108" i="22"/>
  <c r="AA92" i="22"/>
  <c r="Q92" i="22"/>
  <c r="AA76" i="22"/>
  <c r="Q76" i="22"/>
  <c r="AA60" i="22"/>
  <c r="Q60" i="22"/>
  <c r="AA44" i="22"/>
  <c r="Q44" i="22"/>
  <c r="AA28" i="22"/>
  <c r="Q28" i="22"/>
  <c r="M955" i="34"/>
  <c r="C32" i="34"/>
  <c r="M747" i="34"/>
  <c r="C28" i="34"/>
  <c r="M1007" i="34"/>
  <c r="C33" i="34"/>
  <c r="M695" i="34"/>
  <c r="C27" i="34"/>
  <c r="M591" i="34"/>
  <c r="C25" i="34"/>
  <c r="M851" i="34"/>
  <c r="C30" i="34"/>
  <c r="M643" i="34"/>
  <c r="C26" i="34"/>
  <c r="M903" i="34"/>
  <c r="C31" i="34"/>
  <c r="B149" i="24"/>
  <c r="A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W104" i="24"/>
  <c r="X104" i="24"/>
  <c r="Y104" i="24"/>
  <c r="Z104" i="24"/>
  <c r="AA104" i="24"/>
  <c r="AB104" i="24"/>
  <c r="AC104" i="24"/>
  <c r="AD104" i="24"/>
  <c r="CX104" i="24" s="1"/>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W108" i="24"/>
  <c r="X108" i="24"/>
  <c r="Y108" i="24"/>
  <c r="Z108" i="24"/>
  <c r="AA108" i="24"/>
  <c r="AB108" i="24"/>
  <c r="AC108" i="24"/>
  <c r="AD108" i="24"/>
  <c r="CX108" i="24" s="1"/>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W120" i="24"/>
  <c r="X120" i="24"/>
  <c r="Y120" i="24"/>
  <c r="Z120" i="24"/>
  <c r="AA120" i="24"/>
  <c r="AB120" i="24"/>
  <c r="AC120" i="24"/>
  <c r="AD120" i="24"/>
  <c r="CX120" i="24" s="1"/>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W122" i="24"/>
  <c r="X122" i="24"/>
  <c r="Y122" i="24"/>
  <c r="Z122" i="24"/>
  <c r="AA122" i="24"/>
  <c r="AB122" i="24"/>
  <c r="AC122" i="24"/>
  <c r="CW122" i="24" s="1"/>
  <c r="AD122" i="24"/>
  <c r="AE122" i="24"/>
  <c r="AF122" i="24"/>
  <c r="AI122" i="24"/>
  <c r="AJ122" i="24"/>
  <c r="AK122" i="24"/>
  <c r="AL122" i="24"/>
  <c r="AM122" i="24"/>
  <c r="AN122" i="24"/>
  <c r="AO122" i="24"/>
  <c r="AP122" i="24"/>
  <c r="AQ122" i="24"/>
  <c r="AR122" i="24"/>
  <c r="B123" i="24"/>
  <c r="R123" i="24"/>
  <c r="CS123" i="24"/>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W128" i="24"/>
  <c r="CQ128" i="24" s="1"/>
  <c r="X128" i="24"/>
  <c r="Y128" i="24"/>
  <c r="Z128" i="24"/>
  <c r="AA128" i="24"/>
  <c r="AB128" i="24"/>
  <c r="AC128" i="24"/>
  <c r="AD128" i="24"/>
  <c r="AE128" i="24"/>
  <c r="AF128" i="24"/>
  <c r="AI128" i="24"/>
  <c r="AJ128" i="24"/>
  <c r="AK128" i="24"/>
  <c r="AL128" i="24"/>
  <c r="AM128" i="24"/>
  <c r="AN128" i="24"/>
  <c r="AO128" i="24"/>
  <c r="AP128" i="24"/>
  <c r="AQ128" i="24"/>
  <c r="AR128" i="24"/>
  <c r="B129" i="24"/>
  <c r="R129" i="24"/>
  <c r="W129" i="24"/>
  <c r="X129" i="24"/>
  <c r="CR129" i="24" s="1"/>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W133" i="24"/>
  <c r="X133" i="24"/>
  <c r="Y133" i="24"/>
  <c r="Z133" i="24"/>
  <c r="AA133" i="24"/>
  <c r="AB133" i="24"/>
  <c r="CV133" i="24" s="1"/>
  <c r="AC133" i="24"/>
  <c r="AD133" i="24"/>
  <c r="AE133" i="24"/>
  <c r="AF133" i="24"/>
  <c r="AI133" i="24"/>
  <c r="AJ133" i="24"/>
  <c r="AK133" i="24"/>
  <c r="AL133" i="24"/>
  <c r="AM133" i="24"/>
  <c r="AN133" i="24"/>
  <c r="AO133" i="24"/>
  <c r="AP133" i="24"/>
  <c r="AQ133" i="24"/>
  <c r="AR133" i="24"/>
  <c r="B134" i="24"/>
  <c r="R134" i="24"/>
  <c r="W134" i="24"/>
  <c r="X134" i="24"/>
  <c r="Y134" i="24"/>
  <c r="Z134" i="24"/>
  <c r="AA134" i="24"/>
  <c r="AB134" i="24"/>
  <c r="CV134" i="24" s="1"/>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AB191" i="22"/>
  <c r="AD191" i="22"/>
  <c r="AE191" i="22"/>
  <c r="AF191" i="22" s="1"/>
  <c r="AB186" i="22" l="1"/>
  <c r="AC186" i="22"/>
  <c r="AB149" i="22"/>
  <c r="AC149" i="22"/>
  <c r="AB145" i="22"/>
  <c r="AC145" i="22"/>
  <c r="S141" i="24"/>
  <c r="T141" i="24"/>
  <c r="S133" i="24"/>
  <c r="T133" i="24"/>
  <c r="S125" i="24"/>
  <c r="T125" i="24"/>
  <c r="AB181" i="22"/>
  <c r="AC181" i="22"/>
  <c r="S101" i="24"/>
  <c r="T101" i="24"/>
  <c r="AB153" i="22"/>
  <c r="AC153" i="22"/>
  <c r="S146" i="24"/>
  <c r="T146" i="24"/>
  <c r="S138" i="24"/>
  <c r="T138" i="24"/>
  <c r="S130" i="24"/>
  <c r="T130" i="24"/>
  <c r="AB144" i="22"/>
  <c r="AC144" i="22"/>
  <c r="S122" i="24"/>
  <c r="T122" i="24"/>
  <c r="S106" i="24"/>
  <c r="T106" i="24"/>
  <c r="AB185" i="22"/>
  <c r="AC185" i="22"/>
  <c r="AB171" i="22"/>
  <c r="AC171" i="22"/>
  <c r="AB162" i="22"/>
  <c r="AC162" i="22"/>
  <c r="AB148" i="22"/>
  <c r="AC148" i="22"/>
  <c r="S143" i="24"/>
  <c r="T143" i="24"/>
  <c r="S135" i="24"/>
  <c r="T135" i="24"/>
  <c r="S127" i="24"/>
  <c r="T127" i="24"/>
  <c r="AB180" i="22"/>
  <c r="AC180" i="22"/>
  <c r="AB166" i="22"/>
  <c r="AC166" i="22"/>
  <c r="AB157" i="22"/>
  <c r="AC157" i="22"/>
  <c r="S119" i="24"/>
  <c r="T119" i="24"/>
  <c r="S111" i="24"/>
  <c r="T111" i="24"/>
  <c r="S103" i="24"/>
  <c r="T103" i="24"/>
  <c r="AB187" i="22"/>
  <c r="AC187" i="22"/>
  <c r="AB163" i="22"/>
  <c r="AC163" i="22"/>
  <c r="AB176" i="22"/>
  <c r="AC176" i="22"/>
  <c r="AB164" i="22"/>
  <c r="AC164" i="22"/>
  <c r="S109" i="24"/>
  <c r="T109" i="24"/>
  <c r="AB190" i="22"/>
  <c r="AC190" i="22"/>
  <c r="S114" i="24"/>
  <c r="T114" i="24"/>
  <c r="AB189" i="22"/>
  <c r="AC189" i="22"/>
  <c r="AB175" i="22"/>
  <c r="AC175" i="22"/>
  <c r="AB152" i="22"/>
  <c r="AC152" i="22"/>
  <c r="AB143" i="22"/>
  <c r="AC143" i="22"/>
  <c r="S140" i="24"/>
  <c r="T140" i="24"/>
  <c r="S132" i="24"/>
  <c r="T132" i="24"/>
  <c r="S124" i="24"/>
  <c r="T124" i="24"/>
  <c r="AB184" i="22"/>
  <c r="AC184" i="22"/>
  <c r="AB161" i="22"/>
  <c r="AC161" i="22"/>
  <c r="S116" i="24"/>
  <c r="T116" i="24"/>
  <c r="S108" i="24"/>
  <c r="T108" i="24"/>
  <c r="S100" i="24"/>
  <c r="T100" i="24"/>
  <c r="AB173" i="22"/>
  <c r="AC173" i="22"/>
  <c r="AB170" i="22"/>
  <c r="AC170" i="22"/>
  <c r="AB156" i="22"/>
  <c r="AC156" i="22"/>
  <c r="AB147" i="22"/>
  <c r="AC147" i="22"/>
  <c r="S145" i="24"/>
  <c r="T145" i="24"/>
  <c r="S137" i="24"/>
  <c r="T137" i="24"/>
  <c r="S129" i="24"/>
  <c r="T129" i="24"/>
  <c r="AB172" i="22"/>
  <c r="AC172" i="22"/>
  <c r="S117" i="24"/>
  <c r="T117" i="24"/>
  <c r="AB167" i="22"/>
  <c r="AC167" i="22"/>
  <c r="AB188" i="22"/>
  <c r="AC188" i="22"/>
  <c r="AB151" i="22"/>
  <c r="AC151" i="22"/>
  <c r="S105" i="24"/>
  <c r="T105" i="24"/>
  <c r="AB174" i="22"/>
  <c r="AC174" i="22"/>
  <c r="S142" i="24"/>
  <c r="T142" i="24"/>
  <c r="S134" i="24"/>
  <c r="T134" i="24"/>
  <c r="S126" i="24"/>
  <c r="T126" i="24"/>
  <c r="AB183" i="22"/>
  <c r="AC183" i="22"/>
  <c r="AB169" i="22"/>
  <c r="AC169" i="22"/>
  <c r="AB160" i="22"/>
  <c r="AC160" i="22"/>
  <c r="S118" i="24"/>
  <c r="T118" i="24"/>
  <c r="S110" i="24"/>
  <c r="T110" i="24"/>
  <c r="S102" i="24"/>
  <c r="T102" i="24"/>
  <c r="AB158" i="22"/>
  <c r="AC158" i="22"/>
  <c r="AB179" i="22"/>
  <c r="AC179" i="22"/>
  <c r="AB165" i="22"/>
  <c r="AC165" i="22"/>
  <c r="S121" i="24"/>
  <c r="T121" i="24"/>
  <c r="S113" i="24"/>
  <c r="T113" i="24"/>
  <c r="AB178" i="22"/>
  <c r="AC178" i="22"/>
  <c r="AB155" i="22"/>
  <c r="AC155" i="22"/>
  <c r="AB146" i="22"/>
  <c r="AC146" i="22"/>
  <c r="S147" i="24"/>
  <c r="T147" i="24"/>
  <c r="S139" i="24"/>
  <c r="T139" i="24"/>
  <c r="S131" i="24"/>
  <c r="T131" i="24"/>
  <c r="AB150" i="22"/>
  <c r="AC150" i="22"/>
  <c r="S123" i="24"/>
  <c r="T123" i="24"/>
  <c r="S115" i="24"/>
  <c r="T115" i="24"/>
  <c r="S107" i="24"/>
  <c r="T107" i="24"/>
  <c r="S99" i="24"/>
  <c r="T99" i="24"/>
  <c r="AB182" i="22"/>
  <c r="AC182" i="22"/>
  <c r="AB168" i="22"/>
  <c r="AC168" i="22"/>
  <c r="S144" i="24"/>
  <c r="T144" i="24"/>
  <c r="S136" i="24"/>
  <c r="T136" i="24"/>
  <c r="S128" i="24"/>
  <c r="T128" i="24"/>
  <c r="AB177" i="22"/>
  <c r="AC177" i="22"/>
  <c r="AB159" i="22"/>
  <c r="AC159" i="22"/>
  <c r="AB154" i="22"/>
  <c r="AC154" i="22"/>
  <c r="S120" i="24"/>
  <c r="T120" i="24"/>
  <c r="S112" i="24"/>
  <c r="T112" i="24"/>
  <c r="S104" i="24"/>
  <c r="T104" i="24"/>
  <c r="S149" i="24"/>
  <c r="T149" i="24"/>
  <c r="AS100" i="24"/>
  <c r="AG125" i="24"/>
  <c r="AG147" i="24"/>
  <c r="AS146" i="24"/>
  <c r="AG128" i="24"/>
  <c r="AG111" i="24"/>
  <c r="AG109" i="24"/>
  <c r="AS145" i="24"/>
  <c r="AS102" i="24"/>
  <c r="AG129" i="24"/>
  <c r="AG124" i="24"/>
  <c r="AG136" i="24"/>
  <c r="AS132" i="24"/>
  <c r="AA146" i="22"/>
  <c r="Q146" i="22"/>
  <c r="AA173" i="22"/>
  <c r="Q173" i="22"/>
  <c r="AA185" i="22"/>
  <c r="Q185" i="22"/>
  <c r="Q171" i="22"/>
  <c r="AA171" i="22"/>
  <c r="AA162" i="22"/>
  <c r="Q162" i="22"/>
  <c r="Q148" i="22"/>
  <c r="AA148" i="22"/>
  <c r="AA189" i="22"/>
  <c r="Q189" i="22"/>
  <c r="AA175" i="22"/>
  <c r="Q175" i="22"/>
  <c r="AA152" i="22"/>
  <c r="Q152" i="22"/>
  <c r="AA143" i="22"/>
  <c r="Q143" i="22"/>
  <c r="AA184" i="22"/>
  <c r="Q184" i="22"/>
  <c r="AA161" i="22"/>
  <c r="Q161" i="22"/>
  <c r="Q147" i="22"/>
  <c r="AA147" i="22"/>
  <c r="Q179" i="22"/>
  <c r="AA179" i="22"/>
  <c r="AA188" i="22"/>
  <c r="Q188" i="22"/>
  <c r="Q165" i="22"/>
  <c r="AA165" i="22"/>
  <c r="Q151" i="22"/>
  <c r="AA151" i="22"/>
  <c r="AA157" i="22"/>
  <c r="Q157" i="22"/>
  <c r="AA174" i="22"/>
  <c r="Q174" i="22"/>
  <c r="Q183" i="22"/>
  <c r="AA183" i="22"/>
  <c r="AA169" i="22"/>
  <c r="Q169" i="22"/>
  <c r="AA160" i="22"/>
  <c r="Q160" i="22"/>
  <c r="Q156" i="22"/>
  <c r="AA156" i="22"/>
  <c r="Q182" i="22"/>
  <c r="AA182" i="22"/>
  <c r="AA168" i="22"/>
  <c r="Q168" i="22"/>
  <c r="AA177" i="22"/>
  <c r="Q177" i="22"/>
  <c r="AA159" i="22"/>
  <c r="Q159" i="22"/>
  <c r="AA154" i="22"/>
  <c r="Q154" i="22"/>
  <c r="AA178" i="22"/>
  <c r="Q178" i="22"/>
  <c r="Q164" i="22"/>
  <c r="AA164" i="22"/>
  <c r="Q150" i="22"/>
  <c r="AA150" i="22"/>
  <c r="AA191" i="22"/>
  <c r="Q191" i="22"/>
  <c r="Q149" i="22"/>
  <c r="AA149" i="22"/>
  <c r="AA145" i="22"/>
  <c r="Q145" i="22"/>
  <c r="Q166" i="22"/>
  <c r="AA166" i="22"/>
  <c r="AA170" i="22"/>
  <c r="Q170" i="22"/>
  <c r="Q155" i="22"/>
  <c r="AA155" i="22"/>
  <c r="Q167" i="22"/>
  <c r="AA167" i="22"/>
  <c r="AA158" i="22"/>
  <c r="Q158" i="22"/>
  <c r="AA153" i="22"/>
  <c r="Q153" i="22"/>
  <c r="Q192" i="22"/>
  <c r="AA192" i="22"/>
  <c r="Q180" i="22"/>
  <c r="AA180" i="22"/>
  <c r="Q187" i="22"/>
  <c r="AA187" i="22"/>
  <c r="AA186" i="22"/>
  <c r="Q186" i="22"/>
  <c r="Q181" i="22"/>
  <c r="AA181" i="22"/>
  <c r="Q172" i="22"/>
  <c r="AA172" i="22"/>
  <c r="Q163" i="22"/>
  <c r="AA163" i="22"/>
  <c r="AA190" i="22"/>
  <c r="Q190" i="22"/>
  <c r="Q176" i="22"/>
  <c r="AA176" i="22"/>
  <c r="AA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B21" i="22" l="1"/>
  <c r="B22" i="22"/>
  <c r="B21" i="24"/>
  <c r="B22" i="24"/>
  <c r="AB22" i="22" l="1"/>
  <c r="AC22" i="22"/>
  <c r="S22" i="24"/>
  <c r="T22" i="24"/>
  <c r="S21" i="24"/>
  <c r="T21" i="24"/>
  <c r="AB21" i="22"/>
  <c r="AC21" i="22"/>
  <c r="Q22" i="22"/>
  <c r="AA22" i="22"/>
  <c r="Q21" i="22"/>
  <c r="AA21" i="22"/>
  <c r="AF18" i="22"/>
  <c r="AF19" i="22"/>
  <c r="B24" i="24" l="1"/>
  <c r="B23" i="24"/>
  <c r="AF44" i="22"/>
  <c r="AF40" i="22"/>
  <c r="AF36" i="22"/>
  <c r="AF29" i="22"/>
  <c r="S23" i="24" l="1"/>
  <c r="T23" i="24"/>
  <c r="S24" i="24"/>
  <c r="T24" i="24"/>
  <c r="G3421" i="33"/>
  <c r="L459" i="34"/>
  <c r="J23" i="34" s="1"/>
  <c r="L407" i="34"/>
  <c r="J22" i="34" s="1"/>
  <c r="AE18" i="22" l="1"/>
  <c r="AE19" i="22"/>
  <c r="AE20" i="22"/>
  <c r="L771" i="34" s="1"/>
  <c r="J29" i="34" s="1"/>
  <c r="AE21" i="22"/>
  <c r="AE22" i="22"/>
  <c r="AE23" i="22"/>
  <c r="AE24" i="22"/>
  <c r="AF24" i="22" s="1"/>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511" i="34" s="1"/>
  <c r="L1031" i="34" l="1"/>
  <c r="J34" i="34" s="1"/>
  <c r="J24" i="34"/>
  <c r="L95" i="34"/>
  <c r="J16" i="34" s="1"/>
  <c r="L199" i="34"/>
  <c r="J18" i="34" s="1"/>
  <c r="L147" i="34"/>
  <c r="J17" i="34" s="1"/>
  <c r="L43" i="34"/>
  <c r="J15" i="34" s="1"/>
  <c r="AF22" i="22"/>
  <c r="L355" i="34"/>
  <c r="J21" i="34" s="1"/>
  <c r="AF21" i="22"/>
  <c r="L303" i="34"/>
  <c r="J20" i="34" s="1"/>
  <c r="AF20" i="22"/>
  <c r="L251" i="34"/>
  <c r="J19" i="34" s="1"/>
  <c r="AE193" i="22"/>
  <c r="AF17" i="22"/>
  <c r="J12" i="22" l="1"/>
  <c r="M11" i="25" s="1"/>
  <c r="L1083" i="34"/>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BU111" i="24"/>
  <c r="BZ111" i="24"/>
  <c r="S163" i="22"/>
  <c r="U163" i="22"/>
  <c r="R163" i="22"/>
  <c r="Z163" i="22"/>
  <c r="X163" i="22"/>
  <c r="W163" i="22"/>
  <c r="V163" i="22"/>
  <c r="T163" i="22"/>
  <c r="Y163" i="22"/>
  <c r="R168" i="22"/>
  <c r="BG168" i="22" s="1"/>
  <c r="S168" i="22"/>
  <c r="U168" i="22"/>
  <c r="X168" i="22"/>
  <c r="V168" i="22"/>
  <c r="T168" i="22"/>
  <c r="Z168" i="22"/>
  <c r="Y168" i="22"/>
  <c r="W168" i="22"/>
  <c r="CE18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I15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U150" i="22"/>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EE118" i="24" s="1"/>
  <c r="BS118" i="24"/>
  <c r="BX118" i="24"/>
  <c r="BU118" i="24"/>
  <c r="BV118" i="24"/>
  <c r="CM118" i="24"/>
  <c r="CJ118" i="24"/>
  <c r="CB118" i="24"/>
  <c r="BZ118" i="24"/>
  <c r="BW118" i="24"/>
  <c r="CG118" i="24"/>
  <c r="CA118" i="24"/>
  <c r="DW118" i="24" s="1"/>
  <c r="BY118" i="24"/>
  <c r="CF118" i="24"/>
  <c r="CH118" i="24"/>
  <c r="ED118" i="24" s="1"/>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EJ146" i="24" s="1"/>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EB109" i="24" s="1"/>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EH121" i="24" s="1"/>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EE124" i="24" s="1"/>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J35" i="34"/>
  <c r="AE16" i="22"/>
  <c r="EJ143" i="24" l="1"/>
  <c r="DV101" i="24"/>
  <c r="EE111" i="24"/>
  <c r="EC118" i="24"/>
  <c r="DF118" i="24"/>
  <c r="EH138" i="24"/>
  <c r="EI124" i="24"/>
  <c r="EJ109" i="24"/>
  <c r="ED104" i="24"/>
  <c r="EB136" i="24"/>
  <c r="DR143" i="24"/>
  <c r="EH147" i="24"/>
  <c r="DJ103" i="24"/>
  <c r="DF122" i="24"/>
  <c r="BG177" i="22"/>
  <c r="CE177" i="22" s="1"/>
  <c r="DB165" i="22"/>
  <c r="FJ165" i="22" s="1"/>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DD181" i="22" s="1"/>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DR170" i="22"/>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AN187" i="22"/>
  <c r="BN157" i="22"/>
  <c r="BO157" i="22"/>
  <c r="BE112" i="24"/>
  <c r="DO112" i="24"/>
  <c r="DC112" i="24"/>
  <c r="DS112" i="24"/>
  <c r="DG112" i="24"/>
  <c r="DF112" i="24"/>
  <c r="DR112" i="24"/>
  <c r="CD178" i="22"/>
  <c r="DB178" i="22"/>
  <c r="BT165"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R18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BS143" i="22"/>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CR161"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L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FK177" i="22" l="1"/>
  <c r="BT179" i="22"/>
  <c r="EX159" i="22"/>
  <c r="CL190" i="22"/>
  <c r="CF181" i="22"/>
  <c r="CR179" i="22"/>
  <c r="DP179" i="22"/>
  <c r="CH190" i="22"/>
  <c r="FN190" i="22" s="1"/>
  <c r="CE183" i="22"/>
  <c r="CH159" i="22"/>
  <c r="DD172" i="22"/>
  <c r="DZ180" i="22"/>
  <c r="EL180" i="22" s="1"/>
  <c r="DZ188" i="22"/>
  <c r="EL188" i="22" s="1"/>
  <c r="CH152" i="22"/>
  <c r="FN152" i="22" s="1"/>
  <c r="CL173" i="22"/>
  <c r="FR173" i="22" s="1"/>
  <c r="CS172" i="22"/>
  <c r="CG176" i="22"/>
  <c r="FM176" i="22" s="1"/>
  <c r="DQ175" i="22"/>
  <c r="CR191" i="22"/>
  <c r="BT191" i="22"/>
  <c r="DP191" i="22"/>
  <c r="BU182" i="22"/>
  <c r="DQ182" i="22"/>
  <c r="CS182" i="22"/>
  <c r="BU172" i="22"/>
  <c r="DQ172" i="22"/>
  <c r="EY166" i="22"/>
  <c r="CF150" i="22"/>
  <c r="FL150" i="22" s="1"/>
  <c r="DZ158" i="22"/>
  <c r="EL158" i="22" s="1"/>
  <c r="DQ183" i="22"/>
  <c r="CL162" i="22"/>
  <c r="FR162" i="22" s="1"/>
  <c r="EX186" i="22"/>
  <c r="DK156" i="22"/>
  <c r="FS156" i="22" s="1"/>
  <c r="DZ168" i="22"/>
  <c r="EL168" i="22" s="1"/>
  <c r="EX181" i="22"/>
  <c r="CS170" i="22"/>
  <c r="CA145" i="22"/>
  <c r="CG165" i="22"/>
  <c r="FM165" i="22" s="1"/>
  <c r="EY161" i="22"/>
  <c r="CT182" i="22"/>
  <c r="CL166" i="22"/>
  <c r="FR166" i="22" s="1"/>
  <c r="DO155" i="22"/>
  <c r="DZ185" i="22"/>
  <c r="DD154" i="22"/>
  <c r="FL154" i="22" s="1"/>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EX154"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DO191" i="22"/>
  <c r="BW161" i="22"/>
  <c r="CT151" i="22"/>
  <c r="DH183" i="22"/>
  <c r="FP183" i="22" s="1"/>
  <c r="DI156" i="22"/>
  <c r="FQ156" i="22" s="1"/>
  <c r="DE150" i="22"/>
  <c r="FM150" i="22" s="1"/>
  <c r="DU148" i="22"/>
  <c r="DD191" i="22"/>
  <c r="FL191" i="22" s="1"/>
  <c r="BU178" i="22"/>
  <c r="BU174" i="22"/>
  <c r="EC174" i="22" s="1"/>
  <c r="EO174" i="22" s="1"/>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CJ152" i="22"/>
  <c r="DH152" i="22"/>
  <c r="BU152" i="22"/>
  <c r="DQ152" i="22"/>
  <c r="CS152" i="22"/>
  <c r="CE152" i="22"/>
  <c r="DC152" i="22"/>
  <c r="DG152" i="22"/>
  <c r="CI152" i="22"/>
  <c r="DO152" i="22"/>
  <c r="CQ152" i="22"/>
  <c r="BS152" i="22"/>
  <c r="DY127" i="24"/>
  <c r="DS169" i="22"/>
  <c r="BW169" i="22"/>
  <c r="CU169" i="22"/>
  <c r="BD174" i="22"/>
  <c r="O178" i="35" s="1"/>
  <c r="DG147" i="22"/>
  <c r="CI147" i="22"/>
  <c r="DM133" i="24"/>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EH191" i="22" l="1"/>
  <c r="ET191" i="22" s="1"/>
  <c r="FB183" i="22"/>
  <c r="EZ191" i="22"/>
  <c r="FA174" i="22"/>
  <c r="EI146" i="22"/>
  <c r="EC175" i="22"/>
  <c r="ED170" i="22"/>
  <c r="EB188" i="22"/>
  <c r="EN188" i="22" s="1"/>
  <c r="EB191" i="22"/>
  <c r="EN191" i="22" s="1"/>
  <c r="EC190" i="22"/>
  <c r="EO190" i="22" s="1"/>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l="1"/>
  <c r="C12" i="37"/>
  <c r="C8" i="25"/>
  <c r="C5" i="32"/>
  <c r="C766" i="34"/>
  <c r="C350" i="34"/>
  <c r="C8" i="34"/>
  <c r="C714" i="34"/>
  <c r="C298" i="34"/>
  <c r="C1078" i="34"/>
  <c r="C662" i="34"/>
  <c r="C246" i="34"/>
  <c r="C1026" i="34"/>
  <c r="C610" i="34"/>
  <c r="C194" i="34"/>
  <c r="C90" i="34"/>
  <c r="C922" i="34"/>
  <c r="C974" i="34"/>
  <c r="C558" i="34"/>
  <c r="C142" i="34"/>
  <c r="C11" i="35"/>
  <c r="C8" i="27"/>
  <c r="C870" i="34"/>
  <c r="C454" i="34"/>
  <c r="C38" i="34"/>
  <c r="C818" i="34"/>
  <c r="C402" i="34"/>
  <c r="C506" i="34"/>
  <c r="C145" i="33"/>
  <c r="C753" i="33"/>
  <c r="C3879" i="33"/>
  <c r="C3481" i="33"/>
  <c r="C3065" i="33"/>
  <c r="C2649" i="33"/>
  <c r="C2249" i="33"/>
  <c r="C1865" i="33"/>
  <c r="C1465" i="33"/>
  <c r="C1065" i="33"/>
  <c r="C649" i="33"/>
  <c r="C249" i="33"/>
  <c r="C2805" i="33"/>
  <c r="C3585" i="33"/>
  <c r="C2285" i="33"/>
  <c r="C1621" i="33"/>
  <c r="C2753" i="33"/>
  <c r="C3117" i="33"/>
  <c r="C3845" i="33"/>
  <c r="C3429" i="33"/>
  <c r="C3013" i="33"/>
  <c r="C2597" i="33"/>
  <c r="C2213" i="33"/>
  <c r="C1829" i="33"/>
  <c r="C1413" i="33"/>
  <c r="C1013" i="33"/>
  <c r="C597" i="33"/>
  <c r="C197" i="33"/>
  <c r="C8" i="33"/>
  <c r="C3637" i="33"/>
  <c r="C2337" i="33"/>
  <c r="C3533" i="33"/>
  <c r="C857" i="33"/>
  <c r="C2021" i="33"/>
  <c r="C1169" i="33"/>
  <c r="C3793" i="33"/>
  <c r="C3377" i="33"/>
  <c r="C2961" i="33"/>
  <c r="C2545" i="33"/>
  <c r="C2161" i="33"/>
  <c r="C1777" i="33"/>
  <c r="C1361" i="33"/>
  <c r="C961" i="33"/>
  <c r="C545" i="33"/>
  <c r="C805" i="33"/>
  <c r="C1257" i="33"/>
  <c r="C2389" i="33"/>
  <c r="C1569" i="33"/>
  <c r="C1517" i="33"/>
  <c r="C3741" i="33"/>
  <c r="C3325" i="33"/>
  <c r="C2909" i="33"/>
  <c r="C2493" i="33"/>
  <c r="C2109" i="33"/>
  <c r="C1725" i="33"/>
  <c r="C1309" i="33"/>
  <c r="C909" i="33"/>
  <c r="C509" i="33"/>
  <c r="C93" i="33"/>
  <c r="C405" i="33"/>
  <c r="C353" i="33"/>
  <c r="C1117" i="33"/>
  <c r="C1205" i="33"/>
  <c r="C1969" i="33"/>
  <c r="C1917" i="33"/>
  <c r="C3689" i="33"/>
  <c r="C3273" i="33"/>
  <c r="C2857" i="33"/>
  <c r="C2441" i="33"/>
  <c r="C2073" i="33"/>
  <c r="C1673" i="33"/>
  <c r="C457" i="33"/>
  <c r="C701" i="33"/>
  <c r="C3221" i="33"/>
  <c r="C301" i="33"/>
  <c r="C2701" i="33"/>
  <c r="C3169" i="33"/>
  <c r="C5" i="22"/>
  <c r="D5" i="36"/>
  <c r="C1083" i="34" l="1"/>
  <c r="C511" i="34"/>
  <c r="C459" i="34"/>
  <c r="C407" i="34"/>
  <c r="C355" i="34"/>
  <c r="C303" i="34"/>
  <c r="C251" i="34"/>
  <c r="C199" i="34"/>
  <c r="C147" i="34"/>
  <c r="J484" i="34"/>
  <c r="J432" i="34"/>
  <c r="C95" i="34"/>
  <c r="C43" i="34"/>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M187" i="33" l="1"/>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2"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L161" i="34" s="1"/>
  <c r="AQ27" i="24"/>
  <c r="K161" i="34" s="1"/>
  <c r="AP27" i="24"/>
  <c r="J161" i="34" s="1"/>
  <c r="AO27" i="24"/>
  <c r="I161" i="34" s="1"/>
  <c r="AN27" i="24"/>
  <c r="H161" i="34" s="1"/>
  <c r="AM27" i="24"/>
  <c r="G161" i="34" s="1"/>
  <c r="AL27" i="24"/>
  <c r="F161" i="34" s="1"/>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L109" i="34" s="1"/>
  <c r="AQ24" i="24"/>
  <c r="K109" i="34" s="1"/>
  <c r="AP24" i="24"/>
  <c r="J109" i="34" s="1"/>
  <c r="AO24" i="24"/>
  <c r="I109" i="34" s="1"/>
  <c r="AN24" i="24"/>
  <c r="H109" i="34" s="1"/>
  <c r="AM24" i="24"/>
  <c r="G109" i="34" s="1"/>
  <c r="AL24" i="24"/>
  <c r="F109" i="34" s="1"/>
  <c r="AK24" i="24"/>
  <c r="E109" i="34" s="1"/>
  <c r="AJ24" i="24"/>
  <c r="D109" i="34" s="1"/>
  <c r="AI24" i="24"/>
  <c r="C109" i="34" s="1"/>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H57" i="34" s="1"/>
  <c r="AM17" i="24"/>
  <c r="G57" i="34" s="1"/>
  <c r="AL17" i="24"/>
  <c r="F525" i="34" s="1"/>
  <c r="AK17" i="24"/>
  <c r="E525" i="34" s="1"/>
  <c r="AJ17" i="24"/>
  <c r="AI17" i="24"/>
  <c r="AF17" i="24"/>
  <c r="CZ17" i="24" s="1"/>
  <c r="AE17" i="24"/>
  <c r="AD17" i="24"/>
  <c r="AC17" i="24"/>
  <c r="AB17" i="24"/>
  <c r="AA17" i="24"/>
  <c r="Z17" i="24"/>
  <c r="F515" i="34" s="1"/>
  <c r="Y17" i="24"/>
  <c r="E515" i="34" s="1"/>
  <c r="X17" i="24"/>
  <c r="D515" i="34" s="1"/>
  <c r="W17" i="24"/>
  <c r="F533" i="34" l="1"/>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K1097" i="34" s="1"/>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I1097" i="34" s="1"/>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J1087" i="34" l="1"/>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B785" i="34" l="1"/>
  <c r="B369" i="34"/>
  <c r="B317" i="34"/>
  <c r="B733" i="34"/>
  <c r="B1097" i="34"/>
  <c r="B681" i="34"/>
  <c r="B265" i="34"/>
  <c r="B1045" i="34"/>
  <c r="B629" i="34"/>
  <c r="B213" i="34"/>
  <c r="B993" i="34"/>
  <c r="B577" i="34"/>
  <c r="B161" i="34"/>
  <c r="B837" i="34"/>
  <c r="B421" i="34"/>
  <c r="B941" i="34"/>
  <c r="B525" i="34"/>
  <c r="B109" i="34"/>
  <c r="B889" i="34"/>
  <c r="B473" i="34"/>
  <c r="B57" i="34"/>
  <c r="B3188" i="33"/>
  <c r="B2356" i="33"/>
  <c r="B1536" i="33"/>
  <c r="B3344" i="33"/>
  <c r="B2512" i="33"/>
  <c r="B1692" i="33"/>
  <c r="B824" i="33"/>
  <c r="B268" i="33"/>
  <c r="B3708" i="33"/>
  <c r="B3500" i="33"/>
  <c r="B2668" i="33"/>
  <c r="B980" i="33"/>
  <c r="B424" i="33"/>
  <c r="B3656" i="33"/>
  <c r="B2824" i="33"/>
  <c r="B1884" i="33"/>
  <c r="B1136" i="33"/>
  <c r="B616" i="33"/>
  <c r="B26" i="25"/>
  <c r="B2876" i="33"/>
  <c r="B3812" i="33"/>
  <c r="B2980" i="33"/>
  <c r="B2040" i="33"/>
  <c r="B1328" i="33"/>
  <c r="B3864" i="33"/>
  <c r="B3136" i="33"/>
  <c r="B2304" i="33"/>
  <c r="B1484" i="33"/>
  <c r="B772" i="33"/>
  <c r="B1224" i="33"/>
  <c r="B3292" i="33"/>
  <c r="B2460" i="33"/>
  <c r="B1640" i="33"/>
  <c r="B216" i="33"/>
  <c r="B3898" i="33"/>
  <c r="B112" i="33"/>
  <c r="B3448" i="33"/>
  <c r="B2616" i="33"/>
  <c r="B928" i="33"/>
  <c r="B372" i="33"/>
  <c r="B1380" i="33"/>
  <c r="B528" i="33"/>
  <c r="B3604" i="33"/>
  <c r="B2772" i="33"/>
  <c r="B1796" i="33"/>
  <c r="B1084" i="33"/>
  <c r="B564" i="33"/>
  <c r="B1936" i="33"/>
  <c r="B1188" i="33"/>
  <c r="B3760" i="33"/>
  <c r="B2928" i="33"/>
  <c r="B1988" i="33"/>
  <c r="B1276" i="33"/>
  <c r="B720" i="33"/>
  <c r="B1848" i="33"/>
  <c r="B3084" i="33"/>
  <c r="B2180" i="33"/>
  <c r="B1432" i="33"/>
  <c r="B2092" i="33"/>
  <c r="B3240" i="33"/>
  <c r="B2408" i="33"/>
  <c r="B1588" i="33"/>
  <c r="B164" i="33"/>
  <c r="B668" i="33"/>
  <c r="B2128" i="33"/>
  <c r="B2232" i="33"/>
  <c r="B3396" i="33"/>
  <c r="B2564" i="33"/>
  <c r="B876" i="33"/>
  <c r="B320" i="33"/>
  <c r="B2268" i="33"/>
  <c r="B3552" i="33"/>
  <c r="B2720" i="33"/>
  <c r="B1744" i="33"/>
  <c r="B1032" i="33"/>
  <c r="B476" i="33"/>
  <c r="B3032" i="33"/>
  <c r="E1105" i="34"/>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D3813" i="33" l="1"/>
  <c r="L2971" i="33"/>
  <c r="J2399" i="33"/>
  <c r="K3803" i="33"/>
  <c r="L2451" i="33"/>
  <c r="G3657" i="33"/>
  <c r="C3231" i="33"/>
  <c r="I2565" i="33"/>
  <c r="E3293" i="33"/>
  <c r="E2929" i="33"/>
  <c r="J3501" i="33"/>
  <c r="K2773" i="33"/>
  <c r="I3605" i="33"/>
  <c r="K3085" i="33"/>
  <c r="J2451" i="33"/>
  <c r="I3241" i="33"/>
  <c r="K2617" i="33"/>
  <c r="H3449" i="33"/>
  <c r="D2617" i="33"/>
  <c r="C3501" i="33"/>
  <c r="K2971" i="33"/>
  <c r="K2357" i="33"/>
  <c r="C3085" i="33"/>
  <c r="C2721" i="33"/>
  <c r="H3335" i="33"/>
  <c r="E2815" i="33"/>
  <c r="F3179" i="33"/>
  <c r="G2555" i="33"/>
  <c r="C2971" i="33"/>
  <c r="L2617" i="33"/>
  <c r="I3761" i="33"/>
  <c r="F2669" i="33"/>
  <c r="E3751" i="33"/>
  <c r="E3231" i="33"/>
  <c r="E2409" i="33"/>
  <c r="F3241" i="33"/>
  <c r="I2669" i="33"/>
  <c r="K3657" i="33"/>
  <c r="J3085" i="33"/>
  <c r="J2357" i="33"/>
  <c r="I3345" i="33"/>
  <c r="C2981" i="33"/>
  <c r="J3449" i="33"/>
  <c r="K3335" i="33"/>
  <c r="D2513" i="33"/>
  <c r="D3189" i="33"/>
  <c r="D3033" i="33"/>
  <c r="G3647" i="33"/>
  <c r="G3665" i="33" s="1"/>
  <c r="L2825" i="33"/>
  <c r="H3803" i="33"/>
  <c r="F3231" i="33"/>
  <c r="F3249" i="33" s="1"/>
  <c r="H2451" i="33"/>
  <c r="E3189" i="33"/>
  <c r="E2825" i="33"/>
  <c r="J3387" i="33"/>
  <c r="K2659" i="33"/>
  <c r="J3657" i="33"/>
  <c r="I3085" i="33"/>
  <c r="I2357" i="33"/>
  <c r="E3137" i="33"/>
  <c r="C2919" i="33"/>
  <c r="E3709" i="33"/>
  <c r="K2919" i="33"/>
  <c r="C3387" i="33"/>
  <c r="J2867" i="33"/>
  <c r="J2503" i="33"/>
  <c r="E3023" i="33"/>
  <c r="F2825" i="33"/>
  <c r="E3595" i="33"/>
  <c r="H2721" i="33"/>
  <c r="L3449" i="33"/>
  <c r="C3449" i="33"/>
  <c r="E2451" i="33"/>
  <c r="L3439" i="33"/>
  <c r="K2555" i="33"/>
  <c r="I3657" i="33"/>
  <c r="K3137" i="33"/>
  <c r="H2357" i="33"/>
  <c r="H3387" i="33"/>
  <c r="G2825" i="33"/>
  <c r="D3657" i="33"/>
  <c r="H2555" i="33"/>
  <c r="H3127" i="33"/>
  <c r="I2555" i="33"/>
  <c r="I2573" i="33" s="1"/>
  <c r="K3751" i="33"/>
  <c r="E2971" i="33"/>
  <c r="F3491" i="33"/>
  <c r="E3501" i="33"/>
  <c r="G2503" i="33"/>
  <c r="I3127" i="33"/>
  <c r="C2825" i="33"/>
  <c r="H3501" i="33"/>
  <c r="C2669" i="33"/>
  <c r="K3709" i="33"/>
  <c r="L3293" i="33"/>
  <c r="D2409" i="33"/>
  <c r="J3127" i="33"/>
  <c r="F2711" i="33"/>
  <c r="F3761" i="33"/>
  <c r="F2971" i="33"/>
  <c r="J3543" i="33"/>
  <c r="F3449" i="33"/>
  <c r="H2503" i="33"/>
  <c r="C3397" i="33"/>
  <c r="C2877" i="33"/>
  <c r="I3699" i="33"/>
  <c r="L2867" i="33"/>
  <c r="C3605" i="33"/>
  <c r="E3085" i="33"/>
  <c r="C2503" i="33"/>
  <c r="F2981" i="33"/>
  <c r="I2409" i="33"/>
  <c r="C3751" i="33"/>
  <c r="K3293" i="33"/>
  <c r="F2357" i="33"/>
  <c r="G3345" i="33"/>
  <c r="C2659" i="33"/>
  <c r="F3595" i="33"/>
  <c r="L2919" i="33"/>
  <c r="J3231" i="33"/>
  <c r="F3699" i="33"/>
  <c r="G2981" i="33"/>
  <c r="G3543" i="33"/>
  <c r="F3085" i="33"/>
  <c r="C2461" i="33"/>
  <c r="K3605" i="33"/>
  <c r="K2409" i="33"/>
  <c r="L3605" i="33"/>
  <c r="K2867" i="33"/>
  <c r="H3397" i="33"/>
  <c r="L3335" i="33"/>
  <c r="K2347" i="33"/>
  <c r="K2365" i="33" s="1"/>
  <c r="J2981" i="33"/>
  <c r="D2711" i="33"/>
  <c r="L3491" i="33"/>
  <c r="E2721" i="33"/>
  <c r="K3595" i="33"/>
  <c r="K3189" i="33"/>
  <c r="G2513" i="33"/>
  <c r="E3345" i="33"/>
  <c r="H2815" i="33"/>
  <c r="D3761" i="33"/>
  <c r="D2607" i="33"/>
  <c r="D2625" i="33" s="1"/>
  <c r="L3387" i="33"/>
  <c r="L2721" i="33"/>
  <c r="D3699" i="33"/>
  <c r="C3127" i="33"/>
  <c r="G2399" i="33"/>
  <c r="F3543" i="33"/>
  <c r="L3397" i="33"/>
  <c r="J2347" i="33"/>
  <c r="J2365" i="33" s="1"/>
  <c r="C3283" i="33"/>
  <c r="E2711" i="33"/>
  <c r="D3709" i="33"/>
  <c r="G2971" i="33"/>
  <c r="E3699" i="33"/>
  <c r="E3717" i="33" s="1"/>
  <c r="E3179" i="33"/>
  <c r="E3197" i="33" s="1"/>
  <c r="K2503" i="33"/>
  <c r="G3283" i="33"/>
  <c r="H2877" i="33"/>
  <c r="K3761" i="33"/>
  <c r="K3241" i="33"/>
  <c r="E2565" i="33"/>
  <c r="C3075" i="33"/>
  <c r="C3093" i="33" s="1"/>
  <c r="L2461" i="33"/>
  <c r="G3553" i="33"/>
  <c r="I2877" i="33"/>
  <c r="K3647" i="33"/>
  <c r="K3665" i="33" s="1"/>
  <c r="D3085" i="33"/>
  <c r="E3241" i="33"/>
  <c r="L2555" i="33"/>
  <c r="G3439" i="33"/>
  <c r="F2773" i="33"/>
  <c r="I3709" i="33"/>
  <c r="L3241" i="33"/>
  <c r="G3127" i="33"/>
  <c r="D2347" i="33"/>
  <c r="H3293" i="33"/>
  <c r="J2711" i="33"/>
  <c r="F3709" i="33"/>
  <c r="L2659" i="33"/>
  <c r="L3709" i="33"/>
  <c r="L3189" i="33"/>
  <c r="E2399" i="33"/>
  <c r="E2417" i="33" s="1"/>
  <c r="J3761" i="33"/>
  <c r="E2617" i="33"/>
  <c r="F2347" i="33"/>
  <c r="F2365" i="33" s="1"/>
  <c r="C3189" i="33"/>
  <c r="L2607" i="33"/>
  <c r="L2625" i="33" s="1"/>
  <c r="G3813" i="33"/>
  <c r="H2659" i="33"/>
  <c r="K3543" i="33"/>
  <c r="J2971" i="33"/>
  <c r="J2989" i="33" s="1"/>
  <c r="I2503" i="33"/>
  <c r="F3293" i="33"/>
  <c r="H2711" i="33"/>
  <c r="H2729" i="33" s="1"/>
  <c r="D3543" i="33"/>
  <c r="K2721" i="33"/>
  <c r="F3553" i="33"/>
  <c r="H3033" i="33"/>
  <c r="H2409" i="33"/>
  <c r="F3137" i="33"/>
  <c r="E2773" i="33"/>
  <c r="E3397" i="33"/>
  <c r="J2607" i="33"/>
  <c r="C3241" i="33"/>
  <c r="C2347" i="33"/>
  <c r="I3075" i="33"/>
  <c r="I3093" i="33" s="1"/>
  <c r="I2711" i="33"/>
  <c r="L3501" i="33"/>
  <c r="D2971" i="33"/>
  <c r="G2347" i="33"/>
  <c r="E3127" i="33"/>
  <c r="E3145" i="33" s="1"/>
  <c r="L2503" i="33"/>
  <c r="J2929" i="33"/>
  <c r="H2929" i="33"/>
  <c r="L3553" i="33"/>
  <c r="D2669" i="33"/>
  <c r="E3803" i="33"/>
  <c r="C3439" i="33"/>
  <c r="C3457" i="33" s="1"/>
  <c r="C2399" i="33"/>
  <c r="C3657" i="33"/>
  <c r="I2607" i="33"/>
  <c r="E2347" i="33"/>
  <c r="C3335" i="33"/>
  <c r="L2399" i="33"/>
  <c r="C3761" i="33"/>
  <c r="C2409" i="33"/>
  <c r="C3553" i="33"/>
  <c r="K3023" i="33"/>
  <c r="D3283" i="33"/>
  <c r="E2877" i="33"/>
  <c r="G3449" i="33"/>
  <c r="I2721" i="33"/>
  <c r="F3751" i="33"/>
  <c r="F3769" i="33" s="1"/>
  <c r="C3179" i="33"/>
  <c r="C3197" i="33" s="1"/>
  <c r="F2409" i="33"/>
  <c r="F3189" i="33"/>
  <c r="H2565" i="33"/>
  <c r="J3813" i="33"/>
  <c r="H3023" i="33"/>
  <c r="I3491" i="33"/>
  <c r="H2919" i="33"/>
  <c r="E2555" i="33"/>
  <c r="E2573" i="33" s="1"/>
  <c r="K3127" i="33"/>
  <c r="K3145" i="33" s="1"/>
  <c r="F2877" i="33"/>
  <c r="E3283" i="33"/>
  <c r="E3301" i="33" s="1"/>
  <c r="L2773" i="33"/>
  <c r="C3813" i="33"/>
  <c r="I3439" i="33"/>
  <c r="I2461" i="33"/>
  <c r="L2981" i="33"/>
  <c r="L2815" i="33"/>
  <c r="L2833" i="33" s="1"/>
  <c r="F3647" i="33"/>
  <c r="K2825" i="33"/>
  <c r="I3595" i="33"/>
  <c r="I3613" i="33" s="1"/>
  <c r="K3075" i="33"/>
  <c r="K3093" i="33" s="1"/>
  <c r="D2357" i="33"/>
  <c r="I3813" i="33"/>
  <c r="D3023" i="33"/>
  <c r="D3041" i="33" s="1"/>
  <c r="J3803" i="33"/>
  <c r="J3439" i="33"/>
  <c r="J3457" i="33" s="1"/>
  <c r="L2357" i="33"/>
  <c r="J3335" i="33"/>
  <c r="K2929" i="33"/>
  <c r="D3605" i="33"/>
  <c r="J3189" i="33"/>
  <c r="F2513" i="33"/>
  <c r="J3179" i="33"/>
  <c r="C2929" i="33"/>
  <c r="D3595" i="33"/>
  <c r="I2773" i="33"/>
  <c r="F3803" i="33"/>
  <c r="D3449" i="33"/>
  <c r="E2461" i="33"/>
  <c r="K3179" i="33"/>
  <c r="K3197" i="33" s="1"/>
  <c r="K2815" i="33"/>
  <c r="K2833" i="33" s="1"/>
  <c r="E3449" i="33"/>
  <c r="I2659" i="33"/>
  <c r="I2677" i="33" s="1"/>
  <c r="G3605" i="33"/>
  <c r="F3033" i="33"/>
  <c r="C2555" i="33"/>
  <c r="G3075" i="33"/>
  <c r="L2669" i="33"/>
  <c r="K3699" i="33"/>
  <c r="K3717" i="33" s="1"/>
  <c r="C2815" i="33"/>
  <c r="C2833" i="33" s="1"/>
  <c r="G3491" i="33"/>
  <c r="E3439" i="33"/>
  <c r="G2461" i="33"/>
  <c r="F3387" i="33"/>
  <c r="D2867" i="33"/>
  <c r="J3751" i="33"/>
  <c r="J3769" i="33" s="1"/>
  <c r="K2565" i="33"/>
  <c r="L3813" i="33"/>
  <c r="H2669" i="33"/>
  <c r="G2607" i="33"/>
  <c r="J3553" i="33"/>
  <c r="F2721" i="33"/>
  <c r="H3605" i="33"/>
  <c r="G3033" i="33"/>
  <c r="D2555" i="33"/>
  <c r="H3345" i="33"/>
  <c r="D2773" i="33"/>
  <c r="G3397" i="33"/>
  <c r="I3293" i="33"/>
  <c r="C2357" i="33"/>
  <c r="E3075" i="33"/>
  <c r="E3093" i="33" s="1"/>
  <c r="F2503" i="33"/>
  <c r="H3699" i="33"/>
  <c r="G2919" i="33"/>
  <c r="D3491" i="33"/>
  <c r="L3075" i="33"/>
  <c r="C2451" i="33"/>
  <c r="C2469" i="33" s="1"/>
  <c r="F3075" i="33"/>
  <c r="F3093" i="33" s="1"/>
  <c r="I2815" i="33"/>
  <c r="I3553" i="33"/>
  <c r="J2825" i="33"/>
  <c r="H3657" i="33"/>
  <c r="K3283" i="33"/>
  <c r="K3301" i="33" s="1"/>
  <c r="D2399" i="33"/>
  <c r="D2417" i="33" s="1"/>
  <c r="G2929" i="33"/>
  <c r="J2669" i="33"/>
  <c r="L3751" i="33"/>
  <c r="I2919" i="33"/>
  <c r="H3543" i="33"/>
  <c r="J3137" i="33"/>
  <c r="E2503" i="33"/>
  <c r="E3335" i="33"/>
  <c r="E3353" i="33" s="1"/>
  <c r="E2763" i="33"/>
  <c r="E2781" i="33" s="1"/>
  <c r="H3553" i="33"/>
  <c r="F2659" i="33"/>
  <c r="L3699" i="33"/>
  <c r="L3717" i="33" s="1"/>
  <c r="C2617" i="33"/>
  <c r="E3813" i="33"/>
  <c r="F2461" i="33"/>
  <c r="F3605" i="33"/>
  <c r="H3085" i="33"/>
  <c r="G2357" i="33"/>
  <c r="G3335" i="33"/>
  <c r="G3353" i="33" s="1"/>
  <c r="J2617" i="33"/>
  <c r="J3647" i="33"/>
  <c r="J3665" i="33" s="1"/>
  <c r="F2815" i="33"/>
  <c r="F2833" i="33" s="1"/>
  <c r="G3179" i="33"/>
  <c r="C3647" i="33"/>
  <c r="C3665" i="33" s="1"/>
  <c r="L2929" i="33"/>
  <c r="H3709" i="33"/>
  <c r="H3189" i="33"/>
  <c r="C2513" i="33"/>
  <c r="D3345" i="33"/>
  <c r="H2617" i="33"/>
  <c r="D3501" i="33"/>
  <c r="I2867" i="33"/>
  <c r="I2885" i="33" s="1"/>
  <c r="D3803" i="33"/>
  <c r="D3821" i="33" s="1"/>
  <c r="J3293" i="33"/>
  <c r="K3231" i="33"/>
  <c r="K3249" i="33" s="1"/>
  <c r="F3813" i="33"/>
  <c r="K2711" i="33"/>
  <c r="K2729" i="33" s="1"/>
  <c r="F3657" i="33"/>
  <c r="I3189" i="33"/>
  <c r="G2565" i="33"/>
  <c r="D3075" i="33"/>
  <c r="D3093" i="33" s="1"/>
  <c r="G2617" i="33"/>
  <c r="L2877" i="33"/>
  <c r="D2919" i="33"/>
  <c r="I3501" i="33"/>
  <c r="J2659" i="33"/>
  <c r="J2677" i="33" s="1"/>
  <c r="I3387" i="33"/>
  <c r="J2565" i="33"/>
  <c r="J3709" i="33"/>
  <c r="J3283" i="33"/>
  <c r="G3241" i="33"/>
  <c r="K2669" i="33"/>
  <c r="C3543" i="33"/>
  <c r="C3561" i="33" s="1"/>
  <c r="D2815" i="33"/>
  <c r="L3657" i="33"/>
  <c r="D3127" i="33"/>
  <c r="J2461" i="33"/>
  <c r="J3241" i="33"/>
  <c r="H2867" i="33"/>
  <c r="K3501" i="33"/>
  <c r="G2669" i="33"/>
  <c r="J3033" i="33"/>
  <c r="J2409" i="33"/>
  <c r="L3127" i="33"/>
  <c r="K2763" i="33"/>
  <c r="K2781" i="33" s="1"/>
  <c r="H3595" i="33"/>
  <c r="H3613" i="33" s="1"/>
  <c r="J3075" i="33"/>
  <c r="J3093" i="33" s="1"/>
  <c r="H2607" i="33"/>
  <c r="I3231" i="33"/>
  <c r="D3387" i="33"/>
  <c r="L2763" i="33"/>
  <c r="L2781" i="33" s="1"/>
  <c r="I3449" i="33"/>
  <c r="G2815" i="33"/>
  <c r="I2617" i="33"/>
  <c r="L3085" i="33"/>
  <c r="K2461" i="33"/>
  <c r="I2929" i="33"/>
  <c r="C2773" i="33"/>
  <c r="C3595" i="33"/>
  <c r="C3613" i="33" s="1"/>
  <c r="H2773" i="33"/>
  <c r="J3397" i="33"/>
  <c r="G2867" i="33"/>
  <c r="C3491" i="33"/>
  <c r="C3509" i="33" s="1"/>
  <c r="J3345" i="33"/>
  <c r="F2565" i="33"/>
  <c r="I3179" i="33"/>
  <c r="I3197" i="33" s="1"/>
  <c r="C2565" i="33"/>
  <c r="J3699" i="33"/>
  <c r="J2919" i="33"/>
  <c r="J2937" i="33" s="1"/>
  <c r="H3491" i="33"/>
  <c r="H3509" i="33" s="1"/>
  <c r="H3439" i="33"/>
  <c r="H3457" i="33" s="1"/>
  <c r="H2461" i="33"/>
  <c r="F3283" i="33"/>
  <c r="F3301" i="33" s="1"/>
  <c r="D2659" i="33"/>
  <c r="D2677" i="33" s="1"/>
  <c r="D3397" i="33"/>
  <c r="E2669" i="33"/>
  <c r="L3543" i="33"/>
  <c r="L3561" i="33" s="1"/>
  <c r="E2981" i="33"/>
  <c r="H2399" i="33"/>
  <c r="H2417" i="33" s="1"/>
  <c r="L3179" i="33"/>
  <c r="L3197" i="33" s="1"/>
  <c r="F2929" i="33"/>
  <c r="K3387" i="33"/>
  <c r="J3023" i="33"/>
  <c r="F3439" i="33"/>
  <c r="F3457" i="33" s="1"/>
  <c r="D2877" i="33"/>
  <c r="L2513" i="33"/>
  <c r="F3023" i="33"/>
  <c r="F3041" i="33" s="1"/>
  <c r="E2659" i="33"/>
  <c r="K3813" i="33"/>
  <c r="J2721" i="33"/>
  <c r="I3803" i="33"/>
  <c r="I3821" i="33" s="1"/>
  <c r="G3231" i="33"/>
  <c r="G3249" i="33" s="1"/>
  <c r="I2451" i="33"/>
  <c r="I2469" i="33" s="1"/>
  <c r="F3345" i="33"/>
  <c r="D2825" i="33"/>
  <c r="G3699" i="33"/>
  <c r="H2513" i="33"/>
  <c r="G3387" i="33"/>
  <c r="G2711" i="33"/>
  <c r="G3709" i="33"/>
  <c r="K2607" i="33"/>
  <c r="K2625" i="33" s="1"/>
  <c r="D3241" i="33"/>
  <c r="E3761" i="33"/>
  <c r="H2981" i="33"/>
  <c r="I3543" i="33"/>
  <c r="I3561" i="33" s="1"/>
  <c r="H2971" i="33"/>
  <c r="I2513" i="33"/>
  <c r="H3241" i="33"/>
  <c r="E2867" i="33"/>
  <c r="E2885" i="33" s="1"/>
  <c r="K3553" i="33"/>
  <c r="G2721" i="33"/>
  <c r="C3699" i="33"/>
  <c r="L3137" i="33"/>
  <c r="F2399" i="33"/>
  <c r="F2417" i="33" s="1"/>
  <c r="D3137" i="33"/>
  <c r="H2763" i="33"/>
  <c r="H3761" i="33"/>
  <c r="I2971" i="33"/>
  <c r="D3553" i="33"/>
  <c r="L3023" i="33"/>
  <c r="J2513" i="33"/>
  <c r="H3075" i="33"/>
  <c r="H3093" i="33" s="1"/>
  <c r="F2867" i="33"/>
  <c r="F2885" i="33" s="1"/>
  <c r="H3647" i="33"/>
  <c r="H3665" i="33" s="1"/>
  <c r="J2773" i="33"/>
  <c r="G3803" i="33"/>
  <c r="G3821" i="33" s="1"/>
  <c r="L3283" i="33"/>
  <c r="L3301" i="33" s="1"/>
  <c r="G2451" i="33"/>
  <c r="G2469" i="33" s="1"/>
  <c r="C3293" i="33"/>
  <c r="C2711" i="33"/>
  <c r="C2729" i="33" s="1"/>
  <c r="K3397" i="33"/>
  <c r="C2607" i="33"/>
  <c r="C2625" i="33" s="1"/>
  <c r="D3293" i="33"/>
  <c r="G2763" i="33"/>
  <c r="I3647" i="33"/>
  <c r="I3665" i="33" s="1"/>
  <c r="I3023" i="33"/>
  <c r="H3751" i="33"/>
  <c r="H3231" i="33"/>
  <c r="F2555" i="33"/>
  <c r="F2573" i="33" s="1"/>
  <c r="I3751" i="33"/>
  <c r="I3769" i="33" s="1"/>
  <c r="I2399" i="33"/>
  <c r="J3595" i="33"/>
  <c r="I3137" i="33"/>
  <c r="D2503" i="33"/>
  <c r="D2521" i="33" s="1"/>
  <c r="C3137" i="33"/>
  <c r="C2867" i="33"/>
  <c r="C2885" i="33" s="1"/>
  <c r="E3647" i="33"/>
  <c r="J2877" i="33"/>
  <c r="D3751" i="33"/>
  <c r="D3769" i="33" s="1"/>
  <c r="D3439" i="33"/>
  <c r="D3457" i="33" s="1"/>
  <c r="F2451" i="33"/>
  <c r="F2469" i="33" s="1"/>
  <c r="C3023" i="33"/>
  <c r="F2763" i="33"/>
  <c r="F2781" i="33" s="1"/>
  <c r="H3813" i="33"/>
  <c r="I2981" i="33"/>
  <c r="E3605" i="33"/>
  <c r="D3231" i="33"/>
  <c r="D3249" i="33" s="1"/>
  <c r="L2565" i="33"/>
  <c r="K3491" i="33"/>
  <c r="K3509" i="33" s="1"/>
  <c r="D2929" i="33"/>
  <c r="C3709" i="33"/>
  <c r="K2877" i="33"/>
  <c r="E3491" i="33"/>
  <c r="E3509" i="33" s="1"/>
  <c r="G3085" i="33"/>
  <c r="D2461" i="33"/>
  <c r="K3033" i="33"/>
  <c r="E2607" i="33"/>
  <c r="E2625" i="33" s="1"/>
  <c r="D3647" i="33"/>
  <c r="D3665" i="33" s="1"/>
  <c r="G2877" i="33"/>
  <c r="L3231" i="33"/>
  <c r="L3249" i="33" s="1"/>
  <c r="F2617" i="33"/>
  <c r="G3761" i="33"/>
  <c r="K2981" i="33"/>
  <c r="E3553" i="33"/>
  <c r="D2981" i="33"/>
  <c r="K2513" i="33"/>
  <c r="G3293" i="33"/>
  <c r="E2919" i="33"/>
  <c r="E2937" i="33" s="1"/>
  <c r="C3803" i="33"/>
  <c r="C3821" i="33" s="1"/>
  <c r="H3283" i="33"/>
  <c r="H3301" i="33" s="1"/>
  <c r="I2347" i="33"/>
  <c r="I2365" i="33" s="1"/>
  <c r="L3033" i="33"/>
  <c r="D2451" i="33"/>
  <c r="J3605" i="33"/>
  <c r="F2919" i="33"/>
  <c r="F2937" i="33" s="1"/>
  <c r="K3449" i="33"/>
  <c r="L3345" i="33"/>
  <c r="E2357" i="33"/>
  <c r="D3335" i="33"/>
  <c r="D3353" i="33" s="1"/>
  <c r="F2607" i="33"/>
  <c r="F3501" i="33"/>
  <c r="G2773" i="33"/>
  <c r="L3761" i="33"/>
  <c r="I3283" i="33"/>
  <c r="I3301" i="33" s="1"/>
  <c r="E3387" i="33"/>
  <c r="E3405" i="33" s="1"/>
  <c r="C3033" i="33"/>
  <c r="L3803" i="33"/>
  <c r="L3821" i="33" s="1"/>
  <c r="G2659" i="33"/>
  <c r="G2677" i="33" s="1"/>
  <c r="L3647" i="33"/>
  <c r="L3665" i="33" s="1"/>
  <c r="H3137" i="33"/>
  <c r="E2513" i="33"/>
  <c r="I3033" i="33"/>
  <c r="K2451" i="33"/>
  <c r="K2469" i="33" s="1"/>
  <c r="I3397" i="33"/>
  <c r="I2763" i="33"/>
  <c r="C3345" i="33"/>
  <c r="L2409" i="33"/>
  <c r="G3501" i="33"/>
  <c r="L2711" i="33"/>
  <c r="L2729" i="33" s="1"/>
  <c r="L3595" i="33"/>
  <c r="E3033" i="33"/>
  <c r="L2347" i="33"/>
  <c r="L2365" i="33" s="1"/>
  <c r="I3335" i="33"/>
  <c r="I3353" i="33" s="1"/>
  <c r="J2763" i="33"/>
  <c r="J2781" i="33" s="1"/>
  <c r="G3595" i="33"/>
  <c r="G3613" i="33" s="1"/>
  <c r="C2763" i="33"/>
  <c r="C2781" i="33" s="1"/>
  <c r="F3127" i="33"/>
  <c r="F3145" i="33" s="1"/>
  <c r="J2555" i="33"/>
  <c r="G3189" i="33"/>
  <c r="H2825" i="33"/>
  <c r="E3657" i="33"/>
  <c r="G3137" i="33"/>
  <c r="H2347" i="33"/>
  <c r="H2365" i="33" s="1"/>
  <c r="K3439" i="33"/>
  <c r="K2399" i="33"/>
  <c r="K2417" i="33" s="1"/>
  <c r="J3491" i="33"/>
  <c r="J3509" i="33" s="1"/>
  <c r="I2825" i="33"/>
  <c r="E3543" i="33"/>
  <c r="E3561" i="33" s="1"/>
  <c r="G3023" i="33"/>
  <c r="G3041" i="33" s="1"/>
  <c r="D2565" i="33"/>
  <c r="H3179" i="33"/>
  <c r="H3197" i="33" s="1"/>
  <c r="K3345" i="33"/>
  <c r="D2721" i="33"/>
  <c r="F3397" i="33"/>
  <c r="D2763" i="33"/>
  <c r="D2781" i="33" s="1"/>
  <c r="G3751" i="33"/>
  <c r="G3769" i="33" s="1"/>
  <c r="D3179" i="33"/>
  <c r="D3197" i="33" s="1"/>
  <c r="G2409" i="33"/>
  <c r="F3335" i="33"/>
  <c r="F3353" i="33" s="1"/>
  <c r="J2815" i="33"/>
  <c r="J2833" i="33" s="1"/>
  <c r="CC52" i="37"/>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F773" i="33"/>
  <c r="C711" i="33"/>
  <c r="F669" i="33"/>
  <c r="J617" i="33"/>
  <c r="J565" i="33"/>
  <c r="G467" i="33"/>
  <c r="J425" i="33"/>
  <c r="K373" i="33"/>
  <c r="C373" i="33"/>
  <c r="H363" i="33"/>
  <c r="C363" i="33"/>
  <c r="J321" i="33"/>
  <c r="C259" i="33"/>
  <c r="J217" i="33"/>
  <c r="C155" i="33"/>
  <c r="G763" i="33"/>
  <c r="G607" i="33"/>
  <c r="C467" i="33"/>
  <c r="F425" i="33"/>
  <c r="K415" i="33"/>
  <c r="J373" i="33"/>
  <c r="L363" i="33"/>
  <c r="G363" i="33"/>
  <c r="G381" i="33" s="1"/>
  <c r="F321" i="33"/>
  <c r="K311" i="33"/>
  <c r="J269" i="33"/>
  <c r="F217" i="33"/>
  <c r="K207" i="33"/>
  <c r="J165" i="33"/>
  <c r="C1127" i="33"/>
  <c r="F467" i="33"/>
  <c r="G721" i="33"/>
  <c r="K763" i="33"/>
  <c r="D1075" i="33"/>
  <c r="K607" i="33"/>
  <c r="G1085" i="33"/>
  <c r="C659" i="33"/>
  <c r="K659" i="33"/>
  <c r="J669" i="33"/>
  <c r="F1033" i="33"/>
  <c r="J77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C763"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H763" i="33"/>
  <c r="J763" i="33"/>
  <c r="I773"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63" i="33"/>
  <c r="C773" i="33"/>
  <c r="E763" i="33"/>
  <c r="D773"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G773" i="33"/>
  <c r="I763" i="33"/>
  <c r="H773"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D763" i="33"/>
  <c r="K773" i="33"/>
  <c r="L773" i="33"/>
  <c r="F763" i="33"/>
  <c r="E773"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F2521" i="33" l="1"/>
  <c r="G2833" i="33"/>
  <c r="L3613" i="33"/>
  <c r="I3249" i="33"/>
  <c r="I2417" i="33"/>
  <c r="J2573" i="33"/>
  <c r="D2469" i="33"/>
  <c r="H2885" i="33"/>
  <c r="F2677" i="33"/>
  <c r="G2989" i="33"/>
  <c r="G3405" i="33"/>
  <c r="I2781" i="33"/>
  <c r="D14" i="27"/>
  <c r="D26" i="27"/>
  <c r="H3249" i="33"/>
  <c r="H3769" i="33"/>
  <c r="K3613" i="33"/>
  <c r="J3821" i="33"/>
  <c r="H2937" i="33"/>
  <c r="H2781" i="33"/>
  <c r="K3457" i="33"/>
  <c r="C2677" i="33"/>
  <c r="H2625" i="33"/>
  <c r="J3301" i="33"/>
  <c r="E2729" i="33"/>
  <c r="E2677" i="33"/>
  <c r="H3041" i="33"/>
  <c r="E3457" i="33"/>
  <c r="J3717" i="33"/>
  <c r="D3613" i="33"/>
  <c r="J3041" i="33"/>
  <c r="F2625" i="33"/>
  <c r="G3197" i="33"/>
  <c r="L3093" i="33"/>
  <c r="G2625" i="33"/>
  <c r="J3353" i="33"/>
  <c r="L2573" i="33"/>
  <c r="C2521" i="33"/>
  <c r="H3405" i="33"/>
  <c r="K2937" i="33"/>
  <c r="H2989" i="33"/>
  <c r="E2521" i="33"/>
  <c r="D3509" i="33"/>
  <c r="D3301" i="33"/>
  <c r="G3561" i="33"/>
  <c r="J2469" i="33"/>
  <c r="L3145" i="33"/>
  <c r="G2937" i="33"/>
  <c r="C2937" i="33"/>
  <c r="C2989" i="33"/>
  <c r="C3041" i="33"/>
  <c r="I3041" i="33"/>
  <c r="L3041" i="33"/>
  <c r="H3561" i="33"/>
  <c r="H3717" i="33"/>
  <c r="K3041" i="33"/>
  <c r="L2521" i="33"/>
  <c r="F3717" i="33"/>
  <c r="L2885" i="33"/>
  <c r="K3353" i="33"/>
  <c r="G2573" i="33"/>
  <c r="I2937" i="33"/>
  <c r="C3301" i="33"/>
  <c r="I3717" i="33"/>
  <c r="I3145" i="33"/>
  <c r="K2573" i="33"/>
  <c r="F3197" i="33"/>
  <c r="G2781" i="33"/>
  <c r="I2989" i="33"/>
  <c r="I3405" i="33"/>
  <c r="L3769" i="33"/>
  <c r="D2885" i="33"/>
  <c r="G2365" i="33"/>
  <c r="D3561" i="33"/>
  <c r="L2677" i="33"/>
  <c r="L3509" i="33"/>
  <c r="J3249" i="33"/>
  <c r="G2521" i="33"/>
  <c r="L3457" i="33"/>
  <c r="F3405" i="33"/>
  <c r="I3509" i="33"/>
  <c r="D2989" i="33"/>
  <c r="D2729" i="33"/>
  <c r="E2469" i="33"/>
  <c r="E2833" i="33"/>
  <c r="F3821" i="33"/>
  <c r="L2417" i="33"/>
  <c r="J2729" i="33"/>
  <c r="F3561" i="33"/>
  <c r="L2937" i="33"/>
  <c r="H2521" i="33"/>
  <c r="F3509" i="33"/>
  <c r="K2677" i="33"/>
  <c r="H3353" i="33"/>
  <c r="E3665" i="33"/>
  <c r="D2937" i="33"/>
  <c r="C3353" i="33"/>
  <c r="I2729" i="33"/>
  <c r="I2521" i="33"/>
  <c r="G2417" i="33"/>
  <c r="F3613" i="33"/>
  <c r="E2989" i="33"/>
  <c r="J3405" i="33"/>
  <c r="G3509" i="33"/>
  <c r="E2365" i="33"/>
  <c r="D2365" i="33"/>
  <c r="C3145" i="33"/>
  <c r="L3353" i="33"/>
  <c r="J3561" i="33"/>
  <c r="K3769" i="33"/>
  <c r="C3249" i="33"/>
  <c r="G2729" i="33"/>
  <c r="F3665" i="33"/>
  <c r="I2625" i="33"/>
  <c r="C2365" i="33"/>
  <c r="K3561" i="33"/>
  <c r="G3145" i="33"/>
  <c r="D3717" i="33"/>
  <c r="F2989" i="33"/>
  <c r="E3613" i="33"/>
  <c r="C3717" i="33"/>
  <c r="K3405" i="33"/>
  <c r="D3405" i="33"/>
  <c r="D3145" i="33"/>
  <c r="D2573" i="33"/>
  <c r="J3197" i="33"/>
  <c r="H2677" i="33"/>
  <c r="K2885" i="33"/>
  <c r="H3145" i="33"/>
  <c r="H2469" i="33"/>
  <c r="K2989" i="33"/>
  <c r="L2469" i="33"/>
  <c r="C2417" i="33"/>
  <c r="L3405" i="33"/>
  <c r="F2729" i="33"/>
  <c r="E3041" i="33"/>
  <c r="K3821" i="33"/>
  <c r="J3613" i="33"/>
  <c r="G3717" i="33"/>
  <c r="D2833" i="33"/>
  <c r="I2833" i="33"/>
  <c r="G3093" i="33"/>
  <c r="J2625" i="33"/>
  <c r="G3301" i="33"/>
  <c r="C3769" i="33"/>
  <c r="J3145" i="33"/>
  <c r="H2573" i="33"/>
  <c r="J2521" i="33"/>
  <c r="H3821" i="33"/>
  <c r="E3249" i="33"/>
  <c r="J2417" i="33"/>
  <c r="C2573" i="33"/>
  <c r="I3457" i="33"/>
  <c r="E3821" i="33"/>
  <c r="K2521" i="33"/>
  <c r="J2885" i="33"/>
  <c r="E3769" i="33"/>
  <c r="L2989" i="33"/>
  <c r="G2885" i="33"/>
  <c r="G3457" i="33"/>
  <c r="H2833" i="33"/>
  <c r="C3405" i="33"/>
  <c r="EB48" i="24"/>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BP23" i="37"/>
  <c r="BP53" i="37" s="1"/>
  <c r="BP22" i="37" s="1"/>
  <c r="E1285" i="33"/>
  <c r="H1945" i="33"/>
  <c r="G1545" i="33"/>
  <c r="K781" i="33"/>
  <c r="K1701" i="33"/>
  <c r="L1493" i="33"/>
  <c r="I989" i="33"/>
  <c r="E1805" i="33"/>
  <c r="F1945" i="33"/>
  <c r="H1441" i="33"/>
  <c r="L1945" i="33"/>
  <c r="G329" i="33"/>
  <c r="L485" i="33"/>
  <c r="H625" i="33"/>
  <c r="F729" i="33"/>
  <c r="H1233" i="33"/>
  <c r="I1997" i="33"/>
  <c r="E1493" i="33"/>
  <c r="J2049" i="33"/>
  <c r="G173" i="33"/>
  <c r="D781"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G781"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J781"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I781" i="33"/>
  <c r="H729" i="33"/>
  <c r="H225" i="33"/>
  <c r="D573" i="33"/>
  <c r="I1805" i="33"/>
  <c r="D1389" i="33"/>
  <c r="L1389" i="33"/>
  <c r="I1493" i="33"/>
  <c r="E1945" i="33"/>
  <c r="L173" i="33"/>
  <c r="K625" i="33"/>
  <c r="D677" i="33"/>
  <c r="L833" i="33"/>
  <c r="I1145" i="33"/>
  <c r="J989" i="33"/>
  <c r="J1093" i="33"/>
  <c r="D1093" i="33"/>
  <c r="L277" i="33"/>
  <c r="K225" i="33"/>
  <c r="D433" i="33"/>
  <c r="F781"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E781" i="33"/>
  <c r="L1041" i="33"/>
  <c r="L625" i="33"/>
  <c r="C677" i="33"/>
  <c r="M669" i="33"/>
  <c r="H781" i="33"/>
  <c r="L1233" i="33"/>
  <c r="H1701" i="33"/>
  <c r="M1745" i="33"/>
  <c r="D1945" i="33"/>
  <c r="M2041" i="33"/>
  <c r="M555" i="33"/>
  <c r="M1127" i="33"/>
  <c r="C1145" i="33"/>
  <c r="M207" i="33"/>
  <c r="J381" i="33"/>
  <c r="C1337" i="33"/>
  <c r="M1319" i="33"/>
  <c r="C1649" i="33"/>
  <c r="M1631" i="33"/>
  <c r="M1527" i="33"/>
  <c r="M1683" i="33"/>
  <c r="C1597" i="33"/>
  <c r="M1579" i="33"/>
  <c r="J1233" i="33"/>
  <c r="D1493" i="33"/>
  <c r="C1805" i="33"/>
  <c r="M1787" i="33"/>
  <c r="C1753" i="33"/>
  <c r="M1735" i="33"/>
  <c r="J1945" i="33"/>
  <c r="J1701"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M773" i="33"/>
  <c r="I1233" i="33"/>
  <c r="E1441" i="33"/>
  <c r="E1701" i="33"/>
  <c r="H1805" i="33"/>
  <c r="I277" i="33"/>
  <c r="D329" i="33"/>
  <c r="I485" i="33"/>
  <c r="L677" i="33"/>
  <c r="I729" i="33"/>
  <c r="H989" i="33"/>
  <c r="E1145" i="33"/>
  <c r="I1285" i="33"/>
  <c r="L1753" i="33"/>
  <c r="D1805" i="33"/>
  <c r="M607" i="33"/>
  <c r="J1145" i="33"/>
  <c r="C1093" i="33"/>
  <c r="M1075" i="33"/>
  <c r="D2049" i="33"/>
  <c r="M2181" i="33"/>
  <c r="M1085" i="33"/>
  <c r="M1023" i="33"/>
  <c r="M659"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L781" i="33"/>
  <c r="I833" i="33"/>
  <c r="M981" i="33"/>
  <c r="C1701" i="33"/>
  <c r="M1693" i="33"/>
  <c r="I1753" i="33"/>
  <c r="H433" i="33"/>
  <c r="H573" i="33"/>
  <c r="E625" i="33"/>
  <c r="E1093" i="33"/>
  <c r="M1137" i="33"/>
  <c r="E1233" i="33"/>
  <c r="I1389" i="33"/>
  <c r="K833" i="33"/>
  <c r="L2189" i="33"/>
  <c r="C729" i="33"/>
  <c r="M711" i="33"/>
  <c r="M311" i="33"/>
  <c r="M415" i="33"/>
  <c r="M721" i="33"/>
  <c r="F381" i="33"/>
  <c r="M1329" i="33"/>
  <c r="M1641" i="33"/>
  <c r="J1389" i="33"/>
  <c r="M1589" i="33"/>
  <c r="F2049" i="33"/>
  <c r="M2171" i="33"/>
  <c r="C2189" i="33"/>
  <c r="C225" i="33"/>
  <c r="M217" i="33"/>
  <c r="D173" i="33"/>
  <c r="I1597" i="33"/>
  <c r="I1441" i="33"/>
  <c r="L989" i="33"/>
  <c r="C1041" i="33"/>
  <c r="M1033" i="33"/>
  <c r="I1337" i="33"/>
  <c r="L1701" i="33"/>
  <c r="C625" i="33"/>
  <c r="M617" i="33"/>
  <c r="E677" i="33"/>
  <c r="H1041" i="33"/>
  <c r="L1145" i="33"/>
  <c r="C1233" i="33"/>
  <c r="M1225" i="33"/>
  <c r="E1337" i="33"/>
  <c r="C833" i="33"/>
  <c r="M825" i="33"/>
  <c r="J1041" i="33"/>
  <c r="C781" i="33"/>
  <c r="M763" i="33"/>
  <c r="M971" i="33"/>
  <c r="C989" i="33"/>
  <c r="M155" i="33"/>
  <c r="D381" i="33"/>
  <c r="M815" i="33"/>
  <c r="K381" i="33"/>
  <c r="M1215" i="33"/>
  <c r="D1337" i="33"/>
  <c r="M1371" i="33"/>
  <c r="M1433" i="33"/>
  <c r="M1485" i="33"/>
  <c r="M1277" i="33"/>
  <c r="F1545" i="33"/>
  <c r="C1997" i="33"/>
  <c r="M1979" i="33"/>
  <c r="M1927"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89" i="24"/>
  <c r="B90" i="24"/>
  <c r="B91" i="24"/>
  <c r="B92" i="24"/>
  <c r="B93" i="24"/>
  <c r="B94" i="24"/>
  <c r="B95" i="24"/>
  <c r="B96" i="24"/>
  <c r="B97" i="24"/>
  <c r="B98" i="24"/>
  <c r="B148" i="24"/>
  <c r="FK10" i="22"/>
  <c r="EY10" i="22"/>
  <c r="EM10" i="22"/>
  <c r="S148" i="24" l="1"/>
  <c r="T148" i="24"/>
  <c r="S98" i="24"/>
  <c r="T98" i="24"/>
  <c r="S96" i="24"/>
  <c r="T96" i="24"/>
  <c r="S95" i="24"/>
  <c r="T95" i="24"/>
  <c r="S94" i="24"/>
  <c r="T94" i="24"/>
  <c r="S93" i="24"/>
  <c r="T93" i="24"/>
  <c r="S92" i="24"/>
  <c r="T92" i="24"/>
  <c r="S91" i="24"/>
  <c r="T91" i="24"/>
  <c r="S90" i="24"/>
  <c r="T90" i="24"/>
  <c r="S89" i="24"/>
  <c r="T89" i="24"/>
  <c r="S18" i="24"/>
  <c r="T18" i="24"/>
  <c r="S97" i="24"/>
  <c r="T97" i="24"/>
  <c r="K14" i="27"/>
  <c r="K26" i="27"/>
  <c r="E26" i="27"/>
  <c r="E14" i="27"/>
  <c r="H26" i="27"/>
  <c r="H14" i="27"/>
  <c r="L26" i="27"/>
  <c r="L14" i="27"/>
  <c r="G14" i="27"/>
  <c r="G26" i="27"/>
  <c r="F26" i="27"/>
  <c r="F14" i="27"/>
  <c r="J26" i="27"/>
  <c r="J14" i="27"/>
  <c r="I14" i="27"/>
  <c r="I26" i="27"/>
  <c r="M26" i="27"/>
  <c r="M14" i="27"/>
  <c r="K3646" i="33"/>
  <c r="C3656" i="33"/>
  <c r="J3698" i="33"/>
  <c r="G3500" i="33"/>
  <c r="F3812" i="33"/>
  <c r="C3760" i="33"/>
  <c r="F3552" i="33"/>
  <c r="J3656" i="33"/>
  <c r="K3708" i="33"/>
  <c r="E3438" i="33"/>
  <c r="F3178" i="33"/>
  <c r="J3084" i="33"/>
  <c r="L3188" i="33"/>
  <c r="J3292" i="33"/>
  <c r="G3282" i="33"/>
  <c r="K3240" i="33"/>
  <c r="L3126" i="33"/>
  <c r="K3594" i="33"/>
  <c r="J3178" i="33"/>
  <c r="C3334" i="33"/>
  <c r="L2710" i="33"/>
  <c r="G2928" i="33"/>
  <c r="H2824" i="33"/>
  <c r="C2928" i="33"/>
  <c r="L2668" i="33"/>
  <c r="I2814" i="33"/>
  <c r="G2814" i="33"/>
  <c r="E2814" i="33"/>
  <c r="J2772" i="33"/>
  <c r="H2460" i="33"/>
  <c r="E2460" i="33"/>
  <c r="G2564" i="33"/>
  <c r="C2564" i="33"/>
  <c r="K2294" i="33"/>
  <c r="E2346" i="33"/>
  <c r="H2408" i="33"/>
  <c r="G2554" i="33"/>
  <c r="D2398" i="33"/>
  <c r="J2502" i="33"/>
  <c r="D3802" i="33"/>
  <c r="H3594" i="33"/>
  <c r="I3646" i="33"/>
  <c r="G3646" i="33"/>
  <c r="D3448" i="33"/>
  <c r="L3802" i="33"/>
  <c r="I3750" i="33"/>
  <c r="L3542" i="33"/>
  <c r="G3604" i="33"/>
  <c r="H3656" i="33"/>
  <c r="D3240" i="33"/>
  <c r="E3126" i="33"/>
  <c r="G3032" i="33"/>
  <c r="K3136" i="33"/>
  <c r="I3282" i="33"/>
  <c r="L3240" i="33"/>
  <c r="H3188" i="33"/>
  <c r="C3084" i="33"/>
  <c r="F3344" i="33"/>
  <c r="C3136" i="33"/>
  <c r="E3240" i="33"/>
  <c r="H2658" i="33"/>
  <c r="E2918" i="33"/>
  <c r="E2772" i="33"/>
  <c r="D2876" i="33"/>
  <c r="K3022" i="33"/>
  <c r="F2762" i="33"/>
  <c r="D2762" i="33"/>
  <c r="L2772" i="33"/>
  <c r="H2720" i="33"/>
  <c r="E2408" i="33"/>
  <c r="E2450" i="33"/>
  <c r="E2468" i="33" s="1"/>
  <c r="E2512" i="33"/>
  <c r="C2512" i="33"/>
  <c r="L2294" i="33"/>
  <c r="H2398" i="33"/>
  <c r="J2408" i="33"/>
  <c r="F2554" i="33"/>
  <c r="L3760" i="33"/>
  <c r="E3542" i="33"/>
  <c r="F3594" i="33"/>
  <c r="D3594" i="33"/>
  <c r="J3438" i="33"/>
  <c r="D3760" i="33"/>
  <c r="F3698" i="33"/>
  <c r="C3500" i="33"/>
  <c r="D3552" i="33"/>
  <c r="E3802" i="33"/>
  <c r="J3230" i="33"/>
  <c r="L3084" i="33"/>
  <c r="D2980" i="33"/>
  <c r="H3084" i="33"/>
  <c r="C3230" i="33"/>
  <c r="I3188" i="33"/>
  <c r="G3136" i="33"/>
  <c r="I3074" i="33"/>
  <c r="F3334" i="33"/>
  <c r="F3352" i="33" s="1"/>
  <c r="I3126" i="33"/>
  <c r="K3230" i="33"/>
  <c r="K3248" i="33" s="1"/>
  <c r="E2606" i="33"/>
  <c r="H2876" i="33"/>
  <c r="K2762" i="33"/>
  <c r="E2866" i="33"/>
  <c r="D2824" i="33"/>
  <c r="D2710" i="33"/>
  <c r="L2720" i="33"/>
  <c r="J2720" i="33"/>
  <c r="D2668" i="33"/>
  <c r="K2398" i="33"/>
  <c r="C2408" i="33"/>
  <c r="D2502" i="33"/>
  <c r="D2356" i="33"/>
  <c r="L2554" i="33"/>
  <c r="L2460" i="33"/>
  <c r="L2356" i="33"/>
  <c r="J2356" i="33"/>
  <c r="D2554" i="33"/>
  <c r="H2356" i="33"/>
  <c r="I3708" i="33"/>
  <c r="L3500" i="33"/>
  <c r="C3542" i="33"/>
  <c r="K3552" i="33"/>
  <c r="G3386" i="33"/>
  <c r="J3750" i="33"/>
  <c r="C3646" i="33"/>
  <c r="C3664" i="33" s="1"/>
  <c r="I3490" i="33"/>
  <c r="J3542" i="33"/>
  <c r="C3750" i="33"/>
  <c r="G3178" i="33"/>
  <c r="I3032" i="33"/>
  <c r="J2970" i="33"/>
  <c r="E3604" i="33"/>
  <c r="J3188" i="33"/>
  <c r="H3136" i="33"/>
  <c r="D3084" i="33"/>
  <c r="C3396" i="33"/>
  <c r="D3292" i="33"/>
  <c r="F3074" i="33"/>
  <c r="H3178" i="33"/>
  <c r="H3196" i="33" s="1"/>
  <c r="L2564" i="33"/>
  <c r="H2866" i="33"/>
  <c r="C2720" i="33"/>
  <c r="F2824" i="33"/>
  <c r="J2814" i="33"/>
  <c r="J2668" i="33"/>
  <c r="H2668" i="33"/>
  <c r="F2668" i="33"/>
  <c r="J2658" i="33"/>
  <c r="J2564" i="33"/>
  <c r="L2346" i="33"/>
  <c r="L2364" i="33" s="1"/>
  <c r="C2460" i="33"/>
  <c r="J2346" i="33"/>
  <c r="J2364" i="33" s="1"/>
  <c r="I2304" i="33"/>
  <c r="L2450" i="33"/>
  <c r="L2468" i="33" s="1"/>
  <c r="C2304" i="33"/>
  <c r="C2294" i="33"/>
  <c r="F3656" i="33"/>
  <c r="L3812" i="33"/>
  <c r="J3500" i="33"/>
  <c r="H3500" i="33"/>
  <c r="G3812" i="33"/>
  <c r="G3698" i="33"/>
  <c r="J3604" i="33"/>
  <c r="C3812" i="33"/>
  <c r="G3490" i="33"/>
  <c r="G3508" i="33" s="1"/>
  <c r="J3708" i="33"/>
  <c r="F3126" i="33"/>
  <c r="F2980" i="33"/>
  <c r="E3490" i="33"/>
  <c r="J3396" i="33"/>
  <c r="I3136" i="33"/>
  <c r="E3084" i="33"/>
  <c r="J3074" i="33"/>
  <c r="J3092" i="33" s="1"/>
  <c r="G3344" i="33"/>
  <c r="C3282" i="33"/>
  <c r="L3448" i="33"/>
  <c r="G3126" i="33"/>
  <c r="I2512" i="33"/>
  <c r="I2824" i="33"/>
  <c r="I2710" i="33"/>
  <c r="L2814" i="33"/>
  <c r="G2762" i="33"/>
  <c r="G2616" i="33"/>
  <c r="E2616" i="33"/>
  <c r="L2658" i="33"/>
  <c r="L2676" i="33" s="1"/>
  <c r="J2928" i="33"/>
  <c r="H2512" i="33"/>
  <c r="F2294" i="33"/>
  <c r="C2450" i="33"/>
  <c r="I2294" i="33"/>
  <c r="L2512" i="33"/>
  <c r="I2460" i="33"/>
  <c r="L3646" i="33"/>
  <c r="J3760" i="33"/>
  <c r="J3812" i="33"/>
  <c r="E3448" i="33"/>
  <c r="E3760" i="33"/>
  <c r="D3646" i="33"/>
  <c r="G3552" i="33"/>
  <c r="I3802" i="33"/>
  <c r="G3802" i="33"/>
  <c r="G3656" i="33"/>
  <c r="C3074" i="33"/>
  <c r="C3092" i="33" s="1"/>
  <c r="L2970" i="33"/>
  <c r="L3396" i="33"/>
  <c r="K3386" i="33"/>
  <c r="F3084" i="33"/>
  <c r="K3074" i="33"/>
  <c r="G3022" i="33"/>
  <c r="G3334" i="33"/>
  <c r="G3352" i="33" s="1"/>
  <c r="H3240" i="33"/>
  <c r="L3438" i="33"/>
  <c r="L3456" i="33" s="1"/>
  <c r="D3074" i="33"/>
  <c r="F3032" i="33"/>
  <c r="F2772" i="33"/>
  <c r="E2658" i="33"/>
  <c r="C2772" i="33"/>
  <c r="E2710" i="33"/>
  <c r="D2564" i="33"/>
  <c r="K2606" i="33"/>
  <c r="E2980" i="33"/>
  <c r="H2918" i="33"/>
  <c r="G2502" i="33"/>
  <c r="K2616" i="33"/>
  <c r="F2356" i="33"/>
  <c r="D2616" i="33"/>
  <c r="K2304" i="33"/>
  <c r="E2294" i="33"/>
  <c r="C3604" i="33"/>
  <c r="G3708" i="33"/>
  <c r="H3760" i="33"/>
  <c r="K3438" i="33"/>
  <c r="K3750" i="33"/>
  <c r="K3604" i="33"/>
  <c r="D3500" i="33"/>
  <c r="G3750" i="33"/>
  <c r="E3750" i="33"/>
  <c r="D3604" i="33"/>
  <c r="J3032" i="33"/>
  <c r="F3448" i="33"/>
  <c r="L3282" i="33"/>
  <c r="K3292" i="33"/>
  <c r="L3074" i="33"/>
  <c r="L3092" i="33" s="1"/>
  <c r="H3022" i="33"/>
  <c r="D2970" i="33"/>
  <c r="D2988" i="33" s="1"/>
  <c r="E3292" i="33"/>
  <c r="E3188" i="33"/>
  <c r="C3344" i="33"/>
  <c r="K3032" i="33"/>
  <c r="H2928" i="33"/>
  <c r="L2762" i="33"/>
  <c r="L2616" i="33"/>
  <c r="I2762" i="33"/>
  <c r="K2668" i="33"/>
  <c r="J2554" i="33"/>
  <c r="C3022" i="33"/>
  <c r="K2918" i="33"/>
  <c r="K2876" i="33"/>
  <c r="F2460" i="33"/>
  <c r="L2606" i="33"/>
  <c r="L2624" i="33" s="1"/>
  <c r="F2304" i="33"/>
  <c r="G2606" i="33"/>
  <c r="C2346" i="33"/>
  <c r="I3594" i="33"/>
  <c r="D3656" i="33"/>
  <c r="E3708" i="33"/>
  <c r="H3386" i="33"/>
  <c r="H3698" i="33"/>
  <c r="H3552" i="33"/>
  <c r="J3490" i="33"/>
  <c r="D3698" i="33"/>
  <c r="L3708" i="33"/>
  <c r="J3594" i="33"/>
  <c r="J3612" i="33" s="1"/>
  <c r="G2980" i="33"/>
  <c r="C3438" i="33"/>
  <c r="F3230" i="33"/>
  <c r="J3282" i="33"/>
  <c r="J3300" i="33" s="1"/>
  <c r="C3032" i="33"/>
  <c r="E2970" i="33"/>
  <c r="K2928" i="33"/>
  <c r="D3282" i="33"/>
  <c r="D3300" i="33" s="1"/>
  <c r="K3178" i="33"/>
  <c r="D3334" i="33"/>
  <c r="H2980" i="33"/>
  <c r="F2918" i="33"/>
  <c r="D2720" i="33"/>
  <c r="E2928" i="33"/>
  <c r="G2710" i="33"/>
  <c r="H2616" i="33"/>
  <c r="F3022" i="33"/>
  <c r="J2980" i="33"/>
  <c r="D2814" i="33"/>
  <c r="D2832" i="33" s="1"/>
  <c r="K2866" i="33"/>
  <c r="K2884" i="33" s="1"/>
  <c r="G2450" i="33"/>
  <c r="H2564" i="33"/>
  <c r="I2616" i="33"/>
  <c r="C2356" i="33"/>
  <c r="I2554" i="33"/>
  <c r="L2502" i="33"/>
  <c r="I2450" i="33"/>
  <c r="I2468" i="33" s="1"/>
  <c r="G2294" i="33"/>
  <c r="K2450" i="33"/>
  <c r="G2304" i="33"/>
  <c r="K2502" i="33"/>
  <c r="F3542" i="33"/>
  <c r="F3560" i="33" s="1"/>
  <c r="J3646" i="33"/>
  <c r="J3664" i="33" s="1"/>
  <c r="K3698" i="33"/>
  <c r="K3716" i="33" s="1"/>
  <c r="H3812" i="33"/>
  <c r="E3646" i="33"/>
  <c r="E3500" i="33"/>
  <c r="G3438" i="33"/>
  <c r="K3656" i="33"/>
  <c r="I3656" i="33"/>
  <c r="G3542" i="33"/>
  <c r="D2928" i="33"/>
  <c r="H3230" i="33"/>
  <c r="H3248" i="33" s="1"/>
  <c r="C3178" i="33"/>
  <c r="D3230" i="33"/>
  <c r="D3248" i="33" s="1"/>
  <c r="I3022" i="33"/>
  <c r="I3040" i="33" s="1"/>
  <c r="L2928" i="33"/>
  <c r="D3396" i="33"/>
  <c r="I3240" i="33"/>
  <c r="D3136" i="33"/>
  <c r="F3240" i="33"/>
  <c r="L3032" i="33"/>
  <c r="I2876" i="33"/>
  <c r="J2710" i="33"/>
  <c r="J2728" i="33" s="1"/>
  <c r="C2918" i="33"/>
  <c r="C2936" i="33" s="1"/>
  <c r="C2658" i="33"/>
  <c r="E2564" i="33"/>
  <c r="I2970" i="33"/>
  <c r="G2970" i="33"/>
  <c r="G2988" i="33" s="1"/>
  <c r="K2772" i="33"/>
  <c r="L2824" i="33"/>
  <c r="D2408" i="33"/>
  <c r="F2512" i="33"/>
  <c r="I2606" i="33"/>
  <c r="I2346" i="33"/>
  <c r="L2408" i="33"/>
  <c r="K2460" i="33"/>
  <c r="G2408" i="33"/>
  <c r="H2294" i="33"/>
  <c r="F2346" i="33"/>
  <c r="C3490" i="33"/>
  <c r="G3594" i="33"/>
  <c r="G3612" i="33" s="1"/>
  <c r="H3646" i="33"/>
  <c r="H3664" i="33" s="1"/>
  <c r="F3760" i="33"/>
  <c r="L3604" i="33"/>
  <c r="K3490" i="33"/>
  <c r="D3386" i="33"/>
  <c r="H3604" i="33"/>
  <c r="F3604" i="33"/>
  <c r="D3490" i="33"/>
  <c r="D3508" i="33" s="1"/>
  <c r="J2918" i="33"/>
  <c r="J2936" i="33" s="1"/>
  <c r="E3178" i="33"/>
  <c r="L3136" i="33"/>
  <c r="K3188" i="33"/>
  <c r="F2970" i="33"/>
  <c r="F2988" i="33" s="1"/>
  <c r="D2866" i="33"/>
  <c r="D2884" i="33" s="1"/>
  <c r="H3344" i="33"/>
  <c r="F3188" i="33"/>
  <c r="J3126" i="33"/>
  <c r="L3230" i="33"/>
  <c r="L3248" i="33" s="1"/>
  <c r="I2928" i="33"/>
  <c r="I2866" i="33"/>
  <c r="F2658" i="33"/>
  <c r="F2676" i="33" s="1"/>
  <c r="E2876" i="33"/>
  <c r="L3022" i="33"/>
  <c r="K2554" i="33"/>
  <c r="H2814" i="33"/>
  <c r="H2832" i="33" s="1"/>
  <c r="F2814" i="33"/>
  <c r="F2832" i="33" s="1"/>
  <c r="I2720" i="33"/>
  <c r="I2772" i="33"/>
  <c r="E2398" i="33"/>
  <c r="E2502" i="33"/>
  <c r="E2520" i="33" s="1"/>
  <c r="F2564" i="33"/>
  <c r="C2616" i="33"/>
  <c r="G2398" i="33"/>
  <c r="L2304" i="33"/>
  <c r="I2502" i="33"/>
  <c r="I2520" i="33" s="1"/>
  <c r="J3448" i="33"/>
  <c r="D3542" i="33"/>
  <c r="E3594" i="33"/>
  <c r="E3612" i="33" s="1"/>
  <c r="L3750" i="33"/>
  <c r="L3768" i="33" s="1"/>
  <c r="I3552" i="33"/>
  <c r="H3438" i="33"/>
  <c r="D3812" i="33"/>
  <c r="E3552" i="33"/>
  <c r="L3594" i="33"/>
  <c r="L3612" i="33" s="1"/>
  <c r="K3448" i="33"/>
  <c r="F2876" i="33"/>
  <c r="D3126" i="33"/>
  <c r="D3144" i="33" s="1"/>
  <c r="I3084" i="33"/>
  <c r="J3136" i="33"/>
  <c r="H3542" i="33"/>
  <c r="H3560" i="33" s="1"/>
  <c r="E3396" i="33"/>
  <c r="H3334" i="33"/>
  <c r="H3352" i="33" s="1"/>
  <c r="L3178" i="33"/>
  <c r="L3196" i="33" s="1"/>
  <c r="G3074" i="33"/>
  <c r="C3188" i="33"/>
  <c r="G2918" i="33"/>
  <c r="J2824" i="33"/>
  <c r="C2606" i="33"/>
  <c r="F2866" i="33"/>
  <c r="C2876" i="33"/>
  <c r="H2502" i="33"/>
  <c r="H2520" i="33" s="1"/>
  <c r="E2762" i="33"/>
  <c r="E2780" i="33" s="1"/>
  <c r="C2762" i="33"/>
  <c r="E2668" i="33"/>
  <c r="G2720" i="33"/>
  <c r="I2356" i="33"/>
  <c r="D2460" i="33"/>
  <c r="D2512" i="33"/>
  <c r="D2606" i="33"/>
  <c r="D2624" i="33" s="1"/>
  <c r="J2304" i="33"/>
  <c r="I2408" i="33"/>
  <c r="K2356" i="33"/>
  <c r="I2398" i="33"/>
  <c r="K2512" i="33"/>
  <c r="K2408" i="33"/>
  <c r="G3396" i="33"/>
  <c r="K3500" i="33"/>
  <c r="L3552" i="33"/>
  <c r="C3708" i="33"/>
  <c r="F3500" i="33"/>
  <c r="E3386" i="33"/>
  <c r="E3404" i="33" s="1"/>
  <c r="J3802" i="33"/>
  <c r="J3820" i="33" s="1"/>
  <c r="K3542" i="33"/>
  <c r="K3560" i="33" s="1"/>
  <c r="C3552" i="33"/>
  <c r="H3396" i="33"/>
  <c r="L2866" i="33"/>
  <c r="K3084" i="33"/>
  <c r="K3396" i="33"/>
  <c r="G3084" i="33"/>
  <c r="F3396" i="33"/>
  <c r="C3386" i="33"/>
  <c r="C3404" i="33" s="1"/>
  <c r="F3292" i="33"/>
  <c r="E3136" i="33"/>
  <c r="D3344" i="33"/>
  <c r="I3178" i="33"/>
  <c r="I3196" i="33" s="1"/>
  <c r="J2876" i="33"/>
  <c r="G2772" i="33"/>
  <c r="D3032" i="33"/>
  <c r="G2824" i="33"/>
  <c r="C2866" i="33"/>
  <c r="F2450" i="33"/>
  <c r="F2468" i="33" s="1"/>
  <c r="C2710" i="33"/>
  <c r="C2728" i="33" s="1"/>
  <c r="K2720" i="33"/>
  <c r="K2658" i="33"/>
  <c r="K2676" i="33" s="1"/>
  <c r="C2668" i="33"/>
  <c r="D2294" i="33"/>
  <c r="D2450" i="33"/>
  <c r="D2468" i="33" s="1"/>
  <c r="C2502" i="33"/>
  <c r="C2520" i="33" s="1"/>
  <c r="H2346" i="33"/>
  <c r="H2364" i="33" s="1"/>
  <c r="D2346" i="33"/>
  <c r="D2364" i="33" s="1"/>
  <c r="K2564" i="33"/>
  <c r="H2554" i="33"/>
  <c r="C3802" i="33"/>
  <c r="C3820" i="33" s="1"/>
  <c r="K3812" i="33"/>
  <c r="I3500" i="33"/>
  <c r="I3698" i="33"/>
  <c r="L3490" i="33"/>
  <c r="L3508" i="33" s="1"/>
  <c r="L3344" i="33"/>
  <c r="H3750" i="33"/>
  <c r="H3490" i="33"/>
  <c r="H3508" i="33" s="1"/>
  <c r="I3542" i="33"/>
  <c r="E3344" i="33"/>
  <c r="G3448" i="33"/>
  <c r="H3032" i="33"/>
  <c r="L3386" i="33"/>
  <c r="L3404" i="33" s="1"/>
  <c r="I3396" i="33"/>
  <c r="I3386" i="33"/>
  <c r="I3344" i="33"/>
  <c r="E3282" i="33"/>
  <c r="K3126" i="33"/>
  <c r="E3334" i="33"/>
  <c r="H3126" i="33"/>
  <c r="J2866" i="33"/>
  <c r="E2720" i="33"/>
  <c r="F2928" i="33"/>
  <c r="D2772" i="33"/>
  <c r="E2824" i="33"/>
  <c r="C2398" i="33"/>
  <c r="C2416" i="33" s="1"/>
  <c r="I2668" i="33"/>
  <c r="G2668" i="33"/>
  <c r="C2980" i="33"/>
  <c r="I2658" i="33"/>
  <c r="E2304" i="33"/>
  <c r="G2356" i="33"/>
  <c r="E2356" i="33"/>
  <c r="E2554" i="33"/>
  <c r="E2572" i="33" s="1"/>
  <c r="J2460" i="33"/>
  <c r="K3760" i="33"/>
  <c r="I3760" i="33"/>
  <c r="I3812" i="33"/>
  <c r="F3646" i="33"/>
  <c r="F3664" i="33" s="1"/>
  <c r="C3448" i="33"/>
  <c r="I3292" i="33"/>
  <c r="E3698" i="33"/>
  <c r="E3716" i="33" s="1"/>
  <c r="H3802" i="33"/>
  <c r="H3820" i="33" s="1"/>
  <c r="F3490" i="33"/>
  <c r="K3334" i="33"/>
  <c r="D3438" i="33"/>
  <c r="D3456" i="33" s="1"/>
  <c r="G3230" i="33"/>
  <c r="L3292" i="33"/>
  <c r="J3386" i="33"/>
  <c r="J3404" i="33" s="1"/>
  <c r="J3344" i="33"/>
  <c r="I3334" i="33"/>
  <c r="J3240" i="33"/>
  <c r="H3074" i="33"/>
  <c r="H3092" i="33" s="1"/>
  <c r="C3292" i="33"/>
  <c r="E3074" i="33"/>
  <c r="E3092" i="33" s="1"/>
  <c r="K2824" i="33"/>
  <c r="K2710" i="33"/>
  <c r="K2728" i="33" s="1"/>
  <c r="D2918" i="33"/>
  <c r="D2936" i="33" s="1"/>
  <c r="J2762" i="33"/>
  <c r="J2780" i="33" s="1"/>
  <c r="K2814" i="33"/>
  <c r="J3022" i="33"/>
  <c r="J3040" i="33" s="1"/>
  <c r="D3022" i="33"/>
  <c r="I2980" i="33"/>
  <c r="I2918" i="33"/>
  <c r="I2936" i="33" s="1"/>
  <c r="F2606" i="33"/>
  <c r="I2564" i="33"/>
  <c r="D2304" i="33"/>
  <c r="K2346" i="33"/>
  <c r="K2364" i="33" s="1"/>
  <c r="J2294" i="33"/>
  <c r="G2460" i="33"/>
  <c r="H3708" i="33"/>
  <c r="F3708" i="33"/>
  <c r="G3760" i="33"/>
  <c r="C3594" i="33"/>
  <c r="I3438" i="33"/>
  <c r="E3812" i="33"/>
  <c r="L3656" i="33"/>
  <c r="F3750" i="33"/>
  <c r="F3768" i="33" s="1"/>
  <c r="F3802" i="33"/>
  <c r="H3282" i="33"/>
  <c r="C3240" i="33"/>
  <c r="D3178" i="33"/>
  <c r="K3282" i="33"/>
  <c r="K3300" i="33" s="1"/>
  <c r="K3344" i="33"/>
  <c r="J3334" i="33"/>
  <c r="G3292" i="33"/>
  <c r="G3188" i="33"/>
  <c r="E3022" i="33"/>
  <c r="G3240" i="33"/>
  <c r="I3448" i="33"/>
  <c r="H2772" i="33"/>
  <c r="G2658" i="33"/>
  <c r="G2676" i="33" s="1"/>
  <c r="G2876" i="33"/>
  <c r="H2710" i="33"/>
  <c r="H2762" i="33"/>
  <c r="K2970" i="33"/>
  <c r="K2980" i="33"/>
  <c r="C2970" i="33"/>
  <c r="L2876" i="33"/>
  <c r="C2554" i="33"/>
  <c r="C2572" i="33" s="1"/>
  <c r="G2512" i="33"/>
  <c r="J2616" i="33"/>
  <c r="F2616" i="33"/>
  <c r="G2346" i="33"/>
  <c r="E3656" i="33"/>
  <c r="L3698" i="33"/>
  <c r="L3716" i="33" s="1"/>
  <c r="D3708" i="33"/>
  <c r="J3552" i="33"/>
  <c r="F3386" i="33"/>
  <c r="F3404" i="33" s="1"/>
  <c r="K3802" i="33"/>
  <c r="I3604" i="33"/>
  <c r="C3698" i="33"/>
  <c r="C3716" i="33" s="1"/>
  <c r="D3750" i="33"/>
  <c r="D3768" i="33" s="1"/>
  <c r="H3448" i="33"/>
  <c r="I3230" i="33"/>
  <c r="I3248" i="33" s="1"/>
  <c r="C3126" i="33"/>
  <c r="C3144" i="33" s="1"/>
  <c r="E3230" i="33"/>
  <c r="E3248" i="33" s="1"/>
  <c r="L3334" i="33"/>
  <c r="L3352" i="33" s="1"/>
  <c r="H3292" i="33"/>
  <c r="F3282" i="33"/>
  <c r="F3136" i="33"/>
  <c r="L2980" i="33"/>
  <c r="D3188" i="33"/>
  <c r="F3438" i="33"/>
  <c r="F3456" i="33" s="1"/>
  <c r="F2720" i="33"/>
  <c r="E3032" i="33"/>
  <c r="G2866" i="33"/>
  <c r="D2658" i="33"/>
  <c r="D2676" i="33" s="1"/>
  <c r="F2710" i="33"/>
  <c r="C2824" i="33"/>
  <c r="H2970" i="33"/>
  <c r="H2988" i="33" s="1"/>
  <c r="L2918" i="33"/>
  <c r="L2936" i="33" s="1"/>
  <c r="C2814" i="33"/>
  <c r="J2512" i="33"/>
  <c r="F2502" i="33"/>
  <c r="F2520" i="33" s="1"/>
  <c r="J2606" i="33"/>
  <c r="H2606" i="33"/>
  <c r="H2624" i="33" s="1"/>
  <c r="H2304" i="33"/>
  <c r="L2398" i="33"/>
  <c r="L2416" i="33" s="1"/>
  <c r="J2450" i="33"/>
  <c r="J2468" i="33" s="1"/>
  <c r="H2450" i="33"/>
  <c r="H2468" i="33" s="1"/>
  <c r="F2408" i="33"/>
  <c r="F2398" i="33"/>
  <c r="J2398" i="33"/>
  <c r="J2416" i="33" s="1"/>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781"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1085" i="34"/>
  <c r="J2256" i="33"/>
  <c r="J2080" i="33"/>
  <c r="J2220" i="33"/>
  <c r="J1176" i="33"/>
  <c r="J864" i="33"/>
  <c r="J1836" i="33"/>
  <c r="J516" i="33"/>
  <c r="J14" i="25"/>
  <c r="BA18" i="32"/>
  <c r="BA51" i="32" s="1"/>
  <c r="AZ18" i="32"/>
  <c r="AZ51" i="32" s="1"/>
  <c r="L15" i="32"/>
  <c r="AL15" i="32" s="1"/>
  <c r="I2256" i="33"/>
  <c r="I1085" i="34"/>
  <c r="I2080" i="33"/>
  <c r="I1836" i="33"/>
  <c r="I2220" i="33"/>
  <c r="I1176" i="33"/>
  <c r="I864" i="33"/>
  <c r="I516" i="33"/>
  <c r="I14" i="25"/>
  <c r="D1085" i="34"/>
  <c r="D2256" i="33"/>
  <c r="D2220" i="33"/>
  <c r="D2080" i="33"/>
  <c r="D1836" i="33"/>
  <c r="D864" i="33"/>
  <c r="D516" i="33"/>
  <c r="D1176" i="33"/>
  <c r="D14" i="25"/>
  <c r="G1085" i="34"/>
  <c r="G2256" i="33"/>
  <c r="G2220" i="33"/>
  <c r="G2080" i="33"/>
  <c r="G1836" i="33"/>
  <c r="G864" i="33"/>
  <c r="G516" i="33"/>
  <c r="G1176" i="33"/>
  <c r="G14" i="25"/>
  <c r="H2256" i="33"/>
  <c r="H1085" i="34"/>
  <c r="H2220" i="33"/>
  <c r="H2080" i="33"/>
  <c r="H1836" i="33"/>
  <c r="H864" i="33"/>
  <c r="H516" i="33"/>
  <c r="H1176" i="33"/>
  <c r="H14" i="25"/>
  <c r="AW18" i="32"/>
  <c r="AW51" i="32" s="1"/>
  <c r="FA15" i="22"/>
  <c r="F1085" i="34"/>
  <c r="F2256" i="33"/>
  <c r="F2080" i="33"/>
  <c r="F2220" i="33"/>
  <c r="F1176" i="33"/>
  <c r="F516" i="33"/>
  <c r="F864" i="33"/>
  <c r="F1836" i="33"/>
  <c r="F14" i="25"/>
  <c r="E2256" i="33"/>
  <c r="E1085" i="34"/>
  <c r="E2080" i="33"/>
  <c r="E1836" i="33"/>
  <c r="E1176" i="33"/>
  <c r="E2220" i="33"/>
  <c r="E516" i="33"/>
  <c r="E864" i="33"/>
  <c r="E14" i="25"/>
  <c r="K2256" i="33"/>
  <c r="K1085" i="34"/>
  <c r="K2220" i="33"/>
  <c r="K2080" i="33"/>
  <c r="K1836" i="33"/>
  <c r="K864" i="33"/>
  <c r="K516" i="33"/>
  <c r="K1176" i="33"/>
  <c r="K14" i="25"/>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E2416" i="33" l="1"/>
  <c r="D3092" i="33"/>
  <c r="G2936" i="33"/>
  <c r="H3768" i="33"/>
  <c r="C3768" i="33"/>
  <c r="D3560" i="33"/>
  <c r="I3716" i="33"/>
  <c r="H2572" i="33"/>
  <c r="H2728" i="33"/>
  <c r="C3612" i="33"/>
  <c r="F3040" i="33"/>
  <c r="G3040" i="33"/>
  <c r="J2572" i="33"/>
  <c r="H3144" i="33"/>
  <c r="C2884" i="33"/>
  <c r="I2884" i="33"/>
  <c r="E3768" i="33"/>
  <c r="H2884" i="33"/>
  <c r="H2416" i="33"/>
  <c r="C2988" i="33"/>
  <c r="K3144" i="33"/>
  <c r="L2780" i="33"/>
  <c r="E3300" i="33"/>
  <c r="G2884" i="33"/>
  <c r="H2780" i="33"/>
  <c r="F3820" i="33"/>
  <c r="C3508" i="33"/>
  <c r="G2416" i="33"/>
  <c r="K2988" i="33"/>
  <c r="I2676" i="33"/>
  <c r="F3300" i="33"/>
  <c r="I2624" i="33"/>
  <c r="L3040" i="33"/>
  <c r="J3508" i="33"/>
  <c r="C2468" i="33"/>
  <c r="L2520" i="33"/>
  <c r="G3560" i="33"/>
  <c r="C2780" i="33"/>
  <c r="G2624" i="33"/>
  <c r="F3508" i="33"/>
  <c r="E3196" i="33"/>
  <c r="J2624" i="33"/>
  <c r="G2364" i="33"/>
  <c r="G3144" i="33"/>
  <c r="E2988" i="33"/>
  <c r="E3040" i="33"/>
  <c r="K2572" i="33"/>
  <c r="K2936" i="33"/>
  <c r="L2572" i="33"/>
  <c r="E3352" i="33"/>
  <c r="D3196" i="33"/>
  <c r="F2416" i="33"/>
  <c r="I3404" i="33"/>
  <c r="F2884" i="33"/>
  <c r="L3300" i="33"/>
  <c r="L3664" i="33"/>
  <c r="G3196" i="33"/>
  <c r="F3612" i="33"/>
  <c r="K2520" i="33"/>
  <c r="G2728" i="33"/>
  <c r="C3040" i="33"/>
  <c r="K3092" i="33"/>
  <c r="J2832" i="33"/>
  <c r="I3092" i="33"/>
  <c r="E3560" i="33"/>
  <c r="L3560" i="33"/>
  <c r="G3300" i="33"/>
  <c r="L2884" i="33"/>
  <c r="G3092" i="33"/>
  <c r="D3716" i="33"/>
  <c r="G2520" i="33"/>
  <c r="C3300" i="33"/>
  <c r="J3560" i="33"/>
  <c r="D2520" i="33"/>
  <c r="E2936" i="33"/>
  <c r="I3768" i="33"/>
  <c r="C2832" i="33"/>
  <c r="J3352" i="33"/>
  <c r="J2884" i="33"/>
  <c r="D3404" i="33"/>
  <c r="K2468" i="33"/>
  <c r="H2936" i="33"/>
  <c r="K3404" i="33"/>
  <c r="I3508" i="33"/>
  <c r="F2572" i="33"/>
  <c r="H2676" i="33"/>
  <c r="L3820" i="33"/>
  <c r="K3508" i="33"/>
  <c r="C3196" i="33"/>
  <c r="F2936" i="33"/>
  <c r="I2780" i="33"/>
  <c r="K2416" i="33"/>
  <c r="C3248" i="33"/>
  <c r="E2832" i="33"/>
  <c r="I3352" i="33"/>
  <c r="H3716" i="33"/>
  <c r="G3768" i="33"/>
  <c r="K2624" i="33"/>
  <c r="L2988" i="33"/>
  <c r="J3768" i="33"/>
  <c r="G3664" i="33"/>
  <c r="G2832" i="33"/>
  <c r="F3196" i="33"/>
  <c r="I2988" i="33"/>
  <c r="D3352" i="33"/>
  <c r="H3404" i="33"/>
  <c r="G3404" i="33"/>
  <c r="I3664" i="33"/>
  <c r="I2832" i="33"/>
  <c r="E3456" i="33"/>
  <c r="F2728" i="33"/>
  <c r="F2624" i="33"/>
  <c r="J3144" i="33"/>
  <c r="I2572" i="33"/>
  <c r="K3196" i="33"/>
  <c r="E2728" i="33"/>
  <c r="F3092" i="33"/>
  <c r="H3612" i="33"/>
  <c r="H3300" i="33"/>
  <c r="C2676" i="33"/>
  <c r="K3768" i="33"/>
  <c r="G3820" i="33"/>
  <c r="E3508" i="33"/>
  <c r="C3560" i="33"/>
  <c r="D2728" i="33"/>
  <c r="J3248" i="33"/>
  <c r="D3820" i="33"/>
  <c r="G3248" i="33"/>
  <c r="I3612" i="33"/>
  <c r="K3456" i="33"/>
  <c r="E2676" i="33"/>
  <c r="I3820" i="33"/>
  <c r="E3820" i="33"/>
  <c r="J2520" i="33"/>
  <c r="K3820" i="33"/>
  <c r="D3040" i="33"/>
  <c r="F2364" i="33"/>
  <c r="G3456" i="33"/>
  <c r="C2364" i="33"/>
  <c r="F3144" i="33"/>
  <c r="E2884" i="33"/>
  <c r="I3300" i="33"/>
  <c r="D2416" i="33"/>
  <c r="K3352" i="33"/>
  <c r="G2468" i="33"/>
  <c r="D3664" i="33"/>
  <c r="G2780" i="33"/>
  <c r="K2780" i="33"/>
  <c r="G2572" i="33"/>
  <c r="L2728" i="33"/>
  <c r="K2832" i="33"/>
  <c r="E3664" i="33"/>
  <c r="L2832" i="33"/>
  <c r="D2572" i="33"/>
  <c r="F3716" i="33"/>
  <c r="C3352" i="33"/>
  <c r="I3456" i="33"/>
  <c r="F3248" i="33"/>
  <c r="H3040" i="33"/>
  <c r="I2728" i="33"/>
  <c r="J2676" i="33"/>
  <c r="E2624" i="33"/>
  <c r="D2780" i="33"/>
  <c r="E3144" i="33"/>
  <c r="E2364" i="33"/>
  <c r="J3196" i="33"/>
  <c r="J3716" i="33"/>
  <c r="C2624" i="33"/>
  <c r="C3456" i="33"/>
  <c r="J2988" i="33"/>
  <c r="J3456" i="33"/>
  <c r="F2780" i="33"/>
  <c r="K3612" i="33"/>
  <c r="I3560" i="33"/>
  <c r="I2416" i="33"/>
  <c r="H3456" i="33"/>
  <c r="I2364" i="33"/>
  <c r="G3716" i="33"/>
  <c r="I3144" i="33"/>
  <c r="D3612" i="33"/>
  <c r="K3040" i="33"/>
  <c r="L3144" i="33"/>
  <c r="K3664" i="33"/>
  <c r="J2082" i="33"/>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DS34" i="24" s="1"/>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C2295" i="33" s="1"/>
  <c r="I50" i="31"/>
  <c r="I16" i="31" s="1"/>
  <c r="AI17" i="31"/>
  <c r="C2305" i="33" s="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EC89" i="24" l="1"/>
  <c r="I2240" i="33"/>
  <c r="C2313" i="33"/>
  <c r="C1885" i="33"/>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I2295" i="33" s="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I2305" i="33" s="1"/>
  <c r="I3865" i="33" s="1"/>
  <c r="S17" i="31"/>
  <c r="BN24" i="37" s="1"/>
  <c r="Q50" i="31"/>
  <c r="Q16" i="31" s="1"/>
  <c r="AE17" i="31"/>
  <c r="K2295" i="33" s="1"/>
  <c r="AQ17" i="31"/>
  <c r="K2305" i="33" s="1"/>
  <c r="K3865" i="33" s="1"/>
  <c r="AF17" i="31"/>
  <c r="L2295" i="33" s="1"/>
  <c r="AR17" i="31"/>
  <c r="L2305" i="33" s="1"/>
  <c r="L3865" i="33" s="1"/>
  <c r="R50" i="31"/>
  <c r="R16" i="31" s="1"/>
  <c r="W50" i="31"/>
  <c r="X17" i="31"/>
  <c r="D2295" i="33" s="1"/>
  <c r="AJ17" i="31"/>
  <c r="D2305" i="33" s="1"/>
  <c r="D3865" i="33" s="1"/>
  <c r="J50" i="31"/>
  <c r="J16" i="31" s="1"/>
  <c r="AD17" i="31"/>
  <c r="J2295" i="33" s="1"/>
  <c r="P50" i="31"/>
  <c r="P16" i="31" s="1"/>
  <c r="AP17" i="31"/>
  <c r="J2305" i="33" s="1"/>
  <c r="J3865" i="33" s="1"/>
  <c r="AA17" i="31"/>
  <c r="G2295" i="33" s="1"/>
  <c r="AM17" i="31"/>
  <c r="G2305" i="33" s="1"/>
  <c r="G3865" i="33" s="1"/>
  <c r="M50" i="31"/>
  <c r="M16" i="31" s="1"/>
  <c r="AB17" i="31"/>
  <c r="H2295" i="33" s="1"/>
  <c r="AN17" i="31"/>
  <c r="H2305" i="33" s="1"/>
  <c r="H3865" i="33" s="1"/>
  <c r="N50" i="31"/>
  <c r="N16" i="31" s="1"/>
  <c r="Y17" i="31"/>
  <c r="E2295" i="33" s="1"/>
  <c r="AK17" i="31"/>
  <c r="E2305" i="33" s="1"/>
  <c r="E3865" i="33" s="1"/>
  <c r="K50" i="31"/>
  <c r="K16" i="31" s="1"/>
  <c r="Z17" i="31"/>
  <c r="F2295" i="33" s="1"/>
  <c r="AL17" i="31"/>
  <c r="F2305" i="33" s="1"/>
  <c r="F3865" i="33" s="1"/>
  <c r="L50" i="31"/>
  <c r="L16" i="31" s="1"/>
  <c r="BM51" i="32"/>
  <c r="BM16" i="32" s="1"/>
  <c r="BL51" i="32"/>
  <c r="BL16" i="32" s="1"/>
  <c r="BI51" i="32"/>
  <c r="BI16" i="32" s="1"/>
  <c r="BE51" i="32"/>
  <c r="BE16" i="32" s="1"/>
  <c r="BB51" i="32"/>
  <c r="BB16" i="32" s="1"/>
  <c r="BD16" i="32"/>
  <c r="BN18" i="32"/>
  <c r="I2313" i="33" l="1"/>
  <c r="M2295" i="33"/>
  <c r="J2313" i="33"/>
  <c r="F2313" i="33"/>
  <c r="E2313" i="33"/>
  <c r="L2313" i="33"/>
  <c r="K2313" i="33"/>
  <c r="H2313" i="33"/>
  <c r="G2313" i="33"/>
  <c r="M2305" i="33"/>
  <c r="D2313" i="33"/>
  <c r="M2313" i="33"/>
  <c r="H1875" i="33"/>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E1885" i="33"/>
  <c r="E2093" i="33" s="1"/>
  <c r="E2129" i="33"/>
  <c r="E2233" i="33" s="1"/>
  <c r="E1875" i="33"/>
  <c r="E2083" i="33" s="1"/>
  <c r="E2119" i="33"/>
  <c r="L1875" i="33"/>
  <c r="L2083" i="33" s="1"/>
  <c r="L2119" i="33"/>
  <c r="H1893" i="33"/>
  <c r="H2101" i="33" s="1"/>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C2269" i="33"/>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3865" i="33" s="1"/>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J1179" i="33" s="1"/>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E1189" i="33" s="1"/>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G1893" i="33" l="1"/>
  <c r="G2101" i="33" s="1"/>
  <c r="D1893" i="33"/>
  <c r="D2101" i="33" s="1"/>
  <c r="K1893" i="33"/>
  <c r="K2101" i="33" s="1"/>
  <c r="J1893" i="33"/>
  <c r="J2101" i="33" s="1"/>
  <c r="F1893" i="33"/>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E2137" i="33"/>
  <c r="E2241" i="33" s="1"/>
  <c r="D2223" i="33"/>
  <c r="D2137" i="33"/>
  <c r="D2241" i="33" s="1"/>
  <c r="M1875" i="33"/>
  <c r="M2233" i="33"/>
  <c r="M2129" i="33"/>
  <c r="I2137" i="33"/>
  <c r="I2241" i="33" s="1"/>
  <c r="I2223" i="33"/>
  <c r="H2137" i="33"/>
  <c r="H2241" i="33" s="1"/>
  <c r="H2223" i="33"/>
  <c r="L1893" i="33"/>
  <c r="L2101" i="33" s="1"/>
  <c r="J2137" i="33"/>
  <c r="J2241" i="33" s="1"/>
  <c r="J2223" i="33"/>
  <c r="G1088" i="34"/>
  <c r="E118" i="34"/>
  <c r="D1098" i="34"/>
  <c r="H170" i="34"/>
  <c r="G1098" i="34"/>
  <c r="I937" i="33"/>
  <c r="I1197" i="33" s="1"/>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F3873" i="33"/>
  <c r="L3855" i="33"/>
  <c r="L3873" i="33"/>
  <c r="E3873"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L1197" i="33" s="1"/>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M1893" i="33" l="1"/>
  <c r="M2223" i="33"/>
  <c r="H1106" i="34"/>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31" i="22"/>
  <c r="B132" i="22"/>
  <c r="B133" i="22"/>
  <c r="B134" i="22"/>
  <c r="B135" i="22"/>
  <c r="B136" i="22"/>
  <c r="B137" i="22"/>
  <c r="B138" i="22"/>
  <c r="B139" i="22"/>
  <c r="B140" i="22"/>
  <c r="B141" i="22"/>
  <c r="B142" i="22"/>
  <c r="AB135" i="22" l="1"/>
  <c r="AC135" i="22"/>
  <c r="AB134" i="22"/>
  <c r="AC134" i="22"/>
  <c r="AB142" i="22"/>
  <c r="AC142" i="22"/>
  <c r="AB138" i="22"/>
  <c r="AC138" i="22"/>
  <c r="AB133" i="22"/>
  <c r="AC133" i="22"/>
  <c r="AB137" i="22"/>
  <c r="AC137" i="22"/>
  <c r="AB140" i="22"/>
  <c r="AC140" i="22"/>
  <c r="AB136" i="22"/>
  <c r="AC136" i="22"/>
  <c r="AB131" i="22"/>
  <c r="AC131" i="22"/>
  <c r="AB141" i="22"/>
  <c r="AC141" i="22"/>
  <c r="AB139" i="22"/>
  <c r="AC139" i="22"/>
  <c r="AB132" i="22"/>
  <c r="AC132" i="22"/>
  <c r="AB18" i="22"/>
  <c r="C3707" i="33"/>
  <c r="J3511" i="33"/>
  <c r="K3354" i="33"/>
  <c r="D3710" i="33"/>
  <c r="G3545" i="33"/>
  <c r="L3801" i="33"/>
  <c r="D3645" i="33"/>
  <c r="E3459" i="33"/>
  <c r="C3719" i="33"/>
  <c r="G3551" i="33"/>
  <c r="L3804" i="33"/>
  <c r="L3615" i="33"/>
  <c r="I3489" i="33"/>
  <c r="K3718" i="33"/>
  <c r="G3554" i="33"/>
  <c r="J3389" i="33"/>
  <c r="J3718" i="33"/>
  <c r="F3554" i="33"/>
  <c r="K3395" i="33"/>
  <c r="L3707" i="33"/>
  <c r="E3554" i="33"/>
  <c r="H3389" i="33"/>
  <c r="K3707" i="33"/>
  <c r="J3544" i="33"/>
  <c r="I3355" i="33"/>
  <c r="G3804" i="33"/>
  <c r="G3615" i="33"/>
  <c r="H3458" i="33"/>
  <c r="F3804" i="33"/>
  <c r="D3649" i="33"/>
  <c r="C3489" i="33"/>
  <c r="E3718" i="33"/>
  <c r="G3544" i="33"/>
  <c r="D3804" i="33"/>
  <c r="J3645" i="33"/>
  <c r="K3459" i="33"/>
  <c r="H3710" i="33"/>
  <c r="K3545" i="33"/>
  <c r="D3770" i="33"/>
  <c r="I3811" i="33"/>
  <c r="I3648" i="33"/>
  <c r="F3493" i="33"/>
  <c r="D3295" i="33"/>
  <c r="I3291" i="33"/>
  <c r="J3135" i="33"/>
  <c r="I2972" i="33"/>
  <c r="I3347" i="33"/>
  <c r="J3187" i="33"/>
  <c r="C3031" i="33"/>
  <c r="F3337" i="33"/>
  <c r="G3181" i="33"/>
  <c r="J3447" i="33"/>
  <c r="I3233" i="33"/>
  <c r="J3073" i="33"/>
  <c r="I3437" i="33"/>
  <c r="J3199" i="33"/>
  <c r="C3043" i="33"/>
  <c r="I3284" i="33"/>
  <c r="K3125" i="33"/>
  <c r="D3343" i="33"/>
  <c r="E3147" i="33"/>
  <c r="F3437" i="33"/>
  <c r="G3199" i="33"/>
  <c r="J3042" i="33"/>
  <c r="J3354" i="33"/>
  <c r="C3187" i="33"/>
  <c r="D3024" i="33"/>
  <c r="H2835" i="33"/>
  <c r="E3239" i="33"/>
  <c r="F3076" i="33"/>
  <c r="C3450" i="33"/>
  <c r="L3232" i="33"/>
  <c r="G3042" i="33"/>
  <c r="L3798" i="33"/>
  <c r="K3700" i="33"/>
  <c r="D3510" i="33"/>
  <c r="F3347" i="33"/>
  <c r="J3700" i="33"/>
  <c r="I3511" i="33"/>
  <c r="F3771" i="33"/>
  <c r="H3614" i="33"/>
  <c r="J3451" i="33"/>
  <c r="H3711" i="33"/>
  <c r="E3545" i="33"/>
  <c r="J3801" i="33"/>
  <c r="F3614" i="33"/>
  <c r="C3459" i="33"/>
  <c r="F3711" i="33"/>
  <c r="E3551" i="33"/>
  <c r="D3388" i="33"/>
  <c r="E3711" i="33"/>
  <c r="D3551" i="33"/>
  <c r="I3389" i="33"/>
  <c r="J3701" i="33"/>
  <c r="C3551" i="33"/>
  <c r="J3355" i="33"/>
  <c r="I3701" i="33"/>
  <c r="H3541" i="33"/>
  <c r="C3354" i="33"/>
  <c r="E3801" i="33"/>
  <c r="L3607" i="33"/>
  <c r="C3451" i="33"/>
  <c r="D3801" i="33"/>
  <c r="L3645" i="33"/>
  <c r="G3458" i="33"/>
  <c r="J3710" i="33"/>
  <c r="E3541" i="33"/>
  <c r="L3771" i="33"/>
  <c r="D3615" i="33"/>
  <c r="E3458" i="33"/>
  <c r="F3707" i="33"/>
  <c r="E3544" i="33"/>
  <c r="J3762" i="33"/>
  <c r="G3805" i="33"/>
  <c r="G3645" i="33"/>
  <c r="H3459" i="33"/>
  <c r="L3291" i="33"/>
  <c r="E3285" i="33"/>
  <c r="H3129" i="33"/>
  <c r="G2969" i="33"/>
  <c r="J3343" i="33"/>
  <c r="H3181" i="33"/>
  <c r="K3024" i="33"/>
  <c r="I3333" i="33"/>
  <c r="I3147" i="33"/>
  <c r="J3440" i="33"/>
  <c r="C3232" i="33"/>
  <c r="D3043" i="33"/>
  <c r="L3399" i="33"/>
  <c r="D3198" i="33"/>
  <c r="H3035" i="33"/>
  <c r="C3281" i="33"/>
  <c r="E3095" i="33"/>
  <c r="K3336" i="33"/>
  <c r="L3139" i="33"/>
  <c r="G3399" i="33"/>
  <c r="L3191" i="33"/>
  <c r="E3035" i="33"/>
  <c r="I3346" i="33"/>
  <c r="K3180" i="33"/>
  <c r="L2991" i="33"/>
  <c r="G2826" i="33"/>
  <c r="C3233" i="33"/>
  <c r="D3073" i="33"/>
  <c r="H3407" i="33"/>
  <c r="J3229" i="33"/>
  <c r="L3034" i="33"/>
  <c r="F3251" i="33"/>
  <c r="L3083" i="33"/>
  <c r="E2930" i="33"/>
  <c r="J3232" i="33"/>
  <c r="K3043" i="33"/>
  <c r="H3285" i="33"/>
  <c r="C3125" i="33"/>
  <c r="E3303" i="33"/>
  <c r="L3135" i="33"/>
  <c r="K3347" i="33"/>
  <c r="D3180" i="33"/>
  <c r="L2966" i="33"/>
  <c r="I72" i="33" s="1"/>
  <c r="I3697" i="33"/>
  <c r="I3502" i="33"/>
  <c r="L3746" i="33"/>
  <c r="H3697" i="33"/>
  <c r="C3510" i="33"/>
  <c r="L3763" i="33"/>
  <c r="C3607" i="33"/>
  <c r="D3450" i="33"/>
  <c r="H3700" i="33"/>
  <c r="G3511" i="33"/>
  <c r="D3771" i="33"/>
  <c r="K3606" i="33"/>
  <c r="H3451" i="33"/>
  <c r="L3701" i="33"/>
  <c r="C3545" i="33"/>
  <c r="L3355" i="33"/>
  <c r="K3701" i="33"/>
  <c r="L3544" i="33"/>
  <c r="C3388" i="33"/>
  <c r="D3700" i="33"/>
  <c r="K3544" i="33"/>
  <c r="D3354" i="33"/>
  <c r="C3700" i="33"/>
  <c r="L3510" i="33"/>
  <c r="H3346" i="33"/>
  <c r="I3770" i="33"/>
  <c r="F3606" i="33"/>
  <c r="K3447" i="33"/>
  <c r="H3770" i="33"/>
  <c r="F3615" i="33"/>
  <c r="L3450" i="33"/>
  <c r="H3707" i="33"/>
  <c r="I3510" i="33"/>
  <c r="F3770" i="33"/>
  <c r="I3607" i="33"/>
  <c r="L3122" i="33"/>
  <c r="D3701" i="33"/>
  <c r="C3541" i="33"/>
  <c r="H3759" i="33"/>
  <c r="I3771" i="33"/>
  <c r="K3614" i="33"/>
  <c r="G3450" i="33"/>
  <c r="J3285" i="33"/>
  <c r="H3281" i="33"/>
  <c r="J3095" i="33"/>
  <c r="K2938" i="33"/>
  <c r="G3337" i="33"/>
  <c r="J3147" i="33"/>
  <c r="I3021" i="33"/>
  <c r="K3302" i="33"/>
  <c r="C3146" i="33"/>
  <c r="L3437" i="33"/>
  <c r="K3199" i="33"/>
  <c r="I3035" i="33"/>
  <c r="F3355" i="33"/>
  <c r="I3190" i="33"/>
  <c r="I3459" i="33"/>
  <c r="F3250" i="33"/>
  <c r="J3087" i="33"/>
  <c r="D3333" i="33"/>
  <c r="F3138" i="33"/>
  <c r="E3389" i="33"/>
  <c r="F3190" i="33"/>
  <c r="K3025" i="33"/>
  <c r="I3336" i="33"/>
  <c r="I3177" i="33"/>
  <c r="F2990" i="33"/>
  <c r="L3511" i="33"/>
  <c r="K3229" i="33"/>
  <c r="H3042" i="33"/>
  <c r="I3398" i="33"/>
  <c r="D3199" i="33"/>
  <c r="J3031" i="33"/>
  <c r="K3243" i="33"/>
  <c r="J3077" i="33"/>
  <c r="F3407" i="33"/>
  <c r="H3229" i="33"/>
  <c r="J3823" i="33"/>
  <c r="C3667" i="33"/>
  <c r="G3499" i="33"/>
  <c r="L2914" i="33"/>
  <c r="L3666" i="33"/>
  <c r="H3502" i="33"/>
  <c r="F3762" i="33"/>
  <c r="K3603" i="33"/>
  <c r="L3642" i="33"/>
  <c r="F3697" i="33"/>
  <c r="L3503" i="33"/>
  <c r="J3763" i="33"/>
  <c r="I3603" i="33"/>
  <c r="L3538" i="33"/>
  <c r="F3700" i="33"/>
  <c r="K3541" i="33"/>
  <c r="F3354" i="33"/>
  <c r="E3700" i="33"/>
  <c r="J3541" i="33"/>
  <c r="L3434" i="33"/>
  <c r="L3667" i="33"/>
  <c r="I3541" i="33"/>
  <c r="L3382" i="33"/>
  <c r="K3667" i="33"/>
  <c r="G3503" i="33"/>
  <c r="F3343" i="33"/>
  <c r="E3763" i="33"/>
  <c r="D3603" i="33"/>
  <c r="I3441" i="33"/>
  <c r="D3763" i="33"/>
  <c r="K3607" i="33"/>
  <c r="L3226" i="33"/>
  <c r="F3701" i="33"/>
  <c r="D3503" i="33"/>
  <c r="L3762" i="33"/>
  <c r="C3606" i="33"/>
  <c r="L2290" i="33"/>
  <c r="L3697" i="33"/>
  <c r="G3510" i="33"/>
  <c r="F3753" i="33"/>
  <c r="C3770" i="33"/>
  <c r="F3607" i="33"/>
  <c r="E3447" i="33"/>
  <c r="D3284" i="33"/>
  <c r="K3250" i="33"/>
  <c r="D3094" i="33"/>
  <c r="F2931" i="33"/>
  <c r="J3333" i="33"/>
  <c r="D3146" i="33"/>
  <c r="C2991" i="33"/>
  <c r="C3295" i="33"/>
  <c r="J3138" i="33"/>
  <c r="G3355" i="33"/>
  <c r="E3198" i="33"/>
  <c r="C3034" i="33"/>
  <c r="D3347" i="33"/>
  <c r="G3187" i="33"/>
  <c r="H3447" i="33"/>
  <c r="K3242" i="33"/>
  <c r="D3086" i="33"/>
  <c r="F3302" i="33"/>
  <c r="D3135" i="33"/>
  <c r="C3355" i="33"/>
  <c r="D3187" i="33"/>
  <c r="E3024" i="33"/>
  <c r="L3303" i="33"/>
  <c r="C3147" i="33"/>
  <c r="K2982" i="33"/>
  <c r="H3450" i="33"/>
  <c r="E3199" i="33"/>
  <c r="C3035" i="33"/>
  <c r="L3388" i="33"/>
  <c r="I3191" i="33"/>
  <c r="H3025" i="33"/>
  <c r="E3242" i="33"/>
  <c r="D3076" i="33"/>
  <c r="G3398" i="33"/>
  <c r="L3198" i="33"/>
  <c r="J3034" i="33"/>
  <c r="D3251" i="33"/>
  <c r="L3086" i="33"/>
  <c r="K3291" i="33"/>
  <c r="D3128" i="33"/>
  <c r="I3337" i="33"/>
  <c r="F3146" i="33"/>
  <c r="D3822" i="33"/>
  <c r="H3659" i="33"/>
  <c r="E3493" i="33"/>
  <c r="I3823" i="33"/>
  <c r="G3659" i="33"/>
  <c r="F3499" i="33"/>
  <c r="D3759" i="33"/>
  <c r="I3597" i="33"/>
  <c r="L2810" i="33"/>
  <c r="J3666" i="33"/>
  <c r="F3502" i="33"/>
  <c r="D3762" i="33"/>
  <c r="G3597" i="33"/>
  <c r="L2706" i="33"/>
  <c r="I67" i="33" s="1"/>
  <c r="D3697" i="33"/>
  <c r="E3511" i="33"/>
  <c r="K3346" i="33"/>
  <c r="C3697" i="33"/>
  <c r="D3511" i="33"/>
  <c r="L2602" i="33"/>
  <c r="F3666" i="33"/>
  <c r="C3511" i="33"/>
  <c r="L2550" i="33"/>
  <c r="E3666" i="33"/>
  <c r="G3492" i="33"/>
  <c r="D3337" i="33"/>
  <c r="K3753" i="33"/>
  <c r="L3596" i="33"/>
  <c r="C3440" i="33"/>
  <c r="L3759" i="33"/>
  <c r="L3764" i="33" s="1"/>
  <c r="E3606" i="33"/>
  <c r="L2394" i="33"/>
  <c r="H3667" i="33"/>
  <c r="L3499" i="33"/>
  <c r="J3759" i="33"/>
  <c r="I3596" i="33"/>
  <c r="G3822" i="33"/>
  <c r="F3667" i="33"/>
  <c r="L3502" i="33"/>
  <c r="H3719" i="33"/>
  <c r="I3762" i="33"/>
  <c r="L3597" i="33"/>
  <c r="C3441" i="33"/>
  <c r="L3251" i="33"/>
  <c r="F3243" i="33"/>
  <c r="I3086" i="33"/>
  <c r="L2921" i="33"/>
  <c r="L3302" i="33"/>
  <c r="K3138" i="33"/>
  <c r="H2983" i="33"/>
  <c r="G3291" i="33"/>
  <c r="H3135" i="33"/>
  <c r="E3347" i="33"/>
  <c r="J3190" i="33"/>
  <c r="I3024" i="33"/>
  <c r="G3343" i="33"/>
  <c r="E3181" i="33"/>
  <c r="H3440" i="33"/>
  <c r="I3239" i="33"/>
  <c r="J3076" i="33"/>
  <c r="I3294" i="33"/>
  <c r="L3128" i="33"/>
  <c r="J3346" i="33"/>
  <c r="L3180" i="33"/>
  <c r="C3021" i="33"/>
  <c r="D3302" i="33"/>
  <c r="J3139" i="33"/>
  <c r="I2979" i="33"/>
  <c r="I3407" i="33"/>
  <c r="J3191" i="33"/>
  <c r="J3814" i="33"/>
  <c r="H3648" i="33"/>
  <c r="G3459" i="33"/>
  <c r="C3822" i="33"/>
  <c r="G3648" i="33"/>
  <c r="D3493" i="33"/>
  <c r="L3752" i="33"/>
  <c r="C3596" i="33"/>
  <c r="G3823" i="33"/>
  <c r="E3659" i="33"/>
  <c r="D3499" i="33"/>
  <c r="J3752" i="33"/>
  <c r="I3563" i="33"/>
  <c r="E3823" i="33"/>
  <c r="H3666" i="33"/>
  <c r="J3503" i="33"/>
  <c r="L3486" i="33"/>
  <c r="G3666" i="33"/>
  <c r="I3503" i="33"/>
  <c r="C3823" i="33"/>
  <c r="K3658" i="33"/>
  <c r="H3503" i="33"/>
  <c r="L3822" i="33"/>
  <c r="J3658" i="33"/>
  <c r="E3489" i="33"/>
  <c r="L3333" i="33"/>
  <c r="E3752" i="33"/>
  <c r="J3593" i="33"/>
  <c r="K3407" i="33"/>
  <c r="J3753" i="33"/>
  <c r="C3603" i="33"/>
  <c r="C3608" i="33" s="1"/>
  <c r="I3822" i="33"/>
  <c r="G3658" i="33"/>
  <c r="J3493" i="33"/>
  <c r="H3753" i="33"/>
  <c r="G3593" i="33"/>
  <c r="C3815" i="33"/>
  <c r="K3659" i="33"/>
  <c r="J3499" i="33"/>
  <c r="G3710" i="33"/>
  <c r="G3759" i="33"/>
  <c r="F3596" i="33"/>
  <c r="K3437" i="33"/>
  <c r="J3648" i="33"/>
  <c r="L3233" i="33"/>
  <c r="G3083" i="33"/>
  <c r="F2920" i="33"/>
  <c r="E3295" i="33"/>
  <c r="I3135" i="33"/>
  <c r="H2972" i="33"/>
  <c r="C3285" i="33"/>
  <c r="F3129" i="33"/>
  <c r="H3343" i="33"/>
  <c r="H3187" i="33"/>
  <c r="G3021" i="33"/>
  <c r="C3337" i="33"/>
  <c r="G3147" i="33"/>
  <c r="H3437" i="33"/>
  <c r="G3233" i="33"/>
  <c r="H3073" i="33"/>
  <c r="H3284" i="33"/>
  <c r="J3125" i="33"/>
  <c r="C3343" i="33"/>
  <c r="J3177" i="33"/>
  <c r="G2990" i="33"/>
  <c r="G3294" i="33"/>
  <c r="D3138" i="33"/>
  <c r="G2973" i="33"/>
  <c r="E3399" i="33"/>
  <c r="D3190" i="33"/>
  <c r="H3811" i="33"/>
  <c r="F3645" i="33"/>
  <c r="L3451" i="33"/>
  <c r="I3814" i="33"/>
  <c r="E3645" i="33"/>
  <c r="L3489" i="33"/>
  <c r="J3749" i="33"/>
  <c r="K3563" i="33"/>
  <c r="G3814" i="33"/>
  <c r="K3649" i="33"/>
  <c r="L3492" i="33"/>
  <c r="H3749" i="33"/>
  <c r="C3562" i="33"/>
  <c r="K3815" i="33"/>
  <c r="C3659" i="33"/>
  <c r="D3502" i="33"/>
  <c r="L2654" i="33"/>
  <c r="L3658" i="33"/>
  <c r="C3502" i="33"/>
  <c r="I3815" i="33"/>
  <c r="I3655" i="33"/>
  <c r="H3492" i="33"/>
  <c r="H3815" i="33"/>
  <c r="H3655" i="33"/>
  <c r="I3458" i="33"/>
  <c r="F3303" i="33"/>
  <c r="C3749" i="33"/>
  <c r="D3563" i="33"/>
  <c r="E3406" i="33"/>
  <c r="D3752" i="33"/>
  <c r="K3596" i="33"/>
  <c r="E3815" i="33"/>
  <c r="E3655" i="33"/>
  <c r="D3492" i="33"/>
  <c r="J3719" i="33"/>
  <c r="K3562" i="33"/>
  <c r="K3811" i="33"/>
  <c r="E3658" i="33"/>
  <c r="H3493" i="33"/>
  <c r="E3707" i="33"/>
  <c r="E3753" i="33"/>
  <c r="D3593" i="33"/>
  <c r="E3407" i="33"/>
  <c r="E3441" i="33"/>
  <c r="F3232" i="33"/>
  <c r="E3077" i="33"/>
  <c r="D2917" i="33"/>
  <c r="H3291" i="33"/>
  <c r="G3129" i="33"/>
  <c r="F2969" i="33"/>
  <c r="F3281" i="33"/>
  <c r="H3095" i="33"/>
  <c r="E3337" i="33"/>
  <c r="F3181" i="33"/>
  <c r="K2990" i="33"/>
  <c r="G3333" i="33"/>
  <c r="H3138" i="33"/>
  <c r="K3399" i="33"/>
  <c r="I3199" i="33"/>
  <c r="L3042" i="33"/>
  <c r="K3251" i="33"/>
  <c r="D3095" i="33"/>
  <c r="J3336" i="33"/>
  <c r="D3147" i="33"/>
  <c r="L2982" i="33"/>
  <c r="F3284" i="33"/>
  <c r="J3128" i="33"/>
  <c r="I2939" i="33"/>
  <c r="C3389" i="33"/>
  <c r="F3805" i="33"/>
  <c r="J3614" i="33"/>
  <c r="F3450" i="33"/>
  <c r="G3811" i="33"/>
  <c r="I3614" i="33"/>
  <c r="F3459" i="33"/>
  <c r="D3719" i="33"/>
  <c r="E3562" i="33"/>
  <c r="E3811" i="33"/>
  <c r="E3648" i="33"/>
  <c r="J3489" i="33"/>
  <c r="L3718" i="33"/>
  <c r="H3554" i="33"/>
  <c r="E3814" i="33"/>
  <c r="K3655" i="33"/>
  <c r="J3492" i="33"/>
  <c r="D3823" i="33"/>
  <c r="J3655" i="33"/>
  <c r="I3492" i="33"/>
  <c r="C3814" i="33"/>
  <c r="G3649" i="33"/>
  <c r="F3489" i="33"/>
  <c r="H3804" i="33"/>
  <c r="F3649" i="33"/>
  <c r="D3451" i="33"/>
  <c r="K3295" i="33"/>
  <c r="G3718" i="33"/>
  <c r="I3555" i="33"/>
  <c r="J3398" i="33"/>
  <c r="L3719" i="33"/>
  <c r="I3593" i="33"/>
  <c r="K3805" i="33"/>
  <c r="C3649" i="33"/>
  <c r="L3459" i="33"/>
  <c r="D3718" i="33"/>
  <c r="F3555" i="33"/>
  <c r="I3805" i="33"/>
  <c r="C3655" i="33"/>
  <c r="J3459" i="33"/>
  <c r="C3701" i="33"/>
  <c r="G3719" i="33"/>
  <c r="H3562" i="33"/>
  <c r="J3399" i="33"/>
  <c r="J3406" i="33"/>
  <c r="D3229" i="33"/>
  <c r="G3043" i="33"/>
  <c r="H2886" i="33"/>
  <c r="D3285" i="33"/>
  <c r="I3095" i="33"/>
  <c r="J2938" i="33"/>
  <c r="I3250" i="33"/>
  <c r="G3086" i="33"/>
  <c r="H3333" i="33"/>
  <c r="H3147" i="33"/>
  <c r="F2983" i="33"/>
  <c r="H3302" i="33"/>
  <c r="F3135" i="33"/>
  <c r="L3389" i="33"/>
  <c r="C3198" i="33"/>
  <c r="G3035" i="33"/>
  <c r="E3250" i="33"/>
  <c r="I3087" i="33"/>
  <c r="C3333" i="33"/>
  <c r="K3139" i="33"/>
  <c r="J2979" i="33"/>
  <c r="I3251" i="33"/>
  <c r="H3125" i="33"/>
  <c r="C2938" i="33"/>
  <c r="I3354" i="33"/>
  <c r="H3771" i="33"/>
  <c r="E3607" i="33"/>
  <c r="D3447" i="33"/>
  <c r="E3805" i="33"/>
  <c r="D3607" i="33"/>
  <c r="K3451" i="33"/>
  <c r="I3711" i="33"/>
  <c r="J3554" i="33"/>
  <c r="C3805" i="33"/>
  <c r="C3645" i="33"/>
  <c r="D3459" i="33"/>
  <c r="G3711" i="33"/>
  <c r="F3551" i="33"/>
  <c r="C3811" i="33"/>
  <c r="I3649" i="33"/>
  <c r="H3489" i="33"/>
  <c r="J3815" i="33"/>
  <c r="H3649" i="33"/>
  <c r="G3489" i="33"/>
  <c r="I3804" i="33"/>
  <c r="I3615" i="33"/>
  <c r="J3458" i="33"/>
  <c r="F3801" i="33"/>
  <c r="H3615" i="33"/>
  <c r="L3447" i="33"/>
  <c r="E3294" i="33"/>
  <c r="L3710" i="33"/>
  <c r="C3554" i="33"/>
  <c r="H3395" i="33"/>
  <c r="F3718" i="33"/>
  <c r="C3563" i="33"/>
  <c r="E3804" i="33"/>
  <c r="K3645" i="33"/>
  <c r="F3458" i="33"/>
  <c r="I3710" i="33"/>
  <c r="L3545" i="33"/>
  <c r="C3804" i="33"/>
  <c r="K3648" i="33"/>
  <c r="D3458" i="33"/>
  <c r="K3697" i="33"/>
  <c r="L3711" i="33"/>
  <c r="C3555" i="33"/>
  <c r="D3398" i="33"/>
  <c r="C3395" i="33"/>
  <c r="H3198" i="33"/>
  <c r="L3035" i="33"/>
  <c r="H2879" i="33"/>
  <c r="G3281" i="33"/>
  <c r="C3094" i="33"/>
  <c r="E2931" i="33"/>
  <c r="D3243" i="33"/>
  <c r="E3083" i="33"/>
  <c r="J3302" i="33"/>
  <c r="I3138" i="33"/>
  <c r="L2973" i="33"/>
  <c r="K3294" i="33"/>
  <c r="D3129" i="33"/>
  <c r="E3355" i="33"/>
  <c r="H3190" i="33"/>
  <c r="J3545" i="33"/>
  <c r="J3242" i="33"/>
  <c r="C3086" i="33"/>
  <c r="E3302" i="33"/>
  <c r="E3138" i="33"/>
  <c r="H2973" i="33"/>
  <c r="C3250" i="33"/>
  <c r="L3094" i="33"/>
  <c r="H2930" i="33"/>
  <c r="G3346" i="33"/>
  <c r="L3146" i="33"/>
  <c r="E2990" i="33"/>
  <c r="J3303" i="33"/>
  <c r="H3139" i="33"/>
  <c r="K3388" i="33"/>
  <c r="H3762" i="33"/>
  <c r="K3597" i="33"/>
  <c r="L3440" i="33"/>
  <c r="G3771" i="33"/>
  <c r="L3603" i="33"/>
  <c r="E3450" i="33"/>
  <c r="C3710" i="33"/>
  <c r="H3551" i="33"/>
  <c r="K3801" i="33"/>
  <c r="G3614" i="33"/>
  <c r="I3451" i="33"/>
  <c r="G3700" i="33"/>
  <c r="D3545" i="33"/>
  <c r="K3804" i="33"/>
  <c r="C3648" i="33"/>
  <c r="L3458" i="33"/>
  <c r="D3814" i="33"/>
  <c r="J3615" i="33"/>
  <c r="K3458" i="33"/>
  <c r="G3801" i="33"/>
  <c r="C3614" i="33"/>
  <c r="E3451" i="33"/>
  <c r="J3770" i="33"/>
  <c r="G3606" i="33"/>
  <c r="J3441" i="33"/>
  <c r="C3291" i="33"/>
  <c r="J3707" i="33"/>
  <c r="I3544" i="33"/>
  <c r="F3389" i="33"/>
  <c r="K3710" i="33"/>
  <c r="H3555" i="33"/>
  <c r="C3801" i="33"/>
  <c r="E3615" i="33"/>
  <c r="K3450" i="33"/>
  <c r="G3707" i="33"/>
  <c r="F3544" i="33"/>
  <c r="K3771" i="33"/>
  <c r="I3645" i="33"/>
  <c r="L3070" i="33"/>
  <c r="E3667" i="33"/>
  <c r="F3710" i="33"/>
  <c r="K3551" i="33"/>
  <c r="J3388" i="33"/>
  <c r="D3385" i="33"/>
  <c r="C3191" i="33"/>
  <c r="F3034" i="33"/>
  <c r="H2868" i="33"/>
  <c r="J3250" i="33"/>
  <c r="H3086" i="33"/>
  <c r="H3645" i="33"/>
  <c r="L3239" i="33"/>
  <c r="C3077" i="33"/>
  <c r="L3294" i="33"/>
  <c r="G3135" i="33"/>
  <c r="F2972" i="33"/>
  <c r="E3291" i="33"/>
  <c r="L3125" i="33"/>
  <c r="C3347" i="33"/>
  <c r="F3187" i="33"/>
  <c r="C3458" i="33"/>
  <c r="H3239" i="33"/>
  <c r="I3076" i="33"/>
  <c r="H3294" i="33"/>
  <c r="C3135" i="33"/>
  <c r="J2939" i="33"/>
  <c r="H3242" i="33"/>
  <c r="G3087" i="33"/>
  <c r="F2927" i="33"/>
  <c r="H3336" i="33"/>
  <c r="I3139" i="33"/>
  <c r="J2982" i="33"/>
  <c r="D3294" i="33"/>
  <c r="H3128" i="33"/>
  <c r="K3385" i="33"/>
  <c r="H3180" i="33"/>
  <c r="I2991" i="33"/>
  <c r="L3337" i="33"/>
  <c r="L3129" i="33"/>
  <c r="F3395" i="33"/>
  <c r="F3191" i="33"/>
  <c r="G3441" i="33"/>
  <c r="F3229" i="33"/>
  <c r="I3043" i="33"/>
  <c r="L3250" i="33"/>
  <c r="E3094" i="33"/>
  <c r="F3759" i="33"/>
  <c r="E3596" i="33"/>
  <c r="J3437" i="33"/>
  <c r="G3762" i="33"/>
  <c r="J3597" i="33"/>
  <c r="L3694" i="33"/>
  <c r="I3700" i="33"/>
  <c r="F3545" i="33"/>
  <c r="E3771" i="33"/>
  <c r="L3606" i="33"/>
  <c r="L3590" i="33"/>
  <c r="E3697" i="33"/>
  <c r="L3541" i="33"/>
  <c r="I3801" i="33"/>
  <c r="K3615" i="33"/>
  <c r="G3451" i="33"/>
  <c r="J3804" i="33"/>
  <c r="D3614" i="33"/>
  <c r="F3451" i="33"/>
  <c r="K3770" i="33"/>
  <c r="H3606" i="33"/>
  <c r="K3441" i="33"/>
  <c r="F3763" i="33"/>
  <c r="E3603" i="33"/>
  <c r="D3440" i="33"/>
  <c r="K3284" i="33"/>
  <c r="H3701" i="33"/>
  <c r="G3541" i="33"/>
  <c r="H3355" i="33"/>
  <c r="I3707" i="33"/>
  <c r="H3544" i="33"/>
  <c r="G3770" i="33"/>
  <c r="J3607" i="33"/>
  <c r="L3174" i="33"/>
  <c r="E3701" i="33"/>
  <c r="D3541" i="33"/>
  <c r="E3770" i="33"/>
  <c r="C3615" i="33"/>
  <c r="L3823" i="33"/>
  <c r="J3659" i="33"/>
  <c r="D3707" i="33"/>
  <c r="I3545" i="33"/>
  <c r="H3385" i="33"/>
  <c r="J3347" i="33"/>
  <c r="K3187" i="33"/>
  <c r="D3031" i="33"/>
  <c r="F2865" i="33"/>
  <c r="E3243" i="33"/>
  <c r="F3083" i="33"/>
  <c r="G3493" i="33"/>
  <c r="J3233" i="33"/>
  <c r="K3073" i="33"/>
  <c r="F3291" i="33"/>
  <c r="E3129" i="33"/>
  <c r="D2969" i="33"/>
  <c r="J3284" i="33"/>
  <c r="F3095" i="33"/>
  <c r="E3343" i="33"/>
  <c r="D3181" i="33"/>
  <c r="G3447" i="33"/>
  <c r="F3233" i="33"/>
  <c r="G3073" i="33"/>
  <c r="G3284" i="33"/>
  <c r="K3128" i="33"/>
  <c r="D2938" i="33"/>
  <c r="F3239" i="33"/>
  <c r="G3076" i="33"/>
  <c r="D2921" i="33"/>
  <c r="K3303" i="33"/>
  <c r="C3138" i="33"/>
  <c r="H2979" i="33"/>
  <c r="L3285" i="33"/>
  <c r="F3125" i="33"/>
  <c r="G3354" i="33"/>
  <c r="F3177" i="33"/>
  <c r="C2990" i="33"/>
  <c r="D3336" i="33"/>
  <c r="D3753" i="33"/>
  <c r="C3593" i="33"/>
  <c r="D3407" i="33"/>
  <c r="E3759" i="33"/>
  <c r="D3596" i="33"/>
  <c r="L2862" i="33"/>
  <c r="G3697" i="33"/>
  <c r="H3511" i="33"/>
  <c r="K3763" i="33"/>
  <c r="J3603" i="33"/>
  <c r="L2758" i="33"/>
  <c r="I3666" i="33"/>
  <c r="F3511" i="33"/>
  <c r="C3771" i="33"/>
  <c r="E3614" i="33"/>
  <c r="G3440" i="33"/>
  <c r="H3801" i="33"/>
  <c r="I3606" i="33"/>
  <c r="L3441" i="33"/>
  <c r="G3763" i="33"/>
  <c r="F3603" i="33"/>
  <c r="E3440" i="33"/>
  <c r="L3753" i="33"/>
  <c r="C3597" i="33"/>
  <c r="L3407" i="33"/>
  <c r="I3281" i="33"/>
  <c r="J3667" i="33"/>
  <c r="K3510" i="33"/>
  <c r="L3278" i="33"/>
  <c r="G3701" i="33"/>
  <c r="F3541" i="33"/>
  <c r="C3763" i="33"/>
  <c r="D3606" i="33"/>
  <c r="L2342" i="33"/>
  <c r="G3667" i="33"/>
  <c r="H3510" i="33"/>
  <c r="K3762" i="33"/>
  <c r="H3607" i="33"/>
  <c r="F3822" i="33"/>
  <c r="D3658" i="33"/>
  <c r="L3700" i="33"/>
  <c r="C3544" i="33"/>
  <c r="L3354" i="33"/>
  <c r="K3343" i="33"/>
  <c r="K3348" i="33" s="1"/>
  <c r="I3181" i="33"/>
  <c r="L3024" i="33"/>
  <c r="J2834" i="33"/>
  <c r="K3233" i="33"/>
  <c r="D3077" i="33"/>
  <c r="K3440" i="33"/>
  <c r="D3232" i="33"/>
  <c r="E3043" i="33"/>
  <c r="L3284" i="33"/>
  <c r="G3095" i="33"/>
  <c r="H2938" i="33"/>
  <c r="D3281" i="33"/>
  <c r="K3087" i="33"/>
  <c r="L3336" i="33"/>
  <c r="L3177" i="33"/>
  <c r="G3437" i="33"/>
  <c r="H3199" i="33"/>
  <c r="K3042" i="33"/>
  <c r="J3251" i="33"/>
  <c r="I3125" i="33"/>
  <c r="I3450" i="33"/>
  <c r="D3233" i="33"/>
  <c r="E3073" i="33"/>
  <c r="L2917" i="33"/>
  <c r="C3302" i="33"/>
  <c r="I3128" i="33"/>
  <c r="F2973" i="33"/>
  <c r="C3284" i="33"/>
  <c r="J3094" i="33"/>
  <c r="E3346" i="33"/>
  <c r="J3146" i="33"/>
  <c r="H2982" i="33"/>
  <c r="H3303" i="33"/>
  <c r="D3125" i="33"/>
  <c r="I3385" i="33"/>
  <c r="F3180" i="33"/>
  <c r="E3398" i="33"/>
  <c r="E3191" i="33"/>
  <c r="D3555" i="33"/>
  <c r="G3232" i="33"/>
  <c r="H3083" i="33"/>
  <c r="L3749" i="33"/>
  <c r="G3562" i="33"/>
  <c r="I3399" i="33"/>
  <c r="C3753" i="33"/>
  <c r="L3563" i="33"/>
  <c r="H3823" i="33"/>
  <c r="K3666" i="33"/>
  <c r="G3502" i="33"/>
  <c r="E3762" i="33"/>
  <c r="H3597" i="33"/>
  <c r="F3823" i="33"/>
  <c r="D3659" i="33"/>
  <c r="K3503" i="33"/>
  <c r="I3763" i="33"/>
  <c r="J3606" i="33"/>
  <c r="E3437" i="33"/>
  <c r="L3770" i="33"/>
  <c r="G3603" i="33"/>
  <c r="F3440" i="33"/>
  <c r="G3752" i="33"/>
  <c r="D3597" i="33"/>
  <c r="C3437" i="33"/>
  <c r="F3752" i="33"/>
  <c r="K3593" i="33"/>
  <c r="F3406" i="33"/>
  <c r="L3330" i="33"/>
  <c r="D3666" i="33"/>
  <c r="F3503" i="33"/>
  <c r="L2446" i="33"/>
  <c r="I3667" i="33"/>
  <c r="J3510" i="33"/>
  <c r="K3759" i="33"/>
  <c r="J3596" i="33"/>
  <c r="H3822" i="33"/>
  <c r="L3659" i="33"/>
  <c r="C3503" i="33"/>
  <c r="I3759" i="33"/>
  <c r="H3596" i="33"/>
  <c r="L3814" i="33"/>
  <c r="L3018" i="33"/>
  <c r="J3697" i="33"/>
  <c r="K3511" i="33"/>
  <c r="G3347" i="33"/>
  <c r="H3337" i="33"/>
  <c r="C3180" i="33"/>
  <c r="J3021" i="33"/>
  <c r="L3551" i="33"/>
  <c r="E3232" i="33"/>
  <c r="L3073" i="33"/>
  <c r="C3406" i="33"/>
  <c r="L3199" i="33"/>
  <c r="J3035" i="33"/>
  <c r="E3281" i="33"/>
  <c r="L3087" i="33"/>
  <c r="C2931" i="33"/>
  <c r="G3250" i="33"/>
  <c r="E3086" i="33"/>
  <c r="F3333" i="33"/>
  <c r="F3147" i="33"/>
  <c r="H3399" i="33"/>
  <c r="G3190" i="33"/>
  <c r="F3035" i="33"/>
  <c r="D3250" i="33"/>
  <c r="C3095" i="33"/>
  <c r="C3447" i="33"/>
  <c r="L3229" i="33"/>
  <c r="I3042" i="33"/>
  <c r="F2887" i="33"/>
  <c r="F3294" i="33"/>
  <c r="F3719" i="33"/>
  <c r="L3554" i="33"/>
  <c r="C3398" i="33"/>
  <c r="K3749" i="33"/>
  <c r="F3562" i="33"/>
  <c r="H3814" i="33"/>
  <c r="F3659" i="33"/>
  <c r="E3499" i="33"/>
  <c r="C3759" i="33"/>
  <c r="J3563" i="33"/>
  <c r="L3815" i="33"/>
  <c r="L3655" i="33"/>
  <c r="E3502" i="33"/>
  <c r="C3762" i="33"/>
  <c r="H3603" i="33"/>
  <c r="I3406" i="33"/>
  <c r="H3763" i="33"/>
  <c r="E3597" i="33"/>
  <c r="D3437" i="33"/>
  <c r="E3749" i="33"/>
  <c r="L3593" i="33"/>
  <c r="G3406" i="33"/>
  <c r="D3749" i="33"/>
  <c r="E3563" i="33"/>
  <c r="K3398" i="33"/>
  <c r="L2498" i="33"/>
  <c r="I3658" i="33"/>
  <c r="L3493" i="33"/>
  <c r="J3822" i="33"/>
  <c r="C3666" i="33"/>
  <c r="E3503" i="33"/>
  <c r="I3753" i="33"/>
  <c r="H3593" i="33"/>
  <c r="D3815" i="33"/>
  <c r="F3658" i="33"/>
  <c r="K3499" i="33"/>
  <c r="G3753" i="33"/>
  <c r="F3593" i="33"/>
  <c r="J3811" i="33"/>
  <c r="J3816" i="33" s="1"/>
  <c r="K3823" i="33"/>
  <c r="D3667" i="33"/>
  <c r="E3510" i="33"/>
  <c r="G3336" i="33"/>
  <c r="K3333" i="33"/>
  <c r="K3147" i="33"/>
  <c r="D2991" i="33"/>
  <c r="D3441" i="33"/>
  <c r="C3229" i="33"/>
  <c r="F3043" i="33"/>
  <c r="K3355" i="33"/>
  <c r="F3198" i="33"/>
  <c r="D3034" i="33"/>
  <c r="H3250" i="33"/>
  <c r="F3086" i="33"/>
  <c r="G3607" i="33"/>
  <c r="L3242" i="33"/>
  <c r="C3083" i="33"/>
  <c r="G3302" i="33"/>
  <c r="G3138" i="33"/>
  <c r="K3389" i="33"/>
  <c r="E3187" i="33"/>
  <c r="D3544" i="33"/>
  <c r="I3242" i="33"/>
  <c r="H3087" i="33"/>
  <c r="J3407" i="33"/>
  <c r="F3199" i="33"/>
  <c r="D3035" i="33"/>
  <c r="J2878" i="33"/>
  <c r="E3284" i="33"/>
  <c r="K3711" i="33"/>
  <c r="J3551" i="33"/>
  <c r="I3388" i="33"/>
  <c r="E3719" i="33"/>
  <c r="K3554" i="33"/>
  <c r="F3811" i="33"/>
  <c r="L3649" i="33"/>
  <c r="C3493" i="33"/>
  <c r="K3752" i="33"/>
  <c r="D3562" i="33"/>
  <c r="F3814" i="33"/>
  <c r="J3649" i="33"/>
  <c r="C3499" i="33"/>
  <c r="I3752" i="33"/>
  <c r="F3597" i="33"/>
  <c r="D3399" i="33"/>
  <c r="H3752" i="33"/>
  <c r="G3563" i="33"/>
  <c r="H3406" i="33"/>
  <c r="I3718" i="33"/>
  <c r="F3563" i="33"/>
  <c r="L3398" i="33"/>
  <c r="H3718" i="33"/>
  <c r="J3555" i="33"/>
  <c r="I3395" i="33"/>
  <c r="K3822" i="33"/>
  <c r="G3655" i="33"/>
  <c r="F3492" i="33"/>
  <c r="F3815" i="33"/>
  <c r="H3658" i="33"/>
  <c r="K3493" i="33"/>
  <c r="C3752" i="33"/>
  <c r="L3562" i="33"/>
  <c r="L3811" i="33"/>
  <c r="D3655" i="33"/>
  <c r="I3493" i="33"/>
  <c r="I3719" i="33"/>
  <c r="J3562" i="33"/>
  <c r="H3805" i="33"/>
  <c r="E3822" i="33"/>
  <c r="I3659" i="33"/>
  <c r="J3502" i="33"/>
  <c r="E3333" i="33"/>
  <c r="C3303" i="33"/>
  <c r="E3146" i="33"/>
  <c r="I2983" i="33"/>
  <c r="D3406" i="33"/>
  <c r="G3198" i="33"/>
  <c r="K3035" i="33"/>
  <c r="H3347" i="33"/>
  <c r="K3190" i="33"/>
  <c r="J3024" i="33"/>
  <c r="C3243" i="33"/>
  <c r="D3083" i="33"/>
  <c r="I3447" i="33"/>
  <c r="I3452" i="33" s="1"/>
  <c r="J3239" i="33"/>
  <c r="K3076" i="33"/>
  <c r="J3294" i="33"/>
  <c r="E3135" i="33"/>
  <c r="D3355" i="33"/>
  <c r="C3181" i="33"/>
  <c r="J3450" i="33"/>
  <c r="G3239" i="33"/>
  <c r="H3076" i="33"/>
  <c r="F3399" i="33"/>
  <c r="K3191" i="33"/>
  <c r="L3031" i="33"/>
  <c r="L3036" i="33" s="1"/>
  <c r="H2875" i="33"/>
  <c r="H3251" i="33"/>
  <c r="E3710" i="33"/>
  <c r="H3545" i="33"/>
  <c r="G3385" i="33"/>
  <c r="J3711" i="33"/>
  <c r="I3551" i="33"/>
  <c r="D3805" i="33"/>
  <c r="F3648" i="33"/>
  <c r="K3489" i="33"/>
  <c r="I3749" i="33"/>
  <c r="I3554" i="33"/>
  <c r="D3811" i="33"/>
  <c r="D3648" i="33"/>
  <c r="K3492" i="33"/>
  <c r="G3749" i="33"/>
  <c r="H3563" i="33"/>
  <c r="L3395" i="33"/>
  <c r="F3749" i="33"/>
  <c r="L3555" i="33"/>
  <c r="C3399" i="33"/>
  <c r="D3711" i="33"/>
  <c r="K3555" i="33"/>
  <c r="J3395" i="33"/>
  <c r="C3711" i="33"/>
  <c r="D3554" i="33"/>
  <c r="G3389" i="33"/>
  <c r="G3815" i="33"/>
  <c r="E3649" i="33"/>
  <c r="D3489" i="33"/>
  <c r="L3805" i="33"/>
  <c r="F3655" i="33"/>
  <c r="E3492" i="33"/>
  <c r="K3719" i="33"/>
  <c r="G3555" i="33"/>
  <c r="J3805" i="33"/>
  <c r="L3648" i="33"/>
  <c r="C3492" i="33"/>
  <c r="C3718" i="33"/>
  <c r="E3555" i="33"/>
  <c r="J3771" i="33"/>
  <c r="K3814" i="33"/>
  <c r="C3658" i="33"/>
  <c r="H3499" i="33"/>
  <c r="I3302" i="33"/>
  <c r="F3295" i="33"/>
  <c r="L3138" i="33"/>
  <c r="C2982" i="33"/>
  <c r="C3385" i="33"/>
  <c r="L3190" i="33"/>
  <c r="E3034" i="33"/>
  <c r="I3343" i="33"/>
  <c r="I3187" i="33"/>
  <c r="L3614" i="33"/>
  <c r="K3239" i="33"/>
  <c r="L3076" i="33"/>
  <c r="I3440" i="33"/>
  <c r="H3233" i="33"/>
  <c r="I3073" i="33"/>
  <c r="D3291" i="33"/>
  <c r="D3296" i="33" s="1"/>
  <c r="C3129" i="33"/>
  <c r="L3346" i="33"/>
  <c r="K3177" i="33"/>
  <c r="F3447" i="33"/>
  <c r="E3233" i="33"/>
  <c r="F3073" i="33"/>
  <c r="D3389" i="33"/>
  <c r="E3190" i="33"/>
  <c r="J3025" i="33"/>
  <c r="F2869" i="33"/>
  <c r="L3385" i="33"/>
  <c r="G3596" i="33"/>
  <c r="E3125" i="33"/>
  <c r="E3354" i="33"/>
  <c r="I3077" i="33"/>
  <c r="C3242" i="33"/>
  <c r="L3406" i="33"/>
  <c r="G3146" i="33"/>
  <c r="G3295" i="33"/>
  <c r="J3086" i="33"/>
  <c r="C2983" i="33"/>
  <c r="J2775" i="33"/>
  <c r="I2615" i="33"/>
  <c r="C2969" i="33"/>
  <c r="G2761" i="33"/>
  <c r="G2982" i="33"/>
  <c r="C2783" i="33"/>
  <c r="G2615" i="33"/>
  <c r="K2827" i="33"/>
  <c r="G2661" i="33"/>
  <c r="D2868" i="33"/>
  <c r="L2679" i="33"/>
  <c r="K2869" i="33"/>
  <c r="K2679" i="33"/>
  <c r="J2879" i="33"/>
  <c r="J2679" i="33"/>
  <c r="I2879" i="33"/>
  <c r="K2722" i="33"/>
  <c r="G2556" i="33"/>
  <c r="E2401" i="33"/>
  <c r="G2782" i="33"/>
  <c r="I2619" i="33"/>
  <c r="G2917" i="33"/>
  <c r="I2731" i="33"/>
  <c r="L2920" i="33"/>
  <c r="F2765" i="33"/>
  <c r="D2567" i="33"/>
  <c r="J2823" i="33"/>
  <c r="G2657" i="33"/>
  <c r="G2865" i="33"/>
  <c r="J2709" i="33"/>
  <c r="D2886" i="33"/>
  <c r="E2722" i="33"/>
  <c r="K2887" i="33"/>
  <c r="D2731" i="33"/>
  <c r="I2969" i="33"/>
  <c r="C2771" i="33"/>
  <c r="H2609" i="33"/>
  <c r="H2449" i="33"/>
  <c r="K2411" i="33"/>
  <c r="L2453" i="33"/>
  <c r="G2514" i="33"/>
  <c r="E2419" i="33"/>
  <c r="C2514" i="33"/>
  <c r="I2407" i="33"/>
  <c r="K2501" i="33"/>
  <c r="I2449" i="33"/>
  <c r="D2453" i="33"/>
  <c r="C2463" i="33"/>
  <c r="H2523" i="33"/>
  <c r="K2358" i="33"/>
  <c r="G2470" i="33"/>
  <c r="E2619" i="33"/>
  <c r="C2449" i="33"/>
  <c r="L2514" i="33"/>
  <c r="L2345" i="33"/>
  <c r="E2400" i="33"/>
  <c r="G2504" i="33"/>
  <c r="L2411" i="33"/>
  <c r="G3242" i="33"/>
  <c r="H3354" i="33"/>
  <c r="K3502" i="33"/>
  <c r="I3094" i="33"/>
  <c r="D3346" i="33"/>
  <c r="C3076" i="33"/>
  <c r="I3232" i="33"/>
  <c r="E3395" i="33"/>
  <c r="E3400" i="33" s="1"/>
  <c r="D3139" i="33"/>
  <c r="J3291" i="33"/>
  <c r="F3077" i="33"/>
  <c r="K2979" i="33"/>
  <c r="D2774" i="33"/>
  <c r="G2609" i="33"/>
  <c r="L2930" i="33"/>
  <c r="K2730" i="33"/>
  <c r="E2979" i="33"/>
  <c r="H2775" i="33"/>
  <c r="E2609" i="33"/>
  <c r="D2826" i="33"/>
  <c r="I2627" i="33"/>
  <c r="G2835" i="33"/>
  <c r="F2678" i="33"/>
  <c r="C2868" i="33"/>
  <c r="E2678" i="33"/>
  <c r="J2869" i="33"/>
  <c r="D2678" i="33"/>
  <c r="L2875" i="33"/>
  <c r="I2719" i="33"/>
  <c r="E2553" i="33"/>
  <c r="H2990" i="33"/>
  <c r="L2774" i="33"/>
  <c r="C2618" i="33"/>
  <c r="I2886" i="33"/>
  <c r="C2730" i="33"/>
  <c r="F2917" i="33"/>
  <c r="H2731" i="33"/>
  <c r="L2563" i="33"/>
  <c r="H2817" i="33"/>
  <c r="K2626" i="33"/>
  <c r="H2834" i="33"/>
  <c r="D2679" i="33"/>
  <c r="L2878" i="33"/>
  <c r="C2719" i="33"/>
  <c r="C2886" i="33"/>
  <c r="J2723" i="33"/>
  <c r="H2931" i="33"/>
  <c r="K2764" i="33"/>
  <c r="J2575" i="33"/>
  <c r="L2418" i="33"/>
  <c r="C2410" i="33"/>
  <c r="D2452" i="33"/>
  <c r="L2505" i="33"/>
  <c r="F2345" i="33"/>
  <c r="H2411" i="33"/>
  <c r="I2505" i="33"/>
  <c r="D2609" i="33"/>
  <c r="F2401" i="33"/>
  <c r="L2470" i="33"/>
  <c r="J2418" i="33"/>
  <c r="I2349" i="33"/>
  <c r="L2615" i="33"/>
  <c r="G2449" i="33"/>
  <c r="F2459" i="33"/>
  <c r="G2515" i="33"/>
  <c r="I2355" i="33"/>
  <c r="J2462" i="33"/>
  <c r="C2615" i="33"/>
  <c r="E2418" i="33"/>
  <c r="C2511" i="33"/>
  <c r="I2367" i="33"/>
  <c r="J2471" i="33"/>
  <c r="I2504" i="33"/>
  <c r="G2358" i="33"/>
  <c r="K2567" i="33"/>
  <c r="C2605" i="33"/>
  <c r="F2418" i="33"/>
  <c r="K2345" i="33"/>
  <c r="J3180" i="33"/>
  <c r="F3346" i="33"/>
  <c r="G3407" i="33"/>
  <c r="D3087" i="33"/>
  <c r="J3295" i="33"/>
  <c r="E3042" i="33"/>
  <c r="G3229" i="33"/>
  <c r="F3388" i="33"/>
  <c r="J3129" i="33"/>
  <c r="F3285" i="33"/>
  <c r="H3043" i="33"/>
  <c r="G2972" i="33"/>
  <c r="J2764" i="33"/>
  <c r="I2575" i="33"/>
  <c r="D2920" i="33"/>
  <c r="G2723" i="33"/>
  <c r="D2972" i="33"/>
  <c r="H2764" i="33"/>
  <c r="G2575" i="33"/>
  <c r="J2816" i="33"/>
  <c r="C2626" i="33"/>
  <c r="J2827" i="33"/>
  <c r="J2670" i="33"/>
  <c r="F2835" i="33"/>
  <c r="I2670" i="33"/>
  <c r="E2835" i="33"/>
  <c r="H2670" i="33"/>
  <c r="I2869" i="33"/>
  <c r="G2713" i="33"/>
  <c r="I2522" i="33"/>
  <c r="I2938" i="33"/>
  <c r="J2771" i="33"/>
  <c r="I2608" i="33"/>
  <c r="F2879" i="33"/>
  <c r="I2722" i="33"/>
  <c r="G2886" i="33"/>
  <c r="H2722" i="33"/>
  <c r="L3025" i="33"/>
  <c r="J2783" i="33"/>
  <c r="F2619" i="33"/>
  <c r="L2826" i="33"/>
  <c r="H2671" i="33"/>
  <c r="E2875" i="33"/>
  <c r="K2712" i="33"/>
  <c r="K2878" i="33"/>
  <c r="D2722" i="33"/>
  <c r="G2920" i="33"/>
  <c r="I2761" i="33"/>
  <c r="D2574" i="33"/>
  <c r="G2411" i="33"/>
  <c r="K2401" i="33"/>
  <c r="G2419" i="33"/>
  <c r="C2504" i="33"/>
  <c r="K2407" i="33"/>
  <c r="E2471" i="33"/>
  <c r="C2575" i="33"/>
  <c r="I2397" i="33"/>
  <c r="F2463" i="33"/>
  <c r="L2608" i="33"/>
  <c r="C2411" i="33"/>
  <c r="K2608" i="33"/>
  <c r="I2418" i="33"/>
  <c r="C2453" i="33"/>
  <c r="G2511" i="33"/>
  <c r="G2349" i="33"/>
  <c r="D2459" i="33"/>
  <c r="D2608" i="33"/>
  <c r="G2410" i="33"/>
  <c r="F2462" i="33"/>
  <c r="I2419" i="33"/>
  <c r="C2563" i="33"/>
  <c r="H3177" i="33"/>
  <c r="F3336" i="33"/>
  <c r="H3398" i="33"/>
  <c r="L3043" i="33"/>
  <c r="I3285" i="33"/>
  <c r="E3593" i="33"/>
  <c r="K3198" i="33"/>
  <c r="F3385" i="33"/>
  <c r="L3095" i="33"/>
  <c r="J3281" i="33"/>
  <c r="G3034" i="33"/>
  <c r="E2969" i="33"/>
  <c r="H2761" i="33"/>
  <c r="C2574" i="33"/>
  <c r="H2887" i="33"/>
  <c r="G2712" i="33"/>
  <c r="L2939" i="33"/>
  <c r="F2761" i="33"/>
  <c r="L2567" i="33"/>
  <c r="H2813" i="33"/>
  <c r="H2618" i="33"/>
  <c r="C2826" i="33"/>
  <c r="H2667" i="33"/>
  <c r="I2827" i="33"/>
  <c r="G2667" i="33"/>
  <c r="H2827" i="33"/>
  <c r="F2667" i="33"/>
  <c r="L2865" i="33"/>
  <c r="I2679" i="33"/>
  <c r="D2515" i="33"/>
  <c r="J2927" i="33"/>
  <c r="H2765" i="33"/>
  <c r="G2605" i="33"/>
  <c r="J2875" i="33"/>
  <c r="G2719" i="33"/>
  <c r="E2879" i="33"/>
  <c r="F2719" i="33"/>
  <c r="L2983" i="33"/>
  <c r="D2782" i="33"/>
  <c r="I3034" i="33"/>
  <c r="I2823" i="33"/>
  <c r="H2660" i="33"/>
  <c r="L2868" i="33"/>
  <c r="I2709" i="33"/>
  <c r="D2875" i="33"/>
  <c r="J2712" i="33"/>
  <c r="J2887" i="33"/>
  <c r="C2731" i="33"/>
  <c r="I2566" i="33"/>
  <c r="G2400" i="33"/>
  <c r="C2400" i="33"/>
  <c r="J2411" i="33"/>
  <c r="G2471" i="33"/>
  <c r="D2345" i="33"/>
  <c r="H2401" i="33"/>
  <c r="H2463" i="33"/>
  <c r="G2566" i="33"/>
  <c r="L2366" i="33"/>
  <c r="I2459" i="33"/>
  <c r="H2574" i="33"/>
  <c r="F2407" i="33"/>
  <c r="L2605" i="33"/>
  <c r="L2410" i="33"/>
  <c r="F2449" i="33"/>
  <c r="C2505" i="33"/>
  <c r="K2452" i="33"/>
  <c r="F2605" i="33"/>
  <c r="H2400" i="33"/>
  <c r="C2501" i="33"/>
  <c r="C2619" i="33"/>
  <c r="E2355" i="33"/>
  <c r="F2452" i="33"/>
  <c r="E2407" i="33"/>
  <c r="H2418" i="33"/>
  <c r="K2367" i="33"/>
  <c r="D2470" i="33"/>
  <c r="I2567" i="33"/>
  <c r="I2358" i="33"/>
  <c r="G3125" i="33"/>
  <c r="G3251" i="33"/>
  <c r="E3336" i="33"/>
  <c r="F3042" i="33"/>
  <c r="E3251" i="33"/>
  <c r="I3499" i="33"/>
  <c r="I3504" i="33" s="1"/>
  <c r="L3181" i="33"/>
  <c r="L3347" i="33"/>
  <c r="F3094" i="33"/>
  <c r="G3243" i="33"/>
  <c r="E3031" i="33"/>
  <c r="D2931" i="33"/>
  <c r="L2730" i="33"/>
  <c r="H2566" i="33"/>
  <c r="G2878" i="33"/>
  <c r="E2709" i="33"/>
  <c r="K2930" i="33"/>
  <c r="J2730" i="33"/>
  <c r="F2566" i="33"/>
  <c r="L2782" i="33"/>
  <c r="F2615" i="33"/>
  <c r="I2816" i="33"/>
  <c r="F2661" i="33"/>
  <c r="H2816" i="33"/>
  <c r="E2661" i="33"/>
  <c r="G2816" i="33"/>
  <c r="D2661" i="33"/>
  <c r="D2835" i="33"/>
  <c r="C2678" i="33"/>
  <c r="L2511" i="33"/>
  <c r="E2921" i="33"/>
  <c r="J2731" i="33"/>
  <c r="K2574" i="33"/>
  <c r="G2869" i="33"/>
  <c r="E2713" i="33"/>
  <c r="I2875" i="33"/>
  <c r="D2713" i="33"/>
  <c r="I2973" i="33"/>
  <c r="I2774" i="33"/>
  <c r="F3025" i="33"/>
  <c r="G2817" i="33"/>
  <c r="F2657" i="33"/>
  <c r="E2865" i="33"/>
  <c r="C2679" i="33"/>
  <c r="K2868" i="33"/>
  <c r="H2709" i="33"/>
  <c r="I2878" i="33"/>
  <c r="I2723" i="33"/>
  <c r="G2563" i="33"/>
  <c r="E2397" i="33"/>
  <c r="G2367" i="33"/>
  <c r="J2401" i="33"/>
  <c r="K2463" i="33"/>
  <c r="K2397" i="33"/>
  <c r="L2459" i="33"/>
  <c r="G2557" i="33"/>
  <c r="F2359" i="33"/>
  <c r="F2453" i="33"/>
  <c r="D2566" i="33"/>
  <c r="C2401" i="33"/>
  <c r="G2574" i="33"/>
  <c r="K2615" i="33"/>
  <c r="F2501" i="33"/>
  <c r="D2449" i="33"/>
  <c r="C2349" i="33"/>
  <c r="H2462" i="33"/>
  <c r="K3094" i="33"/>
  <c r="L3243" i="33"/>
  <c r="I3303" i="33"/>
  <c r="K3034" i="33"/>
  <c r="J3243" i="33"/>
  <c r="H3441" i="33"/>
  <c r="D3177" i="33"/>
  <c r="J3337" i="33"/>
  <c r="K3086" i="33"/>
  <c r="E3229" i="33"/>
  <c r="C3025" i="33"/>
  <c r="E2920" i="33"/>
  <c r="H2723" i="33"/>
  <c r="F2563" i="33"/>
  <c r="G2868" i="33"/>
  <c r="I2678" i="33"/>
  <c r="K2921" i="33"/>
  <c r="F2723" i="33"/>
  <c r="G2991" i="33"/>
  <c r="G2775" i="33"/>
  <c r="H3031" i="33"/>
  <c r="G2813" i="33"/>
  <c r="H2627" i="33"/>
  <c r="F2813" i="33"/>
  <c r="G2627" i="33"/>
  <c r="E2813" i="33"/>
  <c r="L2657" i="33"/>
  <c r="G2827" i="33"/>
  <c r="G2670" i="33"/>
  <c r="J2505" i="33"/>
  <c r="H2917" i="33"/>
  <c r="D2730" i="33"/>
  <c r="F2567" i="33"/>
  <c r="J2865" i="33"/>
  <c r="G2679" i="33"/>
  <c r="E2869" i="33"/>
  <c r="L2709" i="33"/>
  <c r="E2938" i="33"/>
  <c r="G2771" i="33"/>
  <c r="L3021" i="33"/>
  <c r="I2783" i="33"/>
  <c r="J2626" i="33"/>
  <c r="G2834" i="33"/>
  <c r="G2671" i="33"/>
  <c r="D2865" i="33"/>
  <c r="L2678" i="33"/>
  <c r="C2875" i="33"/>
  <c r="C2722" i="33"/>
  <c r="E2557" i="33"/>
  <c r="I2366" i="33"/>
  <c r="K2359" i="33"/>
  <c r="L2609" i="33"/>
  <c r="F2367" i="33"/>
  <c r="K2453" i="33"/>
  <c r="J2609" i="33"/>
  <c r="D2367" i="33"/>
  <c r="I2453" i="33"/>
  <c r="C2553" i="33"/>
  <c r="L2349" i="33"/>
  <c r="J2449" i="33"/>
  <c r="J2563" i="33"/>
  <c r="G2397" i="33"/>
  <c r="L2358" i="33"/>
  <c r="C2566" i="33"/>
  <c r="L2400" i="33"/>
  <c r="H2608" i="33"/>
  <c r="K2410" i="33"/>
  <c r="H2470" i="33"/>
  <c r="D2366" i="33"/>
  <c r="F3087" i="33"/>
  <c r="F3242" i="33"/>
  <c r="L3295" i="33"/>
  <c r="I3031" i="33"/>
  <c r="D3242" i="33"/>
  <c r="C3407" i="33"/>
  <c r="H3146" i="33"/>
  <c r="H3295" i="33"/>
  <c r="I3083" i="33"/>
  <c r="I3198" i="33"/>
  <c r="K3021" i="33"/>
  <c r="I2887" i="33"/>
  <c r="H2712" i="33"/>
  <c r="D2557" i="33"/>
  <c r="K2835" i="33"/>
  <c r="C2671" i="33"/>
  <c r="C2920" i="33"/>
  <c r="L2713" i="33"/>
  <c r="F2982" i="33"/>
  <c r="G2764" i="33"/>
  <c r="F2991" i="33"/>
  <c r="K2782" i="33"/>
  <c r="G2618" i="33"/>
  <c r="J2782" i="33"/>
  <c r="L2619" i="33"/>
  <c r="I2782" i="33"/>
  <c r="F2627" i="33"/>
  <c r="L2817" i="33"/>
  <c r="E2667" i="33"/>
  <c r="D2504" i="33"/>
  <c r="J2886" i="33"/>
  <c r="J2722" i="33"/>
  <c r="L2557" i="33"/>
  <c r="L2834" i="33"/>
  <c r="K2671" i="33"/>
  <c r="I2865" i="33"/>
  <c r="F2679" i="33"/>
  <c r="G2927" i="33"/>
  <c r="E2765" i="33"/>
  <c r="K2983" i="33"/>
  <c r="C2782" i="33"/>
  <c r="H3034" i="33"/>
  <c r="K2826" i="33"/>
  <c r="G2660" i="33"/>
  <c r="F2834" i="33"/>
  <c r="F2671" i="33"/>
  <c r="J2868" i="33"/>
  <c r="I2712" i="33"/>
  <c r="G2523" i="33"/>
  <c r="K2575" i="33"/>
  <c r="E2358" i="33"/>
  <c r="H2575" i="33"/>
  <c r="J2348" i="33"/>
  <c r="C2452" i="33"/>
  <c r="E2575" i="33"/>
  <c r="H2359" i="33"/>
  <c r="L2449" i="33"/>
  <c r="C2522" i="33"/>
  <c r="F2348" i="33"/>
  <c r="K2418" i="33"/>
  <c r="C2557" i="33"/>
  <c r="J2366" i="33"/>
  <c r="J2355" i="33"/>
  <c r="I2563" i="33"/>
  <c r="F2397" i="33"/>
  <c r="K2605" i="33"/>
  <c r="D2407" i="33"/>
  <c r="K2462" i="33"/>
  <c r="D2615" i="33"/>
  <c r="H2410" i="33"/>
  <c r="H2556" i="33"/>
  <c r="L3077" i="33"/>
  <c r="D3239" i="33"/>
  <c r="C3294" i="33"/>
  <c r="G3025" i="33"/>
  <c r="G3191" i="33"/>
  <c r="F3398" i="33"/>
  <c r="E3139" i="33"/>
  <c r="G3285" i="33"/>
  <c r="G3077" i="33"/>
  <c r="D3191" i="33"/>
  <c r="E2991" i="33"/>
  <c r="H2878" i="33"/>
  <c r="F2709" i="33"/>
  <c r="L2553" i="33"/>
  <c r="C2834" i="33"/>
  <c r="K2667" i="33"/>
  <c r="G2887" i="33"/>
  <c r="F2712" i="33"/>
  <c r="D2979" i="33"/>
  <c r="E2761" i="33"/>
  <c r="E2982" i="33"/>
  <c r="F2775" i="33"/>
  <c r="G3031" i="33"/>
  <c r="E2775" i="33"/>
  <c r="F2618" i="33"/>
  <c r="D2775" i="33"/>
  <c r="K2619" i="33"/>
  <c r="F2816" i="33"/>
  <c r="C2661" i="33"/>
  <c r="L2471" i="33"/>
  <c r="G2879" i="33"/>
  <c r="H2719" i="33"/>
  <c r="F2556" i="33"/>
  <c r="E2827" i="33"/>
  <c r="E2670" i="33"/>
  <c r="K2834" i="33"/>
  <c r="J2671" i="33"/>
  <c r="K2920" i="33"/>
  <c r="G2731" i="33"/>
  <c r="E2973" i="33"/>
  <c r="H2774" i="33"/>
  <c r="E3025" i="33"/>
  <c r="H2823" i="33"/>
  <c r="E2657" i="33"/>
  <c r="J2826" i="33"/>
  <c r="L2661" i="33"/>
  <c r="C2865" i="33"/>
  <c r="G2709" i="33"/>
  <c r="L2515" i="33"/>
  <c r="E2567" i="33"/>
  <c r="C2355" i="33"/>
  <c r="C2567" i="33"/>
  <c r="F2419" i="33"/>
  <c r="K2566" i="33"/>
  <c r="D2419" i="33"/>
  <c r="H2505" i="33"/>
  <c r="D2411" i="33"/>
  <c r="K2523" i="33"/>
  <c r="D2359" i="33"/>
  <c r="L2556" i="33"/>
  <c r="H2366" i="33"/>
  <c r="F2574" i="33"/>
  <c r="K2400" i="33"/>
  <c r="E2459" i="33"/>
  <c r="E2608" i="33"/>
  <c r="I2400" i="33"/>
  <c r="K3031" i="33"/>
  <c r="C3190" i="33"/>
  <c r="K3285" i="33"/>
  <c r="F2979" i="33"/>
  <c r="G3180" i="33"/>
  <c r="G3388" i="33"/>
  <c r="K3129" i="33"/>
  <c r="K3281" i="33"/>
  <c r="C3042" i="33"/>
  <c r="L3187" i="33"/>
  <c r="J2983" i="33"/>
  <c r="I2868" i="33"/>
  <c r="J2678" i="33"/>
  <c r="F2523" i="33"/>
  <c r="F2826" i="33"/>
  <c r="I2661" i="33"/>
  <c r="F2878" i="33"/>
  <c r="D2709" i="33"/>
  <c r="C2972" i="33"/>
  <c r="I2730" i="33"/>
  <c r="C2979" i="33"/>
  <c r="L2765" i="33"/>
  <c r="L2990" i="33"/>
  <c r="K2765" i="33"/>
  <c r="F3031" i="33"/>
  <c r="L2771" i="33"/>
  <c r="E2618" i="33"/>
  <c r="D2813" i="33"/>
  <c r="K2657" i="33"/>
  <c r="F2470" i="33"/>
  <c r="K2875" i="33"/>
  <c r="F2713" i="33"/>
  <c r="D2553" i="33"/>
  <c r="L2823" i="33"/>
  <c r="C2667" i="33"/>
  <c r="D2827" i="33"/>
  <c r="D2670" i="33"/>
  <c r="E2917" i="33"/>
  <c r="G2722" i="33"/>
  <c r="L2931" i="33"/>
  <c r="F2771" i="33"/>
  <c r="H3021" i="33"/>
  <c r="F2817" i="33"/>
  <c r="I2626" i="33"/>
  <c r="G2823" i="33"/>
  <c r="F2660" i="33"/>
  <c r="E2834" i="33"/>
  <c r="K2678" i="33"/>
  <c r="F2514" i="33"/>
  <c r="J2553" i="33"/>
  <c r="K2348" i="33"/>
  <c r="K2557" i="33"/>
  <c r="I2411" i="33"/>
  <c r="I2557" i="33"/>
  <c r="E2345" i="33"/>
  <c r="F2411" i="33"/>
  <c r="L2501" i="33"/>
  <c r="C2609" i="33"/>
  <c r="H2407" i="33"/>
  <c r="J2515" i="33"/>
  <c r="L2355" i="33"/>
  <c r="J2523" i="33"/>
  <c r="C2359" i="33"/>
  <c r="H2563" i="33"/>
  <c r="D2397" i="33"/>
  <c r="L2452" i="33"/>
  <c r="I2605" i="33"/>
  <c r="L2367" i="33"/>
  <c r="E2515" i="33"/>
  <c r="E2349" i="33"/>
  <c r="C2418" i="33"/>
  <c r="K2514" i="33"/>
  <c r="D2400" i="33"/>
  <c r="J2567" i="33"/>
  <c r="K2553" i="33"/>
  <c r="I3025" i="33"/>
  <c r="I3180" i="33"/>
  <c r="C3239" i="33"/>
  <c r="D2973" i="33"/>
  <c r="E3177" i="33"/>
  <c r="C3346" i="33"/>
  <c r="E3128" i="33"/>
  <c r="C3251" i="33"/>
  <c r="F3441" i="33"/>
  <c r="J3181" i="33"/>
  <c r="D2982" i="33"/>
  <c r="L2835" i="33"/>
  <c r="D2671" i="33"/>
  <c r="K2515" i="33"/>
  <c r="D2823" i="33"/>
  <c r="C2660" i="33"/>
  <c r="F2868" i="33"/>
  <c r="H2678" i="33"/>
  <c r="K2939" i="33"/>
  <c r="E2723" i="33"/>
  <c r="G2939" i="33"/>
  <c r="F2764" i="33"/>
  <c r="E2939" i="33"/>
  <c r="E2764" i="33"/>
  <c r="J2990" i="33"/>
  <c r="J2765" i="33"/>
  <c r="I2990" i="33"/>
  <c r="H2782" i="33"/>
  <c r="E2627" i="33"/>
  <c r="L2462" i="33"/>
  <c r="H2869" i="33"/>
  <c r="H2679" i="33"/>
  <c r="H2522" i="33"/>
  <c r="J2817" i="33"/>
  <c r="K2660" i="33"/>
  <c r="K2823" i="33"/>
  <c r="J2660" i="33"/>
  <c r="F2886" i="33"/>
  <c r="E2719" i="33"/>
  <c r="D2927" i="33"/>
  <c r="D2765" i="33"/>
  <c r="G2983" i="33"/>
  <c r="H2783" i="33"/>
  <c r="D3025" i="33"/>
  <c r="E2817" i="33"/>
  <c r="D2657" i="33"/>
  <c r="I2826" i="33"/>
  <c r="E2671" i="33"/>
  <c r="D2511" i="33"/>
  <c r="J2522" i="33"/>
  <c r="I2345" i="33"/>
  <c r="I2553" i="33"/>
  <c r="L2407" i="33"/>
  <c r="L2412" i="33" s="1"/>
  <c r="G2553" i="33"/>
  <c r="J2407" i="33"/>
  <c r="C2471" i="33"/>
  <c r="J2574" i="33"/>
  <c r="D2401" i="33"/>
  <c r="J2511" i="33"/>
  <c r="J2349" i="33"/>
  <c r="I2515" i="33"/>
  <c r="K2355" i="33"/>
  <c r="K2360" i="33" s="1"/>
  <c r="K2556" i="33"/>
  <c r="E2449" i="33"/>
  <c r="D2563" i="33"/>
  <c r="E2366" i="33"/>
  <c r="E2511" i="33"/>
  <c r="F2410" i="33"/>
  <c r="H2504" i="33"/>
  <c r="H2367" i="33"/>
  <c r="D2358" i="33"/>
  <c r="D2619" i="33"/>
  <c r="K2471" i="33"/>
  <c r="L2359" i="33"/>
  <c r="C3024" i="33"/>
  <c r="G3177" i="33"/>
  <c r="K3232" i="33"/>
  <c r="L2969" i="33"/>
  <c r="I3146" i="33"/>
  <c r="K3337" i="33"/>
  <c r="G3094" i="33"/>
  <c r="H3243" i="33"/>
  <c r="K3406" i="33"/>
  <c r="L3147" i="33"/>
  <c r="J2972" i="33"/>
  <c r="D2834" i="33"/>
  <c r="L2667" i="33"/>
  <c r="E2514" i="33"/>
  <c r="L2816" i="33"/>
  <c r="K2627" i="33"/>
  <c r="J2835" i="33"/>
  <c r="L2670" i="33"/>
  <c r="J2930" i="33"/>
  <c r="K2713" i="33"/>
  <c r="I2930" i="33"/>
  <c r="D2761" i="33"/>
  <c r="F2930" i="33"/>
  <c r="C2761" i="33"/>
  <c r="D2939" i="33"/>
  <c r="D2764" i="33"/>
  <c r="C2939" i="33"/>
  <c r="C2775" i="33"/>
  <c r="J2619" i="33"/>
  <c r="J2459" i="33"/>
  <c r="K2865" i="33"/>
  <c r="L2671" i="33"/>
  <c r="C2515" i="33"/>
  <c r="D2816" i="33"/>
  <c r="I2657" i="33"/>
  <c r="I2817" i="33"/>
  <c r="H2657" i="33"/>
  <c r="D2879" i="33"/>
  <c r="C2713" i="33"/>
  <c r="J2920" i="33"/>
  <c r="L2761" i="33"/>
  <c r="C2973" i="33"/>
  <c r="G2774" i="33"/>
  <c r="F3021" i="33"/>
  <c r="G2783" i="33"/>
  <c r="H2626" i="33"/>
  <c r="F2823" i="33"/>
  <c r="K2661" i="33"/>
  <c r="L2504" i="33"/>
  <c r="I2514" i="33"/>
  <c r="G2522" i="33"/>
  <c r="K2609" i="33"/>
  <c r="I2401" i="33"/>
  <c r="E2522" i="33"/>
  <c r="I2609" i="33"/>
  <c r="G2401" i="33"/>
  <c r="G2463" i="33"/>
  <c r="E2566" i="33"/>
  <c r="H2397" i="33"/>
  <c r="F2505" i="33"/>
  <c r="D2348" i="33"/>
  <c r="I2511" i="33"/>
  <c r="C2348" i="33"/>
  <c r="I2523" i="33"/>
  <c r="E2615" i="33"/>
  <c r="G2418" i="33"/>
  <c r="I2556" i="33"/>
  <c r="J2358" i="33"/>
  <c r="J2504" i="33"/>
  <c r="F2400" i="33"/>
  <c r="L2575" i="33"/>
  <c r="H2345" i="33"/>
  <c r="C2366" i="33"/>
  <c r="D2355" i="33"/>
  <c r="G2452" i="33"/>
  <c r="K2991" i="33"/>
  <c r="K3146" i="33"/>
  <c r="I3229" i="33"/>
  <c r="F2939" i="33"/>
  <c r="F3139" i="33"/>
  <c r="C3336" i="33"/>
  <c r="J3083" i="33"/>
  <c r="J3088" i="33" s="1"/>
  <c r="H3232" i="33"/>
  <c r="D3395" i="33"/>
  <c r="D3400" i="33" s="1"/>
  <c r="C3139" i="33"/>
  <c r="H2969" i="33"/>
  <c r="H2826" i="33"/>
  <c r="J2661" i="33"/>
  <c r="F3024" i="33"/>
  <c r="J2813" i="33"/>
  <c r="E2626" i="33"/>
  <c r="L2827" i="33"/>
  <c r="J2667" i="33"/>
  <c r="J2921" i="33"/>
  <c r="E2712" i="33"/>
  <c r="I2921" i="33"/>
  <c r="H2730" i="33"/>
  <c r="H2921" i="33"/>
  <c r="G2730" i="33"/>
  <c r="D2930" i="33"/>
  <c r="L2731" i="33"/>
  <c r="C2930" i="33"/>
  <c r="K2771" i="33"/>
  <c r="D2618" i="33"/>
  <c r="H2453" i="33"/>
  <c r="C2835" i="33"/>
  <c r="F2670" i="33"/>
  <c r="D2990" i="33"/>
  <c r="L2783" i="33"/>
  <c r="C2627" i="33"/>
  <c r="C2816" i="33"/>
  <c r="L2626" i="33"/>
  <c r="G2875" i="33"/>
  <c r="K2709" i="33"/>
  <c r="C2917" i="33"/>
  <c r="F2731" i="33"/>
  <c r="K2969" i="33"/>
  <c r="E2771" i="33"/>
  <c r="E2983" i="33"/>
  <c r="L2775" i="33"/>
  <c r="H3024" i="33"/>
  <c r="D2817" i="33"/>
  <c r="E2660" i="33"/>
  <c r="J2501" i="33"/>
  <c r="F2504" i="33"/>
  <c r="J2359" i="33"/>
  <c r="H2514" i="33"/>
  <c r="F2575" i="33"/>
  <c r="L2397" i="33"/>
  <c r="D2514" i="33"/>
  <c r="D2575" i="33"/>
  <c r="J2397" i="33"/>
  <c r="K2459" i="33"/>
  <c r="K2563" i="33"/>
  <c r="K2366" i="33"/>
  <c r="I2501" i="33"/>
  <c r="E2505" i="33"/>
  <c r="H2515" i="33"/>
  <c r="F2608" i="33"/>
  <c r="J2410" i="33"/>
  <c r="E2523" i="33"/>
  <c r="H2355" i="33"/>
  <c r="D2501" i="33"/>
  <c r="C2608" i="33"/>
  <c r="J2367" i="33"/>
  <c r="C2470" i="33"/>
  <c r="H2567" i="33"/>
  <c r="F2358" i="33"/>
  <c r="J2605" i="33"/>
  <c r="F2515" i="33"/>
  <c r="F2349" i="33"/>
  <c r="D2605" i="33"/>
  <c r="C2556" i="33"/>
  <c r="H2939" i="33"/>
  <c r="E3087" i="33"/>
  <c r="C3199" i="33"/>
  <c r="K2931" i="33"/>
  <c r="F3128" i="33"/>
  <c r="G3303" i="33"/>
  <c r="H3077" i="33"/>
  <c r="J3198" i="33"/>
  <c r="E3388" i="33"/>
  <c r="K3135" i="33"/>
  <c r="K3140" i="33" s="1"/>
  <c r="L2938" i="33"/>
  <c r="E2823" i="33"/>
  <c r="D2660" i="33"/>
  <c r="J2991" i="33"/>
  <c r="D2783" i="33"/>
  <c r="J2618" i="33"/>
  <c r="E2826" i="33"/>
  <c r="H2661" i="33"/>
  <c r="E2887" i="33"/>
  <c r="C2709" i="33"/>
  <c r="D2887" i="33"/>
  <c r="D2723" i="33"/>
  <c r="K2917" i="33"/>
  <c r="C2723" i="33"/>
  <c r="L2927" i="33"/>
  <c r="F2730" i="33"/>
  <c r="K2927" i="33"/>
  <c r="I2765" i="33"/>
  <c r="J2608" i="33"/>
  <c r="J2419" i="33"/>
  <c r="F2827" i="33"/>
  <c r="D2667" i="33"/>
  <c r="K2973" i="33"/>
  <c r="F2782" i="33"/>
  <c r="H2619" i="33"/>
  <c r="K2783" i="33"/>
  <c r="G2619" i="33"/>
  <c r="D2869" i="33"/>
  <c r="E2679" i="33"/>
  <c r="E2886" i="33"/>
  <c r="L2723" i="33"/>
  <c r="J2931" i="33"/>
  <c r="C2765" i="33"/>
  <c r="L2972" i="33"/>
  <c r="F2774" i="33"/>
  <c r="E3021" i="33"/>
  <c r="L2813" i="33"/>
  <c r="C2657" i="33"/>
  <c r="D2471" i="33"/>
  <c r="I2471" i="33"/>
  <c r="E2504" i="33"/>
  <c r="L2566" i="33"/>
  <c r="E2367" i="33"/>
  <c r="K2505" i="33"/>
  <c r="J2566" i="33"/>
  <c r="C2367" i="33"/>
  <c r="G2453" i="33"/>
  <c r="F2557" i="33"/>
  <c r="E2359" i="33"/>
  <c r="K2470" i="33"/>
  <c r="H2501" i="33"/>
  <c r="H2511" i="33"/>
  <c r="C2407" i="33"/>
  <c r="C2412" i="33" s="1"/>
  <c r="E2470" i="33"/>
  <c r="G2462" i="33"/>
  <c r="I2462" i="33"/>
  <c r="G2930" i="33"/>
  <c r="K3077" i="33"/>
  <c r="H3191" i="33"/>
  <c r="G3395" i="33"/>
  <c r="G3400" i="33" s="1"/>
  <c r="H3094" i="33"/>
  <c r="I3295" i="33"/>
  <c r="J3043" i="33"/>
  <c r="K3181" i="33"/>
  <c r="E3385" i="33"/>
  <c r="I3129" i="33"/>
  <c r="G2931" i="33"/>
  <c r="C2817" i="33"/>
  <c r="L2627" i="33"/>
  <c r="I2982" i="33"/>
  <c r="I2775" i="33"/>
  <c r="H2615" i="33"/>
  <c r="C2823" i="33"/>
  <c r="J2627" i="33"/>
  <c r="E2878" i="33"/>
  <c r="G2678" i="33"/>
  <c r="L2879" i="33"/>
  <c r="L2719" i="33"/>
  <c r="C2887" i="33"/>
  <c r="K2719" i="33"/>
  <c r="G2921" i="33"/>
  <c r="L2722" i="33"/>
  <c r="F2921" i="33"/>
  <c r="C2764" i="33"/>
  <c r="H2605" i="33"/>
  <c r="D2418" i="33"/>
  <c r="K2817" i="33"/>
  <c r="L2660" i="33"/>
  <c r="G2938" i="33"/>
  <c r="K2774" i="33"/>
  <c r="J2973" i="33"/>
  <c r="E2782" i="33"/>
  <c r="G2608" i="33"/>
  <c r="H2865" i="33"/>
  <c r="I2671" i="33"/>
  <c r="C2879" i="33"/>
  <c r="F2722" i="33"/>
  <c r="C2927" i="33"/>
  <c r="K2761" i="33"/>
  <c r="J2969" i="33"/>
  <c r="D2771" i="33"/>
  <c r="D2983" i="33"/>
  <c r="F2783" i="33"/>
  <c r="G2626" i="33"/>
  <c r="J2463" i="33"/>
  <c r="E2462" i="33"/>
  <c r="G2345" i="33"/>
  <c r="H2471" i="33"/>
  <c r="J2557" i="33"/>
  <c r="I2359" i="33"/>
  <c r="F2471" i="33"/>
  <c r="H2557" i="33"/>
  <c r="G2359" i="33"/>
  <c r="K2449" i="33"/>
  <c r="L2523" i="33"/>
  <c r="K2349" i="33"/>
  <c r="E2463" i="33"/>
  <c r="J2470" i="33"/>
  <c r="D2505" i="33"/>
  <c r="E2574" i="33"/>
  <c r="J2400" i="33"/>
  <c r="F2511" i="33"/>
  <c r="H2358" i="33"/>
  <c r="E2927" i="33"/>
  <c r="E3076" i="33"/>
  <c r="G3139" i="33"/>
  <c r="H3388" i="33"/>
  <c r="C3087" i="33"/>
  <c r="L3281" i="33"/>
  <c r="D3042" i="33"/>
  <c r="E3180" i="33"/>
  <c r="L3343" i="33"/>
  <c r="L3348" i="33" s="1"/>
  <c r="C3128" i="33"/>
  <c r="G3024" i="33"/>
  <c r="K2813" i="33"/>
  <c r="F2626" i="33"/>
  <c r="G2979" i="33"/>
  <c r="G2984" i="33" s="1"/>
  <c r="C2774" i="33"/>
  <c r="F2609" i="33"/>
  <c r="K2816" i="33"/>
  <c r="D2626" i="33"/>
  <c r="E2868" i="33"/>
  <c r="K2670" i="33"/>
  <c r="D2878" i="33"/>
  <c r="J2713" i="33"/>
  <c r="K2879" i="33"/>
  <c r="I2713" i="33"/>
  <c r="J2917" i="33"/>
  <c r="J2719" i="33"/>
  <c r="I2917" i="33"/>
  <c r="K2731" i="33"/>
  <c r="L2574" i="33"/>
  <c r="I2410" i="33"/>
  <c r="E2816" i="33"/>
  <c r="J2657" i="33"/>
  <c r="I2927" i="33"/>
  <c r="I2771" i="33"/>
  <c r="F2938" i="33"/>
  <c r="J2774" i="33"/>
  <c r="E2605" i="33"/>
  <c r="I2834" i="33"/>
  <c r="C2670" i="33"/>
  <c r="F2875" i="33"/>
  <c r="F2880" i="33" s="1"/>
  <c r="D2719" i="33"/>
  <c r="I2920" i="33"/>
  <c r="E2731" i="33"/>
  <c r="I2931" i="33"/>
  <c r="L2764" i="33"/>
  <c r="L2979" i="33"/>
  <c r="K2775" i="33"/>
  <c r="L2618" i="33"/>
  <c r="D2462" i="33"/>
  <c r="E2452" i="33"/>
  <c r="L2463" i="33"/>
  <c r="H2553" i="33"/>
  <c r="C2358" i="33"/>
  <c r="I2463" i="33"/>
  <c r="F2553" i="33"/>
  <c r="G2348" i="33"/>
  <c r="C2419" i="33"/>
  <c r="K2511" i="33"/>
  <c r="E2348" i="33"/>
  <c r="H2459" i="33"/>
  <c r="H2464" i="33" s="1"/>
  <c r="D2463" i="33"/>
  <c r="G2366" i="33"/>
  <c r="G2501" i="33"/>
  <c r="E2563" i="33"/>
  <c r="C2397" i="33"/>
  <c r="K2504" i="33"/>
  <c r="F3510" i="33"/>
  <c r="C3073" i="33"/>
  <c r="G3128" i="33"/>
  <c r="J3385" i="33"/>
  <c r="K3083" i="33"/>
  <c r="I3243" i="33"/>
  <c r="I3562" i="33"/>
  <c r="C3177" i="33"/>
  <c r="D3303" i="33"/>
  <c r="K3095" i="33"/>
  <c r="D3021" i="33"/>
  <c r="E2783" i="33"/>
  <c r="K2618" i="33"/>
  <c r="E2972" i="33"/>
  <c r="I2764" i="33"/>
  <c r="H2991" i="33"/>
  <c r="I2813" i="33"/>
  <c r="I2618" i="33"/>
  <c r="I2835" i="33"/>
  <c r="I2667" i="33"/>
  <c r="L2869" i="33"/>
  <c r="D2712" i="33"/>
  <c r="C2878" i="33"/>
  <c r="C2712" i="33"/>
  <c r="L2886" i="33"/>
  <c r="H2713" i="33"/>
  <c r="K2886" i="33"/>
  <c r="E2730" i="33"/>
  <c r="G2567" i="33"/>
  <c r="G2407" i="33"/>
  <c r="G2412" i="33" s="1"/>
  <c r="C2813" i="33"/>
  <c r="D2627" i="33"/>
  <c r="C2921" i="33"/>
  <c r="G2765" i="33"/>
  <c r="H2927" i="33"/>
  <c r="H2771" i="33"/>
  <c r="H2776" i="33" s="1"/>
  <c r="I2574" i="33"/>
  <c r="C2827" i="33"/>
  <c r="I2660" i="33"/>
  <c r="C2869" i="33"/>
  <c r="L2712" i="33"/>
  <c r="L2887" i="33"/>
  <c r="K2723" i="33"/>
  <c r="H2920" i="33"/>
  <c r="J2761" i="33"/>
  <c r="K2972" i="33"/>
  <c r="E2774" i="33"/>
  <c r="J2615" i="33"/>
  <c r="J2452" i="33"/>
  <c r="H2419" i="33"/>
  <c r="C2462" i="33"/>
  <c r="F2522" i="33"/>
  <c r="I2348" i="33"/>
  <c r="J2453" i="33"/>
  <c r="D2522" i="33"/>
  <c r="E2411" i="33"/>
  <c r="G2505" i="33"/>
  <c r="C2345" i="33"/>
  <c r="E2453" i="33"/>
  <c r="G2459" i="33"/>
  <c r="H2349" i="33"/>
  <c r="I2470" i="33"/>
  <c r="J2556" i="33"/>
  <c r="F2366" i="33"/>
  <c r="E2501" i="33"/>
  <c r="D2523" i="33"/>
  <c r="K2522" i="33"/>
  <c r="H2348" i="33"/>
  <c r="C2459" i="33"/>
  <c r="J2514" i="33"/>
  <c r="I2452" i="33"/>
  <c r="D2410" i="33"/>
  <c r="G2355" i="33"/>
  <c r="L2401" i="33"/>
  <c r="E2556" i="33"/>
  <c r="L2348" i="33"/>
  <c r="C2523" i="33"/>
  <c r="J2345" i="33"/>
  <c r="H2452" i="33"/>
  <c r="L2419" i="33"/>
  <c r="F2355" i="33"/>
  <c r="F2360" i="33" s="1"/>
  <c r="D2349" i="33"/>
  <c r="D2556" i="33"/>
  <c r="L2522" i="33"/>
  <c r="K2419" i="33"/>
  <c r="E2410" i="33"/>
  <c r="L1070" i="33"/>
  <c r="I34" i="33" s="1"/>
  <c r="L1018" i="33"/>
  <c r="C101" i="33"/>
  <c r="Q139" i="22"/>
  <c r="AA139" i="22"/>
  <c r="Q135" i="22"/>
  <c r="AA135" i="22"/>
  <c r="AA141" i="22"/>
  <c r="Q141" i="22"/>
  <c r="AA138" i="22"/>
  <c r="Q138" i="22"/>
  <c r="Q132" i="22"/>
  <c r="AA132" i="22"/>
  <c r="Q140" i="22"/>
  <c r="AA140" i="22"/>
  <c r="AA137" i="22"/>
  <c r="Q137" i="22"/>
  <c r="Q134" i="22"/>
  <c r="AA134" i="22"/>
  <c r="Q131" i="22"/>
  <c r="AA131" i="22"/>
  <c r="Q133" i="22"/>
  <c r="AA133" i="22"/>
  <c r="AA142" i="22"/>
  <c r="Q142" i="22"/>
  <c r="AA136" i="22"/>
  <c r="Q136" i="22"/>
  <c r="AA18" i="22"/>
  <c r="Q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E25" i="37"/>
  <c r="EA25"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E24" i="37"/>
  <c r="EA24" i="37" s="1"/>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79" i="33"/>
  <c r="I63" i="33"/>
  <c r="L966" i="33"/>
  <c r="I32" i="33" s="1"/>
  <c r="L150" i="33"/>
  <c r="I16" i="33" s="1"/>
  <c r="I82" i="33"/>
  <c r="I66" i="33"/>
  <c r="L1974" i="33"/>
  <c r="I52" i="33" s="1"/>
  <c r="L1122" i="33"/>
  <c r="L306" i="33"/>
  <c r="I19" i="33" s="1"/>
  <c r="I85" i="33"/>
  <c r="I69" i="33"/>
  <c r="L1314" i="33"/>
  <c r="I39" i="33" s="1"/>
  <c r="L462" i="33"/>
  <c r="I84" i="33"/>
  <c r="L410" i="33"/>
  <c r="I21" i="33" s="1"/>
  <c r="I80" i="33"/>
  <c r="L202" i="33"/>
  <c r="I17" i="33" s="1"/>
  <c r="I60" i="33"/>
  <c r="I75" i="33"/>
  <c r="I59" i="33"/>
  <c r="L1626" i="33"/>
  <c r="I45" i="33" s="1"/>
  <c r="L758" i="33"/>
  <c r="I28" i="33" s="1"/>
  <c r="I78" i="33"/>
  <c r="I62" i="33"/>
  <c r="L1782" i="33"/>
  <c r="L914" i="33"/>
  <c r="I31" i="33" s="1"/>
  <c r="L98" i="33"/>
  <c r="I15" i="33" s="1"/>
  <c r="I81" i="33"/>
  <c r="I65" i="33"/>
  <c r="L1922" i="33"/>
  <c r="I51" i="33" s="1"/>
  <c r="L254" i="33"/>
  <c r="I18" i="33" s="1"/>
  <c r="I68" i="33"/>
  <c r="I64" i="33"/>
  <c r="L1678" i="33"/>
  <c r="I46" i="33" s="1"/>
  <c r="I87"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I33" i="33"/>
  <c r="L1210" i="33"/>
  <c r="I37" i="33" s="1"/>
  <c r="L1366" i="33"/>
  <c r="I40" i="33" s="1"/>
  <c r="L1522" i="33"/>
  <c r="I43" i="33" s="1"/>
  <c r="I83" i="33"/>
  <c r="L358" i="33"/>
  <c r="I20" i="33" s="1"/>
  <c r="I86" i="33"/>
  <c r="L654" i="33"/>
  <c r="I26" i="33" s="1"/>
  <c r="I70" i="33"/>
  <c r="I73" i="33"/>
  <c r="L1262" i="33"/>
  <c r="I38" i="33" s="1"/>
  <c r="I76" i="33"/>
  <c r="L1470" i="33"/>
  <c r="I42" i="33" s="1"/>
  <c r="T142" i="22"/>
  <c r="F2177" i="33"/>
  <c r="K1985" i="33"/>
  <c r="F1637" i="33"/>
  <c r="J1533" i="33"/>
  <c r="J1429" i="33"/>
  <c r="J613" i="33"/>
  <c r="J2037" i="33"/>
  <c r="E1985" i="33"/>
  <c r="K1586" i="33"/>
  <c r="I1533" i="33"/>
  <c r="K1430" i="33"/>
  <c r="K1325" i="33"/>
  <c r="G1273" i="33"/>
  <c r="F2037" i="33"/>
  <c r="C1986" i="33"/>
  <c r="F1933" i="33"/>
  <c r="J1637" i="33"/>
  <c r="F1533" i="33"/>
  <c r="G1985" i="33"/>
  <c r="J1794" i="33"/>
  <c r="K1638" i="33"/>
  <c r="K1585" i="33"/>
  <c r="K1482" i="33"/>
  <c r="K1429" i="33"/>
  <c r="K1326" i="33"/>
  <c r="K1273" i="33"/>
  <c r="K822" i="33"/>
  <c r="G369" i="33"/>
  <c r="F109" i="33"/>
  <c r="J317" i="33"/>
  <c r="F110" i="33"/>
  <c r="J821" i="33"/>
  <c r="K369" i="33"/>
  <c r="J266" i="33"/>
  <c r="J1430" i="33"/>
  <c r="F266" i="33"/>
  <c r="F665" i="33"/>
  <c r="K717" i="33"/>
  <c r="F1985" i="33"/>
  <c r="F1794" i="33"/>
  <c r="F1586" i="33"/>
  <c r="J1482" i="33"/>
  <c r="F1378" i="33"/>
  <c r="J1273" i="33"/>
  <c r="J562" i="33"/>
  <c r="J1986" i="33"/>
  <c r="J1933" i="33"/>
  <c r="G1638" i="33"/>
  <c r="C1586" i="33"/>
  <c r="G1482" i="33"/>
  <c r="C1430" i="33"/>
  <c r="C1325" i="33"/>
  <c r="I1081" i="33"/>
  <c r="F473" i="33"/>
  <c r="I1985"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K1986" i="33"/>
  <c r="G1882" i="33"/>
  <c r="F1690" i="33"/>
  <c r="J1585" i="33"/>
  <c r="F1481" i="33"/>
  <c r="J1326" i="33"/>
  <c r="F1221" i="33"/>
  <c r="J421" i="33"/>
  <c r="F2178" i="33"/>
  <c r="E1986" i="33"/>
  <c r="F1882" i="33"/>
  <c r="K1637" i="33"/>
  <c r="G1585" i="33"/>
  <c r="K1481" i="33"/>
  <c r="G1429" i="33"/>
  <c r="J1030" i="33"/>
  <c r="J422" i="33"/>
  <c r="C1985"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H1986" i="33"/>
  <c r="E1934" i="33"/>
  <c r="J2178" i="33"/>
  <c r="F1986" i="33"/>
  <c r="J1638" i="33"/>
  <c r="I1534" i="33"/>
  <c r="F1430" i="33"/>
  <c r="F1325" i="33"/>
  <c r="C822" i="33"/>
  <c r="J1985" i="33"/>
  <c r="C1637" i="33"/>
  <c r="F1534" i="33"/>
  <c r="C1481" i="33"/>
  <c r="G1326" i="33"/>
  <c r="F717" i="33"/>
  <c r="J2038" i="33"/>
  <c r="I1986" i="33"/>
  <c r="J1934" i="33"/>
  <c r="F1638" i="33"/>
  <c r="E1534" i="33"/>
  <c r="J2177" i="33"/>
  <c r="G1986" i="33"/>
  <c r="F1689" i="33"/>
  <c r="G1586" i="33"/>
  <c r="E1533" i="33"/>
  <c r="G1430" i="33"/>
  <c r="F1377"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770" i="33"/>
  <c r="J822" i="33"/>
  <c r="J717" i="33"/>
  <c r="F1133" i="33"/>
  <c r="I2178" i="33"/>
  <c r="I2038" i="33"/>
  <c r="H1933" i="33"/>
  <c r="L1794" i="33"/>
  <c r="H1741" i="33"/>
  <c r="H1689" i="33"/>
  <c r="I1637" i="33"/>
  <c r="C1534" i="33"/>
  <c r="I1481" i="33"/>
  <c r="C1378" i="33"/>
  <c r="D1326" i="33"/>
  <c r="E1221" i="33"/>
  <c r="E1133" i="33"/>
  <c r="K1030" i="33"/>
  <c r="K978" i="33"/>
  <c r="L822" i="33"/>
  <c r="J769" i="33"/>
  <c r="K1081" i="33"/>
  <c r="J1134" i="33"/>
  <c r="L2177" i="33"/>
  <c r="L2037" i="33"/>
  <c r="F1741" i="33"/>
  <c r="D1325" i="33"/>
  <c r="G614" i="33"/>
  <c r="G421" i="33"/>
  <c r="L214" i="33"/>
  <c r="G821" i="33"/>
  <c r="G2037" i="33"/>
  <c r="K1934" i="33"/>
  <c r="K1742" i="33"/>
  <c r="L1638" i="33"/>
  <c r="L1482" i="33"/>
  <c r="H1325" i="33"/>
  <c r="H1222" i="33"/>
  <c r="C1030" i="33"/>
  <c r="E977" i="33"/>
  <c r="L821" i="33"/>
  <c r="L770" i="33"/>
  <c r="G665" i="33"/>
  <c r="G613" i="33"/>
  <c r="G561" i="33"/>
  <c r="F474" i="33"/>
  <c r="E474" i="33"/>
  <c r="E422" i="33"/>
  <c r="G318" i="33"/>
  <c r="G266" i="33"/>
  <c r="G214" i="33"/>
  <c r="G162" i="33"/>
  <c r="G110" i="33"/>
  <c r="D1222" i="33"/>
  <c r="D769" i="33"/>
  <c r="E561" i="33"/>
  <c r="I370" i="33"/>
  <c r="I162" i="33"/>
  <c r="C1081" i="33"/>
  <c r="K2038" i="33"/>
  <c r="L1933" i="33"/>
  <c r="L1741" i="33"/>
  <c r="E1638" i="33"/>
  <c r="E1482" i="33"/>
  <c r="H1326" i="33"/>
  <c r="I1221" i="33"/>
  <c r="D1029" i="33"/>
  <c r="E978" i="33"/>
  <c r="D822" i="33"/>
  <c r="E769"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21" i="33"/>
  <c r="H1133" i="33"/>
  <c r="C1029" i="33"/>
  <c r="F613" i="33"/>
  <c r="E1081" i="33"/>
  <c r="C2178" i="33"/>
  <c r="C2038" i="33"/>
  <c r="H1985"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I770"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H770" i="33"/>
  <c r="C318" i="33"/>
  <c r="C110" i="33"/>
  <c r="F562" i="33"/>
  <c r="E2038" i="33"/>
  <c r="D1985" i="33"/>
  <c r="H1794" i="33"/>
  <c r="D1741" i="33"/>
  <c r="D1689" i="33"/>
  <c r="E1637" i="33"/>
  <c r="K1533" i="33"/>
  <c r="E1481" i="33"/>
  <c r="K1377" i="33"/>
  <c r="L1325" i="33"/>
  <c r="L1222" i="33"/>
  <c r="L1134" i="33"/>
  <c r="G1030" i="33"/>
  <c r="K718" i="33"/>
  <c r="F1030" i="33"/>
  <c r="E1082" i="33"/>
  <c r="H2177" i="33"/>
  <c r="H2037" i="33"/>
  <c r="L1986" i="33"/>
  <c r="I1934" i="33"/>
  <c r="C1794" i="33"/>
  <c r="J1742" i="33"/>
  <c r="I1742" i="33"/>
  <c r="I1690" i="33"/>
  <c r="L1586" i="33"/>
  <c r="L1534" i="33"/>
  <c r="L1430" i="33"/>
  <c r="L1378" i="33"/>
  <c r="H1273" i="33"/>
  <c r="G1222" i="33"/>
  <c r="G1134" i="33"/>
  <c r="H1082" i="33"/>
  <c r="I1029" i="33"/>
  <c r="I977" i="33"/>
  <c r="C770" i="33"/>
  <c r="F769" i="33"/>
  <c r="F821" i="33"/>
  <c r="F718" i="33"/>
  <c r="C2177" i="33"/>
  <c r="C2037" i="33"/>
  <c r="F1134" i="33"/>
  <c r="E1933" i="33"/>
  <c r="H1638" i="33"/>
  <c r="D1134" i="33"/>
  <c r="E770" i="33"/>
  <c r="L318" i="33"/>
  <c r="L110" i="33"/>
  <c r="G2177" i="33"/>
  <c r="L1882" i="33"/>
  <c r="D1794" i="33"/>
  <c r="K1690" i="33"/>
  <c r="G1533" i="33"/>
  <c r="G1377" i="33"/>
  <c r="I1273" i="33"/>
  <c r="H1134" i="33"/>
  <c r="K977" i="33"/>
  <c r="K769"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G770"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21" i="33"/>
  <c r="L1133" i="33"/>
  <c r="G1029" i="33"/>
  <c r="G977" i="33"/>
  <c r="H821" i="33"/>
  <c r="J614" i="33"/>
  <c r="F666" i="33"/>
  <c r="F977" i="33"/>
  <c r="G2178" i="33"/>
  <c r="G2038" i="33"/>
  <c r="C1533" i="33"/>
  <c r="H1030" i="33"/>
  <c r="G666" i="33"/>
  <c r="G473" i="33"/>
  <c r="H265" i="33"/>
  <c r="J978" i="33"/>
  <c r="D1986" i="33"/>
  <c r="J1741" i="33"/>
  <c r="I1689" i="33"/>
  <c r="D1534" i="33"/>
  <c r="D1378" i="33"/>
  <c r="K1221" i="33"/>
  <c r="L1081" i="33"/>
  <c r="H977" i="33"/>
  <c r="H769" i="33"/>
  <c r="I717" i="33"/>
  <c r="I665" i="33"/>
  <c r="I613" i="33"/>
  <c r="I561" i="33"/>
  <c r="H474" i="33"/>
  <c r="H422" i="33"/>
  <c r="C317" i="33"/>
  <c r="C265" i="33"/>
  <c r="C213" i="33"/>
  <c r="C161" i="33"/>
  <c r="C109" i="33"/>
  <c r="L1429" i="33"/>
  <c r="E613" i="33"/>
  <c r="D422" i="33"/>
  <c r="I214" i="33"/>
  <c r="F770" i="33"/>
  <c r="C1933" i="33"/>
  <c r="C1741" i="33"/>
  <c r="D1637" i="33"/>
  <c r="D1481" i="33"/>
  <c r="E1377" i="33"/>
  <c r="K1222" i="33"/>
  <c r="L1082" i="33"/>
  <c r="L977" i="33"/>
  <c r="L769"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D770" i="33"/>
  <c r="I718" i="33"/>
  <c r="I666" i="33"/>
  <c r="I614" i="33"/>
  <c r="I562" i="33"/>
  <c r="E473" i="33"/>
  <c r="E421" i="33"/>
  <c r="K317" i="33"/>
  <c r="K265" i="33"/>
  <c r="K213" i="33"/>
  <c r="K161" i="33"/>
  <c r="K109" i="33"/>
  <c r="G1082" i="33"/>
  <c r="L1985" i="33"/>
  <c r="L1585" i="33"/>
  <c r="G1133" i="33"/>
  <c r="L717" i="33"/>
  <c r="H317" i="33"/>
  <c r="H109" i="33"/>
  <c r="D1934" i="33"/>
  <c r="D1742" i="33"/>
  <c r="I1638" i="33"/>
  <c r="I1482" i="33"/>
  <c r="L1326" i="33"/>
  <c r="E1222" i="33"/>
  <c r="H1029" i="33"/>
  <c r="I978" i="33"/>
  <c r="H822" i="33"/>
  <c r="I769"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133" i="33"/>
  <c r="I1030" i="33"/>
  <c r="C769"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K770" i="33"/>
  <c r="L718" i="33"/>
  <c r="L666" i="33"/>
  <c r="L614" i="33"/>
  <c r="L562" i="33"/>
  <c r="L473" i="33"/>
  <c r="L421" i="33"/>
  <c r="E370" i="33"/>
  <c r="E318" i="33"/>
  <c r="E266" i="33"/>
  <c r="E214" i="33"/>
  <c r="E162" i="33"/>
  <c r="E110" i="33"/>
  <c r="J666" i="33"/>
  <c r="E1741" i="33"/>
  <c r="E1326" i="33"/>
  <c r="G769" i="33"/>
  <c r="L561" i="33"/>
  <c r="L370" i="33"/>
  <c r="L162" i="33"/>
  <c r="E873" i="33"/>
  <c r="J873" i="33"/>
  <c r="H873" i="33"/>
  <c r="I873" i="33"/>
  <c r="G873" i="33"/>
  <c r="L873" i="33"/>
  <c r="C873" i="33"/>
  <c r="K873" i="33"/>
  <c r="F873" i="33"/>
  <c r="D873" i="33"/>
  <c r="E2173" i="33"/>
  <c r="K2033" i="33"/>
  <c r="H2173" i="33"/>
  <c r="G2173" i="33"/>
  <c r="I2033" i="33"/>
  <c r="L2033" i="33"/>
  <c r="L1929" i="33"/>
  <c r="I1789" i="33"/>
  <c r="D1737" i="33"/>
  <c r="J1633" i="33"/>
  <c r="L1529" i="33"/>
  <c r="G1477" i="33"/>
  <c r="D1321" i="33"/>
  <c r="L1077" i="33"/>
  <c r="G1025" i="33"/>
  <c r="D869" i="33"/>
  <c r="J765" i="33"/>
  <c r="H2033" i="33"/>
  <c r="K1929" i="33"/>
  <c r="H1789" i="33"/>
  <c r="C1737" i="33"/>
  <c r="E1633" i="33"/>
  <c r="K1529" i="33"/>
  <c r="F1477" i="33"/>
  <c r="C1321" i="33"/>
  <c r="K1077" i="33"/>
  <c r="F1025" i="33"/>
  <c r="C869" i="33"/>
  <c r="E765" i="33"/>
  <c r="F609" i="33"/>
  <c r="J2173" i="33"/>
  <c r="K1981" i="33"/>
  <c r="F1929" i="33"/>
  <c r="C1789" i="33"/>
  <c r="E1685" i="33"/>
  <c r="K1581" i="33"/>
  <c r="F1529" i="33"/>
  <c r="H1425" i="33"/>
  <c r="K1129" i="33"/>
  <c r="F1077" i="33"/>
  <c r="H973" i="33"/>
  <c r="E817" i="33"/>
  <c r="K713" i="33"/>
  <c r="D2033" i="33"/>
  <c r="I1929" i="33"/>
  <c r="J1789" i="33"/>
  <c r="L1685" i="33"/>
  <c r="G1633" i="33"/>
  <c r="I1529" i="33"/>
  <c r="D1477" i="33"/>
  <c r="I1077" i="33"/>
  <c r="D1025" i="33"/>
  <c r="L817" i="33"/>
  <c r="G765"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G1991" i="33"/>
  <c r="F1980" i="33"/>
  <c r="J1938" i="33"/>
  <c r="I1807" i="33"/>
  <c r="F1695" i="33"/>
  <c r="K1999" i="33"/>
  <c r="K1991" i="33"/>
  <c r="K1987" i="33"/>
  <c r="I1977" i="33"/>
  <c r="J1939" i="33"/>
  <c r="L1925" i="33"/>
  <c r="G1876" i="33"/>
  <c r="I1785" i="33"/>
  <c r="C1684" i="33"/>
  <c r="K2032" i="33"/>
  <c r="D1998" i="33"/>
  <c r="E1990" i="33"/>
  <c r="C1980" i="33"/>
  <c r="F1935" i="33"/>
  <c r="J1795" i="33"/>
  <c r="E1733" i="33"/>
  <c r="I2190" i="33"/>
  <c r="I2050" i="33"/>
  <c r="G2032" i="33"/>
  <c r="C1999" i="33"/>
  <c r="I1990" i="33"/>
  <c r="L1980" i="33"/>
  <c r="J1947" i="33"/>
  <c r="K1876" i="33"/>
  <c r="E1785" i="33"/>
  <c r="I1755" i="33"/>
  <c r="J1691" i="33"/>
  <c r="J1650" i="33"/>
  <c r="K1632" i="33"/>
  <c r="F1598" i="33"/>
  <c r="G1580" i="33"/>
  <c r="D1546" i="33"/>
  <c r="K1528" i="33"/>
  <c r="L1547" i="33"/>
  <c r="J1486" i="33"/>
  <c r="H1473" i="33"/>
  <c r="J1434" i="33"/>
  <c r="E1421" i="33"/>
  <c r="J1331" i="33"/>
  <c r="C1320" i="33"/>
  <c r="F1087" i="33"/>
  <c r="G1651" i="33"/>
  <c r="C1642" i="33"/>
  <c r="F1629" i="33"/>
  <c r="K1591" i="33"/>
  <c r="C1587" i="33"/>
  <c r="I1547" i="33"/>
  <c r="F1535" i="33"/>
  <c r="F1495" i="33"/>
  <c r="G1486" i="33"/>
  <c r="G1476" i="33"/>
  <c r="C1443" i="33"/>
  <c r="G1434" i="33"/>
  <c r="D1424" i="33"/>
  <c r="G1331" i="33"/>
  <c r="H1320" i="33"/>
  <c r="F1650" i="33"/>
  <c r="G1632" i="33"/>
  <c r="J1598" i="33"/>
  <c r="K1580" i="33"/>
  <c r="F1547" i="33"/>
  <c r="E1535" i="33"/>
  <c r="K1495" i="33"/>
  <c r="F1486" i="33"/>
  <c r="J1473" i="33"/>
  <c r="J1435" i="33"/>
  <c r="C1424" i="33"/>
  <c r="J1330" i="33"/>
  <c r="D1317" i="33"/>
  <c r="C1651" i="33"/>
  <c r="G1642" i="33"/>
  <c r="D1632" i="33"/>
  <c r="G1599" i="33"/>
  <c r="C1590" i="33"/>
  <c r="E1547" i="33"/>
  <c r="J1535" i="33"/>
  <c r="J1495" i="33"/>
  <c r="C1486" i="33"/>
  <c r="I1473" i="33"/>
  <c r="I1442" i="33"/>
  <c r="G1431" i="33"/>
  <c r="F1338" i="33"/>
  <c r="K1327" i="33"/>
  <c r="H1317" i="33"/>
  <c r="F979" i="33"/>
  <c r="F783"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G2033" i="33"/>
  <c r="D2173" i="33"/>
  <c r="J2033" i="33"/>
  <c r="C2173" i="33"/>
  <c r="E2033" i="33"/>
  <c r="C2033" i="33"/>
  <c r="H1929" i="33"/>
  <c r="E1789" i="33"/>
  <c r="K1685" i="33"/>
  <c r="F1633" i="33"/>
  <c r="H1529" i="33"/>
  <c r="C1477" i="33"/>
  <c r="H1077" i="33"/>
  <c r="C1025" i="33"/>
  <c r="K817" i="33"/>
  <c r="F765" i="33"/>
  <c r="L1981" i="33"/>
  <c r="G1929" i="33"/>
  <c r="D1789" i="33"/>
  <c r="J1685" i="33"/>
  <c r="L1581" i="33"/>
  <c r="G1529" i="33"/>
  <c r="I1425" i="33"/>
  <c r="L1129" i="33"/>
  <c r="G1077" i="33"/>
  <c r="I973" i="33"/>
  <c r="J817" i="33"/>
  <c r="L713" i="33"/>
  <c r="I557" i="33"/>
  <c r="G1981" i="33"/>
  <c r="J1737" i="33"/>
  <c r="L1633" i="33"/>
  <c r="G1581" i="33"/>
  <c r="I1477" i="33"/>
  <c r="D1425" i="33"/>
  <c r="J1321" i="33"/>
  <c r="G1129" i="33"/>
  <c r="I1025" i="33"/>
  <c r="D973" i="33"/>
  <c r="J869" i="33"/>
  <c r="L765" i="33"/>
  <c r="G713" i="33"/>
  <c r="E1929" i="33"/>
  <c r="F1789" i="33"/>
  <c r="H1685" i="33"/>
  <c r="C1633" i="33"/>
  <c r="E1529" i="33"/>
  <c r="K1425" i="33"/>
  <c r="E1077" i="33"/>
  <c r="K973" i="33"/>
  <c r="H817" i="33"/>
  <c r="C765"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G1999" i="33"/>
  <c r="G1990" i="33"/>
  <c r="J1977" i="33"/>
  <c r="K1928" i="33"/>
  <c r="H1876" i="33"/>
  <c r="F1788" i="33"/>
  <c r="C1736" i="33"/>
  <c r="F1691" i="33"/>
  <c r="J2051" i="33"/>
  <c r="F1999" i="33"/>
  <c r="F1991" i="33"/>
  <c r="F1987" i="33"/>
  <c r="D1977" i="33"/>
  <c r="F1938" i="33"/>
  <c r="D1925" i="33"/>
  <c r="K1736" i="33"/>
  <c r="J2183" i="33"/>
  <c r="L2029" i="33"/>
  <c r="J1999" i="33"/>
  <c r="J1991" i="33"/>
  <c r="J1987" i="33"/>
  <c r="H1977" i="33"/>
  <c r="C1928" i="33"/>
  <c r="J1788" i="33"/>
  <c r="F1703" i="33"/>
  <c r="F2182" i="33"/>
  <c r="J2043" i="33"/>
  <c r="I2029" i="33"/>
  <c r="H1998" i="33"/>
  <c r="C1990" i="33"/>
  <c r="G1980" i="33"/>
  <c r="H1925" i="33"/>
  <c r="C1876" i="33"/>
  <c r="F1736" i="33"/>
  <c r="I1702" i="33"/>
  <c r="G1684" i="33"/>
  <c r="J1643" i="33"/>
  <c r="C1632" i="33"/>
  <c r="F1591" i="33"/>
  <c r="I1577" i="33"/>
  <c r="I1539" i="33"/>
  <c r="D1528" i="33"/>
  <c r="G1495" i="33"/>
  <c r="F1483" i="33"/>
  <c r="F1443" i="33"/>
  <c r="F1431" i="33"/>
  <c r="K1339" i="33"/>
  <c r="F1330" i="33"/>
  <c r="F1317" i="33"/>
  <c r="L1681" i="33"/>
  <c r="I1650" i="33"/>
  <c r="G1639" i="33"/>
  <c r="K1599" i="33"/>
  <c r="C1591" i="33"/>
  <c r="L1580" i="33"/>
  <c r="I1546" i="33"/>
  <c r="J1528" i="33"/>
  <c r="F1494" i="33"/>
  <c r="K1483" i="33"/>
  <c r="L1473" i="33"/>
  <c r="E1442" i="33"/>
  <c r="K1431" i="33"/>
  <c r="I1421" i="33"/>
  <c r="K1330" i="33"/>
  <c r="J1317" i="33"/>
  <c r="F1094" i="33"/>
  <c r="F1643" i="33"/>
  <c r="J1629" i="33"/>
  <c r="J1591" i="33"/>
  <c r="C1580" i="33"/>
  <c r="H1546" i="33"/>
  <c r="G1528" i="33"/>
  <c r="C1495" i="33"/>
  <c r="J1483" i="33"/>
  <c r="E1473" i="33"/>
  <c r="F1434" i="33"/>
  <c r="H1421" i="33"/>
  <c r="G1339" i="33"/>
  <c r="F1327" i="33"/>
  <c r="I1339" i="33"/>
  <c r="J1083" i="33"/>
  <c r="E1650" i="33"/>
  <c r="K1639" i="33"/>
  <c r="I1629" i="33"/>
  <c r="I1598" i="33"/>
  <c r="G1587" i="33"/>
  <c r="E1546" i="33"/>
  <c r="F1528" i="33"/>
  <c r="J1494" i="33"/>
  <c r="G1483" i="33"/>
  <c r="D1473" i="33"/>
  <c r="G1435" i="33"/>
  <c r="H1424" i="33"/>
  <c r="K1331" i="33"/>
  <c r="C1327" i="33"/>
  <c r="L969" i="33"/>
  <c r="J774"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I1981" i="33"/>
  <c r="D1929" i="33"/>
  <c r="L1737" i="33"/>
  <c r="G1685" i="33"/>
  <c r="I1581" i="33"/>
  <c r="D1529" i="33"/>
  <c r="J1425" i="33"/>
  <c r="L1321" i="33"/>
  <c r="I1129" i="33"/>
  <c r="D1077" i="33"/>
  <c r="J973" i="33"/>
  <c r="L869" i="33"/>
  <c r="G817" i="33"/>
  <c r="I713" i="33"/>
  <c r="H1981" i="33"/>
  <c r="C1929" i="33"/>
  <c r="K1737" i="33"/>
  <c r="F1685" i="33"/>
  <c r="H1581" i="33"/>
  <c r="C1529" i="33"/>
  <c r="E1425" i="33"/>
  <c r="K1321" i="33"/>
  <c r="H1129" i="33"/>
  <c r="C1077" i="33"/>
  <c r="E973" i="33"/>
  <c r="K869" i="33"/>
  <c r="F817" i="33"/>
  <c r="H713" i="33"/>
  <c r="F2033" i="33"/>
  <c r="C1981" i="33"/>
  <c r="K1789" i="33"/>
  <c r="F1737" i="33"/>
  <c r="H1633" i="33"/>
  <c r="C1581" i="33"/>
  <c r="E1477" i="33"/>
  <c r="F1321" i="33"/>
  <c r="C1129" i="33"/>
  <c r="E1025" i="33"/>
  <c r="F869" i="33"/>
  <c r="H765" i="33"/>
  <c r="C713" i="33"/>
  <c r="J1981" i="33"/>
  <c r="I1737" i="33"/>
  <c r="D1685" i="33"/>
  <c r="J1581" i="33"/>
  <c r="L1477" i="33"/>
  <c r="G1425" i="33"/>
  <c r="I1321"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L1998" i="33"/>
  <c r="G1987" i="33"/>
  <c r="E1977" i="33"/>
  <c r="E1925" i="33"/>
  <c r="L1785" i="33"/>
  <c r="I1733" i="33"/>
  <c r="F1684" i="33"/>
  <c r="E2029" i="33"/>
  <c r="J1998" i="33"/>
  <c r="K1990" i="33"/>
  <c r="J1980" i="33"/>
  <c r="L1999" i="33"/>
  <c r="J1935" i="33"/>
  <c r="I1947" i="33"/>
  <c r="K1788" i="33"/>
  <c r="H1733" i="33"/>
  <c r="J2179" i="33"/>
  <c r="F2051" i="33"/>
  <c r="D2029" i="33"/>
  <c r="E1999" i="33"/>
  <c r="E1991" i="33"/>
  <c r="E1987" i="33"/>
  <c r="E1946" i="33"/>
  <c r="I1925" i="33"/>
  <c r="L1876" i="33"/>
  <c r="H1785" i="33"/>
  <c r="J1694" i="33"/>
  <c r="J2172" i="33"/>
  <c r="F2042" i="33"/>
  <c r="I1991" i="33"/>
  <c r="I1987" i="33"/>
  <c r="L1977" i="33"/>
  <c r="F1795" i="33"/>
  <c r="L1733" i="33"/>
  <c r="J1695" i="33"/>
  <c r="E1681" i="33"/>
  <c r="F1642" i="33"/>
  <c r="H1629" i="33"/>
  <c r="J1590" i="33"/>
  <c r="J1547" i="33"/>
  <c r="J1538" i="33"/>
  <c r="I1525" i="33"/>
  <c r="I1494" i="33"/>
  <c r="H1476" i="33"/>
  <c r="F1442" i="33"/>
  <c r="G1424" i="33"/>
  <c r="C1339" i="33"/>
  <c r="J1327" i="33"/>
  <c r="D1681" i="33"/>
  <c r="G1643" i="33"/>
  <c r="H1632" i="33"/>
  <c r="C1599" i="33"/>
  <c r="G1590" i="33"/>
  <c r="D1580" i="33"/>
  <c r="F1539" i="33"/>
  <c r="C1528" i="33"/>
  <c r="K1487" i="33"/>
  <c r="C1483" i="33"/>
  <c r="F1473" i="33"/>
  <c r="K1435" i="33"/>
  <c r="C1431" i="33"/>
  <c r="D1421" i="33"/>
  <c r="J1339" i="33"/>
  <c r="C1330" i="33"/>
  <c r="E1317" i="33"/>
  <c r="I1681" i="33"/>
  <c r="J1642" i="33"/>
  <c r="E1629" i="33"/>
  <c r="F1590" i="33"/>
  <c r="E1577" i="33"/>
  <c r="E1539" i="33"/>
  <c r="L1525" i="33"/>
  <c r="E1494" i="33"/>
  <c r="K1476" i="33"/>
  <c r="J1443" i="33"/>
  <c r="J1431" i="33"/>
  <c r="I1338" i="33"/>
  <c r="G1320" i="33"/>
  <c r="H1681" i="33"/>
  <c r="K1643" i="33"/>
  <c r="C1639" i="33"/>
  <c r="D1629" i="33"/>
  <c r="G1591" i="33"/>
  <c r="H1580" i="33"/>
  <c r="J1539" i="33"/>
  <c r="J1525" i="33"/>
  <c r="G1487" i="33"/>
  <c r="J1476" i="33"/>
  <c r="I1495" i="33"/>
  <c r="K1434" i="33"/>
  <c r="L1421" i="33"/>
  <c r="C1331" i="33"/>
  <c r="L1320"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C468" i="33"/>
  <c r="F382" i="33"/>
  <c r="K371" i="33"/>
  <c r="L361" i="33"/>
  <c r="F271" i="33"/>
  <c r="I279" i="33"/>
  <c r="F163" i="33"/>
  <c r="J1035" i="33"/>
  <c r="J813" i="33"/>
  <c r="F627" i="33"/>
  <c r="F435" i="33"/>
  <c r="C383" i="33"/>
  <c r="J371" i="33"/>
  <c r="E361" i="33"/>
  <c r="J279" i="33"/>
  <c r="I174" i="33"/>
  <c r="I2173" i="33"/>
  <c r="L2173" i="33"/>
  <c r="K2173" i="33"/>
  <c r="E1981" i="33"/>
  <c r="H1737" i="33"/>
  <c r="C1685" i="33"/>
  <c r="E1581" i="33"/>
  <c r="K1477" i="33"/>
  <c r="F1425" i="33"/>
  <c r="H1321" i="33"/>
  <c r="E1129" i="33"/>
  <c r="K1025" i="33"/>
  <c r="F973" i="33"/>
  <c r="H869" i="33"/>
  <c r="C817" i="33"/>
  <c r="E713" i="33"/>
  <c r="D1981" i="33"/>
  <c r="L1789" i="33"/>
  <c r="G1737" i="33"/>
  <c r="I1633" i="33"/>
  <c r="D1581" i="33"/>
  <c r="J1477" i="33"/>
  <c r="G1321" i="33"/>
  <c r="D1129" i="33"/>
  <c r="J1025" i="33"/>
  <c r="G869" i="33"/>
  <c r="I765" i="33"/>
  <c r="D713" i="33"/>
  <c r="J609" i="33"/>
  <c r="J1929" i="33"/>
  <c r="G1789" i="33"/>
  <c r="I1685" i="33"/>
  <c r="D1633" i="33"/>
  <c r="J1529" i="33"/>
  <c r="L1425" i="33"/>
  <c r="J1077" i="33"/>
  <c r="L973" i="33"/>
  <c r="I817" i="33"/>
  <c r="D765" i="33"/>
  <c r="F2173" i="33"/>
  <c r="F1981" i="33"/>
  <c r="E1737" i="33"/>
  <c r="K1633" i="33"/>
  <c r="F1581" i="33"/>
  <c r="H1477" i="33"/>
  <c r="C1425" i="33"/>
  <c r="E1321" i="33"/>
  <c r="F1129" i="33"/>
  <c r="H1025" i="33"/>
  <c r="C973" i="33"/>
  <c r="E869" i="33"/>
  <c r="K765"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F1998" i="33"/>
  <c r="K1980" i="33"/>
  <c r="F1947" i="33"/>
  <c r="D1785" i="33"/>
  <c r="E1702" i="33"/>
  <c r="D2169" i="33"/>
  <c r="E1998" i="33"/>
  <c r="F1990" i="33"/>
  <c r="D1980" i="33"/>
  <c r="I1946" i="33"/>
  <c r="G1928" i="33"/>
  <c r="C1788" i="33"/>
  <c r="J1703" i="33"/>
  <c r="L2169" i="33"/>
  <c r="J2042" i="33"/>
  <c r="I2051" i="33"/>
  <c r="I1998" i="33"/>
  <c r="J1990" i="33"/>
  <c r="H1980" i="33"/>
  <c r="F1939" i="33"/>
  <c r="D1876" i="33"/>
  <c r="G1736" i="33"/>
  <c r="K1684" i="33"/>
  <c r="I2169" i="33"/>
  <c r="J2039" i="33"/>
  <c r="I1999" i="33"/>
  <c r="C1991" i="33"/>
  <c r="C1987" i="33"/>
  <c r="F1977" i="33"/>
  <c r="G1788" i="33"/>
  <c r="D1733" i="33"/>
  <c r="F1694" i="33"/>
  <c r="J1651" i="33"/>
  <c r="J1639" i="33"/>
  <c r="F1599" i="33"/>
  <c r="F1587" i="33"/>
  <c r="L1546" i="33"/>
  <c r="I1535" i="33"/>
  <c r="D1525" i="33"/>
  <c r="F1487" i="33"/>
  <c r="C1476" i="33"/>
  <c r="F1435" i="33"/>
  <c r="J1421" i="33"/>
  <c r="E1338" i="33"/>
  <c r="K1320" i="33"/>
  <c r="G1095" i="33"/>
  <c r="I1703" i="33"/>
  <c r="K1642" i="33"/>
  <c r="L1629" i="33"/>
  <c r="E1598" i="33"/>
  <c r="K1587" i="33"/>
  <c r="F1577" i="33"/>
  <c r="I1538" i="33"/>
  <c r="H1525" i="33"/>
  <c r="C1487" i="33"/>
  <c r="L1476" i="33"/>
  <c r="K1443" i="33"/>
  <c r="C1435" i="33"/>
  <c r="L1424" i="33"/>
  <c r="I1443" i="33"/>
  <c r="J1338" i="33"/>
  <c r="G1327" i="33"/>
  <c r="F1651" i="33"/>
  <c r="F1639" i="33"/>
  <c r="J1599" i="33"/>
  <c r="J1587" i="33"/>
  <c r="I1599" i="33"/>
  <c r="F1538" i="33"/>
  <c r="F1525" i="33"/>
  <c r="J1487" i="33"/>
  <c r="F1476" i="33"/>
  <c r="J1442" i="33"/>
  <c r="K1424" i="33"/>
  <c r="F1331" i="33"/>
  <c r="I1317" i="33"/>
  <c r="K1651" i="33"/>
  <c r="C1643" i="33"/>
  <c r="L1632" i="33"/>
  <c r="I1651" i="33"/>
  <c r="K1590" i="33"/>
  <c r="J1577" i="33"/>
  <c r="E1538" i="33"/>
  <c r="E1525" i="33"/>
  <c r="K1486" i="33"/>
  <c r="D1476" i="33"/>
  <c r="G1443" i="33"/>
  <c r="C1434" i="33"/>
  <c r="F1421" i="33"/>
  <c r="F1339" i="33"/>
  <c r="G1330" i="33"/>
  <c r="D1320" i="33"/>
  <c r="J1095" i="33"/>
  <c r="F827"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K764" i="33"/>
  <c r="J1139" i="33"/>
  <c r="G764" i="33"/>
  <c r="I553" i="33"/>
  <c r="G827" i="33"/>
  <c r="E574" i="33"/>
  <c r="J1087" i="33"/>
  <c r="C608" i="33"/>
  <c r="C731" i="33"/>
  <c r="J1076" i="33"/>
  <c r="J1147" i="33"/>
  <c r="K1087" i="33"/>
  <c r="G2182" i="33"/>
  <c r="H2179" i="33"/>
  <c r="E2179" i="33"/>
  <c r="C2043" i="33"/>
  <c r="L2042" i="33"/>
  <c r="I2042" i="33"/>
  <c r="I782" i="33"/>
  <c r="K719" i="33"/>
  <c r="J615" i="33"/>
  <c r="I627" i="33"/>
  <c r="H761" i="33"/>
  <c r="D1125" i="33"/>
  <c r="J991" i="33"/>
  <c r="K2182" i="33"/>
  <c r="H2182" i="33"/>
  <c r="I2183" i="33"/>
  <c r="C2042" i="33"/>
  <c r="I2032" i="33"/>
  <c r="L2051" i="33"/>
  <c r="I1043" i="33"/>
  <c r="I1095" i="33"/>
  <c r="L712" i="33"/>
  <c r="F1083" i="33"/>
  <c r="J1043" i="33"/>
  <c r="J719" i="33"/>
  <c r="I834" i="33"/>
  <c r="J1086" i="33"/>
  <c r="K816" i="33"/>
  <c r="L1076" i="33"/>
  <c r="C2179" i="33"/>
  <c r="E2172" i="33"/>
  <c r="E2182" i="33"/>
  <c r="G2051" i="33"/>
  <c r="H2043" i="33"/>
  <c r="L1021" i="33"/>
  <c r="I1094" i="33"/>
  <c r="I1042" i="33"/>
  <c r="H1125" i="33"/>
  <c r="E782" i="33"/>
  <c r="I991" i="33"/>
  <c r="H1073" i="33"/>
  <c r="F1139" i="33"/>
  <c r="E1094" i="33"/>
  <c r="G1128" i="33"/>
  <c r="G2179" i="33"/>
  <c r="G2169" i="33"/>
  <c r="G2190" i="33"/>
  <c r="H1987"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L1327" i="33"/>
  <c r="F1320" i="33"/>
  <c r="K1135" i="33"/>
  <c r="K1125" i="33"/>
  <c r="D1147" i="33"/>
  <c r="K1073" i="33"/>
  <c r="D1095" i="33"/>
  <c r="L1024" i="33"/>
  <c r="C1043" i="33"/>
  <c r="D1034" i="33"/>
  <c r="E1035" i="33"/>
  <c r="C982" i="33"/>
  <c r="I972" i="33"/>
  <c r="K990" i="33"/>
  <c r="K813" i="33"/>
  <c r="D835" i="33"/>
  <c r="L834" i="33"/>
  <c r="G775" i="33"/>
  <c r="H771" i="33"/>
  <c r="L761" i="33"/>
  <c r="L722" i="33"/>
  <c r="I719" i="33"/>
  <c r="G618" i="33"/>
  <c r="L615" i="33"/>
  <c r="H605" i="33"/>
  <c r="L556" i="33"/>
  <c r="C575" i="33"/>
  <c r="D566" i="33"/>
  <c r="E567" i="33"/>
  <c r="F478" i="33"/>
  <c r="K478" i="33"/>
  <c r="C486" i="33"/>
  <c r="L486" i="33"/>
  <c r="G427" i="33"/>
  <c r="H423" i="33"/>
  <c r="D413" i="33"/>
  <c r="G361" i="33"/>
  <c r="H375" i="33"/>
  <c r="J309" i="33"/>
  <c r="J330" i="33"/>
  <c r="D323" i="33"/>
  <c r="E322" i="33"/>
  <c r="K270" i="33"/>
  <c r="D2032" i="33"/>
  <c r="H1990"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20" i="33"/>
  <c r="J566" i="33"/>
  <c r="C826" i="33"/>
  <c r="C712" i="33"/>
  <c r="I969" i="33"/>
  <c r="E1073" i="33"/>
  <c r="J1128" i="33"/>
  <c r="I574" i="33"/>
  <c r="I1073" i="33"/>
  <c r="I1146" i="33"/>
  <c r="F771" i="33"/>
  <c r="D969" i="33"/>
  <c r="I1147" i="33"/>
  <c r="C827" i="33"/>
  <c r="F1073" i="33"/>
  <c r="K2183" i="33"/>
  <c r="D2182" i="33"/>
  <c r="E2183" i="33"/>
  <c r="J2029" i="33"/>
  <c r="J2050" i="33"/>
  <c r="C2050" i="33"/>
  <c r="H2050" i="33"/>
  <c r="D761" i="33"/>
  <c r="E761" i="33"/>
  <c r="J722" i="33"/>
  <c r="K1076" i="33"/>
  <c r="J1024" i="33"/>
  <c r="F615" i="33"/>
  <c r="J827" i="33"/>
  <c r="F835" i="33"/>
  <c r="J972" i="33"/>
  <c r="F2190" i="33"/>
  <c r="L2183" i="33"/>
  <c r="E2191" i="33"/>
  <c r="G2043" i="33"/>
  <c r="D2039" i="33"/>
  <c r="E2039" i="33"/>
  <c r="J783" i="33"/>
  <c r="D712" i="33"/>
  <c r="I761" i="33"/>
  <c r="C835" i="33"/>
  <c r="H1076" i="33"/>
  <c r="K1086" i="33"/>
  <c r="F1138" i="33"/>
  <c r="J723" i="33"/>
  <c r="E1146" i="33"/>
  <c r="C1095" i="33"/>
  <c r="C2183" i="33"/>
  <c r="L2182" i="33"/>
  <c r="D2190" i="33"/>
  <c r="K2039" i="33"/>
  <c r="K2029" i="33"/>
  <c r="K2050" i="33"/>
  <c r="K722" i="33"/>
  <c r="D1073" i="33"/>
  <c r="J618" i="33"/>
  <c r="F566" i="33"/>
  <c r="H712" i="33"/>
  <c r="G816" i="33"/>
  <c r="C972" i="33"/>
  <c r="C1076" i="33"/>
  <c r="K827" i="33"/>
  <c r="C1083" i="33"/>
  <c r="C2182" i="33"/>
  <c r="I2172" i="33"/>
  <c r="L2191" i="33"/>
  <c r="K2051" i="33"/>
  <c r="D1990"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H1330" i="33"/>
  <c r="E1330" i="33"/>
  <c r="G1138" i="33"/>
  <c r="L1135" i="33"/>
  <c r="I1135" i="33"/>
  <c r="L1083" i="33"/>
  <c r="E1083" i="33"/>
  <c r="G1031" i="33"/>
  <c r="G1021" i="33"/>
  <c r="H1035" i="33"/>
  <c r="L1042" i="33"/>
  <c r="G983" i="33"/>
  <c r="H979" i="33"/>
  <c r="E979" i="33"/>
  <c r="L823" i="33"/>
  <c r="H813" i="33"/>
  <c r="L764" i="33"/>
  <c r="C783" i="33"/>
  <c r="D774" i="33"/>
  <c r="I771" i="33"/>
  <c r="C730" i="33"/>
  <c r="I723" i="33"/>
  <c r="K619" i="33"/>
  <c r="H618" i="33"/>
  <c r="E615" i="33"/>
  <c r="G563" i="33"/>
  <c r="G553" i="33"/>
  <c r="H567" i="33"/>
  <c r="L574" i="33"/>
  <c r="E486" i="33"/>
  <c r="F486" i="33"/>
  <c r="H487" i="33"/>
  <c r="L416" i="33"/>
  <c r="C435" i="33"/>
  <c r="D426" i="33"/>
  <c r="J416" i="33"/>
  <c r="I364" i="33"/>
  <c r="K382" i="33"/>
  <c r="H312" i="33"/>
  <c r="C309" i="33"/>
  <c r="G330" i="33"/>
  <c r="D330" i="33"/>
  <c r="F278" i="33"/>
  <c r="L2039" i="33"/>
  <c r="G1977" i="33"/>
  <c r="L1991"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L1330" i="33"/>
  <c r="I1330" i="33"/>
  <c r="F1125" i="33"/>
  <c r="K1147" i="33"/>
  <c r="E1138" i="33"/>
  <c r="H1095" i="33"/>
  <c r="K1031" i="33"/>
  <c r="K1021" i="33"/>
  <c r="D1043" i="33"/>
  <c r="K979" i="33"/>
  <c r="K969" i="33"/>
  <c r="D991" i="33"/>
  <c r="L813" i="33"/>
  <c r="K771" i="33"/>
  <c r="K761" i="33"/>
  <c r="D783" i="33"/>
  <c r="C709" i="33"/>
  <c r="G730" i="33"/>
  <c r="D730" i="33"/>
  <c r="D608" i="33"/>
  <c r="L618" i="33"/>
  <c r="I615" i="33"/>
  <c r="G566" i="33"/>
  <c r="L563" i="33"/>
  <c r="I563" i="33"/>
  <c r="I486" i="33"/>
  <c r="C479" i="33"/>
  <c r="D475" i="33"/>
  <c r="I475" i="33"/>
  <c r="G426" i="33"/>
  <c r="L423" i="33"/>
  <c r="H413" i="33"/>
  <c r="K361" i="33"/>
  <c r="D383" i="33"/>
  <c r="L312" i="33"/>
  <c r="C331" i="33"/>
  <c r="D322" i="33"/>
  <c r="J312" i="33"/>
  <c r="D2050" i="33"/>
  <c r="C1998"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C1317" i="33"/>
  <c r="G1338" i="33"/>
  <c r="L1338" i="33"/>
  <c r="C1139" i="33"/>
  <c r="D1135" i="33"/>
  <c r="I1138" i="33"/>
  <c r="D1083" i="33"/>
  <c r="E1086" i="33"/>
  <c r="K1034" i="33"/>
  <c r="C1042" i="33"/>
  <c r="F969" i="33"/>
  <c r="K991" i="33"/>
  <c r="E982" i="33"/>
  <c r="D827" i="33"/>
  <c r="E826" i="33"/>
  <c r="K774" i="33"/>
  <c r="C782" i="33"/>
  <c r="H782" i="33"/>
  <c r="D722" i="33"/>
  <c r="J712" i="33"/>
  <c r="J605" i="33"/>
  <c r="J626" i="33"/>
  <c r="D619" i="33"/>
  <c r="E618" i="33"/>
  <c r="K566" i="33"/>
  <c r="C574" i="33"/>
  <c r="D574" i="33"/>
  <c r="F475" i="33"/>
  <c r="G475" i="33"/>
  <c r="G465" i="33"/>
  <c r="H479" i="33"/>
  <c r="I730" i="33"/>
  <c r="E626" i="33"/>
  <c r="J835" i="33"/>
  <c r="C1086" i="33"/>
  <c r="F1135" i="33"/>
  <c r="D1076" i="33"/>
  <c r="F731" i="33"/>
  <c r="G556" i="33"/>
  <c r="I813" i="33"/>
  <c r="E1021" i="33"/>
  <c r="C1128" i="33"/>
  <c r="I835" i="33"/>
  <c r="I1125" i="33"/>
  <c r="G2191" i="33"/>
  <c r="H2183" i="33"/>
  <c r="L2190" i="33"/>
  <c r="H2032" i="33"/>
  <c r="C2029" i="33"/>
  <c r="H2051" i="33"/>
  <c r="D1021" i="33"/>
  <c r="F709" i="33"/>
  <c r="C1024" i="33"/>
  <c r="F1147" i="33"/>
  <c r="G826" i="33"/>
  <c r="K1095" i="33"/>
  <c r="F2169" i="33"/>
  <c r="K2191" i="33"/>
  <c r="D2191" i="33"/>
  <c r="L2032" i="33"/>
  <c r="C2051" i="33"/>
  <c r="D2043" i="33"/>
  <c r="E2043" i="33"/>
  <c r="I783" i="33"/>
  <c r="H816" i="33"/>
  <c r="F1034" i="33"/>
  <c r="I990" i="33"/>
  <c r="F567" i="33"/>
  <c r="J563" i="33"/>
  <c r="F775" i="33"/>
  <c r="F982" i="33"/>
  <c r="F834" i="33"/>
  <c r="G1086" i="33"/>
  <c r="K1024" i="33"/>
  <c r="F723" i="33"/>
  <c r="L816" i="33"/>
  <c r="F575" i="33"/>
  <c r="J775" i="33"/>
  <c r="J1031" i="33"/>
  <c r="K723" i="33"/>
  <c r="L553" i="33"/>
  <c r="F972" i="33"/>
  <c r="G1083" i="33"/>
  <c r="J567" i="33"/>
  <c r="J709" i="33"/>
  <c r="K826" i="33"/>
  <c r="F1031" i="33"/>
  <c r="E1125" i="33"/>
  <c r="H969" i="33"/>
  <c r="K2179" i="33"/>
  <c r="K2169" i="33"/>
  <c r="K2190" i="33"/>
  <c r="C2039" i="33"/>
  <c r="E2032" i="33"/>
  <c r="J2032"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F774" i="33"/>
  <c r="J1094" i="33"/>
  <c r="J1135" i="33"/>
  <c r="C764" i="33"/>
  <c r="F1024" i="33"/>
  <c r="F1128" i="33"/>
  <c r="E813" i="33"/>
  <c r="L1073" i="33"/>
  <c r="L2172" i="33"/>
  <c r="C2191" i="33"/>
  <c r="D2183" i="33"/>
  <c r="H2190" i="33"/>
  <c r="E2042" i="33"/>
  <c r="C1977" i="33"/>
  <c r="K1998"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K1317" i="33"/>
  <c r="D1339" i="33"/>
  <c r="G1147" i="33"/>
  <c r="L1139" i="33"/>
  <c r="E1147" i="33"/>
  <c r="L1087" i="33"/>
  <c r="L1094" i="33"/>
  <c r="G1035" i="33"/>
  <c r="H1031" i="33"/>
  <c r="E1031" i="33"/>
  <c r="G979" i="33"/>
  <c r="G969" i="33"/>
  <c r="H983" i="33"/>
  <c r="L990" i="33"/>
  <c r="L827" i="33"/>
  <c r="E827" i="33"/>
  <c r="C774" i="33"/>
  <c r="I764" i="33"/>
  <c r="K782" i="33"/>
  <c r="E783" i="33"/>
  <c r="L709" i="33"/>
  <c r="K615" i="33"/>
  <c r="K605" i="33"/>
  <c r="D627" i="33"/>
  <c r="L626" i="33"/>
  <c r="G567" i="33"/>
  <c r="H563" i="33"/>
  <c r="E563" i="33"/>
  <c r="D468" i="33"/>
  <c r="L478" i="33"/>
  <c r="E479" i="33"/>
  <c r="C426" i="33"/>
  <c r="I416" i="33"/>
  <c r="K434" i="33"/>
  <c r="H434" i="33"/>
  <c r="D374" i="33"/>
  <c r="H382" i="33"/>
  <c r="C323" i="33"/>
  <c r="D319" i="33"/>
  <c r="F312" i="33"/>
  <c r="D260" i="33"/>
  <c r="I2043" i="33"/>
  <c r="L1987"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H1339" i="33"/>
  <c r="K1138" i="33"/>
  <c r="C1146" i="33"/>
  <c r="L1086" i="33"/>
  <c r="I1087" i="33"/>
  <c r="K1035" i="33"/>
  <c r="H1034" i="33"/>
  <c r="I1035" i="33"/>
  <c r="K983" i="33"/>
  <c r="H982" i="33"/>
  <c r="I983" i="33"/>
  <c r="C834" i="33"/>
  <c r="I827" i="33"/>
  <c r="K775" i="33"/>
  <c r="H774" i="33"/>
  <c r="E774" i="33"/>
  <c r="D719" i="33"/>
  <c r="F712"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D1327" i="33"/>
  <c r="E1327" i="33"/>
  <c r="H1128" i="33"/>
  <c r="C1125" i="33"/>
  <c r="G1146" i="33"/>
  <c r="C1073" i="33"/>
  <c r="G1094" i="33"/>
  <c r="F1021" i="33"/>
  <c r="K1043" i="33"/>
  <c r="E1034" i="33"/>
  <c r="K982" i="33"/>
  <c r="C990" i="33"/>
  <c r="E816" i="33"/>
  <c r="L835" i="33"/>
  <c r="F761" i="33"/>
  <c r="K783" i="33"/>
  <c r="J764" i="33"/>
  <c r="I712" i="33"/>
  <c r="K730" i="33"/>
  <c r="H730" i="33"/>
  <c r="C615" i="33"/>
  <c r="E608" i="33"/>
  <c r="L627" i="33"/>
  <c r="F553" i="33"/>
  <c r="K575" i="33"/>
  <c r="F556" i="33"/>
  <c r="F487" i="33"/>
  <c r="G479" i="33"/>
  <c r="H475" i="33"/>
  <c r="H2039" i="33"/>
  <c r="L1125" i="33"/>
  <c r="H1021" i="33"/>
  <c r="J983" i="33"/>
  <c r="G2183" i="33"/>
  <c r="E1928" i="33"/>
  <c r="J1743" i="33"/>
  <c r="G1691" i="33"/>
  <c r="D1643" i="33"/>
  <c r="C1535" i="33"/>
  <c r="G1421" i="33"/>
  <c r="H1086" i="33"/>
  <c r="K1042" i="33"/>
  <c r="E983" i="33"/>
  <c r="H826" i="33"/>
  <c r="H775" i="33"/>
  <c r="L619" i="33"/>
  <c r="K574" i="33"/>
  <c r="G423" i="33"/>
  <c r="H371" i="33"/>
  <c r="L331" i="33"/>
  <c r="D1935" i="33"/>
  <c r="G1795" i="33"/>
  <c r="D1736" i="33"/>
  <c r="H1694" i="33"/>
  <c r="I1580" i="33"/>
  <c r="L1538" i="33"/>
  <c r="I1434" i="33"/>
  <c r="C1338" i="33"/>
  <c r="D1128" i="33"/>
  <c r="D1146" i="33"/>
  <c r="G1034" i="33"/>
  <c r="I1031" i="33"/>
  <c r="L979" i="33"/>
  <c r="I823" i="33"/>
  <c r="L771" i="33"/>
  <c r="E712" i="33"/>
  <c r="C626" i="33"/>
  <c r="K567" i="33"/>
  <c r="I567" i="33"/>
  <c r="J465" i="33"/>
  <c r="D479" i="33"/>
  <c r="K427" i="33"/>
  <c r="E423" i="33"/>
  <c r="E371" i="33"/>
  <c r="G309" i="33"/>
  <c r="I322" i="33"/>
  <c r="H1999" i="33"/>
  <c r="H1939" i="33"/>
  <c r="K1785" i="33"/>
  <c r="J1746" i="33"/>
  <c r="E1736" i="33"/>
  <c r="D1684" i="33"/>
  <c r="I1695" i="33"/>
  <c r="E1642" i="33"/>
  <c r="E1587" i="33"/>
  <c r="I1528" i="33"/>
  <c r="G1494" i="33"/>
  <c r="E1435" i="33"/>
  <c r="E1320" i="33"/>
  <c r="J1125" i="33"/>
  <c r="D1139" i="33"/>
  <c r="D1087" i="33"/>
  <c r="F1042" i="33"/>
  <c r="D972" i="33"/>
  <c r="D990" i="33"/>
  <c r="G834" i="33"/>
  <c r="F782" i="33"/>
  <c r="G709" i="33"/>
  <c r="I722" i="33"/>
  <c r="H608" i="33"/>
  <c r="G626" i="33"/>
  <c r="F574" i="33"/>
  <c r="C478" i="33"/>
  <c r="K486" i="33"/>
  <c r="F413" i="33"/>
  <c r="K435" i="33"/>
  <c r="L413" i="33"/>
  <c r="L374" i="33"/>
  <c r="I375" i="33"/>
  <c r="K323" i="33"/>
  <c r="H322" i="33"/>
  <c r="E319" i="33"/>
  <c r="G267" i="33"/>
  <c r="G257" i="33"/>
  <c r="H2042" i="33"/>
  <c r="D1987"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H1327" i="33"/>
  <c r="L1317" i="33"/>
  <c r="G1139" i="33"/>
  <c r="H1135" i="33"/>
  <c r="E1135" i="33"/>
  <c r="I1076" i="33"/>
  <c r="K1094" i="33"/>
  <c r="H1024" i="33"/>
  <c r="C1021" i="33"/>
  <c r="G1042" i="33"/>
  <c r="J969" i="33"/>
  <c r="J990" i="33"/>
  <c r="D983" i="33"/>
  <c r="H990" i="33"/>
  <c r="H823" i="33"/>
  <c r="D813" i="33"/>
  <c r="J761" i="33"/>
  <c r="J782" i="33"/>
  <c r="D775" i="33"/>
  <c r="E775" i="33"/>
  <c r="H722" i="33"/>
  <c r="E719"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K1139" i="33"/>
  <c r="E1087" i="33"/>
  <c r="L972" i="33"/>
  <c r="E823" i="33"/>
  <c r="I775" i="33"/>
  <c r="E619" i="33"/>
  <c r="F465" i="33"/>
  <c r="G413" i="33"/>
  <c r="I374" i="33"/>
  <c r="F257" i="33"/>
  <c r="E1980" i="33"/>
  <c r="I1935" i="33"/>
  <c r="G1785" i="33"/>
  <c r="L1746" i="33"/>
  <c r="E1695" i="33"/>
  <c r="K1598" i="33"/>
  <c r="L1486" i="33"/>
  <c r="H1338" i="33"/>
  <c r="F1146" i="33"/>
  <c r="C1094" i="33"/>
  <c r="G1043" i="33"/>
  <c r="E1043" i="33"/>
  <c r="L983" i="33"/>
  <c r="E835" i="33"/>
  <c r="L775" i="33"/>
  <c r="D723"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D1331" i="33"/>
  <c r="C1135" i="33"/>
  <c r="L1147" i="33"/>
  <c r="L1095" i="33"/>
  <c r="L1034" i="33"/>
  <c r="F990" i="33"/>
  <c r="F816" i="33"/>
  <c r="L774" i="33"/>
  <c r="H719" i="33"/>
  <c r="C619" i="33"/>
  <c r="F608" i="33"/>
  <c r="L566" i="33"/>
  <c r="C487" i="33"/>
  <c r="F468" i="33"/>
  <c r="D416" i="33"/>
  <c r="L426" i="33"/>
  <c r="I423" i="33"/>
  <c r="C382" i="33"/>
  <c r="E383" i="33"/>
  <c r="G331" i="33"/>
  <c r="L323" i="33"/>
  <c r="E323" i="33"/>
  <c r="C270" i="33"/>
  <c r="I260" i="33"/>
  <c r="E2051" i="33"/>
  <c r="D199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D1330" i="33"/>
  <c r="I1327" i="33"/>
  <c r="L1128" i="33"/>
  <c r="C1147" i="33"/>
  <c r="D1138" i="33"/>
  <c r="E1139" i="33"/>
  <c r="H1083" i="33"/>
  <c r="I1086" i="33"/>
  <c r="C1031" i="33"/>
  <c r="E1024" i="33"/>
  <c r="L1043" i="33"/>
  <c r="H972" i="33"/>
  <c r="C969" i="33"/>
  <c r="G990" i="33"/>
  <c r="D826" i="33"/>
  <c r="J816" i="33"/>
  <c r="H764" i="33"/>
  <c r="C761" i="33"/>
  <c r="G782" i="33"/>
  <c r="L782" i="33"/>
  <c r="L723" i="33"/>
  <c r="E723"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E730" i="33"/>
  <c r="C816" i="33"/>
  <c r="I2182" i="33"/>
  <c r="L2043" i="33"/>
  <c r="H1991" i="33"/>
  <c r="C1785" i="33"/>
  <c r="L1743" i="33"/>
  <c r="H1695" i="33"/>
  <c r="D1587" i="33"/>
  <c r="C1473" i="33"/>
  <c r="D1442" i="33"/>
  <c r="L1331" i="33"/>
  <c r="H1138" i="33"/>
  <c r="C1034" i="33"/>
  <c r="C991" i="33"/>
  <c r="G771" i="33"/>
  <c r="H731" i="33"/>
  <c r="C566" i="33"/>
  <c r="K487" i="33"/>
  <c r="H427" i="33"/>
  <c r="C319" i="33"/>
  <c r="K279" i="33"/>
  <c r="D1999" i="33"/>
  <c r="H1799" i="33"/>
  <c r="I1747" i="33"/>
  <c r="H1639" i="33"/>
  <c r="H1598" i="33"/>
  <c r="I1487" i="33"/>
  <c r="L1138" i="33"/>
  <c r="I1083" i="33"/>
  <c r="L1031" i="33"/>
  <c r="G982" i="33"/>
  <c r="I979" i="33"/>
  <c r="L826" i="33"/>
  <c r="G774" i="33"/>
  <c r="F764" i="33"/>
  <c r="L731" i="33"/>
  <c r="K618" i="33"/>
  <c r="I619" i="33"/>
  <c r="H566" i="33"/>
  <c r="J486" i="33"/>
  <c r="I479" i="33"/>
  <c r="H426" i="33"/>
  <c r="L371" i="33"/>
  <c r="G319" i="33"/>
  <c r="H323" i="33"/>
  <c r="K1977" i="33"/>
  <c r="G1947" i="33"/>
  <c r="D1946" i="33"/>
  <c r="K1795" i="33"/>
  <c r="D1807" i="33"/>
  <c r="C1743" i="33"/>
  <c r="L1755" i="33"/>
  <c r="L1694" i="33"/>
  <c r="H1642" i="33"/>
  <c r="H1590" i="33"/>
  <c r="G1538" i="33"/>
  <c r="K1473" i="33"/>
  <c r="L1434" i="33"/>
  <c r="L1339" i="33"/>
  <c r="J1146" i="33"/>
  <c r="H1146" i="33"/>
  <c r="D1094" i="33"/>
  <c r="H1043" i="33"/>
  <c r="L982" i="33"/>
  <c r="C813" i="33"/>
  <c r="D834" i="33"/>
  <c r="H783" i="33"/>
  <c r="H723" i="33"/>
  <c r="C605" i="33"/>
  <c r="D626" i="33"/>
  <c r="H575" i="33"/>
  <c r="F479" i="33"/>
  <c r="I468" i="33"/>
  <c r="E478" i="33"/>
  <c r="K426" i="33"/>
  <c r="C434" i="33"/>
  <c r="I427" i="33"/>
  <c r="H383" i="33"/>
  <c r="K319" i="33"/>
  <c r="K309" i="33"/>
  <c r="D331" i="33"/>
  <c r="L330" i="33"/>
  <c r="G271" i="33"/>
  <c r="F2029" i="33"/>
  <c r="G1998"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G1317" i="33"/>
  <c r="H1331" i="33"/>
  <c r="I1331" i="33"/>
  <c r="G1135" i="33"/>
  <c r="G1125" i="33"/>
  <c r="H1139" i="33"/>
  <c r="L1146" i="33"/>
  <c r="D1086" i="33"/>
  <c r="H1094" i="33"/>
  <c r="C1035" i="33"/>
  <c r="D1031" i="33"/>
  <c r="I1034" i="33"/>
  <c r="C979" i="33"/>
  <c r="E972" i="33"/>
  <c r="L991" i="33"/>
  <c r="G813" i="33"/>
  <c r="H827" i="33"/>
  <c r="I826" i="33"/>
  <c r="C771" i="33"/>
  <c r="E764" i="33"/>
  <c r="L783" i="33"/>
  <c r="K709" i="33"/>
  <c r="D731" i="33"/>
  <c r="L730"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J771" i="33"/>
  <c r="G1076" i="33"/>
  <c r="C1935" i="33"/>
  <c r="G1806" i="33"/>
  <c r="E1743" i="33"/>
  <c r="H1702" i="33"/>
  <c r="F1580" i="33"/>
  <c r="D1495" i="33"/>
  <c r="D1338" i="33"/>
  <c r="I1139" i="33"/>
  <c r="I1024" i="33"/>
  <c r="D982" i="33"/>
  <c r="G761" i="33"/>
  <c r="E731" i="33"/>
  <c r="G627" i="33"/>
  <c r="I556" i="33"/>
  <c r="E475" i="33"/>
  <c r="I426" i="33"/>
  <c r="E312" i="33"/>
  <c r="D2051" i="33"/>
  <c r="G1939" i="33"/>
  <c r="L1806" i="33"/>
  <c r="K1695" i="33"/>
  <c r="I1639" i="33"/>
  <c r="G1539" i="33"/>
  <c r="H1434" i="33"/>
  <c r="H1147" i="33"/>
  <c r="E1095" i="33"/>
  <c r="L1035" i="33"/>
  <c r="G991" i="33"/>
  <c r="E991" i="33"/>
  <c r="H835" i="33"/>
  <c r="G783" i="33"/>
  <c r="D782" i="33"/>
  <c r="E722" i="33"/>
  <c r="K627" i="33"/>
  <c r="K563" i="33"/>
  <c r="D575" i="33"/>
  <c r="J478" i="33"/>
  <c r="E468" i="33"/>
  <c r="K423" i="33"/>
  <c r="D435" i="33"/>
  <c r="L375" i="33"/>
  <c r="G323" i="33"/>
  <c r="D309" i="33"/>
  <c r="L1990" i="33"/>
  <c r="H1935" i="33"/>
  <c r="E1876" i="33"/>
  <c r="K1799" i="33"/>
  <c r="I1799" i="33"/>
  <c r="J1754" i="33"/>
  <c r="D1754" i="33"/>
  <c r="H1703" i="33"/>
  <c r="D1651" i="33"/>
  <c r="D1599" i="33"/>
  <c r="G1547" i="33"/>
  <c r="D1483" i="33"/>
  <c r="H1443" i="33"/>
  <c r="E1331" i="33"/>
  <c r="E1128" i="33"/>
  <c r="E1076" i="33"/>
  <c r="D1024" i="33"/>
  <c r="D1042" i="33"/>
  <c r="H991" i="33"/>
  <c r="D823" i="33"/>
  <c r="D764" i="33"/>
  <c r="I774" i="33"/>
  <c r="D709"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I1320" i="33"/>
  <c r="K1338" i="33"/>
  <c r="E1339" i="33"/>
  <c r="C1138" i="33"/>
  <c r="I1128" i="33"/>
  <c r="K1146" i="33"/>
  <c r="G1073" i="33"/>
  <c r="H1087" i="33"/>
  <c r="J1021" i="33"/>
  <c r="J1042" i="33"/>
  <c r="D1035" i="33"/>
  <c r="H1042" i="33"/>
  <c r="C983" i="33"/>
  <c r="D979" i="33"/>
  <c r="I982" i="33"/>
  <c r="I816" i="33"/>
  <c r="K834" i="33"/>
  <c r="H834" i="33"/>
  <c r="C775" i="33"/>
  <c r="D771" i="33"/>
  <c r="E771" i="33"/>
  <c r="L719" i="33"/>
  <c r="H709"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E2932" i="33" l="1"/>
  <c r="G3660" i="33"/>
  <c r="I3400" i="33"/>
  <c r="C3244" i="33"/>
  <c r="K3244" i="33"/>
  <c r="C3452" i="33"/>
  <c r="L3192" i="33"/>
  <c r="E3296" i="33"/>
  <c r="F3556" i="33"/>
  <c r="F3608" i="33"/>
  <c r="I3764" i="33"/>
  <c r="H3712" i="33"/>
  <c r="E3036" i="33"/>
  <c r="L3400" i="33"/>
  <c r="I2568" i="33"/>
  <c r="G2880" i="33"/>
  <c r="D2568" i="33"/>
  <c r="L2984" i="33"/>
  <c r="G2828" i="33"/>
  <c r="K3088" i="33"/>
  <c r="K2464" i="33"/>
  <c r="E2620" i="33"/>
  <c r="L3452" i="33"/>
  <c r="H2412" i="33"/>
  <c r="E2568" i="33"/>
  <c r="G2464" i="33"/>
  <c r="J3764" i="33"/>
  <c r="K2568" i="33"/>
  <c r="J3400" i="33"/>
  <c r="H2984" i="33"/>
  <c r="F3036" i="33"/>
  <c r="K3036" i="33"/>
  <c r="L3816" i="33"/>
  <c r="G3712" i="33"/>
  <c r="I3088" i="33"/>
  <c r="G3036" i="33"/>
  <c r="K2828" i="33"/>
  <c r="J2724" i="33"/>
  <c r="J2880" i="33"/>
  <c r="H2932" i="33"/>
  <c r="I3192" i="33"/>
  <c r="J2620" i="33"/>
  <c r="H2516" i="33"/>
  <c r="C2984" i="33"/>
  <c r="I3036" i="33"/>
  <c r="F2984" i="33"/>
  <c r="C3764" i="33"/>
  <c r="K2516" i="33"/>
  <c r="I3712" i="33"/>
  <c r="H2724" i="33"/>
  <c r="H3504" i="33"/>
  <c r="L2932" i="33"/>
  <c r="J2672" i="33"/>
  <c r="D2672" i="33"/>
  <c r="I2516" i="33"/>
  <c r="D3244" i="33"/>
  <c r="C2932" i="33"/>
  <c r="I3348" i="33"/>
  <c r="F3452" i="33"/>
  <c r="D3816" i="33"/>
  <c r="F2464" i="33"/>
  <c r="I3556" i="33"/>
  <c r="C2464" i="33"/>
  <c r="I2776" i="33"/>
  <c r="C3816" i="33"/>
  <c r="K3608" i="33"/>
  <c r="C3504" i="33"/>
  <c r="D2724" i="33"/>
  <c r="E3608" i="33"/>
  <c r="G2360" i="33"/>
  <c r="D2776" i="33"/>
  <c r="D3452" i="33"/>
  <c r="L3660" i="33"/>
  <c r="H3556" i="33"/>
  <c r="K3764" i="33"/>
  <c r="I2932" i="33"/>
  <c r="K2932" i="33"/>
  <c r="F3660" i="33"/>
  <c r="D3660" i="33"/>
  <c r="G2516" i="33"/>
  <c r="D2932" i="33"/>
  <c r="K3660" i="33"/>
  <c r="J2922" i="33"/>
  <c r="J2935" i="33"/>
  <c r="C2922" i="33"/>
  <c r="C2935" i="33"/>
  <c r="D2779" i="33"/>
  <c r="D2766" i="33"/>
  <c r="I2623" i="33"/>
  <c r="I2610" i="33"/>
  <c r="H2828" i="33"/>
  <c r="K2610" i="33"/>
  <c r="K2623" i="33"/>
  <c r="L3039" i="33"/>
  <c r="L3026" i="33"/>
  <c r="F2831" i="33"/>
  <c r="F2818" i="33"/>
  <c r="F2454" i="33"/>
  <c r="F2467" i="33"/>
  <c r="G2724" i="33"/>
  <c r="L2568" i="33"/>
  <c r="K3507" i="33"/>
  <c r="K3512" i="33" s="1"/>
  <c r="K3514" i="33" s="1"/>
  <c r="K3494" i="33"/>
  <c r="G3455" i="33"/>
  <c r="G3442" i="33"/>
  <c r="F3130" i="33"/>
  <c r="F3143" i="33"/>
  <c r="D3712" i="33"/>
  <c r="K3715" i="33"/>
  <c r="K3702" i="33"/>
  <c r="D3234" i="33"/>
  <c r="D3247" i="33"/>
  <c r="F2987" i="33"/>
  <c r="F2974" i="33"/>
  <c r="F3650" i="33"/>
  <c r="F3663" i="33"/>
  <c r="F3668" i="33" s="1"/>
  <c r="F3670" i="33" s="1"/>
  <c r="J3546" i="33"/>
  <c r="J3559" i="33"/>
  <c r="J3564" i="33" s="1"/>
  <c r="J3566" i="33" s="1"/>
  <c r="G3504" i="33"/>
  <c r="F3712" i="33"/>
  <c r="C3556" i="33"/>
  <c r="C3494" i="33"/>
  <c r="C3507" i="33"/>
  <c r="C3078" i="33"/>
  <c r="C3091" i="33"/>
  <c r="F2558" i="33"/>
  <c r="F2571" i="33"/>
  <c r="C2714" i="33"/>
  <c r="C2727" i="33"/>
  <c r="D2519" i="33"/>
  <c r="D2506" i="33"/>
  <c r="K2714" i="33"/>
  <c r="K2727" i="33"/>
  <c r="H2675" i="33"/>
  <c r="H2662" i="33"/>
  <c r="E3195" i="33"/>
  <c r="E3182" i="33"/>
  <c r="F2415" i="33"/>
  <c r="F2402" i="33"/>
  <c r="G2776" i="33"/>
  <c r="D3195" i="33"/>
  <c r="D3182" i="33"/>
  <c r="F2766" i="33"/>
  <c r="F2779" i="33"/>
  <c r="I2779" i="33"/>
  <c r="I2766" i="33"/>
  <c r="J2776" i="33"/>
  <c r="K2363" i="33"/>
  <c r="K2350" i="33"/>
  <c r="I2360" i="33"/>
  <c r="E3130" i="33"/>
  <c r="E3143" i="33"/>
  <c r="H3611" i="33"/>
  <c r="H3616" i="33" s="1"/>
  <c r="H3618" i="33" s="1"/>
  <c r="H3598" i="33"/>
  <c r="C3455" i="33"/>
  <c r="C3442" i="33"/>
  <c r="L3195" i="33"/>
  <c r="L3182" i="33"/>
  <c r="H3244" i="33"/>
  <c r="F3819" i="33"/>
  <c r="F3824" i="33" s="1"/>
  <c r="F3826" i="33" s="1"/>
  <c r="F3806" i="33"/>
  <c r="E3660" i="33"/>
  <c r="H3816" i="33"/>
  <c r="G3026" i="33"/>
  <c r="G3039" i="33"/>
  <c r="J3504" i="33"/>
  <c r="K3296" i="33"/>
  <c r="F3455" i="33"/>
  <c r="F3442" i="33"/>
  <c r="I2831" i="33"/>
  <c r="I2818" i="33"/>
  <c r="H2623" i="33"/>
  <c r="H2610" i="33"/>
  <c r="H2360" i="33"/>
  <c r="L2415" i="33"/>
  <c r="L2402" i="33"/>
  <c r="L2987" i="33"/>
  <c r="L2974" i="33"/>
  <c r="E2467" i="33"/>
  <c r="E2454" i="33"/>
  <c r="I2558" i="33"/>
  <c r="I2571" i="33"/>
  <c r="D2402" i="33"/>
  <c r="D2415" i="33"/>
  <c r="C2672" i="33"/>
  <c r="G2818" i="33"/>
  <c r="G2831" i="33"/>
  <c r="E2870" i="33"/>
  <c r="E2883" i="33"/>
  <c r="G2610" i="33"/>
  <c r="G2623" i="33"/>
  <c r="H3195" i="33"/>
  <c r="H3182" i="33"/>
  <c r="F2922" i="33"/>
  <c r="F2935" i="33"/>
  <c r="G2620" i="33"/>
  <c r="E3140" i="33"/>
  <c r="E3351" i="33"/>
  <c r="E3338" i="33"/>
  <c r="C3247" i="33"/>
  <c r="C3234" i="33"/>
  <c r="E3286" i="33"/>
  <c r="E3299" i="33"/>
  <c r="I3299" i="33"/>
  <c r="I3286" i="33"/>
  <c r="J3608" i="33"/>
  <c r="D2974" i="33"/>
  <c r="D2987" i="33"/>
  <c r="D3390" i="33"/>
  <c r="D3403" i="33"/>
  <c r="J3494" i="33"/>
  <c r="J3507" i="33"/>
  <c r="J3512" i="33" s="1"/>
  <c r="J3514" i="33" s="1"/>
  <c r="H3296" i="33"/>
  <c r="H3192" i="33"/>
  <c r="J3140" i="33"/>
  <c r="I3507" i="33"/>
  <c r="I3494" i="33"/>
  <c r="L3286" i="33"/>
  <c r="L3299" i="33"/>
  <c r="J2987" i="33"/>
  <c r="J2974" i="33"/>
  <c r="I2675" i="33"/>
  <c r="I2662" i="33"/>
  <c r="I2350" i="33"/>
  <c r="I2363" i="33"/>
  <c r="H2568" i="33"/>
  <c r="J2558" i="33"/>
  <c r="J2571" i="33"/>
  <c r="L2828" i="33"/>
  <c r="D2714" i="33"/>
  <c r="D2727" i="33"/>
  <c r="J2360" i="33"/>
  <c r="L2714" i="33"/>
  <c r="L2727" i="33"/>
  <c r="H3036" i="33"/>
  <c r="F2662" i="33"/>
  <c r="F2675" i="33"/>
  <c r="L2623" i="33"/>
  <c r="L2610" i="33"/>
  <c r="C2623" i="33"/>
  <c r="C2610" i="33"/>
  <c r="H2467" i="33"/>
  <c r="H2454" i="33"/>
  <c r="G2935" i="33"/>
  <c r="G2922" i="33"/>
  <c r="L3403" i="33"/>
  <c r="L3390" i="33"/>
  <c r="H3608" i="33"/>
  <c r="F3192" i="33"/>
  <c r="J3712" i="33"/>
  <c r="D2935" i="33"/>
  <c r="D2922" i="33"/>
  <c r="H3348" i="33"/>
  <c r="I3244" i="33"/>
  <c r="D3192" i="33"/>
  <c r="J3351" i="33"/>
  <c r="J3338" i="33"/>
  <c r="K3546" i="33"/>
  <c r="K3559" i="33"/>
  <c r="K3564" i="33" s="1"/>
  <c r="K3566" i="33" s="1"/>
  <c r="H3234" i="33"/>
  <c r="H3247" i="33"/>
  <c r="L3140" i="33"/>
  <c r="I3338" i="33"/>
  <c r="I3351" i="33"/>
  <c r="D3556" i="33"/>
  <c r="D3348" i="33"/>
  <c r="I3296" i="33"/>
  <c r="C2818" i="33"/>
  <c r="C2831" i="33"/>
  <c r="H2558" i="33"/>
  <c r="H2571" i="33"/>
  <c r="E2610" i="33"/>
  <c r="E2623" i="33"/>
  <c r="K2779" i="33"/>
  <c r="K2766" i="33"/>
  <c r="G3182" i="33"/>
  <c r="G3195" i="33"/>
  <c r="D2571" i="33"/>
  <c r="D2558" i="33"/>
  <c r="L2464" i="33"/>
  <c r="E2412" i="33"/>
  <c r="J2932" i="33"/>
  <c r="C2568" i="33"/>
  <c r="D3286" i="33"/>
  <c r="D3299" i="33"/>
  <c r="F3296" i="33"/>
  <c r="K3403" i="33"/>
  <c r="K3390" i="33"/>
  <c r="K3556" i="33"/>
  <c r="C3296" i="33"/>
  <c r="E3088" i="33"/>
  <c r="F3140" i="33"/>
  <c r="E3816" i="33"/>
  <c r="G3598" i="33"/>
  <c r="G3611" i="33"/>
  <c r="G3616" i="33" s="1"/>
  <c r="G3618" i="33" s="1"/>
  <c r="D3351" i="33"/>
  <c r="D3338" i="33"/>
  <c r="H3299" i="33"/>
  <c r="H3286" i="33"/>
  <c r="K3452" i="33"/>
  <c r="E3546" i="33"/>
  <c r="E3559" i="33"/>
  <c r="K3130" i="33"/>
  <c r="K3143" i="33"/>
  <c r="C2402" i="33"/>
  <c r="C2415" i="33"/>
  <c r="K2467" i="33"/>
  <c r="K2454" i="33"/>
  <c r="H2519" i="33"/>
  <c r="H2506" i="33"/>
  <c r="C2662" i="33"/>
  <c r="C2675" i="33"/>
  <c r="I3234" i="33"/>
  <c r="I3247" i="33"/>
  <c r="D2516" i="33"/>
  <c r="E2672" i="33"/>
  <c r="K2415" i="33"/>
  <c r="K2402" i="33"/>
  <c r="F2412" i="33"/>
  <c r="G2454" i="33"/>
  <c r="G2467" i="33"/>
  <c r="E2984" i="33"/>
  <c r="C2776" i="33"/>
  <c r="G2779" i="33"/>
  <c r="G2766" i="33"/>
  <c r="G3403" i="33"/>
  <c r="G3390" i="33"/>
  <c r="J3244" i="33"/>
  <c r="E3192" i="33"/>
  <c r="L3234" i="33"/>
  <c r="L3247" i="33"/>
  <c r="G3608" i="33"/>
  <c r="G3715" i="33"/>
  <c r="G3702" i="33"/>
  <c r="K3078" i="33"/>
  <c r="K3091" i="33"/>
  <c r="D3559" i="33"/>
  <c r="D3546" i="33"/>
  <c r="L3143" i="33"/>
  <c r="L3130" i="33"/>
  <c r="K3806" i="33"/>
  <c r="K3819" i="33"/>
  <c r="K3824" i="33" s="1"/>
  <c r="K3826" i="33" s="1"/>
  <c r="G3507" i="33"/>
  <c r="G3512" i="33" s="1"/>
  <c r="G3514" i="33" s="1"/>
  <c r="G3494" i="33"/>
  <c r="D3140" i="33"/>
  <c r="C3143" i="33"/>
  <c r="C3130" i="33"/>
  <c r="G3556" i="33"/>
  <c r="J2766" i="33"/>
  <c r="J2779" i="33"/>
  <c r="E3390" i="33"/>
  <c r="E3403" i="33"/>
  <c r="L2831" i="33"/>
  <c r="L2818" i="33"/>
  <c r="D2610" i="33"/>
  <c r="D2623" i="33"/>
  <c r="K2571" i="33"/>
  <c r="K2558" i="33"/>
  <c r="K2880" i="33"/>
  <c r="J2883" i="33"/>
  <c r="J2870" i="33"/>
  <c r="D2880" i="33"/>
  <c r="H2766" i="33"/>
  <c r="H2779" i="33"/>
  <c r="I2402" i="33"/>
  <c r="I2415" i="33"/>
  <c r="E2880" i="33"/>
  <c r="L2620" i="33"/>
  <c r="I2987" i="33"/>
  <c r="I2974" i="33"/>
  <c r="C2987" i="33"/>
  <c r="C2974" i="33"/>
  <c r="K3338" i="33"/>
  <c r="K3351" i="33"/>
  <c r="L3078" i="33"/>
  <c r="L3091" i="33"/>
  <c r="L3767" i="33"/>
  <c r="L3772" i="33" s="1"/>
  <c r="L3774" i="33" s="1"/>
  <c r="L3754" i="33"/>
  <c r="J3442" i="33"/>
  <c r="J3455" i="33"/>
  <c r="H3754" i="33"/>
  <c r="H3767" i="33"/>
  <c r="G3348" i="33"/>
  <c r="I3608" i="33"/>
  <c r="J3348" i="33"/>
  <c r="E3556" i="33"/>
  <c r="C2350" i="33"/>
  <c r="C2363" i="33"/>
  <c r="G2519" i="33"/>
  <c r="G2506" i="33"/>
  <c r="K2724" i="33"/>
  <c r="E3026" i="33"/>
  <c r="E3039" i="33"/>
  <c r="J2506" i="33"/>
  <c r="J2519" i="33"/>
  <c r="F2828" i="33"/>
  <c r="K2870" i="33"/>
  <c r="K2883" i="33"/>
  <c r="D2828" i="33"/>
  <c r="L2360" i="33"/>
  <c r="E2464" i="33"/>
  <c r="E2766" i="33"/>
  <c r="E2779" i="33"/>
  <c r="K3026" i="33"/>
  <c r="K3039" i="33"/>
  <c r="I2464" i="33"/>
  <c r="I2727" i="33"/>
  <c r="I2714" i="33"/>
  <c r="L2870" i="33"/>
  <c r="L2883" i="33"/>
  <c r="E2987" i="33"/>
  <c r="E2974" i="33"/>
  <c r="I2454" i="33"/>
  <c r="I2467" i="33"/>
  <c r="I2620" i="33"/>
  <c r="F3767" i="33"/>
  <c r="F3772" i="33" s="1"/>
  <c r="F3774" i="33" s="1"/>
  <c r="F3754" i="33"/>
  <c r="D3088" i="33"/>
  <c r="F3816" i="33"/>
  <c r="E3455" i="33"/>
  <c r="E3442" i="33"/>
  <c r="H3088" i="33"/>
  <c r="F3244" i="33"/>
  <c r="K3650" i="33"/>
  <c r="K3663" i="33"/>
  <c r="K3668" i="33" s="1"/>
  <c r="K3670" i="33" s="1"/>
  <c r="C3660" i="33"/>
  <c r="F3494" i="33"/>
  <c r="F3507" i="33"/>
  <c r="C3754" i="33"/>
  <c r="C3767" i="33"/>
  <c r="I3140" i="33"/>
  <c r="D3764" i="33"/>
  <c r="D3608" i="33"/>
  <c r="J3036" i="33"/>
  <c r="G2974" i="33"/>
  <c r="G2987" i="33"/>
  <c r="L3650" i="33"/>
  <c r="L3663" i="33"/>
  <c r="L3668" i="33" s="1"/>
  <c r="L3670" i="33" s="1"/>
  <c r="I3816" i="33"/>
  <c r="D3026" i="33"/>
  <c r="D3039" i="33"/>
  <c r="J2464" i="33"/>
  <c r="D2675" i="33"/>
  <c r="D2662" i="33"/>
  <c r="K2662" i="33"/>
  <c r="K2675" i="33"/>
  <c r="C2360" i="33"/>
  <c r="D2984" i="33"/>
  <c r="F2620" i="33"/>
  <c r="E2360" i="33"/>
  <c r="F2672" i="33"/>
  <c r="E2558" i="33"/>
  <c r="E2571" i="33"/>
  <c r="F3078" i="33"/>
  <c r="F3091" i="33"/>
  <c r="L3556" i="33"/>
  <c r="L2935" i="33"/>
  <c r="L2922" i="33"/>
  <c r="E3764" i="33"/>
  <c r="F3088" i="33"/>
  <c r="F3764" i="33"/>
  <c r="G3140" i="33"/>
  <c r="I3650" i="33"/>
  <c r="I3663" i="33"/>
  <c r="I3668" i="33" s="1"/>
  <c r="I3670" i="33" s="1"/>
  <c r="G3286" i="33"/>
  <c r="G3299" i="33"/>
  <c r="H3507" i="33"/>
  <c r="H3512" i="33" s="1"/>
  <c r="H3514" i="33" s="1"/>
  <c r="H3494" i="33"/>
  <c r="H3338" i="33"/>
  <c r="H3351" i="33"/>
  <c r="D3598" i="33"/>
  <c r="D3611" i="33"/>
  <c r="J3182" i="33"/>
  <c r="J3195" i="33"/>
  <c r="F3504" i="33"/>
  <c r="E3452" i="33"/>
  <c r="D3806" i="33"/>
  <c r="D3819" i="33"/>
  <c r="I3442" i="33"/>
  <c r="I3455" i="33"/>
  <c r="K3712" i="33"/>
  <c r="D3663" i="33"/>
  <c r="D3668" i="33" s="1"/>
  <c r="D3670" i="33" s="1"/>
  <c r="D3650" i="33"/>
  <c r="J2662" i="33"/>
  <c r="J2675" i="33"/>
  <c r="H2883" i="33"/>
  <c r="H2870" i="33"/>
  <c r="L2724" i="33"/>
  <c r="E2828" i="33"/>
  <c r="J2623" i="33"/>
  <c r="J2610" i="33"/>
  <c r="J2831" i="33"/>
  <c r="J2818" i="33"/>
  <c r="L2672" i="33"/>
  <c r="J2516" i="33"/>
  <c r="D2818" i="33"/>
  <c r="D2831" i="33"/>
  <c r="L2467" i="33"/>
  <c r="L2454" i="33"/>
  <c r="C2880" i="33"/>
  <c r="H2922" i="33"/>
  <c r="H2935" i="33"/>
  <c r="I2880" i="33"/>
  <c r="J3286" i="33"/>
  <c r="J3299" i="33"/>
  <c r="K2412" i="33"/>
  <c r="I2724" i="33"/>
  <c r="K2519" i="33"/>
  <c r="K2506" i="33"/>
  <c r="C3390" i="33"/>
  <c r="C3403" i="33"/>
  <c r="H2880" i="33"/>
  <c r="C3088" i="33"/>
  <c r="J3039" i="33"/>
  <c r="J3026" i="33"/>
  <c r="E3091" i="33"/>
  <c r="E3078" i="33"/>
  <c r="L3608" i="33"/>
  <c r="G3816" i="33"/>
  <c r="C3348" i="33"/>
  <c r="H3452" i="33"/>
  <c r="F3348" i="33"/>
  <c r="F3702" i="33"/>
  <c r="F3715" i="33"/>
  <c r="H3764" i="33"/>
  <c r="J3078" i="33"/>
  <c r="J3091" i="33"/>
  <c r="L3819" i="33"/>
  <c r="L3824" i="33" s="1"/>
  <c r="L3826" i="33" s="1"/>
  <c r="L3806" i="33"/>
  <c r="F2516" i="33"/>
  <c r="D2360" i="33"/>
  <c r="H2415" i="33"/>
  <c r="H2402" i="33"/>
  <c r="F3039" i="33"/>
  <c r="F3026" i="33"/>
  <c r="G2402" i="33"/>
  <c r="G2415" i="33"/>
  <c r="F2568" i="33"/>
  <c r="D2467" i="33"/>
  <c r="D2454" i="33"/>
  <c r="C2506" i="33"/>
  <c r="C2519" i="33"/>
  <c r="I2828" i="33"/>
  <c r="G2672" i="33"/>
  <c r="G3234" i="33"/>
  <c r="G3247" i="33"/>
  <c r="C2724" i="33"/>
  <c r="L2880" i="33"/>
  <c r="K2984" i="33"/>
  <c r="I2412" i="33"/>
  <c r="G3754" i="33"/>
  <c r="G3767" i="33"/>
  <c r="E3504" i="33"/>
  <c r="C3598" i="33"/>
  <c r="C3611" i="33"/>
  <c r="F2870" i="33"/>
  <c r="F2883" i="33"/>
  <c r="F2932" i="33"/>
  <c r="G3819" i="33"/>
  <c r="G3824" i="33" s="1"/>
  <c r="G3826" i="33" s="1"/>
  <c r="G3806" i="33"/>
  <c r="H3143" i="33"/>
  <c r="H3130" i="33"/>
  <c r="G3338" i="33"/>
  <c r="G3351" i="33"/>
  <c r="E3712" i="33"/>
  <c r="H3660" i="33"/>
  <c r="J3143" i="33"/>
  <c r="J3130" i="33"/>
  <c r="G3088" i="33"/>
  <c r="I2984" i="33"/>
  <c r="H3140" i="33"/>
  <c r="G3192" i="33"/>
  <c r="C3559" i="33"/>
  <c r="C3546" i="33"/>
  <c r="L3088" i="33"/>
  <c r="L3296" i="33"/>
  <c r="J3819" i="33"/>
  <c r="J3806" i="33"/>
  <c r="E3244" i="33"/>
  <c r="C3195" i="33"/>
  <c r="C3182" i="33"/>
  <c r="I2519" i="33"/>
  <c r="I2506" i="33"/>
  <c r="L2519" i="33"/>
  <c r="L2506" i="33"/>
  <c r="H3039" i="33"/>
  <c r="H3026" i="33"/>
  <c r="L2776" i="33"/>
  <c r="G2727" i="33"/>
  <c r="G2714" i="33"/>
  <c r="K2672" i="33"/>
  <c r="J2568" i="33"/>
  <c r="D2870" i="33"/>
  <c r="D2883" i="33"/>
  <c r="F2506" i="33"/>
  <c r="F2519" i="33"/>
  <c r="E2402" i="33"/>
  <c r="E2415" i="33"/>
  <c r="F3403" i="33"/>
  <c r="F3390" i="33"/>
  <c r="D2464" i="33"/>
  <c r="L2363" i="33"/>
  <c r="L2350" i="33"/>
  <c r="J2727" i="33"/>
  <c r="J2714" i="33"/>
  <c r="K3182" i="33"/>
  <c r="K3195" i="33"/>
  <c r="J3556" i="33"/>
  <c r="D3767" i="33"/>
  <c r="D3754" i="33"/>
  <c r="H3806" i="33"/>
  <c r="H3819" i="33"/>
  <c r="H3824" i="33" s="1"/>
  <c r="H3826" i="33" s="1"/>
  <c r="G3091" i="33"/>
  <c r="G3078" i="33"/>
  <c r="D3036" i="33"/>
  <c r="I3819" i="33"/>
  <c r="I3806" i="33"/>
  <c r="L3244" i="33"/>
  <c r="H3400" i="33"/>
  <c r="J3660" i="33"/>
  <c r="J3754" i="33"/>
  <c r="J3767" i="33"/>
  <c r="G3296" i="33"/>
  <c r="K3234" i="33"/>
  <c r="K3247" i="33"/>
  <c r="C3286" i="33"/>
  <c r="C3299" i="33"/>
  <c r="E3806" i="33"/>
  <c r="E3819" i="33"/>
  <c r="E3824" i="33" s="1"/>
  <c r="E3826" i="33" s="1"/>
  <c r="J3452" i="33"/>
  <c r="L3712" i="33"/>
  <c r="G2350" i="33"/>
  <c r="G2363" i="33"/>
  <c r="K2776" i="33"/>
  <c r="H2363" i="33"/>
  <c r="H2350" i="33"/>
  <c r="F2776" i="33"/>
  <c r="C2883" i="33"/>
  <c r="C2870" i="33"/>
  <c r="G2932" i="33"/>
  <c r="J2467" i="33"/>
  <c r="J2454" i="33"/>
  <c r="K2620" i="33"/>
  <c r="G2568" i="33"/>
  <c r="G3130" i="33"/>
  <c r="G3143" i="33"/>
  <c r="F2623" i="33"/>
  <c r="F2610" i="33"/>
  <c r="D2363" i="33"/>
  <c r="D2350" i="33"/>
  <c r="H2672" i="33"/>
  <c r="J3296" i="33"/>
  <c r="G2870" i="33"/>
  <c r="G2883" i="33"/>
  <c r="D3494" i="33"/>
  <c r="D3507" i="33"/>
  <c r="D3512" i="33" s="1"/>
  <c r="D3514" i="33" s="1"/>
  <c r="F3611" i="33"/>
  <c r="F3598" i="33"/>
  <c r="I3130" i="33"/>
  <c r="I3143" i="33"/>
  <c r="K3192" i="33"/>
  <c r="L3546" i="33"/>
  <c r="L3559" i="33"/>
  <c r="L3564" i="33" s="1"/>
  <c r="L3566" i="33" s="1"/>
  <c r="F3234" i="33"/>
  <c r="F3247" i="33"/>
  <c r="H3650" i="33"/>
  <c r="H3663" i="33"/>
  <c r="C3400" i="33"/>
  <c r="J2984" i="33"/>
  <c r="L3494" i="33"/>
  <c r="L3507" i="33"/>
  <c r="L3512" i="33" s="1"/>
  <c r="L3514" i="33" s="1"/>
  <c r="H3078" i="33"/>
  <c r="H3091" i="33"/>
  <c r="J3598" i="33"/>
  <c r="J3611" i="33"/>
  <c r="J3616" i="33" s="1"/>
  <c r="J3618" i="33" s="1"/>
  <c r="L3504" i="33"/>
  <c r="C3702" i="33"/>
  <c r="C3715" i="33"/>
  <c r="L3442" i="33"/>
  <c r="L3455" i="33"/>
  <c r="H3702" i="33"/>
  <c r="H3715" i="33"/>
  <c r="H3720" i="33" s="1"/>
  <c r="H3722" i="33" s="1"/>
  <c r="G3663" i="33"/>
  <c r="G3650" i="33"/>
  <c r="J3663" i="33"/>
  <c r="J3650" i="33"/>
  <c r="K3400" i="33"/>
  <c r="J2350" i="33"/>
  <c r="J2363" i="33"/>
  <c r="K2818" i="33"/>
  <c r="K2831" i="33"/>
  <c r="E2776" i="33"/>
  <c r="H2974" i="33"/>
  <c r="H2987" i="33"/>
  <c r="L2779" i="33"/>
  <c r="L2766" i="33"/>
  <c r="J2412" i="33"/>
  <c r="E2350" i="33"/>
  <c r="E2363" i="33"/>
  <c r="K3299" i="33"/>
  <c r="K3286" i="33"/>
  <c r="L2558" i="33"/>
  <c r="L2571" i="33"/>
  <c r="D2620" i="33"/>
  <c r="L2662" i="33"/>
  <c r="L2675" i="33"/>
  <c r="E2714" i="33"/>
  <c r="E2727" i="33"/>
  <c r="E3611" i="33"/>
  <c r="E3616" i="33" s="1"/>
  <c r="E3618" i="33" s="1"/>
  <c r="E3598" i="33"/>
  <c r="C2516" i="33"/>
  <c r="C2467" i="33"/>
  <c r="C2454" i="33"/>
  <c r="G2675" i="33"/>
  <c r="G2662" i="33"/>
  <c r="L3598" i="33"/>
  <c r="L3611" i="33"/>
  <c r="F3351" i="33"/>
  <c r="F3338" i="33"/>
  <c r="I3403" i="33"/>
  <c r="I3390" i="33"/>
  <c r="F3559" i="33"/>
  <c r="F3564" i="33" s="1"/>
  <c r="F3566" i="33" s="1"/>
  <c r="F3546" i="33"/>
  <c r="G3452" i="33"/>
  <c r="G3559" i="33"/>
  <c r="G3564" i="33" s="1"/>
  <c r="G3566" i="33" s="1"/>
  <c r="G3546" i="33"/>
  <c r="E3715" i="33"/>
  <c r="E3720" i="33" s="1"/>
  <c r="E3722" i="33" s="1"/>
  <c r="E3702" i="33"/>
  <c r="K3816" i="33"/>
  <c r="I3660" i="33"/>
  <c r="E3650" i="33"/>
  <c r="E3663" i="33"/>
  <c r="K3442" i="33"/>
  <c r="K3455" i="33"/>
  <c r="D3504" i="33"/>
  <c r="C3026" i="33"/>
  <c r="C3039" i="33"/>
  <c r="L3702" i="33"/>
  <c r="L3715" i="33"/>
  <c r="L3720" i="33" s="1"/>
  <c r="L3722" i="33" s="1"/>
  <c r="I3559" i="33"/>
  <c r="I3564" i="33" s="1"/>
  <c r="I3566" i="33" s="1"/>
  <c r="I3546" i="33"/>
  <c r="J3247" i="33"/>
  <c r="J3234" i="33"/>
  <c r="H3559" i="33"/>
  <c r="H3546" i="33"/>
  <c r="C3192" i="33"/>
  <c r="E2519" i="33"/>
  <c r="E2506" i="33"/>
  <c r="I2935" i="33"/>
  <c r="I2922" i="33"/>
  <c r="C2828" i="33"/>
  <c r="K2935" i="33"/>
  <c r="K2922" i="33"/>
  <c r="K2987" i="33"/>
  <c r="K2974" i="33"/>
  <c r="C2779" i="33"/>
  <c r="C2766" i="33"/>
  <c r="F2714" i="33"/>
  <c r="F2727" i="33"/>
  <c r="I2870" i="33"/>
  <c r="I2883" i="33"/>
  <c r="C2571" i="33"/>
  <c r="C2558" i="33"/>
  <c r="E2831" i="33"/>
  <c r="E2818" i="33"/>
  <c r="E3234" i="33"/>
  <c r="E3247" i="33"/>
  <c r="F2724" i="33"/>
  <c r="J2828" i="33"/>
  <c r="G3244" i="33"/>
  <c r="K3504" i="33"/>
  <c r="E3754" i="33"/>
  <c r="E3767" i="33"/>
  <c r="E3772" i="33" s="1"/>
  <c r="E3774" i="33" s="1"/>
  <c r="K3767" i="33"/>
  <c r="K3772" i="33" s="1"/>
  <c r="K3774" i="33" s="1"/>
  <c r="K3754" i="33"/>
  <c r="J3715" i="33"/>
  <c r="J3702" i="33"/>
  <c r="D3130" i="33"/>
  <c r="D3143" i="33"/>
  <c r="F3182" i="33"/>
  <c r="F3195" i="33"/>
  <c r="H3403" i="33"/>
  <c r="H3390" i="33"/>
  <c r="C3140" i="33"/>
  <c r="C3806" i="33"/>
  <c r="C3819" i="33"/>
  <c r="C3663" i="33"/>
  <c r="C3650" i="33"/>
  <c r="C3351" i="33"/>
  <c r="C3338" i="33"/>
  <c r="I3611" i="33"/>
  <c r="I3616" i="33" s="1"/>
  <c r="I3618" i="33" s="1"/>
  <c r="I3598" i="33"/>
  <c r="H3455" i="33"/>
  <c r="H3442" i="33"/>
  <c r="L3338" i="33"/>
  <c r="L3351" i="33"/>
  <c r="I3182" i="33"/>
  <c r="I3195" i="33"/>
  <c r="C3036" i="33"/>
  <c r="C3712" i="33"/>
  <c r="I2672" i="33"/>
  <c r="J3390" i="33"/>
  <c r="J3403" i="33"/>
  <c r="H2620" i="33"/>
  <c r="J2415" i="33"/>
  <c r="J2402" i="33"/>
  <c r="E2516" i="33"/>
  <c r="G2558" i="33"/>
  <c r="G2571" i="33"/>
  <c r="E2724" i="33"/>
  <c r="E2922" i="33"/>
  <c r="E2935" i="33"/>
  <c r="E2675" i="33"/>
  <c r="E2662" i="33"/>
  <c r="D2412" i="33"/>
  <c r="H2727" i="33"/>
  <c r="H2714" i="33"/>
  <c r="L2516" i="33"/>
  <c r="H2818" i="33"/>
  <c r="H2831" i="33"/>
  <c r="C2620" i="33"/>
  <c r="F2350" i="33"/>
  <c r="F2363" i="33"/>
  <c r="I3091" i="33"/>
  <c r="I3078" i="33"/>
  <c r="I3767" i="33"/>
  <c r="I3772" i="33" s="1"/>
  <c r="I3774" i="33" s="1"/>
  <c r="I3754" i="33"/>
  <c r="D3455" i="33"/>
  <c r="D3442" i="33"/>
  <c r="K3598" i="33"/>
  <c r="K3611" i="33"/>
  <c r="K3616" i="33" s="1"/>
  <c r="K3618" i="33" s="1"/>
  <c r="E3348" i="33"/>
  <c r="F3400" i="33"/>
  <c r="F3299" i="33"/>
  <c r="F3286" i="33"/>
  <c r="G3764" i="33"/>
  <c r="E3494" i="33"/>
  <c r="E3507" i="33"/>
  <c r="E3512" i="33" s="1"/>
  <c r="E3514" i="33" s="1"/>
  <c r="D3702" i="33"/>
  <c r="D3715" i="33"/>
  <c r="I3039" i="33"/>
  <c r="I3026" i="33"/>
  <c r="I3715" i="33"/>
  <c r="I3702" i="33"/>
  <c r="D3078" i="33"/>
  <c r="D3091" i="33"/>
  <c r="J3192" i="33"/>
  <c r="E2084" i="33"/>
  <c r="I2090" i="33"/>
  <c r="I50" i="33"/>
  <c r="L2078" i="33"/>
  <c r="I54" i="33" s="1"/>
  <c r="L2090" i="33"/>
  <c r="I2084" i="33"/>
  <c r="K2084" i="33"/>
  <c r="J2084" i="33"/>
  <c r="H2084" i="33"/>
  <c r="G2084" i="33"/>
  <c r="D2084" i="33"/>
  <c r="C2084" i="33"/>
  <c r="H2090" i="33"/>
  <c r="J2090" i="33"/>
  <c r="C2090" i="33"/>
  <c r="G2090" i="33"/>
  <c r="K2090" i="33"/>
  <c r="F2084" i="33"/>
  <c r="D2090" i="33"/>
  <c r="E2090" i="33"/>
  <c r="F2090" i="33"/>
  <c r="L2084" i="33"/>
  <c r="M2926" i="33"/>
  <c r="M2562" i="33"/>
  <c r="M2510" i="33"/>
  <c r="M3706" i="33"/>
  <c r="M3290" i="33"/>
  <c r="M3030" i="33"/>
  <c r="M2666" i="33"/>
  <c r="M3550" i="33"/>
  <c r="M3186" i="33"/>
  <c r="M2822" i="33"/>
  <c r="M3342" i="33"/>
  <c r="M3446" i="33"/>
  <c r="M2458" i="33"/>
  <c r="M2978" i="33"/>
  <c r="M3082" i="33"/>
  <c r="M3602" i="33"/>
  <c r="M3238" i="33"/>
  <c r="M2718" i="33"/>
  <c r="M2354" i="33"/>
  <c r="M3758" i="33"/>
  <c r="M2874" i="33"/>
  <c r="M2614" i="33"/>
  <c r="M3394" i="33"/>
  <c r="M3498" i="33"/>
  <c r="M3654" i="33"/>
  <c r="M3134" i="33"/>
  <c r="M2770" i="33"/>
  <c r="M2406" i="33"/>
  <c r="M3810"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E23" i="37"/>
  <c r="EA23"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23" i="37"/>
  <c r="EB23"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25"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M3645" i="33"/>
  <c r="M3719" i="33"/>
  <c r="M3814" i="33"/>
  <c r="I3512" i="33"/>
  <c r="I3514" i="33" s="1"/>
  <c r="L3616" i="33"/>
  <c r="L3618" i="33" s="1"/>
  <c r="G3668" i="33"/>
  <c r="G3670" i="33" s="1"/>
  <c r="F3616" i="33"/>
  <c r="F3618" i="33" s="1"/>
  <c r="M3667" i="33"/>
  <c r="M3499" i="33"/>
  <c r="L3850" i="33"/>
  <c r="I88" i="33"/>
  <c r="G3772" i="33"/>
  <c r="G3774" i="33" s="1"/>
  <c r="M3823" i="33"/>
  <c r="M3596" i="33"/>
  <c r="J3668" i="33"/>
  <c r="J3670" i="33" s="1"/>
  <c r="F3720" i="33"/>
  <c r="F3722" i="33" s="1"/>
  <c r="G3720" i="33"/>
  <c r="G3722" i="33" s="1"/>
  <c r="I35" i="33"/>
  <c r="M3763" i="33"/>
  <c r="M3707" i="33"/>
  <c r="M3544" i="33"/>
  <c r="D3616" i="33"/>
  <c r="D3618" i="33" s="1"/>
  <c r="M3648" i="33"/>
  <c r="H3772" i="33"/>
  <c r="H3774" i="33" s="1"/>
  <c r="M3554" i="33"/>
  <c r="M3759" i="33"/>
  <c r="E3668" i="33"/>
  <c r="E3670" i="33" s="1"/>
  <c r="M3700" i="33"/>
  <c r="M3811" i="33"/>
  <c r="D3720" i="33"/>
  <c r="D3722" i="33" s="1"/>
  <c r="M3489" i="33"/>
  <c r="M3555" i="33"/>
  <c r="I3720" i="33"/>
  <c r="I3722" i="33" s="1"/>
  <c r="M3593" i="33"/>
  <c r="M3805" i="33"/>
  <c r="J3772" i="33"/>
  <c r="J3774" i="33" s="1"/>
  <c r="M3771" i="33"/>
  <c r="H3668" i="33"/>
  <c r="H3670" i="33" s="1"/>
  <c r="H3564" i="33"/>
  <c r="H3566" i="33" s="1"/>
  <c r="M3762" i="33"/>
  <c r="K3720" i="33"/>
  <c r="K3722" i="33" s="1"/>
  <c r="M3603" i="33"/>
  <c r="M3752" i="33"/>
  <c r="M3655" i="33"/>
  <c r="M3649" i="33"/>
  <c r="I53" i="33"/>
  <c r="M3749" i="33"/>
  <c r="M3822" i="33"/>
  <c r="I56" i="33"/>
  <c r="L2218" i="33"/>
  <c r="I57" i="33" s="1"/>
  <c r="M3503" i="33"/>
  <c r="M3510" i="33"/>
  <c r="M3551" i="33"/>
  <c r="M3597" i="33"/>
  <c r="M3615" i="33"/>
  <c r="M3718" i="33"/>
  <c r="M3697" i="33"/>
  <c r="M3753" i="33"/>
  <c r="I3824" i="33"/>
  <c r="I3826" i="33" s="1"/>
  <c r="J3824" i="33"/>
  <c r="J3826" i="33" s="1"/>
  <c r="M3801" i="33"/>
  <c r="D3564" i="33"/>
  <c r="D3566" i="33" s="1"/>
  <c r="M3563" i="33"/>
  <c r="M3658" i="33"/>
  <c r="E3564" i="33"/>
  <c r="E3566" i="33" s="1"/>
  <c r="M3606" i="33"/>
  <c r="M3492" i="33"/>
  <c r="M3541" i="33"/>
  <c r="J3720" i="33"/>
  <c r="J3722" i="33" s="1"/>
  <c r="M3562" i="33"/>
  <c r="M3545" i="33"/>
  <c r="M3502" i="33"/>
  <c r="M3607" i="33"/>
  <c r="M3666" i="33"/>
  <c r="M3659" i="33"/>
  <c r="F3512" i="33"/>
  <c r="F3514" i="33" s="1"/>
  <c r="M3614" i="33"/>
  <c r="D3772" i="33"/>
  <c r="D3774" i="33" s="1"/>
  <c r="D3824" i="33"/>
  <c r="D3826" i="33" s="1"/>
  <c r="M3815" i="33"/>
  <c r="I48" i="33"/>
  <c r="L1834" i="33"/>
  <c r="I49" i="33" s="1"/>
  <c r="M3770" i="33"/>
  <c r="M3711" i="33"/>
  <c r="M3710" i="33"/>
  <c r="L514" i="33"/>
  <c r="I22" i="33"/>
  <c r="F272" i="33"/>
  <c r="M977" i="33"/>
  <c r="M821" i="33"/>
  <c r="J1140" i="33"/>
  <c r="M769"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2301" i="33"/>
  <c r="M110" i="33"/>
  <c r="M2038" i="33"/>
  <c r="M561" i="33"/>
  <c r="M1222" i="33"/>
  <c r="M1637" i="33"/>
  <c r="M1985" i="33"/>
  <c r="M1273" i="33"/>
  <c r="M1585" i="33"/>
  <c r="M473" i="33"/>
  <c r="M666" i="33"/>
  <c r="M613" i="33"/>
  <c r="M213" i="33"/>
  <c r="M2177" i="33"/>
  <c r="M770" i="33"/>
  <c r="M318" i="33"/>
  <c r="M1133" i="33"/>
  <c r="M1534" i="33"/>
  <c r="M1326" i="33"/>
  <c r="M1638" i="33"/>
  <c r="M1586" i="33"/>
  <c r="M1986" i="33"/>
  <c r="M1741" i="33"/>
  <c r="M265" i="33"/>
  <c r="M1690" i="33"/>
  <c r="M266" i="33"/>
  <c r="M422" i="33"/>
  <c r="M1221" i="33"/>
  <c r="M2178" i="33"/>
  <c r="M1029" i="33"/>
  <c r="M162" i="33"/>
  <c r="M1377" i="33"/>
  <c r="M1481" i="33"/>
  <c r="M1429" i="33"/>
  <c r="M1325" i="33"/>
  <c r="D828" i="33"/>
  <c r="M1999" i="33"/>
  <c r="F1088" i="33"/>
  <c r="F1800" i="33"/>
  <c r="J1940" i="33"/>
  <c r="G428" i="33"/>
  <c r="G1696" i="33"/>
  <c r="J220" i="33"/>
  <c r="F828" i="33"/>
  <c r="L724" i="33"/>
  <c r="K1088" i="33"/>
  <c r="K2184" i="33"/>
  <c r="J1436" i="33"/>
  <c r="D568" i="33"/>
  <c r="E776" i="33"/>
  <c r="J776" i="33"/>
  <c r="D324" i="33"/>
  <c r="F1140" i="33"/>
  <c r="F220" i="33"/>
  <c r="F1592" i="33"/>
  <c r="D168" i="33"/>
  <c r="D376" i="33"/>
  <c r="H1488" i="33"/>
  <c r="F324" i="33"/>
  <c r="I1436" i="33"/>
  <c r="I1644" i="33"/>
  <c r="M1495" i="33"/>
  <c r="G1140" i="33"/>
  <c r="D1940" i="33"/>
  <c r="F2184" i="33"/>
  <c r="I1992" i="33"/>
  <c r="K480" i="33"/>
  <c r="D1488" i="33"/>
  <c r="G828" i="33"/>
  <c r="G1992" i="33"/>
  <c r="I376" i="33"/>
  <c r="K428" i="33"/>
  <c r="F1644" i="33"/>
  <c r="M330" i="33"/>
  <c r="G724" i="33"/>
  <c r="E480" i="33"/>
  <c r="E1748" i="33"/>
  <c r="M1546" i="33"/>
  <c r="K220" i="33"/>
  <c r="M2191" i="33"/>
  <c r="M983" i="33"/>
  <c r="L324" i="33"/>
  <c r="E1940" i="33"/>
  <c r="D2184" i="33"/>
  <c r="I2044" i="33"/>
  <c r="E1592" i="33"/>
  <c r="L2184" i="33"/>
  <c r="J1644" i="33"/>
  <c r="D1592" i="33"/>
  <c r="J1592" i="33"/>
  <c r="F168" i="33"/>
  <c r="J2184" i="33"/>
  <c r="M1138" i="33"/>
  <c r="J2044" i="33"/>
  <c r="M2190" i="33"/>
  <c r="K828" i="33"/>
  <c r="M567" i="33"/>
  <c r="H1540" i="33"/>
  <c r="I1088" i="33"/>
  <c r="E828" i="33"/>
  <c r="F568" i="33"/>
  <c r="M1650" i="33"/>
  <c r="M218" i="33"/>
  <c r="M427" i="33"/>
  <c r="K324" i="33"/>
  <c r="L376" i="33"/>
  <c r="M991" i="33"/>
  <c r="E272" i="33"/>
  <c r="K272" i="33"/>
  <c r="H1088" i="33"/>
  <c r="M382" i="33"/>
  <c r="L272" i="33"/>
  <c r="L480" i="33"/>
  <c r="H828" i="33"/>
  <c r="E1140" i="33"/>
  <c r="D1992" i="33"/>
  <c r="J1036" i="33"/>
  <c r="M973" i="33"/>
  <c r="E1992" i="33"/>
  <c r="L1748" i="33"/>
  <c r="L1540" i="33"/>
  <c r="H376" i="33"/>
  <c r="M1425" i="33"/>
  <c r="C275" i="33"/>
  <c r="C262" i="33"/>
  <c r="M257" i="33"/>
  <c r="L223" i="33"/>
  <c r="L228" i="33" s="1"/>
  <c r="L230" i="33" s="1"/>
  <c r="L210" i="33"/>
  <c r="J418" i="33"/>
  <c r="J431" i="33"/>
  <c r="J436" i="33" s="1"/>
  <c r="J438" i="33" s="1"/>
  <c r="M1691" i="33"/>
  <c r="C1696" i="33"/>
  <c r="M1935" i="33"/>
  <c r="C1940" i="33"/>
  <c r="H168" i="33"/>
  <c r="D428" i="33"/>
  <c r="M563" i="33"/>
  <c r="C568" i="33"/>
  <c r="G620" i="33"/>
  <c r="G831" i="33"/>
  <c r="G836" i="33" s="1"/>
  <c r="G838" i="33" s="1"/>
  <c r="G818" i="33"/>
  <c r="M1035"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I1332" i="33"/>
  <c r="M1598" i="33"/>
  <c r="M1746" i="33"/>
  <c r="M270" i="33"/>
  <c r="F610" i="33"/>
  <c r="F623" i="33"/>
  <c r="F628" i="33" s="1"/>
  <c r="F630" i="33" s="1"/>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D831" i="33"/>
  <c r="D836" i="33" s="1"/>
  <c r="D838" i="33" s="1"/>
  <c r="D818" i="33"/>
  <c r="M1076" i="33"/>
  <c r="H1332" i="33"/>
  <c r="F1748" i="33"/>
  <c r="E324" i="33"/>
  <c r="G1439" i="33"/>
  <c r="G1444" i="33" s="1"/>
  <c r="G1446" i="33" s="1"/>
  <c r="G1426" i="33"/>
  <c r="J1748" i="33"/>
  <c r="L1130" i="33"/>
  <c r="L1143" i="33"/>
  <c r="L1148" i="33" s="1"/>
  <c r="L1150" i="33" s="1"/>
  <c r="H2044" i="33"/>
  <c r="D1748" i="33"/>
  <c r="L1800" i="33"/>
  <c r="D724" i="33"/>
  <c r="M1494" i="33"/>
  <c r="D1582" i="33"/>
  <c r="D1595" i="33"/>
  <c r="D1600" i="33" s="1"/>
  <c r="D1602" i="33" s="1"/>
  <c r="M1754" i="33"/>
  <c r="L1992" i="33"/>
  <c r="G984" i="33"/>
  <c r="K1335" i="33"/>
  <c r="K1340" i="33" s="1"/>
  <c r="K1342" i="33" s="1"/>
  <c r="K1322" i="33"/>
  <c r="C1800" i="33"/>
  <c r="M1795" i="33"/>
  <c r="C1982" i="33"/>
  <c r="M1977" i="33"/>
  <c r="C1995"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M1998" i="33"/>
  <c r="I568" i="33"/>
  <c r="K779" i="33"/>
  <c r="K784" i="33" s="1"/>
  <c r="K786" i="33" s="1"/>
  <c r="K766" i="33"/>
  <c r="K974" i="33"/>
  <c r="K987" i="33"/>
  <c r="K992" i="33" s="1"/>
  <c r="K994" i="33" s="1"/>
  <c r="K1036" i="33"/>
  <c r="F1130" i="33"/>
  <c r="F1143" i="33"/>
  <c r="F1148" i="33" s="1"/>
  <c r="F1150" i="33" s="1"/>
  <c r="L1436" i="33"/>
  <c r="M1538" i="33"/>
  <c r="M1938" i="33"/>
  <c r="L2044" i="33"/>
  <c r="C327" i="33"/>
  <c r="C314" i="33"/>
  <c r="M309" i="33"/>
  <c r="G558" i="33"/>
  <c r="G571" i="33"/>
  <c r="M783" i="33"/>
  <c r="H984" i="33"/>
  <c r="G1039" i="33"/>
  <c r="G1044" i="33" s="1"/>
  <c r="G1046" i="33" s="1"/>
  <c r="G1026" i="33"/>
  <c r="I1140" i="33"/>
  <c r="C1088" i="33"/>
  <c r="M1083" i="33"/>
  <c r="K2044" i="33"/>
  <c r="F620" i="33"/>
  <c r="M2050" i="33"/>
  <c r="F1091" i="33"/>
  <c r="F1096" i="33" s="1"/>
  <c r="F1098" i="33" s="1"/>
  <c r="F1078" i="33"/>
  <c r="F776" i="33"/>
  <c r="M712" i="33"/>
  <c r="G1478" i="33"/>
  <c r="G1491" i="33"/>
  <c r="G1496" i="33" s="1"/>
  <c r="G1498" i="33" s="1"/>
  <c r="H623" i="33"/>
  <c r="H628" i="33" s="1"/>
  <c r="H630" i="33" s="1"/>
  <c r="H610" i="33"/>
  <c r="L779" i="33"/>
  <c r="L784" i="33" s="1"/>
  <c r="L786" i="33" s="1"/>
  <c r="L766" i="33"/>
  <c r="K1140"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M156" i="33"/>
  <c r="C376" i="33"/>
  <c r="M371" i="33"/>
  <c r="I171" i="33"/>
  <c r="I176" i="33" s="1"/>
  <c r="I178" i="33" s="1"/>
  <c r="I158" i="33"/>
  <c r="M374" i="33"/>
  <c r="J1595" i="33"/>
  <c r="J1600" i="33" s="1"/>
  <c r="J1602" i="33" s="1"/>
  <c r="J1582" i="33"/>
  <c r="M1643" i="33"/>
  <c r="H1543" i="33"/>
  <c r="H1548" i="33" s="1"/>
  <c r="H1550" i="33" s="1"/>
  <c r="H1530" i="33"/>
  <c r="J1439" i="33"/>
  <c r="J1444" i="33" s="1"/>
  <c r="J1446" i="33" s="1"/>
  <c r="J1426" i="33"/>
  <c r="D1543" i="33"/>
  <c r="D1548" i="33" s="1"/>
  <c r="D1550" i="33" s="1"/>
  <c r="D1530" i="33"/>
  <c r="D1738" i="33"/>
  <c r="D1751" i="33"/>
  <c r="D1756" i="33" s="1"/>
  <c r="D1758" i="33" s="1"/>
  <c r="I2174" i="33"/>
  <c r="I2187" i="33"/>
  <c r="I2192" i="33" s="1"/>
  <c r="I2194" i="33" s="1"/>
  <c r="L379" i="33"/>
  <c r="L384" i="33" s="1"/>
  <c r="L386" i="33" s="1"/>
  <c r="L366" i="33"/>
  <c r="L483" i="33"/>
  <c r="L488" i="33" s="1"/>
  <c r="L490" i="33" s="1"/>
  <c r="L470" i="33"/>
  <c r="M1331" i="33"/>
  <c r="C1644" i="33"/>
  <c r="M1639" i="33"/>
  <c r="E1582" i="33"/>
  <c r="E1595" i="33"/>
  <c r="E1600" i="33" s="1"/>
  <c r="E1602" i="33" s="1"/>
  <c r="I1699" i="33"/>
  <c r="I1704" i="33" s="1"/>
  <c r="I1706" i="33" s="1"/>
  <c r="I1686" i="33"/>
  <c r="M1330" i="33"/>
  <c r="C1436" i="33"/>
  <c r="D1699" i="33"/>
  <c r="D1704" i="33" s="1"/>
  <c r="D1706" i="33" s="1"/>
  <c r="D1686" i="33"/>
  <c r="E2047" i="33"/>
  <c r="E2052" i="33" s="1"/>
  <c r="E2054" i="33" s="1"/>
  <c r="E2034" i="33"/>
  <c r="L1803" i="33"/>
  <c r="L1808" i="33" s="1"/>
  <c r="L1810" i="33" s="1"/>
  <c r="L1790" i="33"/>
  <c r="E1995" i="33"/>
  <c r="E2000" i="33" s="1"/>
  <c r="E2002" i="33" s="1"/>
  <c r="E1982" i="33"/>
  <c r="M1129" i="33"/>
  <c r="E275" i="33"/>
  <c r="E280" i="33" s="1"/>
  <c r="E282" i="33" s="1"/>
  <c r="E262" i="33"/>
  <c r="I470" i="33"/>
  <c r="I483" i="33"/>
  <c r="I488" i="33" s="1"/>
  <c r="I490" i="33" s="1"/>
  <c r="J324" i="33"/>
  <c r="J1088" i="33"/>
  <c r="F1332" i="33"/>
  <c r="J1647" i="33"/>
  <c r="J1652" i="33" s="1"/>
  <c r="J1654" i="33" s="1"/>
  <c r="J1634" i="33"/>
  <c r="L1491" i="33"/>
  <c r="L1496" i="33" s="1"/>
  <c r="L1498" i="33" s="1"/>
  <c r="L1478" i="33"/>
  <c r="G1644" i="33"/>
  <c r="I2034" i="33"/>
  <c r="I2047" i="33"/>
  <c r="I2052" i="33" s="1"/>
  <c r="I2054" i="33" s="1"/>
  <c r="L2034" i="33"/>
  <c r="L2047" i="33"/>
  <c r="L2052" i="33" s="1"/>
  <c r="L2054" i="33" s="1"/>
  <c r="F1696" i="33"/>
  <c r="F2044" i="33"/>
  <c r="E2174" i="33"/>
  <c r="E2187" i="33"/>
  <c r="E2192" i="33" s="1"/>
  <c r="E2194" i="33" s="1"/>
  <c r="E171" i="33"/>
  <c r="E176" i="33" s="1"/>
  <c r="E178" i="33" s="1"/>
  <c r="E158" i="33"/>
  <c r="E727" i="33"/>
  <c r="E732" i="33" s="1"/>
  <c r="E734" i="33" s="1"/>
  <c r="E714" i="33"/>
  <c r="G376" i="33"/>
  <c r="I1478" i="33"/>
  <c r="I1491" i="33"/>
  <c r="I1496" i="33" s="1"/>
  <c r="I1498" i="33" s="1"/>
  <c r="E1439" i="33"/>
  <c r="E1444" i="33" s="1"/>
  <c r="E1446" i="33" s="1"/>
  <c r="E1426" i="33"/>
  <c r="M1980" i="33"/>
  <c r="M1684" i="33"/>
  <c r="K1992" i="33"/>
  <c r="M2172" i="33"/>
  <c r="M157" i="33"/>
  <c r="M261" i="33"/>
  <c r="M1737" i="33"/>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G779" i="33"/>
  <c r="G784" i="33" s="1"/>
  <c r="G786" i="33" s="1"/>
  <c r="G766" i="33"/>
  <c r="C776" i="33"/>
  <c r="M771" i="33"/>
  <c r="M979" i="33"/>
  <c r="C984" i="33"/>
  <c r="G1130" i="33"/>
  <c r="G1143" i="33"/>
  <c r="G1148" i="33" s="1"/>
  <c r="G1150" i="33" s="1"/>
  <c r="C1699" i="33"/>
  <c r="C1686" i="33"/>
  <c r="M1681" i="33"/>
  <c r="F1803" i="33"/>
  <c r="F1808" i="33" s="1"/>
  <c r="F1810" i="33" s="1"/>
  <c r="F1790" i="33"/>
  <c r="K1995" i="33"/>
  <c r="K2000" i="33" s="1"/>
  <c r="K2002" i="33" s="1"/>
  <c r="K1982" i="33"/>
  <c r="H171" i="33"/>
  <c r="H176" i="33" s="1"/>
  <c r="H178" i="33" s="1"/>
  <c r="H158" i="33"/>
  <c r="C158" i="33"/>
  <c r="M153" i="33"/>
  <c r="C171" i="33"/>
  <c r="M226" i="33"/>
  <c r="C366" i="33"/>
  <c r="M361" i="33"/>
  <c r="C379" i="33"/>
  <c r="J1686" i="33"/>
  <c r="J1699" i="33"/>
  <c r="J1704" i="33" s="1"/>
  <c r="J1706" i="33" s="1"/>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K1803" i="33"/>
  <c r="K1808" i="33" s="1"/>
  <c r="K1810" i="33" s="1"/>
  <c r="K1790" i="33"/>
  <c r="G327" i="33"/>
  <c r="G332" i="33" s="1"/>
  <c r="G334" i="33" s="1"/>
  <c r="G314" i="33"/>
  <c r="M1338" i="33"/>
  <c r="M1535" i="33"/>
  <c r="C1540" i="33"/>
  <c r="M990" i="33"/>
  <c r="F1026" i="33"/>
  <c r="F1039" i="33"/>
  <c r="F1044" i="33" s="1"/>
  <c r="F1046" i="33" s="1"/>
  <c r="C1143" i="33"/>
  <c r="C1130" i="33"/>
  <c r="M1125" i="33"/>
  <c r="E1332" i="33"/>
  <c r="M1702" i="33"/>
  <c r="M1747" i="33"/>
  <c r="K1930" i="33"/>
  <c r="K1943" i="33"/>
  <c r="K1948" i="33" s="1"/>
  <c r="K1950" i="33" s="1"/>
  <c r="M322" i="33"/>
  <c r="C483" i="33"/>
  <c r="C470" i="33"/>
  <c r="M465" i="33"/>
  <c r="M834" i="33"/>
  <c r="M1146" i="33"/>
  <c r="H1592" i="33"/>
  <c r="M1798" i="33"/>
  <c r="M426" i="33"/>
  <c r="E568" i="33"/>
  <c r="E1036" i="33"/>
  <c r="M1539" i="33"/>
  <c r="M1694" i="33"/>
  <c r="C828" i="33"/>
  <c r="M823" i="33"/>
  <c r="G2047" i="33"/>
  <c r="G2052" i="33" s="1"/>
  <c r="G2054" i="33" s="1"/>
  <c r="G2034" i="33"/>
  <c r="F1036" i="33"/>
  <c r="F727" i="33"/>
  <c r="F732" i="33" s="1"/>
  <c r="F734" i="33" s="1"/>
  <c r="F714" i="33"/>
  <c r="I1130" i="33"/>
  <c r="I1143" i="33"/>
  <c r="I1148" i="33" s="1"/>
  <c r="I1150" i="33" s="1"/>
  <c r="I831" i="33"/>
  <c r="I836" i="33" s="1"/>
  <c r="I838" i="33" s="1"/>
  <c r="I818" i="33"/>
  <c r="G483" i="33"/>
  <c r="G488" i="33" s="1"/>
  <c r="G490" i="33" s="1"/>
  <c r="G470" i="33"/>
  <c r="M1042" i="33"/>
  <c r="K1540" i="33"/>
  <c r="L1644" i="33"/>
  <c r="K379" i="33"/>
  <c r="K384" i="33" s="1"/>
  <c r="K386" i="33" s="1"/>
  <c r="K366" i="33"/>
  <c r="I480" i="33"/>
  <c r="L568" i="33"/>
  <c r="K776" i="33"/>
  <c r="K984" i="33"/>
  <c r="I1488" i="33"/>
  <c r="I1748" i="33"/>
  <c r="G568" i="33"/>
  <c r="M730" i="33"/>
  <c r="G1036" i="33"/>
  <c r="L1140" i="33"/>
  <c r="K1751" i="33"/>
  <c r="K1756" i="33" s="1"/>
  <c r="K1758" i="33" s="1"/>
  <c r="K1738" i="33"/>
  <c r="M1990" i="33"/>
  <c r="M2183" i="33"/>
  <c r="M835" i="33"/>
  <c r="E2044" i="33"/>
  <c r="E779" i="33"/>
  <c r="E784" i="33" s="1"/>
  <c r="E786" i="33" s="1"/>
  <c r="E766" i="33"/>
  <c r="M827" i="33"/>
  <c r="E1078" i="33"/>
  <c r="E1091" i="33"/>
  <c r="E1096" i="33" s="1"/>
  <c r="E1098" i="33" s="1"/>
  <c r="G1530" i="33"/>
  <c r="G1543" i="33"/>
  <c r="G1548" i="33" s="1"/>
  <c r="G1550" i="33" s="1"/>
  <c r="K1699" i="33"/>
  <c r="K1704" i="33" s="1"/>
  <c r="K1706" i="33" s="1"/>
  <c r="K1686" i="33"/>
  <c r="G1943" i="33"/>
  <c r="G1948" i="33" s="1"/>
  <c r="G1950" i="33" s="1"/>
  <c r="G1930" i="33"/>
  <c r="G379" i="33"/>
  <c r="G384" i="33" s="1"/>
  <c r="G386" i="33" s="1"/>
  <c r="G366" i="33"/>
  <c r="L620" i="33"/>
  <c r="H776" i="33"/>
  <c r="K818" i="33"/>
  <c r="K831" i="33"/>
  <c r="K836" i="33" s="1"/>
  <c r="K838" i="33" s="1"/>
  <c r="K1091" i="33"/>
  <c r="K1096" i="33" s="1"/>
  <c r="K1098" i="33" s="1"/>
  <c r="K1078" i="33"/>
  <c r="G2184" i="33"/>
  <c r="L1039" i="33"/>
  <c r="L1044" i="33" s="1"/>
  <c r="L1046" i="33" s="1"/>
  <c r="L1026" i="33"/>
  <c r="M2042" i="33"/>
  <c r="H779" i="33"/>
  <c r="H784" i="33" s="1"/>
  <c r="H786" i="33" s="1"/>
  <c r="H766" i="33"/>
  <c r="H2184"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F1982" i="33"/>
  <c r="F1995" i="33"/>
  <c r="F2000" i="33" s="1"/>
  <c r="F2002" i="33" s="1"/>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M1599" i="33"/>
  <c r="I1543" i="33"/>
  <c r="I1548" i="33" s="1"/>
  <c r="I1550" i="33" s="1"/>
  <c r="I1530" i="33"/>
  <c r="H1647" i="33"/>
  <c r="H1652" i="33" s="1"/>
  <c r="H1654" i="33" s="1"/>
  <c r="H1634" i="33"/>
  <c r="L1751" i="33"/>
  <c r="L1756" i="33" s="1"/>
  <c r="L1758" i="33" s="1"/>
  <c r="L1738" i="33"/>
  <c r="H1751" i="33"/>
  <c r="H1756" i="33" s="1"/>
  <c r="H1758" i="33" s="1"/>
  <c r="H1738" i="33"/>
  <c r="M365" i="33"/>
  <c r="M1581" i="33"/>
  <c r="M1077" i="33"/>
  <c r="L987" i="33"/>
  <c r="L992" i="33" s="1"/>
  <c r="L994" i="33" s="1"/>
  <c r="L974" i="33"/>
  <c r="C1332" i="33"/>
  <c r="M1327" i="33"/>
  <c r="I1634" i="33"/>
  <c r="I1647" i="33"/>
  <c r="I1652" i="33" s="1"/>
  <c r="I1654" i="33" s="1"/>
  <c r="E1491" i="33"/>
  <c r="E1496" i="33" s="1"/>
  <c r="E1498" i="33" s="1"/>
  <c r="E1478" i="33"/>
  <c r="J1335" i="33"/>
  <c r="J1340" i="33" s="1"/>
  <c r="J1342" i="33" s="1"/>
  <c r="J1322" i="33"/>
  <c r="I1426" i="33"/>
  <c r="I1439" i="33"/>
  <c r="I1444" i="33" s="1"/>
  <c r="I1446" i="33" s="1"/>
  <c r="K1488" i="33"/>
  <c r="F1488" i="33"/>
  <c r="I1595" i="33"/>
  <c r="I1600" i="33" s="1"/>
  <c r="I1602" i="33" s="1"/>
  <c r="I1582" i="33"/>
  <c r="M1876" i="33"/>
  <c r="M1928" i="33"/>
  <c r="D1982" i="33"/>
  <c r="D1995" i="33"/>
  <c r="D2000" i="33" s="1"/>
  <c r="D2002" i="33" s="1"/>
  <c r="M1736" i="33"/>
  <c r="M313" i="33"/>
  <c r="M765" i="33"/>
  <c r="M2033" i="33"/>
  <c r="M2173" i="33"/>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M1320" i="33"/>
  <c r="E1803" i="33"/>
  <c r="E1808" i="33" s="1"/>
  <c r="E1810" i="33" s="1"/>
  <c r="E1790" i="33"/>
  <c r="I1803" i="33"/>
  <c r="I1808" i="33" s="1"/>
  <c r="I1810" i="33" s="1"/>
  <c r="I1790" i="33"/>
  <c r="L1943" i="33"/>
  <c r="L1948" i="33" s="1"/>
  <c r="L1950" i="33" s="1"/>
  <c r="L1930" i="33"/>
  <c r="H220" i="33"/>
  <c r="K262" i="33"/>
  <c r="K275" i="33"/>
  <c r="K280" i="33" s="1"/>
  <c r="K282" i="33" s="1"/>
  <c r="F210" i="33"/>
  <c r="F223" i="33"/>
  <c r="F228" i="33" s="1"/>
  <c r="F230" i="33" s="1"/>
  <c r="K483" i="33"/>
  <c r="K488" i="33" s="1"/>
  <c r="K490" i="33" s="1"/>
  <c r="K470" i="33"/>
  <c r="M618" i="33"/>
  <c r="D776" i="33"/>
  <c r="D984" i="33"/>
  <c r="M1431" i="33"/>
  <c r="D1436" i="33"/>
  <c r="D620" i="33"/>
  <c r="H1940" i="33"/>
  <c r="K568" i="33"/>
  <c r="E168" i="33"/>
  <c r="C272" i="33"/>
  <c r="M267" i="33"/>
  <c r="M205" i="33"/>
  <c r="C223" i="33"/>
  <c r="C210" i="33"/>
  <c r="M271" i="33"/>
  <c r="K727" i="33"/>
  <c r="K732" i="33" s="1"/>
  <c r="K734" i="33" s="1"/>
  <c r="K714" i="33"/>
  <c r="M813" i="33"/>
  <c r="C818" i="33"/>
  <c r="C831" i="33"/>
  <c r="C1748" i="33"/>
  <c r="M1743" i="33"/>
  <c r="L1036" i="33"/>
  <c r="M1034" i="33"/>
  <c r="L168" i="33"/>
  <c r="J210" i="33"/>
  <c r="J223" i="33"/>
  <c r="J228" i="33" s="1"/>
  <c r="J230" i="33" s="1"/>
  <c r="M174" i="33"/>
  <c r="C571" i="33"/>
  <c r="C558" i="33"/>
  <c r="M553" i="33"/>
  <c r="M627" i="33"/>
  <c r="I428" i="33"/>
  <c r="M487" i="33"/>
  <c r="H724" i="33"/>
  <c r="K1647" i="33"/>
  <c r="K1652" i="33" s="1"/>
  <c r="K1654" i="33" s="1"/>
  <c r="K1634" i="33"/>
  <c r="H324" i="33"/>
  <c r="K558" i="33"/>
  <c r="K571" i="33"/>
  <c r="M1094" i="33"/>
  <c r="I1940" i="33"/>
  <c r="F275" i="33"/>
  <c r="F280" i="33" s="1"/>
  <c r="F282" i="33" s="1"/>
  <c r="F262" i="33"/>
  <c r="K168" i="33"/>
  <c r="I272" i="33"/>
  <c r="G171" i="33"/>
  <c r="G176" i="33" s="1"/>
  <c r="G178" i="33" s="1"/>
  <c r="G158" i="33"/>
  <c r="M227" i="33"/>
  <c r="M413" i="33"/>
  <c r="C431" i="33"/>
  <c r="C418" i="33"/>
  <c r="J558" i="33"/>
  <c r="J571" i="33"/>
  <c r="E724" i="33"/>
  <c r="H1140" i="33"/>
  <c r="I1592" i="33"/>
  <c r="D1696" i="33"/>
  <c r="G1751" i="33"/>
  <c r="G1756" i="33" s="1"/>
  <c r="G1758" i="33" s="1"/>
  <c r="G1738" i="33"/>
  <c r="G262" i="33"/>
  <c r="G275" i="33"/>
  <c r="G280" i="33" s="1"/>
  <c r="G282" i="33" s="1"/>
  <c r="J1130" i="33"/>
  <c r="J1143" i="33"/>
  <c r="J1148" i="33" s="1"/>
  <c r="J1150" i="33" s="1"/>
  <c r="E376" i="33"/>
  <c r="J470" i="33"/>
  <c r="J483" i="33"/>
  <c r="J488" i="33" s="1"/>
  <c r="J490" i="33" s="1"/>
  <c r="M626" i="33"/>
  <c r="L776" i="33"/>
  <c r="L984" i="33"/>
  <c r="M615" i="33"/>
  <c r="C620" i="33"/>
  <c r="D1332" i="33"/>
  <c r="D1540" i="33"/>
  <c r="K1940" i="33"/>
  <c r="M1547" i="33"/>
  <c r="M1947" i="33"/>
  <c r="H568" i="33"/>
  <c r="K610" i="33"/>
  <c r="K623" i="33"/>
  <c r="K628" i="33" s="1"/>
  <c r="K630" i="33" s="1"/>
  <c r="H1036" i="33"/>
  <c r="E1488" i="33"/>
  <c r="C1647" i="33"/>
  <c r="C1634" i="33"/>
  <c r="M1629" i="33"/>
  <c r="M1939" i="33"/>
  <c r="L1091" i="33"/>
  <c r="L1096" i="33" s="1"/>
  <c r="L1098" i="33" s="1"/>
  <c r="L1078" i="33"/>
  <c r="G2044" i="33"/>
  <c r="I2184" i="33"/>
  <c r="J828" i="33"/>
  <c r="K2187" i="33"/>
  <c r="K2192" i="33" s="1"/>
  <c r="K2194" i="33" s="1"/>
  <c r="K2174" i="33"/>
  <c r="C2047" i="33"/>
  <c r="C2034" i="33"/>
  <c r="M2029" i="33"/>
  <c r="G480" i="33"/>
  <c r="D1140"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G1995" i="33"/>
  <c r="G2000" i="33" s="1"/>
  <c r="G2002" i="33" s="1"/>
  <c r="G1982" i="33"/>
  <c r="M435" i="33"/>
  <c r="E620" i="33"/>
  <c r="I776" i="33"/>
  <c r="H831" i="33"/>
  <c r="H836" i="33" s="1"/>
  <c r="H838" i="33" s="1"/>
  <c r="H818" i="33"/>
  <c r="E1088" i="33"/>
  <c r="C1543" i="33"/>
  <c r="C1530" i="33"/>
  <c r="M1525" i="33"/>
  <c r="E1644" i="33"/>
  <c r="M1703" i="33"/>
  <c r="K1748" i="33"/>
  <c r="J1790" i="33"/>
  <c r="J1803" i="33"/>
  <c r="J1808" i="33" s="1"/>
  <c r="J1810" i="33" s="1"/>
  <c r="M1095" i="33"/>
  <c r="I779" i="33"/>
  <c r="I784" i="33" s="1"/>
  <c r="I786" i="33" s="1"/>
  <c r="I766" i="33"/>
  <c r="D2044" i="33"/>
  <c r="D779" i="33"/>
  <c r="D784" i="33" s="1"/>
  <c r="D786" i="33" s="1"/>
  <c r="D766" i="33"/>
  <c r="J2034" i="33"/>
  <c r="J2047" i="33"/>
  <c r="J2052" i="33" s="1"/>
  <c r="J2054" i="33" s="1"/>
  <c r="M826" i="33"/>
  <c r="K1439" i="33"/>
  <c r="K1444" i="33" s="1"/>
  <c r="K1446" i="33" s="1"/>
  <c r="K1426" i="33"/>
  <c r="G1540" i="33"/>
  <c r="K1696" i="33"/>
  <c r="E1800" i="33"/>
  <c r="G1940" i="33"/>
  <c r="D431" i="33"/>
  <c r="D436" i="33" s="1"/>
  <c r="D438" i="33" s="1"/>
  <c r="D418" i="33"/>
  <c r="M486" i="33"/>
  <c r="M575" i="33"/>
  <c r="I724" i="33"/>
  <c r="M1043" i="33"/>
  <c r="D1800" i="33"/>
  <c r="J1930" i="33"/>
  <c r="J1943" i="33"/>
  <c r="J1948" i="33" s="1"/>
  <c r="J1950" i="33" s="1"/>
  <c r="J620" i="33"/>
  <c r="M731" i="33"/>
  <c r="I571" i="33"/>
  <c r="I558" i="33"/>
  <c r="F724" i="33"/>
  <c r="H483" i="33"/>
  <c r="H488" i="33" s="1"/>
  <c r="H490" i="33" s="1"/>
  <c r="H470" i="33"/>
  <c r="M208" i="33"/>
  <c r="H379" i="33"/>
  <c r="H384" i="33" s="1"/>
  <c r="H386" i="33" s="1"/>
  <c r="H366" i="33"/>
  <c r="M1434" i="33"/>
  <c r="E1543" i="33"/>
  <c r="E1548" i="33" s="1"/>
  <c r="E1550" i="33" s="1"/>
  <c r="E1530" i="33"/>
  <c r="F1595" i="33"/>
  <c r="F1600" i="33" s="1"/>
  <c r="F1602" i="33" s="1"/>
  <c r="F1582" i="33"/>
  <c r="C1992" i="33"/>
  <c r="M1987"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L1995" i="33"/>
  <c r="L2000" i="33" s="1"/>
  <c r="L2002" i="33" s="1"/>
  <c r="L1982" i="33"/>
  <c r="D2047" i="33"/>
  <c r="D2052" i="33" s="1"/>
  <c r="D2054" i="33" s="1"/>
  <c r="D2034" i="33"/>
  <c r="M2032" i="33"/>
  <c r="M1981" i="33"/>
  <c r="M1529" i="33"/>
  <c r="E483" i="33"/>
  <c r="E488" i="33" s="1"/>
  <c r="E490" i="33" s="1"/>
  <c r="E470" i="33"/>
  <c r="J272" i="33"/>
  <c r="D1491" i="33"/>
  <c r="D1496" i="33" s="1"/>
  <c r="D1498" i="33" s="1"/>
  <c r="D1478" i="33"/>
  <c r="K1644" i="33"/>
  <c r="J1488" i="33"/>
  <c r="M1580" i="33"/>
  <c r="K1436" i="33"/>
  <c r="M1591" i="33"/>
  <c r="L1686" i="33"/>
  <c r="L1699" i="33"/>
  <c r="L1704" i="33" s="1"/>
  <c r="L1706" i="33" s="1"/>
  <c r="H1995" i="33"/>
  <c r="H2000" i="33" s="1"/>
  <c r="H2002" i="33" s="1"/>
  <c r="H1982" i="33"/>
  <c r="F1992" i="33"/>
  <c r="J1982" i="33"/>
  <c r="J1995" i="33"/>
  <c r="J2000" i="33" s="1"/>
  <c r="J2002" i="33" s="1"/>
  <c r="M1025" i="33"/>
  <c r="M260" i="33"/>
  <c r="E210" i="33"/>
  <c r="E223" i="33"/>
  <c r="E228" i="33" s="1"/>
  <c r="E230" i="33" s="1"/>
  <c r="J428" i="33"/>
  <c r="H1335" i="33"/>
  <c r="H1340" i="33" s="1"/>
  <c r="H1342" i="33" s="1"/>
  <c r="H1322" i="33"/>
  <c r="G1436" i="33"/>
  <c r="E1540" i="33"/>
  <c r="M1642" i="33"/>
  <c r="H1491" i="33"/>
  <c r="H1496" i="33" s="1"/>
  <c r="H1498" i="33" s="1"/>
  <c r="H1478" i="33"/>
  <c r="E1751" i="33"/>
  <c r="E1756" i="33" s="1"/>
  <c r="E1758" i="33" s="1"/>
  <c r="E1738" i="33"/>
  <c r="M869" i="33"/>
  <c r="L275" i="33"/>
  <c r="L280" i="33" s="1"/>
  <c r="L282" i="33" s="1"/>
  <c r="L262" i="33"/>
  <c r="M175" i="33"/>
  <c r="F158" i="33"/>
  <c r="F171" i="33"/>
  <c r="F176" i="33" s="1"/>
  <c r="F178" i="33" s="1"/>
  <c r="H727" i="33"/>
  <c r="H732" i="33" s="1"/>
  <c r="H734" i="33" s="1"/>
  <c r="H714" i="33"/>
  <c r="M775"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G776" i="33"/>
  <c r="C1478" i="33"/>
  <c r="M1473" i="33"/>
  <c r="C1491" i="33"/>
  <c r="C1790" i="33"/>
  <c r="M1785" i="33"/>
  <c r="C1803" i="33"/>
  <c r="G223" i="33"/>
  <c r="G228" i="33" s="1"/>
  <c r="G230" i="33" s="1"/>
  <c r="G210" i="33"/>
  <c r="D275" i="33"/>
  <c r="D280" i="33" s="1"/>
  <c r="D282" i="33" s="1"/>
  <c r="D262" i="33"/>
  <c r="F327" i="33"/>
  <c r="F332" i="33" s="1"/>
  <c r="F334" i="33" s="1"/>
  <c r="F314" i="33"/>
  <c r="C766" i="33"/>
  <c r="M761" i="33"/>
  <c r="C779" i="33"/>
  <c r="C987" i="33"/>
  <c r="C974" i="33"/>
  <c r="M969" i="33"/>
  <c r="M1031" i="33"/>
  <c r="C1036" i="33"/>
  <c r="M1421" i="33"/>
  <c r="C1439" i="33"/>
  <c r="C1426" i="33"/>
  <c r="M619" i="33"/>
  <c r="M1135" i="33"/>
  <c r="C1140" i="33"/>
  <c r="M475" i="33"/>
  <c r="C480" i="33"/>
  <c r="L623" i="33"/>
  <c r="L628" i="33" s="1"/>
  <c r="L630" i="33" s="1"/>
  <c r="L610" i="33"/>
  <c r="J2174" i="33"/>
  <c r="J2187" i="33"/>
  <c r="J2192" i="33" s="1"/>
  <c r="J2194" i="33" s="1"/>
  <c r="H223" i="33"/>
  <c r="H228" i="33" s="1"/>
  <c r="H230" i="33" s="1"/>
  <c r="H210" i="33"/>
  <c r="G168" i="33"/>
  <c r="D220" i="33"/>
  <c r="I220" i="33"/>
  <c r="D272" i="33"/>
  <c r="J480" i="33"/>
  <c r="D610" i="33"/>
  <c r="D623" i="33"/>
  <c r="D628" i="33" s="1"/>
  <c r="D630" i="33" s="1"/>
  <c r="J779" i="33"/>
  <c r="J784" i="33" s="1"/>
  <c r="J786" i="33" s="1"/>
  <c r="J766" i="33"/>
  <c r="J974" i="33"/>
  <c r="J987" i="33"/>
  <c r="J992" i="33" s="1"/>
  <c r="J994" i="33" s="1"/>
  <c r="L1335" i="33"/>
  <c r="L1340" i="33" s="1"/>
  <c r="L1342" i="33" s="1"/>
  <c r="L1322" i="33"/>
  <c r="M1695" i="33"/>
  <c r="G1748" i="33"/>
  <c r="L1940" i="33"/>
  <c r="G272" i="33"/>
  <c r="F418" i="33"/>
  <c r="F431" i="33"/>
  <c r="F436" i="33" s="1"/>
  <c r="F438" i="33" s="1"/>
  <c r="E428" i="33"/>
  <c r="I828" i="33"/>
  <c r="I1036" i="33"/>
  <c r="G1800" i="33"/>
  <c r="H1039" i="33"/>
  <c r="H1044" i="33" s="1"/>
  <c r="H1046" i="33" s="1"/>
  <c r="H1026" i="33"/>
  <c r="H480" i="33"/>
  <c r="F558" i="33"/>
  <c r="F571" i="33"/>
  <c r="F779" i="33"/>
  <c r="F784" i="33" s="1"/>
  <c r="F786" i="33" s="1"/>
  <c r="F766" i="33"/>
  <c r="C1091" i="33"/>
  <c r="C1078" i="33"/>
  <c r="M1073" i="33"/>
  <c r="M1442" i="33"/>
  <c r="I1800" i="33"/>
  <c r="M323" i="33"/>
  <c r="K620" i="33"/>
  <c r="L727" i="33"/>
  <c r="L732" i="33" s="1"/>
  <c r="L734" i="33" s="1"/>
  <c r="L714" i="33"/>
  <c r="M774" i="33"/>
  <c r="G987" i="33"/>
  <c r="G992" i="33" s="1"/>
  <c r="G994" i="33" s="1"/>
  <c r="G974" i="33"/>
  <c r="L1488" i="33"/>
  <c r="E818" i="33"/>
  <c r="E831" i="33"/>
  <c r="E836" i="33" s="1"/>
  <c r="E838" i="33" s="1"/>
  <c r="M764" i="33"/>
  <c r="M556" i="33"/>
  <c r="C2174" i="33"/>
  <c r="M2169" i="33"/>
  <c r="C2187" i="33"/>
  <c r="M1087" i="33"/>
  <c r="H571" i="33"/>
  <c r="H558" i="33"/>
  <c r="H987" i="33"/>
  <c r="H992" i="33" s="1"/>
  <c r="H994" i="33" s="1"/>
  <c r="H974" i="33"/>
  <c r="J727" i="33"/>
  <c r="J732" i="33" s="1"/>
  <c r="J734" i="33" s="1"/>
  <c r="J714" i="33"/>
  <c r="L558" i="33"/>
  <c r="L571" i="33"/>
  <c r="G1088" i="33"/>
  <c r="J568" i="33"/>
  <c r="F2174" i="33"/>
  <c r="F2187" i="33"/>
  <c r="F2192" i="33" s="1"/>
  <c r="F2194" i="33" s="1"/>
  <c r="D1026" i="33"/>
  <c r="D1039" i="33"/>
  <c r="D1044" i="33" s="1"/>
  <c r="D1046" i="33" s="1"/>
  <c r="M1128" i="33"/>
  <c r="F480" i="33"/>
  <c r="M574" i="33"/>
  <c r="M782" i="33"/>
  <c r="M1139"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D1644" i="33"/>
  <c r="M1925" i="33"/>
  <c r="C1943" i="33"/>
  <c r="C1930" i="33"/>
  <c r="M2182" i="33"/>
  <c r="M972" i="33"/>
  <c r="D1091" i="33"/>
  <c r="D1096" i="33" s="1"/>
  <c r="D1098" i="33" s="1"/>
  <c r="D1078" i="33"/>
  <c r="K2047" i="33"/>
  <c r="K2052" i="33" s="1"/>
  <c r="K2054" i="33" s="1"/>
  <c r="K2034" i="33"/>
  <c r="D987" i="33"/>
  <c r="D992" i="33" s="1"/>
  <c r="D994" i="33" s="1"/>
  <c r="D974" i="33"/>
  <c r="I1078" i="33"/>
  <c r="I1091" i="33"/>
  <c r="I1096" i="33" s="1"/>
  <c r="I1098" i="33" s="1"/>
  <c r="I987" i="33"/>
  <c r="I992" i="33" s="1"/>
  <c r="I994" i="33" s="1"/>
  <c r="I974" i="33"/>
  <c r="G1647" i="33"/>
  <c r="G1652" i="33" s="1"/>
  <c r="G1654" i="33" s="1"/>
  <c r="G1634" i="33"/>
  <c r="H1800" i="33"/>
  <c r="J327" i="33"/>
  <c r="J332" i="33" s="1"/>
  <c r="J334" i="33" s="1"/>
  <c r="J314" i="33"/>
  <c r="H428" i="33"/>
  <c r="M982" i="33"/>
  <c r="K1130" i="33"/>
  <c r="K1143" i="33"/>
  <c r="K1148" i="33" s="1"/>
  <c r="K1150" i="33" s="1"/>
  <c r="L1332" i="33"/>
  <c r="M1577" i="33"/>
  <c r="C1595" i="33"/>
  <c r="C1582" i="33"/>
  <c r="H1696" i="33"/>
  <c r="M1799" i="33"/>
  <c r="H1992" i="33"/>
  <c r="C2184" i="33"/>
  <c r="M2179" i="33"/>
  <c r="J724" i="33"/>
  <c r="K724" i="33"/>
  <c r="M2043" i="33"/>
  <c r="M608" i="33"/>
  <c r="F366" i="33"/>
  <c r="F379" i="33"/>
  <c r="F384" i="33" s="1"/>
  <c r="F386" i="33" s="1"/>
  <c r="I275" i="33"/>
  <c r="I280" i="33" s="1"/>
  <c r="I282" i="33" s="1"/>
  <c r="I262" i="33"/>
  <c r="I727" i="33"/>
  <c r="I732" i="33" s="1"/>
  <c r="I734" i="33" s="1"/>
  <c r="I714" i="33"/>
  <c r="I366" i="33"/>
  <c r="I379" i="33"/>
  <c r="I384" i="33" s="1"/>
  <c r="I386" i="33" s="1"/>
  <c r="D483" i="33"/>
  <c r="D488" i="33" s="1"/>
  <c r="D490" i="33" s="1"/>
  <c r="D470" i="33"/>
  <c r="G1332" i="33"/>
  <c r="M1487" i="33"/>
  <c r="K1592" i="33"/>
  <c r="M1991" i="33"/>
  <c r="L2187" i="33"/>
  <c r="L2192" i="33" s="1"/>
  <c r="L2194" i="33" s="1"/>
  <c r="L2174" i="33"/>
  <c r="D1790" i="33"/>
  <c r="D1803" i="33"/>
  <c r="D1808" i="33" s="1"/>
  <c r="D1810" i="33" s="1"/>
  <c r="M417" i="33"/>
  <c r="M1685" i="33"/>
  <c r="M383" i="33"/>
  <c r="M468" i="33"/>
  <c r="M364" i="33"/>
  <c r="D571" i="33"/>
  <c r="D558" i="33"/>
  <c r="J1543" i="33"/>
  <c r="J1548" i="33" s="1"/>
  <c r="J1550" i="33" s="1"/>
  <c r="J1530" i="33"/>
  <c r="D1634" i="33"/>
  <c r="D1647" i="33"/>
  <c r="D1652" i="33" s="1"/>
  <c r="D1654" i="33" s="1"/>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609" i="33"/>
  <c r="M469" i="33"/>
  <c r="M713" i="33"/>
  <c r="M1929" i="33"/>
  <c r="J379" i="33"/>
  <c r="J384" i="33" s="1"/>
  <c r="J386" i="33" s="1"/>
  <c r="J366" i="33"/>
  <c r="C724" i="33"/>
  <c r="M719" i="33"/>
  <c r="M722" i="33"/>
  <c r="J168" i="33"/>
  <c r="M416" i="33"/>
  <c r="I1026" i="33"/>
  <c r="I1039" i="33"/>
  <c r="I1044" i="33" s="1"/>
  <c r="I1046" i="33" s="1"/>
  <c r="G1488" i="33"/>
  <c r="G1592" i="33"/>
  <c r="H1439" i="33"/>
  <c r="H1444" i="33" s="1"/>
  <c r="H1446" i="33" s="1"/>
  <c r="H1426" i="33"/>
  <c r="F1335" i="33"/>
  <c r="F1340" i="33" s="1"/>
  <c r="F1342" i="33" s="1"/>
  <c r="F1322" i="33"/>
  <c r="F1436" i="33"/>
  <c r="M1632" i="33"/>
  <c r="H1930" i="33"/>
  <c r="H1943" i="33"/>
  <c r="H1948" i="33" s="1"/>
  <c r="H1950" i="33" s="1"/>
  <c r="J1992" i="33"/>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J1696" i="33"/>
  <c r="J1800" i="33"/>
  <c r="F1940" i="33"/>
  <c r="I1995" i="33"/>
  <c r="I2000" i="33" s="1"/>
  <c r="I2002" i="33" s="1"/>
  <c r="I1982" i="33"/>
  <c r="M557" i="33"/>
  <c r="M1789" i="33"/>
  <c r="M1321" i="33"/>
  <c r="M868" i="33"/>
  <c r="M875" i="33"/>
  <c r="M874" i="33"/>
  <c r="G880" i="33"/>
  <c r="F880" i="33"/>
  <c r="K1845" i="33"/>
  <c r="J880" i="33"/>
  <c r="D880" i="33"/>
  <c r="I880" i="33"/>
  <c r="G1845" i="33"/>
  <c r="M886" i="33"/>
  <c r="H1845" i="33"/>
  <c r="C1845" i="33"/>
  <c r="E1845" i="33"/>
  <c r="D1845" i="33"/>
  <c r="I1845" i="33"/>
  <c r="M878" i="33"/>
  <c r="K880" i="33"/>
  <c r="F1845" i="33"/>
  <c r="M887" i="33"/>
  <c r="L1845" i="33"/>
  <c r="C880" i="33"/>
  <c r="M873" i="33"/>
  <c r="E880" i="33"/>
  <c r="H880" i="33"/>
  <c r="M879" i="33"/>
  <c r="L880" i="33"/>
  <c r="J1845"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K2269" i="33"/>
  <c r="K3899" i="33" s="1"/>
  <c r="F2269" i="33"/>
  <c r="F3899" i="33" s="1"/>
  <c r="I2269" i="33"/>
  <c r="I3899" i="33" s="1"/>
  <c r="J2269" i="33"/>
  <c r="J3899" i="33" s="1"/>
  <c r="H2269" i="33"/>
  <c r="H3899" i="33" s="1"/>
  <c r="M865" i="33"/>
  <c r="D2269" i="33"/>
  <c r="D3899" i="33" s="1"/>
  <c r="L2269" i="33"/>
  <c r="L3899" i="33" s="1"/>
  <c r="BH20" i="22"/>
  <c r="E784" i="34" s="1"/>
  <c r="E2269" i="33"/>
  <c r="E3899" i="33" s="1"/>
  <c r="G2269" i="33"/>
  <c r="G3899" i="33" s="1"/>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C657" i="33" s="1"/>
  <c r="AT76" i="22"/>
  <c r="AT108" i="22"/>
  <c r="AT140" i="22"/>
  <c r="AT34" i="22"/>
  <c r="DN34" i="22" s="1"/>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DN28" i="22" s="1"/>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P40" i="35" s="1"/>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AH192" i="22"/>
  <c r="BF76" i="22"/>
  <c r="AH76" i="22"/>
  <c r="BF108" i="22"/>
  <c r="P112" i="35" s="1"/>
  <c r="AH108" i="22"/>
  <c r="BF140" i="22"/>
  <c r="P144" i="35" s="1"/>
  <c r="AH140" i="22"/>
  <c r="BF34" i="22"/>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P32" i="35" s="1"/>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P48" i="35" s="1"/>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P196" i="35" l="1"/>
  <c r="C667" i="33"/>
  <c r="C1275" i="33"/>
  <c r="C1213" i="33"/>
  <c r="C1223" i="33"/>
  <c r="C2303" i="33"/>
  <c r="C1379" i="33"/>
  <c r="C1369" i="33"/>
  <c r="C2127" i="33"/>
  <c r="AF16" i="22"/>
  <c r="J13" i="22"/>
  <c r="C1044" i="34"/>
  <c r="C1052" i="34" s="1"/>
  <c r="C524" i="34"/>
  <c r="C1883" i="33"/>
  <c r="C2091" i="33" s="1"/>
  <c r="C514" i="34"/>
  <c r="C1873" i="33"/>
  <c r="C2081" i="33" s="1"/>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C2302" i="33" s="1"/>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C150" i="34"/>
  <c r="E33" i="35"/>
  <c r="C159" i="34"/>
  <c r="E46" i="35"/>
  <c r="P46" i="35"/>
  <c r="P42" i="35"/>
  <c r="E42" i="35"/>
  <c r="DZ19" i="22"/>
  <c r="EL19" i="22" s="1"/>
  <c r="DZ20" i="22"/>
  <c r="M1036" i="33"/>
  <c r="M2184" i="33"/>
  <c r="C107" i="34"/>
  <c r="E32" i="35"/>
  <c r="E29" i="35"/>
  <c r="M168" i="33"/>
  <c r="M220" i="33"/>
  <c r="M1748" i="33"/>
  <c r="M1332" i="33"/>
  <c r="C927" i="33"/>
  <c r="C1187" i="33" s="1"/>
  <c r="C917" i="33"/>
  <c r="C1177" i="33" s="1"/>
  <c r="C926" i="33"/>
  <c r="C1186" i="33" s="1"/>
  <c r="M1592" i="33"/>
  <c r="M272" i="33"/>
  <c r="C108" i="34"/>
  <c r="M724" i="33"/>
  <c r="M1140" i="33"/>
  <c r="M714" i="33"/>
  <c r="M620" i="33"/>
  <c r="M418" i="33"/>
  <c r="M828" i="33"/>
  <c r="M158" i="33"/>
  <c r="M2044" i="33"/>
  <c r="C98" i="34"/>
  <c r="M2187" i="33"/>
  <c r="M2192" i="33" s="1"/>
  <c r="M2194" i="33" s="1"/>
  <c r="C2192" i="33"/>
  <c r="C2194" i="33" s="1"/>
  <c r="M766" i="33"/>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M1335" i="33"/>
  <c r="M1340" i="33" s="1"/>
  <c r="M1342" i="33" s="1"/>
  <c r="C1340" i="33"/>
  <c r="C1342" i="33" s="1"/>
  <c r="M1982" i="33"/>
  <c r="C1948" i="33"/>
  <c r="C1950" i="33" s="1"/>
  <c r="M1943" i="33"/>
  <c r="M1948" i="33" s="1"/>
  <c r="M1950" i="33" s="1"/>
  <c r="M974" i="33"/>
  <c r="M818" i="33"/>
  <c r="DZ23" i="22"/>
  <c r="EL23" i="22" s="1"/>
  <c r="DZ22" i="22"/>
  <c r="M1091" i="33"/>
  <c r="M1096" i="33" s="1"/>
  <c r="M1098" i="33" s="1"/>
  <c r="C1096" i="33"/>
  <c r="C1098" i="33" s="1"/>
  <c r="M1426" i="33"/>
  <c r="M987" i="33"/>
  <c r="M992" i="33" s="1"/>
  <c r="M994" i="33" s="1"/>
  <c r="C992" i="33"/>
  <c r="C994" i="33" s="1"/>
  <c r="M1803" i="33"/>
  <c r="M1808" i="33" s="1"/>
  <c r="M1810" i="33" s="1"/>
  <c r="C1808" i="33"/>
  <c r="C1810" i="33" s="1"/>
  <c r="M1543" i="33"/>
  <c r="M1548" i="33" s="1"/>
  <c r="M1550" i="33" s="1"/>
  <c r="C1548" i="33"/>
  <c r="C1550" i="33" s="1"/>
  <c r="M1751" i="33"/>
  <c r="M1756" i="33" s="1"/>
  <c r="C1756" i="33"/>
  <c r="C1758" i="33" s="1"/>
  <c r="M2047" i="33"/>
  <c r="M2052" i="33" s="1"/>
  <c r="M2054" i="33" s="1"/>
  <c r="C2052" i="33"/>
  <c r="C2054" i="33" s="1"/>
  <c r="C436" i="33"/>
  <c r="C438" i="33" s="1"/>
  <c r="M431" i="33"/>
  <c r="M436" i="33" s="1"/>
  <c r="M558" i="33"/>
  <c r="M1436" i="33"/>
  <c r="C3512" i="33"/>
  <c r="C3514" i="33" s="1"/>
  <c r="M1026" i="33"/>
  <c r="M1644" i="33"/>
  <c r="M314" i="33"/>
  <c r="C3720" i="33"/>
  <c r="C3722" i="33" s="1"/>
  <c r="M428" i="33"/>
  <c r="M324" i="33"/>
  <c r="M610" i="33"/>
  <c r="M1078" i="33"/>
  <c r="M1738" i="33"/>
  <c r="C56" i="34"/>
  <c r="M1582" i="33"/>
  <c r="C3668" i="33"/>
  <c r="C3670" i="33" s="1"/>
  <c r="M2174" i="33"/>
  <c r="M480" i="33"/>
  <c r="M1439" i="33"/>
  <c r="M1444" i="33" s="1"/>
  <c r="M1446" i="33" s="1"/>
  <c r="C1444" i="33"/>
  <c r="C1446" i="33" s="1"/>
  <c r="M779" i="33"/>
  <c r="M784" i="33" s="1"/>
  <c r="M786" i="33" s="1"/>
  <c r="C784" i="33"/>
  <c r="C786" i="33" s="1"/>
  <c r="M1478" i="33"/>
  <c r="M1992" i="33"/>
  <c r="C3824" i="33"/>
  <c r="C3826" i="33" s="1"/>
  <c r="M727" i="33"/>
  <c r="M732" i="33" s="1"/>
  <c r="M734" i="33" s="1"/>
  <c r="C732" i="33"/>
  <c r="C734"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M376" i="33"/>
  <c r="M1088" i="33"/>
  <c r="C332" i="33"/>
  <c r="C334" i="33" s="1"/>
  <c r="M327" i="33"/>
  <c r="M332" i="33" s="1"/>
  <c r="M1995" i="33"/>
  <c r="M2000" i="33" s="1"/>
  <c r="M2002" i="33" s="1"/>
  <c r="C2000" i="33"/>
  <c r="C2002" i="33" s="1"/>
  <c r="M1800" i="33"/>
  <c r="M1696" i="33"/>
  <c r="M262" i="33"/>
  <c r="M1491" i="33"/>
  <c r="M1496" i="33" s="1"/>
  <c r="M1498" i="33" s="1"/>
  <c r="C1496" i="33"/>
  <c r="C1498" i="33" s="1"/>
  <c r="M1595" i="33"/>
  <c r="M1600" i="33" s="1"/>
  <c r="M1602" i="33" s="1"/>
  <c r="C1600" i="33"/>
  <c r="C1602" i="33" s="1"/>
  <c r="M1930" i="33"/>
  <c r="M1790" i="33"/>
  <c r="C1652" i="33"/>
  <c r="C1654" i="33" s="1"/>
  <c r="M1647" i="33"/>
  <c r="M1652" i="33" s="1"/>
  <c r="M1654" i="33" s="1"/>
  <c r="M831" i="33"/>
  <c r="M836" i="33" s="1"/>
  <c r="M838" i="33" s="1"/>
  <c r="C836" i="33"/>
  <c r="C838" i="33" s="1"/>
  <c r="M210" i="33"/>
  <c r="M1488" i="33"/>
  <c r="M470" i="33"/>
  <c r="M1130" i="33"/>
  <c r="M1686" i="33"/>
  <c r="M776" i="33"/>
  <c r="M1322" i="33"/>
  <c r="M623" i="33"/>
  <c r="M628" i="33" s="1"/>
  <c r="M630" i="33" s="1"/>
  <c r="C628" i="33"/>
  <c r="C630" i="33" s="1"/>
  <c r="M568" i="33"/>
  <c r="M1940" i="33"/>
  <c r="M275" i="33"/>
  <c r="M280" i="33" s="1"/>
  <c r="C280" i="33"/>
  <c r="C282" i="33" s="1"/>
  <c r="H890" i="33"/>
  <c r="M880" i="33"/>
  <c r="M1845" i="33"/>
  <c r="M870" i="33"/>
  <c r="M883" i="33"/>
  <c r="M888" i="33" s="1"/>
  <c r="P35" i="35"/>
  <c r="E35" i="35"/>
  <c r="CF20" i="22"/>
  <c r="E788" i="34" s="1"/>
  <c r="DD20" i="22"/>
  <c r="E787" i="34" s="1"/>
  <c r="Z27" i="35"/>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M3899" i="33"/>
  <c r="M2269"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C671" i="33" s="1"/>
  <c r="DB192" i="22"/>
  <c r="C670" i="33" s="1"/>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DP28" i="22" s="1"/>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DR34" i="22" s="1"/>
  <c r="BN142" i="22"/>
  <c r="X146" i="35" s="1"/>
  <c r="AX77" i="22"/>
  <c r="AM142" i="22"/>
  <c r="AZ142" i="22"/>
  <c r="AQ142" i="22"/>
  <c r="AV30" i="22"/>
  <c r="AN142" i="22"/>
  <c r="BK142" i="22"/>
  <c r="U146" i="35" s="1"/>
  <c r="BA142" i="22"/>
  <c r="BB142" i="22"/>
  <c r="AX73" i="22"/>
  <c r="BA110" i="22"/>
  <c r="AZ101" i="22"/>
  <c r="BA114" i="22"/>
  <c r="AW117" i="22"/>
  <c r="AY55" i="22"/>
  <c r="BB41" i="22"/>
  <c r="AX36" i="22"/>
  <c r="AY28" i="22"/>
  <c r="DS28" i="22" s="1"/>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DT34" i="22" s="1"/>
  <c r="AZ31" i="22"/>
  <c r="BC118" i="22"/>
  <c r="BA27" i="22"/>
  <c r="AZ24" i="22"/>
  <c r="DT24" i="22" s="1"/>
  <c r="BB32" i="22"/>
  <c r="AW36" i="22"/>
  <c r="AV120" i="22"/>
  <c r="AY47" i="22"/>
  <c r="AW72" i="22"/>
  <c r="BA34" i="22"/>
  <c r="DU34" i="22" s="1"/>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AV192" i="22"/>
  <c r="E657" i="33" s="1"/>
  <c r="AW192" i="22"/>
  <c r="F657" i="33" s="1"/>
  <c r="AZ192" i="22"/>
  <c r="I657" i="33" s="1"/>
  <c r="BB192" i="22"/>
  <c r="K657" i="33" s="1"/>
  <c r="AY192" i="22"/>
  <c r="H657" i="33" s="1"/>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Y48" i="35" s="1"/>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D657" i="33" s="1"/>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DV34" i="22" s="1"/>
  <c r="AV34" i="22"/>
  <c r="DP34" i="22" s="1"/>
  <c r="AU34" i="22"/>
  <c r="DO34" i="22" s="1"/>
  <c r="AW34" i="22"/>
  <c r="DQ34" i="22" s="1"/>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L657" i="33" s="1"/>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DW34" i="22" s="1"/>
  <c r="BB108" i="22"/>
  <c r="BA76" i="22"/>
  <c r="AX192" i="22"/>
  <c r="G657" i="33" s="1"/>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DR28" i="22" s="1"/>
  <c r="BC28" i="22"/>
  <c r="AW28" i="22"/>
  <c r="DQ28" i="22" s="1"/>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DO28" i="22" s="1"/>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DS34" i="22" s="1"/>
  <c r="AV140" i="22"/>
  <c r="AV108" i="22"/>
  <c r="AY108" i="22"/>
  <c r="BA192" i="22"/>
  <c r="J657" i="33" s="1"/>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V48" i="35" s="1"/>
  <c r="AJ122" i="22"/>
  <c r="BL114" i="22"/>
  <c r="BO117" i="22"/>
  <c r="Y121" i="35" s="1"/>
  <c r="BN42" i="22"/>
  <c r="BI90" i="22"/>
  <c r="S94" i="35" s="1"/>
  <c r="AI120" i="22"/>
  <c r="AK44" i="22"/>
  <c r="BG66" i="22"/>
  <c r="Q70" i="35" s="1"/>
  <c r="AO28" i="22"/>
  <c r="BK28" i="22"/>
  <c r="U32" i="35" s="1"/>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S30" i="35" s="1"/>
  <c r="AI26" i="22"/>
  <c r="AN26" i="22"/>
  <c r="BG26" i="22"/>
  <c r="Q30" i="35" s="1"/>
  <c r="BM26" i="22"/>
  <c r="BK26" i="22"/>
  <c r="AM26" i="22"/>
  <c r="AO26" i="22"/>
  <c r="AK26" i="22"/>
  <c r="BJ26" i="22"/>
  <c r="BL26" i="22"/>
  <c r="AQ26" i="22"/>
  <c r="BH26" i="22"/>
  <c r="R30" i="35" s="1"/>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S32" i="35" s="1"/>
  <c r="BG28" i="22"/>
  <c r="Q32" i="35" s="1"/>
  <c r="BH28" i="22"/>
  <c r="R32" i="35" s="1"/>
  <c r="BJ28" i="22"/>
  <c r="T32" i="35" s="1"/>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AJ21" i="22"/>
  <c r="BG36" i="22"/>
  <c r="Q40" i="35" s="1"/>
  <c r="BN36" i="22"/>
  <c r="X40" i="35" s="1"/>
  <c r="BL36" i="22"/>
  <c r="V40" i="35" s="1"/>
  <c r="BM36" i="22"/>
  <c r="W40" i="35" s="1"/>
  <c r="AL36" i="22"/>
  <c r="BK36" i="22"/>
  <c r="U40" i="35" s="1"/>
  <c r="BJ36" i="22"/>
  <c r="T40" i="35" s="1"/>
  <c r="AI36" i="22"/>
  <c r="AJ36" i="22"/>
  <c r="BO36" i="22"/>
  <c r="Y40" i="35" s="1"/>
  <c r="AM36" i="22"/>
  <c r="AN36" i="22"/>
  <c r="AO36" i="22"/>
  <c r="BI36" i="22"/>
  <c r="S40" i="35" s="1"/>
  <c r="AK36" i="22"/>
  <c r="BH36" i="22"/>
  <c r="R40" i="35" s="1"/>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Q48" i="35" s="1"/>
  <c r="BN44" i="22"/>
  <c r="X48" i="35" s="1"/>
  <c r="AQ44" i="22"/>
  <c r="AL44" i="22"/>
  <c r="BK44" i="22"/>
  <c r="U48" i="35" s="1"/>
  <c r="BJ44" i="22"/>
  <c r="T48" i="35" s="1"/>
  <c r="BH44" i="22"/>
  <c r="R48" i="35" s="1"/>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W48" i="35" s="1"/>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BN192" i="22"/>
  <c r="AO192" i="22"/>
  <c r="AQ192" i="22"/>
  <c r="BM192" i="22"/>
  <c r="BG192" i="22"/>
  <c r="AL192" i="22"/>
  <c r="BL192" i="22"/>
  <c r="BK192" i="22"/>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S48" i="35" s="1"/>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AO34" i="22"/>
  <c r="AM34" i="22"/>
  <c r="BI34" i="22"/>
  <c r="BK34" i="22"/>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1274" i="33" l="1"/>
  <c r="C2293" i="33"/>
  <c r="C2311" i="33" s="1"/>
  <c r="C1265" i="33"/>
  <c r="C1283" i="33" s="1"/>
  <c r="C679" i="33"/>
  <c r="C661" i="33"/>
  <c r="T196" i="35"/>
  <c r="G667" i="33"/>
  <c r="X196" i="35"/>
  <c r="K667" i="33"/>
  <c r="R196" i="35"/>
  <c r="E667" i="33"/>
  <c r="S196" i="35"/>
  <c r="F667" i="33"/>
  <c r="F675" i="33" s="1"/>
  <c r="W196" i="35"/>
  <c r="J667" i="33"/>
  <c r="J675" i="33" s="1"/>
  <c r="C678" i="33"/>
  <c r="C660" i="33"/>
  <c r="C672" i="33"/>
  <c r="U196" i="35"/>
  <c r="H667" i="33"/>
  <c r="H675" i="33" s="1"/>
  <c r="V196" i="35"/>
  <c r="I667" i="33"/>
  <c r="Y196" i="35"/>
  <c r="L667" i="33"/>
  <c r="M657" i="33"/>
  <c r="Q196" i="35"/>
  <c r="D667" i="33"/>
  <c r="C675" i="33"/>
  <c r="C1278" i="33"/>
  <c r="C1227" i="33"/>
  <c r="C1279" i="33"/>
  <c r="C1268" i="33"/>
  <c r="C1286" i="33"/>
  <c r="C1287" i="33"/>
  <c r="C1269" i="33"/>
  <c r="C2306" i="33"/>
  <c r="C1226" i="33"/>
  <c r="C1234" i="33"/>
  <c r="C1216" i="33"/>
  <c r="C1235" i="33"/>
  <c r="C1217" i="33"/>
  <c r="C1231" i="33"/>
  <c r="C2307" i="33"/>
  <c r="C2296" i="33"/>
  <c r="C2314" i="33"/>
  <c r="C2315" i="33"/>
  <c r="C2297" i="33"/>
  <c r="C1390" i="33"/>
  <c r="C1372" i="33"/>
  <c r="C1373" i="33"/>
  <c r="C1391" i="33"/>
  <c r="C1382" i="33"/>
  <c r="C1383" i="33"/>
  <c r="C1387" i="33"/>
  <c r="C1847" i="33"/>
  <c r="C2120" i="33"/>
  <c r="C1037" i="34"/>
  <c r="C2138" i="33"/>
  <c r="E51" i="33"/>
  <c r="M1952" i="33"/>
  <c r="I1952" i="33"/>
  <c r="E1952" i="33"/>
  <c r="G51" i="33" s="1"/>
  <c r="E21" i="33"/>
  <c r="E440" i="33"/>
  <c r="G21" i="33" s="1"/>
  <c r="I440" i="33"/>
  <c r="M440" i="33"/>
  <c r="E840" i="33"/>
  <c r="I840" i="33"/>
  <c r="M840" i="33"/>
  <c r="M180" i="33"/>
  <c r="E180" i="33"/>
  <c r="G16" i="33" s="1"/>
  <c r="I180" i="33"/>
  <c r="E87" i="33"/>
  <c r="I3776" i="33"/>
  <c r="M3776" i="33"/>
  <c r="E3776" i="33"/>
  <c r="G87" i="33" s="1"/>
  <c r="C2139" i="33"/>
  <c r="E24" i="33"/>
  <c r="E580" i="33"/>
  <c r="G24" i="33" s="1"/>
  <c r="M580" i="33"/>
  <c r="I580" i="33"/>
  <c r="E48" i="33"/>
  <c r="M1812" i="33"/>
  <c r="I1812" i="33"/>
  <c r="E1812" i="33"/>
  <c r="G48" i="33" s="1"/>
  <c r="E43" i="33"/>
  <c r="E1552" i="33"/>
  <c r="G43" i="33" s="1"/>
  <c r="M1552" i="33"/>
  <c r="I1552" i="33"/>
  <c r="E22" i="33"/>
  <c r="M492" i="33"/>
  <c r="I492" i="33"/>
  <c r="E492" i="33"/>
  <c r="G22" i="33" s="1"/>
  <c r="M632" i="33"/>
  <c r="I632" i="33"/>
  <c r="E632" i="33"/>
  <c r="G25" i="33" s="1"/>
  <c r="E83" i="33"/>
  <c r="I3568" i="33"/>
  <c r="E3568" i="33"/>
  <c r="G83" i="33" s="1"/>
  <c r="M3568" i="33"/>
  <c r="E88" i="33"/>
  <c r="M3828" i="33"/>
  <c r="I3828" i="33"/>
  <c r="E3828" i="33"/>
  <c r="G88" i="33" s="1"/>
  <c r="E45" i="33"/>
  <c r="E1656" i="33"/>
  <c r="G45" i="33" s="1"/>
  <c r="M1656" i="33"/>
  <c r="I1656" i="33"/>
  <c r="M1152" i="33"/>
  <c r="I1152" i="33"/>
  <c r="E1152" i="33"/>
  <c r="G35" i="33" s="1"/>
  <c r="E46" i="33"/>
  <c r="M1708" i="33"/>
  <c r="I1708" i="33"/>
  <c r="E1708" i="33"/>
  <c r="M736" i="33"/>
  <c r="I736" i="33"/>
  <c r="E736" i="33"/>
  <c r="G27" i="33" s="1"/>
  <c r="E28" i="33"/>
  <c r="M788" i="33"/>
  <c r="I788" i="33"/>
  <c r="E788" i="33"/>
  <c r="G28" i="33" s="1"/>
  <c r="E34" i="33"/>
  <c r="I1100" i="33"/>
  <c r="E1100" i="33"/>
  <c r="G34" i="33" s="1"/>
  <c r="M1100" i="33"/>
  <c r="E82" i="33"/>
  <c r="M3516" i="33"/>
  <c r="I3516" i="33"/>
  <c r="E3516" i="33"/>
  <c r="G82" i="33" s="1"/>
  <c r="I284" i="33"/>
  <c r="E284" i="33"/>
  <c r="G18" i="33" s="1"/>
  <c r="M284" i="33"/>
  <c r="M1048" i="33"/>
  <c r="I1048" i="33"/>
  <c r="E1048" i="33"/>
  <c r="G33" i="33" s="1"/>
  <c r="C55" i="34"/>
  <c r="C1095" i="34" s="1"/>
  <c r="C2117" i="33"/>
  <c r="M1760" i="33"/>
  <c r="I1760" i="33"/>
  <c r="E1760" i="33"/>
  <c r="G47" i="33" s="1"/>
  <c r="M2196" i="33"/>
  <c r="E2196" i="33"/>
  <c r="G56" i="33" s="1"/>
  <c r="I2196" i="33"/>
  <c r="E30" i="33"/>
  <c r="M892" i="33"/>
  <c r="I892" i="33"/>
  <c r="E892" i="33"/>
  <c r="G30" i="33" s="1"/>
  <c r="E41" i="33"/>
  <c r="M1448" i="33"/>
  <c r="I1448" i="33"/>
  <c r="E1448" i="33"/>
  <c r="G41" i="33" s="1"/>
  <c r="M1604" i="33"/>
  <c r="I1604" i="33"/>
  <c r="E1604" i="33"/>
  <c r="E84" i="33"/>
  <c r="M3620" i="33"/>
  <c r="I3620" i="33"/>
  <c r="E3620" i="33"/>
  <c r="G84" i="33" s="1"/>
  <c r="C2130" i="33"/>
  <c r="E20" i="33"/>
  <c r="M388" i="33"/>
  <c r="I388" i="33"/>
  <c r="E388" i="33"/>
  <c r="G20" i="33" s="1"/>
  <c r="E85" i="33"/>
  <c r="M3672" i="33"/>
  <c r="I3672" i="33"/>
  <c r="E3672" i="33"/>
  <c r="G85" i="33" s="1"/>
  <c r="E32" i="33"/>
  <c r="M996" i="33"/>
  <c r="I996" i="33"/>
  <c r="E996" i="33"/>
  <c r="G32" i="33" s="1"/>
  <c r="C2131" i="33"/>
  <c r="E52" i="33"/>
  <c r="M2004" i="33"/>
  <c r="I2004" i="33"/>
  <c r="E2004" i="33"/>
  <c r="G52" i="33" s="1"/>
  <c r="E42" i="33"/>
  <c r="I1500" i="33"/>
  <c r="E1500" i="33"/>
  <c r="G42" i="33" s="1"/>
  <c r="M1500" i="33"/>
  <c r="E39" i="33"/>
  <c r="M1344" i="33"/>
  <c r="I1344" i="33"/>
  <c r="E1344" i="33"/>
  <c r="G39" i="33" s="1"/>
  <c r="C2126" i="33"/>
  <c r="E2056" i="33"/>
  <c r="G53" i="33" s="1"/>
  <c r="M2056" i="33"/>
  <c r="I2056" i="33"/>
  <c r="E19" i="33"/>
  <c r="M336" i="33"/>
  <c r="E336" i="33"/>
  <c r="G19" i="33" s="1"/>
  <c r="I336" i="33"/>
  <c r="M232" i="33"/>
  <c r="I232" i="33"/>
  <c r="E232" i="33"/>
  <c r="G17" i="33" s="1"/>
  <c r="E86" i="33"/>
  <c r="E3724" i="33"/>
  <c r="G86" i="33" s="1"/>
  <c r="M3724" i="33"/>
  <c r="I3724" i="33"/>
  <c r="C2231" i="33"/>
  <c r="C46" i="34"/>
  <c r="C1086" i="34" s="1"/>
  <c r="C1047" i="34"/>
  <c r="C1048" i="34"/>
  <c r="C532" i="34"/>
  <c r="C528" i="34"/>
  <c r="C1887" i="33"/>
  <c r="C2095" i="33" s="1"/>
  <c r="C535" i="34"/>
  <c r="C1894" i="33"/>
  <c r="C2102" i="33" s="1"/>
  <c r="C1895" i="33"/>
  <c r="C2103" i="33" s="1"/>
  <c r="C1891" i="33"/>
  <c r="C2099" i="33" s="1"/>
  <c r="C527" i="34"/>
  <c r="C1886" i="33"/>
  <c r="C2094" i="33" s="1"/>
  <c r="DN193" i="22"/>
  <c r="DN16" i="22" s="1"/>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306" i="34"/>
  <c r="DU27" i="22"/>
  <c r="J306" i="34"/>
  <c r="C276" i="34"/>
  <c r="F368" i="34"/>
  <c r="G368" i="34"/>
  <c r="G358" i="34"/>
  <c r="F358" i="34"/>
  <c r="DT28" i="22"/>
  <c r="I358" i="34"/>
  <c r="DV27" i="22"/>
  <c r="K306" i="34"/>
  <c r="DV28" i="22"/>
  <c r="K358" i="34"/>
  <c r="DW27" i="22"/>
  <c r="L306" i="34"/>
  <c r="E264" i="34"/>
  <c r="D368" i="34"/>
  <c r="D358" i="34"/>
  <c r="E358" i="34"/>
  <c r="X32" i="35"/>
  <c r="K368" i="34"/>
  <c r="T30" i="35"/>
  <c r="G264" i="34"/>
  <c r="V32" i="35"/>
  <c r="I368" i="34"/>
  <c r="W30" i="35"/>
  <c r="J264" i="34"/>
  <c r="W32" i="35"/>
  <c r="J368" i="34"/>
  <c r="DS27" i="22"/>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J2302" i="33" s="1"/>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H2302" i="33" s="1"/>
  <c r="K39" i="35"/>
  <c r="DT35" i="22"/>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G2302" i="33" s="1"/>
  <c r="L75" i="35"/>
  <c r="DU71" i="22"/>
  <c r="N114" i="35"/>
  <c r="DW110" i="22"/>
  <c r="G22" i="35"/>
  <c r="DP18" i="22"/>
  <c r="E2302" i="33" s="1"/>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K2302" i="33" s="1"/>
  <c r="J48" i="35"/>
  <c r="DS44" i="22"/>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L2302" i="33" s="1"/>
  <c r="K70" i="35"/>
  <c r="DT66" i="22"/>
  <c r="I86" i="35"/>
  <c r="DR82" i="22"/>
  <c r="K51" i="35"/>
  <c r="DT47" i="22"/>
  <c r="N115" i="35"/>
  <c r="DW111" i="22"/>
  <c r="G36" i="35"/>
  <c r="DP32" i="22"/>
  <c r="J39" i="35"/>
  <c r="DS35" i="22"/>
  <c r="G39" i="35"/>
  <c r="DP35" i="22"/>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D2302" i="33" s="1"/>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I2302" i="33" s="1"/>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2302" i="33" s="1"/>
  <c r="F145" i="35"/>
  <c r="DO141" i="22"/>
  <c r="I110" i="35"/>
  <c r="DR106" i="22"/>
  <c r="G56" i="35"/>
  <c r="DP52" i="22"/>
  <c r="K137" i="35"/>
  <c r="DT133" i="22"/>
  <c r="I62" i="35"/>
  <c r="DR58" i="22"/>
  <c r="L44" i="35"/>
  <c r="DU40" i="22"/>
  <c r="L110" i="35"/>
  <c r="DU106" i="22"/>
  <c r="I89" i="35"/>
  <c r="DR85" i="22"/>
  <c r="G63" i="35"/>
  <c r="DP59" i="22"/>
  <c r="G96" i="35"/>
  <c r="DP92" i="22"/>
  <c r="I40" i="35"/>
  <c r="DR36" i="22"/>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EL36" i="22" s="1"/>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G44" i="33"/>
  <c r="E44" i="33"/>
  <c r="E17" i="33"/>
  <c r="E33" i="33"/>
  <c r="E35" i="33"/>
  <c r="E16" i="33"/>
  <c r="E29" i="33"/>
  <c r="E27" i="33"/>
  <c r="E53" i="33"/>
  <c r="E25" i="33"/>
  <c r="E18" i="33"/>
  <c r="E47" i="33"/>
  <c r="E56" i="33"/>
  <c r="FJ21" i="22"/>
  <c r="L150" i="34"/>
  <c r="F150" i="34"/>
  <c r="C163" i="34"/>
  <c r="K150" i="34"/>
  <c r="I150" i="34"/>
  <c r="G150" i="34"/>
  <c r="D150" i="34"/>
  <c r="C164" i="34"/>
  <c r="J150" i="34"/>
  <c r="E150" i="34"/>
  <c r="H150" i="34"/>
  <c r="Q33" i="35"/>
  <c r="D160" i="34"/>
  <c r="T33" i="35"/>
  <c r="G160" i="34"/>
  <c r="J33" i="35"/>
  <c r="H159" i="34"/>
  <c r="L33" i="35"/>
  <c r="J159" i="34"/>
  <c r="Y33" i="35"/>
  <c r="L160" i="34"/>
  <c r="N33" i="35"/>
  <c r="L159" i="34"/>
  <c r="F33" i="35"/>
  <c r="D159" i="34"/>
  <c r="C172" i="34"/>
  <c r="V33" i="35"/>
  <c r="I160" i="34"/>
  <c r="S33" i="35"/>
  <c r="F160" i="34"/>
  <c r="G33" i="35"/>
  <c r="E159" i="34"/>
  <c r="M33" i="35"/>
  <c r="K159" i="34"/>
  <c r="K33" i="35"/>
  <c r="I159" i="34"/>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C1180" i="33" s="1"/>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FJ57" i="22"/>
  <c r="FJ54" i="22"/>
  <c r="FJ95" i="22"/>
  <c r="FJ129" i="22"/>
  <c r="FJ94" i="22"/>
  <c r="J107" i="34"/>
  <c r="FJ142" i="22"/>
  <c r="FJ64" i="22"/>
  <c r="FJ88" i="22"/>
  <c r="FJ70" i="22"/>
  <c r="FJ92" i="22"/>
  <c r="F107" i="34"/>
  <c r="K107" i="34"/>
  <c r="E107" i="34"/>
  <c r="D107" i="34"/>
  <c r="I107" i="34"/>
  <c r="L107" i="34"/>
  <c r="G107" i="34"/>
  <c r="H107" i="34"/>
  <c r="F32" i="35"/>
  <c r="H32" i="35"/>
  <c r="N32" i="35"/>
  <c r="L32" i="35"/>
  <c r="J32" i="35"/>
  <c r="C3862" i="33"/>
  <c r="K32" i="35"/>
  <c r="I32" i="35"/>
  <c r="M32" i="35"/>
  <c r="G32" i="35"/>
  <c r="G29" i="35"/>
  <c r="H29" i="35"/>
  <c r="M29" i="35"/>
  <c r="K29" i="35"/>
  <c r="L29" i="35"/>
  <c r="N29" i="35"/>
  <c r="I29" i="35"/>
  <c r="J29" i="35"/>
  <c r="FJ30" i="22"/>
  <c r="FJ118" i="22"/>
  <c r="FJ86" i="22"/>
  <c r="C938" i="33"/>
  <c r="C939" i="33"/>
  <c r="C1199" i="33" s="1"/>
  <c r="C935" i="33"/>
  <c r="C1195" i="33" s="1"/>
  <c r="C60" i="34"/>
  <c r="C931" i="33"/>
  <c r="C1191" i="33" s="1"/>
  <c r="FJ120" i="22"/>
  <c r="C59" i="34"/>
  <c r="C930" i="33"/>
  <c r="C1190" i="33" s="1"/>
  <c r="M3670" i="33"/>
  <c r="C85" i="33"/>
  <c r="G29" i="33"/>
  <c r="EB23" i="22"/>
  <c r="EN23" i="22" s="1"/>
  <c r="J108" i="34"/>
  <c r="D98" i="34"/>
  <c r="DZ24" i="22"/>
  <c r="EL24" i="22" s="1"/>
  <c r="C120" i="34"/>
  <c r="C112" i="34"/>
  <c r="DZ28" i="22"/>
  <c r="EL28" i="22" s="1"/>
  <c r="E98" i="34"/>
  <c r="F108" i="34"/>
  <c r="G98" i="34"/>
  <c r="C3853" i="33"/>
  <c r="G108" i="34"/>
  <c r="K108" i="34"/>
  <c r="E108" i="34"/>
  <c r="L98" i="34"/>
  <c r="H98" i="34"/>
  <c r="F98" i="34"/>
  <c r="K98" i="34"/>
  <c r="DZ27" i="22"/>
  <c r="C116" i="34"/>
  <c r="L108" i="34"/>
  <c r="H108" i="34"/>
  <c r="D108" i="34"/>
  <c r="I108" i="34"/>
  <c r="J98" i="34"/>
  <c r="I9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DZ131" i="22"/>
  <c r="EL131" i="22" s="1"/>
  <c r="DZ99" i="22"/>
  <c r="EL99" i="22" s="1"/>
  <c r="G46" i="33"/>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C49" i="34"/>
  <c r="C67" i="34"/>
  <c r="C15" i="25"/>
  <c r="C58" i="25" s="1"/>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EL44" i="22" s="1"/>
  <c r="DZ83" i="22"/>
  <c r="FJ114" i="22"/>
  <c r="FJ91" i="22"/>
  <c r="EX28" i="22"/>
  <c r="FJ123" i="22"/>
  <c r="FJ100" i="22"/>
  <c r="FJ66" i="22"/>
  <c r="FJ18" i="22"/>
  <c r="FJ136" i="22"/>
  <c r="FJ29" i="22"/>
  <c r="FL20" i="22"/>
  <c r="FJ35" i="22"/>
  <c r="FJ72" i="22"/>
  <c r="FJ55" i="22"/>
  <c r="FJ116" i="22"/>
  <c r="E197" i="35"/>
  <c r="E20" i="35" s="1"/>
  <c r="C84" i="33"/>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28" i="33"/>
  <c r="C16" i="33"/>
  <c r="C24" i="33"/>
  <c r="C82" i="33"/>
  <c r="C39" i="33"/>
  <c r="C32" i="33"/>
  <c r="H2268" i="33"/>
  <c r="H3898" i="33" s="1"/>
  <c r="K2268" i="33"/>
  <c r="K3898" i="33" s="1"/>
  <c r="C42" i="33"/>
  <c r="C27" i="33"/>
  <c r="C35" i="33"/>
  <c r="C25" i="33"/>
  <c r="C34" i="33"/>
  <c r="C53" i="33"/>
  <c r="F2268" i="33"/>
  <c r="F3898" i="33" s="1"/>
  <c r="L2268" i="33"/>
  <c r="L3898" i="33" s="1"/>
  <c r="C51" i="33"/>
  <c r="M890" i="33"/>
  <c r="C30" i="33"/>
  <c r="C45" i="33"/>
  <c r="C83" i="33"/>
  <c r="C48" i="33"/>
  <c r="C56" i="33"/>
  <c r="D2268" i="33"/>
  <c r="D3898" i="33" s="1"/>
  <c r="I2268" i="33"/>
  <c r="I3898" i="33" s="1"/>
  <c r="C46" i="33"/>
  <c r="C33" i="33"/>
  <c r="C17" i="33"/>
  <c r="C52" i="33"/>
  <c r="C44" i="33"/>
  <c r="C41" i="33"/>
  <c r="E2268" i="33"/>
  <c r="E3898" i="33" s="1"/>
  <c r="J2268" i="33"/>
  <c r="J3898" i="33" s="1"/>
  <c r="G2268" i="33"/>
  <c r="G3898" i="33" s="1"/>
  <c r="FJ27" i="22"/>
  <c r="FP19" i="22"/>
  <c r="AT16" i="22"/>
  <c r="C24" i="25"/>
  <c r="C67" i="25" s="1"/>
  <c r="FP22"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I671" i="33" s="1"/>
  <c r="DH192" i="22"/>
  <c r="I670" i="33" s="1"/>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671" i="33" s="1"/>
  <c r="DC192" i="22"/>
  <c r="D670" i="33" s="1"/>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G671" i="33" s="1"/>
  <c r="DF192" i="22"/>
  <c r="G670" i="33" s="1"/>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L671" i="33" s="1"/>
  <c r="DK192" i="22"/>
  <c r="L670" i="33" s="1"/>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E671" i="33" s="1"/>
  <c r="DD192" i="22"/>
  <c r="E670" i="33" s="1"/>
  <c r="CG88" i="22"/>
  <c r="DE88" i="22"/>
  <c r="CK98" i="22"/>
  <c r="DI98" i="22"/>
  <c r="CG123" i="22"/>
  <c r="DE123" i="22"/>
  <c r="CK34" i="22"/>
  <c r="DI34" i="22"/>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K671" i="33" s="1"/>
  <c r="DJ192" i="22"/>
  <c r="K670" i="33" s="1"/>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H671" i="33" s="1"/>
  <c r="DG192" i="22"/>
  <c r="H670" i="33" s="1"/>
  <c r="CK192" i="22"/>
  <c r="J671" i="33" s="1"/>
  <c r="DI192" i="22"/>
  <c r="J670" i="33" s="1"/>
  <c r="CG192" i="22"/>
  <c r="F671" i="33" s="1"/>
  <c r="DE192" i="22"/>
  <c r="F670" i="33" s="1"/>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DJ34" i="22"/>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M2302" i="33" l="1"/>
  <c r="C1837" i="33"/>
  <c r="C1846" i="33"/>
  <c r="C1198" i="33"/>
  <c r="M670" i="33"/>
  <c r="M671" i="33"/>
  <c r="D660" i="33"/>
  <c r="D678" i="33"/>
  <c r="K660" i="33"/>
  <c r="K678" i="33"/>
  <c r="D661" i="33"/>
  <c r="D679" i="33"/>
  <c r="L660" i="33"/>
  <c r="L678" i="33"/>
  <c r="C680" i="33"/>
  <c r="C682" i="33" s="1"/>
  <c r="K672" i="33"/>
  <c r="J660" i="33"/>
  <c r="J678" i="33"/>
  <c r="J661" i="33"/>
  <c r="J679" i="33"/>
  <c r="D672" i="33"/>
  <c r="J672" i="33"/>
  <c r="G672" i="33"/>
  <c r="K661" i="33"/>
  <c r="K679" i="33"/>
  <c r="L679" i="33"/>
  <c r="L661" i="33"/>
  <c r="E660" i="33"/>
  <c r="E678" i="33"/>
  <c r="E679" i="33"/>
  <c r="E661" i="33"/>
  <c r="L672" i="33"/>
  <c r="D675" i="33"/>
  <c r="H660" i="33"/>
  <c r="H678" i="33"/>
  <c r="H661" i="33"/>
  <c r="H679" i="33"/>
  <c r="I672" i="33"/>
  <c r="L675" i="33"/>
  <c r="I675" i="33"/>
  <c r="H672" i="33"/>
  <c r="F672" i="33"/>
  <c r="I660" i="33"/>
  <c r="I678" i="33"/>
  <c r="G678" i="33"/>
  <c r="G660" i="33"/>
  <c r="I679" i="33"/>
  <c r="I661" i="33"/>
  <c r="G661" i="33"/>
  <c r="G679" i="33"/>
  <c r="E672" i="33"/>
  <c r="F660" i="33"/>
  <c r="F678" i="33"/>
  <c r="F661" i="33"/>
  <c r="F679" i="33"/>
  <c r="M667" i="33"/>
  <c r="M672" i="33" s="1"/>
  <c r="K675" i="33"/>
  <c r="C662" i="33"/>
  <c r="E675" i="33"/>
  <c r="G675" i="33"/>
  <c r="C64" i="34"/>
  <c r="C1104" i="34" s="1"/>
  <c r="C2308" i="33"/>
  <c r="C1228" i="33"/>
  <c r="C1270" i="33"/>
  <c r="C1280" i="33"/>
  <c r="C1288" i="33"/>
  <c r="C1218" i="33"/>
  <c r="C1236" i="33"/>
  <c r="C1238" i="33" s="1"/>
  <c r="C2298" i="33"/>
  <c r="C2316" i="33"/>
  <c r="C2318" i="33" s="1"/>
  <c r="C1384" i="33"/>
  <c r="C1374" i="33"/>
  <c r="C1855" i="33"/>
  <c r="C1392" i="33"/>
  <c r="C1394" i="33" s="1"/>
  <c r="C1851" i="33"/>
  <c r="C1850" i="33"/>
  <c r="C1859" i="33"/>
  <c r="C1841" i="33"/>
  <c r="C1840" i="33"/>
  <c r="C1858" i="33"/>
  <c r="F17" i="32"/>
  <c r="C2224" i="33"/>
  <c r="C2125" i="33"/>
  <c r="C2229" i="33" s="1"/>
  <c r="C2234" i="33"/>
  <c r="C2243" i="33"/>
  <c r="C2235" i="33"/>
  <c r="C2121" i="33"/>
  <c r="C2122" i="33" s="1"/>
  <c r="C2221" i="33"/>
  <c r="C2257" i="33" s="1"/>
  <c r="C3887" i="33" s="1"/>
  <c r="C2135" i="33"/>
  <c r="C2242" i="33"/>
  <c r="C2230" i="33"/>
  <c r="C2266" i="33" s="1"/>
  <c r="C3896" i="33" s="1"/>
  <c r="J272" i="34"/>
  <c r="C537" i="34"/>
  <c r="Z22" i="35"/>
  <c r="C522" i="34"/>
  <c r="C529" i="34" s="1"/>
  <c r="C1877" i="33"/>
  <c r="C2085" i="33" s="1"/>
  <c r="C1896" i="33"/>
  <c r="C1881" i="33"/>
  <c r="C2089" i="33" s="1"/>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EV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G168" i="34"/>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Q44" i="22" s="1"/>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R40" i="22" s="1"/>
  <c r="EG134" i="22"/>
  <c r="ES134" i="22" s="1"/>
  <c r="EF92" i="22"/>
  <c r="ER92" i="22" s="1"/>
  <c r="EF46" i="22"/>
  <c r="ED96" i="22"/>
  <c r="EP96" i="22" s="1"/>
  <c r="EE49" i="22"/>
  <c r="EQ49" i="22" s="1"/>
  <c r="EF119" i="22"/>
  <c r="ER119" i="22" s="1"/>
  <c r="EA77" i="22"/>
  <c r="EM77" i="22" s="1"/>
  <c r="EA44" i="22"/>
  <c r="EM44" i="22" s="1"/>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P36" i="22" s="1"/>
  <c r="EH31" i="22"/>
  <c r="ET31" i="22" s="1"/>
  <c r="EF31" i="22"/>
  <c r="ER31" i="22" s="1"/>
  <c r="EE43" i="22"/>
  <c r="EQ43" i="22" s="1"/>
  <c r="EI30" i="22"/>
  <c r="EU30" i="22" s="1"/>
  <c r="EI35" i="22"/>
  <c r="EU35" i="22" s="1"/>
  <c r="EE35" i="22"/>
  <c r="EQ35" i="22" s="1"/>
  <c r="EB44" i="22"/>
  <c r="EN44" i="22" s="1"/>
  <c r="EI36" i="22"/>
  <c r="EU36" i="22" s="1"/>
  <c r="I168" i="34"/>
  <c r="M2345" i="33"/>
  <c r="J153" i="34"/>
  <c r="M2459" i="33"/>
  <c r="M2397"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S34" i="22" s="1"/>
  <c r="EI34" i="22"/>
  <c r="Z33" i="35"/>
  <c r="L168" i="34"/>
  <c r="G163" i="34"/>
  <c r="J164" i="34"/>
  <c r="D168" i="34"/>
  <c r="D171" i="34"/>
  <c r="J171" i="34"/>
  <c r="F164" i="34"/>
  <c r="L163" i="34"/>
  <c r="D163" i="34"/>
  <c r="K168" i="34"/>
  <c r="I171" i="34"/>
  <c r="E164" i="34"/>
  <c r="H164" i="34"/>
  <c r="I164" i="34"/>
  <c r="C3867"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3862" i="33"/>
  <c r="I3862" i="33"/>
  <c r="K3862" i="33"/>
  <c r="G3862" i="33"/>
  <c r="D3862" i="33"/>
  <c r="EI42" i="22"/>
  <c r="EU42" i="22" s="1"/>
  <c r="C2472" i="33"/>
  <c r="F3862" i="33"/>
  <c r="C3866" i="33"/>
  <c r="H3862" i="33"/>
  <c r="L3862" i="33"/>
  <c r="J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O36" i="22" s="1"/>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M36" i="22" s="1"/>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T44" i="22" s="1"/>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P34" i="22" s="1"/>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Q36" i="22" s="1"/>
  <c r="EE61" i="22"/>
  <c r="EQ61" i="22" s="1"/>
  <c r="EC86" i="22"/>
  <c r="EO86" i="22" s="1"/>
  <c r="EA30" i="22"/>
  <c r="EM30" i="22" s="1"/>
  <c r="EB111" i="22"/>
  <c r="EN111" i="22" s="1"/>
  <c r="EB70" i="22"/>
  <c r="EN70" i="22" s="1"/>
  <c r="EC91" i="22"/>
  <c r="EO91" i="22" s="1"/>
  <c r="EG109" i="22"/>
  <c r="ES109" i="22" s="1"/>
  <c r="EI44" i="22"/>
  <c r="EU44" i="22" s="1"/>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T34" i="22" s="1"/>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O40" i="22" s="1"/>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R44" i="22" s="1"/>
  <c r="EH136" i="22"/>
  <c r="ET136" i="22" s="1"/>
  <c r="EA80" i="22"/>
  <c r="EM80" i="22" s="1"/>
  <c r="EC103" i="22"/>
  <c r="EO103" i="22" s="1"/>
  <c r="EE126" i="22"/>
  <c r="EQ126" i="22" s="1"/>
  <c r="ED139" i="22"/>
  <c r="EP139" i="22" s="1"/>
  <c r="EB34" i="22"/>
  <c r="EN34" i="22" s="1"/>
  <c r="ED41" i="22"/>
  <c r="EP41" i="22" s="1"/>
  <c r="EE46" i="22"/>
  <c r="EC108" i="22"/>
  <c r="EO108" i="22" s="1"/>
  <c r="EI141" i="22"/>
  <c r="EU141" i="22" s="1"/>
  <c r="EH113" i="22"/>
  <c r="ET113" i="22" s="1"/>
  <c r="ED192" i="22"/>
  <c r="EP192" i="22" s="1"/>
  <c r="EA49" i="22"/>
  <c r="EM49" i="22" s="1"/>
  <c r="C925" i="33"/>
  <c r="C50" i="34"/>
  <c r="C106" i="34"/>
  <c r="C113" i="34" s="1"/>
  <c r="M107" i="34"/>
  <c r="C102" i="34"/>
  <c r="C54" i="34"/>
  <c r="EL25" i="22"/>
  <c r="M108" i="34"/>
  <c r="EL17" i="22"/>
  <c r="C940" i="33"/>
  <c r="DZ193" i="22"/>
  <c r="C23" i="25" s="1"/>
  <c r="C66" i="25" s="1"/>
  <c r="C921" i="33"/>
  <c r="C1181" i="33" s="1"/>
  <c r="EA51" i="22"/>
  <c r="EM51" i="22" s="1"/>
  <c r="EA68" i="22"/>
  <c r="EM68" i="22" s="1"/>
  <c r="EE29" i="22"/>
  <c r="EE21" i="22"/>
  <c r="EQ21" i="22" s="1"/>
  <c r="EI18" i="22"/>
  <c r="EI25" i="22"/>
  <c r="EU25" i="22" s="1"/>
  <c r="EH29" i="22"/>
  <c r="EI29" i="22"/>
  <c r="EU29" i="22" s="1"/>
  <c r="ED18" i="22"/>
  <c r="EC29" i="22"/>
  <c r="EO29" i="22" s="1"/>
  <c r="ED21" i="22"/>
  <c r="EE28" i="22"/>
  <c r="EQ28" i="22" s="1"/>
  <c r="EE25" i="22"/>
  <c r="EQ25" i="22" s="1"/>
  <c r="ED25" i="22"/>
  <c r="EP25" i="22" s="1"/>
  <c r="EI21" i="22"/>
  <c r="EU21" i="22" s="1"/>
  <c r="EI28" i="22"/>
  <c r="EG28" i="22"/>
  <c r="EB18" i="22"/>
  <c r="EG26" i="22"/>
  <c r="EB29" i="22"/>
  <c r="EN29" i="22" s="1"/>
  <c r="EB25" i="22"/>
  <c r="EN25" i="22" s="1"/>
  <c r="ED28" i="22"/>
  <c r="EP28" i="22" s="1"/>
  <c r="EA25" i="22"/>
  <c r="EM25" i="22" s="1"/>
  <c r="EI26" i="22"/>
  <c r="ED26" i="22"/>
  <c r="EF25" i="22"/>
  <c r="ER25" i="22" s="1"/>
  <c r="EH25" i="22"/>
  <c r="ET25" i="22" s="1"/>
  <c r="EC28" i="22"/>
  <c r="EO28" i="22" s="1"/>
  <c r="EA26" i="22"/>
  <c r="EM26" i="22" s="1"/>
  <c r="EI142" i="22"/>
  <c r="EU142" i="22" s="1"/>
  <c r="EF133" i="22"/>
  <c r="ER133" i="22" s="1"/>
  <c r="EC44" i="22"/>
  <c r="EO44" i="22" s="1"/>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M28" i="22" s="1"/>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J116" i="34"/>
  <c r="C121" i="34"/>
  <c r="K116" i="34"/>
  <c r="F116" i="34"/>
  <c r="L116" i="34"/>
  <c r="C3874" i="33"/>
  <c r="G116" i="34"/>
  <c r="E116" i="34"/>
  <c r="EA24" i="22"/>
  <c r="EM24" i="22" s="1"/>
  <c r="D120" i="34"/>
  <c r="F101" i="34"/>
  <c r="F119" i="34"/>
  <c r="EI27" i="22"/>
  <c r="EA27" i="22"/>
  <c r="EM27" i="22" s="1"/>
  <c r="EE24" i="22"/>
  <c r="EQ24" i="22" s="1"/>
  <c r="H120" i="34"/>
  <c r="E112" i="34"/>
  <c r="L111" i="34"/>
  <c r="M98" i="34"/>
  <c r="C3875" i="33"/>
  <c r="C3856" i="33"/>
  <c r="D116" i="34"/>
  <c r="EB24" i="22"/>
  <c r="EN24" i="22" s="1"/>
  <c r="E120" i="34"/>
  <c r="G101" i="34"/>
  <c r="G119" i="34"/>
  <c r="EC27" i="22"/>
  <c r="EO27" i="22" s="1"/>
  <c r="EF29" i="22"/>
  <c r="ER29" i="22" s="1"/>
  <c r="EC24" i="22"/>
  <c r="EO24" i="22" s="1"/>
  <c r="F120" i="34"/>
  <c r="EC26" i="22"/>
  <c r="EO26" i="22" s="1"/>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H116" i="34"/>
  <c r="C2368" i="33"/>
  <c r="C3871"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EG73" i="22"/>
  <c r="ES73" i="22" s="1"/>
  <c r="EB124" i="22"/>
  <c r="EN124" i="22" s="1"/>
  <c r="EA72" i="22"/>
  <c r="ED27" i="22"/>
  <c r="K112" i="34"/>
  <c r="G112" i="34"/>
  <c r="D112" i="34"/>
  <c r="F112" i="34"/>
  <c r="J112" i="34"/>
  <c r="I112" i="34"/>
  <c r="H111" i="34"/>
  <c r="EB28" i="22"/>
  <c r="EN28" i="22" s="1"/>
  <c r="ED142" i="22"/>
  <c r="EP142" i="22" s="1"/>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N36" i="22" s="1"/>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S44" i="22" s="1"/>
  <c r="EF36" i="22"/>
  <c r="ER36" i="22"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EG111" i="22"/>
  <c r="ES111" i="22" s="1"/>
  <c r="EA74" i="22"/>
  <c r="EG18" i="22"/>
  <c r="J1042" i="34" s="1"/>
  <c r="EI48" i="22"/>
  <c r="EU48" i="22" s="1"/>
  <c r="EH135" i="22"/>
  <c r="ET135" i="22" s="1"/>
  <c r="EI72" i="22"/>
  <c r="ED114" i="22"/>
  <c r="EG91" i="22"/>
  <c r="ES91" i="22" s="1"/>
  <c r="EC33" i="22"/>
  <c r="EO33" i="22" s="1"/>
  <c r="EH36" i="22"/>
  <c r="ET36" i="22" s="1"/>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EH111" i="22"/>
  <c r="ET111" i="22" s="1"/>
  <c r="EC82" i="22"/>
  <c r="EO82" i="22" s="1"/>
  <c r="EE42" i="22"/>
  <c r="EF32" i="22"/>
  <c r="ER32" i="22" s="1"/>
  <c r="EF89" i="22"/>
  <c r="ED131" i="22"/>
  <c r="EP131" i="22" s="1"/>
  <c r="EA85" i="22"/>
  <c r="EM85" i="22" s="1"/>
  <c r="EB64" i="22"/>
  <c r="EN64" i="22" s="1"/>
  <c r="EB87" i="22"/>
  <c r="EN87" i="22" s="1"/>
  <c r="EI138" i="22"/>
  <c r="EU138" i="22" s="1"/>
  <c r="EE34" i="22"/>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S36" i="22" s="1"/>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P44" i="22" s="1"/>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EY108" i="22"/>
  <c r="EY68" i="22"/>
  <c r="T17" i="32"/>
  <c r="Z35" i="35"/>
  <c r="EY57" i="22"/>
  <c r="EY131" i="22"/>
  <c r="M2090" i="33"/>
  <c r="C525" i="33"/>
  <c r="C535" i="33"/>
  <c r="C538" i="33"/>
  <c r="M526" i="33"/>
  <c r="C539" i="33"/>
  <c r="EY56" i="22"/>
  <c r="Z28" i="35"/>
  <c r="Z31" i="35"/>
  <c r="M3898" i="33"/>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E662" i="33" l="1"/>
  <c r="F662" i="33"/>
  <c r="C1290" i="33"/>
  <c r="H680" i="33"/>
  <c r="H682" i="33" s="1"/>
  <c r="J680" i="33"/>
  <c r="J682" i="33" s="1"/>
  <c r="J662" i="33"/>
  <c r="D662" i="33"/>
  <c r="F680" i="33"/>
  <c r="F682" i="33" s="1"/>
  <c r="I662" i="33"/>
  <c r="D680" i="33"/>
  <c r="D682" i="33" s="1"/>
  <c r="M661" i="33"/>
  <c r="M678" i="33"/>
  <c r="M679" i="33"/>
  <c r="L680" i="33"/>
  <c r="L682" i="33" s="1"/>
  <c r="H662" i="33"/>
  <c r="G680" i="33"/>
  <c r="G682" i="33" s="1"/>
  <c r="G662" i="33"/>
  <c r="E680" i="33"/>
  <c r="E682" i="33" s="1"/>
  <c r="M675" i="33"/>
  <c r="M660" i="33"/>
  <c r="K680" i="33"/>
  <c r="K682" i="33" s="1"/>
  <c r="E26" i="33"/>
  <c r="I684" i="33"/>
  <c r="E684" i="33"/>
  <c r="G26" i="33" s="1"/>
  <c r="M684" i="33"/>
  <c r="I680" i="33"/>
  <c r="I682" i="33" s="1"/>
  <c r="L662" i="33"/>
  <c r="C69" i="34"/>
  <c r="K662" i="33"/>
  <c r="C80" i="25"/>
  <c r="D21" i="27"/>
  <c r="D15" i="27" s="1"/>
  <c r="C1842" i="33"/>
  <c r="C1860" i="33"/>
  <c r="C1852" i="33"/>
  <c r="C539" i="34"/>
  <c r="C2132" i="33"/>
  <c r="C2225" i="33"/>
  <c r="C2140" i="33"/>
  <c r="C2142" i="33" s="1"/>
  <c r="C2239" i="33"/>
  <c r="C2236" i="33"/>
  <c r="I2992" i="33"/>
  <c r="I2994" i="33" s="1"/>
  <c r="I3252" i="33"/>
  <c r="I3254" i="33" s="1"/>
  <c r="C1888" i="33"/>
  <c r="C1898" i="33" s="1"/>
  <c r="C1878" i="33"/>
  <c r="K3460" i="33"/>
  <c r="K3462" i="33" s="1"/>
  <c r="J2992" i="33"/>
  <c r="J2994" i="33" s="1"/>
  <c r="M797" i="34"/>
  <c r="C29" i="34" s="1"/>
  <c r="G3460" i="33"/>
  <c r="G3462" i="33" s="1"/>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C522" i="33"/>
  <c r="M2471" i="33"/>
  <c r="M2363" i="33"/>
  <c r="EU34" i="22"/>
  <c r="M2452" i="33"/>
  <c r="M2410" i="33"/>
  <c r="EN42" i="22"/>
  <c r="M2411" i="33"/>
  <c r="M2419" i="33"/>
  <c r="M2415" i="33"/>
  <c r="M2348" i="33"/>
  <c r="M2400" i="33"/>
  <c r="M2462" i="33"/>
  <c r="M153" i="34"/>
  <c r="M2367" i="33"/>
  <c r="M2470" i="33"/>
  <c r="M2418" i="33"/>
  <c r="M2358" i="33"/>
  <c r="M2366" i="33"/>
  <c r="EQ34" i="22"/>
  <c r="EQ38" i="22"/>
  <c r="C2370" i="33"/>
  <c r="M2359" i="33"/>
  <c r="EM34" i="22"/>
  <c r="M2463" i="33"/>
  <c r="EO34" i="22"/>
  <c r="ER34" i="22"/>
  <c r="C2422" i="33"/>
  <c r="L2472" i="33"/>
  <c r="L2474" i="33" s="1"/>
  <c r="F2420" i="33"/>
  <c r="ES29" i="22"/>
  <c r="D173" i="34"/>
  <c r="J2420" i="33"/>
  <c r="J2422" i="33" s="1"/>
  <c r="EP29" i="22"/>
  <c r="H2472" i="33"/>
  <c r="EL193" i="22"/>
  <c r="EL16" i="22" s="1"/>
  <c r="I173" i="34"/>
  <c r="I175" i="34" s="1"/>
  <c r="E154" i="34"/>
  <c r="E155" i="34" s="1"/>
  <c r="J173" i="34"/>
  <c r="J175" i="34" s="1"/>
  <c r="K2420" i="33"/>
  <c r="K2422" i="33" s="1"/>
  <c r="I2472" i="33"/>
  <c r="I2474" i="33" s="1"/>
  <c r="M164" i="34"/>
  <c r="M163" i="34"/>
  <c r="L173" i="34"/>
  <c r="L175" i="34" s="1"/>
  <c r="G2472" i="33"/>
  <c r="J2472" i="33"/>
  <c r="J2474" i="33" s="1"/>
  <c r="H173" i="34"/>
  <c r="K2472" i="33"/>
  <c r="K2474" i="33" s="1"/>
  <c r="K173" i="34"/>
  <c r="K175" i="34" s="1"/>
  <c r="C2474" i="33"/>
  <c r="DZ16" i="22"/>
  <c r="C19" i="25"/>
  <c r="C62" i="25" s="1"/>
  <c r="C3857" i="33"/>
  <c r="C3858" i="33" s="1"/>
  <c r="G2420" i="33"/>
  <c r="M168" i="34"/>
  <c r="C2086" i="33"/>
  <c r="M3862" i="33"/>
  <c r="E2420" i="33"/>
  <c r="E173" i="34"/>
  <c r="C123" i="34"/>
  <c r="I2420" i="33"/>
  <c r="I2422" i="33" s="1"/>
  <c r="I154" i="34"/>
  <c r="I155" i="34" s="1"/>
  <c r="L154" i="34"/>
  <c r="L155" i="34" s="1"/>
  <c r="H154" i="34"/>
  <c r="H155" i="34" s="1"/>
  <c r="F154" i="34"/>
  <c r="F155" i="34" s="1"/>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C2096" i="33"/>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EJ101" i="22"/>
  <c r="EJ69" i="22"/>
  <c r="C1182" i="33"/>
  <c r="C922" i="33"/>
  <c r="EJ122" i="22"/>
  <c r="EJ74" i="22"/>
  <c r="EJ66" i="22"/>
  <c r="EJ108" i="22"/>
  <c r="EJ49" i="22"/>
  <c r="M101" i="34"/>
  <c r="M111" i="34"/>
  <c r="H121" i="34"/>
  <c r="D121" i="34"/>
  <c r="ET108" i="22"/>
  <c r="EV108" i="22" s="1"/>
  <c r="EJ94" i="22"/>
  <c r="EJ40" i="22"/>
  <c r="M119" i="34"/>
  <c r="EJ102" i="22"/>
  <c r="M112" i="34"/>
  <c r="M120" i="34"/>
  <c r="L2368" i="33"/>
  <c r="L2370" i="33" s="1"/>
  <c r="F2368" i="33"/>
  <c r="F121" i="34"/>
  <c r="J121" i="34"/>
  <c r="J123" i="34" s="1"/>
  <c r="D2368" i="33"/>
  <c r="L121" i="34"/>
  <c r="L123" i="34" s="1"/>
  <c r="K121" i="34"/>
  <c r="K123" i="34" s="1"/>
  <c r="M116" i="34"/>
  <c r="I2368" i="33"/>
  <c r="I2370" i="33" s="1"/>
  <c r="K2368" i="33"/>
  <c r="K2370" i="33" s="1"/>
  <c r="H2368" i="33"/>
  <c r="I121" i="34"/>
  <c r="I123" i="34" s="1"/>
  <c r="E121" i="34"/>
  <c r="J2368" i="33"/>
  <c r="J2370" i="33" s="1"/>
  <c r="C3876" i="33"/>
  <c r="E2368" i="33"/>
  <c r="G2368" i="33"/>
  <c r="G121" i="34"/>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5" i="33"/>
  <c r="C3905" i="33" s="1"/>
  <c r="C2279" i="33"/>
  <c r="C3909" i="33" s="1"/>
  <c r="C1109" i="34"/>
  <c r="C2104" i="33"/>
  <c r="C1200"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44"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C71" i="34" l="1"/>
  <c r="M680" i="33"/>
  <c r="M662" i="33"/>
  <c r="M682" i="33"/>
  <c r="C26" i="33"/>
  <c r="D19" i="27"/>
  <c r="D20" i="27"/>
  <c r="D16" i="27"/>
  <c r="D18" i="27"/>
  <c r="D17" i="27"/>
  <c r="C2244" i="33"/>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E3861" i="33"/>
  <c r="EV42" i="22"/>
  <c r="L3861" i="33"/>
  <c r="K3861" i="33"/>
  <c r="D175" i="34"/>
  <c r="D2474" i="33"/>
  <c r="M2457" i="33"/>
  <c r="M2464" i="33" s="1"/>
  <c r="M2454" i="33"/>
  <c r="M2405" i="33"/>
  <c r="M2412" i="33" s="1"/>
  <c r="M2453" i="33"/>
  <c r="M2350" i="33"/>
  <c r="M2402" i="33"/>
  <c r="D3861" i="33"/>
  <c r="M2349" i="33"/>
  <c r="M2401" i="33"/>
  <c r="M2353" i="33"/>
  <c r="M2360" i="33" s="1"/>
  <c r="J3861" i="33"/>
  <c r="H3861" i="33"/>
  <c r="F2474" i="33"/>
  <c r="E2474" i="33"/>
  <c r="G2422" i="33"/>
  <c r="E2422" i="33"/>
  <c r="F175" i="34"/>
  <c r="G175" i="34"/>
  <c r="E175" i="34"/>
  <c r="C2265" i="33"/>
  <c r="C3895" i="33" s="1"/>
  <c r="C3902" i="33" s="1"/>
  <c r="G3861" i="33"/>
  <c r="F123" i="34"/>
  <c r="M2420" i="33"/>
  <c r="C61" i="33" s="1"/>
  <c r="M173" i="34"/>
  <c r="M158" i="34"/>
  <c r="M165" i="34" s="1"/>
  <c r="D155" i="34"/>
  <c r="M155" i="34" s="1"/>
  <c r="M154" i="34"/>
  <c r="C2261" i="33"/>
  <c r="C2262" i="33" s="1"/>
  <c r="H123" i="34"/>
  <c r="E123" i="34"/>
  <c r="F2370" i="33"/>
  <c r="H2370" i="33"/>
  <c r="G123" i="34"/>
  <c r="D123" i="34"/>
  <c r="E2370" i="33"/>
  <c r="F3861" i="33"/>
  <c r="D2370" i="33"/>
  <c r="M102" i="34"/>
  <c r="I3861" i="33"/>
  <c r="G2370" i="33"/>
  <c r="M106" i="34"/>
  <c r="M113" i="34" s="1"/>
  <c r="M121" i="34"/>
  <c r="C16" i="34" s="1"/>
  <c r="M103" i="34"/>
  <c r="M2368" i="33"/>
  <c r="C60" i="33" s="1"/>
  <c r="C3890" i="33"/>
  <c r="M525" i="33"/>
  <c r="C3910" i="33"/>
  <c r="C2280" i="33"/>
  <c r="C1111" i="34"/>
  <c r="C36" i="25"/>
  <c r="C79" i="25" s="1"/>
  <c r="AF16" i="32"/>
  <c r="C28" i="25"/>
  <c r="C71" i="25" s="1"/>
  <c r="T16" i="32"/>
  <c r="E65" i="33" l="1"/>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C3891" i="33"/>
  <c r="C3892" i="33" s="1"/>
  <c r="M175" i="34"/>
  <c r="M2422" i="33"/>
  <c r="C17" i="34"/>
  <c r="M123" i="34"/>
  <c r="M2370" i="33"/>
  <c r="M3861" i="33"/>
  <c r="C61" i="25"/>
  <c r="C20" i="25"/>
  <c r="B75" i="25" l="1"/>
  <c r="B66" i="25" l="1"/>
  <c r="M57" i="25"/>
  <c r="B81" i="25"/>
  <c r="B59" i="25"/>
  <c r="B60" i="25"/>
  <c r="B58" i="25"/>
  <c r="B73" i="25"/>
  <c r="B63" i="25"/>
  <c r="B62" i="25"/>
  <c r="B67" i="25"/>
  <c r="B65" i="25"/>
  <c r="B61" i="25"/>
  <c r="B57" i="25"/>
  <c r="L57" i="25" l="1"/>
  <c r="C57" i="25"/>
  <c r="T17" i="22" l="1"/>
  <c r="X17" i="22"/>
  <c r="U17" i="22"/>
  <c r="Y17" i="22"/>
  <c r="V17" i="22"/>
  <c r="Z17" i="22"/>
  <c r="S17" i="22"/>
  <c r="R17" i="22"/>
  <c r="W17" i="22"/>
  <c r="I57" i="25"/>
  <c r="K57" i="25"/>
  <c r="E57" i="25"/>
  <c r="J57" i="25"/>
  <c r="H57" i="25"/>
  <c r="G57" i="25"/>
  <c r="F57" i="25"/>
  <c r="D57" i="25"/>
  <c r="DX20" i="22"/>
  <c r="DX23" i="22"/>
  <c r="DX21" i="22"/>
  <c r="AW17" i="22" l="1"/>
  <c r="AU17" i="22"/>
  <c r="AX17" i="22"/>
  <c r="AZ17" i="22"/>
  <c r="BB17" i="22"/>
  <c r="BC17" i="22"/>
  <c r="BA17" i="22"/>
  <c r="AY17" i="22"/>
  <c r="AV17" i="22"/>
  <c r="BG17" i="22"/>
  <c r="BI17" i="22"/>
  <c r="AK17" i="22"/>
  <c r="AK193" i="22" s="1"/>
  <c r="AK16" i="22" s="1"/>
  <c r="AM17" i="22"/>
  <c r="AM193" i="22" s="1"/>
  <c r="AM16" i="22" s="1"/>
  <c r="BN17" i="22"/>
  <c r="BH17" i="22"/>
  <c r="AJ17" i="22"/>
  <c r="AJ193" i="22" s="1"/>
  <c r="AJ16" i="22" s="1"/>
  <c r="BM17" i="22"/>
  <c r="AQ17" i="22"/>
  <c r="AQ193" i="22" s="1"/>
  <c r="AQ16" i="22" s="1"/>
  <c r="BL17" i="22"/>
  <c r="BO17" i="22"/>
  <c r="AP17" i="22"/>
  <c r="AP193" i="22" s="1"/>
  <c r="AP16" i="22" s="1"/>
  <c r="AO17" i="22"/>
  <c r="AO193" i="22" s="1"/>
  <c r="AO16" i="22" s="1"/>
  <c r="BK17" i="22"/>
  <c r="AL17" i="22"/>
  <c r="AL193" i="22" s="1"/>
  <c r="AL16" i="22" s="1"/>
  <c r="AN17" i="22"/>
  <c r="AN193" i="22" s="1"/>
  <c r="AN16" i="22" s="1"/>
  <c r="AI17" i="22"/>
  <c r="BJ17" i="22"/>
  <c r="DX28" i="22"/>
  <c r="DX35" i="22"/>
  <c r="DX32" i="22"/>
  <c r="DX34" i="22"/>
  <c r="DX31" i="22"/>
  <c r="DX37" i="22"/>
  <c r="CB20" i="22"/>
  <c r="CZ20" i="22"/>
  <c r="CZ21" i="22"/>
  <c r="CZ23" i="22"/>
  <c r="DX22" i="22"/>
  <c r="CB23" i="22"/>
  <c r="DX29" i="22"/>
  <c r="M59" i="25"/>
  <c r="M16" i="25"/>
  <c r="CZ22" i="22"/>
  <c r="DX30" i="22"/>
  <c r="DX18" i="22"/>
  <c r="CB22" i="22"/>
  <c r="DX19" i="22"/>
  <c r="CB21" i="22"/>
  <c r="CZ18" i="22"/>
  <c r="CB19" i="22"/>
  <c r="CB18" i="22"/>
  <c r="CZ19" i="22"/>
  <c r="E1223" i="33" l="1"/>
  <c r="E1275" i="33"/>
  <c r="G1223" i="33"/>
  <c r="G1275" i="33"/>
  <c r="D1223" i="33"/>
  <c r="D1275" i="33"/>
  <c r="H1213" i="33"/>
  <c r="J1213" i="33"/>
  <c r="L1213" i="33"/>
  <c r="K1223" i="33"/>
  <c r="K1275" i="33"/>
  <c r="F1223" i="33"/>
  <c r="F1275" i="33"/>
  <c r="E1213" i="33"/>
  <c r="E1231" i="33" s="1"/>
  <c r="H1223" i="33"/>
  <c r="H1275" i="33"/>
  <c r="K1213" i="33"/>
  <c r="K1231" i="33" s="1"/>
  <c r="I1213" i="33"/>
  <c r="I1223" i="33"/>
  <c r="I1275" i="33"/>
  <c r="G1213" i="33"/>
  <c r="G1231" i="33" s="1"/>
  <c r="D1213" i="33"/>
  <c r="D1231" i="33" s="1"/>
  <c r="L1223" i="33"/>
  <c r="L1275" i="33"/>
  <c r="J1223" i="33"/>
  <c r="J1275" i="33"/>
  <c r="F1213" i="33"/>
  <c r="E1379" i="33"/>
  <c r="E2303" i="33"/>
  <c r="K1379" i="33"/>
  <c r="K1847" i="33" s="1"/>
  <c r="K2303" i="33"/>
  <c r="G1379" i="33"/>
  <c r="G1847" i="33" s="1"/>
  <c r="G2303" i="33"/>
  <c r="F1379" i="33"/>
  <c r="F2303" i="33"/>
  <c r="D1379" i="33"/>
  <c r="D1847" i="33" s="1"/>
  <c r="D2303" i="33"/>
  <c r="E1369" i="33"/>
  <c r="E2293" i="33"/>
  <c r="H1369" i="33"/>
  <c r="H1387" i="33" s="1"/>
  <c r="H2293" i="33"/>
  <c r="H1379" i="33"/>
  <c r="H2303" i="33"/>
  <c r="J1369" i="33"/>
  <c r="J2293" i="33"/>
  <c r="L1369" i="33"/>
  <c r="L2293" i="33"/>
  <c r="K1369" i="33"/>
  <c r="K1387" i="33" s="1"/>
  <c r="K2293" i="33"/>
  <c r="L1379" i="33"/>
  <c r="L2303" i="33"/>
  <c r="I1369" i="33"/>
  <c r="I2293" i="33"/>
  <c r="I1379" i="33"/>
  <c r="I1847" i="33" s="1"/>
  <c r="I2303" i="33"/>
  <c r="G1369" i="33"/>
  <c r="G2293" i="33"/>
  <c r="D1369" i="33"/>
  <c r="D2293" i="33"/>
  <c r="J1379" i="33"/>
  <c r="J2303" i="33"/>
  <c r="F1369" i="33"/>
  <c r="F1387" i="33" s="1"/>
  <c r="F2293" i="33"/>
  <c r="I1044" i="34"/>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H1873" i="33"/>
  <c r="H2081" i="33" s="1"/>
  <c r="H1034" i="34"/>
  <c r="J1873" i="33"/>
  <c r="J2081" i="33" s="1"/>
  <c r="J1034" i="34"/>
  <c r="L1873" i="33"/>
  <c r="L2081" i="33" s="1"/>
  <c r="L1034" i="34"/>
  <c r="K1873" i="33"/>
  <c r="K2081" i="33" s="1"/>
  <c r="K1034" i="34"/>
  <c r="I1873" i="33"/>
  <c r="I2081" i="33" s="1"/>
  <c r="I1034" i="34"/>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L1274" i="33" s="1"/>
  <c r="L1846" i="33" s="1"/>
  <c r="DO17" i="22"/>
  <c r="D1274" i="33" s="1"/>
  <c r="DP17" i="22"/>
  <c r="E1274" i="33" s="1"/>
  <c r="E1846" i="33" s="1"/>
  <c r="K101" i="33"/>
  <c r="K517" i="33" s="1"/>
  <c r="DV17" i="22"/>
  <c r="K1274" i="33" s="1"/>
  <c r="K1846" i="33" s="1"/>
  <c r="DQ17" i="22"/>
  <c r="H101" i="33"/>
  <c r="H517" i="33" s="1"/>
  <c r="DS17" i="22"/>
  <c r="H1265" i="33" s="1"/>
  <c r="I101" i="33"/>
  <c r="I517" i="33" s="1"/>
  <c r="DT17" i="22"/>
  <c r="I1265" i="33" s="1"/>
  <c r="DU17" i="22"/>
  <c r="J1274" i="33" s="1"/>
  <c r="J1846" i="33" s="1"/>
  <c r="DR17" i="22"/>
  <c r="G1265" i="33" s="1"/>
  <c r="J111" i="33"/>
  <c r="E101" i="33"/>
  <c r="L111" i="33"/>
  <c r="K111" i="33"/>
  <c r="D111" i="33"/>
  <c r="L101" i="33"/>
  <c r="D101" i="33"/>
  <c r="F101" i="33"/>
  <c r="G111" i="33"/>
  <c r="H111" i="33"/>
  <c r="I111" i="33"/>
  <c r="E111" i="33"/>
  <c r="F111" i="33"/>
  <c r="J101" i="33"/>
  <c r="G101" i="33"/>
  <c r="F917" i="33"/>
  <c r="F1177" i="33" s="1"/>
  <c r="K917" i="33"/>
  <c r="K1177" i="33" s="1"/>
  <c r="G917" i="33"/>
  <c r="G1177" i="33" s="1"/>
  <c r="E917" i="33"/>
  <c r="E1177" i="33" s="1"/>
  <c r="L917" i="33"/>
  <c r="L1177" i="33" s="1"/>
  <c r="D917" i="33"/>
  <c r="D1177" i="33" s="1"/>
  <c r="H917" i="33"/>
  <c r="H1177" i="33" s="1"/>
  <c r="J917" i="33"/>
  <c r="J1177" i="33" s="1"/>
  <c r="I917" i="33"/>
  <c r="I1177" i="33" s="1"/>
  <c r="E55" i="34"/>
  <c r="E1095" i="34" s="1"/>
  <c r="L55" i="34"/>
  <c r="L1095" i="34" s="1"/>
  <c r="H46" i="34"/>
  <c r="H926" i="33"/>
  <c r="H1186" i="33" s="1"/>
  <c r="I926" i="33"/>
  <c r="I1186" i="33" s="1"/>
  <c r="G56" i="34"/>
  <c r="G927" i="33"/>
  <c r="G1187" i="33" s="1"/>
  <c r="H56" i="34"/>
  <c r="H927" i="33"/>
  <c r="H1187" i="33" s="1"/>
  <c r="I56" i="34"/>
  <c r="I927" i="33"/>
  <c r="I1187" i="33" s="1"/>
  <c r="E56" i="34"/>
  <c r="E927" i="33"/>
  <c r="E1187" i="33" s="1"/>
  <c r="F56" i="34"/>
  <c r="F927" i="33"/>
  <c r="F1187" i="33" s="1"/>
  <c r="J46" i="34"/>
  <c r="J926" i="33"/>
  <c r="G926" i="33"/>
  <c r="G1186" i="33" s="1"/>
  <c r="L56" i="34"/>
  <c r="L927" i="33"/>
  <c r="L1187" i="33" s="1"/>
  <c r="K56" i="34"/>
  <c r="K1096" i="34" s="1"/>
  <c r="K927" i="33"/>
  <c r="K1187" i="33" s="1"/>
  <c r="D56" i="34"/>
  <c r="D927" i="33"/>
  <c r="D1187" i="33" s="1"/>
  <c r="L46" i="34"/>
  <c r="L926" i="33"/>
  <c r="L1186" i="33" s="1"/>
  <c r="D46" i="34"/>
  <c r="D926" i="33"/>
  <c r="J56" i="34"/>
  <c r="J927" i="33"/>
  <c r="J1187" i="33" s="1"/>
  <c r="E46" i="34"/>
  <c r="E926" i="33"/>
  <c r="K46" i="34"/>
  <c r="K926" i="33"/>
  <c r="K1186" i="33" s="1"/>
  <c r="F46" i="34"/>
  <c r="F926" i="33"/>
  <c r="F1186" i="33" s="1"/>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CV17" i="22"/>
  <c r="CM17" i="22"/>
  <c r="DK17" i="22"/>
  <c r="CH17" i="22"/>
  <c r="DF17" i="22"/>
  <c r="CI17" i="22"/>
  <c r="DG17" i="22"/>
  <c r="CJ17" i="22"/>
  <c r="DH17" i="22"/>
  <c r="CF17" i="22"/>
  <c r="DD17" i="22"/>
  <c r="CG17" i="22"/>
  <c r="DE17" i="22"/>
  <c r="DQ193" i="22"/>
  <c r="CL17" i="22"/>
  <c r="DJ17" i="22"/>
  <c r="CE17" i="22"/>
  <c r="DC17" i="22"/>
  <c r="CK17" i="22"/>
  <c r="DI17" i="22"/>
  <c r="DU193" i="22"/>
  <c r="BY17" i="22"/>
  <c r="CW17" i="22"/>
  <c r="BV17" i="22"/>
  <c r="CT17" i="22"/>
  <c r="CA17" i="22"/>
  <c r="CY17" i="22"/>
  <c r="BS17" i="22"/>
  <c r="CQ17" i="22"/>
  <c r="BT17" i="22"/>
  <c r="CR17" i="22"/>
  <c r="BZ17" i="22"/>
  <c r="CX17" i="22"/>
  <c r="BU17" i="22"/>
  <c r="CS17" i="22"/>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H1847" i="33" l="1"/>
  <c r="G1387" i="33"/>
  <c r="D1096" i="34"/>
  <c r="F2117" i="33"/>
  <c r="F1274" i="33"/>
  <c r="F1846" i="33" s="1"/>
  <c r="I1837" i="33"/>
  <c r="L1231" i="33"/>
  <c r="D1265" i="33"/>
  <c r="D1283" i="33" s="1"/>
  <c r="D1855" i="33" s="1"/>
  <c r="L1265" i="33"/>
  <c r="L1837" i="33" s="1"/>
  <c r="D1846" i="33"/>
  <c r="J1265" i="33"/>
  <c r="J1837" i="33" s="1"/>
  <c r="J1387" i="33"/>
  <c r="K1265" i="33"/>
  <c r="K1837" i="33" s="1"/>
  <c r="G2126" i="33"/>
  <c r="G2230" i="33" s="1"/>
  <c r="G1274" i="33"/>
  <c r="G1846" i="33" s="1"/>
  <c r="F1265" i="33"/>
  <c r="I2126" i="33"/>
  <c r="I2230" i="33" s="1"/>
  <c r="I1274" i="33"/>
  <c r="I1846" i="33" s="1"/>
  <c r="I2266" i="33" s="1"/>
  <c r="I3896" i="33" s="1"/>
  <c r="M1213" i="33"/>
  <c r="H1231" i="33"/>
  <c r="E1265" i="33"/>
  <c r="E1837" i="33" s="1"/>
  <c r="H2126" i="33"/>
  <c r="H2230" i="33" s="1"/>
  <c r="H1274" i="33"/>
  <c r="H1846" i="33" s="1"/>
  <c r="H1096" i="34"/>
  <c r="I1231" i="33"/>
  <c r="M1223" i="33"/>
  <c r="H1837" i="33"/>
  <c r="F1847" i="33"/>
  <c r="E1387" i="33"/>
  <c r="D1387" i="33"/>
  <c r="J1231" i="33"/>
  <c r="M1231" i="33" s="1"/>
  <c r="L1096" i="34"/>
  <c r="L1847" i="33"/>
  <c r="L1268" i="33"/>
  <c r="L1286" i="33"/>
  <c r="E1226" i="33"/>
  <c r="E1278" i="33"/>
  <c r="L1269" i="33"/>
  <c r="L1287" i="33"/>
  <c r="E1227" i="33"/>
  <c r="E1279" i="33"/>
  <c r="F1231" i="33"/>
  <c r="F1226" i="33"/>
  <c r="F1278" i="33"/>
  <c r="F1227" i="33"/>
  <c r="F1279" i="33"/>
  <c r="G1269" i="33"/>
  <c r="G1287" i="33"/>
  <c r="I1227" i="33"/>
  <c r="I1279" i="33"/>
  <c r="D1268" i="33"/>
  <c r="D1286" i="33"/>
  <c r="D1287" i="33"/>
  <c r="D1269" i="33"/>
  <c r="G1286" i="33"/>
  <c r="G1268" i="33"/>
  <c r="I1226" i="33"/>
  <c r="I1278" i="33"/>
  <c r="K1227" i="33"/>
  <c r="K1279" i="33"/>
  <c r="J1269" i="33"/>
  <c r="J1287" i="33"/>
  <c r="G1226" i="33"/>
  <c r="G1278" i="33"/>
  <c r="J1226" i="33"/>
  <c r="J1278" i="33"/>
  <c r="G1227" i="33"/>
  <c r="G1279" i="33"/>
  <c r="I1287" i="33"/>
  <c r="I1269" i="33"/>
  <c r="H1269" i="33"/>
  <c r="H1287" i="33"/>
  <c r="F1286" i="33"/>
  <c r="F1268" i="33"/>
  <c r="J1227" i="33"/>
  <c r="J1279" i="33"/>
  <c r="L1226" i="33"/>
  <c r="L1278" i="33"/>
  <c r="H1283" i="33"/>
  <c r="E1269" i="33"/>
  <c r="E1287" i="33"/>
  <c r="J1286" i="33"/>
  <c r="J1268" i="33"/>
  <c r="H1226" i="33"/>
  <c r="H1278" i="33"/>
  <c r="H1227" i="33"/>
  <c r="H1279" i="33"/>
  <c r="F1269" i="33"/>
  <c r="F1287" i="33"/>
  <c r="D1226" i="33"/>
  <c r="D1278" i="33"/>
  <c r="L1227" i="33"/>
  <c r="L1279" i="33"/>
  <c r="K1268" i="33"/>
  <c r="K1286" i="33"/>
  <c r="D1227" i="33"/>
  <c r="D1279" i="33"/>
  <c r="I1268" i="33"/>
  <c r="I1286" i="33"/>
  <c r="K1283" i="33"/>
  <c r="K1855" i="33" s="1"/>
  <c r="M1275" i="33"/>
  <c r="E1268" i="33"/>
  <c r="E1286" i="33"/>
  <c r="K1269" i="33"/>
  <c r="K1287" i="33"/>
  <c r="K1226" i="33"/>
  <c r="K1278" i="33"/>
  <c r="K1280" i="33" s="1"/>
  <c r="H1268" i="33"/>
  <c r="H1286" i="33"/>
  <c r="E1283" i="33"/>
  <c r="L1387" i="33"/>
  <c r="G1837" i="33"/>
  <c r="K1235" i="33"/>
  <c r="K1217" i="33"/>
  <c r="E1216" i="33"/>
  <c r="E1234" i="33"/>
  <c r="E1217" i="33"/>
  <c r="E1235" i="33"/>
  <c r="I1387" i="33"/>
  <c r="D1234" i="33"/>
  <c r="D1216" i="33"/>
  <c r="D1235" i="33"/>
  <c r="D1217" i="33"/>
  <c r="L1234" i="33"/>
  <c r="L1216" i="33"/>
  <c r="L1217" i="33"/>
  <c r="L1235" i="33"/>
  <c r="G1234" i="33"/>
  <c r="G1216" i="33"/>
  <c r="G1217" i="33"/>
  <c r="G1235" i="33"/>
  <c r="J1234" i="33"/>
  <c r="J1216" i="33"/>
  <c r="J1217" i="33"/>
  <c r="J1235" i="33"/>
  <c r="I1217" i="33"/>
  <c r="I1235" i="33"/>
  <c r="E1847" i="33"/>
  <c r="H1217" i="33"/>
  <c r="H1235" i="33"/>
  <c r="F1216" i="33"/>
  <c r="F1234" i="33"/>
  <c r="F1217" i="33"/>
  <c r="F1235" i="33"/>
  <c r="J1847" i="33"/>
  <c r="K1234" i="33"/>
  <c r="K1216" i="33"/>
  <c r="I1216" i="33"/>
  <c r="I1234" i="33"/>
  <c r="F1837" i="33"/>
  <c r="H1216" i="33"/>
  <c r="H1234" i="33"/>
  <c r="G1382" i="33"/>
  <c r="G2306" i="33"/>
  <c r="G3866" i="33" s="1"/>
  <c r="D2311" i="33"/>
  <c r="M2293" i="33"/>
  <c r="D3853" i="33"/>
  <c r="H3863" i="33"/>
  <c r="H1382" i="33"/>
  <c r="H2306" i="33"/>
  <c r="H3866" i="33" s="1"/>
  <c r="J2315" i="33"/>
  <c r="J3875" i="33" s="1"/>
  <c r="J2297" i="33"/>
  <c r="J3857" i="33" s="1"/>
  <c r="I1052" i="34"/>
  <c r="M1379" i="33"/>
  <c r="G2311" i="33"/>
  <c r="G3853" i="33"/>
  <c r="H2311" i="33"/>
  <c r="H3853" i="33"/>
  <c r="G2314" i="33"/>
  <c r="G3874" i="33" s="1"/>
  <c r="G2296" i="33"/>
  <c r="G3856" i="33" s="1"/>
  <c r="G1383" i="33"/>
  <c r="G2307" i="33"/>
  <c r="G3867" i="33" s="1"/>
  <c r="F2315" i="33"/>
  <c r="F3875" i="33" s="1"/>
  <c r="F2297" i="33"/>
  <c r="F3857" i="33" s="1"/>
  <c r="D1382" i="33"/>
  <c r="D2306" i="33"/>
  <c r="L1383" i="33"/>
  <c r="L2307" i="33"/>
  <c r="L3867" i="33" s="1"/>
  <c r="K1052" i="34"/>
  <c r="I3863" i="33"/>
  <c r="E2311" i="33"/>
  <c r="E3853" i="33"/>
  <c r="I2297" i="33"/>
  <c r="I3857" i="33" s="1"/>
  <c r="I2315" i="33"/>
  <c r="I3875" i="33" s="1"/>
  <c r="F2314" i="33"/>
  <c r="F3874" i="33" s="1"/>
  <c r="F2296" i="33"/>
  <c r="F3856" i="33" s="1"/>
  <c r="L1382" i="33"/>
  <c r="L2306" i="33"/>
  <c r="L3866" i="33" s="1"/>
  <c r="K2296" i="33"/>
  <c r="K3856" i="33" s="1"/>
  <c r="K2314" i="33"/>
  <c r="K3874" i="33" s="1"/>
  <c r="D1383" i="33"/>
  <c r="D1384" i="33" s="1"/>
  <c r="D2307" i="33"/>
  <c r="I2296" i="33"/>
  <c r="I3856" i="33" s="1"/>
  <c r="I2314" i="33"/>
  <c r="I3874" i="33" s="1"/>
  <c r="K2315" i="33"/>
  <c r="K3875" i="33" s="1"/>
  <c r="K2297" i="33"/>
  <c r="K3857" i="33" s="1"/>
  <c r="K1382" i="33"/>
  <c r="K1850" i="33" s="1"/>
  <c r="K2306" i="33"/>
  <c r="K3866" i="33" s="1"/>
  <c r="H2314" i="33"/>
  <c r="H3874" i="33" s="1"/>
  <c r="H2296" i="33"/>
  <c r="H3856" i="33" s="1"/>
  <c r="I1383" i="33"/>
  <c r="I2307" i="33"/>
  <c r="I3867" i="33" s="1"/>
  <c r="H2315" i="33"/>
  <c r="H3875" i="33" s="1"/>
  <c r="H2297" i="33"/>
  <c r="H3857" i="33" s="1"/>
  <c r="J1382" i="33"/>
  <c r="J2306" i="33"/>
  <c r="J3866" i="33" s="1"/>
  <c r="E2296" i="33"/>
  <c r="E3856" i="33" s="1"/>
  <c r="E2314" i="33"/>
  <c r="E3874" i="33" s="1"/>
  <c r="K1383" i="33"/>
  <c r="K1851" i="33" s="1"/>
  <c r="K2307" i="33"/>
  <c r="K3867" i="33" s="1"/>
  <c r="I2311" i="33"/>
  <c r="I3853" i="33"/>
  <c r="M2303" i="33"/>
  <c r="D3863" i="33"/>
  <c r="E2315" i="33"/>
  <c r="E3875" i="33" s="1"/>
  <c r="E2297" i="33"/>
  <c r="E3857" i="33" s="1"/>
  <c r="J1052" i="34"/>
  <c r="M1369" i="33"/>
  <c r="H1383" i="33"/>
  <c r="H1851" i="33" s="1"/>
  <c r="H2307" i="33"/>
  <c r="H3867" i="33" s="1"/>
  <c r="L3863" i="33"/>
  <c r="F3863" i="33"/>
  <c r="F1382" i="33"/>
  <c r="F1850" i="33" s="1"/>
  <c r="F2306" i="33"/>
  <c r="F3866" i="33" s="1"/>
  <c r="D2297" i="33"/>
  <c r="D2315" i="33"/>
  <c r="F1383" i="33"/>
  <c r="F1851" i="33" s="1"/>
  <c r="F2307" i="33"/>
  <c r="F3867" i="33" s="1"/>
  <c r="J2314" i="33"/>
  <c r="J3874" i="33" s="1"/>
  <c r="J2296" i="33"/>
  <c r="J3856" i="33" s="1"/>
  <c r="J1383" i="33"/>
  <c r="J1851" i="33" s="1"/>
  <c r="J2307" i="33"/>
  <c r="J3867" i="33" s="1"/>
  <c r="D2314" i="33"/>
  <c r="D2296" i="33"/>
  <c r="K2311" i="33"/>
  <c r="K3853" i="33"/>
  <c r="G3863" i="33"/>
  <c r="I1382" i="33"/>
  <c r="I1850" i="33" s="1"/>
  <c r="I2306" i="33"/>
  <c r="I3866" i="33" s="1"/>
  <c r="G2297" i="33"/>
  <c r="G3857" i="33" s="1"/>
  <c r="G2315" i="33"/>
  <c r="G3875" i="33" s="1"/>
  <c r="L2314" i="33"/>
  <c r="L3874" i="33" s="1"/>
  <c r="L2296" i="33"/>
  <c r="L3856" i="33" s="1"/>
  <c r="E1382" i="33"/>
  <c r="E1850" i="33" s="1"/>
  <c r="E2306" i="33"/>
  <c r="E3866" i="33" s="1"/>
  <c r="L2297" i="33"/>
  <c r="L3857" i="33" s="1"/>
  <c r="L2315" i="33"/>
  <c r="L3875" i="33" s="1"/>
  <c r="E1383" i="33"/>
  <c r="E2307" i="33"/>
  <c r="E3867" i="33" s="1"/>
  <c r="E1052" i="34"/>
  <c r="F2311" i="33"/>
  <c r="F3853" i="33"/>
  <c r="L2311" i="33"/>
  <c r="L3853" i="33"/>
  <c r="K3863" i="33"/>
  <c r="J3863" i="33"/>
  <c r="J2311" i="33"/>
  <c r="J3853" i="33"/>
  <c r="E3863" i="33"/>
  <c r="J1373" i="33"/>
  <c r="J1391" i="33"/>
  <c r="G1391" i="33"/>
  <c r="G1373" i="33"/>
  <c r="J1372" i="33"/>
  <c r="J1390" i="33"/>
  <c r="I1373" i="33"/>
  <c r="I1391" i="33"/>
  <c r="I1390" i="33"/>
  <c r="I1372" i="33"/>
  <c r="M1847" i="33"/>
  <c r="H1390" i="33"/>
  <c r="H1372" i="33"/>
  <c r="K1372" i="33"/>
  <c r="K1390" i="33"/>
  <c r="K1391" i="33"/>
  <c r="K1373" i="33"/>
  <c r="E2120" i="33"/>
  <c r="E2224" i="33" s="1"/>
  <c r="E1390" i="33"/>
  <c r="E1858" i="33" s="1"/>
  <c r="E1372" i="33"/>
  <c r="E1373" i="33"/>
  <c r="E1391" i="33"/>
  <c r="H1855" i="33"/>
  <c r="F1390" i="33"/>
  <c r="F1372" i="33"/>
  <c r="F1391" i="33"/>
  <c r="F1373" i="33"/>
  <c r="E1855" i="33"/>
  <c r="H1373" i="33"/>
  <c r="H1391" i="33"/>
  <c r="D2120" i="33"/>
  <c r="D2224" i="33" s="1"/>
  <c r="D1372" i="33"/>
  <c r="D1390" i="33"/>
  <c r="D1373" i="33"/>
  <c r="D1391" i="33"/>
  <c r="L1390" i="33"/>
  <c r="L1372" i="33"/>
  <c r="L1391" i="33"/>
  <c r="L1373" i="33"/>
  <c r="G1372" i="33"/>
  <c r="G1390" i="33"/>
  <c r="K1086" i="34"/>
  <c r="F2138" i="33"/>
  <c r="F2242" i="33" s="1"/>
  <c r="F2120" i="33"/>
  <c r="F2224" i="33" s="1"/>
  <c r="K2138" i="33"/>
  <c r="K2242" i="33" s="1"/>
  <c r="K2120" i="33"/>
  <c r="K2224" i="33" s="1"/>
  <c r="I2138" i="33"/>
  <c r="I2242" i="33" s="1"/>
  <c r="I2120" i="33"/>
  <c r="I2224" i="33" s="1"/>
  <c r="H2138" i="33"/>
  <c r="H2242" i="33" s="1"/>
  <c r="H2120" i="33"/>
  <c r="H2224" i="33" s="1"/>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F2221" i="33"/>
  <c r="I1047" i="34"/>
  <c r="I2130" i="33"/>
  <c r="I2234" i="33" s="1"/>
  <c r="J1086" i="34"/>
  <c r="F55" i="34"/>
  <c r="F1095" i="34" s="1"/>
  <c r="DV193" i="22"/>
  <c r="DV16" i="22" s="1"/>
  <c r="K2117" i="33"/>
  <c r="F1052" i="34"/>
  <c r="H1047" i="34"/>
  <c r="H2130" i="33"/>
  <c r="H2234" i="33" s="1"/>
  <c r="DP193" i="22"/>
  <c r="E15" i="25" s="1"/>
  <c r="E58" i="25" s="1"/>
  <c r="E2117" i="33"/>
  <c r="L2139" i="33"/>
  <c r="L2243" i="33" s="1"/>
  <c r="E1048" i="34"/>
  <c r="E2131" i="33"/>
  <c r="E2235" i="33" s="1"/>
  <c r="J2139" i="33"/>
  <c r="J2243" i="33" s="1"/>
  <c r="H1048" i="34"/>
  <c r="H2131" i="33"/>
  <c r="H2235" i="33" s="1"/>
  <c r="DO193" i="22"/>
  <c r="D2117" i="33"/>
  <c r="D2231" i="33"/>
  <c r="M2231" i="33" s="1"/>
  <c r="M2127" i="33"/>
  <c r="G2139" i="33"/>
  <c r="G2243" i="33" s="1"/>
  <c r="I1048" i="34"/>
  <c r="I2131" i="33"/>
  <c r="I2235" i="33" s="1"/>
  <c r="I2139" i="33"/>
  <c r="I2243" i="33" s="1"/>
  <c r="G1047" i="34"/>
  <c r="G2130" i="33"/>
  <c r="G2234" i="33" s="1"/>
  <c r="E1096" i="34"/>
  <c r="DW193" i="22"/>
  <c r="DW16" i="22" s="1"/>
  <c r="L2117" i="33"/>
  <c r="G1052" i="34"/>
  <c r="H2139" i="33"/>
  <c r="H2243" i="33" s="1"/>
  <c r="J1047" i="34"/>
  <c r="J2130" i="33"/>
  <c r="J2234" i="33" s="1"/>
  <c r="G1048" i="34"/>
  <c r="G2131" i="33"/>
  <c r="G2235" i="33" s="1"/>
  <c r="F2126" i="33"/>
  <c r="F2230" i="33" s="1"/>
  <c r="F2266" i="33" s="1"/>
  <c r="F3896" i="33" s="1"/>
  <c r="J1048" i="34"/>
  <c r="J2131" i="33"/>
  <c r="J2235" i="33" s="1"/>
  <c r="L1047" i="34"/>
  <c r="L2130" i="33"/>
  <c r="L2234" i="33" s="1"/>
  <c r="D2126" i="33"/>
  <c r="E1047" i="34"/>
  <c r="E2130" i="33"/>
  <c r="E2234" i="33" s="1"/>
  <c r="F2139" i="33"/>
  <c r="F2243" i="33" s="1"/>
  <c r="D1047" i="34"/>
  <c r="D2130" i="33"/>
  <c r="L1048" i="34"/>
  <c r="L2131" i="33"/>
  <c r="L2235" i="33" s="1"/>
  <c r="DR193" i="22"/>
  <c r="DR16" i="22" s="1"/>
  <c r="G2117" i="33"/>
  <c r="K2126" i="33"/>
  <c r="K2230" i="33" s="1"/>
  <c r="D1048" i="34"/>
  <c r="D2131" i="33"/>
  <c r="K2139" i="33"/>
  <c r="K2243" i="33" s="1"/>
  <c r="K1047" i="34"/>
  <c r="K2130" i="33"/>
  <c r="K2234" i="33" s="1"/>
  <c r="E2138" i="33"/>
  <c r="E2242" i="33" s="1"/>
  <c r="K1048" i="34"/>
  <c r="K2131" i="33"/>
  <c r="K2235" i="33" s="1"/>
  <c r="G1096" i="34"/>
  <c r="J55" i="34"/>
  <c r="J1095" i="34" s="1"/>
  <c r="J2117" i="33"/>
  <c r="L2126" i="33"/>
  <c r="L2230" i="33" s="1"/>
  <c r="E2139" i="33"/>
  <c r="E2243" i="33" s="1"/>
  <c r="DT193" i="22"/>
  <c r="DT16" i="22" s="1"/>
  <c r="I2117" i="33"/>
  <c r="J2126" i="33"/>
  <c r="J2230" i="33" s="1"/>
  <c r="F1047" i="34"/>
  <c r="F2130" i="33"/>
  <c r="F2234" i="33" s="1"/>
  <c r="D2139" i="33"/>
  <c r="F1048" i="34"/>
  <c r="F2131" i="33"/>
  <c r="F2235" i="33" s="1"/>
  <c r="DS193" i="22"/>
  <c r="H15" i="25" s="1"/>
  <c r="H58" i="25" s="1"/>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E1186" i="33"/>
  <c r="J1186" i="33"/>
  <c r="D1186" i="33"/>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195" i="33" s="1"/>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E1180" i="33" s="1"/>
  <c r="L920" i="33"/>
  <c r="L1180" i="33" s="1"/>
  <c r="J920" i="33"/>
  <c r="J1180" i="33" s="1"/>
  <c r="K920" i="33"/>
  <c r="K1180" i="33" s="1"/>
  <c r="D920" i="33"/>
  <c r="D1180" i="33" s="1"/>
  <c r="G920" i="33"/>
  <c r="G1180" i="33" s="1"/>
  <c r="I920" i="33"/>
  <c r="I1180" i="33" s="1"/>
  <c r="K935" i="33"/>
  <c r="K1195" i="33" s="1"/>
  <c r="G935" i="33"/>
  <c r="G1195" i="33" s="1"/>
  <c r="H920" i="33"/>
  <c r="H1180" i="33" s="1"/>
  <c r="E64" i="34"/>
  <c r="M917" i="33"/>
  <c r="D15" i="25"/>
  <c r="D58" i="25" s="1"/>
  <c r="L64" i="34"/>
  <c r="H935" i="33"/>
  <c r="H1195" i="33" s="1"/>
  <c r="L935" i="33"/>
  <c r="L1195" i="33" s="1"/>
  <c r="F938" i="33"/>
  <c r="F1198" i="33" s="1"/>
  <c r="E938" i="33"/>
  <c r="E1198" i="33" s="1"/>
  <c r="L938" i="33"/>
  <c r="L1198" i="33" s="1"/>
  <c r="J938" i="33"/>
  <c r="J1198" i="33" s="1"/>
  <c r="K938" i="33"/>
  <c r="K1198" i="33" s="1"/>
  <c r="D938" i="33"/>
  <c r="D1198" i="33" s="1"/>
  <c r="G938" i="33"/>
  <c r="G1198" i="33" s="1"/>
  <c r="I938" i="33"/>
  <c r="I1198" i="33" s="1"/>
  <c r="M56" i="34"/>
  <c r="G2266" i="33"/>
  <c r="G3896" i="33" s="1"/>
  <c r="I935" i="33"/>
  <c r="I1195" i="33" s="1"/>
  <c r="J935" i="33"/>
  <c r="J1195" i="33" s="1"/>
  <c r="M927" i="33"/>
  <c r="K60" i="34"/>
  <c r="K931" i="33"/>
  <c r="K1191" i="33" s="1"/>
  <c r="F60" i="34"/>
  <c r="F931" i="33"/>
  <c r="F1191" i="33" s="1"/>
  <c r="I60" i="34"/>
  <c r="I931" i="33"/>
  <c r="I1191" i="33" s="1"/>
  <c r="G60" i="34"/>
  <c r="G931" i="33"/>
  <c r="G1191" i="33" s="1"/>
  <c r="M926" i="33"/>
  <c r="H939" i="33"/>
  <c r="H1199" i="33" s="1"/>
  <c r="K939" i="33"/>
  <c r="K1199" i="33" s="1"/>
  <c r="D939" i="33"/>
  <c r="D1199" i="33" s="1"/>
  <c r="G939" i="33"/>
  <c r="G1199" i="33" s="1"/>
  <c r="J59" i="34"/>
  <c r="J930" i="33"/>
  <c r="J1190" i="33" s="1"/>
  <c r="D59" i="34"/>
  <c r="D930" i="33"/>
  <c r="D1190" i="33" s="1"/>
  <c r="E59" i="34"/>
  <c r="E930" i="33"/>
  <c r="E1190" i="33" s="1"/>
  <c r="H59" i="34"/>
  <c r="H930" i="33"/>
  <c r="H1190" i="33" s="1"/>
  <c r="L59" i="34"/>
  <c r="L930" i="33"/>
  <c r="L1190" i="33" s="1"/>
  <c r="H938" i="33"/>
  <c r="H1198" i="33" s="1"/>
  <c r="K2266" i="33"/>
  <c r="K3896" i="33" s="1"/>
  <c r="L2266" i="33"/>
  <c r="L3896" i="33" s="1"/>
  <c r="D935" i="33"/>
  <c r="D1195" i="33" s="1"/>
  <c r="E935" i="33"/>
  <c r="E1195" i="33" s="1"/>
  <c r="I939" i="33"/>
  <c r="I1199" i="33" s="1"/>
  <c r="J60" i="34"/>
  <c r="J931" i="33"/>
  <c r="J1191" i="33" s="1"/>
  <c r="D60" i="34"/>
  <c r="D931" i="33"/>
  <c r="D1191" i="33" s="1"/>
  <c r="E60" i="34"/>
  <c r="E931" i="33"/>
  <c r="E1191" i="33" s="1"/>
  <c r="H60" i="34"/>
  <c r="H931" i="33"/>
  <c r="H1191" i="33" s="1"/>
  <c r="L60" i="34"/>
  <c r="L931" i="33"/>
  <c r="L1191" i="33" s="1"/>
  <c r="F939" i="33"/>
  <c r="F1199" i="33" s="1"/>
  <c r="E939" i="33"/>
  <c r="E1199" i="33" s="1"/>
  <c r="L939" i="33"/>
  <c r="L1199" i="33" s="1"/>
  <c r="J939" i="33"/>
  <c r="J1199" i="33" s="1"/>
  <c r="K59" i="34"/>
  <c r="K930" i="33"/>
  <c r="K1190" i="33" s="1"/>
  <c r="F59" i="34"/>
  <c r="F930" i="33"/>
  <c r="F1190" i="33" s="1"/>
  <c r="I59" i="34"/>
  <c r="I930" i="33"/>
  <c r="I1190" i="33" s="1"/>
  <c r="G59" i="34"/>
  <c r="G930" i="33"/>
  <c r="G1190" i="33" s="1"/>
  <c r="F68" i="34"/>
  <c r="EC17" i="22"/>
  <c r="E68" i="34"/>
  <c r="EB17" i="22"/>
  <c r="E2125" i="33" s="1"/>
  <c r="L68" i="34"/>
  <c r="EI17" i="22"/>
  <c r="L2125" i="33" s="1"/>
  <c r="J68" i="34"/>
  <c r="EG17" i="22"/>
  <c r="J2121" i="33" s="1"/>
  <c r="J2225" i="33" s="1"/>
  <c r="K68" i="34"/>
  <c r="EH17" i="22"/>
  <c r="D68" i="34"/>
  <c r="EA17" i="22"/>
  <c r="D2125" i="33" s="1"/>
  <c r="G68" i="34"/>
  <c r="ED17" i="22"/>
  <c r="G2125" i="33" s="1"/>
  <c r="I68" i="34"/>
  <c r="EF17" i="22"/>
  <c r="I2125" i="33" s="1"/>
  <c r="K67" i="34"/>
  <c r="K49" i="34"/>
  <c r="D67" i="34"/>
  <c r="D49" i="34"/>
  <c r="G67" i="34"/>
  <c r="G49" i="34"/>
  <c r="G1089" i="34" s="1"/>
  <c r="G15" i="25"/>
  <c r="G58" i="25" s="1"/>
  <c r="I49" i="34"/>
  <c r="I67" i="34"/>
  <c r="H67" i="34"/>
  <c r="H49" i="34"/>
  <c r="H1089" i="34" s="1"/>
  <c r="H68" i="34"/>
  <c r="EE17" i="22"/>
  <c r="H2125" i="33" s="1"/>
  <c r="F67" i="34"/>
  <c r="F49" i="34"/>
  <c r="E49" i="34"/>
  <c r="E67" i="34"/>
  <c r="L67" i="34"/>
  <c r="L49" i="34"/>
  <c r="L1089" i="34" s="1"/>
  <c r="J67" i="34"/>
  <c r="J49" i="34"/>
  <c r="F15" i="25"/>
  <c r="F58" i="25" s="1"/>
  <c r="K24" i="25"/>
  <c r="K67" i="25" s="1"/>
  <c r="J24" i="25"/>
  <c r="J67" i="25" s="1"/>
  <c r="BD193" i="22"/>
  <c r="O21" i="35"/>
  <c r="O197" i="35" s="1"/>
  <c r="O20" i="35" s="1"/>
  <c r="L24" i="25"/>
  <c r="L67" i="25" s="1"/>
  <c r="Q197" i="35"/>
  <c r="Q20" i="35" s="1"/>
  <c r="Z21" i="35"/>
  <c r="Z197" i="35" s="1"/>
  <c r="Z20" i="35" s="1"/>
  <c r="M1096" i="34"/>
  <c r="H2266" i="33"/>
  <c r="H3896" i="33"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D24" i="25"/>
  <c r="D67" i="25" s="1"/>
  <c r="I15" i="25"/>
  <c r="L15" i="25"/>
  <c r="BO16" i="22"/>
  <c r="L25" i="25"/>
  <c r="L68" i="25" s="1"/>
  <c r="BL16" i="22"/>
  <c r="I25" i="25"/>
  <c r="I68" i="25" s="1"/>
  <c r="BG16" i="22"/>
  <c r="D25" i="25"/>
  <c r="D68" i="25" s="1"/>
  <c r="K15" i="25"/>
  <c r="AW16" i="22"/>
  <c r="F24" i="25"/>
  <c r="F67" i="25" s="1"/>
  <c r="I24" i="25"/>
  <c r="I67" i="25" s="1"/>
  <c r="AY16" i="22"/>
  <c r="H24" i="25"/>
  <c r="H67" i="25" s="1"/>
  <c r="AV16" i="22"/>
  <c r="BN16" i="22"/>
  <c r="K25" i="25"/>
  <c r="K68" i="25" s="1"/>
  <c r="BH16" i="22"/>
  <c r="E25" i="25"/>
  <c r="E68" i="25" s="1"/>
  <c r="BA16" i="22"/>
  <c r="AZ16" i="22"/>
  <c r="BC16" i="22"/>
  <c r="BB16" i="22"/>
  <c r="DS16" i="22"/>
  <c r="DO16" i="22"/>
  <c r="DQ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EV19" i="22"/>
  <c r="EV18" i="22"/>
  <c r="G1850" i="33" l="1"/>
  <c r="G1099" i="34"/>
  <c r="E1089" i="34"/>
  <c r="J1850" i="33"/>
  <c r="G1858" i="33"/>
  <c r="I1851" i="33"/>
  <c r="I1228" i="33"/>
  <c r="K1841" i="33"/>
  <c r="D1850" i="33"/>
  <c r="L1228" i="33"/>
  <c r="K1270" i="33"/>
  <c r="H1228" i="33"/>
  <c r="D1837" i="33"/>
  <c r="M1837" i="33" s="1"/>
  <c r="L1283" i="33"/>
  <c r="L1855" i="33" s="1"/>
  <c r="J1283" i="33"/>
  <c r="J1855" i="33" s="1"/>
  <c r="M1387" i="33"/>
  <c r="K64" i="34"/>
  <c r="H64" i="34"/>
  <c r="M1265" i="33"/>
  <c r="E24" i="25"/>
  <c r="E67" i="25" s="1"/>
  <c r="F64" i="34"/>
  <c r="M1274" i="33"/>
  <c r="M1846" i="33"/>
  <c r="G1283" i="33"/>
  <c r="G1855" i="33" s="1"/>
  <c r="F1283" i="33"/>
  <c r="F1855" i="33" s="1"/>
  <c r="I1283" i="33"/>
  <c r="I1855" i="33" s="1"/>
  <c r="DP16" i="22"/>
  <c r="G1841" i="33"/>
  <c r="H1858" i="33"/>
  <c r="H1850" i="33"/>
  <c r="H1852" i="33" s="1"/>
  <c r="M1226" i="33"/>
  <c r="J1852" i="33"/>
  <c r="H1841" i="33"/>
  <c r="K1089" i="34"/>
  <c r="G3858" i="33"/>
  <c r="F1858" i="33"/>
  <c r="I1858" i="33"/>
  <c r="E1099" i="34"/>
  <c r="G1280" i="33"/>
  <c r="L1850" i="33"/>
  <c r="G1384" i="33"/>
  <c r="G1107" i="34"/>
  <c r="K1858" i="33"/>
  <c r="J1107" i="34"/>
  <c r="L1107" i="34"/>
  <c r="K1852" i="33"/>
  <c r="J1858" i="33"/>
  <c r="J2278" i="33" s="1"/>
  <c r="J3908" i="33" s="1"/>
  <c r="D1089" i="34"/>
  <c r="H1099" i="34"/>
  <c r="E1280" i="33"/>
  <c r="J1270" i="33"/>
  <c r="H1270" i="33"/>
  <c r="J1841" i="33"/>
  <c r="M1279" i="33"/>
  <c r="E1851" i="33"/>
  <c r="E1852" i="33" s="1"/>
  <c r="H1859" i="33"/>
  <c r="E1108" i="34"/>
  <c r="E1841" i="33"/>
  <c r="I1859" i="33"/>
  <c r="D1270" i="33"/>
  <c r="L1841" i="33"/>
  <c r="L1859" i="33"/>
  <c r="K1100" i="34"/>
  <c r="H1280" i="33"/>
  <c r="I1270" i="33"/>
  <c r="J1280" i="33"/>
  <c r="F1841" i="33"/>
  <c r="H1218" i="33"/>
  <c r="F1228" i="33"/>
  <c r="F1270" i="33"/>
  <c r="I64" i="34"/>
  <c r="G1228" i="33"/>
  <c r="E1218" i="33"/>
  <c r="G1851" i="33"/>
  <c r="G1852" i="33" s="1"/>
  <c r="K1859" i="33"/>
  <c r="K2279" i="33" s="1"/>
  <c r="K3909" i="33" s="1"/>
  <c r="E1270" i="33"/>
  <c r="F1859" i="33"/>
  <c r="M1227" i="33"/>
  <c r="K1218" i="33"/>
  <c r="L1851" i="33"/>
  <c r="L2271" i="33" s="1"/>
  <c r="L3901" i="33" s="1"/>
  <c r="K1236" i="33"/>
  <c r="K1238" i="33" s="1"/>
  <c r="H1236" i="33"/>
  <c r="H1238" i="33" s="1"/>
  <c r="I1280" i="33"/>
  <c r="F1280" i="33"/>
  <c r="G1859" i="33"/>
  <c r="G1270" i="33"/>
  <c r="I1236" i="33"/>
  <c r="I1238" i="33" s="1"/>
  <c r="K1288" i="33"/>
  <c r="K1290" i="33" s="1"/>
  <c r="E1859" i="33"/>
  <c r="E1860" i="33" s="1"/>
  <c r="D1851" i="33"/>
  <c r="D1852" i="33" s="1"/>
  <c r="E1228" i="33"/>
  <c r="L1280" i="33"/>
  <c r="L1270" i="33"/>
  <c r="M1269" i="33"/>
  <c r="M1287" i="33"/>
  <c r="H1288" i="33"/>
  <c r="J1228" i="33"/>
  <c r="M1286" i="33"/>
  <c r="J2266" i="33"/>
  <c r="J3896" i="33" s="1"/>
  <c r="M1268" i="33"/>
  <c r="D1288" i="33"/>
  <c r="I1384" i="33"/>
  <c r="L1236" i="33"/>
  <c r="L1238" i="33" s="1"/>
  <c r="K1228" i="33"/>
  <c r="J1288" i="33"/>
  <c r="M1278" i="33"/>
  <c r="L1288" i="33"/>
  <c r="D1228" i="33"/>
  <c r="I1218" i="33"/>
  <c r="D1280" i="33"/>
  <c r="E1288" i="33"/>
  <c r="E1290" i="33" s="1"/>
  <c r="E1236" i="33"/>
  <c r="E1238" i="33" s="1"/>
  <c r="J1236" i="33"/>
  <c r="J1238" i="33" s="1"/>
  <c r="I1852" i="33"/>
  <c r="G2308" i="33"/>
  <c r="F1852" i="33"/>
  <c r="J1218" i="33"/>
  <c r="G1236" i="33"/>
  <c r="G1238" i="33" s="1"/>
  <c r="G1218" i="33"/>
  <c r="F1236" i="33"/>
  <c r="F1238" i="33" s="1"/>
  <c r="F1218" i="33"/>
  <c r="L1218" i="33"/>
  <c r="M1382" i="33"/>
  <c r="K3868" i="33"/>
  <c r="M1217" i="33"/>
  <c r="K2308" i="33"/>
  <c r="M1235" i="33"/>
  <c r="M1216" i="33"/>
  <c r="D1218" i="33"/>
  <c r="M1234" i="33"/>
  <c r="I1841" i="33"/>
  <c r="H3858" i="33"/>
  <c r="E3858" i="33"/>
  <c r="D1236" i="33"/>
  <c r="D1238" i="33" s="1"/>
  <c r="K1104" i="34"/>
  <c r="J1859" i="33"/>
  <c r="I3858" i="33"/>
  <c r="J64" i="34"/>
  <c r="L1858" i="33"/>
  <c r="F2298" i="33"/>
  <c r="K2298" i="33"/>
  <c r="E1100" i="34"/>
  <c r="J1384" i="33"/>
  <c r="J2298" i="33"/>
  <c r="E1384" i="33"/>
  <c r="K1384" i="33"/>
  <c r="H1384" i="33"/>
  <c r="J3868" i="33"/>
  <c r="J2308" i="33"/>
  <c r="G3868" i="33"/>
  <c r="L3868" i="33"/>
  <c r="L1384" i="33"/>
  <c r="E2308" i="33"/>
  <c r="F3868" i="33"/>
  <c r="I2308" i="33"/>
  <c r="G2298" i="33"/>
  <c r="M1383" i="33"/>
  <c r="F2316" i="33"/>
  <c r="F2318" i="33" s="1"/>
  <c r="F3871" i="33"/>
  <c r="F3876" i="33" s="1"/>
  <c r="F2308" i="33"/>
  <c r="G2316" i="33"/>
  <c r="G2318" i="33" s="1"/>
  <c r="G3871" i="33"/>
  <c r="G3876" i="33" s="1"/>
  <c r="M2307" i="33"/>
  <c r="D3867" i="33"/>
  <c r="M3867" i="33" s="1"/>
  <c r="E3868" i="33"/>
  <c r="K2316" i="33"/>
  <c r="K2318" i="33" s="1"/>
  <c r="K3871" i="33"/>
  <c r="K3876" i="33" s="1"/>
  <c r="L2308" i="33"/>
  <c r="M2296" i="33"/>
  <c r="D3856" i="33"/>
  <c r="M3856" i="33" s="1"/>
  <c r="M2306" i="33"/>
  <c r="D3866" i="33"/>
  <c r="M3866" i="33" s="1"/>
  <c r="J3858" i="33"/>
  <c r="M2314" i="33"/>
  <c r="D3874" i="33"/>
  <c r="M3874" i="33" s="1"/>
  <c r="L3858" i="33"/>
  <c r="F3858" i="33"/>
  <c r="J2316" i="33"/>
  <c r="J2318" i="33" s="1"/>
  <c r="J3871" i="33"/>
  <c r="J3876" i="33" s="1"/>
  <c r="H3868" i="33"/>
  <c r="H2308" i="33"/>
  <c r="M3863" i="33"/>
  <c r="M3853" i="33"/>
  <c r="M2315" i="33"/>
  <c r="D3875" i="33"/>
  <c r="M3875" i="33" s="1"/>
  <c r="D2308" i="33"/>
  <c r="D2298" i="33"/>
  <c r="L2316" i="33"/>
  <c r="L2318" i="33" s="1"/>
  <c r="L3871" i="33"/>
  <c r="L3876" i="33" s="1"/>
  <c r="M2297" i="33"/>
  <c r="D3857" i="33"/>
  <c r="E2316" i="33"/>
  <c r="E2318" i="33" s="1"/>
  <c r="E3871" i="33"/>
  <c r="E3876" i="33" s="1"/>
  <c r="H2316" i="33"/>
  <c r="H2318" i="33" s="1"/>
  <c r="H3871" i="33"/>
  <c r="H3876" i="33" s="1"/>
  <c r="D2316" i="33"/>
  <c r="D2318" i="33" s="1"/>
  <c r="M2311" i="33"/>
  <c r="D3871" i="33"/>
  <c r="F1384" i="33"/>
  <c r="L2298" i="33"/>
  <c r="I2298" i="33"/>
  <c r="K3858" i="33"/>
  <c r="E2298" i="33"/>
  <c r="H2298" i="33"/>
  <c r="I2316" i="33"/>
  <c r="I2318" i="33" s="1"/>
  <c r="I3871" i="33"/>
  <c r="I3876" i="33" s="1"/>
  <c r="I3868" i="33"/>
  <c r="I1049" i="34"/>
  <c r="E1392" i="33"/>
  <c r="E1394" i="33" s="1"/>
  <c r="I1089" i="34"/>
  <c r="F1392" i="33"/>
  <c r="F1394" i="33" s="1"/>
  <c r="H1840" i="33"/>
  <c r="H1374" i="33"/>
  <c r="J1392" i="33"/>
  <c r="J1394" i="33" s="1"/>
  <c r="L1840" i="33"/>
  <c r="L1374" i="33"/>
  <c r="E1840" i="33"/>
  <c r="E1374" i="33"/>
  <c r="K1107" i="34"/>
  <c r="F1840" i="33"/>
  <c r="F1842" i="33" s="1"/>
  <c r="F1374" i="33"/>
  <c r="D1859" i="33"/>
  <c r="M1391" i="33"/>
  <c r="D1841" i="33"/>
  <c r="M1373" i="33"/>
  <c r="I1840" i="33"/>
  <c r="I1374" i="33"/>
  <c r="D1858" i="33"/>
  <c r="M1390" i="33"/>
  <c r="D1840" i="33"/>
  <c r="M1372" i="33"/>
  <c r="D1374" i="33"/>
  <c r="K1840" i="33"/>
  <c r="K1842" i="33" s="1"/>
  <c r="K1374" i="33"/>
  <c r="L1392" i="33"/>
  <c r="L1394" i="33" s="1"/>
  <c r="G1392" i="33"/>
  <c r="G1394" i="33" s="1"/>
  <c r="J1840" i="33"/>
  <c r="J1842" i="33" s="1"/>
  <c r="J1374" i="33"/>
  <c r="G1840" i="33"/>
  <c r="G1842" i="33" s="1"/>
  <c r="G1374" i="33"/>
  <c r="H1860" i="33"/>
  <c r="I1107" i="34"/>
  <c r="M1855" i="33"/>
  <c r="H1392" i="33"/>
  <c r="H1394" i="33" s="1"/>
  <c r="K1392" i="33"/>
  <c r="K1394" i="33" s="1"/>
  <c r="D1392" i="33"/>
  <c r="D1394" i="33" s="1"/>
  <c r="I1392" i="33"/>
  <c r="I1394" i="33" s="1"/>
  <c r="H1049" i="34"/>
  <c r="K1049" i="34"/>
  <c r="M1052" i="34"/>
  <c r="F1100" i="34"/>
  <c r="D1100" i="34"/>
  <c r="F1049" i="34"/>
  <c r="J1100" i="34"/>
  <c r="G1049" i="34"/>
  <c r="M1047" i="34"/>
  <c r="D1049" i="34"/>
  <c r="M2120" i="33"/>
  <c r="M2224" i="33"/>
  <c r="M2242" i="33"/>
  <c r="J1049" i="34"/>
  <c r="E1107" i="34"/>
  <c r="E1049" i="34"/>
  <c r="D1099" i="34"/>
  <c r="L1049" i="34"/>
  <c r="M1048" i="34"/>
  <c r="M1095" i="34"/>
  <c r="M46" i="34"/>
  <c r="G1086" i="34"/>
  <c r="G64" i="34"/>
  <c r="E2266" i="33"/>
  <c r="E3896" i="33" s="1"/>
  <c r="D64" i="34"/>
  <c r="D69" i="34" s="1"/>
  <c r="M55" i="34"/>
  <c r="I2132" i="33"/>
  <c r="I2229" i="33"/>
  <c r="I2236" i="33" s="1"/>
  <c r="G2132" i="33"/>
  <c r="G2229" i="33"/>
  <c r="G2236" i="33" s="1"/>
  <c r="H2229" i="33"/>
  <c r="H2236" i="33" s="1"/>
  <c r="H2132" i="33"/>
  <c r="D2229" i="33"/>
  <c r="D2132" i="33"/>
  <c r="E2229" i="33"/>
  <c r="E2236" i="33" s="1"/>
  <c r="E2132" i="33"/>
  <c r="L2132" i="33"/>
  <c r="L2229" i="33"/>
  <c r="L2236" i="33" s="1"/>
  <c r="D2235" i="33"/>
  <c r="M2235" i="33" s="1"/>
  <c r="M2131" i="33"/>
  <c r="I2135" i="33"/>
  <c r="I2221" i="33"/>
  <c r="I2257" i="33" s="1"/>
  <c r="I3887" i="33" s="1"/>
  <c r="E2221" i="33"/>
  <c r="E2135" i="33"/>
  <c r="G2135" i="33"/>
  <c r="G2221" i="33"/>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135" i="33"/>
  <c r="J2221" i="33"/>
  <c r="J2226" i="33" s="1"/>
  <c r="J2122" i="33"/>
  <c r="J2135" i="33"/>
  <c r="K2135" i="33"/>
  <c r="K2221" i="33"/>
  <c r="I1877" i="33"/>
  <c r="I2085" i="33" s="1"/>
  <c r="I2121" i="33"/>
  <c r="I2225" i="33" s="1"/>
  <c r="D2234" i="33"/>
  <c r="M2234" i="33" s="1"/>
  <c r="M2130" i="33"/>
  <c r="D2135" i="33"/>
  <c r="D2221" i="33"/>
  <c r="D2257" i="33" s="1"/>
  <c r="D3887" i="33" s="1"/>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135" i="33"/>
  <c r="D2243" i="33"/>
  <c r="M2243" i="33" s="1"/>
  <c r="M2139" i="33"/>
  <c r="D1877" i="33"/>
  <c r="D2085" i="33" s="1"/>
  <c r="D2121" i="33"/>
  <c r="D2122" i="33" s="1"/>
  <c r="J2125" i="33"/>
  <c r="K1877" i="33"/>
  <c r="K2085" i="33" s="1"/>
  <c r="K2121" i="33"/>
  <c r="K2225" i="33" s="1"/>
  <c r="D2230" i="33"/>
  <c r="M2230" i="33" s="1"/>
  <c r="M2126" i="33"/>
  <c r="F2135" i="33"/>
  <c r="M2138" i="33"/>
  <c r="K2125" i="33"/>
  <c r="E1039" i="34"/>
  <c r="H1107" i="34"/>
  <c r="F1104" i="34"/>
  <c r="J1104" i="34"/>
  <c r="K1099" i="34"/>
  <c r="G1104" i="34"/>
  <c r="L1099" i="34"/>
  <c r="H1100" i="34"/>
  <c r="L1108" i="34"/>
  <c r="I1896" i="33"/>
  <c r="I1898" i="33" s="1"/>
  <c r="M53" i="37"/>
  <c r="EI53" i="37" s="1"/>
  <c r="EI22" i="37" s="1"/>
  <c r="F1896" i="33"/>
  <c r="F1898" i="33" s="1"/>
  <c r="F1099" i="34"/>
  <c r="G1039" i="34"/>
  <c r="I1099" i="34"/>
  <c r="J1089" i="34"/>
  <c r="I1104" i="34"/>
  <c r="L1104" i="34"/>
  <c r="D1107" i="34"/>
  <c r="G1100" i="34"/>
  <c r="F1089" i="34"/>
  <c r="F1057" i="34"/>
  <c r="F1059" i="34" s="1"/>
  <c r="H1896" i="33"/>
  <c r="H1898" i="33" s="1"/>
  <c r="H1104" i="34"/>
  <c r="H1057" i="34"/>
  <c r="H1059" i="34" s="1"/>
  <c r="ES23" i="37"/>
  <c r="FN23" i="37" s="1"/>
  <c r="FN53" i="37" s="1"/>
  <c r="FN22" i="37" s="1"/>
  <c r="W53" i="37"/>
  <c r="J1039" i="34"/>
  <c r="J1057" i="34"/>
  <c r="J1059" i="34" s="1"/>
  <c r="G1057" i="34"/>
  <c r="G1059" i="34" s="1"/>
  <c r="I1057" i="34"/>
  <c r="I1059" i="34" s="1"/>
  <c r="E1057" i="34"/>
  <c r="E1059" i="34" s="1"/>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0" i="33"/>
  <c r="J3900" i="33" s="1"/>
  <c r="L2270" i="33"/>
  <c r="L3900" i="33" s="1"/>
  <c r="I2279" i="33"/>
  <c r="I3909" i="33" s="1"/>
  <c r="G1108" i="34"/>
  <c r="I1108" i="34"/>
  <c r="H1108" i="34"/>
  <c r="D1108" i="34"/>
  <c r="K1108" i="34"/>
  <c r="J2279" i="33"/>
  <c r="J3909" i="33" s="1"/>
  <c r="K537" i="34"/>
  <c r="K539" i="34" s="1"/>
  <c r="DX193" i="22"/>
  <c r="DX16" i="22" s="1"/>
  <c r="E1104" i="34"/>
  <c r="D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K2257" i="33"/>
  <c r="K388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L2257" i="33"/>
  <c r="L3887" i="33" s="1"/>
  <c r="K2267" i="33"/>
  <c r="K3897" i="33" s="1"/>
  <c r="AR16" i="22"/>
  <c r="FP23" i="37"/>
  <c r="FP53" i="37" s="1"/>
  <c r="FP22" i="37" s="1"/>
  <c r="C23" i="37"/>
  <c r="DY23" i="37" s="1"/>
  <c r="D53" i="37"/>
  <c r="H2257" i="33"/>
  <c r="H3887" i="33" s="1"/>
  <c r="I2267" i="33"/>
  <c r="I3897" i="33" s="1"/>
  <c r="F2257" i="33"/>
  <c r="F3887" i="33" s="1"/>
  <c r="G2257" i="33"/>
  <c r="G3887" i="33" s="1"/>
  <c r="H532" i="33"/>
  <c r="H116" i="33"/>
  <c r="G921" i="33"/>
  <c r="G1181" i="33" s="1"/>
  <c r="K921" i="33"/>
  <c r="K1181" i="33" s="1"/>
  <c r="H921" i="33"/>
  <c r="L921" i="33"/>
  <c r="L1181" i="33" s="1"/>
  <c r="F921" i="33"/>
  <c r="F1181" i="33" s="1"/>
  <c r="I921" i="33"/>
  <c r="I1181" i="33" s="1"/>
  <c r="D921" i="33"/>
  <c r="J921" i="33"/>
  <c r="E921" i="33"/>
  <c r="H2267" i="33"/>
  <c r="H3897" i="33" s="1"/>
  <c r="M2081" i="33"/>
  <c r="G2267" i="33"/>
  <c r="G3897" i="33" s="1"/>
  <c r="J532" i="33"/>
  <c r="F2267" i="33"/>
  <c r="F3897" i="33" s="1"/>
  <c r="E2257" i="33"/>
  <c r="E3887" i="33" s="1"/>
  <c r="K124" i="33"/>
  <c r="K126" i="33" s="1"/>
  <c r="D116" i="33"/>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K69" i="34"/>
  <c r="K71" i="34" s="1"/>
  <c r="ET17" i="22"/>
  <c r="ET193" i="22" s="1"/>
  <c r="ET16" i="22" s="1"/>
  <c r="J940" i="33"/>
  <c r="J942" i="33" s="1"/>
  <c r="K940" i="33"/>
  <c r="K942" i="33" s="1"/>
  <c r="EN17" i="22"/>
  <c r="EN193" i="22" s="1"/>
  <c r="EN16" i="22" s="1"/>
  <c r="I940" i="33"/>
  <c r="I942" i="33" s="1"/>
  <c r="EM17" i="22"/>
  <c r="EM193" i="22" s="1"/>
  <c r="EM16" i="22" s="1"/>
  <c r="M1186" i="33"/>
  <c r="M64" i="34"/>
  <c r="EA193" i="22"/>
  <c r="D19" i="25" s="1"/>
  <c r="D62" i="25" s="1"/>
  <c r="EB193" i="22"/>
  <c r="EB16" i="22" s="1"/>
  <c r="L940" i="33"/>
  <c r="L942" i="33" s="1"/>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J69" i="34"/>
  <c r="J71" i="34" s="1"/>
  <c r="I69" i="34"/>
  <c r="I71" i="34" s="1"/>
  <c r="F69" i="34"/>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D1185" i="33" s="1"/>
  <c r="H925" i="33"/>
  <c r="E69" i="34"/>
  <c r="J925" i="33"/>
  <c r="E925" i="33"/>
  <c r="I925" i="33"/>
  <c r="M930" i="33"/>
  <c r="G69" i="34"/>
  <c r="H69" i="34"/>
  <c r="M68" i="34"/>
  <c r="I37" i="25"/>
  <c r="M49" i="34"/>
  <c r="M67" i="34"/>
  <c r="D37" i="25"/>
  <c r="H37" i="25"/>
  <c r="J37" i="25"/>
  <c r="K37" i="25"/>
  <c r="CW16" i="22"/>
  <c r="M17" i="32"/>
  <c r="M51" i="32" s="1"/>
  <c r="M16" i="32" s="1"/>
  <c r="AA17" i="32"/>
  <c r="AA51" i="32" s="1"/>
  <c r="L37" i="25"/>
  <c r="F37" i="25"/>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E37" i="25"/>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M1177" i="33"/>
  <c r="H72" i="25"/>
  <c r="CF16" i="22"/>
  <c r="DD16" i="22"/>
  <c r="DH16" i="22"/>
  <c r="CR16" i="22"/>
  <c r="CJ16" i="22"/>
  <c r="CM16" i="22"/>
  <c r="L72" i="25"/>
  <c r="K72" i="25"/>
  <c r="CI16" i="22"/>
  <c r="CL16" i="22"/>
  <c r="M1086" i="34"/>
  <c r="E72" i="25"/>
  <c r="H540" i="33"/>
  <c r="I540" i="33"/>
  <c r="CV16" i="22"/>
  <c r="K540" i="33"/>
  <c r="CU16" i="22"/>
  <c r="I58" i="25"/>
  <c r="K58" i="25"/>
  <c r="L58" i="25"/>
  <c r="J58" i="25"/>
  <c r="CN16" i="22"/>
  <c r="BY16" i="22"/>
  <c r="BZ16" i="22"/>
  <c r="BV16" i="22"/>
  <c r="BT16" i="22"/>
  <c r="BX16" i="22"/>
  <c r="BP16" i="22"/>
  <c r="BS16" i="22"/>
  <c r="BW16" i="22"/>
  <c r="CA16" i="22"/>
  <c r="BU16" i="22"/>
  <c r="DC16" i="22"/>
  <c r="FT17" i="22"/>
  <c r="FT193" i="22" s="1"/>
  <c r="FT16" i="22" s="1"/>
  <c r="CZ193" i="22"/>
  <c r="CZ16" i="22" s="1"/>
  <c r="CB38" i="22"/>
  <c r="FH17" i="22"/>
  <c r="M15" i="25"/>
  <c r="FH38" i="22"/>
  <c r="M67" i="25"/>
  <c r="M24" i="25"/>
  <c r="M17" i="25"/>
  <c r="M60" i="25"/>
  <c r="EV38" i="22"/>
  <c r="J2257" i="33" l="1"/>
  <c r="J3887" i="33" s="1"/>
  <c r="M1228" i="33"/>
  <c r="E37" i="33" s="1"/>
  <c r="M1283" i="33"/>
  <c r="J1860" i="33"/>
  <c r="M1850" i="33"/>
  <c r="I1860" i="33"/>
  <c r="G1288" i="33"/>
  <c r="F1288" i="33"/>
  <c r="I1288" i="33"/>
  <c r="H1842" i="33"/>
  <c r="G1860" i="33"/>
  <c r="I1842" i="33"/>
  <c r="G1290" i="33"/>
  <c r="K1860" i="33"/>
  <c r="M1280" i="33"/>
  <c r="E1292" i="33" s="1"/>
  <c r="G38" i="33" s="1"/>
  <c r="F1860" i="33"/>
  <c r="L1842" i="33"/>
  <c r="L1852" i="33"/>
  <c r="E1842" i="33"/>
  <c r="J2260" i="33"/>
  <c r="J3890" i="33" s="1"/>
  <c r="M1858" i="33"/>
  <c r="M1841" i="33"/>
  <c r="M1049" i="34"/>
  <c r="L1860" i="33"/>
  <c r="H1290" i="33"/>
  <c r="D1290" i="33"/>
  <c r="J1290" i="33"/>
  <c r="L1290" i="33"/>
  <c r="M1851" i="33"/>
  <c r="M1852" i="33" s="1"/>
  <c r="E49" i="33" s="1"/>
  <c r="M1270" i="33"/>
  <c r="F1290" i="33"/>
  <c r="I1290" i="33"/>
  <c r="L80" i="25"/>
  <c r="M21" i="27"/>
  <c r="M1288" i="33"/>
  <c r="M1290" i="33" s="1"/>
  <c r="E80" i="25"/>
  <c r="F21" i="27"/>
  <c r="J80" i="25"/>
  <c r="K21" i="27"/>
  <c r="F80" i="25"/>
  <c r="G21" i="27"/>
  <c r="G80" i="25"/>
  <c r="H21" i="27"/>
  <c r="K80" i="25"/>
  <c r="L21" i="27"/>
  <c r="H80" i="25"/>
  <c r="I21" i="27"/>
  <c r="D80" i="25"/>
  <c r="E21" i="27"/>
  <c r="I80" i="25"/>
  <c r="J21" i="27"/>
  <c r="M1240" i="33"/>
  <c r="I1240" i="33"/>
  <c r="M1236" i="33"/>
  <c r="M1238" i="33" s="1"/>
  <c r="M1859" i="33"/>
  <c r="E1240" i="33"/>
  <c r="G37" i="33" s="1"/>
  <c r="D3868" i="33"/>
  <c r="M1218" i="33"/>
  <c r="M1384" i="33"/>
  <c r="I1396" i="33" s="1"/>
  <c r="M2308" i="33"/>
  <c r="I2320" i="33" s="1"/>
  <c r="M1392" i="33"/>
  <c r="M1394" i="33" s="1"/>
  <c r="E1109" i="34"/>
  <c r="M22" i="37"/>
  <c r="M2316" i="33"/>
  <c r="M2318" i="33" s="1"/>
  <c r="M3868" i="33"/>
  <c r="E89" i="33" s="1"/>
  <c r="E1878" i="33"/>
  <c r="D3858" i="33"/>
  <c r="M3858" i="33" s="1"/>
  <c r="M3857" i="33"/>
  <c r="D1860" i="33"/>
  <c r="M2298" i="33"/>
  <c r="D3876" i="33"/>
  <c r="M3871" i="33"/>
  <c r="M3876" i="33" s="1"/>
  <c r="C89" i="33" s="1"/>
  <c r="M1374" i="33"/>
  <c r="M1840" i="33"/>
  <c r="D1842" i="33"/>
  <c r="G1109" i="34"/>
  <c r="L1878" i="33"/>
  <c r="H2085" i="33"/>
  <c r="H2086" i="33" s="1"/>
  <c r="I1878" i="33"/>
  <c r="F2085" i="33"/>
  <c r="F2086" i="33" s="1"/>
  <c r="D1878" i="33"/>
  <c r="L2122" i="33"/>
  <c r="K1878" i="33"/>
  <c r="L2226" i="33"/>
  <c r="G1888" i="33"/>
  <c r="F2225" i="33"/>
  <c r="F2226" i="33" s="1"/>
  <c r="F2122" i="33"/>
  <c r="I2122" i="33"/>
  <c r="M2221" i="33"/>
  <c r="D2140" i="33"/>
  <c r="D2142" i="33" s="1"/>
  <c r="D2239" i="33"/>
  <c r="M2135" i="33"/>
  <c r="M2140" i="33" s="1"/>
  <c r="L2140" i="33"/>
  <c r="L2142" i="33" s="1"/>
  <c r="L2239" i="33"/>
  <c r="L2244" i="33" s="1"/>
  <c r="K2132" i="33"/>
  <c r="K2229" i="33"/>
  <c r="K2236" i="33" s="1"/>
  <c r="F2132" i="33"/>
  <c r="F2229" i="33"/>
  <c r="F2236" i="33" s="1"/>
  <c r="F2140" i="33"/>
  <c r="F2142" i="33" s="1"/>
  <c r="F2239" i="33"/>
  <c r="F2244" i="33" s="1"/>
  <c r="K2226" i="33"/>
  <c r="M2125" i="33"/>
  <c r="M2132" i="33" s="1"/>
  <c r="K2140" i="33"/>
  <c r="K2239" i="33"/>
  <c r="K2244" i="33" s="1"/>
  <c r="G2226" i="33"/>
  <c r="K2122" i="33"/>
  <c r="G2122" i="33"/>
  <c r="D2236" i="33"/>
  <c r="J2239" i="33"/>
  <c r="J2244" i="33" s="1"/>
  <c r="J2140" i="33"/>
  <c r="J2142" i="33" s="1"/>
  <c r="G2140" i="33"/>
  <c r="G2142" i="33" s="1"/>
  <c r="G2239" i="33"/>
  <c r="G2244" i="33" s="1"/>
  <c r="E2122" i="33"/>
  <c r="E2239" i="33"/>
  <c r="E2244" i="33" s="1"/>
  <c r="E2140" i="33"/>
  <c r="E2142" i="33" s="1"/>
  <c r="J2229" i="33"/>
  <c r="J2236" i="33" s="1"/>
  <c r="J2132" i="33"/>
  <c r="H2140" i="33"/>
  <c r="H2142" i="33" s="1"/>
  <c r="H2239" i="33"/>
  <c r="H2244" i="33" s="1"/>
  <c r="E2226" i="33"/>
  <c r="H1109" i="34"/>
  <c r="D2225" i="33"/>
  <c r="M2121" i="33"/>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M1039" i="34"/>
  <c r="D1888" i="33"/>
  <c r="D1898" i="33" s="1"/>
  <c r="M1881" i="33"/>
  <c r="M1888" i="33" s="1"/>
  <c r="M1896" i="33"/>
  <c r="M1877" i="33"/>
  <c r="M1108" i="34"/>
  <c r="I2086" i="33"/>
  <c r="D2265" i="33"/>
  <c r="D3895" i="33" s="1"/>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G2265" i="33" s="1"/>
  <c r="G3895" i="33" s="1"/>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1094" i="34"/>
  <c r="E1101" i="34" s="1"/>
  <c r="J51" i="34"/>
  <c r="J1090" i="34"/>
  <c r="J1091" i="34" s="1"/>
  <c r="F51" i="34"/>
  <c r="F1090" i="34"/>
  <c r="F1091" i="34" s="1"/>
  <c r="G61" i="34"/>
  <c r="G1094" i="34"/>
  <c r="G110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L2278" i="33"/>
  <c r="L3908" i="33" s="1"/>
  <c r="H2104" i="33"/>
  <c r="K2278" i="33"/>
  <c r="K3908" i="33" s="1"/>
  <c r="E2279" i="33"/>
  <c r="E3909" i="33" s="1"/>
  <c r="H2278" i="33"/>
  <c r="H3908" i="33" s="1"/>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H71" i="34"/>
  <c r="H2271" i="33"/>
  <c r="H3901" i="33" s="1"/>
  <c r="M2257" i="33"/>
  <c r="H23" i="25"/>
  <c r="H66" i="25" s="1"/>
  <c r="M3887" i="33"/>
  <c r="K2271" i="33"/>
  <c r="K3901" i="33" s="1"/>
  <c r="G2096" i="33"/>
  <c r="H1200" i="33"/>
  <c r="M2267" i="33"/>
  <c r="D2279" i="33"/>
  <c r="D3909" i="33" s="1"/>
  <c r="EG16" i="22"/>
  <c r="I23" i="25"/>
  <c r="I66" i="25" s="1"/>
  <c r="F2271" i="33"/>
  <c r="F3901" i="33" s="1"/>
  <c r="D23" i="25"/>
  <c r="D66" i="25" s="1"/>
  <c r="K23" i="25"/>
  <c r="K66" i="25" s="1"/>
  <c r="F1200" i="33"/>
  <c r="EA16" i="22"/>
  <c r="K2270" i="33"/>
  <c r="K3900" i="33" s="1"/>
  <c r="K1200" i="33"/>
  <c r="M1191" i="33"/>
  <c r="F23" i="25"/>
  <c r="F66" i="25" s="1"/>
  <c r="G2270" i="33"/>
  <c r="G3900" i="33" s="1"/>
  <c r="M3897" i="33"/>
  <c r="I19" i="25"/>
  <c r="I62" i="25" s="1"/>
  <c r="F19" i="25"/>
  <c r="F62" i="25" s="1"/>
  <c r="K19" i="25"/>
  <c r="K62" i="25" s="1"/>
  <c r="EI16" i="22"/>
  <c r="L23" i="25"/>
  <c r="L66" i="25" s="1"/>
  <c r="H19" i="25"/>
  <c r="H62" i="25" s="1"/>
  <c r="E23" i="25"/>
  <c r="E66" i="25" s="1"/>
  <c r="M921" i="33"/>
  <c r="L2261" i="33"/>
  <c r="L3891" i="33" s="1"/>
  <c r="E19" i="25"/>
  <c r="E62" i="25" s="1"/>
  <c r="M2095" i="33"/>
  <c r="M2094" i="33"/>
  <c r="J1200" i="33"/>
  <c r="M116" i="33"/>
  <c r="E128" i="33" s="1"/>
  <c r="G15" i="33" s="1"/>
  <c r="D2086" i="33"/>
  <c r="D2104" i="33"/>
  <c r="M2099" i="33"/>
  <c r="F942" i="33"/>
  <c r="E540" i="33"/>
  <c r="E1200" i="33"/>
  <c r="L1200" i="33"/>
  <c r="D2278" i="33"/>
  <c r="D3908" i="33" s="1"/>
  <c r="G1200" i="33"/>
  <c r="L540" i="33"/>
  <c r="M1099" i="34"/>
  <c r="I1200" i="33"/>
  <c r="F540" i="33"/>
  <c r="H2260" i="33"/>
  <c r="H3890" i="33" s="1"/>
  <c r="K2260" i="33"/>
  <c r="K3890" i="33" s="1"/>
  <c r="M532" i="33"/>
  <c r="D532" i="33"/>
  <c r="D522" i="33"/>
  <c r="M522" i="33" s="1"/>
  <c r="M106" i="33"/>
  <c r="I2260" i="33"/>
  <c r="I3890" i="33" s="1"/>
  <c r="M535" i="33"/>
  <c r="M540" i="33" s="1"/>
  <c r="C23" i="33" s="1"/>
  <c r="D540" i="33"/>
  <c r="D2275" i="33"/>
  <c r="D3905" i="33" s="1"/>
  <c r="M124" i="33"/>
  <c r="M520" i="33"/>
  <c r="ED16" i="22"/>
  <c r="M1100" i="34"/>
  <c r="G23" i="25"/>
  <c r="G66" i="25" s="1"/>
  <c r="K1109" i="34"/>
  <c r="K1111" i="34" s="1"/>
  <c r="G942" i="33"/>
  <c r="EV17" i="22"/>
  <c r="EV193" i="22" s="1"/>
  <c r="EV16" i="22" s="1"/>
  <c r="G71" i="34"/>
  <c r="I51" i="34"/>
  <c r="D51" i="34"/>
  <c r="E71" i="34"/>
  <c r="K51" i="34"/>
  <c r="E51" i="34"/>
  <c r="E942" i="33"/>
  <c r="F71" i="34"/>
  <c r="H942" i="33"/>
  <c r="I1109" i="34"/>
  <c r="I1111" i="34" s="1"/>
  <c r="J1109" i="34"/>
  <c r="J1111" i="34" s="1"/>
  <c r="M50" i="34"/>
  <c r="D61" i="34"/>
  <c r="D71" i="34" s="1"/>
  <c r="M54" i="34"/>
  <c r="M61" i="34" s="1"/>
  <c r="J18" i="25"/>
  <c r="J61" i="25" s="1"/>
  <c r="J63" i="25" s="1"/>
  <c r="AA16" i="32"/>
  <c r="L1109" i="34"/>
  <c r="L1111" i="34" s="1"/>
  <c r="F1109" i="34"/>
  <c r="M1107" i="34"/>
  <c r="M69" i="34"/>
  <c r="K18" i="25"/>
  <c r="K61" i="25" s="1"/>
  <c r="AB16" i="32"/>
  <c r="AC16" i="32"/>
  <c r="D932" i="33"/>
  <c r="D942" i="33" s="1"/>
  <c r="M925" i="33"/>
  <c r="M932" i="33" s="1"/>
  <c r="M940" i="33"/>
  <c r="M1089" i="34"/>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H36" i="25"/>
  <c r="H79" i="25" s="1"/>
  <c r="G36" i="25"/>
  <c r="G79" i="25" s="1"/>
  <c r="L36" i="25"/>
  <c r="L79" i="25" s="1"/>
  <c r="E36" i="25"/>
  <c r="E79" i="25" s="1"/>
  <c r="F36" i="25"/>
  <c r="F79" i="25" s="1"/>
  <c r="X16" i="32"/>
  <c r="C29" i="33"/>
  <c r="AD17" i="32"/>
  <c r="AD51" i="32" s="1"/>
  <c r="AD16" i="32" s="1"/>
  <c r="E61" i="25"/>
  <c r="V16" i="32"/>
  <c r="P17" i="32"/>
  <c r="P51" i="32" s="1"/>
  <c r="M1190" i="33"/>
  <c r="D2270" i="33"/>
  <c r="D3900" i="33" s="1"/>
  <c r="D1109" i="34"/>
  <c r="M1104" i="34"/>
  <c r="I2275" i="33"/>
  <c r="M37" i="25"/>
  <c r="M1198" i="33"/>
  <c r="D1192" i="33"/>
  <c r="M1199" i="33"/>
  <c r="L1182" i="33"/>
  <c r="F1182" i="33"/>
  <c r="Y16" i="32"/>
  <c r="M1195" i="33"/>
  <c r="I1182" i="33"/>
  <c r="K1182" i="33"/>
  <c r="M58" i="25"/>
  <c r="G1182" i="33"/>
  <c r="D1200" i="33"/>
  <c r="Z16" i="32"/>
  <c r="L20" i="25"/>
  <c r="G61" i="25"/>
  <c r="G63" i="25" s="1"/>
  <c r="G20" i="25"/>
  <c r="F61" i="25"/>
  <c r="U16" i="32"/>
  <c r="AG51" i="32"/>
  <c r="AP17" i="32"/>
  <c r="AP51" i="32" s="1"/>
  <c r="FH193" i="22"/>
  <c r="FH16" i="22" s="1"/>
  <c r="CB193" i="22"/>
  <c r="CB16" i="22" s="1"/>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E1111" i="34" l="1"/>
  <c r="K2142" i="33"/>
  <c r="M1860" i="33"/>
  <c r="C49" i="33" s="1"/>
  <c r="L2265" i="33"/>
  <c r="L3895" i="33" s="1"/>
  <c r="L3902" i="33" s="1"/>
  <c r="I1292" i="33"/>
  <c r="M1292" i="33"/>
  <c r="E38" i="33"/>
  <c r="K2275" i="33"/>
  <c r="K3905" i="33" s="1"/>
  <c r="M1862" i="33"/>
  <c r="M1842" i="33"/>
  <c r="E1862" i="33"/>
  <c r="G49" i="33" s="1"/>
  <c r="I1862" i="33"/>
  <c r="C38" i="33"/>
  <c r="J2275" i="33"/>
  <c r="J3905" i="33" s="1"/>
  <c r="J3910" i="33" s="1"/>
  <c r="M80" i="25"/>
  <c r="E1396" i="33"/>
  <c r="G40" i="33" s="1"/>
  <c r="L17" i="27"/>
  <c r="L19" i="27"/>
  <c r="L20" i="27"/>
  <c r="L18" i="27"/>
  <c r="L15" i="27"/>
  <c r="L16" i="27"/>
  <c r="H16" i="27"/>
  <c r="H18" i="27"/>
  <c r="H19" i="27"/>
  <c r="H20" i="27"/>
  <c r="H17" i="27"/>
  <c r="H15" i="27"/>
  <c r="G19" i="27"/>
  <c r="G16" i="27"/>
  <c r="G17" i="27"/>
  <c r="G18" i="27"/>
  <c r="G20" i="27"/>
  <c r="G15" i="27"/>
  <c r="K19" i="27"/>
  <c r="K17" i="27"/>
  <c r="K20" i="27"/>
  <c r="K16" i="27"/>
  <c r="K18" i="27"/>
  <c r="K15" i="27"/>
  <c r="F16" i="27"/>
  <c r="F18" i="27"/>
  <c r="F20" i="27"/>
  <c r="F15" i="27"/>
  <c r="F17" i="27"/>
  <c r="F19" i="27"/>
  <c r="J19" i="27"/>
  <c r="J20" i="27"/>
  <c r="J16" i="27"/>
  <c r="J18" i="27"/>
  <c r="J15" i="27"/>
  <c r="J17" i="27"/>
  <c r="M17" i="27"/>
  <c r="M15" i="27"/>
  <c r="M19" i="27"/>
  <c r="M18" i="27"/>
  <c r="M20" i="27"/>
  <c r="M16" i="27"/>
  <c r="E16" i="27"/>
  <c r="E18" i="27"/>
  <c r="E20" i="27"/>
  <c r="E17" i="27"/>
  <c r="E19" i="27"/>
  <c r="E15" i="27"/>
  <c r="C40" i="33"/>
  <c r="I16" i="27"/>
  <c r="I17" i="27"/>
  <c r="I19" i="27"/>
  <c r="I18" i="27"/>
  <c r="I20" i="27"/>
  <c r="I15" i="27"/>
  <c r="C59" i="33"/>
  <c r="C37" i="33"/>
  <c r="M1396" i="33"/>
  <c r="E40" i="33"/>
  <c r="L2275" i="33"/>
  <c r="L3905" i="33" s="1"/>
  <c r="L3910" i="33" s="1"/>
  <c r="E2320" i="33"/>
  <c r="G59" i="33" s="1"/>
  <c r="E59" i="33"/>
  <c r="M2320" i="33"/>
  <c r="H2275" i="33"/>
  <c r="H3905" i="33" s="1"/>
  <c r="H3910" i="33" s="1"/>
  <c r="M2225" i="33"/>
  <c r="G1111" i="34"/>
  <c r="F2261" i="33"/>
  <c r="F3891" i="33" s="1"/>
  <c r="F3892" i="33" s="1"/>
  <c r="C34" i="34"/>
  <c r="F2275" i="33"/>
  <c r="F3905" i="33" s="1"/>
  <c r="F3910" i="33" s="1"/>
  <c r="G2275" i="33"/>
  <c r="G3905" i="33" s="1"/>
  <c r="G3910" i="33" s="1"/>
  <c r="M1878" i="33"/>
  <c r="H1111" i="34"/>
  <c r="M2122" i="33"/>
  <c r="E1900" i="33"/>
  <c r="G50" i="33" s="1"/>
  <c r="M1900" i="33"/>
  <c r="I1900" i="33"/>
  <c r="E31" i="33"/>
  <c r="M944" i="33"/>
  <c r="I944" i="33"/>
  <c r="E944" i="33"/>
  <c r="G31" i="33" s="1"/>
  <c r="M2142" i="33"/>
  <c r="C55" i="33"/>
  <c r="E2275" i="33"/>
  <c r="E3905" i="33" s="1"/>
  <c r="E3910" i="33" s="1"/>
  <c r="D3896" i="33"/>
  <c r="M3896" i="33" s="1"/>
  <c r="M2266" i="33"/>
  <c r="E55" i="33"/>
  <c r="M2144" i="33"/>
  <c r="I2144" i="33"/>
  <c r="E2144" i="33"/>
  <c r="G55" i="33" s="1"/>
  <c r="D2244" i="33"/>
  <c r="M2239" i="33"/>
  <c r="M2244" i="33" s="1"/>
  <c r="C57" i="33" s="1"/>
  <c r="M542" i="33"/>
  <c r="I542" i="33"/>
  <c r="E542" i="33"/>
  <c r="G23" i="33" s="1"/>
  <c r="D2226" i="33"/>
  <c r="M2226" i="33" s="1"/>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E3902" i="33" s="1"/>
  <c r="F2265" i="33"/>
  <c r="F3895" i="33" s="1"/>
  <c r="F3902" i="33" s="1"/>
  <c r="G2280" i="33"/>
  <c r="J2261" i="33"/>
  <c r="J2262" i="33" s="1"/>
  <c r="G2086" i="33"/>
  <c r="M2086" i="33" s="1"/>
  <c r="M1898" i="33"/>
  <c r="C50" i="33"/>
  <c r="E50" i="33"/>
  <c r="K3910" i="33"/>
  <c r="L3892" i="33"/>
  <c r="H2261" i="33"/>
  <c r="H3891" i="33" s="1"/>
  <c r="H3892" i="33" s="1"/>
  <c r="E63" i="25"/>
  <c r="J2280" i="33"/>
  <c r="M3909" i="33"/>
  <c r="D2261" i="33"/>
  <c r="D3891" i="33" s="1"/>
  <c r="K2280" i="33"/>
  <c r="M2279" i="33"/>
  <c r="G3902" i="33"/>
  <c r="M3908" i="33"/>
  <c r="M2104" i="33"/>
  <c r="C54" i="33" s="1"/>
  <c r="C22" i="37"/>
  <c r="DY53" i="37"/>
  <c r="DY22" i="37" s="1"/>
  <c r="G2262" i="33"/>
  <c r="M539" i="34"/>
  <c r="C24" i="34"/>
  <c r="EU23" i="37"/>
  <c r="EU53" i="37" s="1"/>
  <c r="EU22" i="37" s="1"/>
  <c r="L2262" i="33"/>
  <c r="K63" i="25"/>
  <c r="ET53" i="37"/>
  <c r="F20" i="25"/>
  <c r="M19" i="25"/>
  <c r="M2085" i="33"/>
  <c r="E1182" i="33"/>
  <c r="M1182" i="33" s="1"/>
  <c r="M922" i="33"/>
  <c r="G3891" i="33"/>
  <c r="G3892" i="33" s="1"/>
  <c r="M3901" i="33"/>
  <c r="M3900" i="33"/>
  <c r="M1181" i="33"/>
  <c r="M128" i="33"/>
  <c r="E15" i="33"/>
  <c r="K2261" i="33"/>
  <c r="E3891" i="33"/>
  <c r="E3892" i="33" s="1"/>
  <c r="E2262" i="33"/>
  <c r="D3910" i="33"/>
  <c r="I128" i="33"/>
  <c r="M2278" i="33"/>
  <c r="I2261" i="33"/>
  <c r="I3891" i="33" s="1"/>
  <c r="I3892" i="33" s="1"/>
  <c r="M2089" i="33"/>
  <c r="M2096" i="33" s="1"/>
  <c r="D2096" i="33"/>
  <c r="F1192" i="33"/>
  <c r="M2271" i="33"/>
  <c r="E23" i="33"/>
  <c r="G1192" i="33"/>
  <c r="K1192" i="33"/>
  <c r="D2280" i="33"/>
  <c r="H2265" i="33"/>
  <c r="H3895" i="33" s="1"/>
  <c r="H3902" i="33" s="1"/>
  <c r="J20" i="25"/>
  <c r="I2265" i="33"/>
  <c r="I3895" i="33" s="1"/>
  <c r="I3902" i="33" s="1"/>
  <c r="M126" i="33"/>
  <c r="C15" i="33"/>
  <c r="F30" i="25"/>
  <c r="K20" i="25"/>
  <c r="F1111" i="34"/>
  <c r="M71" i="34"/>
  <c r="M1109" i="34"/>
  <c r="C35" i="34" s="1"/>
  <c r="E1192" i="33"/>
  <c r="M51" i="34"/>
  <c r="J30" i="25"/>
  <c r="J2265" i="33"/>
  <c r="J3895" i="33" s="1"/>
  <c r="J3902" i="33" s="1"/>
  <c r="M1185" i="33"/>
  <c r="M1192" i="33" s="1"/>
  <c r="L1192" i="33"/>
  <c r="M1094" i="34"/>
  <c r="M1101" i="34" s="1"/>
  <c r="M1090" i="34"/>
  <c r="M1091" i="34"/>
  <c r="M942" i="33"/>
  <c r="C31" i="33"/>
  <c r="AP16" i="32"/>
  <c r="M2270" i="33"/>
  <c r="P16" i="32"/>
  <c r="D3890" i="33"/>
  <c r="M2260" i="33"/>
  <c r="E20" i="25"/>
  <c r="D2272" i="33"/>
  <c r="G2272" i="33"/>
  <c r="L2272" i="33"/>
  <c r="M18" i="25"/>
  <c r="I2280" i="33"/>
  <c r="I3905" i="33"/>
  <c r="I3910" i="33" s="1"/>
  <c r="D1111" i="34"/>
  <c r="C15" i="34"/>
  <c r="M1200" i="33"/>
  <c r="C36" i="33" s="1"/>
  <c r="I61" i="25"/>
  <c r="I63" i="25" s="1"/>
  <c r="I20" i="25"/>
  <c r="H61" i="25"/>
  <c r="H63" i="25" s="1"/>
  <c r="H20" i="25"/>
  <c r="AG16" i="32"/>
  <c r="D28" i="25"/>
  <c r="D71" i="25" s="1"/>
  <c r="M71" i="25" s="1"/>
  <c r="D61" i="25"/>
  <c r="D63" i="25" s="1"/>
  <c r="D20" i="25"/>
  <c r="D36" i="25"/>
  <c r="D79" i="25" s="1"/>
  <c r="M79" i="25" s="1"/>
  <c r="E35" i="25"/>
  <c r="E78" i="25" s="1"/>
  <c r="E34" i="25"/>
  <c r="E77" i="25" s="1"/>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H2280" i="33" l="1"/>
  <c r="D3902" i="33"/>
  <c r="F2280" i="33"/>
  <c r="F2262" i="33"/>
  <c r="L2280" i="33"/>
  <c r="M2275" i="33"/>
  <c r="M2280" i="33" s="1"/>
  <c r="C58" i="33" s="1"/>
  <c r="N19" i="27"/>
  <c r="N17" i="27"/>
  <c r="N15" i="27"/>
  <c r="N18" i="27"/>
  <c r="N20" i="27"/>
  <c r="N16" i="27"/>
  <c r="E2272" i="33"/>
  <c r="F2272" i="33"/>
  <c r="E2280" i="33"/>
  <c r="M1202" i="33"/>
  <c r="E1202" i="33"/>
  <c r="G36" i="33" s="1"/>
  <c r="I1202" i="33"/>
  <c r="I2246" i="33"/>
  <c r="M2246" i="33"/>
  <c r="E2246" i="33"/>
  <c r="G57" i="33" s="1"/>
  <c r="E57" i="33"/>
  <c r="M2106" i="33"/>
  <c r="I2106" i="33"/>
  <c r="E2106" i="33"/>
  <c r="G54" i="33" s="1"/>
  <c r="K2272" i="33"/>
  <c r="J3891" i="33"/>
  <c r="J3892" i="33" s="1"/>
  <c r="H2262" i="33"/>
  <c r="D2262" i="33"/>
  <c r="ET22" i="37"/>
  <c r="M2261" i="33"/>
  <c r="I2262" i="33"/>
  <c r="K2262" i="33"/>
  <c r="K3891" i="33"/>
  <c r="H2272" i="33"/>
  <c r="E54" i="33"/>
  <c r="I2272" i="33"/>
  <c r="E36" i="33"/>
  <c r="M2265" i="33"/>
  <c r="M2272" i="33" s="1"/>
  <c r="M1111" i="34"/>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M68" i="25"/>
  <c r="K73" i="25"/>
  <c r="I81" i="25"/>
  <c r="G38" i="25"/>
  <c r="M35" i="25"/>
  <c r="M34" i="25"/>
  <c r="H81" i="25"/>
  <c r="M69" i="25"/>
  <c r="I38" i="25"/>
  <c r="H38" i="25"/>
  <c r="M77" i="25"/>
  <c r="F81" i="25"/>
  <c r="N21" i="27" l="1"/>
  <c r="E58" i="33"/>
  <c r="M2282" i="33"/>
  <c r="E2282" i="33"/>
  <c r="G58" i="33" s="1"/>
  <c r="I2282" i="33"/>
  <c r="M2262" i="33"/>
  <c r="K3892" i="33"/>
  <c r="M3892" i="33" s="1"/>
  <c r="M3891" i="33"/>
  <c r="F40" i="25"/>
  <c r="F41" i="25"/>
  <c r="G40" i="25"/>
  <c r="G41" i="25"/>
  <c r="K40" i="25"/>
  <c r="K41" i="25"/>
  <c r="J40" i="25"/>
  <c r="J41" i="25"/>
  <c r="L40" i="25"/>
  <c r="L41" i="25"/>
  <c r="I40" i="25"/>
  <c r="I41" i="25"/>
  <c r="H40" i="25"/>
  <c r="H41" i="25"/>
  <c r="E40" i="25"/>
  <c r="E41" i="25"/>
  <c r="M30" i="25"/>
  <c r="O13" i="35"/>
  <c r="O15" i="35" s="1"/>
  <c r="M78" i="25"/>
  <c r="D40" i="25"/>
  <c r="M73" i="25"/>
  <c r="M38" i="25"/>
  <c r="M41" i="25" s="1"/>
  <c r="M81" i="25"/>
  <c r="M40" i="25" l="1"/>
</calcChain>
</file>

<file path=xl/comments1.xml><?xml version="1.0" encoding="utf-8"?>
<comments xmlns="http://schemas.openxmlformats.org/spreadsheetml/2006/main">
  <authors>
    <author>Frank Sterner</author>
  </authors>
  <commentList>
    <comment ref="C2" authorId="0" shapeId="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C24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C24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text>
        <r>
          <rPr>
            <sz val="9"/>
            <color indexed="81"/>
            <rFont val="Tahoma"/>
            <family val="2"/>
          </rPr>
          <t xml:space="preserve">If relevant state </t>
        </r>
        <r>
          <rPr>
            <i/>
            <sz val="9"/>
            <color indexed="81"/>
            <rFont val="Tahoma"/>
            <family val="2"/>
          </rPr>
          <t>call</t>
        </r>
        <r>
          <rPr>
            <sz val="9"/>
            <color indexed="81"/>
            <rFont val="Tahoma"/>
            <family val="2"/>
          </rPr>
          <t xml:space="preserve"> name, and feel free to insert a hyperlink to the call text.
Om relevant ange </t>
        </r>
        <r>
          <rPr>
            <i/>
            <sz val="9"/>
            <color indexed="81"/>
            <rFont val="Tahoma"/>
            <family val="2"/>
          </rPr>
          <t xml:space="preserve">utlysningens </t>
        </r>
        <r>
          <rPr>
            <sz val="9"/>
            <color indexed="81"/>
            <rFont val="Tahoma"/>
            <family val="2"/>
          </rPr>
          <t>namn, och infoga gärna hyperlänk till utlysningstext</t>
        </r>
      </text>
    </comment>
    <comment ref="B11" authorId="0" shapeId="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text>
        <r>
          <rPr>
            <sz val="9"/>
            <color indexed="81"/>
            <rFont val="Tahoma"/>
            <family val="2"/>
          </rPr>
          <t xml:space="preserve">Choose </t>
        </r>
        <r>
          <rPr>
            <i/>
            <sz val="9"/>
            <color indexed="81"/>
            <rFont val="Tahoma"/>
            <family val="2"/>
          </rPr>
          <t>accounting area</t>
        </r>
        <r>
          <rPr>
            <sz val="9"/>
            <color indexed="81"/>
            <rFont val="Tahoma"/>
            <family val="2"/>
          </rPr>
          <t xml:space="preserve">:
FO=research
MA=environmental monitoring
UTB=first-and second cycle education
This choice decides the set of percent charges for indirect costs and facilities in sheet 3 that will be used in the calculation.
</t>
        </r>
        <r>
          <rPr>
            <b/>
            <sz val="9"/>
            <color indexed="81"/>
            <rFont val="Tahoma"/>
            <family val="2"/>
          </rPr>
          <t>Obligatoriskt.</t>
        </r>
        <r>
          <rPr>
            <sz val="9"/>
            <color indexed="81"/>
            <rFont val="Tahoma"/>
            <family val="2"/>
          </rPr>
          <t xml:space="preserve">
Välj </t>
        </r>
        <r>
          <rPr>
            <i/>
            <sz val="9"/>
            <color indexed="81"/>
            <rFont val="Tahoma"/>
            <family val="2"/>
          </rPr>
          <t>redovisningsområde</t>
        </r>
        <r>
          <rPr>
            <sz val="9"/>
            <color indexed="81"/>
            <rFont val="Tahoma"/>
            <family val="2"/>
          </rPr>
          <t xml:space="preserve">:
FO=forskning
MA=miljöanlys
UTB=utbildning på grund- och avancerad nivå
Det här valet avgör vilken uppsättning procentpåslag för indirekta kostnader och lokaler i blad 3 som används i kalkyleringen.
</t>
        </r>
        <r>
          <rPr>
            <b/>
            <sz val="9"/>
            <color indexed="81"/>
            <rFont val="Tahoma"/>
            <family val="2"/>
          </rPr>
          <t>Compulsory.</t>
        </r>
      </text>
    </comment>
    <comment ref="B21" authorId="0" shapeId="0">
      <text>
        <r>
          <rPr>
            <sz val="9"/>
            <color indexed="81"/>
            <rFont val="Tahoma"/>
            <family val="2"/>
          </rPr>
          <t xml:space="preserve">Choose </t>
        </r>
        <r>
          <rPr>
            <i/>
            <sz val="9"/>
            <color indexed="81"/>
            <rFont val="Tahoma"/>
            <family val="2"/>
          </rPr>
          <t>Type of external funding</t>
        </r>
        <r>
          <rPr>
            <sz val="9"/>
            <color indexed="81"/>
            <rFont val="Tahoma"/>
            <family val="2"/>
          </rPr>
          <t xml:space="preserve"> / Välj </t>
        </r>
        <r>
          <rPr>
            <i/>
            <sz val="9"/>
            <color indexed="81"/>
            <rFont val="Tahoma"/>
            <family val="2"/>
          </rPr>
          <t>Typ av externfinansiering</t>
        </r>
        <r>
          <rPr>
            <sz val="9"/>
            <color indexed="81"/>
            <rFont val="Tahoma"/>
            <family val="2"/>
          </rPr>
          <t>:
BIDRAG (GRANTS)
UPPDRAG (ASSIGNMENTS)</t>
        </r>
      </text>
    </comment>
  </commentList>
</comments>
</file>

<file path=xl/comments2.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C10" authorId="0" shapeId="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The year of asset acqusition.
Det år som utrustningen anskaffas.</t>
        </r>
      </text>
    </comment>
    <comment ref="G10" authorId="0" shapeId="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<sst xmlns="http://schemas.openxmlformats.org/spreadsheetml/2006/main" count="1567" uniqueCount="386">
  <si>
    <t>(%)</t>
  </si>
  <si>
    <t>(LKP)</t>
  </si>
  <si>
    <t>Total</t>
  </si>
  <si>
    <t>Odlingsenheten</t>
  </si>
  <si>
    <t>Person</t>
  </si>
  <si>
    <t xml:space="preserve">1. </t>
  </si>
  <si>
    <t xml:space="preserve">2. </t>
  </si>
  <si>
    <t xml:space="preserve">a. </t>
  </si>
  <si>
    <t xml:space="preserve">b. </t>
  </si>
  <si>
    <t xml:space="preserve">i. </t>
  </si>
  <si>
    <t xml:space="preserve">ii. </t>
  </si>
  <si>
    <t>=</t>
  </si>
  <si>
    <t>SSF</t>
  </si>
  <si>
    <t>WP</t>
  </si>
  <si>
    <t>WP 1</t>
  </si>
  <si>
    <t>WP 2</t>
  </si>
  <si>
    <t>WP 3</t>
  </si>
  <si>
    <t>WP 4</t>
  </si>
  <si>
    <t>WP 5</t>
  </si>
  <si>
    <t>WP 6</t>
  </si>
  <si>
    <t>WP 7</t>
  </si>
  <si>
    <t>WP 8</t>
  </si>
  <si>
    <t>WP 9</t>
  </si>
  <si>
    <t>WP 10</t>
  </si>
  <si>
    <t>&gt;</t>
  </si>
  <si>
    <t>SLF</t>
  </si>
  <si>
    <t xml:space="preserve"> 4. WP</t>
  </si>
  <si>
    <t>WP - Work Package</t>
  </si>
  <si>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</si>
  <si>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</si>
  <si>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</si>
  <si>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</si>
  <si>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</si>
  <si>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</si>
  <si>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</si>
  <si>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</si>
  <si>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</si>
  <si>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</si>
  <si>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</si>
  <si>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</si>
  <si>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</si>
  <si>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</si>
  <si>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</si>
  <si>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</si>
  <si>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</si>
  <si>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</si>
  <si>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</si>
  <si>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</si>
  <si>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</si>
  <si>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</si>
  <si>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</si>
  <si>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</si>
  <si>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</si>
  <si>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</si>
  <si>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</si>
  <si>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</si>
  <si>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</si>
  <si>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</si>
  <si>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</si>
  <si>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</si>
  <si>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</si>
  <si>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</si>
  <si>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</si>
  <si>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</si>
  <si>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</si>
  <si>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</si>
  <si>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</si>
  <si>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</si>
  <si>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</si>
  <si>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</si>
  <si>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</si>
  <si>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</si>
  <si>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</si>
  <si>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</si>
  <si>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</si>
  <si>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</si>
  <si>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</si>
  <si>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</si>
  <si>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</si>
  <si>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</si>
  <si>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</si>
  <si>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</si>
  <si>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</si>
  <si>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</si>
  <si>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</si>
  <si>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</si>
  <si>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</si>
  <si>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</si>
  <si>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</si>
  <si>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</si>
  <si>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</si>
  <si>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</si>
  <si>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</si>
  <si>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</si>
  <si>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</si>
  <si>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</si>
  <si>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</si>
  <si>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</si>
  <si>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</si>
  <si>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</si>
  <si>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</si>
  <si>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</si>
  <si>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</si>
  <si>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</si>
  <si>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</si>
  <si>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</si>
  <si>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</si>
  <si>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</si>
  <si>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</si>
  <si>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</si>
  <si>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</si>
  <si>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</si>
  <si>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</si>
  <si>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</si>
  <si>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</si>
  <si>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</si>
  <si>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</si>
  <si>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</si>
  <si>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</si>
  <si>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</si>
  <si>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</si>
  <si>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</si>
  <si>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</si>
  <si>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</si>
  <si>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</si>
  <si>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</si>
  <si>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</si>
  <si>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</si>
  <si>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</si>
  <si>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</si>
  <si>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</si>
  <si>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</si>
  <si>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</si>
  <si>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</si>
  <si>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</si>
  <si>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</si>
  <si>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</si>
  <si>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</si>
  <si>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</si>
  <si>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</si>
  <si>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</si>
  <si>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</si>
  <si>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</si>
  <si>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</si>
  <si>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</si>
  <si>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</si>
  <si>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</si>
  <si>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</si>
  <si>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</si>
  <si>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 xml:space="preserve">Language / Språk: </t>
  </si>
  <si>
    <t>English</t>
  </si>
  <si>
    <t>Svenska</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</si>
  <si>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</si>
  <si>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</si>
  <si>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</si>
  <si>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Sheet 5-8 have a column WP (D) where costs can be connected to different WP:s. These sheets also have the column CO-FUNDING SHARE (E) to be able to separate direct costs (except facility charge) covered by the grant from co-funded direct costs.</t>
  </si>
  <si>
    <t>Blad 5-8 har en kolumn WP (D) där kostnaderna kan ges tillhörighet till olika WP. Dessa blad har också kolumnen MEDFINANSIERINGSANDEL (E) för att kunna separera direkta kostnader (förutom lokalpåslag) som täcks av finansiären från kostnader som medfinansieras.</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</si>
  <si>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</si>
  <si>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</si>
  <si>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</si>
  <si>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</si>
  <si>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</si>
  <si>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</si>
  <si>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</si>
  <si>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</si>
  <si>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</si>
  <si>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</si>
  <si>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</si>
  <si>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</si>
  <si>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</si>
  <si>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</si>
  <si>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</si>
  <si>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</si>
  <si>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</si>
  <si>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</si>
  <si>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</si>
  <si>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</si>
  <si>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</si>
  <si>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</si>
  <si>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</si>
  <si>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</si>
  <si>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</si>
  <si>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</si>
  <si>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</si>
  <si>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</si>
  <si>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</si>
  <si>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</si>
  <si>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</si>
  <si>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</si>
  <si>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</si>
  <si>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</si>
  <si>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</si>
  <si>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</si>
  <si>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</si>
  <si>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</si>
  <si>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</si>
  <si>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</si>
  <si>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</si>
  <si>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</si>
  <si>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</si>
  <si>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</si>
  <si>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</si>
  <si>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</si>
  <si>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</si>
  <si>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</si>
  <si>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</si>
  <si>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</si>
  <si>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</si>
  <si>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</si>
  <si>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</si>
  <si>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</si>
  <si>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</si>
  <si>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</si>
  <si>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</si>
  <si>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</si>
  <si>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</si>
  <si>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</si>
  <si>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</si>
  <si>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</si>
  <si>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</si>
  <si>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</si>
  <si>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</si>
  <si>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</si>
  <si>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</si>
  <si>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</si>
  <si>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</si>
  <si>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</si>
  <si>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</si>
  <si>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</si>
  <si>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</si>
  <si>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</si>
  <si>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</si>
  <si>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</si>
  <si>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</si>
  <si>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</si>
  <si>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</si>
  <si>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</si>
  <si>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</si>
  <si>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</si>
  <si>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</si>
  <si>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</si>
  <si>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</si>
  <si>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</si>
  <si>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</si>
  <si>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</si>
  <si>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</si>
  <si>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</si>
  <si>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</si>
  <si>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</si>
  <si>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</si>
  <si>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</si>
  <si>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</si>
  <si>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</si>
  <si>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</si>
  <si>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</si>
  <si>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</si>
  <si>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</si>
  <si>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</si>
  <si>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</si>
  <si>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</si>
  <si>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</si>
  <si>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</si>
  <si>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</si>
  <si>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</si>
  <si>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</si>
  <si>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</si>
  <si>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</si>
  <si>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</si>
  <si>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</si>
  <si>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</si>
  <si>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</si>
  <si>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</si>
  <si>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</si>
  <si>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</si>
  <si>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</si>
  <si>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</si>
  <si>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</si>
  <si>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</si>
  <si>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</si>
  <si>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</si>
  <si>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</si>
  <si>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</si>
  <si>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</si>
  <si>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</si>
  <si>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</si>
  <si>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</si>
  <si>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</si>
  <si>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</si>
  <si>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</si>
  <si>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</si>
  <si>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</si>
  <si>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</si>
  <si>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</si>
  <si>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</si>
  <si>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</si>
  <si>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</si>
  <si>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</si>
  <si>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</si>
  <si>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</si>
  <si>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</si>
  <si>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</si>
  <si>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</si>
  <si>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</si>
  <si>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Part ID</t>
  </si>
  <si>
    <t>Partner</t>
  </si>
  <si>
    <t>SLU Avskrivningsregler / Depreciation rules</t>
  </si>
  <si>
    <t xml:space="preserve">If the base for OH-funding is PERSON+OPERATION+INVEST+FACILIT in sheet 2 cell C13, the percentage for OH-funding registered in sheet 2 cell C12, is put on all costs in this sheet (except co-funded). </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</si>
  <si>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</si>
  <si>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</si>
  <si>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</si>
  <si>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</si>
  <si>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</si>
  <si>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</si>
  <si>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</si>
  <si>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</si>
  <si>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</si>
  <si>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</si>
  <si>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</si>
  <si>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</si>
  <si>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</si>
  <si>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</si>
  <si>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</si>
  <si>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</si>
  <si>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</si>
  <si>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</si>
  <si>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</si>
  <si>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</si>
  <si>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</si>
  <si>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</si>
  <si>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</si>
  <si>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</si>
  <si>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</si>
  <si>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</si>
  <si>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</si>
  <si>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</si>
  <si>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</si>
  <si>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</si>
  <si>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</si>
  <si>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</si>
  <si>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</si>
  <si>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</si>
  <si>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</si>
  <si>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</si>
  <si>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</si>
  <si>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</si>
  <si>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</si>
  <si>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</si>
  <si>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</si>
  <si>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</si>
  <si>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</si>
  <si>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</si>
  <si>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</si>
  <si>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SLU project calculator</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</si>
  <si>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Specifications of which costs are to be covered by the OH-funding (e.g. computers and software)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</si>
  <si>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Preciseringar  vilka kostnader som ska täckas av OH-fiansieringen (t.ex. datorer och mjukvara) finns i senaste versionen av SSF:s dokument "Generella villkor för bidrag från Stiftelsen för Strategisk Forskning (SSF)". Dokumentet finns på stiftelsens hemsida.</t>
  </si>
  <si>
    <t>12. Wallenberg</t>
  </si>
  <si>
    <t>MA</t>
  </si>
  <si>
    <t>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</si>
  <si>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</si>
  <si>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Use TSEK (cell C15) in a Wallenberg calulation as that is used in the Wallenberg foundations project budget (excel). A KAW rule for depreciation (sheet 7) is that it must be started latest two years after project start, with this follows that KAW allows depreciation to be funded with KAW-grant maximum two years after actual project end. The specification of indirect costs and salaries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</si>
  <si>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Använd TSEK (cell C15) i en Wallenbergkalkyl eftersom TSEK är det som används i stiftelsernas projektbudget (excel). KAW:s regel för avskrivningar (blad 7) är att de måste påbörjas senast två år efter projektstart, med detta följer att KAW tillåter att avskrivningar finansieras med KAW-bidrag max två år efter det egentliga projektslutet. Den precisering av indirekta kostnader och löner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</si>
  <si>
    <t>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t>
  </si>
  <si>
    <t>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t>
  </si>
  <si>
    <t>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t>
  </si>
  <si>
    <t>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t>
  </si>
  <si>
    <t>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t>
  </si>
  <si>
    <t>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t>
  </si>
  <si>
    <t xml:space="preserve"> 3. PARTNER 2025</t>
  </si>
  <si>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 Om utbildning (UTB) är valt i blad 2 cell C20 kommer procent för indirekta och lokaler nedan i kolumn K-N att användas i kalkyleringen, annars kommer procent i kolumn G-J att användas i kalkyleringen.</t>
    </r>
  </si>
  <si>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 If education (UTB) is choosen in sheet 2 cell C20 percent for indirect and facility below in column K-N are used in the calculation, otherwise percent in column G-J are used in the calculation.</t>
    </r>
  </si>
  <si>
    <r>
      <t xml:space="preserve">Salary in grant including funder´s LKP and salary rise </t>
    </r>
    <r>
      <rPr>
        <sz val="9"/>
        <color rgb="FFFF0000"/>
        <rFont val="Arial"/>
        <family val="2"/>
      </rPr>
      <t>(relevant if funder accepts a lower LKP than applicants actual LKP - cell C16 in sheet 2)</t>
    </r>
  </si>
  <si>
    <t>BIDRAG</t>
  </si>
  <si>
    <t>UPPDRAG</t>
  </si>
  <si>
    <t>Person / position</t>
  </si>
  <si>
    <t>FO/MA 2025</t>
  </si>
  <si>
    <t>Utbildning 2025</t>
  </si>
  <si>
    <t>Att kalkylera full kostnad att inkludera i ansökan/anbud/offert eller kontrakt. Detta gäller svenska myndigheter som bidragsfinansierar forskning, och all uppdragsfinansiering,</t>
  </si>
  <si>
    <r>
      <rPr>
        <i/>
        <sz val="9"/>
        <rFont val="Arial"/>
        <family val="2"/>
      </rPr>
      <t xml:space="preserve">To calculate full cost AND cost to be included in application or contract, where the difference is the need for co-funding. </t>
    </r>
    <r>
      <rPr>
        <sz val="9"/>
        <rFont val="Arial"/>
        <family val="2"/>
      </rPr>
      <t>This is valid for all other grant funding bodies who are not adapting their funding to applicant specific full cost, but have other rules for how much of the grant that is allowed to be used for OH (indirect &amp; facility charge).</t>
    </r>
  </si>
  <si>
    <r>
      <rPr>
        <i/>
        <sz val="9"/>
        <rFont val="Arial"/>
        <family val="2"/>
      </rPr>
      <t>Att kalkylera full kostnad OCH kostnad att inkludera i ansökan eller kontrakt, där mellanskillnaden utgörs av medfinansieringsbehovet. Detta g</t>
    </r>
    <r>
      <rPr>
        <sz val="9"/>
        <rFont val="Arial"/>
        <family val="2"/>
      </rPr>
      <t>äller för alla andra bidragsfinansiärer som inte anpassar sin finansiering till sökandespecifika fulla kostnader, utan har andra regler för hur mycket av bidraget som får användas till OH (indirekt &amp; lokalpåslag).</t>
    </r>
  </si>
  <si>
    <t>OTHER - Co-funding of direct costs (voluntary or demanded by funding body)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t>
  </si>
  <si>
    <t>OTHER (Annan) - Medfinansiering av direkta kostnader som tas upp i budget till finansiären (frivillig eller finansiärskrav) ska tas med i kalkylen. Medfinansieringsandel regleras i kolumn E i blad 5-8. Om projektet beviljas är det bra att medfinansieringen också finns med i SLU:s projektredovisning, för att där ha en överblick över projektekonomin som helhet.</t>
  </si>
  <si>
    <t>FORMAS - Full cost funder: YES. For external partners who are not universities or university colleges there are maximum charges on salary allowed for funding of indirect costs: 45% for non-profit research organisations with involvement from the Swedish government, and 30% for other organisations .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good to have the co-funding included in the SLU project accounting, to keep an overview of the project economy as a whole. In some cases Formas want the co-funding to be included in economic report to the funder.</t>
  </si>
  <si>
    <t>FORMAS - Fullkostnadsfinansiär: YES. För externa parter som inte är universitet eller högskola gäller att det är ett maxpåslag på lön som är tillåtet tillåtet för finansiering av indirekta kostnader: 45% för forskningsorganisationer med statligt inflytande utan vinstsyfte, och 30% för andra organisationer.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bra att medfinansieringen också finns med i SLU:s projektredovisning, för att där ha överblick över projektekonomin som helhet. I vissa fall vill Formas ha med medfinansieringen i ekonomisk rapport till finansiären.</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</si>
  <si>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  In some cases VR want the co-funding to be included in economic report to the funder.</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</si>
  <si>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bra att medfinansieringen också finns med i SLU:s projektredovisning, för att där hålla en överblick över projektekonomin som helhet. I vissa fall vill VR ha medfinansieringen inkluderad i ekonomisk rapport till finansiären.</t>
  </si>
  <si>
    <t>To calculate full cost to be included in application/tender/quotation or contract. This is valid for all Swedish government authorities with grant research funding, and for all assignment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</si>
</sst>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6">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347">
    <xf numFmtId="0" fontId="0" fillId="0" borderId="0" xfId="0"/>
    <xf numFmtId="0" fontId="2" fillId="0" borderId="0" xfId="3" applyFont="1" applyProtection="1"/>
    <xf numFmtId="0" fontId="3" fillId="0" borderId="0" xfId="3" applyFont="1" applyProtection="1"/>
    <xf numFmtId="0" fontId="2" fillId="0" borderId="0" xfId="3" applyProtection="1"/>
    <xf numFmtId="3" fontId="2" fillId="0" borderId="0" xfId="3" applyNumberFormat="1" applyProtection="1"/>
    <xf numFmtId="0" fontId="8" fillId="0" borderId="0" xfId="3" applyFont="1" applyAlignment="1" applyProtection="1">
      <alignment horizontal="right"/>
    </xf>
    <xf numFmtId="0" fontId="7" fillId="0" borderId="0" xfId="3" applyFont="1" applyProtection="1"/>
    <xf numFmtId="0" fontId="9" fillId="0" borderId="0" xfId="1" applyAlignment="1" applyProtection="1">
      <alignment horizontal="right"/>
    </xf>
    <xf numFmtId="49" fontId="3" fillId="0" borderId="0" xfId="3" applyNumberFormat="1" applyFont="1" applyProtection="1"/>
    <xf numFmtId="0" fontId="10" fillId="0" borderId="0" xfId="3" applyFont="1" applyAlignment="1" applyProtection="1">
      <alignment horizontal="right"/>
    </xf>
    <xf numFmtId="0" fontId="2" fillId="0" borderId="0" xfId="3" applyFont="1" applyFill="1" applyBorder="1" applyProtection="1"/>
    <xf numFmtId="0" fontId="8" fillId="0" borderId="0" xfId="3" applyFont="1" applyFill="1" applyBorder="1" applyAlignment="1" applyProtection="1">
      <alignment horizontal="right"/>
    </xf>
    <xf numFmtId="0" fontId="2"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2" fillId="0" borderId="0" xfId="0" applyFont="1" applyFill="1" applyAlignment="1" applyProtection="1">
      <alignment horizontal="left" vertical="top" wrapText="1"/>
    </xf>
    <xf numFmtId="0" fontId="0" fillId="0" borderId="0" xfId="0" applyFill="1" applyAlignment="1" applyProtection="1">
      <alignment wrapText="1"/>
    </xf>
    <xf numFmtId="0" fontId="3" fillId="0" borderId="0" xfId="3" applyFont="1" applyFill="1" applyBorder="1" applyProtection="1"/>
    <xf numFmtId="0" fontId="2" fillId="0" borderId="0" xfId="0" applyFont="1" applyFill="1" applyBorder="1" applyAlignment="1" applyProtection="1"/>
    <xf numFmtId="0" fontId="0" fillId="0" borderId="0" xfId="0" applyFill="1" applyBorder="1" applyAlignment="1" applyProtection="1"/>
    <xf numFmtId="0" fontId="2" fillId="0" borderId="0" xfId="3" applyFont="1" applyFill="1" applyBorder="1" applyAlignment="1" applyProtection="1">
      <alignment vertical="top"/>
    </xf>
    <xf numFmtId="0" fontId="2" fillId="0" borderId="0" xfId="3" applyFill="1" applyProtection="1"/>
    <xf numFmtId="0" fontId="3" fillId="0" borderId="0" xfId="3" applyFont="1" applyAlignment="1" applyProtection="1">
      <alignment horizontal="left"/>
    </xf>
    <xf numFmtId="0" fontId="2" fillId="0" borderId="0" xfId="3" applyAlignment="1" applyProtection="1">
      <alignment horizontal="right"/>
    </xf>
    <xf numFmtId="3" fontId="2" fillId="0" borderId="0" xfId="3" applyNumberFormat="1" applyFill="1" applyBorder="1" applyProtection="1"/>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Fill="1" applyAlignment="1">
      <alignment vertical="center"/>
    </xf>
    <xf numFmtId="0" fontId="2" fillId="0" borderId="0" xfId="0" applyFont="1" applyFill="1" applyAlignment="1" applyProtection="1">
      <alignment horizontal="left" vertical="top"/>
    </xf>
    <xf numFmtId="49" fontId="2" fillId="0" borderId="0" xfId="3" applyNumberFormat="1" applyFont="1" applyFill="1" applyBorder="1" applyAlignment="1" applyProtection="1"/>
    <xf numFmtId="0" fontId="0" fillId="0" borderId="0" xfId="0" applyProtection="1"/>
    <xf numFmtId="0" fontId="0" fillId="0" borderId="0" xfId="0" applyFill="1" applyAlignment="1" applyProtection="1">
      <alignment horizontal="left"/>
    </xf>
    <xf numFmtId="0" fontId="0" fillId="0" borderId="0" xfId="0" applyAlignment="1" applyProtection="1">
      <alignment horizontal="left"/>
    </xf>
    <xf numFmtId="0" fontId="10" fillId="0" borderId="0" xfId="0" applyFont="1"/>
    <xf numFmtId="0" fontId="2" fillId="0" borderId="0" xfId="3" applyNumberFormat="1" applyFont="1" applyFill="1" applyBorder="1" applyAlignment="1" applyProtection="1"/>
    <xf numFmtId="14" fontId="2" fillId="0" borderId="0" xfId="3" applyNumberFormat="1" applyFont="1" applyFill="1" applyBorder="1" applyAlignment="1" applyProtection="1">
      <alignment horizontal="left"/>
    </xf>
    <xf numFmtId="0" fontId="16" fillId="0" borderId="0" xfId="0" applyFont="1" applyFill="1" applyAlignment="1" applyProtection="1">
      <alignment horizontal="right" vertical="center"/>
    </xf>
    <xf numFmtId="0" fontId="16" fillId="0" borderId="0" xfId="3" applyFont="1" applyProtection="1"/>
    <xf numFmtId="0" fontId="10" fillId="0" borderId="0" xfId="3" applyFont="1" applyProtection="1"/>
    <xf numFmtId="0" fontId="2" fillId="0" borderId="0" xfId="0" applyNumberFormat="1" applyFont="1" applyFill="1" applyBorder="1" applyAlignment="1" applyProtection="1"/>
    <xf numFmtId="0" fontId="3" fillId="0" borderId="0" xfId="3" applyFont="1" applyFill="1" applyBorder="1" applyAlignment="1" applyProtection="1"/>
    <xf numFmtId="49" fontId="3" fillId="0" borderId="0" xfId="3" applyNumberFormat="1" applyFont="1" applyFill="1" applyBorder="1" applyAlignment="1" applyProtection="1"/>
    <xf numFmtId="0" fontId="2" fillId="0" borderId="0" xfId="3" applyFont="1" applyFill="1" applyBorder="1" applyAlignment="1" applyProtection="1"/>
    <xf numFmtId="0" fontId="7" fillId="0" borderId="0" xfId="3" applyFont="1" applyAlignment="1" applyProtection="1">
      <alignment horizontal="left"/>
    </xf>
    <xf numFmtId="0" fontId="2" fillId="0" borderId="0" xfId="3" applyAlignment="1" applyProtection="1">
      <alignment horizontal="left"/>
    </xf>
    <xf numFmtId="0" fontId="16" fillId="0" borderId="0" xfId="3" applyFont="1" applyFill="1" applyAlignment="1" applyProtection="1">
      <alignment horizontal="right" vertical="center"/>
    </xf>
    <xf numFmtId="0" fontId="0" fillId="0" borderId="0" xfId="0" applyAlignment="1" applyProtection="1"/>
    <xf numFmtId="0" fontId="2" fillId="0" borderId="0" xfId="0" applyFont="1" applyFill="1" applyBorder="1" applyAlignment="1" applyProtection="1">
      <alignment horizontal="left" vertical="top"/>
    </xf>
    <xf numFmtId="9" fontId="2"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left"/>
    </xf>
    <xf numFmtId="166" fontId="2"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8" fillId="0" borderId="0" xfId="3" applyFont="1" applyAlignment="1" applyProtection="1">
      <alignment horizontal="left"/>
    </xf>
    <xf numFmtId="0" fontId="10" fillId="0" borderId="0" xfId="3" applyFont="1" applyAlignment="1" applyProtection="1">
      <alignment horizontal="left"/>
    </xf>
    <xf numFmtId="0" fontId="16" fillId="0" borderId="0" xfId="3"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vertical="center"/>
    </xf>
    <xf numFmtId="0" fontId="16" fillId="0" borderId="0" xfId="3" applyFont="1" applyBorder="1" applyProtection="1"/>
    <xf numFmtId="0" fontId="10" fillId="0" borderId="0" xfId="3" applyFont="1" applyFill="1" applyBorder="1" applyAlignment="1" applyProtection="1">
      <alignment horizontal="center"/>
    </xf>
    <xf numFmtId="0" fontId="16" fillId="0" borderId="8" xfId="3" applyFont="1" applyBorder="1" applyProtection="1"/>
    <xf numFmtId="0" fontId="10" fillId="0" borderId="12" xfId="3" applyFont="1" applyBorder="1" applyProtection="1"/>
    <xf numFmtId="0" fontId="10" fillId="0" borderId="3" xfId="3" applyFont="1" applyBorder="1" applyProtection="1"/>
    <xf numFmtId="0" fontId="10" fillId="0" borderId="0" xfId="3" applyFont="1" applyBorder="1" applyProtection="1"/>
    <xf numFmtId="0" fontId="10" fillId="0" borderId="9" xfId="3" applyFont="1" applyBorder="1" applyProtection="1"/>
    <xf numFmtId="0" fontId="16" fillId="0" borderId="3" xfId="3" applyFont="1" applyBorder="1" applyProtection="1"/>
    <xf numFmtId="0" fontId="16" fillId="0" borderId="9" xfId="3" applyFont="1" applyBorder="1" applyProtection="1"/>
    <xf numFmtId="0" fontId="10" fillId="0" borderId="5" xfId="3" applyFont="1" applyBorder="1" applyProtection="1"/>
    <xf numFmtId="0" fontId="10" fillId="0" borderId="1" xfId="3" applyFont="1" applyBorder="1" applyProtection="1"/>
    <xf numFmtId="0" fontId="10" fillId="0" borderId="14" xfId="3" applyFont="1" applyBorder="1" applyProtection="1"/>
    <xf numFmtId="0" fontId="10" fillId="0" borderId="2" xfId="3" applyFont="1" applyBorder="1" applyProtection="1"/>
    <xf numFmtId="0" fontId="10" fillId="0" borderId="15" xfId="3" applyFont="1" applyBorder="1" applyProtection="1"/>
    <xf numFmtId="0" fontId="16" fillId="0" borderId="0" xfId="3" applyFont="1" applyAlignment="1" applyProtection="1">
      <alignment horizontal="right"/>
    </xf>
    <xf numFmtId="0" fontId="10" fillId="0" borderId="0" xfId="3" applyFont="1" applyFill="1" applyProtection="1"/>
    <xf numFmtId="0" fontId="10" fillId="0" borderId="0" xfId="3" applyFont="1" applyFill="1" applyBorder="1" applyProtection="1"/>
    <xf numFmtId="0" fontId="10" fillId="0" borderId="0" xfId="3" applyFont="1" applyFill="1" applyBorder="1" applyAlignment="1" applyProtection="1">
      <alignment horizontal="left"/>
    </xf>
    <xf numFmtId="0" fontId="16" fillId="0" borderId="1" xfId="3" applyFont="1" applyBorder="1" applyProtection="1"/>
    <xf numFmtId="0" fontId="16" fillId="0" borderId="0" xfId="0" applyFont="1" applyAlignment="1" applyProtection="1">
      <alignment horizontal="right"/>
    </xf>
    <xf numFmtId="0" fontId="10" fillId="0" borderId="0" xfId="0" applyFont="1" applyProtection="1"/>
    <xf numFmtId="0" fontId="21" fillId="0" borderId="0" xfId="0" applyFont="1" applyProtection="1"/>
    <xf numFmtId="0" fontId="16" fillId="0" borderId="0" xfId="0" applyFont="1" applyProtection="1"/>
    <xf numFmtId="0" fontId="10" fillId="0" borderId="0" xfId="0" applyFont="1" applyFill="1" applyBorder="1" applyAlignment="1" applyProtection="1">
      <alignment horizontal="left"/>
    </xf>
    <xf numFmtId="0" fontId="10" fillId="0" borderId="9" xfId="3" applyFont="1" applyFill="1" applyBorder="1" applyProtection="1"/>
    <xf numFmtId="1" fontId="10" fillId="0" borderId="0" xfId="3" applyNumberFormat="1" applyFont="1" applyProtection="1"/>
    <xf numFmtId="0" fontId="10" fillId="0" borderId="0" xfId="0" applyFont="1" applyFill="1" applyAlignment="1" applyProtection="1">
      <alignment vertical="center"/>
    </xf>
    <xf numFmtId="0" fontId="10" fillId="0" borderId="0" xfId="3" applyFont="1" applyFill="1" applyAlignment="1" applyProtection="1">
      <alignment horizontal="center" vertical="center"/>
    </xf>
    <xf numFmtId="0" fontId="15" fillId="0" borderId="0" xfId="3" applyFont="1" applyAlignment="1" applyProtection="1">
      <alignment horizontal="right"/>
    </xf>
    <xf numFmtId="1" fontId="10" fillId="0" borderId="0" xfId="3" applyNumberFormat="1" applyFont="1" applyBorder="1" applyProtection="1"/>
    <xf numFmtId="1" fontId="15" fillId="0" borderId="0" xfId="3" applyNumberFormat="1" applyFont="1" applyFill="1" applyBorder="1" applyAlignment="1" applyProtection="1">
      <alignment horizontal="center"/>
    </xf>
    <xf numFmtId="3" fontId="10" fillId="0" borderId="13" xfId="3" applyNumberFormat="1" applyFont="1" applyBorder="1" applyProtection="1"/>
    <xf numFmtId="3" fontId="15" fillId="0" borderId="13" xfId="3" applyNumberFormat="1" applyFont="1" applyBorder="1" applyProtection="1"/>
    <xf numFmtId="0" fontId="18" fillId="0" borderId="0" xfId="3" applyFont="1" applyAlignment="1" applyProtection="1">
      <alignment horizontal="center"/>
    </xf>
    <xf numFmtId="2" fontId="10" fillId="5" borderId="13" xfId="3" applyNumberFormat="1" applyFont="1" applyFill="1" applyBorder="1" applyProtection="1"/>
    <xf numFmtId="0" fontId="16" fillId="0" borderId="7" xfId="3" applyFont="1" applyBorder="1" applyAlignment="1" applyProtection="1">
      <alignment horizontal="left"/>
    </xf>
    <xf numFmtId="3" fontId="10" fillId="5" borderId="13" xfId="3" applyNumberFormat="1" applyFont="1" applyFill="1" applyBorder="1" applyProtection="1"/>
    <xf numFmtId="0" fontId="10" fillId="4" borderId="10" xfId="3" applyFont="1" applyFill="1" applyBorder="1" applyProtection="1">
      <protection locked="0"/>
    </xf>
    <xf numFmtId="0" fontId="16" fillId="5" borderId="6" xfId="3" applyFont="1" applyFill="1" applyBorder="1" applyProtection="1"/>
    <xf numFmtId="0" fontId="16" fillId="0" borderId="12" xfId="3" applyFont="1" applyBorder="1" applyProtection="1"/>
    <xf numFmtId="0" fontId="16" fillId="0" borderId="5" xfId="3" applyFont="1" applyBorder="1" applyProtection="1"/>
    <xf numFmtId="0" fontId="15" fillId="0" borderId="13" xfId="3" applyFont="1" applyBorder="1" applyAlignment="1" applyProtection="1">
      <alignment horizontal="center"/>
    </xf>
    <xf numFmtId="3" fontId="10" fillId="2" borderId="13" xfId="3" applyNumberFormat="1" applyFont="1" applyFill="1" applyBorder="1" applyProtection="1"/>
    <xf numFmtId="1" fontId="10" fillId="0" borderId="14" xfId="3" applyNumberFormat="1" applyFont="1" applyBorder="1" applyProtection="1"/>
    <xf numFmtId="1" fontId="10" fillId="0" borderId="2" xfId="3" applyNumberFormat="1" applyFont="1" applyBorder="1" applyProtection="1"/>
    <xf numFmtId="1" fontId="10" fillId="0" borderId="15" xfId="3" applyNumberFormat="1" applyFont="1" applyBorder="1" applyProtection="1"/>
    <xf numFmtId="3" fontId="15" fillId="0" borderId="13" xfId="3" applyNumberFormat="1" applyFont="1" applyFill="1" applyBorder="1" applyProtection="1"/>
    <xf numFmtId="1" fontId="15" fillId="0" borderId="13" xfId="3" applyNumberFormat="1" applyFont="1" applyBorder="1" applyAlignment="1" applyProtection="1">
      <alignment horizontal="center"/>
    </xf>
    <xf numFmtId="3" fontId="15" fillId="0" borderId="10" xfId="3" applyNumberFormat="1" applyFont="1" applyBorder="1" applyProtection="1"/>
    <xf numFmtId="3" fontId="10" fillId="0" borderId="13" xfId="3" applyNumberFormat="1" applyFont="1" applyFill="1" applyBorder="1" applyProtection="1"/>
    <xf numFmtId="1" fontId="10" fillId="0" borderId="9" xfId="3" applyNumberFormat="1" applyFont="1" applyBorder="1" applyProtection="1"/>
    <xf numFmtId="3" fontId="10" fillId="2" borderId="10" xfId="3" applyNumberFormat="1" applyFont="1" applyFill="1" applyBorder="1" applyProtection="1"/>
    <xf numFmtId="0" fontId="7" fillId="0" borderId="0" xfId="3" applyFont="1" applyFill="1" applyProtection="1"/>
    <xf numFmtId="3" fontId="10" fillId="0" borderId="0" xfId="3" applyNumberFormat="1" applyFont="1" applyFill="1" applyBorder="1" applyProtection="1"/>
    <xf numFmtId="0" fontId="16" fillId="0" borderId="0" xfId="3" applyFont="1" applyBorder="1" applyAlignment="1" applyProtection="1">
      <alignment horizontal="center" vertical="center"/>
    </xf>
    <xf numFmtId="1" fontId="16" fillId="0" borderId="7" xfId="3" applyNumberFormat="1" applyFont="1" applyFill="1" applyBorder="1" applyAlignment="1" applyProtection="1">
      <alignment horizontal="center"/>
    </xf>
    <xf numFmtId="0" fontId="16" fillId="0" borderId="13" xfId="3" applyFont="1" applyBorder="1" applyAlignment="1" applyProtection="1">
      <alignment horizontal="center"/>
    </xf>
    <xf numFmtId="0" fontId="10" fillId="2" borderId="8" xfId="3" applyFont="1" applyFill="1" applyBorder="1" applyProtection="1"/>
    <xf numFmtId="3" fontId="10" fillId="2" borderId="8" xfId="3" applyNumberFormat="1" applyFont="1" applyFill="1" applyBorder="1" applyProtection="1"/>
    <xf numFmtId="3" fontId="16" fillId="2" borderId="8" xfId="3" applyNumberFormat="1" applyFont="1" applyFill="1" applyBorder="1" applyProtection="1"/>
    <xf numFmtId="3" fontId="10" fillId="0" borderId="9" xfId="3" applyNumberFormat="1" applyFont="1" applyFill="1" applyBorder="1" applyProtection="1"/>
    <xf numFmtId="3" fontId="16" fillId="0" borderId="9" xfId="3" applyNumberFormat="1" applyFont="1" applyFill="1" applyBorder="1" applyProtection="1"/>
    <xf numFmtId="0" fontId="10" fillId="2" borderId="9" xfId="3" applyFont="1" applyFill="1" applyBorder="1" applyProtection="1"/>
    <xf numFmtId="3" fontId="10" fillId="2" borderId="9" xfId="3" applyNumberFormat="1" applyFont="1" applyFill="1" applyBorder="1" applyProtection="1"/>
    <xf numFmtId="3" fontId="16" fillId="2" borderId="9" xfId="3" applyNumberFormat="1" applyFont="1" applyFill="1" applyBorder="1" applyProtection="1"/>
    <xf numFmtId="0" fontId="10" fillId="0" borderId="9" xfId="0" applyFont="1" applyFill="1" applyBorder="1" applyAlignment="1" applyProtection="1">
      <alignment horizontal="left" vertical="center" shrinkToFit="1"/>
    </xf>
    <xf numFmtId="0" fontId="10" fillId="2" borderId="10" xfId="0" applyFont="1" applyFill="1" applyBorder="1" applyAlignment="1" applyProtection="1">
      <alignment horizontal="left" vertical="center" shrinkToFit="1"/>
    </xf>
    <xf numFmtId="3" fontId="16" fillId="2" borderId="10" xfId="3" applyNumberFormat="1" applyFont="1" applyFill="1" applyBorder="1" applyProtection="1"/>
    <xf numFmtId="0" fontId="15" fillId="0" borderId="0" xfId="3" applyFont="1" applyFill="1" applyBorder="1" applyAlignment="1" applyProtection="1">
      <alignment horizontal="right"/>
    </xf>
    <xf numFmtId="3" fontId="16" fillId="0" borderId="13" xfId="3" applyNumberFormat="1" applyFont="1" applyFill="1" applyBorder="1" applyProtection="1"/>
    <xf numFmtId="0" fontId="15" fillId="0" borderId="0" xfId="3" applyFont="1" applyFill="1" applyAlignment="1" applyProtection="1">
      <alignment horizontal="right"/>
    </xf>
    <xf numFmtId="3" fontId="15" fillId="0" borderId="0" xfId="0" applyNumberFormat="1" applyFont="1" applyBorder="1" applyAlignment="1">
      <alignment vertical="center"/>
    </xf>
    <xf numFmtId="3" fontId="16" fillId="0" borderId="0" xfId="3" applyNumberFormat="1" applyFont="1" applyFill="1" applyBorder="1" applyProtection="1"/>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3" fontId="10" fillId="2" borderId="12" xfId="3" applyNumberFormat="1" applyFont="1" applyFill="1" applyBorder="1" applyAlignment="1" applyProtection="1">
      <alignment horizontal="right"/>
    </xf>
    <xf numFmtId="0" fontId="10" fillId="0" borderId="9" xfId="3" applyFont="1" applyFill="1" applyBorder="1" applyAlignment="1" applyProtection="1">
      <alignment horizontal="left" vertical="center" shrinkToFit="1"/>
    </xf>
    <xf numFmtId="3" fontId="10" fillId="0" borderId="5" xfId="3" applyNumberFormat="1" applyFont="1" applyFill="1" applyBorder="1" applyAlignment="1" applyProtection="1">
      <alignment horizontal="right"/>
    </xf>
    <xf numFmtId="3" fontId="10" fillId="2" borderId="5" xfId="3" applyNumberFormat="1" applyFont="1" applyFill="1" applyBorder="1" applyProtection="1"/>
    <xf numFmtId="3" fontId="10" fillId="0" borderId="5" xfId="3" applyNumberFormat="1" applyFont="1" applyFill="1" applyBorder="1" applyProtection="1"/>
    <xf numFmtId="0" fontId="15" fillId="0" borderId="0" xfId="3" applyFont="1" applyBorder="1" applyAlignment="1" applyProtection="1">
      <alignment horizontal="right"/>
    </xf>
    <xf numFmtId="3" fontId="16" fillId="0" borderId="0" xfId="3" applyNumberFormat="1" applyFont="1" applyBorder="1" applyProtection="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3" fontId="16" fillId="0" borderId="13" xfId="3" applyNumberFormat="1" applyFont="1" applyBorder="1" applyProtection="1"/>
    <xf numFmtId="9" fontId="16" fillId="0" borderId="13" xfId="3" applyNumberFormat="1" applyFont="1" applyBorder="1" applyProtection="1"/>
    <xf numFmtId="9" fontId="16" fillId="0" borderId="0" xfId="3" applyNumberFormat="1" applyFont="1" applyBorder="1" applyProtection="1"/>
    <xf numFmtId="3" fontId="16" fillId="2" borderId="12" xfId="3" applyNumberFormat="1" applyFont="1" applyFill="1" applyBorder="1" applyProtection="1"/>
    <xf numFmtId="3" fontId="16" fillId="0" borderId="5" xfId="3" applyNumberFormat="1" applyFont="1" applyFill="1" applyBorder="1" applyProtection="1"/>
    <xf numFmtId="3" fontId="16" fillId="2" borderId="5" xfId="3" applyNumberFormat="1" applyFont="1" applyFill="1" applyBorder="1" applyProtection="1"/>
    <xf numFmtId="3" fontId="16" fillId="2" borderId="15" xfId="3" applyNumberFormat="1" applyFont="1" applyFill="1" applyBorder="1" applyProtection="1"/>
    <xf numFmtId="3" fontId="15" fillId="0" borderId="0" xfId="3" applyNumberFormat="1" applyFont="1" applyFill="1" applyBorder="1" applyProtection="1"/>
    <xf numFmtId="0" fontId="10" fillId="2" borderId="7" xfId="3" applyFont="1" applyFill="1" applyBorder="1" applyAlignment="1" applyProtection="1">
      <alignment horizontal="left" vertical="center" shrinkToFit="1"/>
    </xf>
    <xf numFmtId="0" fontId="10" fillId="0" borderId="1" xfId="3" applyFont="1" applyFill="1" applyBorder="1" applyAlignment="1" applyProtection="1">
      <alignment horizontal="left" vertical="center" shrinkToFit="1"/>
    </xf>
    <xf numFmtId="0" fontId="10" fillId="2" borderId="1" xfId="3" applyFont="1" applyFill="1" applyBorder="1" applyAlignment="1" applyProtection="1">
      <alignment horizontal="left" vertical="center" shrinkToFit="1"/>
    </xf>
    <xf numFmtId="0" fontId="10" fillId="2" borderId="14" xfId="3" applyFont="1" applyFill="1" applyBorder="1" applyAlignment="1" applyProtection="1">
      <alignment horizontal="left" vertical="center" shrinkToFit="1"/>
    </xf>
    <xf numFmtId="3" fontId="15" fillId="0" borderId="0" xfId="3" applyNumberFormat="1" applyFont="1" applyBorder="1" applyProtection="1"/>
    <xf numFmtId="9" fontId="16" fillId="0" borderId="0" xfId="3" applyNumberFormat="1" applyFont="1" applyFill="1" applyBorder="1" applyProtection="1"/>
    <xf numFmtId="0" fontId="7" fillId="7" borderId="0" xfId="3" applyFont="1" applyFill="1" applyAlignment="1" applyProtection="1">
      <alignment horizontal="center"/>
    </xf>
    <xf numFmtId="0" fontId="5" fillId="0" borderId="0" xfId="3" applyFont="1" applyProtection="1"/>
    <xf numFmtId="0" fontId="7" fillId="0" borderId="0" xfId="3" applyFont="1" applyFill="1" applyAlignment="1" applyProtection="1">
      <alignment horizontal="center"/>
    </xf>
    <xf numFmtId="0" fontId="10" fillId="2" borderId="8" xfId="3" applyFont="1" applyFill="1" applyBorder="1" applyAlignment="1" applyProtection="1">
      <alignment horizontal="left" vertical="center"/>
    </xf>
    <xf numFmtId="0" fontId="16" fillId="0" borderId="0" xfId="0" applyNumberFormat="1" applyFont="1" applyFill="1" applyAlignment="1" applyProtection="1">
      <alignment horizontal="center" vertical="center"/>
    </xf>
    <xf numFmtId="3" fontId="15" fillId="0" borderId="10" xfId="3" applyNumberFormat="1" applyFont="1" applyFill="1" applyBorder="1" applyProtection="1"/>
    <xf numFmtId="3" fontId="10" fillId="2" borderId="0" xfId="3" applyNumberFormat="1" applyFont="1" applyFill="1" applyBorder="1" applyProtection="1"/>
    <xf numFmtId="3" fontId="10" fillId="2" borderId="3" xfId="3" applyNumberFormat="1" applyFont="1" applyFill="1" applyBorder="1" applyProtection="1"/>
    <xf numFmtId="3" fontId="10" fillId="2" borderId="2" xfId="3" applyNumberFormat="1" applyFont="1" applyFill="1" applyBorder="1" applyProtection="1"/>
    <xf numFmtId="3" fontId="10" fillId="2" borderId="7" xfId="3" applyNumberFormat="1" applyFont="1" applyFill="1" applyBorder="1" applyProtection="1"/>
    <xf numFmtId="3" fontId="10" fillId="2" borderId="1" xfId="3" applyNumberFormat="1" applyFont="1" applyFill="1" applyBorder="1" applyProtection="1"/>
    <xf numFmtId="0" fontId="16" fillId="0" borderId="0" xfId="3" applyFont="1" applyAlignment="1" applyProtection="1">
      <alignment horizontal="right" vertical="center"/>
    </xf>
    <xf numFmtId="3" fontId="16" fillId="0" borderId="8" xfId="3" applyNumberFormat="1" applyFont="1" applyFill="1" applyBorder="1" applyProtection="1"/>
    <xf numFmtId="0" fontId="0" fillId="0" borderId="0" xfId="0" applyFill="1" applyBorder="1" applyAlignment="1">
      <alignment horizontal="left" vertical="top"/>
    </xf>
    <xf numFmtId="3" fontId="10" fillId="2" borderId="14" xfId="3" applyNumberFormat="1" applyFont="1" applyFill="1" applyBorder="1" applyProtection="1"/>
    <xf numFmtId="3" fontId="10" fillId="0" borderId="1" xfId="3" applyNumberFormat="1" applyFont="1" applyFill="1" applyBorder="1" applyProtection="1"/>
    <xf numFmtId="3" fontId="10" fillId="2" borderId="0" xfId="3" applyNumberFormat="1" applyFont="1" applyFill="1" applyBorder="1" applyAlignment="1" applyProtection="1">
      <alignment horizontal="right"/>
    </xf>
    <xf numFmtId="3" fontId="10" fillId="2" borderId="7" xfId="3" applyNumberFormat="1" applyFont="1" applyFill="1" applyBorder="1" applyAlignment="1" applyProtection="1">
      <alignment horizontal="right"/>
    </xf>
    <xf numFmtId="3" fontId="10" fillId="2" borderId="3" xfId="3" applyNumberFormat="1" applyFont="1" applyFill="1" applyBorder="1" applyAlignment="1" applyProtection="1">
      <alignment horizontal="right"/>
    </xf>
    <xf numFmtId="3" fontId="10" fillId="2" borderId="1" xfId="3" applyNumberFormat="1" applyFont="1" applyFill="1" applyBorder="1" applyAlignment="1" applyProtection="1">
      <alignment horizontal="right"/>
    </xf>
    <xf numFmtId="3" fontId="10" fillId="2" borderId="14" xfId="3" applyNumberFormat="1" applyFont="1" applyFill="1" applyBorder="1" applyAlignment="1" applyProtection="1">
      <alignment horizontal="right"/>
    </xf>
    <xf numFmtId="3" fontId="10" fillId="2" borderId="2" xfId="3" applyNumberFormat="1" applyFont="1" applyFill="1" applyBorder="1" applyAlignment="1" applyProtection="1">
      <alignment horizontal="right"/>
    </xf>
    <xf numFmtId="3" fontId="10" fillId="2" borderId="8" xfId="3" applyNumberFormat="1" applyFont="1" applyFill="1" applyBorder="1" applyAlignment="1" applyProtection="1">
      <alignment horizontal="right"/>
    </xf>
    <xf numFmtId="3" fontId="10" fillId="2" borderId="9" xfId="3" applyNumberFormat="1" applyFont="1" applyFill="1" applyBorder="1" applyAlignment="1" applyProtection="1">
      <alignment horizontal="right"/>
    </xf>
    <xf numFmtId="3" fontId="10" fillId="2" borderId="10" xfId="3" applyNumberFormat="1" applyFont="1" applyFill="1" applyBorder="1" applyAlignment="1" applyProtection="1">
      <alignment horizontal="right"/>
    </xf>
    <xf numFmtId="3" fontId="10" fillId="0" borderId="9" xfId="3" applyNumberFormat="1" applyFont="1" applyFill="1" applyBorder="1" applyAlignment="1" applyProtection="1">
      <alignment horizontal="right"/>
    </xf>
    <xf numFmtId="3" fontId="10" fillId="0" borderId="0" xfId="3" applyNumberFormat="1" applyFont="1" applyFill="1" applyBorder="1" applyAlignment="1" applyProtection="1">
      <alignment horizontal="right"/>
    </xf>
    <xf numFmtId="3" fontId="10" fillId="2" borderId="0" xfId="0" applyNumberFormat="1" applyFont="1" applyFill="1" applyBorder="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4"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Fill="1" applyBorder="1" applyAlignment="1">
      <alignment vertical="center"/>
    </xf>
    <xf numFmtId="3" fontId="10" fillId="0" borderId="9" xfId="0" applyNumberFormat="1" applyFont="1" applyFill="1" applyBorder="1" applyAlignment="1">
      <alignment vertical="center"/>
    </xf>
    <xf numFmtId="3" fontId="10" fillId="0" borderId="0" xfId="0" applyNumberFormat="1" applyFont="1" applyFill="1" applyBorder="1" applyAlignment="1">
      <alignment vertical="center"/>
    </xf>
    <xf numFmtId="3" fontId="10" fillId="0" borderId="1" xfId="3" applyNumberFormat="1" applyFont="1" applyFill="1" applyBorder="1" applyAlignment="1" applyProtection="1">
      <alignment horizontal="right"/>
    </xf>
    <xf numFmtId="3" fontId="2" fillId="0" borderId="0" xfId="3" applyNumberFormat="1" applyFont="1" applyProtection="1"/>
    <xf numFmtId="3" fontId="15" fillId="0" borderId="0" xfId="3" applyNumberFormat="1" applyFont="1" applyFill="1" applyBorder="1" applyAlignment="1" applyProtection="1">
      <alignment horizontal="center"/>
    </xf>
    <xf numFmtId="0" fontId="0" fillId="0" borderId="0" xfId="0" applyAlignment="1">
      <alignment vertical="center"/>
    </xf>
    <xf numFmtId="3" fontId="10" fillId="0" borderId="0" xfId="0" applyNumberFormat="1" applyFont="1"/>
    <xf numFmtId="0" fontId="15" fillId="0" borderId="0" xfId="0" applyFont="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pplyProtection="1">
      <alignment horizontal="right"/>
    </xf>
    <xf numFmtId="0" fontId="3" fillId="0" borderId="0" xfId="0" applyFont="1" applyFill="1" applyAlignment="1">
      <alignment horizontal="center" vertical="center"/>
    </xf>
    <xf numFmtId="0" fontId="13" fillId="0" borderId="0" xfId="0" applyFont="1" applyFill="1" applyAlignment="1">
      <alignment horizontal="center" vertical="center"/>
    </xf>
    <xf numFmtId="0" fontId="10" fillId="0" borderId="0" xfId="3" applyFont="1" applyAlignment="1" applyProtection="1">
      <alignment horizontal="left" vertical="top"/>
    </xf>
    <xf numFmtId="0" fontId="23" fillId="0" borderId="0" xfId="3" applyFont="1" applyProtection="1"/>
    <xf numFmtId="0" fontId="10" fillId="0" borderId="13" xfId="3" applyFont="1" applyBorder="1" applyAlignment="1" applyProtection="1">
      <alignment horizontal="left"/>
    </xf>
    <xf numFmtId="0" fontId="10" fillId="0" borderId="10" xfId="3" applyFont="1" applyBorder="1" applyAlignment="1" applyProtection="1"/>
    <xf numFmtId="0" fontId="16" fillId="0" borderId="0" xfId="3" applyFont="1" applyFill="1" applyAlignment="1" applyProtection="1">
      <alignment horizontal="center"/>
    </xf>
    <xf numFmtId="0" fontId="16" fillId="0" borderId="0" xfId="3" applyFont="1" applyFill="1" applyProtection="1"/>
    <xf numFmtId="0" fontId="16" fillId="5" borderId="4" xfId="3" applyFont="1" applyFill="1" applyBorder="1" applyProtection="1"/>
    <xf numFmtId="0" fontId="16" fillId="5" borderId="11" xfId="3" applyFont="1" applyFill="1" applyBorder="1" applyProtection="1"/>
    <xf numFmtId="3" fontId="15" fillId="5" borderId="11" xfId="3" applyNumberFormat="1" applyFont="1" applyFill="1" applyBorder="1" applyAlignment="1" applyProtection="1">
      <alignment horizontal="right"/>
    </xf>
    <xf numFmtId="3" fontId="10" fillId="5" borderId="11" xfId="3" applyNumberFormat="1" applyFont="1" applyFill="1" applyBorder="1" applyAlignment="1" applyProtection="1">
      <alignment horizontal="right"/>
    </xf>
    <xf numFmtId="0" fontId="10" fillId="2" borderId="13" xfId="3" applyFont="1" applyFill="1" applyBorder="1" applyAlignment="1" applyProtection="1">
      <alignment horizontal="left"/>
    </xf>
    <xf numFmtId="0" fontId="22" fillId="0" borderId="0" xfId="1" applyFont="1" applyAlignment="1" applyProtection="1">
      <alignment horizontal="right"/>
    </xf>
    <xf numFmtId="0" fontId="0" fillId="0" borderId="0" xfId="0" applyFill="1" applyProtection="1"/>
    <xf numFmtId="0" fontId="4" fillId="0" borderId="0" xfId="0" applyFont="1" applyProtection="1"/>
    <xf numFmtId="0" fontId="10" fillId="2" borderId="13" xfId="0" applyFont="1" applyFill="1" applyBorder="1" applyProtection="1"/>
    <xf numFmtId="10" fontId="10" fillId="2" borderId="9" xfId="0" applyNumberFormat="1" applyFont="1" applyFill="1" applyBorder="1" applyProtection="1"/>
    <xf numFmtId="168" fontId="0" fillId="0" borderId="0" xfId="0" applyNumberFormat="1" applyFill="1" applyProtection="1"/>
    <xf numFmtId="0" fontId="7" fillId="0" borderId="0" xfId="0" applyFont="1" applyProtection="1"/>
    <xf numFmtId="0" fontId="16" fillId="0" borderId="13" xfId="0" applyFont="1" applyBorder="1" applyProtection="1"/>
    <xf numFmtId="9" fontId="10" fillId="5" borderId="4" xfId="3" applyNumberFormat="1" applyFont="1" applyFill="1" applyBorder="1" applyAlignment="1" applyProtection="1">
      <alignment horizontal="right" vertical="center"/>
    </xf>
    <xf numFmtId="0" fontId="10" fillId="0" borderId="0" xfId="0" applyFont="1" applyAlignment="1" applyProtection="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pplyProtection="1">
      <alignment vertical="center"/>
    </xf>
    <xf numFmtId="0" fontId="2" fillId="0" borderId="0" xfId="3" applyAlignment="1" applyProtection="1">
      <alignment horizontal="left" vertical="center"/>
    </xf>
    <xf numFmtId="0" fontId="2" fillId="0" borderId="0" xfId="0" applyFont="1"/>
    <xf numFmtId="0" fontId="10" fillId="0" borderId="0" xfId="0" applyFont="1" applyAlignment="1" applyProtection="1">
      <alignment horizontal="right"/>
    </xf>
    <xf numFmtId="0" fontId="18" fillId="0" borderId="0" xfId="0" quotePrefix="1" applyFont="1" applyProtection="1"/>
    <xf numFmtId="0" fontId="3" fillId="0" borderId="0" xfId="0" applyFont="1" applyAlignment="1"/>
    <xf numFmtId="0" fontId="9" fillId="0" borderId="0" xfId="1" applyFill="1" applyAlignment="1" applyProtection="1">
      <alignment horizontal="right"/>
    </xf>
    <xf numFmtId="0" fontId="9" fillId="0" borderId="0" xfId="1" applyFill="1" applyAlignment="1" applyProtection="1">
      <alignment horizontal="right" vertical="top"/>
    </xf>
    <xf numFmtId="0" fontId="0" fillId="0" borderId="0" xfId="0" applyAlignment="1"/>
    <xf numFmtId="0" fontId="16" fillId="0" borderId="0" xfId="0" applyFont="1" applyAlignment="1" applyProtection="1"/>
    <xf numFmtId="0" fontId="16" fillId="0" borderId="7" xfId="3" applyFont="1" applyBorder="1" applyAlignment="1" applyProtection="1">
      <alignment vertical="top"/>
    </xf>
    <xf numFmtId="0" fontId="0" fillId="0" borderId="1" xfId="0" applyBorder="1" applyAlignment="1">
      <alignment vertical="top"/>
    </xf>
    <xf numFmtId="0" fontId="16" fillId="0" borderId="8" xfId="3" applyFont="1" applyBorder="1" applyAlignment="1" applyProtection="1">
      <alignment horizontal="left" vertical="top"/>
    </xf>
    <xf numFmtId="0" fontId="0" fillId="0" borderId="0" xfId="0" applyAlignment="1">
      <alignment vertical="top"/>
    </xf>
    <xf numFmtId="0" fontId="16" fillId="0" borderId="9" xfId="3" applyFont="1" applyBorder="1" applyAlignment="1" applyProtection="1">
      <alignment horizontal="left" vertical="top"/>
    </xf>
    <xf numFmtId="0" fontId="16" fillId="0" borderId="10" xfId="3" applyFont="1" applyBorder="1" applyAlignment="1" applyProtection="1">
      <alignment horizontal="left" vertical="top"/>
    </xf>
    <xf numFmtId="0" fontId="10" fillId="0" borderId="3" xfId="3" applyFont="1" applyBorder="1" applyAlignment="1" applyProtection="1">
      <alignment vertical="top"/>
    </xf>
    <xf numFmtId="0" fontId="16" fillId="0" borderId="0" xfId="3" applyFont="1" applyFill="1" applyAlignment="1" applyProtection="1">
      <alignment horizontal="center" vertical="center"/>
    </xf>
    <xf numFmtId="0" fontId="16" fillId="0" borderId="0" xfId="3" applyFont="1" applyAlignment="1" applyProtection="1">
      <alignment horizontal="center" vertical="center"/>
    </xf>
    <xf numFmtId="167" fontId="10" fillId="5" borderId="13" xfId="3" applyNumberFormat="1" applyFont="1" applyFill="1" applyBorder="1" applyAlignment="1" applyProtection="1">
      <alignment horizontal="right" vertical="center"/>
    </xf>
    <xf numFmtId="0" fontId="16" fillId="0" borderId="0" xfId="3" applyFont="1" applyAlignment="1" applyProtection="1">
      <alignment horizontal="right"/>
    </xf>
    <xf numFmtId="0" fontId="16" fillId="0" borderId="0" xfId="3" applyFont="1" applyAlignment="1" applyProtection="1">
      <alignment horizontal="right"/>
    </xf>
    <xf numFmtId="0" fontId="10" fillId="0" borderId="0" xfId="3" applyFont="1" applyAlignment="1" applyProtection="1"/>
    <xf numFmtId="0" fontId="16" fillId="5" borderId="13" xfId="3" applyFont="1" applyFill="1" applyBorder="1" applyProtection="1"/>
    <xf numFmtId="0" fontId="10" fillId="5" borderId="13" xfId="3" applyFont="1" applyFill="1" applyBorder="1" applyProtection="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applyAlignment="1"/>
    <xf numFmtId="3" fontId="10" fillId="0" borderId="13" xfId="0" applyNumberFormat="1" applyFont="1" applyFill="1" applyBorder="1" applyAlignment="1"/>
    <xf numFmtId="3" fontId="10" fillId="5" borderId="10" xfId="0" applyNumberFormat="1" applyFont="1" applyFill="1" applyBorder="1" applyAlignment="1"/>
    <xf numFmtId="0" fontId="15" fillId="0" borderId="10" xfId="0" applyFont="1" applyBorder="1" applyAlignment="1">
      <alignment horizontal="center" wrapText="1"/>
    </xf>
    <xf numFmtId="0" fontId="0" fillId="0" borderId="0" xfId="0" applyAlignment="1"/>
    <xf numFmtId="0" fontId="0" fillId="0" borderId="0" xfId="0" applyAlignment="1">
      <alignment wrapText="1"/>
    </xf>
    <xf numFmtId="0" fontId="10" fillId="0" borderId="0" xfId="3" applyFont="1" applyAlignment="1" applyProtection="1">
      <alignment vertical="center"/>
    </xf>
    <xf numFmtId="3" fontId="10" fillId="0" borderId="0" xfId="3" applyNumberFormat="1" applyFont="1" applyBorder="1" applyProtection="1"/>
    <xf numFmtId="0" fontId="10" fillId="0" borderId="0" xfId="3" applyFont="1" applyFill="1" applyAlignment="1" applyProtection="1">
      <alignment vertical="center"/>
    </xf>
    <xf numFmtId="3" fontId="10" fillId="0" borderId="6" xfId="3" applyNumberFormat="1" applyFont="1" applyBorder="1" applyProtection="1"/>
    <xf numFmtId="9" fontId="10" fillId="2" borderId="13" xfId="3" applyNumberFormat="1" applyFont="1" applyFill="1" applyBorder="1" applyProtection="1"/>
    <xf numFmtId="9" fontId="10" fillId="0" borderId="13" xfId="3" applyNumberFormat="1" applyFont="1" applyFill="1" applyBorder="1" applyProtection="1"/>
    <xf numFmtId="0" fontId="18" fillId="0" borderId="0" xfId="3" applyFont="1" applyFill="1" applyAlignment="1" applyProtection="1">
      <alignment vertical="center"/>
    </xf>
    <xf numFmtId="0" fontId="18" fillId="0" borderId="0" xfId="3" applyFont="1" applyFill="1" applyAlignment="1" applyProtection="1">
      <alignment horizontal="right" vertical="center"/>
    </xf>
    <xf numFmtId="0" fontId="18" fillId="0" borderId="0" xfId="3" applyFont="1" applyFill="1" applyAlignment="1" applyProtection="1">
      <alignment horizontal="center" vertical="center"/>
    </xf>
    <xf numFmtId="0" fontId="0" fillId="0" borderId="0" xfId="0" applyAlignment="1">
      <alignment wrapText="1"/>
    </xf>
    <xf numFmtId="0" fontId="16" fillId="0" borderId="0" xfId="3" applyFont="1" applyAlignment="1" applyProtection="1">
      <alignment horizontal="right"/>
    </xf>
    <xf numFmtId="3" fontId="10" fillId="0" borderId="13" xfId="0" applyNumberFormat="1" applyFont="1" applyFill="1" applyBorder="1" applyAlignment="1"/>
    <xf numFmtId="0" fontId="10" fillId="0" borderId="13" xfId="3" applyFont="1" applyFill="1" applyBorder="1" applyAlignment="1" applyProtection="1">
      <alignment horizontal="left"/>
    </xf>
    <xf numFmtId="3" fontId="10" fillId="0" borderId="13" xfId="0" applyNumberFormat="1" applyFont="1" applyFill="1" applyBorder="1" applyAlignment="1"/>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0" xfId="0" applyAlignment="1"/>
    <xf numFmtId="0" fontId="16" fillId="0" borderId="0" xfId="3" applyFont="1" applyAlignment="1" applyProtection="1">
      <alignment horizontal="right"/>
    </xf>
    <xf numFmtId="3" fontId="10" fillId="0" borderId="13" xfId="0" applyNumberFormat="1" applyFont="1" applyFill="1" applyBorder="1" applyAlignment="1"/>
    <xf numFmtId="0" fontId="0" fillId="0" borderId="1" xfId="0" applyBorder="1" applyAlignment="1">
      <alignment vertical="top"/>
    </xf>
    <xf numFmtId="0" fontId="0" fillId="0" borderId="14" xfId="0" applyBorder="1" applyAlignment="1">
      <alignment vertical="top"/>
    </xf>
    <xf numFmtId="0" fontId="16" fillId="0" borderId="7" xfId="3" applyFont="1" applyBorder="1" applyAlignment="1" applyProtection="1">
      <alignment horizontal="left" vertical="top"/>
    </xf>
    <xf numFmtId="0" fontId="0" fillId="0" borderId="0" xfId="0" applyAlignment="1"/>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pplyProtection="1">
      <alignment horizontal="right" vertical="center"/>
    </xf>
    <xf numFmtId="0" fontId="10" fillId="0" borderId="0" xfId="3" applyFont="1" applyAlignment="1" applyProtection="1">
      <alignment horizontal="right" vertical="center"/>
    </xf>
    <xf numFmtId="0" fontId="7" fillId="0" borderId="0" xfId="0" applyFont="1" applyAlignment="1">
      <alignment vertical="center"/>
    </xf>
    <xf numFmtId="14" fontId="10" fillId="0" borderId="0" xfId="0" applyNumberFormat="1" applyFont="1" applyAlignment="1">
      <alignment horizontal="right" vertical="center"/>
    </xf>
    <xf numFmtId="0" fontId="10"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10" fillId="0" borderId="0" xfId="0" applyFont="1" applyFill="1" applyAlignment="1">
      <alignment vertical="center"/>
    </xf>
    <xf numFmtId="0" fontId="3" fillId="0" borderId="0" xfId="0" applyFont="1" applyFill="1" applyAlignment="1">
      <alignment horizontal="left" vertical="center"/>
    </xf>
    <xf numFmtId="0" fontId="10" fillId="0" borderId="0" xfId="0" applyFont="1" applyAlignment="1" applyProtection="1"/>
    <xf numFmtId="0" fontId="10" fillId="0" borderId="0" xfId="0" applyFont="1" applyAlignment="1">
      <alignment wrapText="1"/>
    </xf>
    <xf numFmtId="0" fontId="7" fillId="4" borderId="0" xfId="3" applyFont="1" applyFill="1" applyAlignment="1" applyProtection="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vertical="center"/>
    </xf>
    <xf numFmtId="0" fontId="25" fillId="0" borderId="13" xfId="0" applyFont="1" applyBorder="1"/>
    <xf numFmtId="0" fontId="10" fillId="0" borderId="13"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6" fillId="0" borderId="0" xfId="0" applyFont="1" applyAlignment="1" applyProtection="1">
      <alignment horizontal="right" vertical="center"/>
    </xf>
    <xf numFmtId="0" fontId="7" fillId="0" borderId="0" xfId="3" applyFont="1" applyFill="1" applyAlignment="1" applyProtection="1">
      <alignment horizontal="left" vertical="center"/>
    </xf>
    <xf numFmtId="0" fontId="7" fillId="0" borderId="0" xfId="0" applyFont="1" applyFill="1" applyAlignment="1">
      <alignment horizontal="left" vertical="center"/>
    </xf>
    <xf numFmtId="0" fontId="7" fillId="0" borderId="0" xfId="0" applyFont="1" applyFill="1" applyAlignment="1" applyProtection="1">
      <alignment horizontal="left" vertical="center"/>
    </xf>
    <xf numFmtId="0" fontId="10" fillId="0" borderId="0" xfId="0" applyFont="1" applyAlignment="1" applyProtection="1">
      <alignment horizontal="right" vertical="center"/>
    </xf>
    <xf numFmtId="14" fontId="10" fillId="0" borderId="0" xfId="0" applyNumberFormat="1" applyFont="1" applyFill="1" applyAlignment="1">
      <alignment horizontal="right" vertical="center"/>
    </xf>
    <xf numFmtId="10" fontId="10" fillId="2" borderId="10"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0" xfId="0" applyNumberFormat="1" applyFont="1" applyFill="1" applyBorder="1" applyAlignment="1" applyProtection="1">
      <alignment horizontal="center" vertical="center"/>
    </xf>
    <xf numFmtId="10" fontId="10" fillId="4" borderId="10" xfId="0" applyNumberFormat="1" applyFont="1" applyFill="1" applyBorder="1" applyAlignment="1" applyProtection="1">
      <alignment horizontal="center" vertical="center"/>
      <protection locked="0"/>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applyBorder="1"/>
    <xf numFmtId="0" fontId="10" fillId="0" borderId="13" xfId="0" applyFont="1" applyFill="1" applyBorder="1" applyProtection="1"/>
    <xf numFmtId="0" fontId="10" fillId="0" borderId="0" xfId="0" applyFont="1" applyAlignment="1"/>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3" applyFont="1" applyAlignment="1" applyProtection="1">
      <alignment horizontal="right" vertical="center"/>
    </xf>
    <xf numFmtId="0" fontId="22" fillId="0" borderId="0" xfId="1" applyFont="1" applyAlignment="1" applyProtection="1"/>
    <xf numFmtId="3" fontId="10" fillId="0" borderId="0" xfId="3" applyNumberFormat="1" applyFont="1" applyProtection="1"/>
    <xf numFmtId="0" fontId="10" fillId="0" borderId="0" xfId="0" applyFont="1" applyAlignment="1" applyProtection="1">
      <alignment horizontal="left" vertical="center"/>
    </xf>
    <xf numFmtId="14" fontId="10" fillId="0" borderId="0" xfId="3" applyNumberFormat="1" applyFont="1" applyAlignment="1" applyProtection="1">
      <alignment horizontal="right" vertical="center"/>
    </xf>
    <xf numFmtId="0" fontId="15" fillId="0" borderId="13" xfId="0" applyFont="1" applyBorder="1" applyAlignment="1" applyProtection="1">
      <alignment horizontal="center" wrapText="1"/>
    </xf>
    <xf numFmtId="0" fontId="0" fillId="2" borderId="9" xfId="0" applyFill="1" applyBorder="1" applyProtection="1"/>
    <xf numFmtId="0" fontId="0" fillId="2" borderId="10" xfId="0" applyFill="1" applyBorder="1" applyProtection="1"/>
    <xf numFmtId="0" fontId="0" fillId="0" borderId="0" xfId="0" applyAlignment="1">
      <alignment vertical="center"/>
    </xf>
    <xf numFmtId="0" fontId="10" fillId="0" borderId="0" xfId="3" applyFont="1" applyAlignment="1" applyProtection="1">
      <alignment horizontal="left" vertical="center"/>
    </xf>
    <xf numFmtId="1" fontId="15" fillId="0" borderId="0" xfId="3" applyNumberFormat="1" applyFont="1" applyFill="1" applyBorder="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15" fillId="0" borderId="9" xfId="0" applyFont="1" applyBorder="1" applyAlignment="1">
      <alignment horizontal="center" vertical="center" wrapText="1"/>
    </xf>
    <xf numFmtId="0" fontId="0" fillId="0" borderId="0" xfId="0" applyBorder="1" applyAlignment="1">
      <alignment horizontal="right" vertical="center"/>
    </xf>
    <xf numFmtId="1" fontId="15" fillId="0" borderId="0" xfId="3" applyNumberFormat="1" applyFont="1" applyFill="1" applyBorder="1" applyAlignment="1" applyProtection="1">
      <alignment horizontal="right" vertical="center"/>
    </xf>
    <xf numFmtId="0" fontId="16" fillId="0" borderId="0" xfId="3" applyFont="1" applyAlignment="1" applyProtection="1">
      <alignment vertical="center"/>
    </xf>
    <xf numFmtId="0" fontId="10" fillId="0" borderId="0" xfId="3" applyFont="1" applyAlignment="1" applyProtection="1">
      <alignment horizontal="center" vertical="center"/>
    </xf>
    <xf numFmtId="0" fontId="16" fillId="0" borderId="0" xfId="0" applyFont="1" applyAlignment="1" applyProtection="1">
      <alignment vertical="center"/>
    </xf>
    <xf numFmtId="0" fontId="16" fillId="0" borderId="0" xfId="3" applyFont="1" applyAlignment="1" applyProtection="1">
      <alignment horizontal="right" vertical="top"/>
    </xf>
    <xf numFmtId="0" fontId="10" fillId="0" borderId="0" xfId="0" applyFont="1" applyAlignment="1" applyProtection="1">
      <alignment vertical="center"/>
    </xf>
    <xf numFmtId="0" fontId="25" fillId="2" borderId="13" xfId="0" applyFont="1" applyFill="1" applyBorder="1"/>
    <xf numFmtId="0" fontId="10" fillId="0" borderId="3" xfId="3" applyFont="1" applyBorder="1" applyAlignment="1" applyProtection="1">
      <alignment vertical="center"/>
    </xf>
    <xf numFmtId="0" fontId="10" fillId="0" borderId="3" xfId="0" applyFont="1" applyBorder="1" applyAlignment="1" applyProtection="1">
      <alignment vertical="center"/>
    </xf>
    <xf numFmtId="0" fontId="10" fillId="0" borderId="12" xfId="0" applyFont="1" applyBorder="1" applyAlignment="1" applyProtection="1">
      <alignment vertical="center"/>
    </xf>
    <xf numFmtId="0" fontId="0" fillId="0" borderId="8" xfId="0" applyBorder="1" applyAlignment="1" applyProtection="1">
      <alignment vertical="center"/>
    </xf>
    <xf numFmtId="0" fontId="10" fillId="0" borderId="8" xfId="3" applyFont="1" applyBorder="1" applyAlignment="1" applyProtection="1">
      <alignment vertical="center"/>
    </xf>
    <xf numFmtId="0" fontId="10" fillId="0" borderId="0" xfId="3" applyFont="1" applyBorder="1" applyAlignment="1" applyProtection="1">
      <alignment vertical="center"/>
    </xf>
    <xf numFmtId="0" fontId="16" fillId="0" borderId="7" xfId="3" applyFont="1" applyBorder="1" applyAlignment="1" applyProtection="1">
      <alignment vertical="center"/>
    </xf>
    <xf numFmtId="0" fontId="10" fillId="0" borderId="3" xfId="3" applyNumberFormat="1" applyFont="1" applyBorder="1" applyAlignment="1" applyProtection="1">
      <alignment vertical="center"/>
    </xf>
    <xf numFmtId="0" fontId="10" fillId="0" borderId="12" xfId="3" applyFont="1" applyBorder="1" applyAlignment="1" applyProtection="1">
      <alignment vertical="center"/>
    </xf>
    <xf numFmtId="49" fontId="10" fillId="0" borderId="3" xfId="3" applyNumberFormat="1" applyFont="1" applyBorder="1" applyAlignment="1" applyProtection="1">
      <alignment vertical="center"/>
    </xf>
    <xf numFmtId="0" fontId="16" fillId="0" borderId="3" xfId="3" applyFont="1" applyBorder="1" applyAlignment="1" applyProtection="1">
      <alignment vertical="center"/>
    </xf>
    <xf numFmtId="49" fontId="10" fillId="0" borderId="3" xfId="3" applyNumberFormat="1" applyFont="1" applyBorder="1" applyAlignment="1" applyProtection="1">
      <alignment horizontal="right" vertical="center"/>
    </xf>
    <xf numFmtId="0" fontId="10" fillId="0" borderId="5" xfId="3" applyFont="1" applyBorder="1" applyAlignment="1" applyProtection="1">
      <alignment vertical="center"/>
    </xf>
    <xf numFmtId="0" fontId="10" fillId="0" borderId="9" xfId="3" applyFont="1" applyFill="1" applyBorder="1" applyAlignment="1" applyProtection="1">
      <alignment horizontal="left" vertical="center"/>
    </xf>
    <xf numFmtId="0" fontId="10" fillId="0" borderId="9" xfId="3" applyFont="1" applyBorder="1" applyAlignment="1" applyProtection="1">
      <alignment vertical="center"/>
    </xf>
    <xf numFmtId="0" fontId="10" fillId="0" borderId="1" xfId="3" applyFont="1" applyBorder="1" applyAlignment="1" applyProtection="1">
      <alignment vertical="center"/>
    </xf>
    <xf numFmtId="0" fontId="2" fillId="0" borderId="0" xfId="0" applyFont="1" applyBorder="1" applyAlignment="1">
      <alignment vertical="center"/>
    </xf>
    <xf numFmtId="0" fontId="10" fillId="0" borderId="9" xfId="3" applyFont="1" applyFill="1" applyBorder="1" applyAlignment="1" applyProtection="1">
      <alignment vertical="center"/>
    </xf>
    <xf numFmtId="0" fontId="16" fillId="0" borderId="1" xfId="3" applyFont="1" applyBorder="1" applyAlignment="1" applyProtection="1">
      <alignment vertical="center"/>
    </xf>
    <xf numFmtId="1" fontId="15" fillId="0" borderId="0" xfId="3" applyNumberFormat="1" applyFont="1" applyBorder="1" applyAlignment="1" applyProtection="1">
      <alignment horizontal="center" vertical="center"/>
    </xf>
    <xf numFmtId="0" fontId="15" fillId="0" borderId="5" xfId="3" applyFont="1" applyBorder="1" applyAlignment="1" applyProtection="1">
      <alignment horizontal="center"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horizontal="center" vertical="center"/>
    </xf>
    <xf numFmtId="0" fontId="10" fillId="0" borderId="5" xfId="3" applyFont="1" applyBorder="1" applyAlignment="1" applyProtection="1">
      <alignment horizontal="center" vertical="center"/>
    </xf>
    <xf numFmtId="1" fontId="16" fillId="0" borderId="1" xfId="3" applyNumberFormat="1" applyFont="1" applyBorder="1" applyAlignment="1" applyProtection="1">
      <alignment horizontal="left" vertical="center"/>
    </xf>
    <xf numFmtId="0" fontId="10" fillId="0" borderId="9" xfId="3" applyFont="1" applyBorder="1" applyAlignment="1" applyProtection="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pplyProtection="1">
      <alignment horizontal="center" vertical="center"/>
    </xf>
    <xf numFmtId="0" fontId="10" fillId="0" borderId="1" xfId="3" applyFont="1" applyBorder="1" applyAlignment="1" applyProtection="1">
      <alignment horizontal="center" vertical="center"/>
    </xf>
    <xf numFmtId="0" fontId="15" fillId="0" borderId="9" xfId="3" applyFont="1" applyBorder="1" applyAlignment="1" applyProtection="1">
      <alignment horizontal="center" vertical="center"/>
    </xf>
    <xf numFmtId="167" fontId="10" fillId="0" borderId="0" xfId="3" applyNumberFormat="1" applyFont="1" applyFill="1" applyBorder="1" applyAlignment="1" applyProtection="1">
      <alignment vertical="center"/>
    </xf>
    <xf numFmtId="2" fontId="10" fillId="0" borderId="2" xfId="3" applyNumberFormat="1" applyFont="1" applyFill="1" applyBorder="1" applyAlignment="1" applyProtection="1">
      <alignment vertical="center"/>
    </xf>
    <xf numFmtId="165" fontId="10" fillId="0" borderId="0" xfId="3" applyNumberFormat="1" applyFont="1" applyFill="1" applyBorder="1" applyAlignment="1" applyProtection="1">
      <alignment vertical="center"/>
    </xf>
    <xf numFmtId="2" fontId="10" fillId="0" borderId="15" xfId="3" applyNumberFormat="1" applyFont="1" applyFill="1" applyBorder="1" applyAlignment="1" applyProtection="1">
      <alignment vertical="center"/>
    </xf>
    <xf numFmtId="1" fontId="20" fillId="0" borderId="5" xfId="1" applyNumberFormat="1" applyFont="1" applyBorder="1" applyAlignment="1" applyProtection="1">
      <alignment horizontal="left" vertical="center"/>
    </xf>
    <xf numFmtId="0" fontId="10" fillId="0" borderId="14" xfId="3" applyFont="1" applyBorder="1" applyAlignment="1" applyProtection="1">
      <alignment vertical="center"/>
    </xf>
    <xf numFmtId="0" fontId="10" fillId="0" borderId="2" xfId="3" applyFont="1" applyBorder="1" applyAlignment="1" applyProtection="1">
      <alignment vertical="center"/>
    </xf>
    <xf numFmtId="0" fontId="10" fillId="0" borderId="15" xfId="3" applyFont="1" applyBorder="1" applyAlignment="1" applyProtection="1">
      <alignment vertical="center"/>
    </xf>
    <xf numFmtId="1" fontId="15" fillId="0" borderId="2" xfId="3" applyNumberFormat="1" applyFont="1" applyBorder="1" applyAlignment="1" applyProtection="1">
      <alignment horizontal="center" vertical="center"/>
    </xf>
    <xf numFmtId="0" fontId="15" fillId="0" borderId="15" xfId="3" applyFont="1" applyBorder="1" applyAlignment="1" applyProtection="1">
      <alignment horizontal="center" vertical="center"/>
    </xf>
    <xf numFmtId="1" fontId="15" fillId="0" borderId="14" xfId="3" applyNumberFormat="1" applyFont="1" applyBorder="1" applyAlignment="1" applyProtection="1">
      <alignment horizontal="center" vertical="center"/>
    </xf>
    <xf numFmtId="0" fontId="10" fillId="0" borderId="14" xfId="3" applyFont="1" applyBorder="1" applyAlignment="1" applyProtection="1">
      <alignment horizontal="center" vertical="center"/>
    </xf>
    <xf numFmtId="0" fontId="10" fillId="0" borderId="2" xfId="3" applyFont="1" applyBorder="1" applyAlignment="1" applyProtection="1">
      <alignment horizontal="center" vertical="center"/>
    </xf>
    <xf numFmtId="0" fontId="10" fillId="0" borderId="15" xfId="3" applyFont="1" applyBorder="1" applyAlignment="1" applyProtection="1">
      <alignment horizontal="center" vertical="center"/>
    </xf>
    <xf numFmtId="0" fontId="15" fillId="0" borderId="10" xfId="3" applyFont="1" applyBorder="1" applyAlignment="1" applyProtection="1">
      <alignment horizontal="center" vertical="center"/>
    </xf>
    <xf numFmtId="1" fontId="15" fillId="0" borderId="13" xfId="3" applyNumberFormat="1" applyFont="1" applyFill="1" applyBorder="1" applyAlignment="1" applyProtection="1">
      <alignment horizontal="center" vertical="center"/>
    </xf>
    <xf numFmtId="1" fontId="15" fillId="0" borderId="10" xfId="3" applyNumberFormat="1" applyFont="1" applyFill="1" applyBorder="1" applyAlignment="1" applyProtection="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pplyProtection="1">
      <alignment horizontal="center" vertical="center"/>
    </xf>
    <xf numFmtId="0" fontId="10" fillId="0" borderId="9" xfId="3" applyFont="1" applyBorder="1" applyAlignment="1" applyProtection="1">
      <alignment horizontal="left" vertical="center"/>
    </xf>
    <xf numFmtId="0" fontId="10" fillId="0" borderId="10" xfId="3" applyFont="1" applyBorder="1" applyAlignment="1" applyProtection="1">
      <alignment horizontal="left" vertical="center"/>
    </xf>
    <xf numFmtId="0" fontId="10" fillId="0" borderId="0" xfId="3" applyFont="1" applyBorder="1" applyAlignment="1" applyProtection="1">
      <alignment horizontal="left" vertical="center"/>
    </xf>
    <xf numFmtId="1" fontId="15" fillId="0" borderId="13" xfId="3" applyNumberFormat="1" applyFont="1" applyBorder="1" applyAlignment="1" applyProtection="1">
      <alignment horizontal="center" vertical="center"/>
    </xf>
    <xf numFmtId="1" fontId="15" fillId="0" borderId="6" xfId="3" applyNumberFormat="1" applyFont="1" applyBorder="1" applyAlignment="1" applyProtection="1">
      <alignment horizontal="center" vertical="center"/>
    </xf>
    <xf numFmtId="1" fontId="15" fillId="0" borderId="0" xfId="3" applyNumberFormat="1" applyFont="1" applyAlignment="1" applyProtection="1">
      <alignment horizontal="center" vertical="center"/>
    </xf>
    <xf numFmtId="0" fontId="16" fillId="5" borderId="6" xfId="3" applyFont="1" applyFill="1" applyBorder="1" applyAlignment="1" applyProtection="1">
      <alignment vertical="center"/>
    </xf>
    <xf numFmtId="0" fontId="10" fillId="5" borderId="4" xfId="3" applyFont="1" applyFill="1" applyBorder="1" applyAlignment="1" applyProtection="1">
      <alignment vertical="center"/>
    </xf>
    <xf numFmtId="0" fontId="10" fillId="5" borderId="6" xfId="3" applyFont="1" applyFill="1" applyBorder="1" applyAlignment="1" applyProtection="1">
      <alignment horizontal="left" vertical="center"/>
    </xf>
    <xf numFmtId="0" fontId="10" fillId="5" borderId="15" xfId="3" applyFont="1" applyFill="1" applyBorder="1" applyAlignment="1" applyProtection="1">
      <alignment vertical="center"/>
    </xf>
    <xf numFmtId="167" fontId="10" fillId="5" borderId="11" xfId="3" applyNumberFormat="1" applyFont="1" applyFill="1" applyBorder="1" applyAlignment="1" applyProtection="1">
      <alignment vertical="center"/>
    </xf>
    <xf numFmtId="165" fontId="10" fillId="5" borderId="11" xfId="3" applyNumberFormat="1" applyFont="1" applyFill="1" applyBorder="1" applyAlignment="1" applyProtection="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pplyProtection="1">
      <alignment horizontal="center" vertical="center"/>
    </xf>
    <xf numFmtId="0" fontId="10" fillId="5" borderId="4" xfId="3" applyFont="1" applyFill="1" applyBorder="1" applyAlignment="1" applyProtection="1">
      <alignment horizontal="left" vertical="center"/>
    </xf>
    <xf numFmtId="0" fontId="10" fillId="5" borderId="11" xfId="3" applyFont="1" applyFill="1" applyBorder="1" applyAlignment="1" applyProtection="1">
      <alignment horizontal="left" vertical="center"/>
    </xf>
    <xf numFmtId="0" fontId="10" fillId="5" borderId="0" xfId="3" applyFont="1" applyFill="1" applyBorder="1" applyAlignment="1" applyProtection="1">
      <alignment horizontal="left" vertical="center"/>
    </xf>
    <xf numFmtId="3" fontId="10" fillId="5" borderId="13" xfId="3" applyNumberFormat="1" applyFont="1" applyFill="1" applyBorder="1" applyAlignment="1" applyProtection="1">
      <alignment vertical="center"/>
    </xf>
    <xf numFmtId="3" fontId="10" fillId="5" borderId="11" xfId="3" applyNumberFormat="1" applyFont="1" applyFill="1" applyBorder="1" applyAlignment="1" applyProtection="1">
      <alignment vertical="center"/>
    </xf>
    <xf numFmtId="3" fontId="10" fillId="5" borderId="0" xfId="3" applyNumberFormat="1" applyFont="1" applyFill="1" applyBorder="1" applyAlignment="1" applyProtection="1">
      <alignment vertical="center"/>
    </xf>
    <xf numFmtId="0" fontId="10" fillId="4" borderId="10" xfId="3" applyFont="1" applyFill="1" applyBorder="1" applyAlignment="1" applyProtection="1">
      <alignment vertical="center" shrinkToFit="1"/>
      <protection locked="0"/>
    </xf>
    <xf numFmtId="0" fontId="10" fillId="4" borderId="10" xfId="3" applyFont="1" applyFill="1" applyBorder="1" applyAlignment="1" applyProtection="1">
      <alignment vertical="center"/>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protection locked="0"/>
    </xf>
    <xf numFmtId="167" fontId="10" fillId="0" borderId="10" xfId="3" applyNumberFormat="1" applyFont="1" applyFill="1" applyBorder="1" applyAlignment="1" applyProtection="1">
      <alignment vertical="center"/>
      <protection locked="0"/>
    </xf>
    <xf numFmtId="10" fontId="10" fillId="0" borderId="13" xfId="3" applyNumberFormat="1" applyFont="1" applyFill="1" applyBorder="1" applyAlignment="1" applyProtection="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Fill="1" applyBorder="1" applyAlignment="1" applyProtection="1">
      <alignment vertical="center"/>
    </xf>
    <xf numFmtId="3" fontId="15" fillId="0" borderId="13" xfId="3" applyNumberFormat="1" applyFont="1" applyFill="1" applyBorder="1" applyAlignment="1" applyProtection="1">
      <alignment vertical="center"/>
    </xf>
    <xf numFmtId="1" fontId="10" fillId="0" borderId="0" xfId="3" applyNumberFormat="1" applyFont="1" applyFill="1" applyAlignment="1" applyProtection="1">
      <alignment vertical="center"/>
    </xf>
    <xf numFmtId="1" fontId="10" fillId="0" borderId="13" xfId="3" applyNumberFormat="1" applyFont="1" applyFill="1" applyBorder="1" applyAlignment="1" applyProtection="1">
      <alignment vertical="center"/>
    </xf>
    <xf numFmtId="0" fontId="10" fillId="3" borderId="13" xfId="3" applyFont="1" applyFill="1" applyBorder="1" applyAlignment="1" applyProtection="1">
      <alignment vertical="center" shrinkToFit="1"/>
      <protection locked="0"/>
    </xf>
    <xf numFmtId="49" fontId="10" fillId="3" borderId="13" xfId="3" applyNumberFormat="1"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pplyProtection="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pplyProtection="1">
      <alignment vertical="center"/>
    </xf>
    <xf numFmtId="3" fontId="15" fillId="2" borderId="13" xfId="3" applyNumberFormat="1" applyFont="1" applyFill="1" applyBorder="1" applyAlignment="1" applyProtection="1">
      <alignment vertical="center"/>
    </xf>
    <xf numFmtId="1" fontId="10" fillId="2" borderId="0" xfId="3" applyNumberFormat="1" applyFont="1" applyFill="1" applyAlignment="1" applyProtection="1">
      <alignment vertical="center"/>
    </xf>
    <xf numFmtId="1" fontId="10" fillId="2" borderId="13" xfId="3" applyNumberFormat="1" applyFont="1" applyFill="1" applyBorder="1" applyAlignment="1" applyProtection="1">
      <alignment vertical="center"/>
    </xf>
    <xf numFmtId="0" fontId="10" fillId="2" borderId="0" xfId="3" applyFont="1" applyFill="1" applyAlignment="1" applyProtection="1">
      <alignment vertical="center"/>
    </xf>
    <xf numFmtId="0" fontId="10" fillId="4" borderId="13" xfId="3" applyFont="1" applyFill="1" applyBorder="1" applyAlignment="1" applyProtection="1">
      <alignment vertical="center" shrinkToFit="1"/>
      <protection locked="0"/>
    </xf>
    <xf numFmtId="49" fontId="10" fillId="4" borderId="13" xfId="3" applyNumberFormat="1"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0" fillId="3" borderId="10" xfId="3" applyFont="1" applyFill="1" applyBorder="1" applyAlignment="1" applyProtection="1">
      <alignment vertical="center"/>
      <protection locked="0"/>
    </xf>
    <xf numFmtId="0" fontId="10" fillId="3" borderId="13" xfId="3" applyFont="1" applyFill="1" applyBorder="1" applyAlignment="1" applyProtection="1">
      <alignment vertical="center"/>
      <protection locked="0"/>
    </xf>
    <xf numFmtId="0" fontId="10" fillId="4" borderId="13" xfId="3" applyFont="1" applyFill="1" applyBorder="1" applyAlignment="1" applyProtection="1">
      <alignment vertical="center"/>
      <protection locked="0"/>
    </xf>
    <xf numFmtId="0" fontId="16" fillId="5" borderId="0" xfId="3" applyFont="1" applyFill="1" applyBorder="1" applyAlignment="1" applyProtection="1">
      <alignment vertical="center"/>
    </xf>
    <xf numFmtId="0" fontId="10" fillId="5" borderId="0" xfId="3" applyFont="1" applyFill="1" applyAlignment="1" applyProtection="1">
      <alignment vertical="center"/>
    </xf>
    <xf numFmtId="0" fontId="10" fillId="5" borderId="0" xfId="3" applyFont="1" applyFill="1" applyAlignment="1" applyProtection="1">
      <alignment horizontal="right" vertical="center"/>
    </xf>
    <xf numFmtId="2" fontId="10" fillId="5" borderId="13" xfId="3" applyNumberFormat="1" applyFont="1" applyFill="1" applyBorder="1" applyAlignment="1" applyProtection="1">
      <alignment vertical="center"/>
    </xf>
    <xf numFmtId="3" fontId="10" fillId="5" borderId="0" xfId="3" applyNumberFormat="1" applyFont="1" applyFill="1" applyAlignment="1" applyProtection="1">
      <alignment vertical="center"/>
    </xf>
    <xf numFmtId="14" fontId="10" fillId="0" borderId="0" xfId="0" applyNumberFormat="1" applyFont="1" applyAlignment="1">
      <alignment vertical="center"/>
    </xf>
    <xf numFmtId="0" fontId="7" fillId="0" borderId="0" xfId="3" applyFont="1" applyAlignment="1" applyProtection="1">
      <alignment horizontal="left" vertical="center"/>
    </xf>
    <xf numFmtId="0" fontId="7" fillId="0" borderId="0" xfId="3" applyFont="1" applyAlignment="1" applyProtection="1">
      <alignment vertical="center"/>
    </xf>
    <xf numFmtId="0" fontId="18" fillId="0" borderId="0" xfId="3" applyFont="1" applyAlignment="1" applyProtection="1">
      <alignment horizontal="left" vertical="center"/>
    </xf>
    <xf numFmtId="0" fontId="10" fillId="0" borderId="0" xfId="0" applyFont="1" applyAlignment="1" applyProtection="1">
      <alignment horizontal="center" vertical="center"/>
    </xf>
    <xf numFmtId="0" fontId="21" fillId="0" borderId="0" xfId="0" applyFont="1" applyAlignment="1" applyProtection="1">
      <alignment vertical="center"/>
    </xf>
    <xf numFmtId="0" fontId="18" fillId="0" borderId="0" xfId="3" applyFont="1" applyAlignment="1" applyProtection="1">
      <alignment horizontal="center" vertical="center"/>
    </xf>
    <xf numFmtId="0" fontId="16" fillId="0" borderId="7" xfId="3" applyFont="1" applyBorder="1" applyAlignment="1" applyProtection="1">
      <alignment horizontal="left" vertical="center"/>
    </xf>
    <xf numFmtId="0" fontId="10" fillId="0" borderId="3" xfId="3" applyFont="1" applyBorder="1" applyAlignment="1" applyProtection="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pplyProtection="1">
      <alignment vertical="center"/>
    </xf>
    <xf numFmtId="0" fontId="0" fillId="0" borderId="1" xfId="0" applyBorder="1" applyAlignment="1">
      <alignment vertical="center"/>
    </xf>
    <xf numFmtId="0" fontId="16" fillId="0" borderId="0" xfId="3" applyFont="1" applyBorder="1" applyAlignment="1" applyProtection="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pplyProtection="1">
      <alignment vertical="center"/>
    </xf>
    <xf numFmtId="0" fontId="16" fillId="0" borderId="9" xfId="3" applyFont="1" applyBorder="1" applyAlignment="1" applyProtection="1">
      <alignment vertical="center"/>
    </xf>
    <xf numFmtId="0" fontId="0" fillId="0" borderId="14" xfId="0" applyBorder="1" applyAlignment="1">
      <alignment vertical="center"/>
    </xf>
    <xf numFmtId="1" fontId="10" fillId="0" borderId="14" xfId="3" applyNumberFormat="1" applyFont="1" applyBorder="1" applyAlignment="1" applyProtection="1">
      <alignment vertical="center"/>
    </xf>
    <xf numFmtId="1" fontId="10" fillId="0" borderId="2" xfId="3" applyNumberFormat="1" applyFont="1" applyBorder="1" applyAlignment="1" applyProtection="1">
      <alignment vertical="center"/>
    </xf>
    <xf numFmtId="1" fontId="10" fillId="0" borderId="15" xfId="3" applyNumberFormat="1" applyFont="1" applyBorder="1" applyAlignment="1" applyProtection="1">
      <alignment vertical="center"/>
    </xf>
    <xf numFmtId="1" fontId="10" fillId="0" borderId="0" xfId="3" applyNumberFormat="1" applyFont="1" applyAlignment="1" applyProtection="1">
      <alignment vertical="center"/>
    </xf>
    <xf numFmtId="1" fontId="15" fillId="0" borderId="12" xfId="3" applyNumberFormat="1" applyFont="1" applyFill="1" applyBorder="1" applyAlignment="1" applyProtection="1">
      <alignment horizontal="center" vertical="center"/>
    </xf>
    <xf numFmtId="1" fontId="15" fillId="0" borderId="8" xfId="3" applyNumberFormat="1" applyFont="1" applyFill="1" applyBorder="1" applyAlignment="1" applyProtection="1">
      <alignment horizontal="center" vertical="center"/>
    </xf>
    <xf numFmtId="1" fontId="10" fillId="0" borderId="10" xfId="3" applyNumberFormat="1" applyFont="1" applyFill="1" applyBorder="1" applyAlignment="1" applyProtection="1">
      <alignment horizontal="left" vertical="center"/>
    </xf>
    <xf numFmtId="0" fontId="10" fillId="0" borderId="1" xfId="3" applyFont="1" applyBorder="1" applyAlignment="1" applyProtection="1">
      <alignment horizontal="left" vertical="center"/>
    </xf>
    <xf numFmtId="0" fontId="15" fillId="0" borderId="7" xfId="3" applyFont="1" applyBorder="1" applyAlignment="1" applyProtection="1">
      <alignment horizontal="center" vertical="center"/>
    </xf>
    <xf numFmtId="0" fontId="10" fillId="5" borderId="4" xfId="0" applyFont="1" applyFill="1" applyBorder="1" applyAlignment="1" applyProtection="1">
      <alignment vertical="center"/>
    </xf>
    <xf numFmtId="9" fontId="10" fillId="5" borderId="11" xfId="0" applyNumberFormat="1" applyFont="1" applyFill="1" applyBorder="1" applyAlignment="1" applyProtection="1">
      <alignment vertical="center"/>
    </xf>
    <xf numFmtId="3" fontId="10" fillId="5" borderId="12" xfId="3" applyNumberFormat="1" applyFont="1" applyFill="1" applyBorder="1" applyAlignment="1" applyProtection="1">
      <alignment horizontal="right" vertical="center"/>
    </xf>
    <xf numFmtId="3" fontId="10" fillId="5" borderId="8" xfId="3" applyNumberFormat="1" applyFont="1" applyFill="1" applyBorder="1" applyAlignment="1" applyProtection="1">
      <alignment horizontal="right" vertical="center"/>
    </xf>
    <xf numFmtId="1" fontId="10" fillId="5" borderId="10" xfId="3" applyNumberFormat="1" applyFont="1" applyFill="1" applyBorder="1" applyAlignment="1" applyProtection="1">
      <alignment horizontal="left" vertical="center"/>
    </xf>
    <xf numFmtId="0" fontId="10" fillId="5" borderId="13" xfId="3" applyFont="1" applyFill="1" applyBorder="1" applyAlignment="1" applyProtection="1">
      <alignment horizontal="left" vertical="center"/>
    </xf>
    <xf numFmtId="3" fontId="10" fillId="5" borderId="13" xfId="3" applyNumberFormat="1" applyFont="1" applyFill="1" applyBorder="1" applyAlignment="1" applyProtection="1">
      <alignment horizontal="right" vertical="center"/>
    </xf>
    <xf numFmtId="3" fontId="10" fillId="5" borderId="6" xfId="3" applyNumberFormat="1" applyFont="1" applyFill="1" applyBorder="1" applyAlignment="1" applyProtection="1">
      <alignment horizontal="right" vertical="center"/>
    </xf>
    <xf numFmtId="3" fontId="10" fillId="5" borderId="0" xfId="3" applyNumberFormat="1" applyFont="1" applyFill="1" applyBorder="1" applyAlignment="1" applyProtection="1">
      <alignment horizontal="right" vertical="center"/>
    </xf>
    <xf numFmtId="49" fontId="10" fillId="4" borderId="10" xfId="3" applyNumberFormat="1" applyFont="1" applyFill="1" applyBorder="1" applyAlignment="1" applyProtection="1">
      <alignment horizontal="left" vertical="center"/>
      <protection locked="0"/>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xf>
    <xf numFmtId="10" fontId="10" fillId="0" borderId="13" xfId="3" applyNumberFormat="1" applyFont="1" applyBorder="1" applyAlignment="1" applyProtection="1">
      <alignment vertical="center"/>
    </xf>
    <xf numFmtId="1" fontId="10" fillId="0" borderId="0" xfId="3" applyNumberFormat="1" applyFont="1" applyBorder="1" applyAlignment="1" applyProtection="1">
      <alignment vertical="center"/>
    </xf>
    <xf numFmtId="3" fontId="10" fillId="0" borderId="13" xfId="3" applyNumberFormat="1" applyFont="1" applyBorder="1" applyAlignment="1" applyProtection="1">
      <alignment vertical="center"/>
    </xf>
    <xf numFmtId="3" fontId="15" fillId="0" borderId="13" xfId="3" applyNumberFormat="1" applyFont="1" applyBorder="1" applyAlignment="1" applyProtection="1">
      <alignment vertical="center"/>
    </xf>
    <xf numFmtId="49" fontId="10" fillId="3" borderId="13" xfId="3" applyNumberFormat="1" applyFont="1" applyFill="1" applyBorder="1" applyAlignment="1" applyProtection="1">
      <alignment horizontal="left" vertical="center"/>
      <protection locked="0"/>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xf>
    <xf numFmtId="1" fontId="10" fillId="2" borderId="0" xfId="3" applyNumberFormat="1" applyFont="1" applyFill="1" applyBorder="1" applyAlignment="1" applyProtection="1">
      <alignment vertical="center"/>
    </xf>
    <xf numFmtId="49" fontId="10" fillId="4" borderId="13" xfId="3" applyNumberFormat="1" applyFont="1" applyFill="1" applyBorder="1" applyAlignment="1" applyProtection="1">
      <alignment horizontal="left" vertical="center"/>
      <protection locked="0"/>
    </xf>
    <xf numFmtId="9"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vertical="center"/>
      <protection locked="0"/>
    </xf>
    <xf numFmtId="0" fontId="10" fillId="3" borderId="13" xfId="0" applyFont="1" applyFill="1" applyBorder="1" applyAlignment="1" applyProtection="1">
      <alignment vertical="center"/>
      <protection locked="0"/>
    </xf>
    <xf numFmtId="0" fontId="16" fillId="0" borderId="0" xfId="0" applyFont="1" applyAlignment="1" applyProtection="1">
      <alignment horizontal="right" vertical="top"/>
    </xf>
    <xf numFmtId="0" fontId="0" fillId="0" borderId="0" xfId="0" applyAlignment="1" applyProtection="1">
      <alignment vertical="center"/>
    </xf>
    <xf numFmtId="0" fontId="2" fillId="0" borderId="0" xfId="0" applyFont="1" applyProtection="1"/>
    <xf numFmtId="0" fontId="10" fillId="0" borderId="0" xfId="0" applyFont="1" applyAlignment="1">
      <alignment vertical="center" wrapText="1"/>
    </xf>
    <xf numFmtId="0" fontId="0" fillId="0" borderId="0" xfId="0" applyAlignment="1"/>
    <xf numFmtId="0" fontId="10" fillId="0" borderId="0" xfId="0" applyFont="1"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0" fillId="0" borderId="0" xfId="3" applyFont="1" applyAlignment="1" applyProtection="1">
      <alignment horizontal="right"/>
    </xf>
    <xf numFmtId="0" fontId="0" fillId="0" borderId="0" xfId="0" applyFill="1" applyBorder="1" applyAlignment="1" applyProtection="1">
      <protection locked="0"/>
    </xf>
    <xf numFmtId="9" fontId="10" fillId="5" borderId="4" xfId="0" applyNumberFormat="1" applyFont="1" applyFill="1" applyBorder="1" applyAlignment="1" applyProtection="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pplyProtection="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pplyProtection="1">
      <alignment vertical="center"/>
    </xf>
    <xf numFmtId="3" fontId="15" fillId="5" borderId="4" xfId="3" applyNumberFormat="1" applyFont="1" applyFill="1" applyBorder="1" applyAlignment="1" applyProtection="1">
      <alignment horizontal="right" vertical="center"/>
    </xf>
    <xf numFmtId="3" fontId="15" fillId="5" borderId="6" xfId="3" applyNumberFormat="1" applyFont="1" applyFill="1" applyBorder="1" applyAlignment="1" applyProtection="1">
      <alignment horizontal="right" vertical="center"/>
    </xf>
    <xf numFmtId="3" fontId="15" fillId="5" borderId="13" xfId="3" applyNumberFormat="1" applyFont="1" applyFill="1" applyBorder="1" applyAlignment="1" applyProtection="1">
      <alignment horizontal="right" vertical="center"/>
    </xf>
    <xf numFmtId="3" fontId="15" fillId="5" borderId="0" xfId="3" applyNumberFormat="1" applyFont="1" applyFill="1" applyBorder="1" applyAlignment="1" applyProtection="1">
      <alignment horizontal="right" vertical="center"/>
    </xf>
    <xf numFmtId="0" fontId="10" fillId="2" borderId="13" xfId="3" applyFont="1" applyFill="1" applyBorder="1" applyAlignment="1" applyProtection="1">
      <alignment vertical="center"/>
    </xf>
    <xf numFmtId="0" fontId="10" fillId="0" borderId="13" xfId="3" applyFont="1" applyBorder="1" applyAlignment="1" applyProtection="1">
      <alignment vertical="center"/>
    </xf>
    <xf numFmtId="1" fontId="10" fillId="5" borderId="0" xfId="3" applyNumberFormat="1" applyFont="1" applyFill="1" applyBorder="1" applyAlignment="1" applyProtection="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pplyProtection="1">
      <alignment horizontal="right" vertical="center"/>
    </xf>
    <xf numFmtId="0" fontId="10" fillId="0" borderId="10" xfId="3" applyFont="1" applyBorder="1" applyAlignment="1" applyProtection="1">
      <alignment horizontal="center" vertical="center"/>
    </xf>
    <xf numFmtId="3" fontId="15" fillId="5" borderId="7" xfId="3" applyNumberFormat="1" applyFont="1" applyFill="1" applyBorder="1" applyAlignment="1" applyProtection="1">
      <alignment horizontal="right" vertical="center"/>
    </xf>
    <xf numFmtId="3" fontId="15" fillId="5" borderId="8"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vertical="center"/>
    </xf>
    <xf numFmtId="3" fontId="15" fillId="6" borderId="0" xfId="3" applyNumberFormat="1" applyFont="1" applyFill="1" applyBorder="1" applyAlignment="1" applyProtection="1">
      <alignment horizontal="right" vertical="center"/>
    </xf>
    <xf numFmtId="0" fontId="10" fillId="6" borderId="13" xfId="3" applyFont="1" applyFill="1" applyBorder="1" applyAlignment="1" applyProtection="1">
      <alignment horizontal="left" vertical="center"/>
    </xf>
    <xf numFmtId="3" fontId="15" fillId="6" borderId="6" xfId="3" applyNumberFormat="1" applyFont="1" applyFill="1" applyBorder="1" applyAlignment="1" applyProtection="1">
      <alignment horizontal="right" vertical="center"/>
    </xf>
    <xf numFmtId="3" fontId="15" fillId="2" borderId="6" xfId="3" applyNumberFormat="1" applyFont="1" applyFill="1" applyBorder="1" applyAlignment="1" applyProtection="1">
      <alignment horizontal="right" vertical="center"/>
    </xf>
    <xf numFmtId="3" fontId="15" fillId="2" borderId="4" xfId="3" applyNumberFormat="1" applyFont="1" applyFill="1" applyBorder="1" applyAlignment="1" applyProtection="1">
      <alignment horizontal="right" vertical="center"/>
    </xf>
    <xf numFmtId="3" fontId="15" fillId="2" borderId="2" xfId="3" applyNumberFormat="1" applyFont="1" applyFill="1" applyBorder="1" applyAlignment="1" applyProtection="1">
      <alignment horizontal="right" vertical="center"/>
    </xf>
    <xf numFmtId="3" fontId="15" fillId="2" borderId="11" xfId="3" applyNumberFormat="1" applyFont="1" applyFill="1" applyBorder="1" applyAlignment="1" applyProtection="1">
      <alignment horizontal="right" vertical="center"/>
    </xf>
    <xf numFmtId="3" fontId="10" fillId="0" borderId="10" xfId="3" applyNumberFormat="1" applyFont="1" applyBorder="1" applyAlignment="1" applyProtection="1">
      <alignment vertical="center"/>
    </xf>
    <xf numFmtId="3" fontId="15" fillId="0" borderId="10" xfId="3" applyNumberFormat="1" applyFont="1" applyBorder="1" applyAlignment="1" applyProtection="1">
      <alignment vertical="center"/>
    </xf>
    <xf numFmtId="3" fontId="10" fillId="2" borderId="10" xfId="3" applyNumberFormat="1" applyFont="1" applyFill="1" applyBorder="1" applyAlignment="1" applyProtection="1">
      <alignment vertical="center"/>
    </xf>
    <xf numFmtId="0" fontId="16" fillId="0" borderId="0" xfId="3" applyFont="1" applyAlignment="1" applyProtection="1">
      <alignment horizontal="right" vertical="center"/>
    </xf>
    <xf numFmtId="0" fontId="16" fillId="8" borderId="0" xfId="3" applyFont="1" applyFill="1" applyAlignment="1" applyProtection="1">
      <alignment horizontal="center" vertical="center"/>
    </xf>
    <xf numFmtId="0" fontId="16" fillId="5" borderId="0" xfId="3" applyFont="1" applyFill="1" applyAlignment="1" applyProtection="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applyAlignment="1"/>
    <xf numFmtId="0" fontId="16" fillId="0" borderId="0" xfId="3" applyFont="1" applyFill="1" applyAlignment="1" applyProtection="1">
      <alignment vertical="center"/>
    </xf>
    <xf numFmtId="169" fontId="10" fillId="0" borderId="13" xfId="3" applyNumberFormat="1" applyFont="1" applyFill="1" applyBorder="1" applyAlignment="1" applyProtection="1">
      <alignment horizontal="center"/>
    </xf>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2" borderId="10" xfId="3" applyFont="1" applyFill="1" applyBorder="1" applyProtection="1"/>
    <xf numFmtId="0" fontId="10" fillId="0" borderId="0" xfId="3" applyFont="1" applyFill="1" applyBorder="1" applyAlignment="1" applyProtection="1">
      <alignment horizontal="center" vertical="center"/>
    </xf>
    <xf numFmtId="0" fontId="10" fillId="2" borderId="9" xfId="3" applyFont="1" applyFill="1" applyBorder="1" applyAlignment="1" applyProtection="1">
      <alignment horizontal="left" vertical="center"/>
    </xf>
    <xf numFmtId="0" fontId="10" fillId="2" borderId="10" xfId="3" applyFont="1" applyFill="1" applyBorder="1" applyAlignment="1" applyProtection="1">
      <alignment horizontal="left" vertical="center"/>
    </xf>
    <xf numFmtId="0" fontId="5" fillId="0" borderId="0" xfId="3" applyFont="1" applyAlignment="1" applyProtection="1">
      <alignment horizontal="left" vertical="center"/>
    </xf>
    <xf numFmtId="0" fontId="10" fillId="0" borderId="0" xfId="0" applyNumberFormat="1" applyFont="1" applyFill="1" applyAlignment="1" applyProtection="1">
      <alignment horizontal="left" vertical="center"/>
    </xf>
    <xf numFmtId="1" fontId="16" fillId="0" borderId="7" xfId="3" applyNumberFormat="1" applyFont="1" applyFill="1" applyBorder="1" applyAlignment="1" applyProtection="1">
      <alignment horizontal="center" vertical="center"/>
    </xf>
    <xf numFmtId="0" fontId="16" fillId="0" borderId="13" xfId="3" applyFont="1" applyBorder="1" applyAlignment="1" applyProtection="1">
      <alignment horizontal="center" vertical="center"/>
    </xf>
    <xf numFmtId="0" fontId="10" fillId="2" borderId="7" xfId="3" applyFont="1" applyFill="1" applyBorder="1" applyAlignment="1" applyProtection="1">
      <alignment vertical="center"/>
    </xf>
    <xf numFmtId="3" fontId="10" fillId="2" borderId="8" xfId="3" applyNumberFormat="1" applyFont="1" applyFill="1" applyBorder="1" applyAlignment="1" applyProtection="1">
      <alignment vertical="center"/>
    </xf>
    <xf numFmtId="3" fontId="10" fillId="2" borderId="3" xfId="3" applyNumberFormat="1" applyFont="1" applyFill="1" applyBorder="1" applyAlignment="1" applyProtection="1">
      <alignment vertical="center"/>
    </xf>
    <xf numFmtId="3" fontId="10" fillId="2" borderId="12" xfId="3" applyNumberFormat="1" applyFont="1" applyFill="1" applyBorder="1" applyAlignment="1" applyProtection="1">
      <alignment vertical="center"/>
    </xf>
    <xf numFmtId="3" fontId="16" fillId="2" borderId="12" xfId="3" applyNumberFormat="1" applyFont="1" applyFill="1" applyBorder="1" applyAlignment="1" applyProtection="1">
      <alignment vertical="center"/>
    </xf>
    <xf numFmtId="0" fontId="10" fillId="0" borderId="1" xfId="3" applyFont="1" applyFill="1" applyBorder="1" applyAlignment="1" applyProtection="1">
      <alignment vertical="center"/>
    </xf>
    <xf numFmtId="3" fontId="10" fillId="0" borderId="9" xfId="3" applyNumberFormat="1" applyFont="1" applyFill="1" applyBorder="1" applyAlignment="1" applyProtection="1">
      <alignment vertical="center"/>
    </xf>
    <xf numFmtId="3" fontId="10" fillId="0" borderId="0" xfId="3" applyNumberFormat="1" applyFont="1" applyFill="1" applyBorder="1" applyAlignment="1" applyProtection="1">
      <alignment vertical="center"/>
    </xf>
    <xf numFmtId="3" fontId="10" fillId="0" borderId="5" xfId="3" applyNumberFormat="1" applyFont="1" applyFill="1" applyBorder="1" applyAlignment="1" applyProtection="1">
      <alignment vertical="center"/>
    </xf>
    <xf numFmtId="3" fontId="16" fillId="0" borderId="5" xfId="3" applyNumberFormat="1" applyFont="1" applyFill="1" applyBorder="1" applyAlignment="1" applyProtection="1">
      <alignment vertical="center"/>
    </xf>
    <xf numFmtId="0" fontId="10" fillId="2" borderId="1" xfId="3" applyFont="1" applyFill="1" applyBorder="1" applyAlignment="1" applyProtection="1">
      <alignment vertical="center"/>
    </xf>
    <xf numFmtId="3" fontId="10" fillId="2" borderId="9" xfId="3" applyNumberFormat="1" applyFont="1" applyFill="1" applyBorder="1" applyAlignment="1" applyProtection="1">
      <alignment vertical="center"/>
    </xf>
    <xf numFmtId="3" fontId="10" fillId="2" borderId="0" xfId="3" applyNumberFormat="1" applyFont="1" applyFill="1" applyBorder="1" applyAlignment="1" applyProtection="1">
      <alignment vertical="center"/>
    </xf>
    <xf numFmtId="3" fontId="10" fillId="2" borderId="5" xfId="3" applyNumberFormat="1" applyFont="1" applyFill="1" applyBorder="1" applyAlignment="1" applyProtection="1">
      <alignment vertical="center"/>
    </xf>
    <xf numFmtId="3" fontId="16" fillId="2" borderId="5" xfId="3" applyNumberFormat="1" applyFont="1" applyFill="1" applyBorder="1" applyAlignment="1" applyProtection="1">
      <alignment vertical="center"/>
    </xf>
    <xf numFmtId="0" fontId="10" fillId="2" borderId="14" xfId="3" applyFont="1" applyFill="1" applyBorder="1" applyAlignment="1" applyProtection="1">
      <alignment vertical="center"/>
    </xf>
    <xf numFmtId="3" fontId="10" fillId="2" borderId="2" xfId="3" applyNumberFormat="1" applyFont="1" applyFill="1" applyBorder="1" applyAlignment="1" applyProtection="1">
      <alignment vertical="center"/>
    </xf>
    <xf numFmtId="3" fontId="10" fillId="2" borderId="15" xfId="3" applyNumberFormat="1" applyFont="1" applyFill="1" applyBorder="1" applyAlignment="1" applyProtection="1">
      <alignment vertical="center"/>
    </xf>
    <xf numFmtId="3" fontId="16" fillId="2" borderId="15" xfId="3" applyNumberFormat="1" applyFont="1" applyFill="1" applyBorder="1" applyAlignment="1" applyProtection="1">
      <alignment vertical="center"/>
    </xf>
    <xf numFmtId="0" fontId="15" fillId="0" borderId="0" xfId="3" applyFont="1" applyFill="1" applyBorder="1" applyAlignment="1" applyProtection="1">
      <alignment horizontal="right" vertical="center"/>
    </xf>
    <xf numFmtId="3" fontId="15" fillId="0" borderId="10" xfId="3" applyNumberFormat="1" applyFont="1" applyFill="1" applyBorder="1" applyAlignment="1" applyProtection="1">
      <alignment vertical="center"/>
    </xf>
    <xf numFmtId="3" fontId="16" fillId="0" borderId="13" xfId="3" applyNumberFormat="1" applyFont="1" applyFill="1" applyBorder="1" applyAlignment="1" applyProtection="1">
      <alignment vertical="center"/>
    </xf>
    <xf numFmtId="0" fontId="15" fillId="0" borderId="0" xfId="3" applyFont="1" applyAlignment="1" applyProtection="1">
      <alignment horizontal="right" vertical="center"/>
    </xf>
    <xf numFmtId="3" fontId="15" fillId="0" borderId="0" xfId="3" applyNumberFormat="1" applyFont="1" applyFill="1" applyBorder="1" applyAlignment="1" applyProtection="1">
      <alignment vertical="center"/>
    </xf>
    <xf numFmtId="3" fontId="16" fillId="0" borderId="0" xfId="3" applyNumberFormat="1" applyFont="1" applyFill="1" applyBorder="1" applyAlignment="1" applyProtection="1">
      <alignment vertical="center"/>
    </xf>
    <xf numFmtId="1" fontId="15" fillId="0" borderId="0" xfId="3" applyNumberFormat="1" applyFont="1" applyFill="1" applyBorder="1" applyAlignment="1" applyProtection="1">
      <alignment horizontal="center" vertical="center"/>
    </xf>
    <xf numFmtId="3" fontId="15" fillId="0" borderId="0" xfId="3" applyNumberFormat="1" applyFont="1" applyBorder="1" applyAlignment="1" applyProtection="1">
      <alignment vertical="center"/>
    </xf>
    <xf numFmtId="3" fontId="16" fillId="0" borderId="0" xfId="3" applyNumberFormat="1" applyFont="1" applyBorder="1" applyAlignment="1" applyProtection="1">
      <alignment vertical="center"/>
    </xf>
    <xf numFmtId="3" fontId="16" fillId="0" borderId="11" xfId="3" applyNumberFormat="1" applyFont="1" applyFill="1" applyBorder="1" applyAlignment="1" applyProtection="1">
      <alignment vertical="center"/>
    </xf>
    <xf numFmtId="0" fontId="10" fillId="0" borderId="0" xfId="3" applyNumberFormat="1" applyFont="1" applyAlignment="1" applyProtection="1">
      <alignment horizontal="right" vertical="center"/>
    </xf>
    <xf numFmtId="2" fontId="10" fillId="0" borderId="0" xfId="3" applyNumberFormat="1" applyFont="1" applyAlignment="1" applyProtection="1">
      <alignment vertical="center"/>
    </xf>
    <xf numFmtId="9" fontId="16" fillId="0" borderId="13" xfId="3" applyNumberFormat="1" applyFont="1" applyBorder="1" applyAlignment="1" applyProtection="1">
      <alignment vertical="center"/>
    </xf>
    <xf numFmtId="0" fontId="16" fillId="0" borderId="0" xfId="3" applyFont="1" applyAlignment="1" applyProtection="1">
      <alignment horizontal="center"/>
    </xf>
    <xf numFmtId="167" fontId="10" fillId="0" borderId="13" xfId="3" applyNumberFormat="1" applyFont="1" applyFill="1" applyBorder="1" applyAlignment="1" applyProtection="1">
      <alignment horizontal="center" vertical="center"/>
    </xf>
    <xf numFmtId="0" fontId="10" fillId="4" borderId="13" xfId="3" applyFont="1" applyFill="1" applyBorder="1" applyProtection="1"/>
    <xf numFmtId="0" fontId="26" fillId="0" borderId="0" xfId="0" applyFont="1" applyBorder="1"/>
    <xf numFmtId="14" fontId="0" fillId="0" borderId="0" xfId="0" applyNumberFormat="1" applyAlignment="1">
      <alignment vertical="center"/>
    </xf>
    <xf numFmtId="0" fontId="10" fillId="0" borderId="0" xfId="0" applyFont="1" applyAlignment="1">
      <alignment horizontal="left" vertical="center"/>
    </xf>
    <xf numFmtId="0" fontId="10" fillId="0" borderId="0" xfId="0" applyFont="1" applyFill="1" applyAlignment="1">
      <alignment horizontal="lef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0" fillId="0" borderId="0" xfId="0" applyAlignment="1"/>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pplyProtection="1">
      <alignment horizontal="left" vertical="center"/>
    </xf>
    <xf numFmtId="0" fontId="5" fillId="0" borderId="0" xfId="3" applyFont="1" applyAlignment="1" applyProtection="1">
      <alignment vertical="center"/>
    </xf>
    <xf numFmtId="0" fontId="10" fillId="0" borderId="0" xfId="0" applyFont="1" applyAlignment="1">
      <alignment vertical="center"/>
    </xf>
    <xf numFmtId="0" fontId="0" fillId="0" borderId="0" xfId="0" applyAlignment="1">
      <alignment vertical="center"/>
    </xf>
    <xf numFmtId="0" fontId="0" fillId="0" borderId="0" xfId="0" applyAlignment="1"/>
    <xf numFmtId="0" fontId="10" fillId="0" borderId="0" xfId="3" applyFont="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left" vertical="center"/>
    </xf>
    <xf numFmtId="0" fontId="10" fillId="0" borderId="0" xfId="3" applyFont="1" applyAlignment="1" applyProtection="1">
      <alignment horizontal="right" vertical="center"/>
    </xf>
    <xf numFmtId="0" fontId="16" fillId="0" borderId="0" xfId="3" applyFont="1" applyAlignment="1" applyProtection="1">
      <alignment horizontal="right" vertical="center"/>
    </xf>
    <xf numFmtId="14" fontId="10" fillId="0" borderId="0" xfId="3" applyNumberFormat="1" applyFont="1" applyAlignment="1" applyProtection="1">
      <alignment horizontal="right"/>
    </xf>
    <xf numFmtId="0" fontId="5" fillId="0" borderId="0" xfId="3" applyFont="1" applyAlignment="1" applyProtection="1">
      <alignment vertical="center"/>
    </xf>
    <xf numFmtId="0" fontId="10" fillId="0" borderId="0" xfId="3" applyFont="1" applyAlignment="1" applyProtection="1">
      <alignment horizontal="right"/>
    </xf>
    <xf numFmtId="0" fontId="22" fillId="0" borderId="0" xfId="1" applyFont="1" applyAlignment="1" applyProtection="1">
      <alignment horizontal="center" vertical="center"/>
    </xf>
    <xf numFmtId="0" fontId="0" fillId="0" borderId="0" xfId="0" applyAlignment="1">
      <alignment vertical="center"/>
    </xf>
    <xf numFmtId="0" fontId="10" fillId="9" borderId="8" xfId="3" applyFont="1" applyFill="1" applyBorder="1" applyProtection="1"/>
    <xf numFmtId="3" fontId="10" fillId="9" borderId="8" xfId="3" applyNumberFormat="1" applyFont="1" applyFill="1" applyBorder="1" applyProtection="1"/>
    <xf numFmtId="3" fontId="16" fillId="9" borderId="8" xfId="3" applyNumberFormat="1" applyFont="1" applyFill="1" applyBorder="1" applyProtection="1"/>
    <xf numFmtId="0" fontId="10" fillId="9" borderId="9" xfId="3" applyFont="1" applyFill="1" applyBorder="1" applyProtection="1"/>
    <xf numFmtId="3" fontId="10" fillId="9" borderId="9" xfId="3" applyNumberFormat="1" applyFont="1" applyFill="1" applyBorder="1" applyProtection="1"/>
    <xf numFmtId="3" fontId="16" fillId="9" borderId="9" xfId="3" applyNumberFormat="1" applyFont="1" applyFill="1" applyBorder="1" applyProtection="1"/>
    <xf numFmtId="0" fontId="10" fillId="9" borderId="10" xfId="0" applyFont="1" applyFill="1" applyBorder="1" applyAlignment="1" applyProtection="1">
      <alignment horizontal="left" vertical="center" shrinkToFit="1"/>
    </xf>
    <xf numFmtId="3" fontId="10" fillId="9" borderId="10" xfId="3" applyNumberFormat="1" applyFont="1" applyFill="1" applyBorder="1" applyProtection="1"/>
    <xf numFmtId="0" fontId="10" fillId="9" borderId="8" xfId="3" applyFont="1" applyFill="1" applyBorder="1" applyAlignment="1" applyProtection="1">
      <alignment horizontal="left" vertical="center"/>
    </xf>
    <xf numFmtId="3" fontId="10" fillId="9" borderId="12" xfId="3" applyNumberFormat="1" applyFont="1" applyFill="1" applyBorder="1" applyAlignment="1" applyProtection="1">
      <alignment horizontal="right"/>
    </xf>
    <xf numFmtId="3" fontId="10" fillId="9" borderId="5" xfId="3" applyNumberFormat="1" applyFont="1" applyFill="1" applyBorder="1" applyProtection="1"/>
    <xf numFmtId="3" fontId="16" fillId="9" borderId="10" xfId="3" applyNumberFormat="1" applyFont="1" applyFill="1" applyBorder="1" applyProtection="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applyProtection="1"/>
    <xf numFmtId="3" fontId="10" fillId="9" borderId="10" xfId="0" applyNumberFormat="1" applyFont="1" applyFill="1" applyBorder="1" applyAlignment="1">
      <alignment vertical="center"/>
    </xf>
    <xf numFmtId="3" fontId="10" fillId="9" borderId="13" xfId="3" applyNumberFormat="1" applyFont="1" applyFill="1" applyBorder="1" applyProtection="1"/>
    <xf numFmtId="3" fontId="10" fillId="9" borderId="3" xfId="3" applyNumberFormat="1" applyFont="1" applyFill="1" applyBorder="1" applyProtection="1"/>
    <xf numFmtId="3" fontId="10" fillId="9" borderId="12" xfId="3" applyNumberFormat="1" applyFont="1" applyFill="1" applyBorder="1" applyProtection="1"/>
    <xf numFmtId="3" fontId="16" fillId="9" borderId="12" xfId="3" applyNumberFormat="1" applyFont="1" applyFill="1" applyBorder="1" applyProtection="1"/>
    <xf numFmtId="3" fontId="10" fillId="9" borderId="0" xfId="3" applyNumberFormat="1" applyFont="1" applyFill="1" applyBorder="1" applyProtection="1"/>
    <xf numFmtId="3" fontId="16" fillId="9" borderId="5" xfId="3" applyNumberFormat="1" applyFont="1" applyFill="1" applyBorder="1" applyProtection="1"/>
    <xf numFmtId="3" fontId="10" fillId="9" borderId="2" xfId="3" applyNumberFormat="1" applyFont="1" applyFill="1" applyBorder="1" applyProtection="1"/>
    <xf numFmtId="3" fontId="10" fillId="9" borderId="15" xfId="3" applyNumberFormat="1" applyFont="1" applyFill="1" applyBorder="1" applyProtection="1"/>
    <xf numFmtId="3" fontId="16" fillId="9" borderId="15" xfId="3" applyNumberFormat="1" applyFont="1" applyFill="1" applyBorder="1" applyProtection="1"/>
    <xf numFmtId="3" fontId="10" fillId="9" borderId="7" xfId="3" applyNumberFormat="1" applyFont="1" applyFill="1" applyBorder="1" applyAlignment="1" applyProtection="1">
      <alignment horizontal="right"/>
    </xf>
    <xf numFmtId="3" fontId="10" fillId="9" borderId="8" xfId="3" applyNumberFormat="1" applyFont="1" applyFill="1" applyBorder="1" applyAlignment="1" applyProtection="1">
      <alignment horizontal="right"/>
    </xf>
    <xf numFmtId="3" fontId="10" fillId="9" borderId="3" xfId="3" applyNumberFormat="1" applyFont="1" applyFill="1" applyBorder="1" applyAlignment="1" applyProtection="1">
      <alignment horizontal="right"/>
    </xf>
    <xf numFmtId="3" fontId="10" fillId="9" borderId="1" xfId="3" applyNumberFormat="1" applyFont="1" applyFill="1" applyBorder="1" applyAlignment="1" applyProtection="1">
      <alignment horizontal="right"/>
    </xf>
    <xf numFmtId="3" fontId="10" fillId="9" borderId="9" xfId="3" applyNumberFormat="1" applyFont="1" applyFill="1" applyBorder="1" applyAlignment="1" applyProtection="1">
      <alignment horizontal="right"/>
    </xf>
    <xf numFmtId="3" fontId="10" fillId="9" borderId="0" xfId="3" applyNumberFormat="1" applyFont="1" applyFill="1" applyBorder="1" applyAlignment="1" applyProtection="1">
      <alignment horizontal="right"/>
    </xf>
    <xf numFmtId="3" fontId="10" fillId="9" borderId="14" xfId="3" applyNumberFormat="1" applyFont="1" applyFill="1" applyBorder="1" applyAlignment="1" applyProtection="1">
      <alignment horizontal="right"/>
    </xf>
    <xf numFmtId="3" fontId="10" fillId="9" borderId="10" xfId="3" applyNumberFormat="1" applyFont="1" applyFill="1" applyBorder="1" applyAlignment="1" applyProtection="1">
      <alignment horizontal="right"/>
    </xf>
    <xf numFmtId="3" fontId="10" fillId="9" borderId="2" xfId="3" applyNumberFormat="1" applyFont="1" applyFill="1" applyBorder="1" applyAlignment="1" applyProtection="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Border="1" applyAlignment="1">
      <alignment vertical="center"/>
    </xf>
    <xf numFmtId="3" fontId="10" fillId="9" borderId="14"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applyProtection="1"/>
    <xf numFmtId="3" fontId="10" fillId="5" borderId="8" xfId="3" applyNumberFormat="1" applyFont="1" applyFill="1" applyBorder="1" applyProtection="1"/>
    <xf numFmtId="3" fontId="16" fillId="5" borderId="8" xfId="3" applyNumberFormat="1" applyFont="1" applyFill="1" applyBorder="1" applyProtection="1"/>
    <xf numFmtId="0" fontId="10" fillId="5" borderId="9" xfId="3" applyFont="1" applyFill="1" applyBorder="1" applyProtection="1"/>
    <xf numFmtId="3" fontId="10" fillId="5" borderId="9" xfId="3" applyNumberFormat="1" applyFont="1" applyFill="1" applyBorder="1" applyProtection="1"/>
    <xf numFmtId="3" fontId="16" fillId="5" borderId="9" xfId="3" applyNumberFormat="1" applyFont="1" applyFill="1" applyBorder="1" applyProtection="1"/>
    <xf numFmtId="0" fontId="10" fillId="5" borderId="10" xfId="0" applyFont="1" applyFill="1" applyBorder="1" applyAlignment="1" applyProtection="1">
      <alignment horizontal="left" vertical="center" shrinkToFit="1"/>
    </xf>
    <xf numFmtId="3" fontId="10" fillId="5" borderId="10" xfId="3" applyNumberFormat="1" applyFont="1" applyFill="1" applyBorder="1" applyProtection="1"/>
    <xf numFmtId="0" fontId="10" fillId="5" borderId="8" xfId="3" applyFont="1" applyFill="1" applyBorder="1" applyAlignment="1" applyProtection="1">
      <alignment horizontal="left" vertical="center"/>
    </xf>
    <xf numFmtId="3" fontId="10" fillId="5" borderId="12" xfId="3" applyNumberFormat="1" applyFont="1" applyFill="1" applyBorder="1" applyAlignment="1" applyProtection="1">
      <alignment horizontal="right"/>
    </xf>
    <xf numFmtId="3" fontId="10" fillId="5" borderId="5" xfId="3" applyNumberFormat="1" applyFont="1" applyFill="1" applyBorder="1" applyProtection="1"/>
    <xf numFmtId="3" fontId="16" fillId="5" borderId="10" xfId="3" applyNumberFormat="1" applyFont="1" applyFill="1" applyBorder="1" applyProtection="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applyProtection="1"/>
    <xf numFmtId="3" fontId="10" fillId="5" borderId="10" xfId="0" applyNumberFormat="1" applyFont="1" applyFill="1" applyBorder="1" applyAlignment="1">
      <alignment vertical="center"/>
    </xf>
    <xf numFmtId="3" fontId="10" fillId="5" borderId="7" xfId="3" applyNumberFormat="1" applyFont="1" applyFill="1" applyBorder="1" applyProtection="1"/>
    <xf numFmtId="3" fontId="16" fillId="5" borderId="12" xfId="3" applyNumberFormat="1" applyFont="1" applyFill="1" applyBorder="1" applyProtection="1"/>
    <xf numFmtId="3" fontId="10" fillId="5" borderId="1" xfId="3" applyNumberFormat="1" applyFont="1" applyFill="1" applyBorder="1" applyProtection="1"/>
    <xf numFmtId="3" fontId="16" fillId="5" borderId="5" xfId="3" applyNumberFormat="1" applyFont="1" applyFill="1" applyBorder="1" applyProtection="1"/>
    <xf numFmtId="3" fontId="10" fillId="5" borderId="14" xfId="3" applyNumberFormat="1" applyFont="1" applyFill="1" applyBorder="1" applyProtection="1"/>
    <xf numFmtId="3" fontId="16" fillId="5" borderId="15" xfId="3" applyNumberFormat="1" applyFont="1" applyFill="1" applyBorder="1" applyProtection="1"/>
    <xf numFmtId="3" fontId="10" fillId="5" borderId="8" xfId="3" applyNumberFormat="1" applyFont="1" applyFill="1" applyBorder="1" applyAlignment="1" applyProtection="1">
      <alignment horizontal="right"/>
    </xf>
    <xf numFmtId="3" fontId="10" fillId="5" borderId="9" xfId="3" applyNumberFormat="1" applyFont="1" applyFill="1" applyBorder="1" applyAlignment="1" applyProtection="1">
      <alignment horizontal="right"/>
    </xf>
    <xf numFmtId="3" fontId="10" fillId="5" borderId="10" xfId="3" applyNumberFormat="1" applyFont="1" applyFill="1" applyBorder="1" applyAlignment="1" applyProtection="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4" xfId="0" applyNumberFormat="1" applyFont="1" applyFill="1" applyBorder="1" applyAlignment="1">
      <alignment vertical="center"/>
    </xf>
    <xf numFmtId="0" fontId="10" fillId="10" borderId="8" xfId="3" applyFont="1" applyFill="1" applyBorder="1" applyProtection="1"/>
    <xf numFmtId="3" fontId="10" fillId="10" borderId="8" xfId="3" applyNumberFormat="1" applyFont="1" applyFill="1" applyBorder="1" applyProtection="1"/>
    <xf numFmtId="3" fontId="16" fillId="10" borderId="8" xfId="3" applyNumberFormat="1" applyFont="1" applyFill="1" applyBorder="1" applyProtection="1"/>
    <xf numFmtId="0" fontId="10" fillId="10" borderId="9" xfId="3" applyFont="1" applyFill="1" applyBorder="1" applyProtection="1"/>
    <xf numFmtId="3" fontId="10" fillId="10" borderId="9" xfId="3" applyNumberFormat="1" applyFont="1" applyFill="1" applyBorder="1" applyProtection="1"/>
    <xf numFmtId="3" fontId="16" fillId="10" borderId="9" xfId="3" applyNumberFormat="1" applyFont="1" applyFill="1" applyBorder="1" applyProtection="1"/>
    <xf numFmtId="0" fontId="10" fillId="10" borderId="10" xfId="0" applyFont="1" applyFill="1" applyBorder="1" applyAlignment="1" applyProtection="1">
      <alignment horizontal="left" vertical="center" shrinkToFit="1"/>
    </xf>
    <xf numFmtId="3" fontId="10" fillId="10" borderId="10" xfId="3" applyNumberFormat="1" applyFont="1" applyFill="1" applyBorder="1" applyProtection="1"/>
    <xf numFmtId="0" fontId="10" fillId="10" borderId="8" xfId="3" applyFont="1" applyFill="1" applyBorder="1" applyAlignment="1" applyProtection="1">
      <alignment horizontal="left" vertical="center"/>
    </xf>
    <xf numFmtId="3" fontId="10" fillId="10" borderId="12" xfId="3" applyNumberFormat="1" applyFont="1" applyFill="1" applyBorder="1" applyAlignment="1" applyProtection="1">
      <alignment horizontal="right"/>
    </xf>
    <xf numFmtId="3" fontId="10" fillId="10" borderId="5" xfId="3" applyNumberFormat="1" applyFont="1" applyFill="1" applyBorder="1" applyProtection="1"/>
    <xf numFmtId="3" fontId="16" fillId="10" borderId="10" xfId="3" applyNumberFormat="1" applyFont="1" applyFill="1" applyBorder="1" applyProtection="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applyProtection="1"/>
    <xf numFmtId="3" fontId="10" fillId="10" borderId="10" xfId="0" applyNumberFormat="1" applyFont="1" applyFill="1" applyBorder="1" applyAlignment="1">
      <alignment vertical="center"/>
    </xf>
    <xf numFmtId="3" fontId="10" fillId="10" borderId="13" xfId="3" applyNumberFormat="1" applyFont="1" applyFill="1" applyBorder="1" applyProtection="1"/>
    <xf numFmtId="3" fontId="10" fillId="10" borderId="7" xfId="3" applyNumberFormat="1" applyFont="1" applyFill="1" applyBorder="1" applyProtection="1"/>
    <xf numFmtId="3" fontId="10" fillId="10" borderId="3" xfId="3" applyNumberFormat="1" applyFont="1" applyFill="1" applyBorder="1" applyProtection="1"/>
    <xf numFmtId="3" fontId="16" fillId="10" borderId="12" xfId="3" applyNumberFormat="1" applyFont="1" applyFill="1" applyBorder="1" applyProtection="1"/>
    <xf numFmtId="3" fontId="10" fillId="10" borderId="1" xfId="3" applyNumberFormat="1" applyFont="1" applyFill="1" applyBorder="1" applyProtection="1"/>
    <xf numFmtId="3" fontId="10" fillId="10" borderId="0" xfId="3" applyNumberFormat="1" applyFont="1" applyFill="1" applyBorder="1" applyProtection="1"/>
    <xf numFmtId="3" fontId="16" fillId="10" borderId="5" xfId="3" applyNumberFormat="1" applyFont="1" applyFill="1" applyBorder="1" applyProtection="1"/>
    <xf numFmtId="3" fontId="10" fillId="10" borderId="14" xfId="3" applyNumberFormat="1" applyFont="1" applyFill="1" applyBorder="1" applyProtection="1"/>
    <xf numFmtId="3" fontId="10" fillId="10" borderId="2" xfId="3" applyNumberFormat="1" applyFont="1" applyFill="1" applyBorder="1" applyProtection="1"/>
    <xf numFmtId="3" fontId="16" fillId="10" borderId="15" xfId="3" applyNumberFormat="1" applyFont="1" applyFill="1" applyBorder="1" applyProtection="1"/>
    <xf numFmtId="3" fontId="10" fillId="10" borderId="7" xfId="3" applyNumberFormat="1" applyFont="1" applyFill="1" applyBorder="1" applyAlignment="1" applyProtection="1">
      <alignment horizontal="right"/>
    </xf>
    <xf numFmtId="3" fontId="10" fillId="10" borderId="8" xfId="3" applyNumberFormat="1" applyFont="1" applyFill="1" applyBorder="1" applyAlignment="1" applyProtection="1">
      <alignment horizontal="right"/>
    </xf>
    <xf numFmtId="3" fontId="10" fillId="10" borderId="3" xfId="3" applyNumberFormat="1" applyFont="1" applyFill="1" applyBorder="1" applyAlignment="1" applyProtection="1">
      <alignment horizontal="right"/>
    </xf>
    <xf numFmtId="3" fontId="10" fillId="10" borderId="1" xfId="3" applyNumberFormat="1" applyFont="1" applyFill="1" applyBorder="1" applyAlignment="1" applyProtection="1">
      <alignment horizontal="right"/>
    </xf>
    <xf numFmtId="3" fontId="10" fillId="10" borderId="9" xfId="3" applyNumberFormat="1" applyFont="1" applyFill="1" applyBorder="1" applyAlignment="1" applyProtection="1">
      <alignment horizontal="right"/>
    </xf>
    <xf numFmtId="3" fontId="10" fillId="10" borderId="0" xfId="3" applyNumberFormat="1" applyFont="1" applyFill="1" applyBorder="1" applyAlignment="1" applyProtection="1">
      <alignment horizontal="right"/>
    </xf>
    <xf numFmtId="3" fontId="10" fillId="10" borderId="14" xfId="3" applyNumberFormat="1" applyFont="1" applyFill="1" applyBorder="1" applyAlignment="1" applyProtection="1">
      <alignment horizontal="right"/>
    </xf>
    <xf numFmtId="3" fontId="10" fillId="10" borderId="10" xfId="3" applyNumberFormat="1" applyFont="1" applyFill="1" applyBorder="1" applyAlignment="1" applyProtection="1">
      <alignment horizontal="right"/>
    </xf>
    <xf numFmtId="3" fontId="10" fillId="10" borderId="2" xfId="3" applyNumberFormat="1" applyFont="1" applyFill="1" applyBorder="1" applyAlignment="1" applyProtection="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Border="1" applyAlignment="1">
      <alignment vertical="center"/>
    </xf>
    <xf numFmtId="3" fontId="10" fillId="10" borderId="14"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applyProtection="1"/>
    <xf numFmtId="3" fontId="10" fillId="11" borderId="8" xfId="3" applyNumberFormat="1" applyFont="1" applyFill="1" applyBorder="1" applyProtection="1"/>
    <xf numFmtId="3" fontId="16" fillId="11" borderId="8" xfId="3" applyNumberFormat="1" applyFont="1" applyFill="1" applyBorder="1" applyProtection="1"/>
    <xf numFmtId="0" fontId="10" fillId="11" borderId="9" xfId="3" applyFont="1" applyFill="1" applyBorder="1" applyProtection="1"/>
    <xf numFmtId="3" fontId="10" fillId="11" borderId="9" xfId="3" applyNumberFormat="1" applyFont="1" applyFill="1" applyBorder="1" applyProtection="1"/>
    <xf numFmtId="3" fontId="16" fillId="11" borderId="9" xfId="3" applyNumberFormat="1" applyFont="1" applyFill="1" applyBorder="1" applyProtection="1"/>
    <xf numFmtId="0" fontId="10" fillId="11" borderId="10" xfId="0" applyFont="1" applyFill="1" applyBorder="1" applyAlignment="1" applyProtection="1">
      <alignment horizontal="left" vertical="center" shrinkToFit="1"/>
    </xf>
    <xf numFmtId="3" fontId="10" fillId="11" borderId="10" xfId="3" applyNumberFormat="1" applyFont="1" applyFill="1" applyBorder="1" applyProtection="1"/>
    <xf numFmtId="0" fontId="10" fillId="11" borderId="8" xfId="3" applyFont="1" applyFill="1" applyBorder="1" applyAlignment="1" applyProtection="1">
      <alignment horizontal="left" vertical="center"/>
    </xf>
    <xf numFmtId="3" fontId="10" fillId="11" borderId="12" xfId="3" applyNumberFormat="1" applyFont="1" applyFill="1" applyBorder="1" applyAlignment="1" applyProtection="1">
      <alignment horizontal="right"/>
    </xf>
    <xf numFmtId="3" fontId="10" fillId="11" borderId="5" xfId="3" applyNumberFormat="1" applyFont="1" applyFill="1" applyBorder="1" applyProtection="1"/>
    <xf numFmtId="3" fontId="16" fillId="11" borderId="10" xfId="3" applyNumberFormat="1" applyFont="1" applyFill="1" applyBorder="1" applyProtection="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applyProtection="1"/>
    <xf numFmtId="3" fontId="10" fillId="11" borderId="10" xfId="0" applyNumberFormat="1" applyFont="1" applyFill="1" applyBorder="1" applyAlignment="1">
      <alignment vertical="center"/>
    </xf>
    <xf numFmtId="3" fontId="10" fillId="11" borderId="13" xfId="3" applyNumberFormat="1" applyFont="1" applyFill="1" applyBorder="1" applyProtection="1"/>
    <xf numFmtId="3" fontId="10" fillId="11" borderId="7" xfId="3" applyNumberFormat="1" applyFont="1" applyFill="1" applyBorder="1" applyProtection="1"/>
    <xf numFmtId="3" fontId="10" fillId="11" borderId="1" xfId="3" applyNumberFormat="1" applyFont="1" applyFill="1" applyBorder="1" applyProtection="1"/>
    <xf numFmtId="3" fontId="10" fillId="11" borderId="14" xfId="3" applyNumberFormat="1" applyFont="1" applyFill="1" applyBorder="1" applyProtection="1"/>
    <xf numFmtId="3" fontId="10" fillId="11" borderId="8" xfId="3" applyNumberFormat="1" applyFont="1" applyFill="1" applyBorder="1" applyAlignment="1" applyProtection="1">
      <alignment horizontal="right"/>
    </xf>
    <xf numFmtId="3" fontId="16" fillId="11" borderId="12" xfId="3" applyNumberFormat="1" applyFont="1" applyFill="1" applyBorder="1" applyProtection="1"/>
    <xf numFmtId="3" fontId="10" fillId="11" borderId="9" xfId="3" applyNumberFormat="1" applyFont="1" applyFill="1" applyBorder="1" applyAlignment="1" applyProtection="1">
      <alignment horizontal="right"/>
    </xf>
    <xf numFmtId="3" fontId="16" fillId="11" borderId="5" xfId="3" applyNumberFormat="1" applyFont="1" applyFill="1" applyBorder="1" applyProtection="1"/>
    <xf numFmtId="3" fontId="10" fillId="11" borderId="10" xfId="3" applyNumberFormat="1" applyFont="1" applyFill="1" applyBorder="1" applyAlignment="1" applyProtection="1">
      <alignment horizontal="right"/>
    </xf>
    <xf numFmtId="3" fontId="16" fillId="11" borderId="15" xfId="3" applyNumberFormat="1" applyFont="1" applyFill="1" applyBorder="1" applyProtection="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4" xfId="0" applyNumberFormat="1" applyFont="1" applyFill="1" applyBorder="1" applyAlignment="1">
      <alignment vertical="center"/>
    </xf>
    <xf numFmtId="0" fontId="10" fillId="12" borderId="8" xfId="3" applyFont="1" applyFill="1" applyBorder="1" applyProtection="1"/>
    <xf numFmtId="3" fontId="10" fillId="12" borderId="8" xfId="3" applyNumberFormat="1" applyFont="1" applyFill="1" applyBorder="1" applyProtection="1"/>
    <xf numFmtId="3" fontId="16" fillId="12" borderId="8" xfId="3" applyNumberFormat="1" applyFont="1" applyFill="1" applyBorder="1" applyProtection="1"/>
    <xf numFmtId="0" fontId="10" fillId="12" borderId="9" xfId="3" applyFont="1" applyFill="1" applyBorder="1" applyProtection="1"/>
    <xf numFmtId="3" fontId="10" fillId="12" borderId="9" xfId="3" applyNumberFormat="1" applyFont="1" applyFill="1" applyBorder="1" applyProtection="1"/>
    <xf numFmtId="3" fontId="16" fillId="12" borderId="9" xfId="3" applyNumberFormat="1" applyFont="1" applyFill="1" applyBorder="1" applyProtection="1"/>
    <xf numFmtId="0" fontId="10" fillId="12" borderId="10" xfId="0" applyFont="1" applyFill="1" applyBorder="1" applyAlignment="1" applyProtection="1">
      <alignment horizontal="left" vertical="center" shrinkToFit="1"/>
    </xf>
    <xf numFmtId="3" fontId="10" fillId="12" borderId="10" xfId="3" applyNumberFormat="1" applyFont="1" applyFill="1" applyBorder="1" applyProtection="1"/>
    <xf numFmtId="0" fontId="10" fillId="12" borderId="8" xfId="3" applyFont="1" applyFill="1" applyBorder="1" applyAlignment="1" applyProtection="1">
      <alignment horizontal="left" vertical="center"/>
    </xf>
    <xf numFmtId="3" fontId="10" fillId="12" borderId="12" xfId="3" applyNumberFormat="1" applyFont="1" applyFill="1" applyBorder="1" applyAlignment="1" applyProtection="1">
      <alignment horizontal="right"/>
    </xf>
    <xf numFmtId="3" fontId="10" fillId="12" borderId="5" xfId="3" applyNumberFormat="1" applyFont="1" applyFill="1" applyBorder="1" applyProtection="1"/>
    <xf numFmtId="3" fontId="16" fillId="12" borderId="10" xfId="3" applyNumberFormat="1" applyFont="1" applyFill="1" applyBorder="1" applyProtection="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applyProtection="1"/>
    <xf numFmtId="3" fontId="10" fillId="12" borderId="10" xfId="0" applyNumberFormat="1" applyFont="1" applyFill="1" applyBorder="1" applyAlignment="1">
      <alignment vertical="center"/>
    </xf>
    <xf numFmtId="3" fontId="10" fillId="12" borderId="13" xfId="3" applyNumberFormat="1" applyFont="1" applyFill="1" applyBorder="1" applyProtection="1"/>
    <xf numFmtId="3" fontId="10" fillId="12" borderId="7" xfId="3" applyNumberFormat="1" applyFont="1" applyFill="1" applyBorder="1" applyProtection="1"/>
    <xf numFmtId="3" fontId="16" fillId="12" borderId="12" xfId="3" applyNumberFormat="1" applyFont="1" applyFill="1" applyBorder="1" applyProtection="1"/>
    <xf numFmtId="3" fontId="10" fillId="12" borderId="1" xfId="3" applyNumberFormat="1" applyFont="1" applyFill="1" applyBorder="1" applyProtection="1"/>
    <xf numFmtId="3" fontId="16" fillId="12" borderId="5" xfId="3" applyNumberFormat="1" applyFont="1" applyFill="1" applyBorder="1" applyProtection="1"/>
    <xf numFmtId="3" fontId="10" fillId="12" borderId="14" xfId="3" applyNumberFormat="1" applyFont="1" applyFill="1" applyBorder="1" applyProtection="1"/>
    <xf numFmtId="3" fontId="16" fillId="12" borderId="15" xfId="3" applyNumberFormat="1" applyFont="1" applyFill="1" applyBorder="1" applyProtection="1"/>
    <xf numFmtId="3" fontId="10" fillId="12" borderId="7" xfId="3" applyNumberFormat="1" applyFont="1" applyFill="1" applyBorder="1" applyAlignment="1" applyProtection="1">
      <alignment horizontal="right"/>
    </xf>
    <xf numFmtId="3" fontId="10" fillId="12" borderId="1" xfId="3" applyNumberFormat="1" applyFont="1" applyFill="1" applyBorder="1" applyAlignment="1" applyProtection="1">
      <alignment horizontal="right"/>
    </xf>
    <xf numFmtId="3" fontId="10" fillId="12" borderId="14" xfId="3" applyNumberFormat="1" applyFont="1" applyFill="1" applyBorder="1" applyAlignment="1" applyProtection="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4"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pplyProtection="1">
      <alignment horizontal="center" vertical="center"/>
    </xf>
    <xf numFmtId="167" fontId="10" fillId="0" borderId="9" xfId="3" applyNumberFormat="1" applyFont="1" applyFill="1" applyBorder="1" applyAlignment="1" applyProtection="1">
      <alignment horizontal="center" vertical="center"/>
    </xf>
    <xf numFmtId="167" fontId="10" fillId="9" borderId="9" xfId="3" applyNumberFormat="1" applyFont="1" applyFill="1" applyBorder="1" applyAlignment="1" applyProtection="1">
      <alignment horizontal="center" vertical="center"/>
    </xf>
    <xf numFmtId="167" fontId="10" fillId="0" borderId="10" xfId="3" applyNumberFormat="1" applyFont="1" applyFill="1" applyBorder="1" applyAlignment="1" applyProtection="1">
      <alignment horizontal="center" vertical="center"/>
    </xf>
    <xf numFmtId="167" fontId="15" fillId="9" borderId="13" xfId="3" applyNumberFormat="1" applyFont="1" applyFill="1" applyBorder="1" applyAlignment="1" applyProtection="1">
      <alignment horizontal="center" vertical="center"/>
    </xf>
    <xf numFmtId="167" fontId="10" fillId="5" borderId="8" xfId="3" applyNumberFormat="1" applyFont="1" applyFill="1" applyBorder="1" applyAlignment="1" applyProtection="1">
      <alignment horizontal="center" vertical="center"/>
    </xf>
    <xf numFmtId="167" fontId="10" fillId="5" borderId="9" xfId="3" applyNumberFormat="1" applyFont="1" applyFill="1" applyBorder="1" applyAlignment="1" applyProtection="1">
      <alignment horizontal="center" vertical="center"/>
    </xf>
    <xf numFmtId="167" fontId="15" fillId="5" borderId="13" xfId="3" applyNumberFormat="1" applyFont="1" applyFill="1" applyBorder="1" applyAlignment="1" applyProtection="1">
      <alignment horizontal="center" vertical="center"/>
    </xf>
    <xf numFmtId="167" fontId="10" fillId="10" borderId="8" xfId="3" applyNumberFormat="1" applyFont="1" applyFill="1" applyBorder="1" applyAlignment="1" applyProtection="1">
      <alignment horizontal="center" vertical="center"/>
    </xf>
    <xf numFmtId="167" fontId="10" fillId="10" borderId="9" xfId="3" applyNumberFormat="1" applyFont="1" applyFill="1" applyBorder="1" applyAlignment="1" applyProtection="1">
      <alignment horizontal="center" vertical="center"/>
    </xf>
    <xf numFmtId="167" fontId="15" fillId="10" borderId="13" xfId="3" applyNumberFormat="1" applyFont="1" applyFill="1" applyBorder="1" applyAlignment="1" applyProtection="1">
      <alignment horizontal="center" vertical="center"/>
    </xf>
    <xf numFmtId="167" fontId="10" fillId="11" borderId="8" xfId="3" applyNumberFormat="1" applyFont="1" applyFill="1" applyBorder="1" applyAlignment="1" applyProtection="1">
      <alignment horizontal="center" vertical="center"/>
    </xf>
    <xf numFmtId="167" fontId="10" fillId="11" borderId="9" xfId="3" applyNumberFormat="1" applyFont="1" applyFill="1" applyBorder="1" applyAlignment="1" applyProtection="1">
      <alignment horizontal="center" vertical="center"/>
    </xf>
    <xf numFmtId="167" fontId="15" fillId="11" borderId="13" xfId="3" applyNumberFormat="1" applyFont="1" applyFill="1" applyBorder="1" applyAlignment="1" applyProtection="1">
      <alignment horizontal="center" vertical="center"/>
    </xf>
    <xf numFmtId="167" fontId="10" fillId="12" borderId="8" xfId="3" applyNumberFormat="1" applyFont="1" applyFill="1" applyBorder="1" applyAlignment="1" applyProtection="1">
      <alignment horizontal="center" vertical="center"/>
    </xf>
    <xf numFmtId="167" fontId="15" fillId="12" borderId="13" xfId="3" applyNumberFormat="1" applyFont="1" applyFill="1" applyBorder="1" applyAlignment="1" applyProtection="1">
      <alignment horizontal="center" vertical="center"/>
    </xf>
    <xf numFmtId="167" fontId="16" fillId="0" borderId="13" xfId="3" applyNumberFormat="1" applyFont="1" applyFill="1" applyBorder="1" applyAlignment="1" applyProtection="1">
      <alignment horizontal="center" vertical="center"/>
    </xf>
    <xf numFmtId="167" fontId="10" fillId="2" borderId="12" xfId="3" applyNumberFormat="1" applyFont="1" applyFill="1" applyBorder="1" applyAlignment="1" applyProtection="1">
      <alignment horizontal="center" vertical="center"/>
    </xf>
    <xf numFmtId="167" fontId="10" fillId="0" borderId="5" xfId="3" applyNumberFormat="1" applyFont="1" applyFill="1" applyBorder="1" applyAlignment="1" applyProtection="1">
      <alignment horizontal="center" vertical="center"/>
    </xf>
    <xf numFmtId="167" fontId="10" fillId="2" borderId="5" xfId="3" applyNumberFormat="1" applyFont="1" applyFill="1" applyBorder="1" applyAlignment="1" applyProtection="1">
      <alignment horizontal="center" vertical="center"/>
    </xf>
    <xf numFmtId="167" fontId="10" fillId="0" borderId="15" xfId="3" applyNumberFormat="1" applyFont="1" applyFill="1" applyBorder="1" applyAlignment="1" applyProtection="1">
      <alignment horizontal="center" vertical="center"/>
    </xf>
    <xf numFmtId="167" fontId="15" fillId="0" borderId="13" xfId="3" applyNumberFormat="1" applyFont="1" applyFill="1" applyBorder="1" applyAlignment="1" applyProtection="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167" fontId="10" fillId="0" borderId="13" xfId="3" applyNumberFormat="1" applyFont="1" applyBorder="1" applyAlignment="1" applyProtection="1">
      <alignment horizontal="center" vertical="center"/>
    </xf>
    <xf numFmtId="167" fontId="10" fillId="0" borderId="5" xfId="3" applyNumberFormat="1" applyFont="1" applyBorder="1" applyAlignment="1" applyProtection="1">
      <alignment horizontal="center" vertical="center"/>
    </xf>
    <xf numFmtId="167" fontId="16" fillId="0" borderId="13" xfId="3" applyNumberFormat="1" applyFont="1" applyBorder="1" applyAlignment="1" applyProtection="1">
      <alignment horizontal="center" vertical="center"/>
    </xf>
    <xf numFmtId="0" fontId="10" fillId="2" borderId="8" xfId="3" applyFont="1" applyFill="1" applyBorder="1" applyAlignment="1" applyProtection="1">
      <alignment vertical="center"/>
    </xf>
    <xf numFmtId="3" fontId="16" fillId="2" borderId="8" xfId="3" applyNumberFormat="1" applyFont="1" applyFill="1" applyBorder="1" applyAlignment="1" applyProtection="1">
      <alignment vertical="center"/>
    </xf>
    <xf numFmtId="3" fontId="2" fillId="0" borderId="0" xfId="3" applyNumberFormat="1" applyAlignment="1" applyProtection="1">
      <alignment vertical="center"/>
    </xf>
    <xf numFmtId="3" fontId="16" fillId="0" borderId="9" xfId="3" applyNumberFormat="1" applyFont="1" applyFill="1" applyBorder="1" applyAlignment="1" applyProtection="1">
      <alignment vertical="center"/>
    </xf>
    <xf numFmtId="0" fontId="10" fillId="2" borderId="9" xfId="3" applyFont="1" applyFill="1" applyBorder="1" applyAlignment="1" applyProtection="1">
      <alignment vertical="center"/>
    </xf>
    <xf numFmtId="3" fontId="16" fillId="2" borderId="9" xfId="3" applyNumberFormat="1" applyFont="1" applyFill="1" applyBorder="1" applyAlignment="1" applyProtection="1">
      <alignment vertical="center"/>
    </xf>
    <xf numFmtId="3" fontId="16" fillId="2" borderId="10" xfId="3" applyNumberFormat="1" applyFont="1" applyFill="1" applyBorder="1" applyAlignment="1" applyProtection="1">
      <alignment vertical="center"/>
    </xf>
    <xf numFmtId="0" fontId="15" fillId="0" borderId="0" xfId="3" applyFont="1" applyFill="1" applyAlignment="1" applyProtection="1">
      <alignment horizontal="right" vertical="center"/>
    </xf>
    <xf numFmtId="3" fontId="10" fillId="2" borderId="12" xfId="3" applyNumberFormat="1" applyFont="1" applyFill="1" applyBorder="1" applyAlignment="1" applyProtection="1">
      <alignment horizontal="right" vertical="center"/>
    </xf>
    <xf numFmtId="3" fontId="10" fillId="0" borderId="5" xfId="3" applyNumberFormat="1" applyFont="1" applyFill="1" applyBorder="1" applyAlignment="1" applyProtection="1">
      <alignment horizontal="right" vertical="center"/>
    </xf>
    <xf numFmtId="0" fontId="2" fillId="0" borderId="0" xfId="3" applyFont="1" applyAlignment="1" applyProtection="1">
      <alignment vertical="center"/>
    </xf>
    <xf numFmtId="3" fontId="2" fillId="0" borderId="0" xfId="3" applyNumberFormat="1" applyFill="1" applyBorder="1" applyAlignment="1" applyProtection="1">
      <alignment vertical="center"/>
    </xf>
    <xf numFmtId="0" fontId="15" fillId="0" borderId="0" xfId="3" applyFont="1" applyBorder="1" applyAlignment="1" applyProtection="1">
      <alignment horizontal="right" vertical="center"/>
    </xf>
    <xf numFmtId="0" fontId="10" fillId="2" borderId="10" xfId="3" applyFont="1" applyFill="1" applyBorder="1" applyAlignment="1" applyProtection="1">
      <alignment vertical="center"/>
    </xf>
    <xf numFmtId="3" fontId="16" fillId="0" borderId="13" xfId="3" applyNumberFormat="1" applyFont="1" applyBorder="1" applyAlignment="1" applyProtection="1">
      <alignment vertical="center"/>
    </xf>
    <xf numFmtId="0" fontId="0" fillId="0" borderId="0" xfId="0" applyBorder="1" applyAlignment="1" applyProtection="1">
      <alignment vertical="center" wrapText="1"/>
      <protection locked="0"/>
    </xf>
    <xf numFmtId="3" fontId="10" fillId="2" borderId="8" xfId="3" applyNumberFormat="1" applyFont="1" applyFill="1" applyBorder="1" applyAlignment="1" applyProtection="1">
      <alignment horizontal="right" vertical="center"/>
    </xf>
    <xf numFmtId="3" fontId="10" fillId="0" borderId="9" xfId="3" applyNumberFormat="1" applyFont="1" applyFill="1" applyBorder="1" applyAlignment="1" applyProtection="1">
      <alignment horizontal="right" vertical="center"/>
    </xf>
    <xf numFmtId="3" fontId="10" fillId="2" borderId="9" xfId="3" applyNumberFormat="1" applyFont="1" applyFill="1" applyBorder="1" applyAlignment="1" applyProtection="1">
      <alignment horizontal="right" vertical="center"/>
    </xf>
    <xf numFmtId="3" fontId="10" fillId="2" borderId="10" xfId="3" applyNumberFormat="1" applyFont="1" applyFill="1" applyBorder="1" applyAlignment="1" applyProtection="1">
      <alignment horizontal="right" vertical="center"/>
    </xf>
    <xf numFmtId="1" fontId="16" fillId="0" borderId="8"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3" fontId="10" fillId="2" borderId="8" xfId="3" applyNumberFormat="1" applyFont="1" applyFill="1" applyBorder="1" applyAlignment="1">
      <alignment vertical="center"/>
    </xf>
    <xf numFmtId="3" fontId="10" fillId="2" borderId="9" xfId="3" applyNumberFormat="1" applyFont="1" applyFill="1" applyBorder="1" applyAlignment="1">
      <alignment vertical="center"/>
    </xf>
    <xf numFmtId="10" fontId="15" fillId="0" borderId="0" xfId="3" applyNumberFormat="1" applyFont="1" applyFill="1" applyBorder="1" applyAlignment="1">
      <alignment horizontal="right" vertical="center"/>
    </xf>
    <xf numFmtId="10" fontId="15" fillId="0" borderId="0" xfId="3" applyNumberFormat="1" applyFont="1" applyFill="1" applyBorder="1" applyAlignment="1">
      <alignment vertical="center"/>
    </xf>
    <xf numFmtId="0" fontId="7" fillId="7" borderId="0" xfId="3" applyFont="1" applyFill="1" applyAlignment="1" applyProtection="1">
      <alignment horizontal="center" vertical="center"/>
    </xf>
    <xf numFmtId="0" fontId="16" fillId="0" borderId="9" xfId="3" applyFont="1" applyBorder="1" applyAlignment="1" applyProtection="1">
      <alignment horizontal="center" vertical="center"/>
    </xf>
    <xf numFmtId="0" fontId="16" fillId="0" borderId="8" xfId="3" applyFont="1" applyBorder="1" applyAlignment="1" applyProtection="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164" fontId="10" fillId="0" borderId="10" xfId="3" applyNumberFormat="1" applyFont="1" applyBorder="1" applyProtection="1"/>
    <xf numFmtId="164" fontId="10" fillId="2" borderId="10" xfId="3" applyNumberFormat="1" applyFont="1" applyFill="1" applyBorder="1" applyProtection="1"/>
    <xf numFmtId="164" fontId="10" fillId="0" borderId="10" xfId="3" applyNumberFormat="1" applyFont="1" applyFill="1" applyBorder="1" applyProtection="1"/>
    <xf numFmtId="3" fontId="10" fillId="4" borderId="13" xfId="0" applyNumberFormat="1" applyFont="1" applyFill="1" applyBorder="1" applyAlignment="1" applyProtection="1">
      <alignment horizontal="right" vertical="center"/>
    </xf>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pplyProtection="1">
      <alignment vertical="center"/>
    </xf>
    <xf numFmtId="0" fontId="25" fillId="0" borderId="0" xfId="0" applyFont="1" applyBorder="1" applyAlignment="1">
      <alignment vertical="center"/>
    </xf>
    <xf numFmtId="169" fontId="10" fillId="0" borderId="13" xfId="3" applyNumberFormat="1" applyFont="1" applyFill="1" applyBorder="1" applyProtection="1"/>
    <xf numFmtId="169" fontId="10" fillId="2" borderId="13" xfId="3" applyNumberFormat="1" applyFont="1" applyFill="1" applyBorder="1" applyProtection="1"/>
    <xf numFmtId="169" fontId="10" fillId="0" borderId="13" xfId="3" applyNumberFormat="1" applyFont="1" applyBorder="1" applyProtection="1"/>
    <xf numFmtId="164" fontId="10" fillId="0" borderId="13" xfId="3" applyNumberFormat="1" applyFont="1" applyFill="1" applyBorder="1" applyProtection="1"/>
    <xf numFmtId="164" fontId="10" fillId="2" borderId="13" xfId="3" applyNumberFormat="1" applyFont="1" applyFill="1" applyBorder="1" applyProtection="1"/>
    <xf numFmtId="0" fontId="0" fillId="0" borderId="0" xfId="0" applyAlignment="1">
      <alignment vertical="center"/>
    </xf>
    <xf numFmtId="0" fontId="0" fillId="0" borderId="0" xfId="0" applyAlignment="1"/>
    <xf numFmtId="0" fontId="25" fillId="2" borderId="10" xfId="0" applyFont="1" applyFill="1" applyBorder="1"/>
    <xf numFmtId="0" fontId="0" fillId="2" borderId="8" xfId="0" applyFill="1" applyBorder="1" applyProtection="1"/>
    <xf numFmtId="0" fontId="0" fillId="0" borderId="0" xfId="0" applyAlignment="1">
      <alignment vertical="center"/>
    </xf>
    <xf numFmtId="0" fontId="0" fillId="0" borderId="0" xfId="0" applyAlignment="1"/>
    <xf numFmtId="0" fontId="10"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pplyProtection="1">
      <alignment vertical="center"/>
    </xf>
    <xf numFmtId="10" fontId="10" fillId="2" borderId="13" xfId="0" applyNumberFormat="1" applyFont="1" applyFill="1" applyBorder="1" applyProtection="1"/>
    <xf numFmtId="10" fontId="10" fillId="0" borderId="13" xfId="0" applyNumberFormat="1" applyFont="1" applyFill="1" applyBorder="1" applyProtection="1"/>
    <xf numFmtId="3" fontId="10" fillId="0" borderId="0" xfId="0" applyNumberFormat="1" applyFont="1" applyFill="1" applyBorder="1"/>
    <xf numFmtId="3" fontId="15" fillId="0" borderId="0" xfId="3" applyNumberFormat="1" applyFont="1" applyFill="1" applyBorder="1" applyAlignment="1">
      <alignment vertical="center"/>
    </xf>
    <xf numFmtId="165" fontId="10" fillId="0" borderId="0" xfId="0" applyNumberFormat="1" applyFont="1"/>
    <xf numFmtId="0" fontId="3" fillId="0" borderId="0" xfId="0" applyFont="1" applyAlignment="1" applyProtection="1">
      <alignment horizontal="left" vertical="center"/>
    </xf>
    <xf numFmtId="0" fontId="10" fillId="0" borderId="10" xfId="0" applyFont="1" applyBorder="1"/>
    <xf numFmtId="0" fontId="10" fillId="0" borderId="13" xfId="0" applyFont="1" applyBorder="1"/>
    <xf numFmtId="3" fontId="15" fillId="6" borderId="13" xfId="3" applyNumberFormat="1" applyFont="1" applyFill="1" applyBorder="1" applyAlignment="1">
      <alignment vertical="center"/>
    </xf>
    <xf numFmtId="14" fontId="10" fillId="0" borderId="0" xfId="0" applyNumberFormat="1" applyFont="1" applyAlignment="1">
      <alignment horizontal="right"/>
    </xf>
    <xf numFmtId="10" fontId="3" fillId="0" borderId="0" xfId="3" applyNumberFormat="1" applyFont="1" applyFill="1" applyBorder="1" applyAlignment="1">
      <alignment horizontal="left" vertical="center"/>
    </xf>
    <xf numFmtId="0" fontId="16" fillId="0" borderId="8" xfId="0" applyFont="1" applyBorder="1"/>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0" fontId="16" fillId="0" borderId="9" xfId="0" applyFont="1" applyBorder="1"/>
    <xf numFmtId="0" fontId="16" fillId="5" borderId="6" xfId="0" applyFont="1" applyFill="1" applyBorder="1"/>
    <xf numFmtId="0" fontId="10" fillId="5" borderId="11" xfId="0" applyFont="1" applyFill="1" applyBorder="1"/>
    <xf numFmtId="0" fontId="16" fillId="0" borderId="0" xfId="3" applyFont="1" applyAlignment="1" applyProtection="1">
      <alignment horizontal="right" vertical="top"/>
    </xf>
    <xf numFmtId="3" fontId="15" fillId="0" borderId="0" xfId="0" applyNumberFormat="1" applyFont="1"/>
    <xf numFmtId="3" fontId="15" fillId="6" borderId="10" xfId="3" applyNumberFormat="1" applyFont="1" applyFill="1" applyBorder="1" applyAlignment="1">
      <alignment vertical="center"/>
    </xf>
    <xf numFmtId="3" fontId="10" fillId="6" borderId="9" xfId="3" applyNumberFormat="1" applyFont="1" applyFill="1" applyBorder="1" applyAlignment="1">
      <alignment vertical="center"/>
    </xf>
    <xf numFmtId="3" fontId="10" fillId="6" borderId="10" xfId="3" applyNumberFormat="1" applyFont="1" applyFill="1" applyBorder="1" applyAlignment="1">
      <alignment vertical="center"/>
    </xf>
    <xf numFmtId="3" fontId="16" fillId="2" borderId="8" xfId="0" applyNumberFormat="1" applyFont="1" applyFill="1" applyBorder="1"/>
    <xf numFmtId="3" fontId="16" fillId="0" borderId="9" xfId="0" applyNumberFormat="1" applyFont="1" applyBorder="1"/>
    <xf numFmtId="3" fontId="16" fillId="2" borderId="9" xfId="0" applyNumberFormat="1" applyFont="1" applyFill="1" applyBorder="1"/>
    <xf numFmtId="3" fontId="16" fillId="0" borderId="10" xfId="0" applyNumberFormat="1" applyFont="1" applyBorder="1"/>
    <xf numFmtId="3" fontId="16" fillId="0" borderId="13" xfId="0" applyNumberFormat="1" applyFont="1" applyBorder="1"/>
    <xf numFmtId="3" fontId="15" fillId="6" borderId="0" xfId="3" applyNumberFormat="1" applyFont="1" applyFill="1" applyBorder="1" applyAlignment="1">
      <alignment vertical="center"/>
    </xf>
    <xf numFmtId="3" fontId="16" fillId="0" borderId="0" xfId="0" applyNumberFormat="1" applyFont="1" applyBorder="1"/>
    <xf numFmtId="0" fontId="10" fillId="2" borderId="13" xfId="0" applyFont="1" applyFill="1" applyBorder="1"/>
    <xf numFmtId="169" fontId="10" fillId="0" borderId="13" xfId="0" applyNumberFormat="1" applyFont="1" applyBorder="1"/>
    <xf numFmtId="169" fontId="10" fillId="2" borderId="13" xfId="0" applyNumberFormat="1" applyFont="1" applyFill="1" applyBorder="1"/>
    <xf numFmtId="2" fontId="10" fillId="5" borderId="13" xfId="0" applyNumberFormat="1" applyFont="1" applyFill="1" applyBorder="1"/>
    <xf numFmtId="2" fontId="10" fillId="0" borderId="13" xfId="0" applyNumberFormat="1" applyFont="1" applyBorder="1"/>
    <xf numFmtId="2" fontId="10" fillId="2" borderId="13" xfId="0" applyNumberFormat="1" applyFont="1" applyFill="1" applyBorder="1"/>
    <xf numFmtId="3" fontId="25" fillId="0" borderId="0" xfId="0" applyNumberFormat="1" applyFont="1"/>
    <xf numFmtId="10" fontId="25" fillId="2" borderId="10" xfId="0" applyNumberFormat="1" applyFont="1" applyFill="1" applyBorder="1"/>
    <xf numFmtId="10" fontId="25" fillId="2" borderId="13" xfId="0" applyNumberFormat="1" applyFont="1" applyFill="1" applyBorder="1"/>
    <xf numFmtId="10" fontId="25" fillId="0" borderId="13" xfId="0" applyNumberFormat="1" applyFont="1" applyBorder="1"/>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applyAlignment="1"/>
    <xf numFmtId="0" fontId="0" fillId="0" borderId="0" xfId="0" applyAlignment="1"/>
    <xf numFmtId="0" fontId="10" fillId="0" borderId="6" xfId="3" applyFont="1" applyBorder="1" applyAlignment="1" applyProtection="1">
      <alignment horizontal="left" vertical="top" wrapText="1"/>
    </xf>
    <xf numFmtId="0" fontId="2" fillId="0" borderId="11" xfId="0" applyFont="1" applyBorder="1" applyAlignment="1" applyProtection="1">
      <alignment horizontal="left" vertical="top" wrapText="1"/>
    </xf>
    <xf numFmtId="0" fontId="0" fillId="0" borderId="11" xfId="0" applyBorder="1" applyAlignment="1" applyProtection="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10" fillId="4" borderId="13" xfId="3" applyFont="1" applyFill="1" applyBorder="1" applyAlignment="1" applyProtection="1">
      <alignment horizontal="left" vertical="center"/>
      <protection locked="0"/>
    </xf>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Alignment="1" applyProtection="1">
      <protection locked="0"/>
    </xf>
    <xf numFmtId="9" fontId="10" fillId="3" borderId="13" xfId="3" applyNumberFormat="1" applyFont="1" applyFill="1" applyBorder="1" applyAlignment="1" applyProtection="1">
      <alignment horizontal="left" vertical="center"/>
      <protection locked="0"/>
    </xf>
    <xf numFmtId="14" fontId="10" fillId="4"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Alignment="1" applyProtection="1">
      <protection locked="0"/>
    </xf>
    <xf numFmtId="0" fontId="10" fillId="0" borderId="0" xfId="3" applyFont="1" applyAlignment="1" applyProtection="1">
      <alignment vertical="center" wrapText="1"/>
    </xf>
    <xf numFmtId="0" fontId="10" fillId="0" borderId="0" xfId="0" applyFont="1" applyAlignment="1" applyProtection="1">
      <alignment vertical="center" wrapText="1"/>
    </xf>
    <xf numFmtId="0" fontId="2" fillId="0" borderId="2" xfId="3" applyBorder="1" applyAlignment="1" applyProtection="1">
      <alignment vertical="center" wrapText="1"/>
    </xf>
    <xf numFmtId="0" fontId="0" fillId="0" borderId="2" xfId="0" applyBorder="1" applyAlignment="1">
      <alignment vertical="center" wrapText="1"/>
    </xf>
    <xf numFmtId="14" fontId="10" fillId="3" borderId="6" xfId="3" applyNumberFormat="1" applyFont="1" applyFill="1" applyBorder="1" applyAlignment="1" applyProtection="1">
      <alignment horizontal="left" vertical="center"/>
      <protection locked="0"/>
    </xf>
    <xf numFmtId="0" fontId="0" fillId="0" borderId="4" xfId="0" applyBorder="1" applyAlignment="1"/>
    <xf numFmtId="0" fontId="0" fillId="0" borderId="11" xfId="0" applyBorder="1" applyAlignment="1"/>
    <xf numFmtId="0" fontId="18" fillId="0" borderId="0" xfId="3" applyFont="1" applyAlignment="1" applyProtection="1">
      <alignment horizontal="left"/>
    </xf>
    <xf numFmtId="0" fontId="10" fillId="0" borderId="0" xfId="3" applyFont="1" applyAlignment="1" applyProtection="1">
      <alignment horizontal="left" vertical="center"/>
    </xf>
    <xf numFmtId="0" fontId="2" fillId="0" borderId="0" xfId="0" applyFont="1" applyAlignment="1">
      <alignment horizontal="left" vertical="center"/>
    </xf>
    <xf numFmtId="0" fontId="10" fillId="5" borderId="6" xfId="3" applyFont="1" applyFill="1" applyBorder="1" applyAlignment="1" applyProtection="1">
      <alignment horizontal="left" vertical="top" wrapText="1"/>
    </xf>
    <xf numFmtId="0" fontId="10" fillId="5" borderId="4" xfId="3"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0" fontId="0" fillId="4" borderId="13" xfId="0" applyFill="1" applyBorder="1" applyAlignment="1"/>
    <xf numFmtId="0" fontId="10" fillId="0" borderId="2" xfId="3" applyFont="1" applyBorder="1" applyAlignment="1" applyProtection="1">
      <alignment horizontal="left" vertical="center" wrapText="1"/>
    </xf>
    <xf numFmtId="0" fontId="10" fillId="0" borderId="2" xfId="0" applyFont="1"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Alignment="1" applyProtection="1">
      <protection locked="0"/>
    </xf>
    <xf numFmtId="0" fontId="10" fillId="0" borderId="0" xfId="0" applyFont="1" applyAlignment="1">
      <alignment horizontal="right" vertical="center"/>
    </xf>
    <xf numFmtId="0" fontId="10" fillId="0" borderId="0" xfId="0" applyFont="1" applyAlignment="1" applyProtection="1">
      <alignment horizontal="left" vertical="top" wrapText="1"/>
    </xf>
    <xf numFmtId="0" fontId="0" fillId="0" borderId="0" xfId="0" applyAlignment="1">
      <alignment horizontal="left" vertical="top" wrapText="1"/>
    </xf>
    <xf numFmtId="0" fontId="16" fillId="0" borderId="13" xfId="0" applyFont="1" applyBorder="1" applyAlignment="1" applyProtection="1">
      <alignment horizontal="left" vertical="top"/>
    </xf>
    <xf numFmtId="0" fontId="0" fillId="0" borderId="13" xfId="0" applyBorder="1" applyAlignment="1"/>
    <xf numFmtId="0" fontId="16" fillId="0" borderId="13" xfId="0" applyFont="1" applyBorder="1" applyAlignment="1" applyProtection="1">
      <alignment horizontal="center" vertical="top" wrapText="1"/>
    </xf>
    <xf numFmtId="0" fontId="16" fillId="0" borderId="13" xfId="0" applyFont="1" applyBorder="1" applyAlignment="1" applyProtection="1">
      <alignment horizontal="center" vertical="center"/>
    </xf>
    <xf numFmtId="0" fontId="16" fillId="0" borderId="13" xfId="0" applyFont="1" applyBorder="1" applyAlignment="1">
      <alignment horizontal="center" vertical="center"/>
    </xf>
    <xf numFmtId="0" fontId="15" fillId="0" borderId="13" xfId="0" applyFont="1" applyBorder="1" applyAlignment="1" applyProtection="1">
      <alignment horizontal="center" vertical="center"/>
    </xf>
    <xf numFmtId="0" fontId="8" fillId="0" borderId="13" xfId="0" applyFont="1" applyBorder="1" applyAlignment="1">
      <alignment horizontal="center" vertical="center"/>
    </xf>
    <xf numFmtId="0" fontId="7" fillId="4" borderId="0" xfId="3" applyFont="1" applyFill="1" applyAlignment="1" applyProtection="1">
      <alignment horizontal="center"/>
    </xf>
    <xf numFmtId="0" fontId="0" fillId="0" borderId="0" xfId="0" applyAlignment="1">
      <alignment horizontal="center"/>
    </xf>
    <xf numFmtId="0" fontId="10" fillId="0" borderId="0" xfId="0" applyFont="1" applyAlignment="1" applyProtection="1">
      <alignment horizontal="right" vertical="center"/>
    </xf>
    <xf numFmtId="0" fontId="10" fillId="4" borderId="6" xfId="0" applyFont="1" applyFill="1" applyBorder="1" applyAlignment="1" applyProtection="1">
      <alignment horizontal="left" vertical="center"/>
    </xf>
    <xf numFmtId="0" fontId="0" fillId="4" borderId="11" xfId="0" applyFill="1" applyBorder="1" applyAlignment="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vertical="center"/>
    </xf>
    <xf numFmtId="0" fontId="10" fillId="3" borderId="6" xfId="0" applyFont="1" applyFill="1" applyBorder="1" applyAlignment="1" applyProtection="1">
      <alignment horizontal="left" vertical="center"/>
    </xf>
    <xf numFmtId="0" fontId="0" fillId="3" borderId="11" xfId="0" applyFill="1" applyBorder="1" applyAlignment="1">
      <alignment horizontal="left" vertical="center"/>
    </xf>
    <xf numFmtId="0" fontId="10" fillId="0" borderId="6"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2" borderId="6" xfId="0" applyFont="1" applyFill="1" applyBorder="1" applyAlignment="1" applyProtection="1">
      <alignment horizontal="left" vertical="center"/>
    </xf>
    <xf numFmtId="0" fontId="10" fillId="2" borderId="11" xfId="0" applyFont="1" applyFill="1" applyBorder="1" applyAlignment="1" applyProtection="1">
      <alignment horizontal="left" vertical="center"/>
    </xf>
    <xf numFmtId="0" fontId="10" fillId="2" borderId="14" xfId="0" applyFont="1" applyFill="1" applyBorder="1" applyAlignment="1" applyProtection="1">
      <alignment horizontal="left" vertical="center"/>
    </xf>
    <xf numFmtId="0" fontId="10" fillId="2" borderId="15" xfId="0" applyFont="1" applyFill="1" applyBorder="1" applyAlignment="1" applyProtection="1">
      <alignment horizontal="left" vertical="center"/>
    </xf>
    <xf numFmtId="0" fontId="10" fillId="0" borderId="0" xfId="0" applyFont="1" applyAlignment="1" applyProtection="1">
      <alignment horizontal="left" vertical="center"/>
    </xf>
    <xf numFmtId="0" fontId="10" fillId="4" borderId="13" xfId="0" applyFont="1" applyFill="1" applyBorder="1" applyAlignment="1" applyProtection="1"/>
    <xf numFmtId="0" fontId="10" fillId="3" borderId="13" xfId="0" applyFont="1" applyFill="1" applyBorder="1" applyAlignment="1" applyProtection="1"/>
    <xf numFmtId="0" fontId="0" fillId="3" borderId="13" xfId="0" applyFill="1" applyBorder="1" applyAlignment="1"/>
    <xf numFmtId="0" fontId="16" fillId="0" borderId="13" xfId="0" applyFont="1" applyBorder="1" applyAlignment="1" applyProtection="1"/>
    <xf numFmtId="0" fontId="16" fillId="0" borderId="0" xfId="3" applyFont="1" applyAlignment="1" applyProtection="1">
      <alignment horizontal="right" vertical="top"/>
    </xf>
    <xf numFmtId="0" fontId="0" fillId="0" borderId="0" xfId="0" applyAlignment="1">
      <alignment vertical="top"/>
    </xf>
    <xf numFmtId="0" fontId="10" fillId="0" borderId="0" xfId="3" applyFont="1" applyAlignment="1" applyProtection="1">
      <alignment horizontal="left" vertical="top" wrapText="1"/>
    </xf>
    <xf numFmtId="0" fontId="0" fillId="0" borderId="0" xfId="0" applyAlignment="1">
      <alignment wrapText="1"/>
    </xf>
    <xf numFmtId="0" fontId="16" fillId="0" borderId="0" xfId="0" applyFont="1" applyAlignment="1" applyProtection="1"/>
    <xf numFmtId="0" fontId="16" fillId="0" borderId="8" xfId="3" applyFont="1" applyBorder="1" applyAlignment="1" applyProtection="1">
      <alignment horizontal="center" vertical="top" wrapText="1"/>
    </xf>
    <xf numFmtId="0" fontId="0" fillId="0" borderId="9" xfId="0" applyBorder="1" applyAlignment="1">
      <alignment horizontal="center" vertical="top" wrapText="1"/>
    </xf>
    <xf numFmtId="1" fontId="10" fillId="0" borderId="2" xfId="3" applyNumberFormat="1" applyFont="1" applyFill="1" applyBorder="1" applyAlignment="1" applyProtection="1">
      <alignment horizontal="right" vertical="center"/>
    </xf>
    <xf numFmtId="0" fontId="2" fillId="0" borderId="2" xfId="0" applyFont="1" applyBorder="1" applyAlignment="1">
      <alignment vertical="center"/>
    </xf>
    <xf numFmtId="0" fontId="15" fillId="0" borderId="3" xfId="0" applyFont="1" applyBorder="1" applyAlignment="1">
      <alignment vertical="center"/>
    </xf>
    <xf numFmtId="0" fontId="0" fillId="0" borderId="3" xfId="0" applyBorder="1" applyAlignment="1">
      <alignment vertical="center"/>
    </xf>
    <xf numFmtId="0" fontId="0" fillId="0" borderId="12" xfId="0" applyBorder="1" applyAlignment="1">
      <alignment vertical="center"/>
    </xf>
    <xf numFmtId="0" fontId="10" fillId="0" borderId="5" xfId="0" applyFont="1" applyBorder="1" applyAlignment="1">
      <alignment vertical="center"/>
    </xf>
    <xf numFmtId="3" fontId="10" fillId="0" borderId="0" xfId="3" applyNumberFormat="1" applyFont="1" applyFill="1" applyBorder="1" applyAlignment="1" applyProtection="1">
      <alignment horizontal="right" vertical="center"/>
    </xf>
    <xf numFmtId="0" fontId="0" fillId="0" borderId="5" xfId="0" applyBorder="1" applyAlignment="1">
      <alignment vertical="center"/>
    </xf>
    <xf numFmtId="1" fontId="15" fillId="0" borderId="0" xfId="3" applyNumberFormat="1" applyFont="1" applyFill="1" applyBorder="1" applyAlignment="1" applyProtection="1">
      <alignment horizontal="right" vertical="center"/>
    </xf>
    <xf numFmtId="0" fontId="0" fillId="0" borderId="0" xfId="0" applyBorder="1" applyAlignment="1">
      <alignment horizontal="right" vertical="center"/>
    </xf>
    <xf numFmtId="0" fontId="10" fillId="0" borderId="0" xfId="3" applyFont="1" applyAlignment="1" applyProtection="1">
      <alignment horizontal="right" vertical="center"/>
    </xf>
    <xf numFmtId="0" fontId="16" fillId="0" borderId="1"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pplyProtection="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pplyProtection="1">
      <alignment horizontal="center" vertical="center"/>
    </xf>
    <xf numFmtId="0" fontId="3" fillId="5" borderId="0" xfId="0" applyFont="1" applyFill="1" applyAlignment="1">
      <alignment horizontal="center" vertical="center"/>
    </xf>
    <xf numFmtId="0" fontId="16" fillId="0" borderId="8" xfId="3" applyFont="1" applyBorder="1" applyAlignment="1" applyProtection="1">
      <alignment vertical="top" wrapText="1"/>
    </xf>
    <xf numFmtId="0" fontId="0" fillId="0" borderId="9" xfId="0" applyBorder="1" applyAlignment="1">
      <alignment vertical="top" wrapText="1"/>
    </xf>
    <xf numFmtId="0" fontId="0" fillId="0" borderId="10" xfId="0" applyBorder="1" applyAlignment="1">
      <alignment vertical="top" wrapText="1"/>
    </xf>
    <xf numFmtId="0" fontId="16" fillId="0" borderId="8" xfId="3" applyFont="1" applyFill="1" applyBorder="1" applyAlignment="1" applyProtection="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pplyProtection="1">
      <alignment horizontal="center" vertical="top"/>
    </xf>
    <xf numFmtId="0" fontId="0" fillId="0" borderId="1" xfId="0" applyBorder="1" applyAlignment="1">
      <alignment horizontal="center" vertical="top"/>
    </xf>
    <xf numFmtId="0" fontId="0" fillId="0" borderId="14" xfId="0" applyBorder="1" applyAlignment="1">
      <alignment horizontal="center" vertical="top"/>
    </xf>
    <xf numFmtId="1" fontId="16" fillId="0" borderId="3" xfId="3" applyNumberFormat="1" applyFont="1" applyFill="1" applyBorder="1" applyAlignment="1" applyProtection="1">
      <alignment horizontal="lef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pplyProtection="1">
      <alignment horizontal="center" vertical="top" wrapText="1"/>
    </xf>
    <xf numFmtId="0" fontId="0" fillId="0" borderId="1" xfId="0" applyBorder="1" applyAlignment="1">
      <alignment horizontal="center" vertical="top" wrapText="1"/>
    </xf>
    <xf numFmtId="0" fontId="0" fillId="0" borderId="14"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7" fillId="4" borderId="0" xfId="3" applyFont="1" applyFill="1" applyAlignment="1" applyProtection="1">
      <alignment horizontal="center" vertical="center"/>
    </xf>
    <xf numFmtId="0" fontId="7" fillId="0" borderId="0" xfId="3" applyFont="1" applyAlignment="1" applyProtection="1">
      <alignment vertical="center"/>
    </xf>
    <xf numFmtId="0" fontId="10" fillId="0" borderId="9" xfId="0" applyFont="1" applyBorder="1" applyAlignment="1">
      <alignment horizontal="center" vertical="top" wrapText="1"/>
    </xf>
    <xf numFmtId="0" fontId="16" fillId="0" borderId="12" xfId="3" applyFont="1" applyBorder="1" applyAlignment="1" applyProtection="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0" fillId="0" borderId="0" xfId="0" applyAlignment="1">
      <alignment horizontal="center" vertical="center"/>
    </xf>
    <xf numFmtId="14" fontId="10" fillId="0" borderId="0" xfId="3" applyNumberFormat="1" applyFont="1" applyAlignment="1" applyProtection="1">
      <alignment horizontal="right"/>
    </xf>
    <xf numFmtId="0" fontId="0" fillId="0" borderId="0" xfId="0" applyAlignment="1">
      <alignment horizontal="right"/>
    </xf>
    <xf numFmtId="0" fontId="16" fillId="8" borderId="0" xfId="3" applyFont="1" applyFill="1" applyAlignment="1" applyProtection="1">
      <alignment horizontal="center" vertical="center"/>
    </xf>
    <xf numFmtId="0" fontId="16" fillId="5" borderId="0" xfId="0" applyFont="1" applyFill="1" applyAlignment="1">
      <alignment horizontal="center" vertical="center"/>
    </xf>
    <xf numFmtId="0" fontId="16" fillId="0" borderId="8" xfId="3" applyFont="1" applyBorder="1" applyAlignment="1" applyProtection="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pplyProtection="1">
      <alignment horizontal="center" vertical="top"/>
    </xf>
    <xf numFmtId="0" fontId="0" fillId="0" borderId="5" xfId="0" applyBorder="1" applyAlignment="1">
      <alignment horizontal="center" vertical="top"/>
    </xf>
    <xf numFmtId="0" fontId="0" fillId="0" borderId="15"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0" fillId="0" borderId="0" xfId="0" applyAlignment="1">
      <alignment horizontal="right" vertical="top"/>
    </xf>
    <xf numFmtId="0" fontId="0" fillId="0" borderId="0" xfId="0" applyAlignment="1">
      <alignment horizontal="right" vertical="center"/>
    </xf>
    <xf numFmtId="0" fontId="16" fillId="6" borderId="6" xfId="3" applyFont="1" applyFill="1" applyBorder="1" applyAlignment="1" applyProtection="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applyFill="1" applyAlignment="1" applyProtection="1"/>
    <xf numFmtId="0" fontId="10" fillId="0" borderId="0" xfId="0" applyFont="1" applyAlignment="1">
      <alignment horizontal="left" vertical="top" wrapText="1"/>
    </xf>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10" fillId="0" borderId="0" xfId="3" applyFont="1" applyFill="1" applyAlignment="1" applyProtection="1">
      <alignment vertical="center" wrapText="1"/>
    </xf>
    <xf numFmtId="0" fontId="16" fillId="0" borderId="0" xfId="3" applyFont="1" applyFill="1" applyBorder="1" applyAlignment="1" applyProtection="1">
      <alignment horizontal="left"/>
    </xf>
    <xf numFmtId="3" fontId="10" fillId="11" borderId="0" xfId="0" applyNumberFormat="1" applyFont="1" applyFill="1" applyBorder="1" applyAlignment="1">
      <alignment horizontal="center" vertical="center"/>
    </xf>
    <xf numFmtId="3" fontId="2" fillId="11"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6"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Border="1" applyAlignment="1">
      <alignment horizontal="center" vertical="center"/>
    </xf>
    <xf numFmtId="3" fontId="0" fillId="12"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0" fillId="10" borderId="0" xfId="0" applyNumberFormat="1" applyFont="1" applyFill="1" applyBorder="1" applyAlignment="1">
      <alignment horizontal="center" vertical="center"/>
    </xf>
    <xf numFmtId="3" fontId="0" fillId="10" borderId="0" xfId="0" applyNumberForma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6" xfId="0" applyNumberFormat="1" applyFont="1" applyFill="1" applyBorder="1" applyAlignment="1">
      <alignment horizontal="center" vertical="center"/>
    </xf>
    <xf numFmtId="3" fontId="10" fillId="5" borderId="0" xfId="0" applyNumberFormat="1" applyFont="1" applyFill="1" applyBorder="1" applyAlignment="1">
      <alignment horizontal="center" vertical="center"/>
    </xf>
    <xf numFmtId="3" fontId="0" fillId="5" borderId="0" xfId="0" applyNumberForma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xf>
    <xf numFmtId="3" fontId="0" fillId="0" borderId="5"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3" fontId="10" fillId="0" borderId="14" xfId="0" applyNumberFormat="1" applyFont="1" applyFill="1" applyBorder="1" applyAlignment="1">
      <alignment horizontal="center" vertical="center"/>
    </xf>
    <xf numFmtId="3" fontId="0" fillId="0" borderId="15" xfId="0" applyNumberForma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Fill="1" applyBorder="1" applyAlignment="1">
      <alignment horizontal="center" vertical="top"/>
    </xf>
    <xf numFmtId="0" fontId="10" fillId="0" borderId="12" xfId="0" applyFont="1" applyBorder="1" applyAlignment="1">
      <alignment horizontal="center" vertical="top"/>
    </xf>
    <xf numFmtId="0" fontId="10" fillId="0" borderId="14" xfId="0" applyFont="1" applyBorder="1" applyAlignment="1">
      <alignment horizontal="center" vertical="top"/>
    </xf>
    <xf numFmtId="0" fontId="10" fillId="0" borderId="15" xfId="0" applyFont="1" applyBorder="1" applyAlignment="1">
      <alignment horizontal="center" vertical="top"/>
    </xf>
    <xf numFmtId="0" fontId="16" fillId="0" borderId="0" xfId="0" applyFont="1" applyFill="1" applyBorder="1" applyAlignment="1">
      <alignment vertical="top"/>
    </xf>
    <xf numFmtId="0" fontId="0" fillId="0" borderId="0" xfId="0" applyFill="1" applyBorder="1" applyAlignment="1"/>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pplyProtection="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Fill="1" applyBorder="1" applyAlignment="1">
      <alignment horizontal="left"/>
    </xf>
    <xf numFmtId="3" fontId="10" fillId="2" borderId="1" xfId="0" applyNumberFormat="1" applyFont="1" applyFill="1" applyBorder="1" applyAlignment="1">
      <alignment horizontal="center" vertical="center"/>
    </xf>
    <xf numFmtId="3" fontId="2" fillId="2" borderId="5"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3" fillId="0" borderId="13"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2" fillId="0" borderId="15"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2" fillId="2" borderId="0" xfId="0" applyNumberFormat="1" applyFont="1" applyFill="1" applyBorder="1" applyAlignment="1">
      <alignment horizontal="center" vertical="center"/>
    </xf>
    <xf numFmtId="3" fontId="10" fillId="2" borderId="7" xfId="0" applyNumberFormat="1" applyFont="1" applyFill="1" applyBorder="1" applyAlignment="1">
      <alignment horizontal="center" vertical="center"/>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0" fillId="0" borderId="0" xfId="0" applyAlignment="1" applyProtection="1">
      <alignment horizontal="left" vertical="top" wrapText="1"/>
      <protection locked="0"/>
    </xf>
    <xf numFmtId="0" fontId="5" fillId="0" borderId="0" xfId="3" applyFont="1" applyAlignment="1" applyProtection="1">
      <alignment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3" fontId="0" fillId="9" borderId="5" xfId="0" applyNumberFormat="1" applyFill="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0" fontId="16" fillId="0" borderId="10" xfId="0" applyFont="1" applyBorder="1" applyAlignment="1">
      <alignment horizontal="center" vertical="top"/>
    </xf>
    <xf numFmtId="3" fontId="0" fillId="0" borderId="5" xfId="0" applyNumberFormat="1" applyBorder="1" applyAlignment="1">
      <alignment horizontal="center" vertical="center"/>
    </xf>
    <xf numFmtId="3" fontId="16" fillId="0" borderId="14" xfId="0" applyNumberFormat="1" applyFont="1" applyFill="1" applyBorder="1" applyAlignment="1">
      <alignment horizontal="center" vertical="center"/>
    </xf>
    <xf numFmtId="3" fontId="3" fillId="0" borderId="15"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2" fillId="0" borderId="5" xfId="0" applyNumberFormat="1" applyFont="1" applyBorder="1" applyAlignment="1">
      <alignment horizontal="center" vertical="center"/>
    </xf>
    <xf numFmtId="3" fontId="15" fillId="9" borderId="14"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 fontId="15" fillId="0" borderId="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0" fillId="0" borderId="13" xfId="0" applyNumberFormat="1" applyFill="1" applyBorder="1" applyAlignment="1">
      <alignment horizontal="center" vertical="center"/>
    </xf>
    <xf numFmtId="3" fontId="10" fillId="0" borderId="0" xfId="3" applyNumberFormat="1" applyFont="1" applyBorder="1" applyAlignment="1" applyProtection="1">
      <alignment horizontal="center" vertical="center"/>
    </xf>
    <xf numFmtId="3" fontId="0" fillId="0" borderId="0" xfId="0" applyNumberFormat="1" applyBorder="1" applyAlignment="1">
      <alignment horizontal="center" vertical="center"/>
    </xf>
    <xf numFmtId="0" fontId="5" fillId="0" borderId="0" xfId="3" applyFont="1" applyAlignment="1" applyProtection="1"/>
    <xf numFmtId="0" fontId="10" fillId="0" borderId="0" xfId="3" applyFont="1" applyFill="1" applyAlignment="1" applyProtection="1">
      <alignment wrapText="1"/>
    </xf>
    <xf numFmtId="0" fontId="16" fillId="0" borderId="13" xfId="3" applyFont="1" applyBorder="1" applyAlignment="1" applyProtection="1">
      <alignment wrapText="1"/>
    </xf>
    <xf numFmtId="0" fontId="3" fillId="0" borderId="13" xfId="0" applyFont="1" applyBorder="1" applyAlignment="1">
      <alignment wrapText="1"/>
    </xf>
    <xf numFmtId="0" fontId="0" fillId="8" borderId="0" xfId="0" applyFill="1" applyAlignment="1">
      <alignment horizont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Border="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5" xfId="0" applyBorder="1" applyAlignment="1" applyProtection="1">
      <alignment vertical="center" wrapText="1"/>
      <protection locked="0"/>
    </xf>
    <xf numFmtId="0" fontId="10" fillId="2" borderId="1" xfId="0" applyNumberFormat="1" applyFont="1" applyFill="1" applyBorder="1" applyAlignment="1"/>
    <xf numFmtId="0" fontId="0" fillId="0" borderId="0" xfId="0" applyBorder="1" applyAlignment="1"/>
    <xf numFmtId="0" fontId="0" fillId="0" borderId="5" xfId="0" applyBorder="1" applyAlignment="1"/>
    <xf numFmtId="0" fontId="10" fillId="0" borderId="1" xfId="0" applyNumberFormat="1" applyFont="1" applyFill="1" applyBorder="1" applyAlignment="1"/>
    <xf numFmtId="0" fontId="0" fillId="0" borderId="5" xfId="0" applyFill="1" applyBorder="1" applyAlignment="1"/>
    <xf numFmtId="0" fontId="10" fillId="0" borderId="14" xfId="0" applyNumberFormat="1" applyFont="1" applyFill="1" applyBorder="1" applyAlignment="1"/>
    <xf numFmtId="0" fontId="0" fillId="0" borderId="2" xfId="0" applyFill="1" applyBorder="1" applyAlignment="1"/>
    <xf numFmtId="0" fontId="0" fillId="0" borderId="15" xfId="0" applyFill="1" applyBorder="1" applyAlignment="1"/>
    <xf numFmtId="3" fontId="10" fillId="0" borderId="6" xfId="0"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0" fontId="16" fillId="0" borderId="13" xfId="0" applyFont="1" applyFill="1" applyBorder="1" applyAlignment="1">
      <alignment horizontal="right" vertical="top"/>
    </xf>
    <xf numFmtId="0" fontId="0" fillId="0" borderId="13" xfId="0" applyBorder="1" applyAlignment="1">
      <alignment vertical="top"/>
    </xf>
    <xf numFmtId="0" fontId="16" fillId="0" borderId="13" xfId="0" applyFont="1" applyFill="1" applyBorder="1" applyAlignment="1">
      <alignment horizontal="center" vertical="top"/>
    </xf>
    <xf numFmtId="0" fontId="16" fillId="0" borderId="13" xfId="0" applyFont="1" applyFill="1" applyBorder="1" applyAlignment="1">
      <alignment vertical="top"/>
    </xf>
    <xf numFmtId="0" fontId="0" fillId="0" borderId="8" xfId="0" applyBorder="1" applyAlignment="1">
      <alignment vertical="top"/>
    </xf>
    <xf numFmtId="0" fontId="10" fillId="2" borderId="7" xfId="0" applyNumberFormat="1" applyFont="1" applyFill="1" applyBorder="1" applyAlignment="1"/>
    <xf numFmtId="0" fontId="0" fillId="0" borderId="3" xfId="0" applyBorder="1" applyAlignment="1"/>
    <xf numFmtId="0" fontId="0" fillId="0" borderId="12" xfId="0" applyBorder="1" applyAlignment="1"/>
    <xf numFmtId="3" fontId="10" fillId="2" borderId="3" xfId="0" applyNumberFormat="1" applyFont="1" applyFill="1" applyBorder="1" applyAlignment="1">
      <alignment horizontal="center" vertical="center"/>
    </xf>
    <xf numFmtId="0" fontId="16" fillId="0" borderId="6" xfId="0" applyFont="1" applyBorder="1" applyAlignment="1">
      <alignment vertical="center"/>
    </xf>
    <xf numFmtId="0" fontId="3" fillId="0" borderId="4" xfId="0" applyFont="1" applyBorder="1" applyAlignment="1"/>
    <xf numFmtId="0" fontId="3" fillId="0" borderId="11" xfId="0" applyFont="1" applyBorder="1" applyAlignment="1"/>
    <xf numFmtId="10" fontId="10" fillId="2" borderId="7" xfId="3" applyNumberFormat="1" applyFont="1" applyFill="1" applyBorder="1" applyAlignment="1">
      <alignment vertical="center"/>
    </xf>
    <xf numFmtId="10" fontId="10" fillId="0" borderId="1" xfId="3" applyNumberFormat="1" applyFont="1" applyFill="1" applyBorder="1" applyAlignment="1">
      <alignment vertical="center"/>
    </xf>
    <xf numFmtId="10" fontId="10" fillId="2" borderId="1" xfId="3" applyNumberFormat="1" applyFont="1" applyFill="1" applyBorder="1" applyAlignment="1">
      <alignment vertical="center"/>
    </xf>
    <xf numFmtId="10" fontId="10" fillId="0" borderId="14" xfId="3" applyNumberFormat="1" applyFont="1" applyFill="1" applyBorder="1" applyAlignment="1">
      <alignment vertical="center"/>
    </xf>
    <xf numFmtId="0" fontId="0" fillId="0" borderId="2" xfId="0" applyBorder="1" applyAlignment="1">
      <alignment vertical="center"/>
    </xf>
    <xf numFmtId="0" fontId="7" fillId="0" borderId="0" xfId="3" applyFont="1" applyFill="1" applyAlignment="1" applyProtection="1">
      <alignment vertical="center"/>
    </xf>
    <xf numFmtId="0" fontId="10" fillId="0" borderId="1"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xf>
    <xf numFmtId="10" fontId="16" fillId="0" borderId="2" xfId="3" applyNumberFormat="1" applyFont="1" applyFill="1" applyBorder="1" applyAlignment="1">
      <alignment horizontal="center" vertical="center"/>
    </xf>
    <xf numFmtId="0" fontId="0" fillId="0" borderId="15" xfId="0" applyBorder="1" applyAlignment="1">
      <alignment horizontal="center" vertical="center"/>
    </xf>
    <xf numFmtId="0" fontId="3" fillId="8" borderId="0" xfId="0" applyFont="1" applyFill="1" applyAlignment="1">
      <alignment horizontal="center"/>
    </xf>
    <xf numFmtId="0" fontId="16" fillId="0" borderId="7" xfId="3" applyFont="1" applyBorder="1" applyAlignment="1" applyProtection="1">
      <alignment vertical="top"/>
    </xf>
    <xf numFmtId="0" fontId="0" fillId="0" borderId="3" xfId="0" applyBorder="1" applyAlignment="1">
      <alignment vertical="top"/>
    </xf>
    <xf numFmtId="0" fontId="10" fillId="0" borderId="0" xfId="3" applyFont="1" applyAlignment="1" applyProtection="1">
      <alignment vertical="top" wrapText="1"/>
    </xf>
    <xf numFmtId="0" fontId="15" fillId="0" borderId="13" xfId="3" applyFont="1" applyBorder="1" applyAlignment="1" applyProtection="1">
      <alignment horizontal="center" vertical="center"/>
    </xf>
    <xf numFmtId="0" fontId="8" fillId="0" borderId="13" xfId="0" applyFont="1" applyBorder="1" applyAlignment="1">
      <alignment vertical="center"/>
    </xf>
    <xf numFmtId="0" fontId="15" fillId="0" borderId="1" xfId="0" applyFont="1" applyBorder="1" applyAlignment="1">
      <alignment horizontal="center" vertical="center" wrapText="1"/>
    </xf>
    <xf numFmtId="0" fontId="15" fillId="0" borderId="14" xfId="0" applyFont="1" applyBorder="1" applyAlignment="1">
      <alignment horizontal="center" vertical="center" wrapText="1"/>
    </xf>
    <xf numFmtId="0" fontId="16" fillId="0" borderId="8"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5" fillId="0" borderId="7" xfId="0" applyFont="1" applyBorder="1" applyAlignment="1">
      <alignment horizontal="center" vertical="center" wrapText="1"/>
    </xf>
    <xf numFmtId="0" fontId="16" fillId="0" borderId="6" xfId="3" applyFont="1" applyBorder="1" applyAlignment="1" applyProtection="1">
      <alignment vertical="top" wrapText="1"/>
    </xf>
    <xf numFmtId="0" fontId="0" fillId="0" borderId="4" xfId="0" applyBorder="1" applyAlignment="1">
      <alignment vertical="top" wrapText="1"/>
    </xf>
    <xf numFmtId="0" fontId="15" fillId="0" borderId="5"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0" fillId="0" borderId="9" xfId="0" applyBorder="1" applyAlignment="1">
      <alignment wrapText="1"/>
    </xf>
    <xf numFmtId="0" fontId="3" fillId="0" borderId="6" xfId="0" applyFont="1" applyBorder="1" applyAlignment="1">
      <alignment vertical="top" wrapText="1"/>
    </xf>
    <xf numFmtId="0" fontId="15" fillId="0" borderId="12"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6" xfId="0" applyFont="1" applyBorder="1" applyAlignment="1">
      <alignment vertical="top" wrapText="1"/>
    </xf>
    <xf numFmtId="0" fontId="16" fillId="0" borderId="8" xfId="0" applyFont="1" applyFill="1" applyBorder="1" applyAlignment="1">
      <alignment vertical="top" wrapText="1"/>
    </xf>
    <xf numFmtId="0" fontId="10" fillId="0" borderId="0" xfId="3" applyFont="1" applyFill="1" applyAlignment="1" applyProtection="1">
      <alignment horizontal="left" vertical="top" wrapText="1"/>
    </xf>
    <xf numFmtId="0" fontId="16" fillId="0" borderId="12" xfId="0" applyFont="1" applyBorder="1" applyAlignment="1">
      <alignment vertical="top" wrapText="1"/>
    </xf>
    <xf numFmtId="0" fontId="16" fillId="0" borderId="4" xfId="0" applyFont="1" applyFill="1" applyBorder="1" applyAlignment="1">
      <alignment horizontal="left" vertical="top" wrapText="1"/>
    </xf>
    <xf numFmtId="0" fontId="0" fillId="0" borderId="4" xfId="0" applyBorder="1" applyAlignment="1">
      <alignment horizontal="left" vertical="top" wrapText="1"/>
    </xf>
    <xf numFmtId="0" fontId="16" fillId="0" borderId="6" xfId="0" applyFont="1" applyFill="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applyAlignment="1" applyProtection="1"/>
    <xf numFmtId="0" fontId="16" fillId="0" borderId="4" xfId="0" applyFont="1" applyFill="1" applyBorder="1" applyAlignment="1">
      <alignment vertical="top" wrapText="1"/>
    </xf>
    <xf numFmtId="0" fontId="16" fillId="0" borderId="8" xfId="0" applyFont="1" applyFill="1" applyBorder="1" applyAlignment="1">
      <alignment horizontal="left" vertical="top" wrapText="1"/>
    </xf>
    <xf numFmtId="0" fontId="0" fillId="0" borderId="9" xfId="0" applyBorder="1" applyAlignment="1">
      <alignment horizontal="left" wrapText="1"/>
    </xf>
    <xf numFmtId="0" fontId="16" fillId="0" borderId="4" xfId="0" applyFont="1" applyBorder="1" applyAlignment="1">
      <alignment vertical="top" wrapText="1"/>
    </xf>
    <xf numFmtId="0" fontId="10" fillId="0" borderId="0" xfId="3" applyFont="1" applyFill="1" applyAlignment="1" applyProtection="1">
      <alignment horizontal="right" vertical="center"/>
    </xf>
  </cellXfs>
  <cellStyles count="6">
    <cellStyle name="Hyperlänk" xfId="1" builtinId="8"/>
    <cellStyle name="Hyperlänk 2" xfId="5"/>
    <cellStyle name="Normal" xfId="0" builtinId="0"/>
    <cellStyle name="Normal 2" xfId="3"/>
    <cellStyle name="Normal 3" xfId="4"/>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6" tint="0.59999389629810485"/>
  </sheetPr>
  <dimension ref="B1:W33"/>
  <sheetViews>
    <sheetView showGridLines="0" tabSelected="1" zoomScaleNormal="100" workbookViewId="0">
      <selection activeCell="I2" sqref="I2"/>
    </sheetView>
  </sheetViews>
  <sheetFormatPr defaultRowHeight="13.2" x14ac:dyDescent="0.25"/>
  <cols>
    <col min="1" max="1" width="3.109375" customWidth="1"/>
    <col min="2" max="2" width="8.44140625" customWidth="1"/>
    <col min="3" max="3" width="22.88671875" customWidth="1"/>
    <col min="4" max="4" width="31" customWidth="1"/>
    <col min="5" max="5" width="6" customWidth="1"/>
    <col min="6" max="6" width="23.6640625" customWidth="1"/>
    <col min="7" max="7" width="6.88671875" customWidth="1"/>
    <col min="8" max="8" width="18.109375" customWidth="1"/>
    <col min="9" max="9" width="9.44140625" customWidth="1"/>
    <col min="10" max="10" width="22.44140625" customWidth="1"/>
    <col min="11" max="11" width="141.33203125" style="32" hidden="1" customWidth="1"/>
    <col min="12" max="12" width="149" style="32" hidden="1" customWidth="1"/>
    <col min="13" max="19" width="9.109375" customWidth="1"/>
    <col min="21" max="21" width="9.109375" customWidth="1"/>
  </cols>
  <sheetData>
    <row r="1" spans="2:23" ht="15" customHeight="1" x14ac:dyDescent="0.25">
      <c r="J1" s="293" t="str">
        <f>IF(I2="English","projectcalculator@slu.se","projektkalkyl@slu.se")</f>
        <v>projectcalculator@slu.se</v>
      </c>
    </row>
    <row r="2" spans="2:23" ht="15.6" x14ac:dyDescent="0.25">
      <c r="B2" s="993" t="str">
        <f>IF(I2="English","SLU project calculator","SLU projektkalkyl")</f>
        <v>SLU project calculator</v>
      </c>
      <c r="C2" s="994"/>
      <c r="D2" s="315" t="str">
        <f>IF(I2="English"," 1. INTRODUCTION"," 1. INTRODUKTION")</f>
        <v xml:space="preserve"> 1. INTRODUCTION</v>
      </c>
      <c r="F2" s="297"/>
      <c r="G2" s="292"/>
      <c r="H2" s="294" t="s">
        <v>149</v>
      </c>
      <c r="I2" s="548" t="s">
        <v>150</v>
      </c>
      <c r="J2" s="298">
        <v>45677</v>
      </c>
      <c r="K2" s="535" t="s">
        <v>150</v>
      </c>
    </row>
    <row r="3" spans="2:23" x14ac:dyDescent="0.25">
      <c r="K3" s="535" t="s">
        <v>151</v>
      </c>
    </row>
    <row r="4" spans="2:23" x14ac:dyDescent="0.25">
      <c r="B4" s="1000"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The project leader, WITH SUPPORT FROM A DEPARTMENT FINANCIAL ADMINISTRATOR, is to use this calculation tool at two stages of the external funding process:</v>
      </c>
      <c r="C4" s="1001"/>
      <c r="D4" s="1001"/>
      <c r="E4" s="1001"/>
      <c r="F4" s="1001"/>
      <c r="G4" s="1001"/>
      <c r="H4" s="1001"/>
      <c r="I4" s="1001"/>
      <c r="J4" s="1001"/>
    </row>
    <row r="5" spans="2:23" ht="8.1" customHeight="1" x14ac:dyDescent="0.25">
      <c r="B5" s="32"/>
      <c r="C5" s="32"/>
      <c r="D5" s="32"/>
      <c r="E5" s="32"/>
      <c r="F5" s="32"/>
      <c r="G5" s="32"/>
      <c r="H5" s="32"/>
      <c r="I5" s="32"/>
      <c r="J5" s="32"/>
    </row>
    <row r="6" spans="2:23" x14ac:dyDescent="0.25">
      <c r="B6" s="293" t="s">
        <v>5</v>
      </c>
      <c r="C6" s="999" t="str">
        <f>IF(I2="English","As soon as possible prior to the final date for external funding APPLICATION. Application includes tenders/quotations for assignments.","Så tidigt som möjligt före sista datum för ANSÖKAN om externfinansiering. Ansökan inkluderar anbud/offerter om uppdrag.")</f>
        <v>As soon as possible prior to the final date for external funding APPLICATION. Application includes tenders/quotations for assignments.</v>
      </c>
      <c r="D6" s="999"/>
      <c r="E6" s="999"/>
      <c r="F6" s="999"/>
      <c r="G6" s="999"/>
      <c r="H6" s="999"/>
      <c r="I6" s="999"/>
      <c r="J6" s="999"/>
    </row>
    <row r="7" spans="2:23" ht="6" customHeight="1" x14ac:dyDescent="0.25">
      <c r="B7" s="299"/>
      <c r="C7" s="32"/>
      <c r="D7" s="32"/>
      <c r="E7" s="32"/>
      <c r="F7" s="32"/>
      <c r="G7" s="32"/>
      <c r="H7" s="32"/>
      <c r="I7" s="32"/>
      <c r="J7" s="32"/>
    </row>
    <row r="8" spans="2:23" x14ac:dyDescent="0.25">
      <c r="B8" s="293" t="s">
        <v>6</v>
      </c>
      <c r="C8" s="999" t="str">
        <f>IF(I2="English","AND, if application/tender/quotation is accepted, as soon as possible prior to the external funding CONTRACT proposal being signed.","OCH, om ansökan/anbud/offert blir beviljad, så tidigt som möjligt innan förslag till KONTRAKT undertecknas.")</f>
        <v>AND, if application/tender/quotation is accepted, as soon as possible prior to the external funding CONTRACT proposal being signed.</v>
      </c>
      <c r="D8" s="999"/>
      <c r="E8" s="999"/>
      <c r="F8" s="999"/>
      <c r="G8" s="999"/>
      <c r="H8" s="1003"/>
      <c r="I8" s="1003"/>
      <c r="J8" s="1003"/>
    </row>
    <row r="9" spans="2:23" x14ac:dyDescent="0.25">
      <c r="B9" s="32"/>
      <c r="C9" s="32"/>
      <c r="D9" s="32"/>
      <c r="E9" s="32"/>
      <c r="F9" s="32"/>
      <c r="G9" s="32"/>
      <c r="H9" s="32"/>
      <c r="I9" s="32"/>
      <c r="J9" s="32"/>
    </row>
    <row r="10" spans="2:23" x14ac:dyDescent="0.25">
      <c r="B10" s="999" t="str">
        <f>IF(I2="English","Depending on funding body the use of the calculator has different purposes:","Beroende på finansiär har kalkylanvändningen olika syften:")</f>
        <v>Depending on funding body the use of the calculator has different purposes:</v>
      </c>
      <c r="C10" s="999"/>
      <c r="D10" s="999"/>
      <c r="E10" s="1003"/>
      <c r="F10" s="1003"/>
      <c r="G10" s="1003"/>
      <c r="H10" s="1003"/>
      <c r="I10" s="1003"/>
      <c r="J10" s="1003"/>
    </row>
    <row r="11" spans="2:23" ht="8.1" customHeight="1" x14ac:dyDescent="0.25">
      <c r="B11" s="32"/>
      <c r="C11" s="32"/>
      <c r="D11" s="32"/>
      <c r="E11" s="32"/>
      <c r="F11" s="32"/>
      <c r="G11" s="32"/>
      <c r="H11" s="32"/>
      <c r="I11" s="32"/>
      <c r="J11" s="32"/>
    </row>
    <row r="12" spans="2:23" x14ac:dyDescent="0.25">
      <c r="B12" s="198" t="s">
        <v>7</v>
      </c>
      <c r="C12" s="999" t="str">
        <f>IF(I2="English",K12,L12)</f>
        <v>To calculate full cost to be included in application/tender/quotation or contract. This is valid for all Swedish government authorities with grant research funding, and for all assignment funding.</v>
      </c>
      <c r="D12" s="1001"/>
      <c r="E12" s="1001"/>
      <c r="F12" s="1001"/>
      <c r="G12" s="1001"/>
      <c r="H12" s="1001"/>
      <c r="I12" s="1004"/>
      <c r="J12" s="1004"/>
      <c r="K12" s="32" t="s">
        <v>385</v>
      </c>
      <c r="L12" s="32" t="s">
        <v>376</v>
      </c>
    </row>
    <row r="13" spans="2:23" ht="6" customHeight="1" x14ac:dyDescent="0.25">
      <c r="B13" s="300"/>
      <c r="C13" s="236"/>
      <c r="D13" s="32"/>
      <c r="E13" s="32"/>
      <c r="F13" s="32"/>
      <c r="G13" s="32"/>
      <c r="H13" s="32"/>
      <c r="I13" s="32"/>
      <c r="J13" s="32"/>
    </row>
    <row r="14" spans="2:23" ht="26.1" customHeight="1" x14ac:dyDescent="0.25">
      <c r="B14" s="198" t="s">
        <v>8</v>
      </c>
      <c r="C14" s="995" t="str">
        <f>IF(I2="English",K14,L14)</f>
        <v>To calculate full cost AND cost to be included in application or contract, where the difference is the need for co-funding. This is valid for all other grant funding bodies who are not adapting their funding to applicant specific full cost, but have other rules for how much of the grant that is allowed to be used for OH (indirect &amp; facility charge).</v>
      </c>
      <c r="D14" s="995"/>
      <c r="E14" s="995"/>
      <c r="F14" s="995"/>
      <c r="G14" s="995"/>
      <c r="H14" s="995"/>
      <c r="I14" s="995"/>
      <c r="J14" s="995"/>
      <c r="K14" s="533" t="s">
        <v>377</v>
      </c>
      <c r="L14" s="533" t="s">
        <v>378</v>
      </c>
      <c r="M14" s="299"/>
      <c r="N14" s="299"/>
      <c r="O14" s="299"/>
      <c r="P14" s="299"/>
      <c r="Q14" s="299"/>
      <c r="R14" s="299"/>
      <c r="S14" s="299"/>
      <c r="T14" s="299"/>
      <c r="U14" s="299"/>
      <c r="V14" s="299"/>
      <c r="W14" s="299"/>
    </row>
    <row r="15" spans="2:23" x14ac:dyDescent="0.25">
      <c r="B15" s="32"/>
      <c r="C15" s="32"/>
      <c r="D15" s="32"/>
      <c r="E15" s="32"/>
      <c r="F15" s="32"/>
      <c r="G15" s="32"/>
      <c r="H15" s="32"/>
      <c r="I15" s="32"/>
      <c r="J15" s="32"/>
    </row>
    <row r="16" spans="2:23" x14ac:dyDescent="0.25">
      <c r="B16" s="301" t="str">
        <f>IF(I2="English","YELLOW","GULA")</f>
        <v>YELLOW</v>
      </c>
      <c r="C16" s="999" t="str">
        <f>IF(I2="English",K16,L16)</f>
        <v>cells are intended for registration. REGISTRATION IN OTHER CELLS AND ADDING OR REMOVAL OF CELLS, REQUIRES KNOWLEDGE OF HOW THE CALCULATOR IS BUILT</v>
      </c>
      <c r="D16" s="1001"/>
      <c r="E16" s="1001"/>
      <c r="F16" s="1001"/>
      <c r="G16" s="1001"/>
      <c r="H16" s="1001"/>
      <c r="I16" s="1001"/>
      <c r="J16" s="1001"/>
      <c r="K16" s="32" t="s">
        <v>154</v>
      </c>
      <c r="L16" s="32" t="s">
        <v>152</v>
      </c>
    </row>
    <row r="17" spans="2:12" x14ac:dyDescent="0.25">
      <c r="B17" s="302"/>
      <c r="C17" s="999" t="str">
        <f>IF(I2="English",K17,L17)</f>
        <v>Hiding sheets, rows or columns, which do not need to be visible in the current calculation, is always a safe way of editing.</v>
      </c>
      <c r="D17" s="999"/>
      <c r="E17" s="999"/>
      <c r="F17" s="999"/>
      <c r="G17" s="999"/>
      <c r="H17" s="999"/>
      <c r="I17" s="999"/>
      <c r="J17" s="999"/>
      <c r="K17" s="32" t="s">
        <v>347</v>
      </c>
      <c r="L17" s="32" t="s">
        <v>153</v>
      </c>
    </row>
    <row r="18" spans="2:12" x14ac:dyDescent="0.25">
      <c r="B18" s="32"/>
      <c r="C18" s="199"/>
      <c r="D18" s="32"/>
      <c r="E18" s="32"/>
      <c r="F18" s="32"/>
      <c r="G18" s="32"/>
      <c r="H18" s="32"/>
      <c r="I18" s="32"/>
      <c r="J18" s="32"/>
    </row>
    <row r="19" spans="2:12" ht="27" customHeight="1" x14ac:dyDescent="0.25">
      <c r="B19" s="997" t="str">
        <f>IF(I2="English",K19,L19)</f>
        <v>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v>
      </c>
      <c r="C19" s="1002"/>
      <c r="D19" s="1002"/>
      <c r="E19" s="1002"/>
      <c r="F19" s="1002"/>
      <c r="G19" s="1002"/>
      <c r="H19" s="1002"/>
      <c r="I19" s="1002"/>
      <c r="J19" s="1002"/>
      <c r="K19" s="32" t="s">
        <v>340</v>
      </c>
      <c r="L19" s="32" t="s">
        <v>341</v>
      </c>
    </row>
    <row r="20" spans="2:12" ht="8.1" customHeight="1" x14ac:dyDescent="0.25"/>
    <row r="21" spans="2:12" ht="18" customHeight="1" x14ac:dyDescent="0.25">
      <c r="B21" s="24" t="s">
        <v>9</v>
      </c>
      <c r="C21" s="303" t="str">
        <f>IF(I2="English","Registration - sheet 2-8","Registrering - blad 2-8")</f>
        <v>Registration - sheet 2-8</v>
      </c>
      <c r="D21" s="200"/>
    </row>
    <row r="22" spans="2:12" ht="3" customHeight="1" x14ac:dyDescent="0.25">
      <c r="B22" s="24"/>
      <c r="C22" s="202"/>
      <c r="D22" s="200"/>
    </row>
    <row r="23" spans="2:12" ht="12.75" customHeight="1" x14ac:dyDescent="0.25">
      <c r="C23" s="999"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In sheet 2-4 general information about the project, the funding body, partners and WP:s is registered. In sheet 5-8 project direct costs are registered, one sheet per type of cost.</v>
      </c>
      <c r="D23" s="1001"/>
      <c r="E23" s="1001"/>
      <c r="F23" s="1001"/>
      <c r="G23" s="1001"/>
      <c r="H23" s="1001"/>
      <c r="I23" s="1001"/>
      <c r="J23" s="1001"/>
    </row>
    <row r="24" spans="2:12" ht="3" customHeight="1" x14ac:dyDescent="0.25">
      <c r="C24" s="32"/>
      <c r="D24" s="32"/>
      <c r="E24" s="32"/>
      <c r="F24" s="32"/>
      <c r="G24" s="32"/>
      <c r="H24" s="32"/>
      <c r="I24" s="32"/>
      <c r="J24" s="32"/>
    </row>
    <row r="25" spans="2:12" ht="25.95" customHeight="1" x14ac:dyDescent="0.25">
      <c r="C25" s="995" t="str">
        <f>IF(I2="English",K25,L25)</f>
        <v>Sheet 5-8 have a column WP (D) where costs can be connected to different WP:s. These sheets also have the column CO-FUNDING SHARE (E) to be able to separate direct costs (except facility charge) covered by the grant from co-funded direct costs.</v>
      </c>
      <c r="D25" s="996"/>
      <c r="E25" s="996"/>
      <c r="F25" s="996"/>
      <c r="G25" s="996"/>
      <c r="H25" s="996"/>
      <c r="I25" s="996"/>
      <c r="J25" s="996"/>
      <c r="K25" s="305" t="s">
        <v>155</v>
      </c>
      <c r="L25" s="305" t="s">
        <v>156</v>
      </c>
    </row>
    <row r="26" spans="2:12" ht="3" customHeight="1" x14ac:dyDescent="0.25">
      <c r="C26" s="32"/>
      <c r="D26" s="32"/>
      <c r="E26" s="32"/>
      <c r="F26" s="32"/>
      <c r="G26" s="32"/>
      <c r="H26" s="32"/>
      <c r="I26" s="32"/>
      <c r="J26" s="32"/>
    </row>
    <row r="27" spans="2:12" ht="39.6" customHeight="1" x14ac:dyDescent="0.25">
      <c r="C27" s="995" t="str">
        <f>IF(I2="English",K27,L27)</f>
        <v>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v>
      </c>
      <c r="D27" s="996"/>
      <c r="E27" s="996"/>
      <c r="F27" s="996"/>
      <c r="G27" s="996"/>
      <c r="H27" s="996"/>
      <c r="I27" s="996"/>
      <c r="J27" s="996"/>
      <c r="K27" s="305" t="s">
        <v>190</v>
      </c>
      <c r="L27" s="305" t="s">
        <v>191</v>
      </c>
    </row>
    <row r="28" spans="2:12" ht="12.75" customHeight="1" x14ac:dyDescent="0.25">
      <c r="C28" s="197"/>
      <c r="D28" s="32"/>
      <c r="E28" s="32"/>
      <c r="F28" s="32"/>
      <c r="G28" s="32"/>
      <c r="H28" s="32"/>
      <c r="I28" s="32"/>
      <c r="J28" s="32"/>
    </row>
    <row r="29" spans="2:12" s="195" customFormat="1" ht="18" customHeight="1" x14ac:dyDescent="0.25">
      <c r="B29" s="25" t="s">
        <v>10</v>
      </c>
      <c r="C29" s="303" t="str">
        <f>IF(I2="English","Reports - sheet 9-14","Rapporter - blad 9-14")</f>
        <v>Reports - sheet 9-14</v>
      </c>
      <c r="E29" s="26"/>
      <c r="K29" s="535"/>
      <c r="L29" s="535"/>
    </row>
    <row r="30" spans="2:12" s="195" customFormat="1" ht="3" customHeight="1" x14ac:dyDescent="0.25">
      <c r="B30" s="25"/>
      <c r="C30" s="203"/>
      <c r="E30" s="26"/>
      <c r="K30" s="535"/>
      <c r="L30" s="535"/>
    </row>
    <row r="31" spans="2:12" ht="39" customHeight="1" x14ac:dyDescent="0.25">
      <c r="C31" s="995" t="str">
        <f>IF(I2="English",K31,L31)</f>
        <v>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v>
      </c>
      <c r="D31" s="996"/>
      <c r="E31" s="996"/>
      <c r="F31" s="996"/>
      <c r="G31" s="996"/>
      <c r="H31" s="996"/>
      <c r="I31" s="996"/>
      <c r="J31" s="996"/>
      <c r="K31" s="533" t="s">
        <v>357</v>
      </c>
      <c r="L31" s="533" t="s">
        <v>358</v>
      </c>
    </row>
    <row r="32" spans="2:12" ht="3" customHeight="1" x14ac:dyDescent="0.25">
      <c r="C32" s="32"/>
      <c r="D32" s="32"/>
      <c r="E32" s="32"/>
      <c r="F32" s="32"/>
      <c r="G32" s="32"/>
      <c r="H32" s="32"/>
      <c r="I32" s="32"/>
      <c r="J32" s="32"/>
    </row>
    <row r="33" spans="3:12" ht="27" customHeight="1" x14ac:dyDescent="0.25">
      <c r="C33" s="997" t="str">
        <f>IF(I2="English",K33,L33)</f>
        <v>In sheet 9-11 CALCULATION COMMENTS can be registered. In sheet 10 there is also space to state CO-FUNDING SOURCES for respective depatment/partner, and SLU-internal data on COST CENTER (KST) and PROJECT NUMBER (PNR) for respective department.</v>
      </c>
      <c r="D33" s="998"/>
      <c r="E33" s="998"/>
      <c r="F33" s="998"/>
      <c r="G33" s="998"/>
      <c r="H33" s="998"/>
      <c r="I33" s="998"/>
      <c r="J33" s="998"/>
      <c r="K33" s="32" t="s">
        <v>324</v>
      </c>
      <c r="L33" s="32" t="s">
        <v>325</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3910"/>
  <sheetViews>
    <sheetView showGridLines="0" zoomScaleNormal="100" workbookViewId="0">
      <selection activeCell="B2" sqref="B2"/>
    </sheetView>
  </sheetViews>
  <sheetFormatPr defaultColWidth="9.109375" defaultRowHeight="11.4" x14ac:dyDescent="0.2"/>
  <cols>
    <col min="1" max="1" width="10.6640625" style="37" customWidth="1"/>
    <col min="2" max="2" width="49.6640625" style="37" customWidth="1" collapsed="1"/>
    <col min="3" max="3" width="10.6640625" style="37" customWidth="1" collapsed="1"/>
    <col min="4" max="11" width="10.88671875" style="37" customWidth="1" collapsed="1"/>
    <col min="12" max="12" width="10.88671875" style="37" customWidth="1"/>
    <col min="13" max="13" width="12.88671875" style="37" customWidth="1" collapsed="1"/>
    <col min="14" max="14" width="12" style="37" hidden="1" customWidth="1" collapsed="1"/>
    <col min="15" max="15" width="10.109375" style="37" hidden="1" customWidth="1" collapsed="1"/>
    <col min="16" max="40" width="9.109375" style="37"/>
    <col min="41" max="16384" width="9.109375" style="37" collapsed="1"/>
  </cols>
  <sheetData>
    <row r="1" spans="1:15" ht="13.95" customHeight="1" x14ac:dyDescent="0.2">
      <c r="L1" s="1084" t="str">
        <f>'1. INTRO'!J1</f>
        <v>projectcalculator@slu.se</v>
      </c>
      <c r="M1" s="1135"/>
    </row>
    <row r="2" spans="1:15" s="3" customFormat="1" ht="15" customHeight="1" x14ac:dyDescent="0.3">
      <c r="B2" s="156" t="str">
        <f>'1. INTRO'!B2</f>
        <v>SLU project calculator</v>
      </c>
      <c r="C2" s="1139" t="s">
        <v>29</v>
      </c>
      <c r="D2" s="1004"/>
      <c r="E2" s="1122" t="s">
        <v>308</v>
      </c>
      <c r="F2" s="1051"/>
      <c r="G2" s="1051"/>
      <c r="H2" s="1051"/>
      <c r="I2" s="37"/>
      <c r="J2" s="37"/>
      <c r="L2" s="645"/>
      <c r="M2" s="337">
        <f>'1. INTRO'!J2</f>
        <v>45677</v>
      </c>
    </row>
    <row r="3" spans="1:15" s="3" customFormat="1" ht="12.75" customHeight="1" x14ac:dyDescent="0.3">
      <c r="B3" s="158"/>
      <c r="C3" s="108"/>
      <c r="G3" s="37"/>
      <c r="H3" s="37"/>
      <c r="I3" s="37"/>
      <c r="J3" s="37"/>
      <c r="K3" s="37"/>
      <c r="L3" s="37"/>
      <c r="M3" s="37"/>
    </row>
    <row r="4" spans="1:15" s="3" customFormat="1" ht="12.75" customHeight="1" x14ac:dyDescent="0.25">
      <c r="B4" s="70" t="s">
        <v>24</v>
      </c>
      <c r="C4" s="1151" t="str">
        <f>IF('1. INTRO'!$I$2="English",N4,O4)</f>
        <v>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v>
      </c>
      <c r="D4" s="996"/>
      <c r="E4" s="996"/>
      <c r="F4" s="996"/>
      <c r="G4" s="996"/>
      <c r="H4" s="996"/>
      <c r="I4" s="996"/>
      <c r="J4" s="996"/>
      <c r="K4" s="996"/>
      <c r="L4" s="996"/>
      <c r="M4" s="996"/>
      <c r="N4" s="37" t="s">
        <v>326</v>
      </c>
      <c r="O4" s="37" t="s">
        <v>327</v>
      </c>
    </row>
    <row r="5" spans="1:15" s="3" customFormat="1" ht="12.75" customHeight="1" x14ac:dyDescent="0.25">
      <c r="B5" s="70"/>
      <c r="C5" s="996"/>
      <c r="D5" s="996"/>
      <c r="E5" s="996"/>
      <c r="F5" s="996"/>
      <c r="G5" s="996"/>
      <c r="H5" s="996"/>
      <c r="I5" s="996"/>
      <c r="J5" s="996"/>
      <c r="K5" s="996"/>
      <c r="L5" s="996"/>
      <c r="M5" s="996"/>
    </row>
    <row r="6" spans="1:15" s="3" customFormat="1" ht="6" customHeight="1" x14ac:dyDescent="0.3">
      <c r="B6" s="42"/>
      <c r="C6" s="6"/>
      <c r="D6" s="37"/>
      <c r="E6" s="37"/>
      <c r="F6" s="71"/>
      <c r="G6" s="37"/>
      <c r="H6" s="37"/>
      <c r="I6" s="37"/>
      <c r="J6" s="37"/>
      <c r="K6" s="37"/>
      <c r="L6" s="37"/>
      <c r="M6" s="37"/>
    </row>
    <row r="7" spans="1:15" s="3" customFormat="1" ht="12" customHeight="1" x14ac:dyDescent="0.25">
      <c r="B7" s="313" t="str">
        <f>'3. PARTNER'!C$4</f>
        <v xml:space="preserve">Project: </v>
      </c>
      <c r="C7" s="1062" t="str">
        <f>'3. PARTNER'!D$4</f>
        <v/>
      </c>
      <c r="D7" s="1001"/>
      <c r="E7" s="1001"/>
      <c r="F7" s="1001"/>
      <c r="G7" s="1001"/>
      <c r="H7" s="1001"/>
      <c r="I7" s="1001"/>
      <c r="J7" s="1001"/>
      <c r="K7" s="1001"/>
      <c r="L7" s="1001"/>
      <c r="M7" s="1001"/>
    </row>
    <row r="8" spans="1:15" s="3" customFormat="1" ht="12" customHeight="1" x14ac:dyDescent="0.25">
      <c r="B8" s="313" t="str">
        <f>'3. PARTNER'!C$5</f>
        <v xml:space="preserve">Calculation for: </v>
      </c>
      <c r="C8" s="1062" t="str">
        <f>'3. PARTNER'!D$5</f>
        <v>APPLICATION</v>
      </c>
      <c r="D8" s="1001"/>
      <c r="E8" s="268"/>
      <c r="F8" s="268"/>
      <c r="G8" s="268"/>
      <c r="H8" s="268"/>
      <c r="I8" s="268"/>
      <c r="J8" s="268"/>
      <c r="K8" s="268"/>
      <c r="L8" s="268"/>
      <c r="M8" s="268"/>
    </row>
    <row r="9" spans="1:15" s="3" customFormat="1" ht="12" customHeight="1" x14ac:dyDescent="0.25">
      <c r="B9" s="35" t="str">
        <f>'3. PARTNER'!C$6</f>
        <v xml:space="preserve">Project leader: </v>
      </c>
      <c r="C9" s="1062" t="str">
        <f>'3. PARTNER'!D$6</f>
        <v/>
      </c>
      <c r="D9" s="1001"/>
      <c r="E9" s="1001"/>
      <c r="F9" s="1001"/>
      <c r="G9" s="1001"/>
      <c r="H9" s="1001"/>
      <c r="I9" s="1001"/>
      <c r="J9" s="1001"/>
      <c r="K9" s="1001"/>
      <c r="L9" s="1001"/>
      <c r="M9" s="1001"/>
    </row>
    <row r="10" spans="1:15" s="3" customFormat="1" ht="12" customHeight="1" x14ac:dyDescent="0.25">
      <c r="B10" s="313" t="str">
        <f>'5. PERSON'!B$7</f>
        <v xml:space="preserve">Amounts in: </v>
      </c>
      <c r="C10" s="599" t="str">
        <f>'5. PERSON'!C$7</f>
        <v>SEK</v>
      </c>
      <c r="D10" s="268"/>
      <c r="E10" s="268"/>
      <c r="F10" s="268"/>
      <c r="G10" s="234"/>
      <c r="H10" s="234"/>
      <c r="I10" s="270"/>
      <c r="J10" s="270"/>
      <c r="K10" s="270"/>
      <c r="L10" s="270"/>
      <c r="M10" s="270"/>
    </row>
    <row r="11" spans="1:15" s="3" customFormat="1" ht="12" customHeight="1" x14ac:dyDescent="0.25">
      <c r="B11" s="313"/>
      <c r="C11" s="1053" t="str">
        <f>'3. PARTNER'!D$7</f>
        <v>Other basic data about the project is in sheet 2.</v>
      </c>
      <c r="D11" s="1001"/>
      <c r="E11" s="1001"/>
      <c r="F11" s="1001"/>
      <c r="G11" s="234"/>
      <c r="H11" s="234"/>
      <c r="I11" s="270"/>
      <c r="J11" s="270"/>
      <c r="K11" s="270"/>
      <c r="L11" s="270"/>
      <c r="M11" s="270"/>
    </row>
    <row r="12" spans="1:15" ht="7.95" customHeight="1" x14ac:dyDescent="0.2"/>
    <row r="13" spans="1:15" ht="12" customHeight="1" x14ac:dyDescent="0.2">
      <c r="A13" s="1124" t="s">
        <v>315</v>
      </c>
      <c r="B13" s="1193" t="str">
        <f>IF('1. INTRO'!$I$2="English"," Partner name"," Partner namn")</f>
        <v xml:space="preserve"> Partner name</v>
      </c>
      <c r="C13" s="1195" t="str">
        <f>IF('1. INTRO'!$I$2="English","Full cost","Full kostnad")</f>
        <v>Full cost</v>
      </c>
      <c r="D13" s="1196"/>
      <c r="E13" s="1203" t="str">
        <f>IF('1. INTRO'!$I$2="English","Co-funding","Medfinansiering")</f>
        <v>Co-funding</v>
      </c>
      <c r="F13" s="1204"/>
      <c r="G13" s="1204"/>
      <c r="H13" s="1204"/>
      <c r="I13" s="1205" t="str">
        <f>IF('1. INTRO'!$I$2="English","Person months","Person månader")</f>
        <v>Person months</v>
      </c>
      <c r="J13" s="1199"/>
      <c r="K13" s="1200"/>
      <c r="L13" s="1200"/>
      <c r="M13" s="1200"/>
    </row>
    <row r="14" spans="1:15" ht="12" customHeight="1" x14ac:dyDescent="0.2">
      <c r="A14" s="1244"/>
      <c r="B14" s="1194"/>
      <c r="C14" s="1197"/>
      <c r="D14" s="1198"/>
      <c r="E14" s="1201" t="s">
        <v>2</v>
      </c>
      <c r="F14" s="1202"/>
      <c r="G14" s="1201" t="str">
        <f>IF('1. INTRO'!$I$2="English","Per year","Per år")</f>
        <v>Per year</v>
      </c>
      <c r="H14" s="1202"/>
      <c r="I14" s="1206"/>
      <c r="J14" s="1200"/>
      <c r="K14" s="1200"/>
      <c r="L14" s="1200"/>
      <c r="M14" s="1200"/>
    </row>
    <row r="15" spans="1:15" ht="14.7" customHeight="1" x14ac:dyDescent="0.2">
      <c r="A15" s="860" t="s">
        <v>221</v>
      </c>
      <c r="B15" s="657" t="str">
        <f>'3. PARTNER'!C37</f>
        <v>Urban and Rural Development LTV</v>
      </c>
      <c r="C15" s="1188" t="str">
        <f>IF(M124=0,"",M124)</f>
        <v/>
      </c>
      <c r="D15" s="1239"/>
      <c r="E15" s="1188" t="str">
        <f>IF(M116=0,"",M116)</f>
        <v/>
      </c>
      <c r="F15" s="1189"/>
      <c r="G15" s="1188" t="str">
        <f>IF(E128=0,"",E128)</f>
        <v/>
      </c>
      <c r="H15" s="1189"/>
      <c r="I15" s="871" t="str">
        <f>IF(L98=0,"",L98)</f>
        <v/>
      </c>
      <c r="J15" s="72"/>
      <c r="K15" s="72"/>
      <c r="L15" s="72"/>
      <c r="M15" s="72"/>
    </row>
    <row r="16" spans="1:15" ht="14.7" customHeight="1" x14ac:dyDescent="0.2">
      <c r="A16" s="861" t="s">
        <v>223</v>
      </c>
      <c r="B16" s="646" t="str">
        <f>'3. PARTNER'!C39</f>
        <v>Plant Protection Biology</v>
      </c>
      <c r="C16" s="1174" t="str">
        <f>IF(M176=0,"",M176)</f>
        <v/>
      </c>
      <c r="D16" s="1175"/>
      <c r="E16" s="1174" t="str">
        <f>IF(M168=0,"",M168)</f>
        <v/>
      </c>
      <c r="F16" s="1165"/>
      <c r="G16" s="1174" t="str">
        <f>IF(E180=0,"",E180)</f>
        <v/>
      </c>
      <c r="H16" s="1165"/>
      <c r="I16" s="872" t="str">
        <f>IF(L150=0,"",L150)</f>
        <v/>
      </c>
      <c r="J16" s="72"/>
      <c r="K16" s="72"/>
      <c r="L16" s="72"/>
      <c r="M16" s="72"/>
    </row>
    <row r="17" spans="1:13" ht="14.7" customHeight="1" x14ac:dyDescent="0.2">
      <c r="A17" s="862" t="s">
        <v>224</v>
      </c>
      <c r="B17" s="657" t="str">
        <f>'3. PARTNER'!C40</f>
        <v>People and Society</v>
      </c>
      <c r="C17" s="1188" t="str">
        <f>IF(M228=0,"",M228)</f>
        <v/>
      </c>
      <c r="D17" s="1239"/>
      <c r="E17" s="1188" t="str">
        <f>IF(M220=0,"",M220)</f>
        <v/>
      </c>
      <c r="F17" s="1189"/>
      <c r="G17" s="1188" t="str">
        <f>IF(E232=0,"",E232)</f>
        <v/>
      </c>
      <c r="H17" s="1189"/>
      <c r="I17" s="873" t="str">
        <f>IF(L202=0,"",L202)</f>
        <v/>
      </c>
      <c r="J17" s="72"/>
      <c r="K17" s="72"/>
      <c r="L17" s="72"/>
      <c r="M17" s="72"/>
    </row>
    <row r="18" spans="1:13" ht="14.7" customHeight="1" x14ac:dyDescent="0.2">
      <c r="A18" s="861" t="s">
        <v>225</v>
      </c>
      <c r="B18" s="646" t="str">
        <f>'3. PARTNER'!C41</f>
        <v>Odlingsenheten</v>
      </c>
      <c r="C18" s="1174" t="str">
        <f>IF(M280=0,"",M280)</f>
        <v/>
      </c>
      <c r="D18" s="1245"/>
      <c r="E18" s="1174" t="str">
        <f>IF(M272=0,"",M272)</f>
        <v/>
      </c>
      <c r="F18" s="1165"/>
      <c r="G18" s="1174" t="str">
        <f>IF(E284=0,"",E284)</f>
        <v/>
      </c>
      <c r="H18" s="1165"/>
      <c r="I18" s="872" t="str">
        <f>IF(L254=0,"",L254)</f>
        <v/>
      </c>
      <c r="J18" s="72"/>
      <c r="K18" s="72"/>
      <c r="L18" s="72"/>
      <c r="M18" s="72"/>
    </row>
    <row r="19" spans="1:13" ht="14.7" customHeight="1" x14ac:dyDescent="0.2">
      <c r="A19" s="862" t="s">
        <v>226</v>
      </c>
      <c r="B19" s="657" t="str">
        <f>'3. PARTNER'!C42</f>
        <v>Plant Breeding</v>
      </c>
      <c r="C19" s="1188" t="str">
        <f>IF(M332=0,"",M332)</f>
        <v/>
      </c>
      <c r="D19" s="1239"/>
      <c r="E19" s="1188" t="str">
        <f>IF(M324=0,"",M324)</f>
        <v/>
      </c>
      <c r="F19" s="1189"/>
      <c r="G19" s="1188" t="str">
        <f>IF(E336=0,"",E336)</f>
        <v/>
      </c>
      <c r="H19" s="1189"/>
      <c r="I19" s="873" t="str">
        <f>IF(L306=0,"",L306)</f>
        <v/>
      </c>
      <c r="J19" s="72"/>
      <c r="K19" s="72"/>
      <c r="L19" s="72"/>
      <c r="M19" s="72"/>
    </row>
    <row r="20" spans="1:13" ht="14.7" customHeight="1" x14ac:dyDescent="0.2">
      <c r="A20" s="861" t="s">
        <v>227</v>
      </c>
      <c r="B20" s="646" t="str">
        <f>'3. PARTNER'!C43</f>
        <v>Biosystems and Technology</v>
      </c>
      <c r="C20" s="1174" t="str">
        <f>IF(M384=0,"",M384)</f>
        <v/>
      </c>
      <c r="D20" s="1175"/>
      <c r="E20" s="1174" t="str">
        <f>IF(M376=0,"",M376)</f>
        <v/>
      </c>
      <c r="F20" s="1165"/>
      <c r="G20" s="1174" t="str">
        <f>IF(E388=0,"",E388)</f>
        <v/>
      </c>
      <c r="H20" s="1165"/>
      <c r="I20" s="872" t="str">
        <f>IF(L358=0,"",L358)</f>
        <v/>
      </c>
      <c r="J20" s="72"/>
      <c r="K20" s="72"/>
      <c r="L20" s="72"/>
      <c r="M20" s="72"/>
    </row>
    <row r="21" spans="1:13" ht="14.7" customHeight="1" x14ac:dyDescent="0.2">
      <c r="A21" s="862" t="s">
        <v>228</v>
      </c>
      <c r="B21" s="657" t="str">
        <f>'3. PARTNER'!C44</f>
        <v>Landscape Architecture, Planning and Management</v>
      </c>
      <c r="C21" s="1188" t="str">
        <f>IF(M436=0,"",M436)</f>
        <v/>
      </c>
      <c r="D21" s="1239"/>
      <c r="E21" s="1188" t="str">
        <f>IF(M428=0,"",M428)</f>
        <v/>
      </c>
      <c r="F21" s="1189"/>
      <c r="G21" s="1188" t="str">
        <f>IF(E440=0,"",E440)</f>
        <v/>
      </c>
      <c r="H21" s="1189"/>
      <c r="I21" s="873" t="str">
        <f>IF(L410=0,"",L410)</f>
        <v/>
      </c>
      <c r="J21" s="72"/>
      <c r="K21" s="72"/>
      <c r="L21" s="72"/>
      <c r="M21" s="72"/>
    </row>
    <row r="22" spans="1:13" ht="14.7" customHeight="1" x14ac:dyDescent="0.2">
      <c r="A22" s="863" t="s">
        <v>229</v>
      </c>
      <c r="B22" s="646" t="str">
        <f>'3. PARTNER'!C45</f>
        <v>Unit for collaboration and development</v>
      </c>
      <c r="C22" s="1174" t="str">
        <f>IF(M488=0,"",M488)</f>
        <v/>
      </c>
      <c r="D22" s="1175"/>
      <c r="E22" s="1181" t="str">
        <f>IF(M480=0,"",M480)</f>
        <v/>
      </c>
      <c r="F22" s="1190"/>
      <c r="G22" s="1181" t="str">
        <f>IF(E492=0,"",E492)</f>
        <v/>
      </c>
      <c r="H22" s="1190"/>
      <c r="I22" s="874" t="str">
        <f>IF(L462=0,"",L462)</f>
        <v/>
      </c>
      <c r="J22" s="72"/>
      <c r="K22" s="72"/>
      <c r="L22" s="72"/>
      <c r="M22" s="72"/>
    </row>
    <row r="23" spans="1:13" ht="14.7" customHeight="1" x14ac:dyDescent="0.2">
      <c r="A23" s="849" t="s">
        <v>316</v>
      </c>
      <c r="B23" s="658" t="str">
        <f>IF('1. INTRO'!$I$2="English","LTV-faculty ","LTV-fakulteten ")</f>
        <v xml:space="preserve">LTV-faculty </v>
      </c>
      <c r="C23" s="1240" t="str">
        <f>IF(M540=0,"",M540)</f>
        <v/>
      </c>
      <c r="D23" s="1241"/>
      <c r="E23" s="1191" t="str">
        <f>IF(M532=0,"",M532)</f>
        <v/>
      </c>
      <c r="F23" s="1192"/>
      <c r="G23" s="1250" t="str">
        <f>IF(E542=0,"",E542)</f>
        <v/>
      </c>
      <c r="H23" s="1251"/>
      <c r="I23" s="875" t="str">
        <f>IF(L514=0,"",L514)</f>
        <v/>
      </c>
      <c r="J23" s="72"/>
      <c r="K23" s="72"/>
      <c r="L23" s="72"/>
      <c r="M23" s="72"/>
    </row>
    <row r="24" spans="1:13" ht="14.7" customHeight="1" x14ac:dyDescent="0.2">
      <c r="A24" s="864" t="s">
        <v>199</v>
      </c>
      <c r="B24" s="660" t="str">
        <f>'3. PARTNER'!C14</f>
        <v>Aquatic Resources</v>
      </c>
      <c r="C24" s="1176" t="str">
        <f>IF(M576=0,"",M576)</f>
        <v/>
      </c>
      <c r="D24" s="1177"/>
      <c r="E24" s="1176" t="str">
        <f>IF(M568=0,"",M568)</f>
        <v/>
      </c>
      <c r="F24" s="1177"/>
      <c r="G24" s="1170" t="str">
        <f>IF(E580=0,"",E580)</f>
        <v/>
      </c>
      <c r="H24" s="1171"/>
      <c r="I24" s="876" t="str">
        <f>IF(L550=0,"",L550)</f>
        <v/>
      </c>
      <c r="J24" s="72"/>
      <c r="K24" s="72"/>
      <c r="L24" s="72"/>
      <c r="M24" s="72"/>
    </row>
    <row r="25" spans="1:13" ht="14.7" customHeight="1" x14ac:dyDescent="0.2">
      <c r="A25" s="861" t="s">
        <v>206</v>
      </c>
      <c r="B25" s="646" t="str">
        <f>'3. PARTNER'!C21</f>
        <v>Aquatic Sciences and Assessment</v>
      </c>
      <c r="C25" s="1174" t="str">
        <f>IF(M628=0,"",M628)</f>
        <v/>
      </c>
      <c r="D25" s="1175"/>
      <c r="E25" s="1174" t="str">
        <f>IF(M620=0,"",M620)</f>
        <v/>
      </c>
      <c r="F25" s="1175"/>
      <c r="G25" s="1155" t="str">
        <f>IF(E632=0,"",E632)</f>
        <v/>
      </c>
      <c r="H25" s="1165"/>
      <c r="I25" s="872" t="str">
        <f>IF(L602=0,"",L602)</f>
        <v/>
      </c>
      <c r="J25" s="72"/>
      <c r="K25" s="72"/>
      <c r="L25" s="72"/>
      <c r="M25" s="72"/>
    </row>
    <row r="26" spans="1:13" ht="14.7" customHeight="1" x14ac:dyDescent="0.2">
      <c r="A26" s="865" t="s">
        <v>210</v>
      </c>
      <c r="B26" s="660" t="str">
        <f>'3. PARTNER'!C25</f>
        <v>Forest Mycology and Plant Pathology NJ</v>
      </c>
      <c r="C26" s="1176" t="str">
        <f>IF(M680=0,"",M680)</f>
        <v/>
      </c>
      <c r="D26" s="1177"/>
      <c r="E26" s="1176" t="str">
        <f>IF(M672=0,"",M672)</f>
        <v/>
      </c>
      <c r="F26" s="1177"/>
      <c r="G26" s="1170" t="str">
        <f>IF(E684=0,"",E684)</f>
        <v/>
      </c>
      <c r="H26" s="1171"/>
      <c r="I26" s="877" t="str">
        <f>IF(L654=0,"",L654)</f>
        <v/>
      </c>
      <c r="J26" s="72"/>
      <c r="K26" s="72"/>
      <c r="L26" s="72"/>
      <c r="M26" s="72"/>
    </row>
    <row r="27" spans="1:13" ht="14.7" customHeight="1" x14ac:dyDescent="0.2">
      <c r="A27" s="861" t="s">
        <v>212</v>
      </c>
      <c r="B27" s="647" t="str">
        <f>'3. PARTNER'!C27</f>
        <v>Ecology NJ</v>
      </c>
      <c r="C27" s="1174" t="str">
        <f>IF(M732=0,"",M732)</f>
        <v/>
      </c>
      <c r="D27" s="1175"/>
      <c r="E27" s="1174" t="str">
        <f>IF(M724=0,"",M724)</f>
        <v/>
      </c>
      <c r="F27" s="1175"/>
      <c r="G27" s="1155" t="str">
        <f>IF(E736=0,"",E736)</f>
        <v/>
      </c>
      <c r="H27" s="1165"/>
      <c r="I27" s="872" t="str">
        <f>IF(L706=0,"",L706)</f>
        <v/>
      </c>
      <c r="J27" s="72"/>
      <c r="K27" s="72"/>
      <c r="L27" s="72"/>
      <c r="M27" s="72"/>
    </row>
    <row r="28" spans="1:13" ht="14.7" customHeight="1" x14ac:dyDescent="0.2">
      <c r="A28" s="865" t="s">
        <v>214</v>
      </c>
      <c r="B28" s="660" t="str">
        <f>'3. PARTNER'!C29</f>
        <v>Molecular sciences</v>
      </c>
      <c r="C28" s="1176" t="str">
        <f>IF(M784=0,"",M784)</f>
        <v/>
      </c>
      <c r="D28" s="1177"/>
      <c r="E28" s="1176" t="str">
        <f>IF(M776=0,"",M776)</f>
        <v/>
      </c>
      <c r="F28" s="1177"/>
      <c r="G28" s="1170" t="str">
        <f>IF(E788=0,"",E788)</f>
        <v/>
      </c>
      <c r="H28" s="1171"/>
      <c r="I28" s="877" t="str">
        <f>IF(L758=0,"",L758)</f>
        <v/>
      </c>
      <c r="J28" s="72"/>
      <c r="K28" s="72"/>
      <c r="L28" s="72"/>
      <c r="M28" s="72"/>
    </row>
    <row r="29" spans="1:13" ht="14.7" customHeight="1" x14ac:dyDescent="0.2">
      <c r="A29" s="861" t="s">
        <v>215</v>
      </c>
      <c r="B29" s="646" t="str">
        <f>'3. PARTNER'!C30</f>
        <v>Soil and Environment NJ</v>
      </c>
      <c r="C29" s="1174" t="str">
        <f>IF(M836=0,"",M836)</f>
        <v/>
      </c>
      <c r="D29" s="1175"/>
      <c r="E29" s="1174" t="str">
        <f>IF(M828=0,"",M828)</f>
        <v/>
      </c>
      <c r="F29" s="1175"/>
      <c r="G29" s="1155" t="str">
        <f>IF(E840=0,"",E840)</f>
        <v/>
      </c>
      <c r="H29" s="1165"/>
      <c r="I29" s="872" t="str">
        <f>IF(L810=0,"",L810)</f>
        <v/>
      </c>
      <c r="J29" s="72"/>
      <c r="K29" s="72"/>
      <c r="L29" s="72"/>
      <c r="M29" s="72"/>
    </row>
    <row r="30" spans="1:13" ht="14.7" customHeight="1" x14ac:dyDescent="0.2">
      <c r="A30" s="865" t="s">
        <v>217</v>
      </c>
      <c r="B30" s="660" t="str">
        <f>'3. PARTNER'!C32</f>
        <v>Plant Biology</v>
      </c>
      <c r="C30" s="1176" t="str">
        <f>IF(M888=0,"",M888)</f>
        <v/>
      </c>
      <c r="D30" s="1177"/>
      <c r="E30" s="1176" t="str">
        <f>IF(M880=0,"",M880)</f>
        <v/>
      </c>
      <c r="F30" s="1177"/>
      <c r="G30" s="1170" t="str">
        <f>IF(E892=0,"",E892)</f>
        <v/>
      </c>
      <c r="H30" s="1171"/>
      <c r="I30" s="877" t="str">
        <f>IF(L862=0,"",L862)</f>
        <v/>
      </c>
      <c r="J30" s="72"/>
      <c r="K30" s="72"/>
      <c r="L30" s="72"/>
      <c r="M30" s="72"/>
    </row>
    <row r="31" spans="1:13" ht="14.7" customHeight="1" x14ac:dyDescent="0.2">
      <c r="A31" s="861" t="s">
        <v>314</v>
      </c>
      <c r="B31" s="646" t="str">
        <f>'3. PARTNER'!C33</f>
        <v>Crop Production Ecology</v>
      </c>
      <c r="C31" s="1174" t="str">
        <f>IF(M940=0,"",M940)</f>
        <v/>
      </c>
      <c r="D31" s="1175"/>
      <c r="E31" s="1174" t="str">
        <f>IF(M932=0,"",M932)</f>
        <v/>
      </c>
      <c r="F31" s="1175"/>
      <c r="G31" s="1155" t="str">
        <f>IF(E944=0,"",E944)</f>
        <v/>
      </c>
      <c r="H31" s="1165"/>
      <c r="I31" s="872" t="str">
        <f>IF(L914=0,"",L914)</f>
        <v/>
      </c>
      <c r="J31" s="72"/>
      <c r="K31" s="72"/>
      <c r="L31" s="72"/>
      <c r="M31" s="72"/>
    </row>
    <row r="32" spans="1:13" ht="14.7" customHeight="1" x14ac:dyDescent="0.2">
      <c r="A32" s="865" t="s">
        <v>218</v>
      </c>
      <c r="B32" s="660" t="str">
        <f>'3. PARTNER'!C34</f>
        <v>Economics</v>
      </c>
      <c r="C32" s="1176" t="str">
        <f>IF(M992=0,"",M992)</f>
        <v/>
      </c>
      <c r="D32" s="1177"/>
      <c r="E32" s="1176" t="str">
        <f>IF(M984=0,"",M984)</f>
        <v/>
      </c>
      <c r="F32" s="1177"/>
      <c r="G32" s="1170" t="str">
        <f>IF(E996=0,"",E996)</f>
        <v/>
      </c>
      <c r="H32" s="1171"/>
      <c r="I32" s="877" t="str">
        <f>IF(L966=0,"",L966)</f>
        <v/>
      </c>
      <c r="J32" s="72"/>
      <c r="K32" s="72"/>
      <c r="L32" s="72"/>
      <c r="M32" s="72"/>
    </row>
    <row r="33" spans="1:13" ht="14.7" customHeight="1" x14ac:dyDescent="0.2">
      <c r="A33" s="861" t="s">
        <v>220</v>
      </c>
      <c r="B33" s="646" t="str">
        <f>'3. PARTNER'!C36</f>
        <v>Energy and Technology</v>
      </c>
      <c r="C33" s="1174" t="str">
        <f>IF(M1044=0,"",M1044)</f>
        <v/>
      </c>
      <c r="D33" s="1175"/>
      <c r="E33" s="1174" t="str">
        <f>IF(M1036=0,"",M1036)</f>
        <v/>
      </c>
      <c r="F33" s="1175"/>
      <c r="G33" s="1155" t="str">
        <f>IF(E1048=0,"",E1048)</f>
        <v/>
      </c>
      <c r="H33" s="1165"/>
      <c r="I33" s="872" t="str">
        <f>IF(L1018=0,"",L1018)</f>
        <v/>
      </c>
      <c r="J33" s="72"/>
      <c r="K33" s="72"/>
      <c r="L33" s="72"/>
      <c r="M33" s="72"/>
    </row>
    <row r="34" spans="1:13" ht="14.7" customHeight="1" x14ac:dyDescent="0.2">
      <c r="A34" s="865" t="s">
        <v>222</v>
      </c>
      <c r="B34" s="660" t="str">
        <f>'3. PARTNER'!C38</f>
        <v>Urban and Rural Development NJ</v>
      </c>
      <c r="C34" s="1176" t="str">
        <f>IF(M1096=0,"",M1096)</f>
        <v/>
      </c>
      <c r="D34" s="1177"/>
      <c r="E34" s="1176" t="str">
        <f>IF(M1088=0,"",M1088)</f>
        <v/>
      </c>
      <c r="F34" s="1177"/>
      <c r="G34" s="1170" t="str">
        <f>IF(E1100=0,"",E1100)</f>
        <v/>
      </c>
      <c r="H34" s="1171"/>
      <c r="I34" s="877" t="str">
        <f>IF(L1070=0,"",L1070)</f>
        <v/>
      </c>
      <c r="J34" s="72"/>
      <c r="K34" s="72"/>
      <c r="L34" s="72"/>
      <c r="M34" s="72"/>
    </row>
    <row r="35" spans="1:13" ht="14.7" customHeight="1" x14ac:dyDescent="0.2">
      <c r="A35" s="863" t="s">
        <v>234</v>
      </c>
      <c r="B35" s="646" t="str">
        <f>'3. PARTNER'!C50</f>
        <v>Swedish Species Information Centre</v>
      </c>
      <c r="C35" s="1181" t="str">
        <f>IF(M1148=0,"",M1148)</f>
        <v/>
      </c>
      <c r="D35" s="1182"/>
      <c r="E35" s="1181" t="str">
        <f>IF(M1140=0,"",M1140)</f>
        <v/>
      </c>
      <c r="F35" s="1182"/>
      <c r="G35" s="1155" t="str">
        <f>IF(E1152=0,"",E1152)</f>
        <v/>
      </c>
      <c r="H35" s="1165"/>
      <c r="I35" s="874" t="str">
        <f>IF(L1122=0,"",L1122)</f>
        <v/>
      </c>
      <c r="J35" s="72"/>
      <c r="K35" s="72"/>
      <c r="L35" s="72"/>
      <c r="M35" s="72"/>
    </row>
    <row r="36" spans="1:13" ht="14.7" customHeight="1" x14ac:dyDescent="0.2">
      <c r="A36" s="850" t="s">
        <v>317</v>
      </c>
      <c r="B36" s="661" t="str">
        <f>IF('1. INTRO'!$I$2="English","NJ-faculty ","NJ-fakulteten ")</f>
        <v xml:space="preserve">NJ-faculty </v>
      </c>
      <c r="C36" s="1242" t="str">
        <f>IF(M1200=0,"",M1200)</f>
        <v/>
      </c>
      <c r="D36" s="1243"/>
      <c r="E36" s="1172" t="str">
        <f>IF(M1192=0,"",M1192)</f>
        <v/>
      </c>
      <c r="F36" s="1183"/>
      <c r="G36" s="1172" t="str">
        <f>IF(E1202=0,"",E1202)</f>
        <v/>
      </c>
      <c r="H36" s="1173"/>
      <c r="I36" s="878" t="str">
        <f>IF(L1174=0,"",L1174)</f>
        <v/>
      </c>
      <c r="J36" s="72"/>
      <c r="K36" s="72"/>
      <c r="L36" s="72"/>
      <c r="M36" s="72"/>
    </row>
    <row r="37" spans="1:13" ht="14.7" customHeight="1" x14ac:dyDescent="0.2">
      <c r="A37" s="866" t="s">
        <v>201</v>
      </c>
      <c r="B37" s="659" t="str">
        <f>'3. PARTNER'!C16</f>
        <v>Field-based Forest Research</v>
      </c>
      <c r="C37" s="1184" t="str">
        <f>IF(M1236=0,"",M1236)</f>
        <v/>
      </c>
      <c r="D37" s="1185"/>
      <c r="E37" s="1184" t="str">
        <f>IF(M1228=0,"",M1228)</f>
        <v/>
      </c>
      <c r="F37" s="1185"/>
      <c r="G37" s="1166" t="str">
        <f>IF(E1240=0,"",E1240)</f>
        <v/>
      </c>
      <c r="H37" s="1167"/>
      <c r="I37" s="879" t="str">
        <f>IF(L1210=0,"",L1210)</f>
        <v/>
      </c>
      <c r="J37" s="72"/>
      <c r="K37" s="72"/>
      <c r="L37" s="72"/>
      <c r="M37" s="72"/>
    </row>
    <row r="38" spans="1:13" ht="14.7" customHeight="1" x14ac:dyDescent="0.2">
      <c r="A38" s="861" t="s">
        <v>202</v>
      </c>
      <c r="B38" s="646" t="str">
        <f>'3. PARTNER'!C17</f>
        <v>School for Forest Management</v>
      </c>
      <c r="C38" s="1174" t="str">
        <f>IF(M1288=0,"",M1288)</f>
        <v/>
      </c>
      <c r="D38" s="1175"/>
      <c r="E38" s="1174" t="str">
        <f>IF(M1280=0,"",M1280)</f>
        <v/>
      </c>
      <c r="F38" s="1175"/>
      <c r="G38" s="1155" t="str">
        <f>IF(E1292=0,"",E1292)</f>
        <v/>
      </c>
      <c r="H38" s="1165"/>
      <c r="I38" s="872" t="str">
        <f>IF(L1262=0,"",L1262)</f>
        <v/>
      </c>
      <c r="J38" s="72"/>
      <c r="K38" s="72"/>
      <c r="L38" s="72"/>
      <c r="M38" s="72"/>
    </row>
    <row r="39" spans="1:13" ht="14.7" customHeight="1" x14ac:dyDescent="0.2">
      <c r="A39" s="867" t="s">
        <v>203</v>
      </c>
      <c r="B39" s="659" t="str">
        <f>'3. PARTNER'!C18</f>
        <v>Forest Ecology and Management</v>
      </c>
      <c r="C39" s="1186" t="str">
        <f>IF(M1340=0,"",M1340)</f>
        <v/>
      </c>
      <c r="D39" s="1187"/>
      <c r="E39" s="1186" t="str">
        <f>IF(M1332=0,"",M1332)</f>
        <v/>
      </c>
      <c r="F39" s="1187"/>
      <c r="G39" s="1166" t="str">
        <f>IF(E1344=0,"",E1344)</f>
        <v/>
      </c>
      <c r="H39" s="1167"/>
      <c r="I39" s="880" t="str">
        <f>IF(L1314=0,"",L1314)</f>
        <v/>
      </c>
      <c r="J39" s="72"/>
      <c r="K39" s="72"/>
      <c r="L39" s="72"/>
      <c r="M39" s="72"/>
    </row>
    <row r="40" spans="1:13" ht="14.7" customHeight="1" x14ac:dyDescent="0.2">
      <c r="A40" s="861" t="s">
        <v>204</v>
      </c>
      <c r="B40" s="646" t="str">
        <f>'3. PARTNER'!C19</f>
        <v>Wildlife, Fish and Environmental Studies</v>
      </c>
      <c r="C40" s="1174" t="str">
        <f>IF(M1392=0,"",M1392)</f>
        <v/>
      </c>
      <c r="D40" s="1175"/>
      <c r="E40" s="1174" t="str">
        <f>IF(M1384=0,"",M1384)</f>
        <v/>
      </c>
      <c r="F40" s="1175"/>
      <c r="G40" s="1155" t="str">
        <f>IF(E1396=0,"",E1396)</f>
        <v/>
      </c>
      <c r="H40" s="1165"/>
      <c r="I40" s="872" t="str">
        <f>IF(L1366=0,"",L1366)</f>
        <v/>
      </c>
      <c r="J40" s="72"/>
      <c r="K40" s="72"/>
      <c r="L40" s="72"/>
      <c r="M40" s="72"/>
    </row>
    <row r="41" spans="1:13" ht="14.7" customHeight="1" x14ac:dyDescent="0.2">
      <c r="A41" s="867" t="s">
        <v>205</v>
      </c>
      <c r="B41" s="659" t="str">
        <f>'3. PARTNER'!C20</f>
        <v xml:space="preserve">Forest Resource Management </v>
      </c>
      <c r="C41" s="1186" t="str">
        <f>IF(M1444=0,"",M1444)</f>
        <v/>
      </c>
      <c r="D41" s="1187"/>
      <c r="E41" s="1186" t="str">
        <f>IF(M1436=0,"",M1436)</f>
        <v/>
      </c>
      <c r="F41" s="1187"/>
      <c r="G41" s="1166" t="str">
        <f>IF(E1448=0,"",E1448)</f>
        <v/>
      </c>
      <c r="H41" s="1167"/>
      <c r="I41" s="880" t="str">
        <f>IF(L1418=0,"",L1418)</f>
        <v/>
      </c>
      <c r="J41" s="72"/>
      <c r="K41" s="72"/>
      <c r="L41" s="72"/>
      <c r="M41" s="72"/>
    </row>
    <row r="42" spans="1:13" ht="14.7" customHeight="1" x14ac:dyDescent="0.2">
      <c r="A42" s="861" t="s">
        <v>207</v>
      </c>
      <c r="B42" s="646" t="str">
        <f>'3. PARTNER'!C22</f>
        <v>Southern Swedish Forest Research Centre</v>
      </c>
      <c r="C42" s="1174" t="str">
        <f>IF(M1496=0,"",M1496)</f>
        <v/>
      </c>
      <c r="D42" s="1175"/>
      <c r="E42" s="1174" t="str">
        <f>IF(M1488=0,"",M1488)</f>
        <v/>
      </c>
      <c r="F42" s="1175"/>
      <c r="G42" s="1155" t="str">
        <f>IF(E1500=0,"",E1500)</f>
        <v/>
      </c>
      <c r="H42" s="1165"/>
      <c r="I42" s="872" t="str">
        <f>IF(L1470=0,"",L1470)</f>
        <v/>
      </c>
      <c r="J42" s="72"/>
      <c r="K42" s="72"/>
      <c r="L42" s="72"/>
      <c r="M42" s="72"/>
    </row>
    <row r="43" spans="1:13" ht="14.7" customHeight="1" x14ac:dyDescent="0.2">
      <c r="A43" s="867" t="s">
        <v>208</v>
      </c>
      <c r="B43" s="659" t="str">
        <f>'3. PARTNER'!C23</f>
        <v>Forest Economics</v>
      </c>
      <c r="C43" s="1186" t="str">
        <f>IF(M1548=0,"",M1548)</f>
        <v/>
      </c>
      <c r="D43" s="1187"/>
      <c r="E43" s="1186" t="str">
        <f>IF(M1540=0,"",M1540)</f>
        <v/>
      </c>
      <c r="F43" s="1187"/>
      <c r="G43" s="1166" t="str">
        <f>IF(E1552=0,"",E1552)</f>
        <v/>
      </c>
      <c r="H43" s="1167"/>
      <c r="I43" s="880" t="str">
        <f>IF(L1522=0,"",L1522)</f>
        <v/>
      </c>
      <c r="J43" s="72"/>
      <c r="K43" s="72"/>
      <c r="L43" s="72"/>
      <c r="M43" s="72"/>
    </row>
    <row r="44" spans="1:13" ht="14.7" customHeight="1" x14ac:dyDescent="0.2">
      <c r="A44" s="861" t="s">
        <v>209</v>
      </c>
      <c r="B44" s="646" t="str">
        <f>'3. PARTNER'!C24</f>
        <v>Forest Genetics and Plant Physiology</v>
      </c>
      <c r="C44" s="1174" t="str">
        <f>IF(M1600=0,"",M1600)</f>
        <v/>
      </c>
      <c r="D44" s="1175"/>
      <c r="E44" s="1174" t="str">
        <f>IF(M1592=0,"",M1592)</f>
        <v/>
      </c>
      <c r="F44" s="1175"/>
      <c r="G44" s="1155" t="str">
        <f>IF(E1604=0,"",E1604)</f>
        <v/>
      </c>
      <c r="H44" s="1165"/>
      <c r="I44" s="872" t="str">
        <f>IF(L1574=0,"",L1574)</f>
        <v/>
      </c>
      <c r="J44" s="72"/>
      <c r="K44" s="72"/>
      <c r="L44" s="72"/>
      <c r="M44" s="72"/>
    </row>
    <row r="45" spans="1:13" ht="14.7" customHeight="1" x14ac:dyDescent="0.2">
      <c r="A45" s="867" t="s">
        <v>211</v>
      </c>
      <c r="B45" s="659" t="str">
        <f>'3. PARTNER'!C26</f>
        <v>Forest Mycology and Plant Pathology S</v>
      </c>
      <c r="C45" s="1186" t="str">
        <f>IF(M1652=0,"",M1652)</f>
        <v/>
      </c>
      <c r="D45" s="1187"/>
      <c r="E45" s="1186" t="str">
        <f>IF(M1644=0,"",M1644)</f>
        <v/>
      </c>
      <c r="F45" s="1187"/>
      <c r="G45" s="1166" t="str">
        <f>IF(E1656=0,"",E1656)</f>
        <v/>
      </c>
      <c r="H45" s="1167"/>
      <c r="I45" s="880" t="str">
        <f>IF(L1626=0,"",L1626)</f>
        <v/>
      </c>
      <c r="J45" s="72"/>
      <c r="K45" s="72"/>
      <c r="L45" s="72"/>
      <c r="M45" s="72"/>
    </row>
    <row r="46" spans="1:13" ht="14.7" customHeight="1" x14ac:dyDescent="0.2">
      <c r="A46" s="861" t="s">
        <v>213</v>
      </c>
      <c r="B46" s="646" t="str">
        <f>'3. PARTNER'!C28</f>
        <v>Ecology S</v>
      </c>
      <c r="C46" s="1174" t="str">
        <f>IF(M1704=0,"",M1704)</f>
        <v/>
      </c>
      <c r="D46" s="1175"/>
      <c r="E46" s="1174" t="str">
        <f>IF(M1696=0,"",M1696)</f>
        <v/>
      </c>
      <c r="F46" s="1175"/>
      <c r="G46" s="1155" t="str">
        <f>IF(E1708=0,"",E1708)</f>
        <v/>
      </c>
      <c r="H46" s="1165"/>
      <c r="I46" s="872" t="str">
        <f>IF(L1678=0,"",L1678)</f>
        <v/>
      </c>
      <c r="J46" s="72"/>
      <c r="K46" s="72"/>
      <c r="L46" s="72"/>
      <c r="M46" s="72"/>
    </row>
    <row r="47" spans="1:13" ht="14.7" customHeight="1" x14ac:dyDescent="0.2">
      <c r="A47" s="867" t="s">
        <v>216</v>
      </c>
      <c r="B47" s="659" t="str">
        <f>'3. PARTNER'!C31</f>
        <v>Soil and Environment S</v>
      </c>
      <c r="C47" s="1186" t="str">
        <f>IF(M1756=0,"",M1756)</f>
        <v/>
      </c>
      <c r="D47" s="1187"/>
      <c r="E47" s="1186" t="str">
        <f>IF(M1748=0,"",M1748)</f>
        <v/>
      </c>
      <c r="F47" s="1187"/>
      <c r="G47" s="1166" t="str">
        <f>IF(E1760=0,"",E1760)</f>
        <v/>
      </c>
      <c r="H47" s="1167"/>
      <c r="I47" s="880" t="str">
        <f>IF(L1730=0,"",L1730)</f>
        <v/>
      </c>
      <c r="J47" s="72"/>
      <c r="K47" s="72"/>
      <c r="L47" s="72"/>
      <c r="M47" s="72"/>
    </row>
    <row r="48" spans="1:13" ht="14.7" customHeight="1" x14ac:dyDescent="0.2">
      <c r="A48" s="863" t="s">
        <v>219</v>
      </c>
      <c r="B48" s="646" t="str">
        <f>'3. PARTNER'!C35</f>
        <v>Forest Biomaterials and Technology</v>
      </c>
      <c r="C48" s="1181" t="str">
        <f>IF(M1808=0,"",M1808)</f>
        <v/>
      </c>
      <c r="D48" s="1182"/>
      <c r="E48" s="1181" t="str">
        <f>IF(M1800=0,"",M1800)</f>
        <v/>
      </c>
      <c r="F48" s="1182"/>
      <c r="G48" s="1155" t="str">
        <f>IF(E1812=0,"",E1812)</f>
        <v/>
      </c>
      <c r="H48" s="1165"/>
      <c r="I48" s="874" t="str">
        <f>IF(L1782=0,"",L1782)</f>
        <v/>
      </c>
      <c r="J48" s="72"/>
      <c r="K48" s="72"/>
      <c r="L48" s="72"/>
      <c r="M48" s="72"/>
    </row>
    <row r="49" spans="1:13" ht="14.7" customHeight="1" x14ac:dyDescent="0.2">
      <c r="A49" s="851" t="s">
        <v>318</v>
      </c>
      <c r="B49" s="662" t="str">
        <f>IF('1. INTRO'!$I$2="English","S-faculty ","S-fakulteten ")</f>
        <v xml:space="preserve">S-faculty </v>
      </c>
      <c r="C49" s="1237" t="str">
        <f>IF(M1860=0,"",M1860)</f>
        <v/>
      </c>
      <c r="D49" s="1238"/>
      <c r="E49" s="1168" t="str">
        <f>IF(M1852=0,"",M1852)</f>
        <v/>
      </c>
      <c r="F49" s="1210"/>
      <c r="G49" s="1168" t="str">
        <f>IF(E1862=0,"",E1862)</f>
        <v/>
      </c>
      <c r="H49" s="1169"/>
      <c r="I49" s="881" t="str">
        <f>IF(L1834=0,"",L1834)</f>
        <v/>
      </c>
      <c r="J49" s="72"/>
      <c r="K49" s="72"/>
      <c r="L49" s="72"/>
      <c r="M49" s="72"/>
    </row>
    <row r="50" spans="1:13" ht="14.7" customHeight="1" x14ac:dyDescent="0.2">
      <c r="A50" s="868" t="s">
        <v>230</v>
      </c>
      <c r="B50" s="663" t="str">
        <f>'3. PARTNER'!C46</f>
        <v>Clinical Sciences</v>
      </c>
      <c r="C50" s="1178" t="str">
        <f>IF(M1896=0,"",M1896)</f>
        <v/>
      </c>
      <c r="D50" s="1179"/>
      <c r="E50" s="1178" t="str">
        <f>IF(M1888=0,"",M1888)</f>
        <v/>
      </c>
      <c r="F50" s="1179"/>
      <c r="G50" s="1153" t="str">
        <f>IF(E1900=0,"",E1900)</f>
        <v/>
      </c>
      <c r="H50" s="1154"/>
      <c r="I50" s="882" t="str">
        <f>IF(L1870=0,"",L1870)</f>
        <v/>
      </c>
      <c r="J50" s="72"/>
      <c r="K50" s="72"/>
      <c r="L50" s="72"/>
      <c r="M50" s="72"/>
    </row>
    <row r="51" spans="1:13" ht="14.7" customHeight="1" x14ac:dyDescent="0.2">
      <c r="A51" s="861" t="s">
        <v>231</v>
      </c>
      <c r="B51" s="646" t="str">
        <f>'3. PARTNER'!C47</f>
        <v>Animal Biosciences</v>
      </c>
      <c r="C51" s="1174" t="str">
        <f>IF(M1948=0,"",M1948)</f>
        <v/>
      </c>
      <c r="D51" s="1180"/>
      <c r="E51" s="1174" t="str">
        <f>IF(M1940=0,"",M1940)</f>
        <v/>
      </c>
      <c r="F51" s="1180"/>
      <c r="G51" s="1155" t="str">
        <f>IF(E1952=0,"",E1952)</f>
        <v/>
      </c>
      <c r="H51" s="1156"/>
      <c r="I51" s="872" t="str">
        <f>IF(L1922=0,"",L1922)</f>
        <v/>
      </c>
      <c r="J51" s="72"/>
      <c r="K51" s="72"/>
      <c r="L51" s="72"/>
      <c r="M51" s="72"/>
    </row>
    <row r="52" spans="1:13" ht="14.7" customHeight="1" x14ac:dyDescent="0.2">
      <c r="A52" s="869" t="s">
        <v>232</v>
      </c>
      <c r="B52" s="663" t="str">
        <f>'3. PARTNER'!C48</f>
        <v>Applied Animal Science and Welfare</v>
      </c>
      <c r="C52" s="1178" t="str">
        <f>IF(M2000=0,"",M2000)</f>
        <v/>
      </c>
      <c r="D52" s="1179"/>
      <c r="E52" s="1178" t="str">
        <f>IF(M1992=0,"",M1992)</f>
        <v/>
      </c>
      <c r="F52" s="1179"/>
      <c r="G52" s="1153" t="str">
        <f>IF(E2004=0,"",E2004)</f>
        <v/>
      </c>
      <c r="H52" s="1154"/>
      <c r="I52" s="883" t="str">
        <f>IF(L1974=0,"",L1974)</f>
        <v/>
      </c>
      <c r="J52" s="72"/>
      <c r="K52" s="72"/>
      <c r="L52" s="72"/>
      <c r="M52" s="72"/>
    </row>
    <row r="53" spans="1:13" ht="14.7" customHeight="1" x14ac:dyDescent="0.2">
      <c r="A53" s="863" t="s">
        <v>233</v>
      </c>
      <c r="B53" s="646" t="str">
        <f>'3. PARTNER'!C49</f>
        <v xml:space="preserve">The Swedish Livestock Research Centre, Lövsta </v>
      </c>
      <c r="C53" s="1181" t="str">
        <f>IF(M2052=0,"",M2052)</f>
        <v/>
      </c>
      <c r="D53" s="1214"/>
      <c r="E53" s="1181" t="str">
        <f>IF(M2044=0,"",M2044)</f>
        <v/>
      </c>
      <c r="F53" s="1214"/>
      <c r="G53" s="1155" t="str">
        <f>IF(E2056=0,"",E2056)</f>
        <v/>
      </c>
      <c r="H53" s="1156"/>
      <c r="I53" s="874" t="str">
        <f>IF(L2026=0,"",L2026)</f>
        <v/>
      </c>
      <c r="J53" s="72"/>
      <c r="K53" s="72"/>
      <c r="L53" s="72"/>
      <c r="M53" s="72"/>
    </row>
    <row r="54" spans="1:13" ht="14.7" customHeight="1" x14ac:dyDescent="0.2">
      <c r="A54" s="852" t="s">
        <v>319</v>
      </c>
      <c r="B54" s="664" t="str">
        <f>IF('1. INTRO'!$I$2="English","VH-faculty ","VH-fakulteten ")</f>
        <v xml:space="preserve">VH-faculty </v>
      </c>
      <c r="C54" s="1221" t="str">
        <f>IF(M2104=0,"",M2104)</f>
        <v/>
      </c>
      <c r="D54" s="1222"/>
      <c r="E54" s="1161" t="str">
        <f>IF(M2096=0,"",M2096)</f>
        <v/>
      </c>
      <c r="F54" s="1215"/>
      <c r="G54" s="1161" t="str">
        <f>IF(E2106=0,"",E2106)</f>
        <v/>
      </c>
      <c r="H54" s="1162"/>
      <c r="I54" s="884" t="str">
        <f>IF(L2078=0,"",L2078)</f>
        <v/>
      </c>
      <c r="J54" s="72"/>
      <c r="K54" s="72"/>
      <c r="L54" s="72"/>
      <c r="M54" s="72"/>
    </row>
    <row r="55" spans="1:13" ht="14.7" customHeight="1" x14ac:dyDescent="0.2">
      <c r="A55" s="870" t="s">
        <v>198</v>
      </c>
      <c r="B55" s="665" t="str">
        <f>'3. PARTNER'!C13</f>
        <v>University administration</v>
      </c>
      <c r="C55" s="1216" t="str">
        <f>IF(M2140=0,"",M2140)</f>
        <v/>
      </c>
      <c r="D55" s="1217"/>
      <c r="E55" s="1216" t="str">
        <f>IF(M2132=0,"",M2132)</f>
        <v/>
      </c>
      <c r="F55" s="1217"/>
      <c r="G55" s="1163" t="str">
        <f>IF(E2144=0,"",E2144)</f>
        <v/>
      </c>
      <c r="H55" s="1164"/>
      <c r="I55" s="885" t="str">
        <f>IF(L2114=0,"",L2114)</f>
        <v/>
      </c>
      <c r="J55" s="72"/>
      <c r="K55" s="72"/>
      <c r="L55" s="72"/>
      <c r="M55" s="72"/>
    </row>
    <row r="56" spans="1:13" ht="14.7" customHeight="1" x14ac:dyDescent="0.2">
      <c r="A56" s="863" t="s">
        <v>200</v>
      </c>
      <c r="B56" s="646" t="str">
        <f>'3. PARTNER'!C15</f>
        <v>SLU-library</v>
      </c>
      <c r="C56" s="1174" t="str">
        <f>IF(M2192=0,"",M2192)</f>
        <v/>
      </c>
      <c r="D56" s="1175"/>
      <c r="E56" s="1181" t="str">
        <f>IF(M2184=0,"",M2184)</f>
        <v/>
      </c>
      <c r="F56" s="1182"/>
      <c r="G56" s="1155" t="str">
        <f>IF(E2196=0,"",E2196)</f>
        <v/>
      </c>
      <c r="H56" s="1165"/>
      <c r="I56" s="874" t="str">
        <f>IF(L2166=0,"",L2166)</f>
        <v/>
      </c>
      <c r="J56" s="72"/>
      <c r="K56" s="72"/>
      <c r="L56" s="72"/>
      <c r="M56" s="72"/>
    </row>
    <row r="57" spans="1:13" ht="14.7" customHeight="1" x14ac:dyDescent="0.2">
      <c r="A57" s="853" t="s">
        <v>320</v>
      </c>
      <c r="B57" s="666" t="str">
        <f>IF('1. INTRO'!$I$2="English","SLU-common support ","SLU-gemensamt stöd ")</f>
        <v xml:space="preserve">SLU-common support </v>
      </c>
      <c r="C57" s="1223" t="str">
        <f>IF(M2244=0,"",M2244)</f>
        <v/>
      </c>
      <c r="D57" s="1224"/>
      <c r="E57" s="1157" t="str">
        <f>IF(M2236=0,"",M2236)</f>
        <v/>
      </c>
      <c r="F57" s="1225"/>
      <c r="G57" s="1157" t="str">
        <f>IF(E2246=0,"",E2246)</f>
        <v/>
      </c>
      <c r="H57" s="1158"/>
      <c r="I57" s="886" t="str">
        <f>IF(L2218=0,"",L2218)</f>
        <v/>
      </c>
      <c r="J57" s="72"/>
      <c r="K57" s="72"/>
      <c r="L57" s="72"/>
      <c r="M57" s="72"/>
    </row>
    <row r="58" spans="1:13" ht="14.7" customHeight="1" x14ac:dyDescent="0.2">
      <c r="A58" s="854" t="s">
        <v>321</v>
      </c>
      <c r="B58" s="649" t="s">
        <v>105</v>
      </c>
      <c r="C58" s="1246" t="str">
        <f>IF(M2280=0,"",M2280)</f>
        <v/>
      </c>
      <c r="D58" s="1247"/>
      <c r="E58" s="1159" t="str">
        <f>IF(M2272=0,"",M2272)</f>
        <v/>
      </c>
      <c r="F58" s="1211"/>
      <c r="G58" s="1159" t="str">
        <f>IF(E2282=0,"",E2282)</f>
        <v/>
      </c>
      <c r="H58" s="1160"/>
      <c r="I58" s="887" t="str">
        <f>IF(L2254=0,"",L2254)</f>
        <v/>
      </c>
      <c r="J58" s="72"/>
      <c r="K58" s="72"/>
      <c r="L58" s="72"/>
      <c r="M58" s="72"/>
    </row>
    <row r="59" spans="1:13" ht="14.7" customHeight="1" x14ac:dyDescent="0.25">
      <c r="A59" s="855" t="s">
        <v>235</v>
      </c>
      <c r="B59" s="650" t="str">
        <f>IF('3. PARTNER'!C51="","",'3. PARTNER'!C51)</f>
        <v/>
      </c>
      <c r="C59" s="1219" t="str">
        <f>IF(M2316=0,"",M2316)</f>
        <v/>
      </c>
      <c r="D59" s="1220"/>
      <c r="E59" s="1219" t="str">
        <f>IF(M2308=0,"",M2308)</f>
        <v/>
      </c>
      <c r="F59" s="1248"/>
      <c r="G59" s="1212" t="str">
        <f>IF(E2320=0,"",E2320)</f>
        <v/>
      </c>
      <c r="H59" s="1213"/>
      <c r="I59" s="888" t="str">
        <f>IF(L2290=0,"",L2290)</f>
        <v/>
      </c>
      <c r="J59" s="1207"/>
      <c r="K59" s="1200"/>
      <c r="L59" s="1200"/>
      <c r="M59" s="1200"/>
    </row>
    <row r="60" spans="1:13" ht="14.7" customHeight="1" x14ac:dyDescent="0.25">
      <c r="A60" s="856" t="s">
        <v>236</v>
      </c>
      <c r="B60" s="651" t="str">
        <f>IF('3. PARTNER'!C52="","",'3. PARTNER'!C52)</f>
        <v/>
      </c>
      <c r="C60" s="1174" t="str">
        <f>IF(M2368=0,"",M2368)</f>
        <v/>
      </c>
      <c r="D60" s="1156"/>
      <c r="E60" s="1174" t="str">
        <f>IF(M2360=0,"",M2360)</f>
        <v/>
      </c>
      <c r="F60" s="1249"/>
      <c r="G60" s="1174" t="str">
        <f>IF(E2372=0,"",E2372)</f>
        <v/>
      </c>
      <c r="H60" s="1180"/>
      <c r="I60" s="889" t="str">
        <f>IF(L2342=0,"",L2342)</f>
        <v/>
      </c>
      <c r="J60" s="1207"/>
      <c r="K60" s="1200"/>
      <c r="L60" s="1200"/>
      <c r="M60" s="1200"/>
    </row>
    <row r="61" spans="1:13" ht="14.7" customHeight="1" x14ac:dyDescent="0.25">
      <c r="A61" s="857" t="s">
        <v>237</v>
      </c>
      <c r="B61" s="652" t="str">
        <f>IF('3. PARTNER'!C53="","",'3. PARTNER'!C53)</f>
        <v/>
      </c>
      <c r="C61" s="1208" t="str">
        <f>IF(M2420=0,"",M2420)</f>
        <v/>
      </c>
      <c r="D61" s="1218"/>
      <c r="E61" s="1208" t="str">
        <f>IF(M2412=0,"",M2412)</f>
        <v/>
      </c>
      <c r="F61" s="1249"/>
      <c r="G61" s="1208" t="str">
        <f>IF(E2424=0,"",E2424)</f>
        <v/>
      </c>
      <c r="H61" s="1209"/>
      <c r="I61" s="890" t="str">
        <f>IF(L2394=0,"",L2394)</f>
        <v/>
      </c>
      <c r="J61" s="1207"/>
      <c r="K61" s="1200"/>
      <c r="L61" s="1200"/>
      <c r="M61" s="1200"/>
    </row>
    <row r="62" spans="1:13" ht="14.7" customHeight="1" x14ac:dyDescent="0.25">
      <c r="A62" s="856" t="s">
        <v>238</v>
      </c>
      <c r="B62" s="651" t="str">
        <f>IF('3. PARTNER'!C54="","",'3. PARTNER'!C54)</f>
        <v/>
      </c>
      <c r="C62" s="1174" t="str">
        <f>IF(M2472=0,"",M2472)</f>
        <v/>
      </c>
      <c r="D62" s="1156"/>
      <c r="E62" s="1174" t="str">
        <f>IF(M2464=0,"",M2464)</f>
        <v/>
      </c>
      <c r="F62" s="1180"/>
      <c r="G62" s="1174" t="str">
        <f>IF(E2476=0,"",E2476)</f>
        <v/>
      </c>
      <c r="H62" s="1180"/>
      <c r="I62" s="889" t="str">
        <f>IF(L2446=0,"",L2446)</f>
        <v/>
      </c>
      <c r="J62" s="1207"/>
      <c r="K62" s="1200"/>
      <c r="L62" s="1200"/>
      <c r="M62" s="1200"/>
    </row>
    <row r="63" spans="1:13" ht="14.7" customHeight="1" x14ac:dyDescent="0.25">
      <c r="A63" s="857" t="s">
        <v>239</v>
      </c>
      <c r="B63" s="652" t="str">
        <f>IF('3. PARTNER'!C55="","",'3. PARTNER'!C55)</f>
        <v/>
      </c>
      <c r="C63" s="1208" t="str">
        <f>IF(M2524=0,"",M2524)</f>
        <v/>
      </c>
      <c r="D63" s="1218"/>
      <c r="E63" s="1208" t="str">
        <f>IF(M2516=0,"",M2516)</f>
        <v/>
      </c>
      <c r="F63" s="1249"/>
      <c r="G63" s="1208" t="str">
        <f>IF(E2528=0,"",E2528)</f>
        <v/>
      </c>
      <c r="H63" s="1209"/>
      <c r="I63" s="890" t="str">
        <f>IF(L2498=0,"",L2498)</f>
        <v/>
      </c>
      <c r="J63" s="1207"/>
      <c r="K63" s="1200"/>
      <c r="L63" s="1200"/>
      <c r="M63" s="1200"/>
    </row>
    <row r="64" spans="1:13" ht="14.7" customHeight="1" x14ac:dyDescent="0.25">
      <c r="A64" s="856" t="s">
        <v>240</v>
      </c>
      <c r="B64" s="651" t="str">
        <f>IF('3. PARTNER'!C56="","",'3. PARTNER'!C56)</f>
        <v/>
      </c>
      <c r="C64" s="1174" t="str">
        <f>IF(M2576=0,"",M2576)</f>
        <v/>
      </c>
      <c r="D64" s="1156"/>
      <c r="E64" s="1174" t="str">
        <f>IF(M2568=0,"",M2568)</f>
        <v/>
      </c>
      <c r="F64" s="1180"/>
      <c r="G64" s="1174" t="str">
        <f>IF(E2580=0,"",E2580)</f>
        <v/>
      </c>
      <c r="H64" s="1180"/>
      <c r="I64" s="889" t="str">
        <f>IF(L2550=0,"",L2550)</f>
        <v/>
      </c>
      <c r="J64" s="1207"/>
      <c r="K64" s="1200"/>
      <c r="L64" s="1200"/>
      <c r="M64" s="1200"/>
    </row>
    <row r="65" spans="1:13" ht="14.7" customHeight="1" x14ac:dyDescent="0.25">
      <c r="A65" s="857" t="s">
        <v>241</v>
      </c>
      <c r="B65" s="652" t="str">
        <f>IF('3. PARTNER'!C57="","",'3. PARTNER'!C57)</f>
        <v/>
      </c>
      <c r="C65" s="1208" t="str">
        <f>IF(M2628=0,"",M2628)</f>
        <v/>
      </c>
      <c r="D65" s="1218"/>
      <c r="E65" s="1208" t="str">
        <f>IF(M2620=0,"",M2620)</f>
        <v/>
      </c>
      <c r="F65" s="1249"/>
      <c r="G65" s="1208" t="str">
        <f>IF(E2632=0,"",E2632)</f>
        <v/>
      </c>
      <c r="H65" s="1209"/>
      <c r="I65" s="890" t="str">
        <f>IF(L2602=0,"",L2602)</f>
        <v/>
      </c>
      <c r="J65" s="1207"/>
      <c r="K65" s="1200"/>
      <c r="L65" s="1200"/>
      <c r="M65" s="1200"/>
    </row>
    <row r="66" spans="1:13" ht="14.7" customHeight="1" x14ac:dyDescent="0.25">
      <c r="A66" s="856" t="s">
        <v>242</v>
      </c>
      <c r="B66" s="651" t="str">
        <f>IF('3. PARTNER'!C58="","",'3. PARTNER'!C58)</f>
        <v/>
      </c>
      <c r="C66" s="1174" t="str">
        <f>IF(M2680=0,"",M2680)</f>
        <v/>
      </c>
      <c r="D66" s="1156"/>
      <c r="E66" s="1174" t="str">
        <f>IF(M2672=0,"",M2672)</f>
        <v/>
      </c>
      <c r="F66" s="1180"/>
      <c r="G66" s="1174" t="str">
        <f>IF(E2684=0,"",E2684)</f>
        <v/>
      </c>
      <c r="H66" s="1180"/>
      <c r="I66" s="889" t="str">
        <f>IF(L2654=0,"",L2654)</f>
        <v/>
      </c>
      <c r="J66" s="1207"/>
      <c r="K66" s="1200"/>
      <c r="L66" s="1200"/>
      <c r="M66" s="1200"/>
    </row>
    <row r="67" spans="1:13" ht="14.7" customHeight="1" x14ac:dyDescent="0.25">
      <c r="A67" s="857" t="s">
        <v>243</v>
      </c>
      <c r="B67" s="652" t="str">
        <f>IF('3. PARTNER'!C59="","",'3. PARTNER'!C59)</f>
        <v/>
      </c>
      <c r="C67" s="1208" t="str">
        <f>IF(M2732=0,"",M2732)</f>
        <v/>
      </c>
      <c r="D67" s="1218"/>
      <c r="E67" s="1208" t="str">
        <f>IF(M2724=0,"",M2724)</f>
        <v/>
      </c>
      <c r="F67" s="1209"/>
      <c r="G67" s="1208" t="str">
        <f>IF(E2736=0,"",E2736)</f>
        <v/>
      </c>
      <c r="H67" s="1209"/>
      <c r="I67" s="890" t="str">
        <f>IF(L2706=0,"",L2706)</f>
        <v/>
      </c>
      <c r="J67" s="1207"/>
      <c r="K67" s="1200"/>
      <c r="L67" s="1200"/>
      <c r="M67" s="1200"/>
    </row>
    <row r="68" spans="1:13" ht="14.7" customHeight="1" x14ac:dyDescent="0.25">
      <c r="A68" s="856" t="s">
        <v>244</v>
      </c>
      <c r="B68" s="651" t="str">
        <f>IF('3. PARTNER'!C60="","",'3. PARTNER'!C60)</f>
        <v/>
      </c>
      <c r="C68" s="1174" t="str">
        <f>IF(M2784=0,"",M2784)</f>
        <v/>
      </c>
      <c r="D68" s="1156"/>
      <c r="E68" s="1174" t="str">
        <f>IF(M2776=0,"",M2776)</f>
        <v/>
      </c>
      <c r="F68" s="1180"/>
      <c r="G68" s="1174" t="str">
        <f>IF(E2788=0,"",E2788)</f>
        <v/>
      </c>
      <c r="H68" s="1180"/>
      <c r="I68" s="889" t="str">
        <f>IF(L2758=0,"",L2758)</f>
        <v/>
      </c>
      <c r="J68" s="1207"/>
      <c r="K68" s="1200"/>
      <c r="L68" s="1200"/>
      <c r="M68" s="1200"/>
    </row>
    <row r="69" spans="1:13" ht="14.7" customHeight="1" x14ac:dyDescent="0.25">
      <c r="A69" s="857" t="s">
        <v>245</v>
      </c>
      <c r="B69" s="652" t="str">
        <f>IF('3. PARTNER'!C61="","",'3. PARTNER'!C61)</f>
        <v/>
      </c>
      <c r="C69" s="1208" t="str">
        <f>IF(M2836=0,"",M2836)</f>
        <v/>
      </c>
      <c r="D69" s="1218"/>
      <c r="E69" s="1208" t="str">
        <f>IF(M2828=0,"",M2828)</f>
        <v/>
      </c>
      <c r="F69" s="1209"/>
      <c r="G69" s="1208" t="str">
        <f>IF(E2840=0,"",E2840)</f>
        <v/>
      </c>
      <c r="H69" s="1209"/>
      <c r="I69" s="890" t="str">
        <f>IF(L2810=0,"",L2810)</f>
        <v/>
      </c>
      <c r="J69" s="1207"/>
      <c r="K69" s="1200"/>
      <c r="L69" s="1200"/>
      <c r="M69" s="1200"/>
    </row>
    <row r="70" spans="1:13" ht="14.7" customHeight="1" x14ac:dyDescent="0.25">
      <c r="A70" s="856" t="s">
        <v>246</v>
      </c>
      <c r="B70" s="651" t="str">
        <f>IF('3. PARTNER'!C62="","",'3. PARTNER'!C62)</f>
        <v/>
      </c>
      <c r="C70" s="1174" t="str">
        <f>IF(M2888=0,"",M2888)</f>
        <v/>
      </c>
      <c r="D70" s="1156"/>
      <c r="E70" s="1174" t="str">
        <f>IF(M2880=0,"",M2880)</f>
        <v/>
      </c>
      <c r="F70" s="1180"/>
      <c r="G70" s="1174" t="str">
        <f>IF(E2892=0,"",E2892)</f>
        <v/>
      </c>
      <c r="H70" s="1180"/>
      <c r="I70" s="889" t="str">
        <f>IF(L2862=0,"",L2862)</f>
        <v/>
      </c>
      <c r="J70" s="1207"/>
      <c r="K70" s="1200"/>
      <c r="L70" s="1200"/>
      <c r="M70" s="1200"/>
    </row>
    <row r="71" spans="1:13" ht="14.7" customHeight="1" x14ac:dyDescent="0.25">
      <c r="A71" s="857" t="s">
        <v>247</v>
      </c>
      <c r="B71" s="652" t="str">
        <f>IF('3. PARTNER'!C63="","",'3. PARTNER'!C63)</f>
        <v/>
      </c>
      <c r="C71" s="1208" t="str">
        <f>IF(M2940=0,"",M2940)</f>
        <v/>
      </c>
      <c r="D71" s="1218"/>
      <c r="E71" s="1208" t="str">
        <f>IF(M2932=0,"",M2932)</f>
        <v/>
      </c>
      <c r="F71" s="1209"/>
      <c r="G71" s="1208" t="str">
        <f>IF(E2944=0,"",E2944)</f>
        <v/>
      </c>
      <c r="H71" s="1209"/>
      <c r="I71" s="890" t="str">
        <f>IF(L2914=0,"",L2914)</f>
        <v/>
      </c>
      <c r="J71" s="1207"/>
      <c r="K71" s="1200"/>
      <c r="L71" s="1200"/>
      <c r="M71" s="1200"/>
    </row>
    <row r="72" spans="1:13" ht="14.7" customHeight="1" x14ac:dyDescent="0.25">
      <c r="A72" s="856" t="s">
        <v>248</v>
      </c>
      <c r="B72" s="651" t="str">
        <f>IF('3. PARTNER'!C64="","",'3. PARTNER'!C64)</f>
        <v/>
      </c>
      <c r="C72" s="1174" t="str">
        <f>IF(M2992=0,"",M2992)</f>
        <v/>
      </c>
      <c r="D72" s="1156"/>
      <c r="E72" s="1174" t="str">
        <f>IF(M2984=0,"",M2984)</f>
        <v/>
      </c>
      <c r="F72" s="1180"/>
      <c r="G72" s="1174" t="str">
        <f>IF(E2996=0,"",E2996)</f>
        <v/>
      </c>
      <c r="H72" s="1180"/>
      <c r="I72" s="889" t="str">
        <f>IF(L2966=0,"",L2966)</f>
        <v/>
      </c>
      <c r="J72" s="1207"/>
      <c r="K72" s="1200"/>
      <c r="L72" s="1200"/>
      <c r="M72" s="1200"/>
    </row>
    <row r="73" spans="1:13" ht="14.7" customHeight="1" x14ac:dyDescent="0.25">
      <c r="A73" s="857" t="s">
        <v>249</v>
      </c>
      <c r="B73" s="652" t="str">
        <f>IF('3. PARTNER'!C65="","",'3. PARTNER'!C65)</f>
        <v/>
      </c>
      <c r="C73" s="1208" t="str">
        <f>IF(M3044=0,"",M3044)</f>
        <v/>
      </c>
      <c r="D73" s="1218"/>
      <c r="E73" s="1208" t="str">
        <f>IF(M3036=0,"",M3036)</f>
        <v/>
      </c>
      <c r="F73" s="1209"/>
      <c r="G73" s="1208" t="str">
        <f>IF(E3048=0,"",E3048)</f>
        <v/>
      </c>
      <c r="H73" s="1209"/>
      <c r="I73" s="890" t="str">
        <f>IF(L3018=0,"",L3018)</f>
        <v/>
      </c>
      <c r="J73" s="1207"/>
      <c r="K73" s="1200"/>
      <c r="L73" s="1200"/>
      <c r="M73" s="1200"/>
    </row>
    <row r="74" spans="1:13" ht="14.7" customHeight="1" x14ac:dyDescent="0.25">
      <c r="A74" s="856" t="s">
        <v>250</v>
      </c>
      <c r="B74" s="651" t="str">
        <f>IF('3. PARTNER'!C66="","",'3. PARTNER'!C66)</f>
        <v/>
      </c>
      <c r="C74" s="1174" t="str">
        <f>IF(M3096=0,"",M3096)</f>
        <v/>
      </c>
      <c r="D74" s="1156"/>
      <c r="E74" s="1174" t="str">
        <f>IF(M3088=0,"",M3088)</f>
        <v/>
      </c>
      <c r="F74" s="1180"/>
      <c r="G74" s="1174" t="str">
        <f>IF(E3100=0,"",E3100)</f>
        <v/>
      </c>
      <c r="H74" s="1180"/>
      <c r="I74" s="889" t="str">
        <f>IF(L3070=0,"",L3070)</f>
        <v/>
      </c>
      <c r="J74" s="1207"/>
      <c r="K74" s="1200"/>
      <c r="L74" s="1200"/>
      <c r="M74" s="1200"/>
    </row>
    <row r="75" spans="1:13" ht="14.7" customHeight="1" x14ac:dyDescent="0.25">
      <c r="A75" s="857" t="s">
        <v>251</v>
      </c>
      <c r="B75" s="652" t="str">
        <f>IF('3. PARTNER'!C67="","",'3. PARTNER'!C67)</f>
        <v/>
      </c>
      <c r="C75" s="1208" t="str">
        <f>IF(M3148=0,"",M3148)</f>
        <v/>
      </c>
      <c r="D75" s="1218"/>
      <c r="E75" s="1208" t="str">
        <f>IF(M3140=0,"",M3140)</f>
        <v/>
      </c>
      <c r="F75" s="1209"/>
      <c r="G75" s="1208" t="str">
        <f>IF(E3152=0,"",E3152)</f>
        <v/>
      </c>
      <c r="H75" s="1209"/>
      <c r="I75" s="890" t="str">
        <f>IF(L3122=0,"",L3122)</f>
        <v/>
      </c>
      <c r="J75" s="1207"/>
      <c r="K75" s="1200"/>
      <c r="L75" s="1200"/>
      <c r="M75" s="1200"/>
    </row>
    <row r="76" spans="1:13" ht="14.7" customHeight="1" x14ac:dyDescent="0.25">
      <c r="A76" s="856" t="s">
        <v>252</v>
      </c>
      <c r="B76" s="651" t="str">
        <f>IF('3. PARTNER'!C68="","",'3. PARTNER'!C68)</f>
        <v/>
      </c>
      <c r="C76" s="1174" t="str">
        <f>IF(M3200=0,"",M3200)</f>
        <v/>
      </c>
      <c r="D76" s="1156"/>
      <c r="E76" s="1174" t="str">
        <f>IF(M3192=0,"",M3192)</f>
        <v/>
      </c>
      <c r="F76" s="1180"/>
      <c r="G76" s="1174" t="str">
        <f>IF(E3204=0,"",E3204)</f>
        <v/>
      </c>
      <c r="H76" s="1180"/>
      <c r="I76" s="889" t="str">
        <f>IF(L3174=0,"",L3174)</f>
        <v/>
      </c>
      <c r="J76" s="1207"/>
      <c r="K76" s="1200"/>
      <c r="L76" s="1200"/>
      <c r="M76" s="1200"/>
    </row>
    <row r="77" spans="1:13" ht="14.7" customHeight="1" x14ac:dyDescent="0.25">
      <c r="A77" s="857" t="s">
        <v>253</v>
      </c>
      <c r="B77" s="652" t="str">
        <f>IF('3. PARTNER'!C69="","",'3. PARTNER'!C69)</f>
        <v/>
      </c>
      <c r="C77" s="1208" t="str">
        <f>IF(M3252=0,"",M3252)</f>
        <v/>
      </c>
      <c r="D77" s="1218"/>
      <c r="E77" s="1208" t="str">
        <f>IF(M3244=0,"",M3244)</f>
        <v/>
      </c>
      <c r="F77" s="1209"/>
      <c r="G77" s="1208" t="str">
        <f>IF(E3256=0,"",E3256)</f>
        <v/>
      </c>
      <c r="H77" s="1209"/>
      <c r="I77" s="890" t="str">
        <f>IF(L3226=0,"",L3226)</f>
        <v/>
      </c>
      <c r="J77" s="1207"/>
      <c r="K77" s="1200"/>
      <c r="L77" s="1200"/>
      <c r="M77" s="1200"/>
    </row>
    <row r="78" spans="1:13" ht="14.7" customHeight="1" x14ac:dyDescent="0.25">
      <c r="A78" s="856" t="s">
        <v>254</v>
      </c>
      <c r="B78" s="651" t="str">
        <f>IF('3. PARTNER'!C70="","",'3. PARTNER'!C70)</f>
        <v/>
      </c>
      <c r="C78" s="1174" t="str">
        <f>IF(M3304=0,"",M3304)</f>
        <v/>
      </c>
      <c r="D78" s="1156"/>
      <c r="E78" s="1174" t="str">
        <f>IF(M3296=0,"",M3296)</f>
        <v/>
      </c>
      <c r="F78" s="1180"/>
      <c r="G78" s="1174" t="str">
        <f>IF(E3308=0,"",E3308)</f>
        <v/>
      </c>
      <c r="H78" s="1180"/>
      <c r="I78" s="889" t="str">
        <f>IF(L3278=0,"",L3278)</f>
        <v/>
      </c>
      <c r="J78" s="1207"/>
      <c r="K78" s="1200"/>
      <c r="L78" s="1200"/>
      <c r="M78" s="1200"/>
    </row>
    <row r="79" spans="1:13" ht="14.7" customHeight="1" x14ac:dyDescent="0.25">
      <c r="A79" s="857" t="s">
        <v>255</v>
      </c>
      <c r="B79" s="652" t="str">
        <f>IF('3. PARTNER'!C71="","",'3. PARTNER'!C71)</f>
        <v/>
      </c>
      <c r="C79" s="1208" t="str">
        <f>IF(M3356=0,"",M3356)</f>
        <v/>
      </c>
      <c r="D79" s="1218"/>
      <c r="E79" s="1208" t="str">
        <f>IF(M3348=0,"",M3348)</f>
        <v/>
      </c>
      <c r="F79" s="1209"/>
      <c r="G79" s="1208" t="str">
        <f>IF(E3360=0,"",E3360)</f>
        <v/>
      </c>
      <c r="H79" s="1209"/>
      <c r="I79" s="890" t="str">
        <f>IF(L3330=0,"",L3330)</f>
        <v/>
      </c>
      <c r="J79" s="1207"/>
      <c r="K79" s="1200"/>
      <c r="L79" s="1200"/>
      <c r="M79" s="1200"/>
    </row>
    <row r="80" spans="1:13" ht="14.7" customHeight="1" x14ac:dyDescent="0.25">
      <c r="A80" s="856" t="s">
        <v>256</v>
      </c>
      <c r="B80" s="651" t="str">
        <f>IF('3. PARTNER'!C72="","",'3. PARTNER'!C72)</f>
        <v/>
      </c>
      <c r="C80" s="1174" t="str">
        <f>IF(M3408=0,"",M3408)</f>
        <v/>
      </c>
      <c r="D80" s="1156"/>
      <c r="E80" s="1174" t="str">
        <f>IF(M3400=0,"",M3400)</f>
        <v/>
      </c>
      <c r="F80" s="1180"/>
      <c r="G80" s="1174" t="str">
        <f>IF(E3412=0,"",E3412)</f>
        <v/>
      </c>
      <c r="H80" s="1180"/>
      <c r="I80" s="889" t="str">
        <f>IF(L3382=0,"",L3382)</f>
        <v/>
      </c>
      <c r="J80" s="1207"/>
      <c r="K80" s="1200"/>
      <c r="L80" s="1200"/>
      <c r="M80" s="1200"/>
    </row>
    <row r="81" spans="1:13" ht="14.7" customHeight="1" x14ac:dyDescent="0.25">
      <c r="A81" s="857" t="s">
        <v>257</v>
      </c>
      <c r="B81" s="652" t="str">
        <f>IF('3. PARTNER'!C73="","",'3. PARTNER'!C73)</f>
        <v/>
      </c>
      <c r="C81" s="1208" t="str">
        <f>IF(M3460=0,"",M3460)</f>
        <v/>
      </c>
      <c r="D81" s="1218"/>
      <c r="E81" s="1208" t="str">
        <f>IF(M3452=0,"",M3452)</f>
        <v/>
      </c>
      <c r="F81" s="1209"/>
      <c r="G81" s="1208" t="str">
        <f>IF(E3464=0,"",E3464)</f>
        <v/>
      </c>
      <c r="H81" s="1209"/>
      <c r="I81" s="890" t="str">
        <f>IF(L3434=0,"",L3434)</f>
        <v/>
      </c>
      <c r="J81" s="1207"/>
      <c r="K81" s="1200"/>
      <c r="L81" s="1200"/>
      <c r="M81" s="1200"/>
    </row>
    <row r="82" spans="1:13" ht="14.7" customHeight="1" x14ac:dyDescent="0.25">
      <c r="A82" s="856" t="s">
        <v>258</v>
      </c>
      <c r="B82" s="651" t="str">
        <f>IF('3. PARTNER'!C74="","",'3. PARTNER'!C74)</f>
        <v/>
      </c>
      <c r="C82" s="1174" t="str">
        <f>IF(M3512=0,"",M3512)</f>
        <v/>
      </c>
      <c r="D82" s="1156"/>
      <c r="E82" s="1174" t="str">
        <f>IF(M3504=0,"",M3504)</f>
        <v/>
      </c>
      <c r="F82" s="1180"/>
      <c r="G82" s="1174" t="str">
        <f>IF(E3516=0,"",E3516)</f>
        <v/>
      </c>
      <c r="H82" s="1180"/>
      <c r="I82" s="889" t="str">
        <f>IF(L3486=0,"",L3486)</f>
        <v/>
      </c>
      <c r="J82" s="1207"/>
      <c r="K82" s="1200"/>
      <c r="L82" s="1200"/>
      <c r="M82" s="1200"/>
    </row>
    <row r="83" spans="1:13" ht="14.7" customHeight="1" x14ac:dyDescent="0.25">
      <c r="A83" s="857" t="s">
        <v>259</v>
      </c>
      <c r="B83" s="652" t="str">
        <f>IF('3. PARTNER'!C75="","",'3. PARTNER'!C75)</f>
        <v/>
      </c>
      <c r="C83" s="1208" t="str">
        <f>IF(M3564=0,"",M3564)</f>
        <v/>
      </c>
      <c r="D83" s="1218"/>
      <c r="E83" s="1208" t="str">
        <f>IF(M3556=0,"",M3556)</f>
        <v/>
      </c>
      <c r="F83" s="1209"/>
      <c r="G83" s="1208" t="str">
        <f>IF(E3568=0,"",E3568)</f>
        <v/>
      </c>
      <c r="H83" s="1209"/>
      <c r="I83" s="890" t="str">
        <f>IF(L3538=0,"",L3538)</f>
        <v/>
      </c>
      <c r="J83" s="1207"/>
      <c r="K83" s="1200"/>
      <c r="L83" s="1200"/>
      <c r="M83" s="1200"/>
    </row>
    <row r="84" spans="1:13" ht="14.7" customHeight="1" x14ac:dyDescent="0.25">
      <c r="A84" s="856" t="s">
        <v>260</v>
      </c>
      <c r="B84" s="651" t="str">
        <f>IF('3. PARTNER'!C76="","",'3. PARTNER'!C76)</f>
        <v/>
      </c>
      <c r="C84" s="1174" t="str">
        <f>IF(M3616=0,"",M3616)</f>
        <v/>
      </c>
      <c r="D84" s="1156"/>
      <c r="E84" s="1174" t="str">
        <f>IF(M3608=0,"",M3608)</f>
        <v/>
      </c>
      <c r="F84" s="1180"/>
      <c r="G84" s="1174" t="str">
        <f>IF(E3620=0,"",E3620)</f>
        <v/>
      </c>
      <c r="H84" s="1180"/>
      <c r="I84" s="889" t="str">
        <f>IF(L3590=0,"",L3590)</f>
        <v/>
      </c>
      <c r="J84" s="1207"/>
      <c r="K84" s="1200"/>
      <c r="L84" s="1200"/>
      <c r="M84" s="1200"/>
    </row>
    <row r="85" spans="1:13" ht="14.7" customHeight="1" x14ac:dyDescent="0.25">
      <c r="A85" s="857" t="s">
        <v>261</v>
      </c>
      <c r="B85" s="652" t="str">
        <f>IF('3. PARTNER'!C77="","",'3. PARTNER'!C77)</f>
        <v/>
      </c>
      <c r="C85" s="1208" t="str">
        <f>IF(M3668=0,"",M3668)</f>
        <v/>
      </c>
      <c r="D85" s="1218"/>
      <c r="E85" s="1208" t="str">
        <f>IF(M3660=0,"",M3660)</f>
        <v/>
      </c>
      <c r="F85" s="1209"/>
      <c r="G85" s="1208" t="str">
        <f>IF(E3672=0,"",E3672)</f>
        <v/>
      </c>
      <c r="H85" s="1209"/>
      <c r="I85" s="890" t="str">
        <f>IF(L3642=0,"",L3642)</f>
        <v/>
      </c>
      <c r="J85" s="1207"/>
      <c r="K85" s="1200"/>
      <c r="L85" s="1200"/>
      <c r="M85" s="1200"/>
    </row>
    <row r="86" spans="1:13" ht="14.7" customHeight="1" x14ac:dyDescent="0.25">
      <c r="A86" s="856" t="s">
        <v>262</v>
      </c>
      <c r="B86" s="651" t="str">
        <f>IF('3. PARTNER'!C78="","",'3. PARTNER'!C78)</f>
        <v/>
      </c>
      <c r="C86" s="1174" t="str">
        <f>IF(M3720=0,"",M3720)</f>
        <v/>
      </c>
      <c r="D86" s="1156"/>
      <c r="E86" s="1174" t="str">
        <f>IF(M3712=0,"",M3712)</f>
        <v/>
      </c>
      <c r="F86" s="1180"/>
      <c r="G86" s="1174" t="str">
        <f>IF(E3724=0,"",E3724)</f>
        <v/>
      </c>
      <c r="H86" s="1180"/>
      <c r="I86" s="889" t="str">
        <f>IF(L3694=0,"",L3694)</f>
        <v/>
      </c>
      <c r="J86" s="1207"/>
      <c r="K86" s="1200"/>
      <c r="L86" s="1200"/>
      <c r="M86" s="1200"/>
    </row>
    <row r="87" spans="1:13" ht="14.7" customHeight="1" x14ac:dyDescent="0.25">
      <c r="A87" s="857" t="s">
        <v>263</v>
      </c>
      <c r="B87" s="652" t="str">
        <f>IF('3. PARTNER'!C79="","",'3. PARTNER'!C79)</f>
        <v/>
      </c>
      <c r="C87" s="1208" t="str">
        <f>IF(M3772=0,"",M3772)</f>
        <v/>
      </c>
      <c r="D87" s="1218"/>
      <c r="E87" s="1208" t="str">
        <f>IF(M3764=0,"",M3764)</f>
        <v/>
      </c>
      <c r="F87" s="1209"/>
      <c r="G87" s="1208" t="str">
        <f>IF(E3776=0,"",E3776)</f>
        <v/>
      </c>
      <c r="H87" s="1209"/>
      <c r="I87" s="890" t="str">
        <f>IF(L3746=0,"",L3746)</f>
        <v/>
      </c>
      <c r="J87" s="1207"/>
      <c r="K87" s="1200"/>
      <c r="L87" s="1200"/>
      <c r="M87" s="1200"/>
    </row>
    <row r="88" spans="1:13" ht="14.7" customHeight="1" x14ac:dyDescent="0.25">
      <c r="A88" s="858" t="s">
        <v>264</v>
      </c>
      <c r="B88" s="653" t="str">
        <f>IF('3. PARTNER'!C80="","",'3. PARTNER'!C80)</f>
        <v/>
      </c>
      <c r="C88" s="1181" t="str">
        <f>IF(M3824=0,"",M3824)</f>
        <v/>
      </c>
      <c r="D88" s="1252"/>
      <c r="E88" s="1181" t="str">
        <f>IF(M3816=0,"",M3816)</f>
        <v/>
      </c>
      <c r="F88" s="1214"/>
      <c r="G88" s="1181" t="str">
        <f>IF(E3828=0,"",E3828)</f>
        <v/>
      </c>
      <c r="H88" s="1214"/>
      <c r="I88" s="891" t="str">
        <f>IF(L3798=0,"",L3798)</f>
        <v/>
      </c>
      <c r="J88" s="1207"/>
      <c r="K88" s="1200"/>
      <c r="L88" s="1200"/>
      <c r="M88" s="1200"/>
    </row>
    <row r="89" spans="1:13" ht="14.7" customHeight="1" x14ac:dyDescent="0.2">
      <c r="A89" s="859" t="s">
        <v>328</v>
      </c>
      <c r="B89" s="648" t="str">
        <f>IF('1. INTRO'!$I$2="English","External partners total ","Externa parter totalt ")</f>
        <v xml:space="preserve">External partners total </v>
      </c>
      <c r="C89" s="1253" t="str">
        <f>IF(M3876=0,"",M3876)</f>
        <v/>
      </c>
      <c r="D89" s="1254"/>
      <c r="E89" s="1255" t="str">
        <f>IF(M3868=0,"",M3868)</f>
        <v/>
      </c>
      <c r="F89" s="1256"/>
      <c r="G89" s="1257"/>
      <c r="H89" s="1258"/>
      <c r="I89" s="892" t="str">
        <f>IF(L3850=0,"",L3850)</f>
        <v/>
      </c>
    </row>
    <row r="90" spans="1:13" ht="14.7" customHeight="1" x14ac:dyDescent="0.2">
      <c r="A90" s="854" t="s">
        <v>329</v>
      </c>
      <c r="B90" s="649" t="str">
        <f>IF('1. INTRO'!$I$2="English","Project total (see sheet 9) ","Projekt totalt (se blad 9) ")</f>
        <v xml:space="preserve">Project total (see sheet 9) </v>
      </c>
      <c r="C90" s="1246" t="str">
        <f>IF(M3910=0,"",M3910)</f>
        <v/>
      </c>
      <c r="D90" s="1247"/>
      <c r="E90" s="1255" t="str">
        <f>IF(M3902=0,"",M3902)</f>
        <v/>
      </c>
      <c r="F90" s="1256"/>
      <c r="G90" s="1257"/>
      <c r="H90" s="1258"/>
      <c r="I90" s="887" t="str">
        <f>IF(L3884=0,"",L3884)</f>
        <v/>
      </c>
    </row>
    <row r="91" spans="1:13" ht="12" customHeight="1" x14ac:dyDescent="0.2"/>
    <row r="92" spans="1:13" s="3" customFormat="1" ht="12.75" customHeight="1" x14ac:dyDescent="0.25">
      <c r="B92" s="313" t="str">
        <f>'3. PARTNER'!C$4</f>
        <v xml:space="preserve">Project: </v>
      </c>
      <c r="C92" s="1062" t="str">
        <f>'3. PARTNER'!D$4</f>
        <v/>
      </c>
      <c r="D92" s="1001"/>
      <c r="E92" s="1001"/>
      <c r="F92" s="1001"/>
      <c r="G92" s="1001"/>
      <c r="H92" s="1001"/>
      <c r="I92" s="1001"/>
      <c r="J92" s="1001"/>
      <c r="K92" s="1001"/>
      <c r="L92" s="1001"/>
      <c r="M92" s="1001"/>
    </row>
    <row r="93" spans="1:13" s="3" customFormat="1" ht="13.2" x14ac:dyDescent="0.25">
      <c r="B93" s="313" t="str">
        <f>'3. PARTNER'!C$5</f>
        <v xml:space="preserve">Calculation for: </v>
      </c>
      <c r="C93" s="1062" t="str">
        <f>'3. PARTNER'!D$5</f>
        <v>APPLICATION</v>
      </c>
      <c r="D93" s="1001"/>
      <c r="E93" s="268"/>
      <c r="F93" s="268"/>
      <c r="G93" s="268"/>
      <c r="H93" s="268"/>
      <c r="I93" s="268"/>
      <c r="J93" s="268"/>
      <c r="K93" s="268"/>
      <c r="L93" s="268"/>
      <c r="M93" s="268"/>
    </row>
    <row r="94" spans="1:13" s="3" customFormat="1" ht="13.2" customHeight="1" x14ac:dyDescent="0.25">
      <c r="B94" s="35" t="str">
        <f>'3. PARTNER'!C$6</f>
        <v xml:space="preserve">Project leader: </v>
      </c>
      <c r="C94" s="1062" t="str">
        <f>'3. PARTNER'!D$6</f>
        <v/>
      </c>
      <c r="D94" s="1001"/>
      <c r="E94" s="1001"/>
      <c r="F94" s="1001"/>
      <c r="G94" s="1001"/>
      <c r="H94" s="1001"/>
      <c r="I94" s="1001"/>
      <c r="J94" s="1001"/>
      <c r="K94" s="1001"/>
      <c r="L94" s="1001"/>
      <c r="M94" s="1001"/>
    </row>
    <row r="95" spans="1:13" s="3" customFormat="1" ht="13.2" x14ac:dyDescent="0.25">
      <c r="B95" s="313" t="str">
        <f>'5. PERSON'!B$7</f>
        <v xml:space="preserve">Amounts in: </v>
      </c>
      <c r="C95" s="655" t="str">
        <f>'5. PERSON'!C$7</f>
        <v>SEK</v>
      </c>
      <c r="D95" s="268"/>
      <c r="E95" s="268"/>
      <c r="F95" s="268"/>
      <c r="G95" s="234"/>
      <c r="H95" s="234"/>
      <c r="I95" s="270"/>
      <c r="J95" s="270"/>
      <c r="K95" s="270"/>
      <c r="L95" s="270"/>
      <c r="M95" s="270"/>
    </row>
    <row r="96" spans="1:13" s="3" customFormat="1" ht="13.2" x14ac:dyDescent="0.25">
      <c r="B96" s="313"/>
      <c r="C96" s="1053" t="str">
        <f>'3. PARTNER'!D$7</f>
        <v>Other basic data about the project is in sheet 2.</v>
      </c>
      <c r="D96" s="1001"/>
      <c r="E96" s="1001"/>
      <c r="F96" s="1001"/>
      <c r="G96" s="234"/>
      <c r="H96" s="234"/>
      <c r="I96" s="270"/>
      <c r="J96" s="270"/>
      <c r="K96" s="270"/>
      <c r="L96" s="251" t="s">
        <v>4</v>
      </c>
      <c r="M96" s="270"/>
    </row>
    <row r="97" spans="2:15" ht="12.75" customHeight="1" x14ac:dyDescent="0.25">
      <c r="D97" s="644"/>
      <c r="J97" s="641" t="s">
        <v>322</v>
      </c>
      <c r="K97" s="641" t="s">
        <v>323</v>
      </c>
      <c r="L97" s="641" t="str">
        <f>IF('1. INTRO'!I$2="English","months","månader")</f>
        <v>months</v>
      </c>
    </row>
    <row r="98" spans="2:15" s="3" customFormat="1" ht="13.8" x14ac:dyDescent="0.25">
      <c r="B98" s="157" t="str">
        <f>IF('1. INTRO'!I$2="English","Project costs","Projektkostnader")</f>
        <v>Project costs</v>
      </c>
      <c r="C98" s="668" t="str">
        <f>A15</f>
        <v>595LTV</v>
      </c>
      <c r="D98" s="1227" t="str">
        <f>B15</f>
        <v>Urban and Rural Development LTV</v>
      </c>
      <c r="E98" s="1001"/>
      <c r="F98" s="1004"/>
      <c r="G98" s="1004"/>
      <c r="H98" s="37"/>
      <c r="I98" s="37"/>
      <c r="J98" s="643"/>
      <c r="K98" s="643"/>
      <c r="L98" s="642">
        <f>SUMIF('5. PERSON'!$B$17:$B$192,$C98,'5. PERSON'!AE$17:AE$192)</f>
        <v>0</v>
      </c>
      <c r="M98" s="680" t="s">
        <v>330</v>
      </c>
    </row>
    <row r="99" spans="2:15" s="3" customFormat="1" ht="6" customHeight="1" x14ac:dyDescent="0.25">
      <c r="B99" s="57"/>
      <c r="C99" s="37"/>
      <c r="D99" s="37"/>
      <c r="E99" s="37"/>
      <c r="F99" s="37"/>
      <c r="G99" s="37"/>
      <c r="H99" s="37"/>
      <c r="I99" s="37"/>
      <c r="J99" s="37"/>
      <c r="K99" s="37"/>
      <c r="L99" s="37"/>
      <c r="M99" s="37"/>
    </row>
    <row r="100" spans="2:15" s="3" customFormat="1" ht="13.2" x14ac:dyDescent="0.25">
      <c r="B100" s="110" t="str">
        <f>IF('1. INTRO'!I$2="English","Costs to be covered by funding body","Kostnader att täckas av finansiär")</f>
        <v>Costs to be covered by funding body</v>
      </c>
      <c r="C100" s="111">
        <f>'5. PERSON'!G$15</f>
        <v>1900</v>
      </c>
      <c r="D100" s="111" t="str">
        <f>'5. PERSON'!H$15</f>
        <v/>
      </c>
      <c r="E100" s="111" t="str">
        <f>'5. PERSON'!I$15</f>
        <v/>
      </c>
      <c r="F100" s="111" t="str">
        <f>'5. PERSON'!J$15</f>
        <v/>
      </c>
      <c r="G100" s="111" t="str">
        <f>'5. PERSON'!K$15</f>
        <v/>
      </c>
      <c r="H100" s="111" t="str">
        <f>'5. PERSON'!L$15</f>
        <v/>
      </c>
      <c r="I100" s="111" t="str">
        <f>'5. PERSON'!M$15</f>
        <v/>
      </c>
      <c r="J100" s="111" t="str">
        <f>'5. PERSON'!N$15</f>
        <v/>
      </c>
      <c r="K100" s="111" t="str">
        <f>'5. PERSON'!O$15</f>
        <v/>
      </c>
      <c r="L100" s="111" t="str">
        <f>'5. PERSON'!P$15</f>
        <v/>
      </c>
      <c r="M100" s="112" t="s">
        <v>2</v>
      </c>
    </row>
    <row r="101" spans="2:15" s="3" customFormat="1" ht="12.75" customHeight="1" x14ac:dyDescent="0.25">
      <c r="B101" s="682" t="str">
        <f>IF('1. INTRO'!I$2="English","Salary including social costs (LKP)","Lön inklusive LKP")</f>
        <v>Salary including social costs (LKP)</v>
      </c>
      <c r="C101" s="683">
        <f>IF('2. START'!$C$14&gt;0,SUMIF('5. PERSON'!$B$17:$B$192,$C98,'5. PERSON'!DN$17:DN$192),SUMIF('5. PERSON'!$B$17:$B$192,$C98,'5. PERSON'!AT$17:AT$192))</f>
        <v>0</v>
      </c>
      <c r="D101" s="683">
        <f>IF('2. START'!$C$14&gt;0,SUMIF('5. PERSON'!$B$17:$B$192,$C98,'5. PERSON'!DO$17:DO$192),SUMIF('5. PERSON'!$B$17:$B$192,$C98,'5. PERSON'!AU$17:AU$192))</f>
        <v>0</v>
      </c>
      <c r="E101" s="683">
        <f>IF('2. START'!$C$14&gt;0,SUMIF('5. PERSON'!$B$17:$B$192,$C98,'5. PERSON'!DP$17:DP$192),SUMIF('5. PERSON'!$B$17:$B$192,$C98,'5. PERSON'!AV$17:AV$192))</f>
        <v>0</v>
      </c>
      <c r="F101" s="683">
        <f>IF('2. START'!$C$14&gt;0,SUMIF('5. PERSON'!$B$17:$B$192,$C98,'5. PERSON'!DQ$17:DQ$192),SUMIF('5. PERSON'!$B$17:$B$192,$C98,'5. PERSON'!AW$17:AW$192))</f>
        <v>0</v>
      </c>
      <c r="G101" s="683">
        <f>IF('2. START'!$C$14&gt;0,SUMIF('5. PERSON'!$B$17:$B$192,$C98,'5. PERSON'!DR$17:DR$192),SUMIF('5. PERSON'!$B$17:$B$192,$C98,'5. PERSON'!AX$17:AX$192))</f>
        <v>0</v>
      </c>
      <c r="H101" s="683">
        <f>IF('2. START'!$C$14&gt;0,SUMIF('5. PERSON'!$B$17:$B$192,$C98,'5. PERSON'!DS$17:DS$192),SUMIF('5. PERSON'!$B$17:$B$192,$C98,'5. PERSON'!AY$17:AY$192))</f>
        <v>0</v>
      </c>
      <c r="I101" s="683">
        <f>IF('2. START'!$C$14&gt;0,SUMIF('5. PERSON'!$B$17:$B$192,$C98,'5. PERSON'!DT$17:DT$192),SUMIF('5. PERSON'!$B$17:$B$192,$C98,'5. PERSON'!AZ$17:AZ$192))</f>
        <v>0</v>
      </c>
      <c r="J101" s="683">
        <f>IF('2. START'!$C$14&gt;0,SUMIF('5. PERSON'!$B$17:$B$192,$C98,'5. PERSON'!DU$17:DU$192),SUMIF('5. PERSON'!$B$17:$B$192,$C98,'5. PERSON'!BA$17:BA$192))</f>
        <v>0</v>
      </c>
      <c r="K101" s="683">
        <f>IF('2. START'!$C$14&gt;0,SUMIF('5. PERSON'!$B$17:$B$192,$C98,'5. PERSON'!DV$17:DV$192),SUMIF('5. PERSON'!$B$17:$B$192,$C98,'5. PERSON'!BB$17:BB$192))</f>
        <v>0</v>
      </c>
      <c r="L101" s="683">
        <f>IF('2. START'!$C$14&gt;0,SUMIF('5. PERSON'!$B$17:$B$192,$C98,'5. PERSON'!DW$17:DW$192),SUMIF('5. PERSON'!$B$17:$B$192,$C98,'5. PERSON'!BC$17:BC$192))</f>
        <v>0</v>
      </c>
      <c r="M101" s="684">
        <f t="shared" ref="M101:M106" si="0">SUM(C101:L101)</f>
        <v>0</v>
      </c>
      <c r="O101" s="4"/>
    </row>
    <row r="102" spans="2:15" s="3" customFormat="1" ht="12.75" customHeight="1" x14ac:dyDescent="0.25">
      <c r="B102" s="80" t="str">
        <f>IF('1. INTRO'!I$2="English","Operating","Drift")</f>
        <v>Operating</v>
      </c>
      <c r="C102" s="116">
        <f>SUMIF('6. OPERATION'!$B$17:$B$149,$C98,'6. OPERATION'!W$17:W$149)</f>
        <v>0</v>
      </c>
      <c r="D102" s="116">
        <f>SUMIF('6. OPERATION'!$B$17:$B$149,$C98,'6. OPERATION'!X$17:X$149)</f>
        <v>0</v>
      </c>
      <c r="E102" s="116">
        <f>SUMIF('6. OPERATION'!$B$17:$B$149,$C98,'6. OPERATION'!Y$17:Y$149)</f>
        <v>0</v>
      </c>
      <c r="F102" s="116">
        <f>SUMIF('6. OPERATION'!$B$17:$B$149,$C98,'6. OPERATION'!Z$17:Z$149)</f>
        <v>0</v>
      </c>
      <c r="G102" s="116">
        <f>SUMIF('6. OPERATION'!$B$17:$B$149,$C98,'6. OPERATION'!AA$17:AA$149)</f>
        <v>0</v>
      </c>
      <c r="H102" s="116">
        <f>SUMIF('6. OPERATION'!$B$17:$B$149,$C98,'6. OPERATION'!AB$17:AB$149)</f>
        <v>0</v>
      </c>
      <c r="I102" s="116">
        <f>SUMIF('6. OPERATION'!$B$17:$B$149,$C98,'6. OPERATION'!AC$17:AC$149)</f>
        <v>0</v>
      </c>
      <c r="J102" s="116">
        <f>SUMIF('6. OPERATION'!$B$17:$B$149,$C98,'6. OPERATION'!AD$17:AD$149)</f>
        <v>0</v>
      </c>
      <c r="K102" s="116">
        <f>SUMIF('6. OPERATION'!$B$17:$B$149,$C98,'6. OPERATION'!AE$17:AE$149)</f>
        <v>0</v>
      </c>
      <c r="L102" s="116">
        <f>SUMIF('6. OPERATION'!$B$17:$B$149,$C98,'6. OPERATION'!AF$17:AF$149)</f>
        <v>0</v>
      </c>
      <c r="M102" s="117">
        <f t="shared" si="0"/>
        <v>0</v>
      </c>
    </row>
    <row r="103" spans="2:15" s="3" customFormat="1" ht="13.2" customHeight="1" x14ac:dyDescent="0.25">
      <c r="B103" s="685" t="str">
        <f>IF('1. INTRO'!I$2="English","Equipment","Utrustning")</f>
        <v>Equipment</v>
      </c>
      <c r="C103" s="686">
        <f>SUMIF('7. INVEST'!$B$17:$B$49,$C98,'7. INVEST'!W$17:W$49)</f>
        <v>0</v>
      </c>
      <c r="D103" s="686">
        <f>SUMIF('7. INVEST'!$B$17:$B$49,$C98,'7. INVEST'!X$17:X$49)</f>
        <v>0</v>
      </c>
      <c r="E103" s="686">
        <f>SUMIF('7. INVEST'!$B$17:$B$49,$C98,'7. INVEST'!Y$17:Y$49)</f>
        <v>0</v>
      </c>
      <c r="F103" s="686">
        <f>SUMIF('7. INVEST'!$B$17:$B$49,$C98,'7. INVEST'!Z$17:Z$49)</f>
        <v>0</v>
      </c>
      <c r="G103" s="686">
        <f>SUMIF('7. INVEST'!$B$17:$B$49,$C98,'7. INVEST'!AA$17:AA$49)</f>
        <v>0</v>
      </c>
      <c r="H103" s="686">
        <f>SUMIF('7. INVEST'!$B$17:$B$49,$C98,'7. INVEST'!AB$17:AB$49)</f>
        <v>0</v>
      </c>
      <c r="I103" s="686">
        <f>SUMIF('7. INVEST'!$B$17:$B$49,$C98,'7. INVEST'!AC$17:AC$49)</f>
        <v>0</v>
      </c>
      <c r="J103" s="686">
        <f>SUMIF('7. INVEST'!$B$17:$B$49,$C98,'7. INVEST'!AD$17:AD$49)</f>
        <v>0</v>
      </c>
      <c r="K103" s="686">
        <f>SUMIF('7. INVEST'!$B$17:$B$49,$C98,'7. INVEST'!AE$17:AE$49)</f>
        <v>0</v>
      </c>
      <c r="L103" s="686">
        <f>SUMIF('7. INVEST'!$B$17:$B$49,$C98,'7. INVEST'!AF$17:AF$49)</f>
        <v>0</v>
      </c>
      <c r="M103" s="687">
        <f t="shared" si="0"/>
        <v>0</v>
      </c>
    </row>
    <row r="104" spans="2:15" s="3" customFormat="1" ht="13.2" x14ac:dyDescent="0.25">
      <c r="B104" s="121" t="str">
        <f>IF('1. INTRO'!I$2="English",(IF('2. START'!C$11="NO","Facility accepted as direct cost by funding body","Facility")),IF('2. START'!C$11="NO","Lokal accepterad som direkt kostnad av finansiär","Lokal"))</f>
        <v>Facility</v>
      </c>
      <c r="C104" s="116">
        <f>IF('2. START'!$C$11="NO",SUMIF('8. FACILIT'!$B$18:$B$50,$C98,'8. FACILIT'!T$18:T$50),SUMIF('5. PERSON'!$B$17:$B$192,$C98,'5. PERSON'!CP$17:CP$192)+SUMIF('6. OPERATION'!$B$17:$B$149,$C98,'6. OPERATION'!BS$17:BS$149)+SUMIF('8. FACILIT'!$B$18:$B$50,$C98,'8. FACILIT'!T$18:T$50))</f>
        <v>0</v>
      </c>
      <c r="D104" s="116">
        <f>IF('2. START'!$C$11="NO",SUMIF('8. FACILIT'!$B$18:$B$50,$C98,'8. FACILIT'!U$18:U$50),SUMIF('5. PERSON'!$B$17:$B$192,$C98,'5. PERSON'!CQ$17:CQ$192)+SUMIF('6. OPERATION'!$B$17:$B$149,$C98,'6. OPERATION'!BT$17:BT$149)+SUMIF('8. FACILIT'!$B$18:$B$50,$C98,'8. FACILIT'!U$18:U$50))</f>
        <v>0</v>
      </c>
      <c r="E104" s="116">
        <f>IF('2. START'!$C$11="NO",SUMIF('8. FACILIT'!$B$18:$B$50,$C98,'8. FACILIT'!V$18:V$50),SUMIF('5. PERSON'!$B$17:$B$192,$C98,'5. PERSON'!CR$17:CR$192)+SUMIF('6. OPERATION'!$B$17:$B$149,$C98,'6. OPERATION'!BU$17:BU$149)+SUMIF('8. FACILIT'!$B$18:$B$50,$C98,'8. FACILIT'!V$18:V$50))</f>
        <v>0</v>
      </c>
      <c r="F104" s="116">
        <f>IF('2. START'!$C$11="NO",SUMIF('8. FACILIT'!$B$18:$B$50,$C98,'8. FACILIT'!W$18:W$50),SUMIF('5. PERSON'!$B$17:$B$192,$C98,'5. PERSON'!CS$17:CS$192)+SUMIF('6. OPERATION'!$B$17:$B$149,$C98,'6. OPERATION'!BV$17:BV$149)+SUMIF('8. FACILIT'!$B$18:$B$50,$C98,'8. FACILIT'!W$18:W$50))</f>
        <v>0</v>
      </c>
      <c r="G104" s="116">
        <f>IF('2. START'!$C$11="NO",SUMIF('8. FACILIT'!$B$18:$B$50,$C98,'8. FACILIT'!X$18:X$50),SUMIF('5. PERSON'!$B$17:$B$192,$C98,'5. PERSON'!CT$17:CT$192)+SUMIF('6. OPERATION'!$B$17:$B$149,$C98,'6. OPERATION'!BW$17:BW$149)+SUMIF('8. FACILIT'!$B$18:$B$50,$C98,'8. FACILIT'!X$18:X$50))</f>
        <v>0</v>
      </c>
      <c r="H104" s="116">
        <f>IF('2. START'!$C$11="NO",SUMIF('8. FACILIT'!$B$18:$B$50,$C98,'8. FACILIT'!Y$18:Y$50),SUMIF('5. PERSON'!$B$17:$B$192,$C98,'5. PERSON'!CU$17:CU$192)+SUMIF('6. OPERATION'!$B$17:$B$149,$C98,'6. OPERATION'!BX$17:BX$149)+SUMIF('8. FACILIT'!$B$18:$B$50,$C98,'8. FACILIT'!Y$18:Y$50))</f>
        <v>0</v>
      </c>
      <c r="I104" s="116">
        <f>IF('2. START'!$C$11="NO",SUMIF('8. FACILIT'!$B$18:$B$50,$C98,'8. FACILIT'!Z$18:Z$50),SUMIF('5. PERSON'!$B$17:$B$192,$C98,'5. PERSON'!CV$17:CV$192)+SUMIF('6. OPERATION'!$B$17:$B$149,$C98,'6. OPERATION'!BY$17:BY$149)+SUMIF('8. FACILIT'!$B$18:$B$50,$C98,'8. FACILIT'!Z$18:Z$50))</f>
        <v>0</v>
      </c>
      <c r="J104" s="116">
        <f>IF('2. START'!$C$11="NO",SUMIF('8. FACILIT'!$B$18:$B$50,$C98,'8. FACILIT'!AA$18:AA$50),SUMIF('5. PERSON'!$B$17:$B$192,$C98,'5. PERSON'!CW$17:CW$192)+SUMIF('6. OPERATION'!$B$17:$B$149,$C98,'6. OPERATION'!BZ$17:BZ$149)+SUMIF('8. FACILIT'!$B$18:$B$50,$C98,'8. FACILIT'!AA$18:AA$50))</f>
        <v>0</v>
      </c>
      <c r="K104" s="116">
        <f>IF('2. START'!$C$11="NO",SUMIF('8. FACILIT'!$B$18:$B$50,$C98,'8. FACILIT'!AB$18:AB$50),SUMIF('5. PERSON'!$B$17:$B$192,$C98,'5. PERSON'!CX$17:CX$192)+SUMIF('6. OPERATION'!$B$17:$B$149,$C98,'6. OPERATION'!CA$17:CA$149)+SUMIF('8. FACILIT'!$B$18:$B$50,$C98,'8. FACILIT'!AB$18:AB$50))</f>
        <v>0</v>
      </c>
      <c r="L104" s="116">
        <f>IF('2. START'!$C$11="NO",SUMIF('8. FACILIT'!$B$18:$B$50,$C98,'8. FACILIT'!AC$18:AC$50),SUMIF('5. PERSON'!$B$17:$B$192,$C98,'5. PERSON'!CY$17:CY$192)+SUMIF('6. OPERATION'!$B$17:$B$149,$C98,'6. OPERATION'!CB$17:CB$149)+SUMIF('8. FACILIT'!$B$18:$B$50,$C98,'8. FACILIT'!AC$18:AC$50))</f>
        <v>0</v>
      </c>
      <c r="M104" s="117">
        <f t="shared" si="0"/>
        <v>0</v>
      </c>
    </row>
    <row r="105" spans="2:15" s="3" customFormat="1" ht="13.2" x14ac:dyDescent="0.25">
      <c r="B105" s="688" t="str">
        <f>IF('1. INTRO'!I$2="English",(IF('2. START'!C$11="NO","Indirect and facility charge accepted as OH by funding body","Indirect")),IF('2. START'!C$11="NO","Indirekt och lokalpåslag accepterade som OH av finansiär","Indirekt"))</f>
        <v>Indirect</v>
      </c>
      <c r="C105" s="689">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689">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689">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689">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689">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689">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689">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689">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689">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689">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687">
        <f t="shared" si="0"/>
        <v>0</v>
      </c>
    </row>
    <row r="106" spans="2:15" s="3" customFormat="1" ht="13.2" x14ac:dyDescent="0.25">
      <c r="B106" s="124" t="s">
        <v>113</v>
      </c>
      <c r="C106" s="102">
        <f>SUM(C101:C105)</f>
        <v>0</v>
      </c>
      <c r="D106" s="102">
        <f t="shared" ref="D106:L106" si="1">SUM(D101:D105)</f>
        <v>0</v>
      </c>
      <c r="E106" s="102">
        <f t="shared" si="1"/>
        <v>0</v>
      </c>
      <c r="F106" s="102">
        <f t="shared" si="1"/>
        <v>0</v>
      </c>
      <c r="G106" s="102">
        <f t="shared" si="1"/>
        <v>0</v>
      </c>
      <c r="H106" s="102">
        <f t="shared" si="1"/>
        <v>0</v>
      </c>
      <c r="I106" s="102">
        <f t="shared" si="1"/>
        <v>0</v>
      </c>
      <c r="J106" s="102">
        <f t="shared" si="1"/>
        <v>0</v>
      </c>
      <c r="K106" s="102">
        <f t="shared" si="1"/>
        <v>0</v>
      </c>
      <c r="L106" s="102">
        <f t="shared" si="1"/>
        <v>0</v>
      </c>
      <c r="M106" s="125">
        <f t="shared" si="0"/>
        <v>0</v>
      </c>
    </row>
    <row r="107" spans="2:15" s="3" customFormat="1" ht="6" customHeight="1" x14ac:dyDescent="0.25">
      <c r="B107" s="126"/>
      <c r="C107" s="127"/>
      <c r="D107" s="127"/>
      <c r="E107" s="127"/>
      <c r="F107" s="127"/>
      <c r="G107" s="127"/>
      <c r="H107" s="127"/>
      <c r="I107" s="127"/>
      <c r="J107" s="127"/>
      <c r="K107" s="127"/>
      <c r="L107" s="127"/>
      <c r="M107" s="128"/>
    </row>
    <row r="108" spans="2:15" s="3" customFormat="1" ht="13.2" x14ac:dyDescent="0.25">
      <c r="B108" s="129" t="str">
        <f>IF('1. INTRO'!I$2="English","Costs to be co-funded","Kostnader att medfinansiera")</f>
        <v>Costs to be co-funded</v>
      </c>
      <c r="C108" s="86"/>
      <c r="D108" s="86"/>
      <c r="E108" s="86"/>
      <c r="F108" s="86"/>
      <c r="G108" s="86"/>
      <c r="H108" s="86"/>
      <c r="I108" s="86"/>
      <c r="J108" s="86"/>
      <c r="K108" s="86"/>
      <c r="L108" s="86"/>
      <c r="M108" s="130"/>
    </row>
    <row r="109" spans="2:15" s="3" customFormat="1" ht="13.2" x14ac:dyDescent="0.25">
      <c r="B109" s="690" t="str">
        <f>IF('1. INTRO'!I$2="English",(IF('2. START'!C$11="NO","Indirect and facility charge not accepted as OH by funding body","")),IF('2. START'!C$11="NO","Indirekt och lokalpåslag inte accepterade som OH av finansiär",""))</f>
        <v/>
      </c>
      <c r="C109" s="691">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691">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691">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691">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691">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691">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691">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691">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691">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691">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684">
        <f t="shared" ref="M109:M115" si="2">SUM(C109:L109)</f>
        <v>0</v>
      </c>
    </row>
    <row r="110" spans="2:15" s="3" customFormat="1" ht="12.75" customHeight="1" x14ac:dyDescent="0.25">
      <c r="B110" s="132" t="str">
        <f>IF('1. INTRO'!I$2="English",(IF('2. START'!C$14&gt;0,"Social costs (LKP) not accepted by funding body","")),IF('2. START'!C$14&gt;0,"LKP som inte accepteras av finansiär",""))</f>
        <v/>
      </c>
      <c r="C110" s="133">
        <f>IF('2. START'!$C$14&gt;0,SUMIF('5. PERSON'!$B$17:$B$192,$C98,'5. PERSON'!AT$17:AT$192)-SUMIF('5. PERSON'!$B$17:$B$192,$C98,'5. PERSON'!DN$17:DN$192),0)</f>
        <v>0</v>
      </c>
      <c r="D110" s="133">
        <f>IF('2. START'!$C$14&gt;0,SUMIF('5. PERSON'!$B$17:$B$192,$C98,'5. PERSON'!AU$17:AU$192)-SUMIF('5. PERSON'!$B$17:$B$192,$C98,'5. PERSON'!DO$17:DO$192),0)</f>
        <v>0</v>
      </c>
      <c r="E110" s="133">
        <f>IF('2. START'!$C$14&gt;0,SUMIF('5. PERSON'!$B$17:$B$192,$C98,'5. PERSON'!AV$17:AV$192)-SUMIF('5. PERSON'!$B$17:$B$192,$C98,'5. PERSON'!DP$17:DP$192),0)</f>
        <v>0</v>
      </c>
      <c r="F110" s="133">
        <f>IF('2. START'!$C$14&gt;0,SUMIF('5. PERSON'!$B$17:$B$192,$C98,'5. PERSON'!AW$17:AW$192)-SUMIF('5. PERSON'!$B$17:$B$192,$C98,'5. PERSON'!DQ$17:DQ$192),0)</f>
        <v>0</v>
      </c>
      <c r="G110" s="133">
        <f>IF('2. START'!$C$14&gt;0,SUMIF('5. PERSON'!$B$17:$B$192,$C98,'5. PERSON'!AX$17:AX$192)-SUMIF('5. PERSON'!$B$17:$B$192,$C98,'5. PERSON'!DR$17:DR$192),0)</f>
        <v>0</v>
      </c>
      <c r="H110" s="133">
        <f>IF('2. START'!$C$14&gt;0,SUMIF('5. PERSON'!$B$17:$B$192,$C98,'5. PERSON'!AY$17:AY$192)-SUMIF('5. PERSON'!$B$17:$B$192,$C98,'5. PERSON'!DS$17:DS$192),0)</f>
        <v>0</v>
      </c>
      <c r="I110" s="133">
        <f>IF('2. START'!$C$14&gt;0,SUMIF('5. PERSON'!$B$17:$B$192,$C98,'5. PERSON'!AZ$17:AZ$192)-SUMIF('5. PERSON'!$B$17:$B$192,$C98,'5. PERSON'!DT$17:DT$192),0)</f>
        <v>0</v>
      </c>
      <c r="J110" s="133">
        <f>IF('2. START'!$C$14&gt;0,SUMIF('5. PERSON'!$B$17:$B$192,$C98,'5. PERSON'!BA$17:BA$192)-SUMIF('5. PERSON'!$B$17:$B$192,$C98,'5. PERSON'!DU$17:DU$192),0)</f>
        <v>0</v>
      </c>
      <c r="K110" s="133">
        <f>IF('2. START'!$C$14&gt;0,SUMIF('5. PERSON'!$B$17:$B$192,$C98,'5. PERSON'!BB$17:BB$192)-SUMIF('5. PERSON'!$B$17:$B$192,$C98,'5. PERSON'!DV$17:DV$192),0)</f>
        <v>0</v>
      </c>
      <c r="L110" s="133">
        <f>IF('2. START'!$C$14&gt;0,SUMIF('5. PERSON'!$B$17:$B$192,$C98,'5. PERSON'!BC$17:BC$192)-SUMIF('5. PERSON'!$B$17:$B$192,$C98,'5. PERSON'!DW$17:DW$192),0)</f>
        <v>0</v>
      </c>
      <c r="M110" s="117">
        <f t="shared" si="2"/>
        <v>0</v>
      </c>
    </row>
    <row r="111" spans="2:15" s="3" customFormat="1" ht="12.75" customHeight="1" x14ac:dyDescent="0.25">
      <c r="B111" s="685" t="str">
        <f>IF('1. INTRO'!I$2="English",(IF('5. PERSON'!BP$193&gt;0,"Salary including social costs (LKP)","")),IF('5. PERSON'!BP$193&gt;0,"Lön inklusive LKP",""))</f>
        <v/>
      </c>
      <c r="C111" s="692">
        <f>SUMIF('5. PERSON'!$B$17:$B$192,$C98,'5. PERSON'!BF$17:BF$192)</f>
        <v>0</v>
      </c>
      <c r="D111" s="692">
        <f>SUMIF('5. PERSON'!$B$17:$B$192,$C98,'5. PERSON'!BG$17:BG$192)</f>
        <v>0</v>
      </c>
      <c r="E111" s="692">
        <f>SUMIF('5. PERSON'!$B$17:$B$192,$C98,'5. PERSON'!BH$17:BH$192)</f>
        <v>0</v>
      </c>
      <c r="F111" s="692">
        <f>SUMIF('5. PERSON'!$B$17:$B$192,$C98,'5. PERSON'!BI$17:BI$192)</f>
        <v>0</v>
      </c>
      <c r="G111" s="692">
        <f>SUMIF('5. PERSON'!$B$17:$B$192,$C98,'5. PERSON'!BJ$17:BJ$192)</f>
        <v>0</v>
      </c>
      <c r="H111" s="692">
        <f>SUMIF('5. PERSON'!$B$17:$B$192,$C98,'5. PERSON'!BK$17:BK$192)</f>
        <v>0</v>
      </c>
      <c r="I111" s="692">
        <f>SUMIF('5. PERSON'!$B$17:$B$192,$C98,'5. PERSON'!BL$17:BL$192)</f>
        <v>0</v>
      </c>
      <c r="J111" s="692">
        <f>SUMIF('5. PERSON'!$B$17:$B$192,$C98,'5. PERSON'!BM$17:BM$192)</f>
        <v>0</v>
      </c>
      <c r="K111" s="692">
        <f>SUMIF('5. PERSON'!$B$17:$B$192,$C98,'5. PERSON'!BN$17:BN$192)</f>
        <v>0</v>
      </c>
      <c r="L111" s="692">
        <f>SUMIF('5. PERSON'!$B$17:$B$192,$C98,'5. PERSON'!BO$17:BO$192)</f>
        <v>0</v>
      </c>
      <c r="M111" s="687">
        <f t="shared" si="2"/>
        <v>0</v>
      </c>
    </row>
    <row r="112" spans="2:15" s="3" customFormat="1" ht="13.2" x14ac:dyDescent="0.25">
      <c r="B112" s="80" t="str">
        <f>IF('1. INTRO'!I$2="English",(IF('6. OPERATION'!AS$150&gt;0,"Operating","")),IF('6. OPERATION'!AS$150&gt;0,"Drift",""))</f>
        <v/>
      </c>
      <c r="C112" s="135">
        <f>SUMIF('6. OPERATION'!$B$17:$B$149,$C98,'6. OPERATION'!AI$17:AI$149)</f>
        <v>0</v>
      </c>
      <c r="D112" s="135">
        <f>SUMIF('6. OPERATION'!$B$17:$B$149,$C98,'6. OPERATION'!AJ$17:AJ$149)</f>
        <v>0</v>
      </c>
      <c r="E112" s="135">
        <f>SUMIF('6. OPERATION'!$B$17:$B$149,$C98,'6. OPERATION'!AK$17:AK$149)</f>
        <v>0</v>
      </c>
      <c r="F112" s="135">
        <f>SUMIF('6. OPERATION'!$B$17:$B$149,$C98,'6. OPERATION'!AL$17:AL$149)</f>
        <v>0</v>
      </c>
      <c r="G112" s="135">
        <f>SUMIF('6. OPERATION'!$B$17:$B$149,$C98,'6. OPERATION'!AM$17:AM$149)</f>
        <v>0</v>
      </c>
      <c r="H112" s="135">
        <f>SUMIF('6. OPERATION'!$B$17:$B$149,$C98,'6. OPERATION'!AN$17:AN$149)</f>
        <v>0</v>
      </c>
      <c r="I112" s="135">
        <f>SUMIF('6. OPERATION'!$B$17:$B$149,$C98,'6. OPERATION'!AO$17:AO$149)</f>
        <v>0</v>
      </c>
      <c r="J112" s="135">
        <f>SUMIF('6. OPERATION'!$B$17:$B$149,$C98,'6. OPERATION'!AP$17:AP$149)</f>
        <v>0</v>
      </c>
      <c r="K112" s="135">
        <f>SUMIF('6. OPERATION'!$B$17:$B$149,$C98,'6. OPERATION'!AQ$17:AQ$149)</f>
        <v>0</v>
      </c>
      <c r="L112" s="135">
        <f>SUMIF('6. OPERATION'!$B$17:$B$149,$C98,'6. OPERATION'!AR$17:AR$149)</f>
        <v>0</v>
      </c>
      <c r="M112" s="117">
        <f t="shared" si="2"/>
        <v>0</v>
      </c>
    </row>
    <row r="113" spans="2:15" s="3" customFormat="1" ht="13.2" x14ac:dyDescent="0.25">
      <c r="B113" s="685" t="str">
        <f>IF('1. INTRO'!I$2="English",(IF('7. INVEST'!AS$50&gt;0,"Equipment","")),IF('7. INVEST'!AS$50&gt;0,"Utrustning",""))</f>
        <v/>
      </c>
      <c r="C113" s="692">
        <f>SUMIF('7. INVEST'!$B$17:$B$49,$C98,'7. INVEST'!AI$17:AI$49)</f>
        <v>0</v>
      </c>
      <c r="D113" s="692">
        <f>SUMIF('7. INVEST'!$B$17:$B$49,$C98,'7. INVEST'!AJ$17:AJ$49)</f>
        <v>0</v>
      </c>
      <c r="E113" s="692">
        <f>SUMIF('7. INVEST'!$B$17:$B$49,$C98,'7. INVEST'!AK$17:AK$49)</f>
        <v>0</v>
      </c>
      <c r="F113" s="692">
        <f>SUMIF('7. INVEST'!$B$17:$B$49,$C98,'7. INVEST'!AL$17:AL$49)</f>
        <v>0</v>
      </c>
      <c r="G113" s="692">
        <f>SUMIF('7. INVEST'!$B$17:$B$49,$C98,'7. INVEST'!AM$17:AM$49)</f>
        <v>0</v>
      </c>
      <c r="H113" s="692">
        <f>SUMIF('7. INVEST'!$B$17:$B$49,$C98,'7. INVEST'!AN$17:AN$49)</f>
        <v>0</v>
      </c>
      <c r="I113" s="692">
        <f>SUMIF('7. INVEST'!$B$17:$B$49,$C98,'7. INVEST'!AO$17:AO$49)</f>
        <v>0</v>
      </c>
      <c r="J113" s="692">
        <f>SUMIF('7. INVEST'!$B$17:$B$49,$C98,'7. INVEST'!AP$17:AP$49)</f>
        <v>0</v>
      </c>
      <c r="K113" s="692">
        <f>SUMIF('7. INVEST'!$B$17:$B$49,$C98,'7. INVEST'!AQ$17:AQ$49)</f>
        <v>0</v>
      </c>
      <c r="L113" s="692">
        <f>SUMIF('7. INVEST'!$B$17:$B$49,$C98,'7. INVEST'!AR$17:AR$49)</f>
        <v>0</v>
      </c>
      <c r="M113" s="687">
        <f t="shared" si="2"/>
        <v>0</v>
      </c>
    </row>
    <row r="114" spans="2:15" s="3" customFormat="1" ht="13.2" x14ac:dyDescent="0.25">
      <c r="B114" s="121" t="str">
        <f>IF('1. INTRO'!I$2="English",(IF('8. FACILIT'!AP$51&gt;0,"Facility","")),IF('8. FACILIT'!AP$51&gt;0,"Lokal",""))</f>
        <v/>
      </c>
      <c r="C114" s="135">
        <f>SUMIF('5. PERSON'!$B$17:$B$192,$C98,'5. PERSON'!DB$17:DB$192)+SUMIF('6. OPERATION'!$B$17:$B$149,$C98,'6. OPERATION'!CE$17:CE$149)+SUMIF('8. FACILIT'!$B$18:$B$50,$C98,'8. FACILIT'!AF$18:AF$50)</f>
        <v>0</v>
      </c>
      <c r="D114" s="135">
        <f>SUMIF('5. PERSON'!$B$17:$B$192,$C98,'5. PERSON'!DC$17:DC$192)+SUMIF('6. OPERATION'!$B$17:$B$149,$C98,'6. OPERATION'!CF$17:CF$149)+SUMIF('8. FACILIT'!$B$18:$B$50,$C98,'8. FACILIT'!AG$18:AG$50)</f>
        <v>0</v>
      </c>
      <c r="E114" s="135">
        <f>SUMIF('5. PERSON'!$B$17:$B$192,$C98,'5. PERSON'!DD$17:DD$192)+SUMIF('6. OPERATION'!$B$17:$B$149,$C98,'6. OPERATION'!CG$17:CG$149)+SUMIF('8. FACILIT'!$B$18:$B$50,$C98,'8. FACILIT'!AH$18:AH$50)</f>
        <v>0</v>
      </c>
      <c r="F114" s="135">
        <f>SUMIF('5. PERSON'!$B$17:$B$192,$C98,'5. PERSON'!DE$17:DE$192)+SUMIF('6. OPERATION'!$B$17:$B$149,$C98,'6. OPERATION'!CH$17:CH$149)+SUMIF('8. FACILIT'!$B$18:$B$50,$C98,'8. FACILIT'!AI$18:AI$50)</f>
        <v>0</v>
      </c>
      <c r="G114" s="135">
        <f>SUMIF('5. PERSON'!$B$17:$B$192,$C98,'5. PERSON'!DF$17:DF$192)+SUMIF('6. OPERATION'!$B$17:$B$149,$C98,'6. OPERATION'!CI$17:CI$149)+SUMIF('8. FACILIT'!$B$18:$B$50,$C98,'8. FACILIT'!AJ$18:AJ$50)</f>
        <v>0</v>
      </c>
      <c r="H114" s="135">
        <f>SUMIF('5. PERSON'!$B$17:$B$192,$C98,'5. PERSON'!DG$17:DG$192)+SUMIF('6. OPERATION'!$B$17:$B$149,$C98,'6. OPERATION'!CJ$17:CJ$149)+SUMIF('8. FACILIT'!$B$18:$B$50,$C98,'8. FACILIT'!AK$18:AK$50)</f>
        <v>0</v>
      </c>
      <c r="I114" s="135">
        <f>SUMIF('5. PERSON'!$B$17:$B$192,$C98,'5. PERSON'!DH$17:DH$192)+SUMIF('6. OPERATION'!$B$17:$B$149,$C98,'6. OPERATION'!CK$17:CK$149)+SUMIF('8. FACILIT'!$B$18:$B$50,$C98,'8. FACILIT'!AL$18:AL$50)</f>
        <v>0</v>
      </c>
      <c r="J114" s="135">
        <f>SUMIF('5. PERSON'!$B$17:$B$192,$C98,'5. PERSON'!DI$17:DI$192)+SUMIF('6. OPERATION'!$B$17:$B$149,$C98,'6. OPERATION'!CL$17:CL$149)+SUMIF('8. FACILIT'!$B$18:$B$50,$C98,'8. FACILIT'!AM$18:AM$50)</f>
        <v>0</v>
      </c>
      <c r="K114" s="135">
        <f>SUMIF('5. PERSON'!$B$17:$B$192,$C98,'5. PERSON'!DJ$17:DJ$192)+SUMIF('6. OPERATION'!$B$17:$B$149,$C98,'6. OPERATION'!CM$17:CM$149)+SUMIF('8. FACILIT'!$B$18:$B$50,$C98,'8. FACILIT'!AN$18:AN$50)</f>
        <v>0</v>
      </c>
      <c r="L114" s="135">
        <f>SUMIF('5. PERSON'!$B$17:$B$192,$C98,'5. PERSON'!DK$17:DK$192)+SUMIF('6. OPERATION'!$B$17:$B$149,$C98,'6. OPERATION'!CN$17:CN$149)+SUMIF('8. FACILIT'!$B$18:$B$50,$C98,'8. FACILIT'!AO$18:AO$50)</f>
        <v>0</v>
      </c>
      <c r="M114" s="117">
        <f t="shared" si="2"/>
        <v>0</v>
      </c>
    </row>
    <row r="115" spans="2:15" s="1" customFormat="1" ht="13.2" x14ac:dyDescent="0.25">
      <c r="B115" s="688" t="str">
        <f>IF('1. INTRO'!I$2="English",(IF(('5. PERSON'!CN$193+'6. OPERATION'!BQ$150)&gt;0,"Indirect","")),IF(('5. PERSON'!CN$193+'6. OPERATION'!BQ$150)&gt;0,"Indirekt",""))</f>
        <v/>
      </c>
      <c r="C115" s="689">
        <f>SUMIF('5. PERSON'!$B$17:$B$192,$C98,'5. PERSON'!CD$17:CD$192)+SUMIF('6. OPERATION'!$B$17:$B$149,$C98,'6. OPERATION'!BG$17:BG$149)</f>
        <v>0</v>
      </c>
      <c r="D115" s="689">
        <f>SUMIF('5. PERSON'!$B$17:$B$192,$C98,'5. PERSON'!CE$17:CE$192)+SUMIF('6. OPERATION'!$B$17:$B$149,$C98,'6. OPERATION'!BH$17:BH$149)</f>
        <v>0</v>
      </c>
      <c r="E115" s="689">
        <f>SUMIF('5. PERSON'!$B$17:$B$192,$C98,'5. PERSON'!CF$17:CF$192)+SUMIF('6. OPERATION'!$B$17:$B$149,$C98,'6. OPERATION'!BI$17:BI$149)</f>
        <v>0</v>
      </c>
      <c r="F115" s="689">
        <f>SUMIF('5. PERSON'!$B$17:$B$192,$C98,'5. PERSON'!CG$17:CG$192)+SUMIF('6. OPERATION'!$B$17:$B$149,$C98,'6. OPERATION'!BJ$17:BJ$149)</f>
        <v>0</v>
      </c>
      <c r="G115" s="689">
        <f>SUMIF('5. PERSON'!$B$17:$B$192,$C98,'5. PERSON'!CH$17:CH$192)+SUMIF('6. OPERATION'!$B$17:$B$149,$C98,'6. OPERATION'!BK$17:BK$149)</f>
        <v>0</v>
      </c>
      <c r="H115" s="689">
        <f>SUMIF('5. PERSON'!$B$17:$B$192,$C98,'5. PERSON'!CI$17:CI$192)+SUMIF('6. OPERATION'!$B$17:$B$149,$C98,'6. OPERATION'!BL$17:BL$149)</f>
        <v>0</v>
      </c>
      <c r="I115" s="689">
        <f>SUMIF('5. PERSON'!$B$17:$B$192,$C98,'5. PERSON'!CJ$17:CJ$192)+SUMIF('6. OPERATION'!$B$17:$B$149,$C98,'6. OPERATION'!BM$17:BM$149)</f>
        <v>0</v>
      </c>
      <c r="J115" s="689">
        <f>SUMIF('5. PERSON'!$B$17:$B$192,$C98,'5. PERSON'!CK$17:CK$192)+SUMIF('6. OPERATION'!$B$17:$B$149,$C98,'6. OPERATION'!BN$17:BN$149)</f>
        <v>0</v>
      </c>
      <c r="K115" s="689">
        <f>SUMIF('5. PERSON'!$B$17:$B$192,$C98,'5. PERSON'!CL$17:CL$192)+SUMIF('6. OPERATION'!$B$17:$B$149,$C98,'6. OPERATION'!BO$17:BO$149)</f>
        <v>0</v>
      </c>
      <c r="L115" s="689">
        <f>SUMIF('5. PERSON'!$B$17:$B$192,$C98,'5. PERSON'!CM$17:CM$192)+SUMIF('6. OPERATION'!$B$17:$B$149,$C98,'6. OPERATION'!BP$17:BP$149)</f>
        <v>0</v>
      </c>
      <c r="M115" s="693">
        <f t="shared" si="2"/>
        <v>0</v>
      </c>
    </row>
    <row r="116" spans="2:15" s="3" customFormat="1" ht="13.2" x14ac:dyDescent="0.25">
      <c r="B116" s="124" t="s">
        <v>113</v>
      </c>
      <c r="C116" s="102">
        <f>SUM(C109:C115)</f>
        <v>0</v>
      </c>
      <c r="D116" s="102">
        <f t="shared" ref="D116:M116" si="3">SUM(D109:D115)</f>
        <v>0</v>
      </c>
      <c r="E116" s="102">
        <f t="shared" si="3"/>
        <v>0</v>
      </c>
      <c r="F116" s="102">
        <f t="shared" si="3"/>
        <v>0</v>
      </c>
      <c r="G116" s="102">
        <f t="shared" si="3"/>
        <v>0</v>
      </c>
      <c r="H116" s="102">
        <f t="shared" si="3"/>
        <v>0</v>
      </c>
      <c r="I116" s="102">
        <f t="shared" si="3"/>
        <v>0</v>
      </c>
      <c r="J116" s="102">
        <f t="shared" si="3"/>
        <v>0</v>
      </c>
      <c r="K116" s="102">
        <f t="shared" si="3"/>
        <v>0</v>
      </c>
      <c r="L116" s="102">
        <f t="shared" si="3"/>
        <v>0</v>
      </c>
      <c r="M116" s="125">
        <f t="shared" si="3"/>
        <v>0</v>
      </c>
      <c r="N116" s="23"/>
      <c r="O116" s="23"/>
    </row>
    <row r="117" spans="2:15" s="3" customFormat="1" ht="6" customHeight="1" x14ac:dyDescent="0.25">
      <c r="B117" s="136"/>
      <c r="C117" s="127"/>
      <c r="D117" s="127"/>
      <c r="E117" s="127"/>
      <c r="F117" s="127"/>
      <c r="G117" s="127"/>
      <c r="H117" s="127"/>
      <c r="I117" s="127"/>
      <c r="J117" s="127"/>
      <c r="K117" s="127"/>
      <c r="L117" s="127"/>
      <c r="M117" s="137"/>
    </row>
    <row r="118" spans="2:15" s="3" customFormat="1" ht="13.2" x14ac:dyDescent="0.25">
      <c r="B118" s="129" t="str">
        <f>IF('1. INTRO'!I$2="English","Full cost","Full kostnad")</f>
        <v>Full cost</v>
      </c>
      <c r="C118" s="127"/>
      <c r="D118" s="127"/>
      <c r="E118" s="127"/>
      <c r="F118" s="127"/>
      <c r="G118" s="127"/>
      <c r="H118" s="127"/>
      <c r="I118" s="127"/>
      <c r="J118" s="127"/>
      <c r="K118" s="127"/>
      <c r="L118" s="127"/>
      <c r="M118" s="137"/>
    </row>
    <row r="119" spans="2:15" s="3" customFormat="1" ht="13.2" x14ac:dyDescent="0.25">
      <c r="B119" s="682" t="str">
        <f>IF('1. INTRO'!I$2="English","Salary including social costs (LKP)","Lön inklusive LKP")</f>
        <v>Salary including social costs (LKP)</v>
      </c>
      <c r="C119" s="694">
        <f>C101+C110+C111</f>
        <v>0</v>
      </c>
      <c r="D119" s="694">
        <f t="shared" ref="D119:L119" si="4">D101+D110+D111</f>
        <v>0</v>
      </c>
      <c r="E119" s="694">
        <f t="shared" si="4"/>
        <v>0</v>
      </c>
      <c r="F119" s="694">
        <f t="shared" si="4"/>
        <v>0</v>
      </c>
      <c r="G119" s="694">
        <f t="shared" si="4"/>
        <v>0</v>
      </c>
      <c r="H119" s="694">
        <f t="shared" si="4"/>
        <v>0</v>
      </c>
      <c r="I119" s="694">
        <f t="shared" si="4"/>
        <v>0</v>
      </c>
      <c r="J119" s="694">
        <f t="shared" si="4"/>
        <v>0</v>
      </c>
      <c r="K119" s="694">
        <f t="shared" si="4"/>
        <v>0</v>
      </c>
      <c r="L119" s="694">
        <f t="shared" si="4"/>
        <v>0</v>
      </c>
      <c r="M119" s="684">
        <f>SUM(C119:L119)</f>
        <v>0</v>
      </c>
    </row>
    <row r="120" spans="2:15" s="3" customFormat="1" ht="13.2" x14ac:dyDescent="0.25">
      <c r="B120" s="80" t="str">
        <f>IF('1. INTRO'!I$2="English","Operating","Drift")</f>
        <v>Operating</v>
      </c>
      <c r="C120" s="139">
        <f>C102+C112</f>
        <v>0</v>
      </c>
      <c r="D120" s="139">
        <f t="shared" ref="D120:L120" si="5">D102+D112</f>
        <v>0</v>
      </c>
      <c r="E120" s="139">
        <f t="shared" si="5"/>
        <v>0</v>
      </c>
      <c r="F120" s="139">
        <f t="shared" si="5"/>
        <v>0</v>
      </c>
      <c r="G120" s="139">
        <f t="shared" si="5"/>
        <v>0</v>
      </c>
      <c r="H120" s="139">
        <f t="shared" si="5"/>
        <v>0</v>
      </c>
      <c r="I120" s="139">
        <f t="shared" si="5"/>
        <v>0</v>
      </c>
      <c r="J120" s="139">
        <f t="shared" si="5"/>
        <v>0</v>
      </c>
      <c r="K120" s="139">
        <f t="shared" si="5"/>
        <v>0</v>
      </c>
      <c r="L120" s="139">
        <f t="shared" si="5"/>
        <v>0</v>
      </c>
      <c r="M120" s="117">
        <f>SUM(C120:L120)</f>
        <v>0</v>
      </c>
    </row>
    <row r="121" spans="2:15" s="3" customFormat="1" ht="13.2" x14ac:dyDescent="0.25">
      <c r="B121" s="685" t="str">
        <f>IF('1. INTRO'!I$2="English","Equipment","Utrustning")</f>
        <v>Equipment</v>
      </c>
      <c r="C121" s="695">
        <f>C103+C113</f>
        <v>0</v>
      </c>
      <c r="D121" s="695">
        <f t="shared" ref="D121:L121" si="6">D103+D113</f>
        <v>0</v>
      </c>
      <c r="E121" s="695">
        <f t="shared" si="6"/>
        <v>0</v>
      </c>
      <c r="F121" s="695">
        <f t="shared" si="6"/>
        <v>0</v>
      </c>
      <c r="G121" s="695">
        <f t="shared" si="6"/>
        <v>0</v>
      </c>
      <c r="H121" s="695">
        <f t="shared" si="6"/>
        <v>0</v>
      </c>
      <c r="I121" s="695">
        <f t="shared" si="6"/>
        <v>0</v>
      </c>
      <c r="J121" s="695">
        <f t="shared" si="6"/>
        <v>0</v>
      </c>
      <c r="K121" s="695">
        <f t="shared" si="6"/>
        <v>0</v>
      </c>
      <c r="L121" s="695">
        <f t="shared" si="6"/>
        <v>0</v>
      </c>
      <c r="M121" s="687">
        <f>SUM(C121:L121)</f>
        <v>0</v>
      </c>
    </row>
    <row r="122" spans="2:15" s="3" customFormat="1" ht="13.2" x14ac:dyDescent="0.25">
      <c r="B122" s="80" t="str">
        <f>IF('1. INTRO'!I$2="English","Facility","Lokal")</f>
        <v>Facility</v>
      </c>
      <c r="C122" s="139">
        <f>SUMIF('5. PERSON'!$B$17:$B$192,$C98,'5. PERSON'!CP$17:CP$192)+SUMIF('5. PERSON'!$B$17:$B$192,$C98,'5. PERSON'!DB$17:DB$192)+SUMIF('6. OPERATION'!$B$17:$B$149,$C98,'6. OPERATION'!BS$17:BS$149)+SUMIF('6. OPERATION'!$B$17:$B$149,$C98,'6. OPERATION'!CE$17:CE$149)+SUMIF('8. FACILIT'!$B$18:$B$50,$C98,'8. FACILIT'!T$18:T$50)+SUMIF('8. FACILIT'!$B$18:$B$50,$C98,'8. FACILIT'!AF$18:AF$50)</f>
        <v>0</v>
      </c>
      <c r="D122" s="139">
        <f>SUMIF('5. PERSON'!$B$17:$B$192,$C98,'5. PERSON'!CQ$17:CQ$192)+SUMIF('5. PERSON'!$B$17:$B$192,$C98,'5. PERSON'!DC$17:DC$192)+SUMIF('6. OPERATION'!$B$17:$B$149,$C98,'6. OPERATION'!BT$17:BT$149)+SUMIF('6. OPERATION'!$B$17:$B$149,$C98,'6. OPERATION'!CF$17:CF$149)+SUMIF('8. FACILIT'!$B$18:$B$50,$C98,'8. FACILIT'!U$18:U$50)+SUMIF('8. FACILIT'!$B$18:$B$50,$C98,'8. FACILIT'!AG$18:AG$50)</f>
        <v>0</v>
      </c>
      <c r="E122" s="139">
        <f>SUMIF('5. PERSON'!$B$17:$B$192,$C98,'5. PERSON'!CR$17:CR$192)+SUMIF('5. PERSON'!$B$17:$B$192,$C98,'5. PERSON'!DD$17:DD$192)+SUMIF('6. OPERATION'!$B$17:$B$149,$C98,'6. OPERATION'!BU$17:BU$149)+SUMIF('6. OPERATION'!$B$17:$B$149,$C98,'6. OPERATION'!CG$17:CG$149)+SUMIF('8. FACILIT'!$B$18:$B$50,$C98,'8. FACILIT'!V$18:V$50)+SUMIF('8. FACILIT'!$B$18:$B$50,$C98,'8. FACILIT'!AH$18:AH$50)</f>
        <v>0</v>
      </c>
      <c r="F122" s="139">
        <f>SUMIF('5. PERSON'!$B$17:$B$192,$C98,'5. PERSON'!CS$17:CS$192)+SUMIF('5. PERSON'!$B$17:$B$192,$C98,'5. PERSON'!DE$17:DE$192)+SUMIF('6. OPERATION'!$B$17:$B$149,$C98,'6. OPERATION'!BV$17:BV$149)+SUMIF('6. OPERATION'!$B$17:$B$149,$C98,'6. OPERATION'!CH$17:CH$149)+SUMIF('8. FACILIT'!$B$18:$B$50,$C98,'8. FACILIT'!W$18:W$50)+SUMIF('8. FACILIT'!$B$18:$B$50,$C98,'8. FACILIT'!AI$18:AI$50)</f>
        <v>0</v>
      </c>
      <c r="G122" s="139">
        <f>SUMIF('5. PERSON'!$B$17:$B$192,$C98,'5. PERSON'!CT$17:CT$192)+SUMIF('5. PERSON'!$B$17:$B$192,$C98,'5. PERSON'!DF$17:DF$192)+SUMIF('6. OPERATION'!$B$17:$B$149,$C98,'6. OPERATION'!BW$17:BW$149)+SUMIF('6. OPERATION'!$B$17:$B$149,$C98,'6. OPERATION'!CI$17:CI$149)+SUMIF('8. FACILIT'!$B$18:$B$50,$C98,'8. FACILIT'!X$18:X$50)+SUMIF('8. FACILIT'!$B$18:$B$50,$C98,'8. FACILIT'!AJ$18:AJ$50)</f>
        <v>0</v>
      </c>
      <c r="H122" s="139">
        <f>SUMIF('5. PERSON'!$B$17:$B$192,$C98,'5. PERSON'!CU$17:CU$192)+SUMIF('5. PERSON'!$B$17:$B$192,$C98,'5. PERSON'!DG$17:DG$192)+SUMIF('6. OPERATION'!$B$17:$B$149,$C98,'6. OPERATION'!BX$17:BX$149)+SUMIF('6. OPERATION'!$B$17:$B$149,$C98,'6. OPERATION'!CJ$17:CJ$149)+SUMIF('8. FACILIT'!$B$18:$B$50,$C98,'8. FACILIT'!Y$18:Y$50)+SUMIF('8. FACILIT'!$B$18:$B$50,$C98,'8. FACILIT'!AK$18:AK$50)</f>
        <v>0</v>
      </c>
      <c r="I122" s="139">
        <f>SUMIF('5. PERSON'!$B$17:$B$192,$C98,'5. PERSON'!CV$17:CV$192)+SUMIF('5. PERSON'!$B$17:$B$192,$C98,'5. PERSON'!DH$17:DH$192)+SUMIF('6. OPERATION'!$B$17:$B$149,$C98,'6. OPERATION'!BY$17:BY$149)+SUMIF('6. OPERATION'!$B$17:$B$149,$C98,'6. OPERATION'!CK$17:CK$149)+SUMIF('8. FACILIT'!$B$18:$B$50,$C98,'8. FACILIT'!Z$18:Z$50)+SUMIF('8. FACILIT'!$B$18:$B$50,$C98,'8. FACILIT'!AL$18:AL$50)</f>
        <v>0</v>
      </c>
      <c r="J122" s="139">
        <f>SUMIF('5. PERSON'!$B$17:$B$192,$C98,'5. PERSON'!CW$17:CW$192)+SUMIF('5. PERSON'!$B$17:$B$192,$C98,'5. PERSON'!DI$17:DI$192)+SUMIF('6. OPERATION'!$B$17:$B$149,$C98,'6. OPERATION'!BZ$17:BZ$149)+SUMIF('6. OPERATION'!$B$17:$B$149,$C98,'6. OPERATION'!CL$17:CL$149)+SUMIF('8. FACILIT'!$B$18:$B$50,$C98,'8. FACILIT'!AA$18:AA$50)+SUMIF('8. FACILIT'!$B$18:$B$50,$C98,'8. FACILIT'!AM$18:AM$50)</f>
        <v>0</v>
      </c>
      <c r="K122" s="139">
        <f>SUMIF('5. PERSON'!$B$17:$B$192,$C98,'5. PERSON'!CX$17:CX$192)+SUMIF('5. PERSON'!$B$17:$B$192,$C98,'5. PERSON'!DJ$17:DJ$192)+SUMIF('6. OPERATION'!$B$17:$B$149,$C98,'6. OPERATION'!CA$17:CA$149)+SUMIF('6. OPERATION'!$B$17:$B$149,$C98,'6. OPERATION'!CM$17:CM$149)+SUMIF('8. FACILIT'!$B$18:$B$50,$C98,'8. FACILIT'!AB$18:AB$50)+SUMIF('8. FACILIT'!$B$18:$B$50,$C98,'8. FACILIT'!AN$18:AN$50)</f>
        <v>0</v>
      </c>
      <c r="L122" s="139">
        <f>SUMIF('5. PERSON'!$B$17:$B$192,$C98,'5. PERSON'!CY$17:CY$192)+SUMIF('5. PERSON'!$B$17:$B$192,$C98,'5. PERSON'!DK$17:DK$192)+SUMIF('6. OPERATION'!$B$17:$B$149,$C98,'6. OPERATION'!CB$17:CB$149)+SUMIF('6. OPERATION'!$B$17:$B$149,$C98,'6. OPERATION'!CN$17:CN$149)+SUMIF('8. FACILIT'!$B$18:$B$50,$C98,'8. FACILIT'!AC$18:AC$50)+SUMIF('8. FACILIT'!$B$18:$B$50,$C98,'8. FACILIT'!AO$18:AO$50)</f>
        <v>0</v>
      </c>
      <c r="M122" s="117">
        <f>SUM(C122:L122)</f>
        <v>0</v>
      </c>
    </row>
    <row r="123" spans="2:15" s="3" customFormat="1" ht="13.2" x14ac:dyDescent="0.25">
      <c r="B123" s="696" t="str">
        <f>IF('1. INTRO'!I$2="English","Indirect","Indirekt")</f>
        <v>Indirect</v>
      </c>
      <c r="C123" s="697">
        <f>SUMIF('5. PERSON'!$B$17:$B$192,$C98,'5. PERSON'!BR$17:BR$192)+SUMIF('5. PERSON'!$B$17:$B$192,$C98,'5. PERSON'!CD$17:CD$192)+SUMIF('6. OPERATION'!$B$17:$B$149,$C98,'6. OPERATION'!AU$17:AU$149)+SUMIF('6. OPERATION'!$B$17:$B$149,$C98,'6. OPERATION'!BG$17:BG$149)</f>
        <v>0</v>
      </c>
      <c r="D123" s="697">
        <f>SUMIF('5. PERSON'!$B$17:$B$192,$C98,'5. PERSON'!BS$17:BS$192)+SUMIF('5. PERSON'!$B$17:$B$192,$C98,'5. PERSON'!CE$17:CE$192)+SUMIF('6. OPERATION'!$B$17:$B$149,$C98,'6. OPERATION'!AV$17:AV$149)+SUMIF('6. OPERATION'!$B$17:$B$149,$C98,'6. OPERATION'!BH$17:BH$149)</f>
        <v>0</v>
      </c>
      <c r="E123" s="697">
        <f>SUMIF('5. PERSON'!$B$17:$B$192,$C98,'5. PERSON'!BT$17:BT$192)+SUMIF('5. PERSON'!$B$17:$B$192,$C98,'5. PERSON'!CF$17:CF$192)+SUMIF('6. OPERATION'!$B$17:$B$149,$C98,'6. OPERATION'!AW$17:AW$149)+SUMIF('6. OPERATION'!$B$17:$B$149,$C98,'6. OPERATION'!BI$17:BI$149)</f>
        <v>0</v>
      </c>
      <c r="F123" s="697">
        <f>SUMIF('5. PERSON'!$B$17:$B$192,$C98,'5. PERSON'!BU$17:BU$192)+SUMIF('5. PERSON'!$B$17:$B$192,$C98,'5. PERSON'!CG$17:CG$192)+SUMIF('6. OPERATION'!$B$17:$B$149,$C98,'6. OPERATION'!AX$17:AX$149)+SUMIF('6. OPERATION'!$B$17:$B$149,$C98,'6. OPERATION'!BJ$17:BJ$149)</f>
        <v>0</v>
      </c>
      <c r="G123" s="697">
        <f>SUMIF('5. PERSON'!$B$17:$B$192,$C98,'5. PERSON'!BV$17:BV$192)+SUMIF('5. PERSON'!$B$17:$B$192,$C98,'5. PERSON'!CH$17:CH$192)+SUMIF('6. OPERATION'!$B$17:$B$149,$C98,'6. OPERATION'!AY$17:AY$149)+SUMIF('6. OPERATION'!$B$17:$B$149,$C98,'6. OPERATION'!BK$17:BK$149)</f>
        <v>0</v>
      </c>
      <c r="H123" s="697">
        <f>SUMIF('5. PERSON'!$B$17:$B$192,$C98,'5. PERSON'!BW$17:BW$192)+SUMIF('5. PERSON'!$B$17:$B$192,$C98,'5. PERSON'!CI$17:CI$192)+SUMIF('6. OPERATION'!$B$17:$B$149,$C98,'6. OPERATION'!AZ$17:AZ$149)+SUMIF('6. OPERATION'!$B$17:$B$149,$C98,'6. OPERATION'!BL$17:BL$149)</f>
        <v>0</v>
      </c>
      <c r="I123" s="697">
        <f>SUMIF('5. PERSON'!$B$17:$B$192,$C98,'5. PERSON'!BX$17:BX$192)+SUMIF('5. PERSON'!$B$17:$B$192,$C98,'5. PERSON'!CJ$17:CJ$192)+SUMIF('6. OPERATION'!$B$17:$B$149,$C98,'6. OPERATION'!BA$17:BA$149)+SUMIF('6. OPERATION'!$B$17:$B$149,$C98,'6. OPERATION'!BM$17:BM$149)</f>
        <v>0</v>
      </c>
      <c r="J123" s="697">
        <f>SUMIF('5. PERSON'!$B$17:$B$192,$C98,'5. PERSON'!BY$17:BY$192)+SUMIF('5. PERSON'!$B$17:$B$192,$C98,'5. PERSON'!CK$17:CK$192)+SUMIF('6. OPERATION'!$B$17:$B$149,$C98,'6. OPERATION'!BB$17:BB$149)+SUMIF('6. OPERATION'!$B$17:$B$149,$C98,'6. OPERATION'!BN$17:BN$149)</f>
        <v>0</v>
      </c>
      <c r="K123" s="697">
        <f>SUMIF('5. PERSON'!$B$17:$B$192,$C98,'5. PERSON'!BZ$17:BZ$192)+SUMIF('5. PERSON'!$B$17:$B$192,$C98,'5. PERSON'!CL$17:CL$192)+SUMIF('6. OPERATION'!$B$17:$B$149,$C98,'6. OPERATION'!BC$17:BC$149)+SUMIF('6. OPERATION'!$B$17:$B$149,$C98,'6. OPERATION'!BO$17:BO$149)</f>
        <v>0</v>
      </c>
      <c r="L123" s="697">
        <f>SUMIF('5. PERSON'!$B$17:$B$192,$C98,'5. PERSON'!CA$17:CA$192)+SUMIF('5. PERSON'!$B$17:$B$192,$C98,'5. PERSON'!CM$17:CM$192)+SUMIF('6. OPERATION'!$B$17:$B$149,$C98,'6. OPERATION'!BD$17:BD$149)+SUMIF('6. OPERATION'!$B$17:$B$149,$C98,'6. OPERATION'!BP$17:BP$149)</f>
        <v>0</v>
      </c>
      <c r="M123" s="693">
        <f>SUM(C123:L123)</f>
        <v>0</v>
      </c>
    </row>
    <row r="124" spans="2:15" s="3" customFormat="1" ht="13.2" x14ac:dyDescent="0.25">
      <c r="B124" s="124" t="s">
        <v>113</v>
      </c>
      <c r="C124" s="88">
        <f>SUM(C119:C123)</f>
        <v>0</v>
      </c>
      <c r="D124" s="88">
        <f t="shared" ref="D124:M124" si="7">SUM(D119:D123)</f>
        <v>0</v>
      </c>
      <c r="E124" s="88">
        <f t="shared" si="7"/>
        <v>0</v>
      </c>
      <c r="F124" s="88">
        <f t="shared" si="7"/>
        <v>0</v>
      </c>
      <c r="G124" s="88">
        <f t="shared" si="7"/>
        <v>0</v>
      </c>
      <c r="H124" s="88">
        <f t="shared" si="7"/>
        <v>0</v>
      </c>
      <c r="I124" s="88">
        <f t="shared" si="7"/>
        <v>0</v>
      </c>
      <c r="J124" s="88">
        <f t="shared" si="7"/>
        <v>0</v>
      </c>
      <c r="K124" s="88">
        <f t="shared" si="7"/>
        <v>0</v>
      </c>
      <c r="L124" s="88">
        <f t="shared" si="7"/>
        <v>0</v>
      </c>
      <c r="M124" s="142">
        <f t="shared" si="7"/>
        <v>0</v>
      </c>
    </row>
    <row r="125" spans="2:15" s="3" customFormat="1" ht="13.2" x14ac:dyDescent="0.25">
      <c r="B125" s="287"/>
      <c r="C125" s="37"/>
      <c r="D125" s="37"/>
      <c r="E125" s="37"/>
      <c r="F125" s="37"/>
      <c r="G125" s="37"/>
      <c r="H125" s="37"/>
      <c r="I125" s="37"/>
      <c r="J125" s="37"/>
      <c r="K125" s="37"/>
      <c r="L125" s="37"/>
      <c r="M125" s="37"/>
    </row>
    <row r="126" spans="2:15" s="234" customFormat="1" ht="12.75" customHeight="1" x14ac:dyDescent="0.25">
      <c r="B126" s="656" t="str">
        <f>IF('1. INTRO'!I$2="English","Co-funding share in full cost ","Medfinansieringsandel i full kostnad ")</f>
        <v xml:space="preserve">Co-funding share in full cost </v>
      </c>
      <c r="C126" s="640" t="str">
        <f t="shared" ref="C126:M126" si="8">IF(C124&gt;0,C116/C124,"")</f>
        <v/>
      </c>
      <c r="D126" s="640" t="str">
        <f t="shared" si="8"/>
        <v/>
      </c>
      <c r="E126" s="640" t="str">
        <f t="shared" si="8"/>
        <v/>
      </c>
      <c r="F126" s="640" t="str">
        <f t="shared" si="8"/>
        <v/>
      </c>
      <c r="G126" s="640" t="str">
        <f t="shared" si="8"/>
        <v/>
      </c>
      <c r="H126" s="640" t="str">
        <f t="shared" si="8"/>
        <v/>
      </c>
      <c r="I126" s="640" t="str">
        <f t="shared" si="8"/>
        <v/>
      </c>
      <c r="J126" s="640" t="str">
        <f t="shared" si="8"/>
        <v/>
      </c>
      <c r="K126" s="640" t="str">
        <f t="shared" si="8"/>
        <v/>
      </c>
      <c r="L126" s="640" t="str">
        <f t="shared" si="8"/>
        <v/>
      </c>
      <c r="M126" s="640" t="str">
        <f t="shared" si="8"/>
        <v/>
      </c>
    </row>
    <row r="127" spans="2:15" ht="12.75" customHeight="1" x14ac:dyDescent="0.2"/>
    <row r="128" spans="2:15" ht="12.75" customHeight="1" x14ac:dyDescent="0.25">
      <c r="D128" s="656" t="str">
        <f>IF('1. INTRO'!I$2="English","Co-funding need in average per year: ","Medfinansieringsbehov i genomsnitt per år: ")</f>
        <v xml:space="preserve">Co-funding need in average per year: </v>
      </c>
      <c r="E128" s="698" t="str">
        <f>IF(M116=0,"",M116/(DATEDIF('2. START'!C$18,'2. START'!C$19,"d")/365))</f>
        <v/>
      </c>
      <c r="H128" s="656" t="str">
        <f>IF('1. INTRO'!I$2="English","Co-funding need 1/3 of total: ","Medfinansieringsbehov 1/3 av totalt: ")</f>
        <v xml:space="preserve">Co-funding need 1/3 of total: </v>
      </c>
      <c r="I128" s="698">
        <f>M116/3</f>
        <v>0</v>
      </c>
      <c r="L128" s="70" t="str">
        <f>IF('1. INTRO'!I$2="English","Co-funding need total: ","Medfinansieringsbehov totalt: ")</f>
        <v xml:space="preserve">Co-funding need total: </v>
      </c>
      <c r="M128" s="698">
        <f>M116</f>
        <v>0</v>
      </c>
    </row>
    <row r="129" spans="2:13" ht="12.75" customHeight="1" x14ac:dyDescent="0.2">
      <c r="B129" s="667" t="str">
        <f>IF('1. INTRO'!I$2="English","Co-funding sources","Medfinansieringskällor")</f>
        <v>Co-funding sources</v>
      </c>
    </row>
    <row r="130" spans="2:13" ht="12.75" customHeight="1" x14ac:dyDescent="0.25">
      <c r="B130" s="225"/>
      <c r="C130" s="226"/>
      <c r="D130" s="226"/>
      <c r="E130" s="226"/>
      <c r="F130" s="226"/>
      <c r="G130" s="226"/>
      <c r="H130" s="226"/>
      <c r="I130" s="226"/>
      <c r="J130" s="226"/>
      <c r="K130" s="226"/>
      <c r="L130" s="227"/>
      <c r="M130" s="168">
        <f>SUM(C130:L130)</f>
        <v>0</v>
      </c>
    </row>
    <row r="131" spans="2:13" ht="12.75" customHeight="1" x14ac:dyDescent="0.25">
      <c r="B131" s="228"/>
      <c r="C131" s="229"/>
      <c r="D131" s="229"/>
      <c r="E131" s="229"/>
      <c r="F131" s="229"/>
      <c r="G131" s="229"/>
      <c r="H131" s="229"/>
      <c r="I131" s="229"/>
      <c r="J131" s="229"/>
      <c r="K131" s="229"/>
      <c r="L131" s="230"/>
      <c r="M131" s="687">
        <f t="shared" ref="M131:M134" si="9">SUM(C131:L131)</f>
        <v>0</v>
      </c>
    </row>
    <row r="132" spans="2:13" ht="12.75" customHeight="1" x14ac:dyDescent="0.25">
      <c r="B132" s="231"/>
      <c r="C132" s="232"/>
      <c r="D132" s="232"/>
      <c r="E132" s="232"/>
      <c r="F132" s="232"/>
      <c r="G132" s="232"/>
      <c r="H132" s="232"/>
      <c r="I132" s="232"/>
      <c r="J132" s="232"/>
      <c r="K132" s="232"/>
      <c r="L132" s="233"/>
      <c r="M132" s="117">
        <f t="shared" si="9"/>
        <v>0</v>
      </c>
    </row>
    <row r="133" spans="2:13" ht="12.75" customHeight="1" x14ac:dyDescent="0.25">
      <c r="B133" s="228"/>
      <c r="C133" s="229"/>
      <c r="D133" s="229"/>
      <c r="E133" s="229"/>
      <c r="F133" s="229"/>
      <c r="G133" s="229"/>
      <c r="H133" s="229"/>
      <c r="I133" s="229"/>
      <c r="J133" s="229"/>
      <c r="K133" s="229"/>
      <c r="L133" s="230"/>
      <c r="M133" s="687">
        <f t="shared" si="9"/>
        <v>0</v>
      </c>
    </row>
    <row r="134" spans="2:13" ht="12.75" customHeight="1" x14ac:dyDescent="0.25">
      <c r="B134" s="93"/>
      <c r="C134" s="232"/>
      <c r="D134" s="232"/>
      <c r="E134" s="232"/>
      <c r="F134" s="232"/>
      <c r="G134" s="232"/>
      <c r="H134" s="232"/>
      <c r="I134" s="232"/>
      <c r="J134" s="232"/>
      <c r="K134" s="232"/>
      <c r="L134" s="233"/>
      <c r="M134" s="117">
        <f t="shared" si="9"/>
        <v>0</v>
      </c>
    </row>
    <row r="135" spans="2:13" ht="12.75" customHeight="1" x14ac:dyDescent="0.25">
      <c r="B135" s="84" t="str">
        <f>IF('1. INTRO'!I$2="English","Total co-funding ","Total medfinansiering ")</f>
        <v xml:space="preserve">Total co-funding </v>
      </c>
      <c r="C135" s="87">
        <f t="shared" ref="C135:M135" si="10">SUM(C130:C134)</f>
        <v>0</v>
      </c>
      <c r="D135" s="87">
        <f t="shared" si="10"/>
        <v>0</v>
      </c>
      <c r="E135" s="87">
        <f t="shared" si="10"/>
        <v>0</v>
      </c>
      <c r="F135" s="87">
        <f t="shared" si="10"/>
        <v>0</v>
      </c>
      <c r="G135" s="87">
        <f t="shared" si="10"/>
        <v>0</v>
      </c>
      <c r="H135" s="87">
        <f t="shared" si="10"/>
        <v>0</v>
      </c>
      <c r="I135" s="87">
        <f t="shared" si="10"/>
        <v>0</v>
      </c>
      <c r="J135" s="87">
        <f t="shared" si="10"/>
        <v>0</v>
      </c>
      <c r="K135" s="87">
        <f t="shared" si="10"/>
        <v>0</v>
      </c>
      <c r="L135" s="87">
        <f t="shared" si="10"/>
        <v>0</v>
      </c>
      <c r="M135" s="142">
        <f t="shared" si="10"/>
        <v>0</v>
      </c>
    </row>
    <row r="136" spans="2:13" ht="12.75" customHeight="1" x14ac:dyDescent="0.2"/>
    <row r="137" spans="2:13" ht="12.75" customHeight="1" x14ac:dyDescent="0.2">
      <c r="B137" s="667" t="str">
        <f>IF('1. INTRO'!I$2="English","Calculation comments","Kalkylkommentarer")</f>
        <v>Calculation comments</v>
      </c>
    </row>
    <row r="138" spans="2:13" ht="12.75" customHeight="1" x14ac:dyDescent="0.2">
      <c r="B138" s="1142"/>
      <c r="C138" s="1143"/>
      <c r="D138" s="1143"/>
      <c r="E138" s="1143"/>
      <c r="F138" s="1143"/>
      <c r="G138" s="1143"/>
      <c r="H138" s="1143"/>
      <c r="I138" s="1143"/>
      <c r="J138" s="1143"/>
      <c r="K138" s="1143"/>
      <c r="L138" s="1143"/>
      <c r="M138" s="1144"/>
    </row>
    <row r="139" spans="2:13" ht="12.75" customHeight="1" x14ac:dyDescent="0.2">
      <c r="B139" s="1145"/>
      <c r="C139" s="1226"/>
      <c r="D139" s="1226"/>
      <c r="E139" s="1226"/>
      <c r="F139" s="1226"/>
      <c r="G139" s="1226"/>
      <c r="H139" s="1226"/>
      <c r="I139" s="1226"/>
      <c r="J139" s="1226"/>
      <c r="K139" s="1226"/>
      <c r="L139" s="1226"/>
      <c r="M139" s="1147"/>
    </row>
    <row r="140" spans="2:13" ht="12.75" customHeight="1" x14ac:dyDescent="0.2">
      <c r="B140" s="1145"/>
      <c r="C140" s="1226"/>
      <c r="D140" s="1226"/>
      <c r="E140" s="1226"/>
      <c r="F140" s="1226"/>
      <c r="G140" s="1226"/>
      <c r="H140" s="1226"/>
      <c r="I140" s="1226"/>
      <c r="J140" s="1226"/>
      <c r="K140" s="1226"/>
      <c r="L140" s="1226"/>
      <c r="M140" s="1147"/>
    </row>
    <row r="141" spans="2:13" ht="12.75" customHeight="1" x14ac:dyDescent="0.2">
      <c r="B141" s="1145"/>
      <c r="C141" s="1226"/>
      <c r="D141" s="1226"/>
      <c r="E141" s="1226"/>
      <c r="F141" s="1226"/>
      <c r="G141" s="1226"/>
      <c r="H141" s="1226"/>
      <c r="I141" s="1226"/>
      <c r="J141" s="1226"/>
      <c r="K141" s="1226"/>
      <c r="L141" s="1226"/>
      <c r="M141" s="1147"/>
    </row>
    <row r="142" spans="2:13" ht="12.75" customHeight="1" x14ac:dyDescent="0.2">
      <c r="B142" s="1148"/>
      <c r="C142" s="1149"/>
      <c r="D142" s="1149"/>
      <c r="E142" s="1149"/>
      <c r="F142" s="1149"/>
      <c r="G142" s="1149"/>
      <c r="H142" s="1149"/>
      <c r="I142" s="1149"/>
      <c r="J142" s="1149"/>
      <c r="K142" s="1149"/>
      <c r="L142" s="1149"/>
      <c r="M142" s="1150"/>
    </row>
    <row r="143" spans="2:13" ht="12.75" customHeight="1" x14ac:dyDescent="0.2">
      <c r="B143" s="169"/>
      <c r="C143" s="169"/>
      <c r="D143" s="169"/>
      <c r="E143" s="169"/>
      <c r="F143" s="169"/>
      <c r="G143" s="169"/>
      <c r="H143" s="169"/>
      <c r="I143" s="169"/>
      <c r="J143" s="169"/>
      <c r="K143" s="169"/>
      <c r="L143" s="169"/>
      <c r="M143" s="169"/>
    </row>
    <row r="144" spans="2:13" s="3" customFormat="1" ht="12.75" customHeight="1" x14ac:dyDescent="0.25">
      <c r="B144" s="313" t="str">
        <f>'3. PARTNER'!C$4</f>
        <v xml:space="preserve">Project: </v>
      </c>
      <c r="C144" s="1062" t="str">
        <f>'3. PARTNER'!D$4</f>
        <v/>
      </c>
      <c r="D144" s="1001"/>
      <c r="E144" s="1001"/>
      <c r="F144" s="1001"/>
      <c r="G144" s="1001"/>
      <c r="H144" s="1001"/>
      <c r="I144" s="1001"/>
      <c r="J144" s="1001"/>
      <c r="K144" s="1001"/>
      <c r="L144" s="1001"/>
      <c r="M144" s="1001"/>
    </row>
    <row r="145" spans="2:15" s="3" customFormat="1" ht="13.2" x14ac:dyDescent="0.25">
      <c r="B145" s="313" t="str">
        <f>'3. PARTNER'!C$5</f>
        <v xml:space="preserve">Calculation for: </v>
      </c>
      <c r="C145" s="1062" t="str">
        <f>'3. PARTNER'!D$5</f>
        <v>APPLICATION</v>
      </c>
      <c r="D145" s="1001"/>
      <c r="E145" s="268"/>
      <c r="F145" s="268"/>
      <c r="G145" s="268"/>
      <c r="H145" s="268"/>
      <c r="I145" s="268"/>
      <c r="J145" s="268"/>
      <c r="K145" s="268"/>
      <c r="L145" s="268"/>
      <c r="M145" s="268"/>
    </row>
    <row r="146" spans="2:15" s="3" customFormat="1" ht="13.2" x14ac:dyDescent="0.25">
      <c r="B146" s="35" t="str">
        <f>'3. PARTNER'!C$6</f>
        <v xml:space="preserve">Project leader: </v>
      </c>
      <c r="C146" s="1062" t="str">
        <f>'3. PARTNER'!D$6</f>
        <v/>
      </c>
      <c r="D146" s="1001"/>
      <c r="E146" s="1001"/>
      <c r="F146" s="1001"/>
      <c r="G146" s="1001"/>
      <c r="H146" s="1001"/>
      <c r="I146" s="1001"/>
      <c r="J146" s="1001"/>
      <c r="K146" s="1001"/>
      <c r="L146" s="1001"/>
      <c r="M146" s="1001"/>
    </row>
    <row r="147" spans="2:15" s="3" customFormat="1" ht="13.2" x14ac:dyDescent="0.25">
      <c r="B147" s="313" t="str">
        <f>'5. PERSON'!B$7</f>
        <v xml:space="preserve">Amounts in: </v>
      </c>
      <c r="C147" s="655" t="str">
        <f>'5. PERSON'!C$7</f>
        <v>SEK</v>
      </c>
      <c r="D147" s="268"/>
      <c r="E147" s="268"/>
      <c r="F147" s="268"/>
      <c r="G147" s="234"/>
      <c r="H147" s="234"/>
      <c r="I147" s="270"/>
      <c r="J147" s="270"/>
      <c r="K147" s="270"/>
      <c r="L147" s="270"/>
      <c r="M147" s="270"/>
    </row>
    <row r="148" spans="2:15" s="3" customFormat="1" ht="13.2" x14ac:dyDescent="0.25">
      <c r="B148" s="313"/>
      <c r="C148" s="1053" t="str">
        <f>'3. PARTNER'!D$7</f>
        <v>Other basic data about the project is in sheet 2.</v>
      </c>
      <c r="D148" s="1001"/>
      <c r="E148" s="1001"/>
      <c r="F148" s="1001"/>
      <c r="G148" s="234"/>
      <c r="H148" s="234"/>
      <c r="I148" s="270"/>
      <c r="J148" s="270"/>
      <c r="K148" s="270"/>
      <c r="L148" s="251" t="s">
        <v>4</v>
      </c>
      <c r="M148" s="270"/>
    </row>
    <row r="149" spans="2:15" ht="12.75" customHeight="1" x14ac:dyDescent="0.2">
      <c r="J149" s="252" t="s">
        <v>322</v>
      </c>
      <c r="K149" s="252" t="s">
        <v>323</v>
      </c>
      <c r="L149" s="252" t="str">
        <f>IF('1. INTRO'!I$2="English","months","månader")</f>
        <v>months</v>
      </c>
    </row>
    <row r="150" spans="2:15" s="3" customFormat="1" ht="13.8" x14ac:dyDescent="0.25">
      <c r="B150" s="157" t="str">
        <f>IF('1. INTRO'!I$2="English","Project costs","Projektkostnader")</f>
        <v>Project costs</v>
      </c>
      <c r="C150" s="668" t="str">
        <f>A16</f>
        <v>632LTV</v>
      </c>
      <c r="D150" s="1227" t="str">
        <f>B16</f>
        <v>Plant Protection Biology</v>
      </c>
      <c r="E150" s="1001"/>
      <c r="F150" s="1004"/>
      <c r="G150" s="37"/>
      <c r="H150" s="37"/>
      <c r="I150" s="37"/>
      <c r="J150" s="643"/>
      <c r="K150" s="643"/>
      <c r="L150" s="642">
        <f>SUMIF('5. PERSON'!$B$17:$B$192,$C150,'5. PERSON'!AE$17:AE$192)</f>
        <v>0</v>
      </c>
      <c r="M150" s="680" t="s">
        <v>330</v>
      </c>
    </row>
    <row r="151" spans="2:15" s="3" customFormat="1" ht="6" customHeight="1" x14ac:dyDescent="0.25">
      <c r="B151" s="57"/>
      <c r="C151" s="37"/>
      <c r="D151" s="37"/>
      <c r="E151" s="37"/>
      <c r="F151" s="37"/>
      <c r="G151" s="37"/>
      <c r="H151" s="37"/>
      <c r="I151" s="37"/>
      <c r="J151" s="37"/>
      <c r="K151" s="37"/>
      <c r="L151" s="37"/>
      <c r="M151" s="37"/>
    </row>
    <row r="152" spans="2:15" s="3" customFormat="1" ht="13.2" x14ac:dyDescent="0.25">
      <c r="B152" s="110" t="str">
        <f>IF('1. INTRO'!I$2="English","Costs to be covered by funding body","Kostnader att täckas av finansiär")</f>
        <v>Costs to be covered by funding body</v>
      </c>
      <c r="C152" s="111">
        <f>'5. PERSON'!G$15</f>
        <v>1900</v>
      </c>
      <c r="D152" s="111" t="str">
        <f>'5. PERSON'!H$15</f>
        <v/>
      </c>
      <c r="E152" s="111" t="str">
        <f>'5. PERSON'!I$15</f>
        <v/>
      </c>
      <c r="F152" s="111" t="str">
        <f>'5. PERSON'!J$15</f>
        <v/>
      </c>
      <c r="G152" s="111" t="str">
        <f>'5. PERSON'!K$15</f>
        <v/>
      </c>
      <c r="H152" s="111" t="str">
        <f>'5. PERSON'!L$15</f>
        <v/>
      </c>
      <c r="I152" s="111" t="str">
        <f>'5. PERSON'!M$15</f>
        <v/>
      </c>
      <c r="J152" s="111" t="str">
        <f>'5. PERSON'!N$15</f>
        <v/>
      </c>
      <c r="K152" s="111" t="str">
        <f>'5. PERSON'!O$15</f>
        <v/>
      </c>
      <c r="L152" s="111" t="str">
        <f>'5. PERSON'!P$15</f>
        <v/>
      </c>
      <c r="M152" s="112" t="s">
        <v>2</v>
      </c>
    </row>
    <row r="153" spans="2:15" s="3" customFormat="1" ht="12.75" customHeight="1" x14ac:dyDescent="0.25">
      <c r="B153" s="682" t="str">
        <f>IF('1. INTRO'!I$2="English","Salary including social costs (LKP)","Lön inklusive LKP")</f>
        <v>Salary including social costs (LKP)</v>
      </c>
      <c r="C153" s="683">
        <f>IF('2. START'!$C$14&gt;0,SUMIF('5. PERSON'!$B$17:$B$192,$C150,'5. PERSON'!DN$17:DN$192),SUMIF('5. PERSON'!$B$17:$B$192,$C150,'5. PERSON'!AT$17:AT$192))</f>
        <v>0</v>
      </c>
      <c r="D153" s="683">
        <f>IF('2. START'!$C$14&gt;0,SUMIF('5. PERSON'!$B$17:$B$192,$C150,'5. PERSON'!DO$17:DO$192),SUMIF('5. PERSON'!$B$17:$B$192,$C150,'5. PERSON'!AU$17:AU$192))</f>
        <v>0</v>
      </c>
      <c r="E153" s="683">
        <f>IF('2. START'!$C$14&gt;0,SUMIF('5. PERSON'!$B$17:$B$192,$C150,'5. PERSON'!DP$17:DP$192),SUMIF('5. PERSON'!$B$17:$B$192,$C150,'5. PERSON'!AV$17:AV$192))</f>
        <v>0</v>
      </c>
      <c r="F153" s="683">
        <f>IF('2. START'!$C$14&gt;0,SUMIF('5. PERSON'!$B$17:$B$192,$C150,'5. PERSON'!DQ$17:DQ$192),SUMIF('5. PERSON'!$B$17:$B$192,$C150,'5. PERSON'!AW$17:AW$192))</f>
        <v>0</v>
      </c>
      <c r="G153" s="683">
        <f>IF('2. START'!$C$14&gt;0,SUMIF('5. PERSON'!$B$17:$B$192,$C150,'5. PERSON'!DR$17:DR$192),SUMIF('5. PERSON'!$B$17:$B$192,$C150,'5. PERSON'!AX$17:AX$192))</f>
        <v>0</v>
      </c>
      <c r="H153" s="683">
        <f>IF('2. START'!$C$14&gt;0,SUMIF('5. PERSON'!$B$17:$B$192,$C150,'5. PERSON'!DS$17:DS$192),SUMIF('5. PERSON'!$B$17:$B$192,$C150,'5. PERSON'!AY$17:AY$192))</f>
        <v>0</v>
      </c>
      <c r="I153" s="683">
        <f>IF('2. START'!$C$14&gt;0,SUMIF('5. PERSON'!$B$17:$B$192,$C150,'5. PERSON'!DT$17:DT$192),SUMIF('5. PERSON'!$B$17:$B$192,$C150,'5. PERSON'!AZ$17:AZ$192))</f>
        <v>0</v>
      </c>
      <c r="J153" s="683">
        <f>IF('2. START'!$C$14&gt;0,SUMIF('5. PERSON'!$B$17:$B$192,$C150,'5. PERSON'!DU$17:DU$192),SUMIF('5. PERSON'!$B$17:$B$192,$C150,'5. PERSON'!BA$17:BA$192))</f>
        <v>0</v>
      </c>
      <c r="K153" s="683">
        <f>IF('2. START'!$C$14&gt;0,SUMIF('5. PERSON'!$B$17:$B$192,$C150,'5. PERSON'!DV$17:DV$192),SUMIF('5. PERSON'!$B$17:$B$192,$C150,'5. PERSON'!BB$17:BB$192))</f>
        <v>0</v>
      </c>
      <c r="L153" s="683">
        <f>IF('2. START'!$C$14&gt;0,SUMIF('5. PERSON'!$B$17:$B$192,$C150,'5. PERSON'!DW$17:DW$192),SUMIF('5. PERSON'!$B$17:$B$192,$C150,'5. PERSON'!BC$17:BC$192))</f>
        <v>0</v>
      </c>
      <c r="M153" s="684">
        <f t="shared" ref="M153:M158" si="11">SUM(C153:L153)</f>
        <v>0</v>
      </c>
      <c r="O153" s="4"/>
    </row>
    <row r="154" spans="2:15" s="3" customFormat="1" ht="12.75" customHeight="1" x14ac:dyDescent="0.25">
      <c r="B154" s="80" t="str">
        <f>IF('1. INTRO'!I$2="English","Operating","Drift")</f>
        <v>Operating</v>
      </c>
      <c r="C154" s="116">
        <f>SUMIF('6. OPERATION'!$B$17:$B$149,$C150,'6. OPERATION'!W$17:W$149)</f>
        <v>0</v>
      </c>
      <c r="D154" s="116">
        <f>SUMIF('6. OPERATION'!$B$17:$B$149,$C150,'6. OPERATION'!X$17:X$149)</f>
        <v>0</v>
      </c>
      <c r="E154" s="116">
        <f>SUMIF('6. OPERATION'!$B$17:$B$149,$C150,'6. OPERATION'!Y$17:Y$149)</f>
        <v>0</v>
      </c>
      <c r="F154" s="116">
        <f>SUMIF('6. OPERATION'!$B$17:$B$149,$C150,'6. OPERATION'!Z$17:Z$149)</f>
        <v>0</v>
      </c>
      <c r="G154" s="116">
        <f>SUMIF('6. OPERATION'!$B$17:$B$149,$C150,'6. OPERATION'!AA$17:AA$149)</f>
        <v>0</v>
      </c>
      <c r="H154" s="116">
        <f>SUMIF('6. OPERATION'!$B$17:$B$149,$C150,'6. OPERATION'!AB$17:AB$149)</f>
        <v>0</v>
      </c>
      <c r="I154" s="116">
        <f>SUMIF('6. OPERATION'!$B$17:$B$149,$C150,'6. OPERATION'!AC$17:AC$149)</f>
        <v>0</v>
      </c>
      <c r="J154" s="116">
        <f>SUMIF('6. OPERATION'!$B$17:$B$149,$C150,'6. OPERATION'!AD$17:AD$149)</f>
        <v>0</v>
      </c>
      <c r="K154" s="116">
        <f>SUMIF('6. OPERATION'!$B$17:$B$149,$C150,'6. OPERATION'!AE$17:AE$149)</f>
        <v>0</v>
      </c>
      <c r="L154" s="116">
        <f>SUMIF('6. OPERATION'!$B$17:$B$149,$C150,'6. OPERATION'!AF$17:AF$149)</f>
        <v>0</v>
      </c>
      <c r="M154" s="117">
        <f t="shared" si="11"/>
        <v>0</v>
      </c>
    </row>
    <row r="155" spans="2:15" s="3" customFormat="1" ht="13.2" x14ac:dyDescent="0.25">
      <c r="B155" s="685" t="str">
        <f>IF('1. INTRO'!I$2="English","Equipment","Utrustning")</f>
        <v>Equipment</v>
      </c>
      <c r="C155" s="686">
        <f>SUMIF('7. INVEST'!$B$17:$B$49,$C150,'7. INVEST'!W$17:W$49)</f>
        <v>0</v>
      </c>
      <c r="D155" s="686">
        <f>SUMIF('7. INVEST'!$B$17:$B$49,$C150,'7. INVEST'!X$17:X$49)</f>
        <v>0</v>
      </c>
      <c r="E155" s="686">
        <f>SUMIF('7. INVEST'!$B$17:$B$49,$C150,'7. INVEST'!Y$17:Y$49)</f>
        <v>0</v>
      </c>
      <c r="F155" s="686">
        <f>SUMIF('7. INVEST'!$B$17:$B$49,$C150,'7. INVEST'!Z$17:Z$49)</f>
        <v>0</v>
      </c>
      <c r="G155" s="686">
        <f>SUMIF('7. INVEST'!$B$17:$B$49,$C150,'7. INVEST'!AA$17:AA$49)</f>
        <v>0</v>
      </c>
      <c r="H155" s="686">
        <f>SUMIF('7. INVEST'!$B$17:$B$49,$C150,'7. INVEST'!AB$17:AB$49)</f>
        <v>0</v>
      </c>
      <c r="I155" s="686">
        <f>SUMIF('7. INVEST'!$B$17:$B$49,$C150,'7. INVEST'!AC$17:AC$49)</f>
        <v>0</v>
      </c>
      <c r="J155" s="686">
        <f>SUMIF('7. INVEST'!$B$17:$B$49,$C150,'7. INVEST'!AD$17:AD$49)</f>
        <v>0</v>
      </c>
      <c r="K155" s="686">
        <f>SUMIF('7. INVEST'!$B$17:$B$49,$C150,'7. INVEST'!AE$17:AE$49)</f>
        <v>0</v>
      </c>
      <c r="L155" s="686">
        <f>SUMIF('7. INVEST'!$B$17:$B$49,$C150,'7. INVEST'!AF$17:AF$49)</f>
        <v>0</v>
      </c>
      <c r="M155" s="687">
        <f t="shared" si="11"/>
        <v>0</v>
      </c>
    </row>
    <row r="156" spans="2:15" s="3" customFormat="1" ht="13.2" x14ac:dyDescent="0.25">
      <c r="B156" s="121" t="str">
        <f>IF('1. INTRO'!I$2="English",(IF('2. START'!C$11="NO","Facility accepted as direct cost by funding body","Facility")),IF('2. START'!C$11="NO","Lokal accepterad som direkt kostnad av finansiär","Lokal"))</f>
        <v>Facility</v>
      </c>
      <c r="C156" s="116">
        <f>IF('2. START'!$C$11="NO",SUMIF('8. FACILIT'!$B$18:$B$50,$C150,'8. FACILIT'!T$18:T$50),SUMIF('5. PERSON'!$B$17:$B$192,$C150,'5. PERSON'!CP$17:CP$192)+SUMIF('6. OPERATION'!$B$17:$B$149,$C150,'6. OPERATION'!BS$17:BS$149)+SUMIF('8. FACILIT'!$B$18:$B$50,$C150,'8. FACILIT'!T$18:T$50))</f>
        <v>0</v>
      </c>
      <c r="D156" s="116">
        <f>IF('2. START'!$C$11="NO",SUMIF('8. FACILIT'!$B$18:$B$50,$C150,'8. FACILIT'!U$18:U$50),SUMIF('5. PERSON'!$B$17:$B$192,$C150,'5. PERSON'!CQ$17:CQ$192)+SUMIF('6. OPERATION'!$B$17:$B$149,$C150,'6. OPERATION'!BT$17:BT$149)+SUMIF('8. FACILIT'!$B$18:$B$50,$C150,'8. FACILIT'!U$18:U$50))</f>
        <v>0</v>
      </c>
      <c r="E156" s="116">
        <f>IF('2. START'!$C$11="NO",SUMIF('8. FACILIT'!$B$18:$B$50,$C150,'8. FACILIT'!V$18:V$50),SUMIF('5. PERSON'!$B$17:$B$192,$C150,'5. PERSON'!CR$17:CR$192)+SUMIF('6. OPERATION'!$B$17:$B$149,$C150,'6. OPERATION'!BU$17:BU$149)+SUMIF('8. FACILIT'!$B$18:$B$50,$C150,'8. FACILIT'!V$18:V$50))</f>
        <v>0</v>
      </c>
      <c r="F156" s="116">
        <f>IF('2. START'!$C$11="NO",SUMIF('8. FACILIT'!$B$18:$B$50,$C150,'8. FACILIT'!W$18:W$50),SUMIF('5. PERSON'!$B$17:$B$192,$C150,'5. PERSON'!CS$17:CS$192)+SUMIF('6. OPERATION'!$B$17:$B$149,$C150,'6. OPERATION'!BV$17:BV$149)+SUMIF('8. FACILIT'!$B$18:$B$50,$C150,'8. FACILIT'!W$18:W$50))</f>
        <v>0</v>
      </c>
      <c r="G156" s="116">
        <f>IF('2. START'!$C$11="NO",SUMIF('8. FACILIT'!$B$18:$B$50,$C150,'8. FACILIT'!X$18:X$50),SUMIF('5. PERSON'!$B$17:$B$192,$C150,'5. PERSON'!CT$17:CT$192)+SUMIF('6. OPERATION'!$B$17:$B$149,$C150,'6. OPERATION'!BW$17:BW$149)+SUMIF('8. FACILIT'!$B$18:$B$50,$C150,'8. FACILIT'!X$18:X$50))</f>
        <v>0</v>
      </c>
      <c r="H156" s="116">
        <f>IF('2. START'!$C$11="NO",SUMIF('8. FACILIT'!$B$18:$B$50,$C150,'8. FACILIT'!Y$18:Y$50),SUMIF('5. PERSON'!$B$17:$B$192,$C150,'5. PERSON'!CU$17:CU$192)+SUMIF('6. OPERATION'!$B$17:$B$149,$C150,'6. OPERATION'!BX$17:BX$149)+SUMIF('8. FACILIT'!$B$18:$B$50,$C150,'8. FACILIT'!Y$18:Y$50))</f>
        <v>0</v>
      </c>
      <c r="I156" s="116">
        <f>IF('2. START'!$C$11="NO",SUMIF('8. FACILIT'!$B$18:$B$50,$C150,'8. FACILIT'!Z$18:Z$50),SUMIF('5. PERSON'!$B$17:$B$192,$C150,'5. PERSON'!CV$17:CV$192)+SUMIF('6. OPERATION'!$B$17:$B$149,$C150,'6. OPERATION'!BY$17:BY$149)+SUMIF('8. FACILIT'!$B$18:$B$50,$C150,'8. FACILIT'!Z$18:Z$50))</f>
        <v>0</v>
      </c>
      <c r="J156" s="116">
        <f>IF('2. START'!$C$11="NO",SUMIF('8. FACILIT'!$B$18:$B$50,$C150,'8. FACILIT'!AA$18:AA$50),SUMIF('5. PERSON'!$B$17:$B$192,$C150,'5. PERSON'!CW$17:CW$192)+SUMIF('6. OPERATION'!$B$17:$B$149,$C150,'6. OPERATION'!BZ$17:BZ$149)+SUMIF('8. FACILIT'!$B$18:$B$50,$C150,'8. FACILIT'!AA$18:AA$50))</f>
        <v>0</v>
      </c>
      <c r="K156" s="116">
        <f>IF('2. START'!$C$11="NO",SUMIF('8. FACILIT'!$B$18:$B$50,$C150,'8. FACILIT'!AB$18:AB$50),SUMIF('5. PERSON'!$B$17:$B$192,$C150,'5. PERSON'!CX$17:CX$192)+SUMIF('6. OPERATION'!$B$17:$B$149,$C150,'6. OPERATION'!CA$17:CA$149)+SUMIF('8. FACILIT'!$B$18:$B$50,$C150,'8. FACILIT'!AB$18:AB$50))</f>
        <v>0</v>
      </c>
      <c r="L156" s="116">
        <f>IF('2. START'!$C$11="NO",SUMIF('8. FACILIT'!$B$18:$B$50,$C150,'8. FACILIT'!AC$18:AC$50),SUMIF('5. PERSON'!$B$17:$B$192,$C150,'5. PERSON'!CY$17:CY$192)+SUMIF('6. OPERATION'!$B$17:$B$149,$C150,'6. OPERATION'!CB$17:CB$149)+SUMIF('8. FACILIT'!$B$18:$B$50,$C150,'8. FACILIT'!AC$18:AC$50))</f>
        <v>0</v>
      </c>
      <c r="M156" s="117">
        <f t="shared" si="11"/>
        <v>0</v>
      </c>
    </row>
    <row r="157" spans="2:15" s="3" customFormat="1" ht="13.2" x14ac:dyDescent="0.25">
      <c r="B157" s="688" t="str">
        <f>IF('1. INTRO'!I$2="English",(IF('2. START'!C$11="NO","Indirect and facility charge accepted as OH by funding body","Indirect")),IF('2. START'!C$11="NO","Indirekt och lokalpåslag accepterade som OH av finansiär","Indirekt"))</f>
        <v>Indirect</v>
      </c>
      <c r="C157" s="689">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689">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689">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689">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689">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689">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689">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689">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689">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689">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687">
        <f t="shared" si="11"/>
        <v>0</v>
      </c>
    </row>
    <row r="158" spans="2:15" s="3" customFormat="1" ht="13.2" x14ac:dyDescent="0.25">
      <c r="B158" s="124" t="s">
        <v>113</v>
      </c>
      <c r="C158" s="102">
        <f>SUM(C153:C157)</f>
        <v>0</v>
      </c>
      <c r="D158" s="102">
        <f t="shared" ref="D158:L158" si="12">SUM(D153:D157)</f>
        <v>0</v>
      </c>
      <c r="E158" s="102">
        <f t="shared" si="12"/>
        <v>0</v>
      </c>
      <c r="F158" s="102">
        <f t="shared" si="12"/>
        <v>0</v>
      </c>
      <c r="G158" s="102">
        <f t="shared" si="12"/>
        <v>0</v>
      </c>
      <c r="H158" s="102">
        <f t="shared" si="12"/>
        <v>0</v>
      </c>
      <c r="I158" s="102">
        <f t="shared" si="12"/>
        <v>0</v>
      </c>
      <c r="J158" s="102">
        <f t="shared" si="12"/>
        <v>0</v>
      </c>
      <c r="K158" s="102">
        <f t="shared" si="12"/>
        <v>0</v>
      </c>
      <c r="L158" s="102">
        <f t="shared" si="12"/>
        <v>0</v>
      </c>
      <c r="M158" s="125">
        <f t="shared" si="11"/>
        <v>0</v>
      </c>
    </row>
    <row r="159" spans="2:15" s="3" customFormat="1" ht="6" customHeight="1" x14ac:dyDescent="0.25">
      <c r="B159" s="126"/>
      <c r="C159" s="127"/>
      <c r="D159" s="127"/>
      <c r="E159" s="127"/>
      <c r="F159" s="127"/>
      <c r="G159" s="127"/>
      <c r="H159" s="127"/>
      <c r="I159" s="127"/>
      <c r="J159" s="127"/>
      <c r="K159" s="127"/>
      <c r="L159" s="127"/>
      <c r="M159" s="128"/>
    </row>
    <row r="160" spans="2:15" s="3" customFormat="1" ht="13.2" x14ac:dyDescent="0.25">
      <c r="B160" s="129" t="str">
        <f>IF('1. INTRO'!I$2="English","Costs to be co-funded","Kostnader att medfinansiera")</f>
        <v>Costs to be co-funded</v>
      </c>
      <c r="C160" s="86"/>
      <c r="D160" s="86"/>
      <c r="E160" s="86"/>
      <c r="F160" s="86"/>
      <c r="G160" s="86"/>
      <c r="H160" s="86"/>
      <c r="I160" s="86"/>
      <c r="J160" s="86"/>
      <c r="K160" s="86"/>
      <c r="L160" s="86"/>
      <c r="M160" s="130"/>
    </row>
    <row r="161" spans="2:15" s="3" customFormat="1" ht="13.2" x14ac:dyDescent="0.25">
      <c r="B161" s="690" t="str">
        <f>IF('1. INTRO'!I$2="English",(IF('2. START'!C$11="NO","Indirect and facility charge not accepted as OH by funding body","")),IF('2. START'!C$11="NO","Indirekt och lokalpåslag inte accepterade som OH av finansiär",""))</f>
        <v/>
      </c>
      <c r="C161" s="691">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691">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691">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691">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691">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691">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691">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691">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691">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691">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684">
        <f t="shared" ref="M161:M167" si="13">SUM(C161:L161)</f>
        <v>0</v>
      </c>
    </row>
    <row r="162" spans="2:15" s="3" customFormat="1" ht="12.75" customHeight="1" x14ac:dyDescent="0.25">
      <c r="B162" s="132" t="str">
        <f>IF('1. INTRO'!I$2="English",(IF('2. START'!C$14&gt;0,"Social costs (LKP) not accepted by funding body","")),IF('2. START'!C$14&gt;0,"LKP som inte accepteras av finansiär",""))</f>
        <v/>
      </c>
      <c r="C162" s="133">
        <f>IF('2. START'!$C$14&gt;0,SUMIF('5. PERSON'!$B$17:$B$192,$C150,'5. PERSON'!AT$17:AT$192)-SUMIF('5. PERSON'!$B$17:$B$192,$C150,'5. PERSON'!DN$17:DN$192),0)</f>
        <v>0</v>
      </c>
      <c r="D162" s="133">
        <f>IF('2. START'!$C$14&gt;0,SUMIF('5. PERSON'!$B$17:$B$192,$C150,'5. PERSON'!AU$17:AU$192)-SUMIF('5. PERSON'!$B$17:$B$192,$C150,'5. PERSON'!DO$17:DO$192),0)</f>
        <v>0</v>
      </c>
      <c r="E162" s="133">
        <f>IF('2. START'!$C$14&gt;0,SUMIF('5. PERSON'!$B$17:$B$192,$C150,'5. PERSON'!AV$17:AV$192)-SUMIF('5. PERSON'!$B$17:$B$192,$C150,'5. PERSON'!DP$17:DP$192),0)</f>
        <v>0</v>
      </c>
      <c r="F162" s="133">
        <f>IF('2. START'!$C$14&gt;0,SUMIF('5. PERSON'!$B$17:$B$192,$C150,'5. PERSON'!AW$17:AW$192)-SUMIF('5. PERSON'!$B$17:$B$192,$C150,'5. PERSON'!DQ$17:DQ$192),0)</f>
        <v>0</v>
      </c>
      <c r="G162" s="133">
        <f>IF('2. START'!$C$14&gt;0,SUMIF('5. PERSON'!$B$17:$B$192,$C150,'5. PERSON'!AX$17:AX$192)-SUMIF('5. PERSON'!$B$17:$B$192,$C150,'5. PERSON'!DR$17:DR$192),0)</f>
        <v>0</v>
      </c>
      <c r="H162" s="133">
        <f>IF('2. START'!$C$14&gt;0,SUMIF('5. PERSON'!$B$17:$B$192,$C150,'5. PERSON'!AY$17:AY$192)-SUMIF('5. PERSON'!$B$17:$B$192,$C150,'5. PERSON'!DS$17:DS$192),0)</f>
        <v>0</v>
      </c>
      <c r="I162" s="133">
        <f>IF('2. START'!$C$14&gt;0,SUMIF('5. PERSON'!$B$17:$B$192,$C150,'5. PERSON'!AZ$17:AZ$192)-SUMIF('5. PERSON'!$B$17:$B$192,$C150,'5. PERSON'!DT$17:DT$192),0)</f>
        <v>0</v>
      </c>
      <c r="J162" s="133">
        <f>IF('2. START'!$C$14&gt;0,SUMIF('5. PERSON'!$B$17:$B$192,$C150,'5. PERSON'!BA$17:BA$192)-SUMIF('5. PERSON'!$B$17:$B$192,$C150,'5. PERSON'!DU$17:DU$192),0)</f>
        <v>0</v>
      </c>
      <c r="K162" s="133">
        <f>IF('2. START'!$C$14&gt;0,SUMIF('5. PERSON'!$B$17:$B$192,$C150,'5. PERSON'!BB$17:BB$192)-SUMIF('5. PERSON'!$B$17:$B$192,$C150,'5. PERSON'!DV$17:DV$192),0)</f>
        <v>0</v>
      </c>
      <c r="L162" s="133">
        <f>IF('2. START'!$C$14&gt;0,SUMIF('5. PERSON'!$B$17:$B$192,$C150,'5. PERSON'!BC$17:BC$192)-SUMIF('5. PERSON'!$B$17:$B$192,$C150,'5. PERSON'!DW$17:DW$192),0)</f>
        <v>0</v>
      </c>
      <c r="M162" s="117">
        <f t="shared" si="13"/>
        <v>0</v>
      </c>
    </row>
    <row r="163" spans="2:15" s="3" customFormat="1" ht="12.75" customHeight="1" x14ac:dyDescent="0.25">
      <c r="B163" s="685" t="str">
        <f>IF('1. INTRO'!I$2="English",(IF('5. PERSON'!BP$193&gt;0,"Salary including social costs (LKP)","")),IF('5. PERSON'!BP$193&gt;0,"Lön inklusive LKP",""))</f>
        <v/>
      </c>
      <c r="C163" s="692">
        <f>SUMIF('5. PERSON'!$B$17:$B$192,$C150,'5. PERSON'!BF$17:BF$192)</f>
        <v>0</v>
      </c>
      <c r="D163" s="692">
        <f>SUMIF('5. PERSON'!$B$17:$B$192,$C150,'5. PERSON'!BG$17:BG$192)</f>
        <v>0</v>
      </c>
      <c r="E163" s="692">
        <f>SUMIF('5. PERSON'!$B$17:$B$192,$C150,'5. PERSON'!BH$17:BH$192)</f>
        <v>0</v>
      </c>
      <c r="F163" s="692">
        <f>SUMIF('5. PERSON'!$B$17:$B$192,$C150,'5. PERSON'!BI$17:BI$192)</f>
        <v>0</v>
      </c>
      <c r="G163" s="692">
        <f>SUMIF('5. PERSON'!$B$17:$B$192,$C150,'5. PERSON'!BJ$17:BJ$192)</f>
        <v>0</v>
      </c>
      <c r="H163" s="692">
        <f>SUMIF('5. PERSON'!$B$17:$B$192,$C150,'5. PERSON'!BK$17:BK$192)</f>
        <v>0</v>
      </c>
      <c r="I163" s="692">
        <f>SUMIF('5. PERSON'!$B$17:$B$192,$C150,'5. PERSON'!BL$17:BL$192)</f>
        <v>0</v>
      </c>
      <c r="J163" s="692">
        <f>SUMIF('5. PERSON'!$B$17:$B$192,$C150,'5. PERSON'!BM$17:BM$192)</f>
        <v>0</v>
      </c>
      <c r="K163" s="692">
        <f>SUMIF('5. PERSON'!$B$17:$B$192,$C150,'5. PERSON'!BN$17:BN$192)</f>
        <v>0</v>
      </c>
      <c r="L163" s="692">
        <f>SUMIF('5. PERSON'!$B$17:$B$192,$C150,'5. PERSON'!BO$17:BO$192)</f>
        <v>0</v>
      </c>
      <c r="M163" s="687">
        <f t="shared" si="13"/>
        <v>0</v>
      </c>
    </row>
    <row r="164" spans="2:15" s="3" customFormat="1" ht="13.2" x14ac:dyDescent="0.25">
      <c r="B164" s="80" t="str">
        <f>IF('1. INTRO'!I$2="English",(IF('6. OPERATION'!AS$150&gt;0,"Operating","")),IF('6. OPERATION'!AS$150&gt;0,"Drift",""))</f>
        <v/>
      </c>
      <c r="C164" s="135">
        <f>SUMIF('6. OPERATION'!$B$17:$B$149,$C150,'6. OPERATION'!AI$17:AI$149)</f>
        <v>0</v>
      </c>
      <c r="D164" s="135">
        <f>SUMIF('6. OPERATION'!$B$17:$B$149,$C150,'6. OPERATION'!AJ$17:AJ$149)</f>
        <v>0</v>
      </c>
      <c r="E164" s="135">
        <f>SUMIF('6. OPERATION'!$B$17:$B$149,$C150,'6. OPERATION'!AK$17:AK$149)</f>
        <v>0</v>
      </c>
      <c r="F164" s="135">
        <f>SUMIF('6. OPERATION'!$B$17:$B$149,$C150,'6. OPERATION'!AL$17:AL$149)</f>
        <v>0</v>
      </c>
      <c r="G164" s="135">
        <f>SUMIF('6. OPERATION'!$B$17:$B$149,$C150,'6. OPERATION'!AM$17:AM$149)</f>
        <v>0</v>
      </c>
      <c r="H164" s="135">
        <f>SUMIF('6. OPERATION'!$B$17:$B$149,$C150,'6. OPERATION'!AN$17:AN$149)</f>
        <v>0</v>
      </c>
      <c r="I164" s="135">
        <f>SUMIF('6. OPERATION'!$B$17:$B$149,$C150,'6. OPERATION'!AO$17:AO$149)</f>
        <v>0</v>
      </c>
      <c r="J164" s="135">
        <f>SUMIF('6. OPERATION'!$B$17:$B$149,$C150,'6. OPERATION'!AP$17:AP$149)</f>
        <v>0</v>
      </c>
      <c r="K164" s="135">
        <f>SUMIF('6. OPERATION'!$B$17:$B$149,$C150,'6. OPERATION'!AQ$17:AQ$149)</f>
        <v>0</v>
      </c>
      <c r="L164" s="135">
        <f>SUMIF('6. OPERATION'!$B$17:$B$149,$C150,'6. OPERATION'!AR$17:AR$149)</f>
        <v>0</v>
      </c>
      <c r="M164" s="117">
        <f t="shared" si="13"/>
        <v>0</v>
      </c>
    </row>
    <row r="165" spans="2:15" s="3" customFormat="1" ht="13.2" x14ac:dyDescent="0.25">
      <c r="B165" s="685" t="str">
        <f>IF('1. INTRO'!I$2="English",(IF('7. INVEST'!AS$50&gt;0,"Equipment","")),IF('7. INVEST'!AS$50&gt;0,"Utrustning",""))</f>
        <v/>
      </c>
      <c r="C165" s="692">
        <f>SUMIF('7. INVEST'!$B$17:$B$49,$C150,'7. INVEST'!AI$17:AI$49)</f>
        <v>0</v>
      </c>
      <c r="D165" s="692">
        <f>SUMIF('7. INVEST'!$B$17:$B$49,$C150,'7. INVEST'!AJ$17:AJ$49)</f>
        <v>0</v>
      </c>
      <c r="E165" s="692">
        <f>SUMIF('7. INVEST'!$B$17:$B$49,$C150,'7. INVEST'!AK$17:AK$49)</f>
        <v>0</v>
      </c>
      <c r="F165" s="692">
        <f>SUMIF('7. INVEST'!$B$17:$B$49,$C150,'7. INVEST'!AL$17:AL$49)</f>
        <v>0</v>
      </c>
      <c r="G165" s="692">
        <f>SUMIF('7. INVEST'!$B$17:$B$49,$C150,'7. INVEST'!AM$17:AM$49)</f>
        <v>0</v>
      </c>
      <c r="H165" s="692">
        <f>SUMIF('7. INVEST'!$B$17:$B$49,$C150,'7. INVEST'!AN$17:AN$49)</f>
        <v>0</v>
      </c>
      <c r="I165" s="692">
        <f>SUMIF('7. INVEST'!$B$17:$B$49,$C150,'7. INVEST'!AO$17:AO$49)</f>
        <v>0</v>
      </c>
      <c r="J165" s="692">
        <f>SUMIF('7. INVEST'!$B$17:$B$49,$C150,'7. INVEST'!AP$17:AP$49)</f>
        <v>0</v>
      </c>
      <c r="K165" s="692">
        <f>SUMIF('7. INVEST'!$B$17:$B$49,$C150,'7. INVEST'!AQ$17:AQ$49)</f>
        <v>0</v>
      </c>
      <c r="L165" s="692">
        <f>SUMIF('7. INVEST'!$B$17:$B$49,$C150,'7. INVEST'!AR$17:AR$49)</f>
        <v>0</v>
      </c>
      <c r="M165" s="687">
        <f t="shared" si="13"/>
        <v>0</v>
      </c>
    </row>
    <row r="166" spans="2:15" s="3" customFormat="1" ht="13.2" x14ac:dyDescent="0.25">
      <c r="B166" s="121" t="str">
        <f>IF('1. INTRO'!I$2="English",(IF('8. FACILIT'!AP$51&gt;0,"Facility","")),IF('8. FACILIT'!AP$51&gt;0,"Lokal",""))</f>
        <v/>
      </c>
      <c r="C166" s="135">
        <f>SUMIF('5. PERSON'!$B$17:$B$192,$C150,'5. PERSON'!DB$17:DB$192)+SUMIF('6. OPERATION'!$B$17:$B$149,$C150,'6. OPERATION'!CE$17:CE$149)+SUMIF('8. FACILIT'!$B$18:$B$50,$C150,'8. FACILIT'!AF$18:AF$50)</f>
        <v>0</v>
      </c>
      <c r="D166" s="135">
        <f>SUMIF('5. PERSON'!$B$17:$B$192,$C150,'5. PERSON'!DC$17:DC$192)+SUMIF('6. OPERATION'!$B$17:$B$149,$C150,'6. OPERATION'!CF$17:CF$149)+SUMIF('8. FACILIT'!$B$18:$B$50,$C150,'8. FACILIT'!AG$18:AG$50)</f>
        <v>0</v>
      </c>
      <c r="E166" s="135">
        <f>SUMIF('5. PERSON'!$B$17:$B$192,$C150,'5. PERSON'!DD$17:DD$192)+SUMIF('6. OPERATION'!$B$17:$B$149,$C150,'6. OPERATION'!CG$17:CG$149)+SUMIF('8. FACILIT'!$B$18:$B$50,$C150,'8. FACILIT'!AH$18:AH$50)</f>
        <v>0</v>
      </c>
      <c r="F166" s="135">
        <f>SUMIF('5. PERSON'!$B$17:$B$192,$C150,'5. PERSON'!DE$17:DE$192)+SUMIF('6. OPERATION'!$B$17:$B$149,$C150,'6. OPERATION'!CH$17:CH$149)+SUMIF('8. FACILIT'!$B$18:$B$50,$C150,'8. FACILIT'!AI$18:AI$50)</f>
        <v>0</v>
      </c>
      <c r="G166" s="135">
        <f>SUMIF('5. PERSON'!$B$17:$B$192,$C150,'5. PERSON'!DF$17:DF$192)+SUMIF('6. OPERATION'!$B$17:$B$149,$C150,'6. OPERATION'!CI$17:CI$149)+SUMIF('8. FACILIT'!$B$18:$B$50,$C150,'8. FACILIT'!AJ$18:AJ$50)</f>
        <v>0</v>
      </c>
      <c r="H166" s="135">
        <f>SUMIF('5. PERSON'!$B$17:$B$192,$C150,'5. PERSON'!DG$17:DG$192)+SUMIF('6. OPERATION'!$B$17:$B$149,$C150,'6. OPERATION'!CJ$17:CJ$149)+SUMIF('8. FACILIT'!$B$18:$B$50,$C150,'8. FACILIT'!AK$18:AK$50)</f>
        <v>0</v>
      </c>
      <c r="I166" s="135">
        <f>SUMIF('5. PERSON'!$B$17:$B$192,$C150,'5. PERSON'!DH$17:DH$192)+SUMIF('6. OPERATION'!$B$17:$B$149,$C150,'6. OPERATION'!CK$17:CK$149)+SUMIF('8. FACILIT'!$B$18:$B$50,$C150,'8. FACILIT'!AL$18:AL$50)</f>
        <v>0</v>
      </c>
      <c r="J166" s="135">
        <f>SUMIF('5. PERSON'!$B$17:$B$192,$C150,'5. PERSON'!DI$17:DI$192)+SUMIF('6. OPERATION'!$B$17:$B$149,$C150,'6. OPERATION'!CL$17:CL$149)+SUMIF('8. FACILIT'!$B$18:$B$50,$C150,'8. FACILIT'!AM$18:AM$50)</f>
        <v>0</v>
      </c>
      <c r="K166" s="135">
        <f>SUMIF('5. PERSON'!$B$17:$B$192,$C150,'5. PERSON'!DJ$17:DJ$192)+SUMIF('6. OPERATION'!$B$17:$B$149,$C150,'6. OPERATION'!CM$17:CM$149)+SUMIF('8. FACILIT'!$B$18:$B$50,$C150,'8. FACILIT'!AN$18:AN$50)</f>
        <v>0</v>
      </c>
      <c r="L166" s="135">
        <f>SUMIF('5. PERSON'!$B$17:$B$192,$C150,'5. PERSON'!DK$17:DK$192)+SUMIF('6. OPERATION'!$B$17:$B$149,$C150,'6. OPERATION'!CN$17:CN$149)+SUMIF('8. FACILIT'!$B$18:$B$50,$C150,'8. FACILIT'!AO$18:AO$50)</f>
        <v>0</v>
      </c>
      <c r="M166" s="117">
        <f t="shared" si="13"/>
        <v>0</v>
      </c>
    </row>
    <row r="167" spans="2:15" s="1" customFormat="1" ht="13.2" x14ac:dyDescent="0.25">
      <c r="B167" s="688" t="str">
        <f>IF('1. INTRO'!I$2="English",(IF(('5. PERSON'!CN$193+'6. OPERATION'!BQ$150)&gt;0,"Indirect","")),IF(('5. PERSON'!CN$193+'6. OPERATION'!BQ$150)&gt;0,"Indirekt",""))</f>
        <v/>
      </c>
      <c r="C167" s="689">
        <f>SUMIF('5. PERSON'!$B$17:$B$192,$C150,'5. PERSON'!CD$17:CD$192)+SUMIF('6. OPERATION'!$B$17:$B$149,$C150,'6. OPERATION'!BG$17:BG$149)</f>
        <v>0</v>
      </c>
      <c r="D167" s="689">
        <f>SUMIF('5. PERSON'!$B$17:$B$192,$C150,'5. PERSON'!CE$17:CE$192)+SUMIF('6. OPERATION'!$B$17:$B$149,$C150,'6. OPERATION'!BH$17:BH$149)</f>
        <v>0</v>
      </c>
      <c r="E167" s="689">
        <f>SUMIF('5. PERSON'!$B$17:$B$192,$C150,'5. PERSON'!CF$17:CF$192)+SUMIF('6. OPERATION'!$B$17:$B$149,$C150,'6. OPERATION'!BI$17:BI$149)</f>
        <v>0</v>
      </c>
      <c r="F167" s="689">
        <f>SUMIF('5. PERSON'!$B$17:$B$192,$C150,'5. PERSON'!CG$17:CG$192)+SUMIF('6. OPERATION'!$B$17:$B$149,$C150,'6. OPERATION'!BJ$17:BJ$149)</f>
        <v>0</v>
      </c>
      <c r="G167" s="689">
        <f>SUMIF('5. PERSON'!$B$17:$B$192,$C150,'5. PERSON'!CH$17:CH$192)+SUMIF('6. OPERATION'!$B$17:$B$149,$C150,'6. OPERATION'!BK$17:BK$149)</f>
        <v>0</v>
      </c>
      <c r="H167" s="689">
        <f>SUMIF('5. PERSON'!$B$17:$B$192,$C150,'5. PERSON'!CI$17:CI$192)+SUMIF('6. OPERATION'!$B$17:$B$149,$C150,'6. OPERATION'!BL$17:BL$149)</f>
        <v>0</v>
      </c>
      <c r="I167" s="689">
        <f>SUMIF('5. PERSON'!$B$17:$B$192,$C150,'5. PERSON'!CJ$17:CJ$192)+SUMIF('6. OPERATION'!$B$17:$B$149,$C150,'6. OPERATION'!BM$17:BM$149)</f>
        <v>0</v>
      </c>
      <c r="J167" s="689">
        <f>SUMIF('5. PERSON'!$B$17:$B$192,$C150,'5. PERSON'!CK$17:CK$192)+SUMIF('6. OPERATION'!$B$17:$B$149,$C150,'6. OPERATION'!BN$17:BN$149)</f>
        <v>0</v>
      </c>
      <c r="K167" s="689">
        <f>SUMIF('5. PERSON'!$B$17:$B$192,$C150,'5. PERSON'!CL$17:CL$192)+SUMIF('6. OPERATION'!$B$17:$B$149,$C150,'6. OPERATION'!BO$17:BO$149)</f>
        <v>0</v>
      </c>
      <c r="L167" s="689">
        <f>SUMIF('5. PERSON'!$B$17:$B$192,$C150,'5. PERSON'!CM$17:CM$192)+SUMIF('6. OPERATION'!$B$17:$B$149,$C150,'6. OPERATION'!BP$17:BP$149)</f>
        <v>0</v>
      </c>
      <c r="M167" s="693">
        <f t="shared" si="13"/>
        <v>0</v>
      </c>
    </row>
    <row r="168" spans="2:15" s="3" customFormat="1" ht="13.2" x14ac:dyDescent="0.25">
      <c r="B168" s="124" t="s">
        <v>113</v>
      </c>
      <c r="C168" s="102">
        <f>SUM(C161:C167)</f>
        <v>0</v>
      </c>
      <c r="D168" s="102">
        <f t="shared" ref="D168:M168" si="14">SUM(D161:D167)</f>
        <v>0</v>
      </c>
      <c r="E168" s="102">
        <f t="shared" si="14"/>
        <v>0</v>
      </c>
      <c r="F168" s="102">
        <f t="shared" si="14"/>
        <v>0</v>
      </c>
      <c r="G168" s="102">
        <f t="shared" si="14"/>
        <v>0</v>
      </c>
      <c r="H168" s="102">
        <f t="shared" si="14"/>
        <v>0</v>
      </c>
      <c r="I168" s="102">
        <f t="shared" si="14"/>
        <v>0</v>
      </c>
      <c r="J168" s="102">
        <f t="shared" si="14"/>
        <v>0</v>
      </c>
      <c r="K168" s="102">
        <f t="shared" si="14"/>
        <v>0</v>
      </c>
      <c r="L168" s="102">
        <f t="shared" si="14"/>
        <v>0</v>
      </c>
      <c r="M168" s="125">
        <f t="shared" si="14"/>
        <v>0</v>
      </c>
      <c r="N168" s="23"/>
      <c r="O168" s="23"/>
    </row>
    <row r="169" spans="2:15" s="3" customFormat="1" ht="6" customHeight="1" x14ac:dyDescent="0.25">
      <c r="B169" s="136"/>
      <c r="C169" s="127"/>
      <c r="D169" s="127"/>
      <c r="E169" s="127"/>
      <c r="F169" s="127"/>
      <c r="G169" s="127"/>
      <c r="H169" s="127"/>
      <c r="I169" s="127"/>
      <c r="J169" s="127"/>
      <c r="K169" s="127"/>
      <c r="L169" s="127"/>
      <c r="M169" s="137"/>
    </row>
    <row r="170" spans="2:15" s="3" customFormat="1" ht="13.2" x14ac:dyDescent="0.25">
      <c r="B170" s="129" t="str">
        <f>IF('1. INTRO'!I$2="English","Full cost","Full kostnad")</f>
        <v>Full cost</v>
      </c>
      <c r="C170" s="127"/>
      <c r="D170" s="127"/>
      <c r="E170" s="127"/>
      <c r="F170" s="127"/>
      <c r="G170" s="127"/>
      <c r="H170" s="127"/>
      <c r="I170" s="127"/>
      <c r="J170" s="127"/>
      <c r="K170" s="127"/>
      <c r="L170" s="127"/>
      <c r="M170" s="137"/>
    </row>
    <row r="171" spans="2:15" s="3" customFormat="1" ht="13.2" x14ac:dyDescent="0.25">
      <c r="B171" s="682" t="str">
        <f>IF('1. INTRO'!I$2="English","Salary including social costs (LKP)","Lön inklusive LKP")</f>
        <v>Salary including social costs (LKP)</v>
      </c>
      <c r="C171" s="694">
        <f>C153+C162+C163</f>
        <v>0</v>
      </c>
      <c r="D171" s="694">
        <f t="shared" ref="D171:L171" si="15">D153+D162+D163</f>
        <v>0</v>
      </c>
      <c r="E171" s="694">
        <f t="shared" si="15"/>
        <v>0</v>
      </c>
      <c r="F171" s="694">
        <f t="shared" si="15"/>
        <v>0</v>
      </c>
      <c r="G171" s="694">
        <f t="shared" si="15"/>
        <v>0</v>
      </c>
      <c r="H171" s="694">
        <f t="shared" si="15"/>
        <v>0</v>
      </c>
      <c r="I171" s="694">
        <f t="shared" si="15"/>
        <v>0</v>
      </c>
      <c r="J171" s="694">
        <f t="shared" si="15"/>
        <v>0</v>
      </c>
      <c r="K171" s="694">
        <f t="shared" si="15"/>
        <v>0</v>
      </c>
      <c r="L171" s="694">
        <f t="shared" si="15"/>
        <v>0</v>
      </c>
      <c r="M171" s="684">
        <f>SUM(C171:L171)</f>
        <v>0</v>
      </c>
    </row>
    <row r="172" spans="2:15" s="3" customFormat="1" ht="13.2" x14ac:dyDescent="0.25">
      <c r="B172" s="80" t="str">
        <f>IF('1. INTRO'!I$2="English","Operating","Drift")</f>
        <v>Operating</v>
      </c>
      <c r="C172" s="139">
        <f>C154+C164</f>
        <v>0</v>
      </c>
      <c r="D172" s="139">
        <f t="shared" ref="D172:L172" si="16">D154+D164</f>
        <v>0</v>
      </c>
      <c r="E172" s="139">
        <f t="shared" si="16"/>
        <v>0</v>
      </c>
      <c r="F172" s="139">
        <f t="shared" si="16"/>
        <v>0</v>
      </c>
      <c r="G172" s="139">
        <f t="shared" si="16"/>
        <v>0</v>
      </c>
      <c r="H172" s="139">
        <f t="shared" si="16"/>
        <v>0</v>
      </c>
      <c r="I172" s="139">
        <f t="shared" si="16"/>
        <v>0</v>
      </c>
      <c r="J172" s="139">
        <f t="shared" si="16"/>
        <v>0</v>
      </c>
      <c r="K172" s="139">
        <f t="shared" si="16"/>
        <v>0</v>
      </c>
      <c r="L172" s="139">
        <f t="shared" si="16"/>
        <v>0</v>
      </c>
      <c r="M172" s="117">
        <f>SUM(C172:L172)</f>
        <v>0</v>
      </c>
    </row>
    <row r="173" spans="2:15" s="3" customFormat="1" ht="13.2" x14ac:dyDescent="0.25">
      <c r="B173" s="685" t="str">
        <f>IF('1. INTRO'!I$2="English","Equipment","Utrustning")</f>
        <v>Equipment</v>
      </c>
      <c r="C173" s="695">
        <f>C155+C165</f>
        <v>0</v>
      </c>
      <c r="D173" s="695">
        <f t="shared" ref="D173:L173" si="17">D155+D165</f>
        <v>0</v>
      </c>
      <c r="E173" s="695">
        <f t="shared" si="17"/>
        <v>0</v>
      </c>
      <c r="F173" s="695">
        <f t="shared" si="17"/>
        <v>0</v>
      </c>
      <c r="G173" s="695">
        <f t="shared" si="17"/>
        <v>0</v>
      </c>
      <c r="H173" s="695">
        <f t="shared" si="17"/>
        <v>0</v>
      </c>
      <c r="I173" s="695">
        <f t="shared" si="17"/>
        <v>0</v>
      </c>
      <c r="J173" s="695">
        <f t="shared" si="17"/>
        <v>0</v>
      </c>
      <c r="K173" s="695">
        <f t="shared" si="17"/>
        <v>0</v>
      </c>
      <c r="L173" s="695">
        <f t="shared" si="17"/>
        <v>0</v>
      </c>
      <c r="M173" s="687">
        <f>SUM(C173:L173)</f>
        <v>0</v>
      </c>
    </row>
    <row r="174" spans="2:15" s="3" customFormat="1" ht="13.2" x14ac:dyDescent="0.25">
      <c r="B174" s="80" t="str">
        <f>IF('1. INTRO'!I$2="English","Facility","Lokal")</f>
        <v>Facility</v>
      </c>
      <c r="C174" s="139">
        <f>SUMIF('5. PERSON'!$B$17:$B$192,$C150,'5. PERSON'!CP$17:CP$192)+SUMIF('5. PERSON'!$B$17:$B$192,$C150,'5. PERSON'!DB$17:DB$192)+SUMIF('6. OPERATION'!$B$17:$B$149,$C150,'6. OPERATION'!BS$17:BS$149)+SUMIF('6. OPERATION'!$B$17:$B$149,$C150,'6. OPERATION'!CE$17:CE$149)+SUMIF('8. FACILIT'!$B$18:$B$50,$C150,'8. FACILIT'!T$18:T$50)+SUMIF('8. FACILIT'!$B$18:$B$50,$C150,'8. FACILIT'!AF$18:AF$50)</f>
        <v>0</v>
      </c>
      <c r="D174" s="139">
        <f>SUMIF('5. PERSON'!$B$17:$B$192,$C150,'5. PERSON'!CQ$17:CQ$192)+SUMIF('5. PERSON'!$B$17:$B$192,$C150,'5. PERSON'!DC$17:DC$192)+SUMIF('6. OPERATION'!$B$17:$B$149,$C150,'6. OPERATION'!BT$17:BT$149)+SUMIF('6. OPERATION'!$B$17:$B$149,$C150,'6. OPERATION'!CF$17:CF$149)+SUMIF('8. FACILIT'!$B$18:$B$50,$C150,'8. FACILIT'!U$18:U$50)+SUMIF('8. FACILIT'!$B$18:$B$50,$C150,'8. FACILIT'!AG$18:AG$50)</f>
        <v>0</v>
      </c>
      <c r="E174" s="139">
        <f>SUMIF('5. PERSON'!$B$17:$B$192,$C150,'5. PERSON'!CR$17:CR$192)+SUMIF('5. PERSON'!$B$17:$B$192,$C150,'5. PERSON'!DD$17:DD$192)+SUMIF('6. OPERATION'!$B$17:$B$149,$C150,'6. OPERATION'!BU$17:BU$149)+SUMIF('6. OPERATION'!$B$17:$B$149,$C150,'6. OPERATION'!CG$17:CG$149)+SUMIF('8. FACILIT'!$B$18:$B$50,$C150,'8. FACILIT'!V$18:V$50)+SUMIF('8. FACILIT'!$B$18:$B$50,$C150,'8. FACILIT'!AH$18:AH$50)</f>
        <v>0</v>
      </c>
      <c r="F174" s="139">
        <f>SUMIF('5. PERSON'!$B$17:$B$192,$C150,'5. PERSON'!CS$17:CS$192)+SUMIF('5. PERSON'!$B$17:$B$192,$C150,'5. PERSON'!DE$17:DE$192)+SUMIF('6. OPERATION'!$B$17:$B$149,$C150,'6. OPERATION'!BV$17:BV$149)+SUMIF('6. OPERATION'!$B$17:$B$149,$C150,'6. OPERATION'!CH$17:CH$149)+SUMIF('8. FACILIT'!$B$18:$B$50,$C150,'8. FACILIT'!W$18:W$50)+SUMIF('8. FACILIT'!$B$18:$B$50,$C150,'8. FACILIT'!AI$18:AI$50)</f>
        <v>0</v>
      </c>
      <c r="G174" s="139">
        <f>SUMIF('5. PERSON'!$B$17:$B$192,$C150,'5. PERSON'!CT$17:CT$192)+SUMIF('5. PERSON'!$B$17:$B$192,$C150,'5. PERSON'!DF$17:DF$192)+SUMIF('6. OPERATION'!$B$17:$B$149,$C150,'6. OPERATION'!BW$17:BW$149)+SUMIF('6. OPERATION'!$B$17:$B$149,$C150,'6. OPERATION'!CI$17:CI$149)+SUMIF('8. FACILIT'!$B$18:$B$50,$C150,'8. FACILIT'!X$18:X$50)+SUMIF('8. FACILIT'!$B$18:$B$50,$C150,'8. FACILIT'!AJ$18:AJ$50)</f>
        <v>0</v>
      </c>
      <c r="H174" s="139">
        <f>SUMIF('5. PERSON'!$B$17:$B$192,$C150,'5. PERSON'!CU$17:CU$192)+SUMIF('5. PERSON'!$B$17:$B$192,$C150,'5. PERSON'!DG$17:DG$192)+SUMIF('6. OPERATION'!$B$17:$B$149,$C150,'6. OPERATION'!BX$17:BX$149)+SUMIF('6. OPERATION'!$B$17:$B$149,$C150,'6. OPERATION'!CJ$17:CJ$149)+SUMIF('8. FACILIT'!$B$18:$B$50,$C150,'8. FACILIT'!Y$18:Y$50)+SUMIF('8. FACILIT'!$B$18:$B$50,$C150,'8. FACILIT'!AK$18:AK$50)</f>
        <v>0</v>
      </c>
      <c r="I174" s="139">
        <f>SUMIF('5. PERSON'!$B$17:$B$192,$C150,'5. PERSON'!CV$17:CV$192)+SUMIF('5. PERSON'!$B$17:$B$192,$C150,'5. PERSON'!DH$17:DH$192)+SUMIF('6. OPERATION'!$B$17:$B$149,$C150,'6. OPERATION'!BY$17:BY$149)+SUMIF('6. OPERATION'!$B$17:$B$149,$C150,'6. OPERATION'!CK$17:CK$149)+SUMIF('8. FACILIT'!$B$18:$B$50,$C150,'8. FACILIT'!Z$18:Z$50)+SUMIF('8. FACILIT'!$B$18:$B$50,$C150,'8. FACILIT'!AL$18:AL$50)</f>
        <v>0</v>
      </c>
      <c r="J174" s="139">
        <f>SUMIF('5. PERSON'!$B$17:$B$192,$C150,'5. PERSON'!CW$17:CW$192)+SUMIF('5. PERSON'!$B$17:$B$192,$C150,'5. PERSON'!DI$17:DI$192)+SUMIF('6. OPERATION'!$B$17:$B$149,$C150,'6. OPERATION'!BZ$17:BZ$149)+SUMIF('6. OPERATION'!$B$17:$B$149,$C150,'6. OPERATION'!CL$17:CL$149)+SUMIF('8. FACILIT'!$B$18:$B$50,$C150,'8. FACILIT'!AA$18:AA$50)+SUMIF('8. FACILIT'!$B$18:$B$50,$C150,'8. FACILIT'!AM$18:AM$50)</f>
        <v>0</v>
      </c>
      <c r="K174" s="139">
        <f>SUMIF('5. PERSON'!$B$17:$B$192,$C150,'5. PERSON'!CX$17:CX$192)+SUMIF('5. PERSON'!$B$17:$B$192,$C150,'5. PERSON'!DJ$17:DJ$192)+SUMIF('6. OPERATION'!$B$17:$B$149,$C150,'6. OPERATION'!CA$17:CA$149)+SUMIF('6. OPERATION'!$B$17:$B$149,$C150,'6. OPERATION'!CM$17:CM$149)+SUMIF('8. FACILIT'!$B$18:$B$50,$C150,'8. FACILIT'!AB$18:AB$50)+SUMIF('8. FACILIT'!$B$18:$B$50,$C150,'8. FACILIT'!AN$18:AN$50)</f>
        <v>0</v>
      </c>
      <c r="L174" s="139">
        <f>SUMIF('5. PERSON'!$B$17:$B$192,$C150,'5. PERSON'!CY$17:CY$192)+SUMIF('5. PERSON'!$B$17:$B$192,$C150,'5. PERSON'!DK$17:DK$192)+SUMIF('6. OPERATION'!$B$17:$B$149,$C150,'6. OPERATION'!CB$17:CB$149)+SUMIF('6. OPERATION'!$B$17:$B$149,$C150,'6. OPERATION'!CN$17:CN$149)+SUMIF('8. FACILIT'!$B$18:$B$50,$C150,'8. FACILIT'!AC$18:AC$50)+SUMIF('8. FACILIT'!$B$18:$B$50,$C150,'8. FACILIT'!AO$18:AO$50)</f>
        <v>0</v>
      </c>
      <c r="M174" s="117">
        <f>SUM(C174:L174)</f>
        <v>0</v>
      </c>
    </row>
    <row r="175" spans="2:15" s="3" customFormat="1" ht="13.2" x14ac:dyDescent="0.25">
      <c r="B175" s="696" t="str">
        <f>IF('1. INTRO'!I$2="English","Indirect","Indirekt")</f>
        <v>Indirect</v>
      </c>
      <c r="C175" s="697">
        <f>SUMIF('5. PERSON'!$B$17:$B$192,$C150,'5. PERSON'!BR$17:BR$192)+SUMIF('5. PERSON'!$B$17:$B$192,$C150,'5. PERSON'!CD$17:CD$192)+SUMIF('6. OPERATION'!$B$17:$B$149,$C150,'6. OPERATION'!AU$17:AU$149)+SUMIF('6. OPERATION'!$B$17:$B$149,$C150,'6. OPERATION'!BG$17:BG$149)</f>
        <v>0</v>
      </c>
      <c r="D175" s="697">
        <f>SUMIF('5. PERSON'!$B$17:$B$192,$C150,'5. PERSON'!BS$17:BS$192)+SUMIF('5. PERSON'!$B$17:$B$192,$C150,'5. PERSON'!CE$17:CE$192)+SUMIF('6. OPERATION'!$B$17:$B$149,$C150,'6. OPERATION'!AV$17:AV$149)+SUMIF('6. OPERATION'!$B$17:$B$149,$C150,'6. OPERATION'!BH$17:BH$149)</f>
        <v>0</v>
      </c>
      <c r="E175" s="697">
        <f>SUMIF('5. PERSON'!$B$17:$B$192,$C150,'5. PERSON'!BT$17:BT$192)+SUMIF('5. PERSON'!$B$17:$B$192,$C150,'5. PERSON'!CF$17:CF$192)+SUMIF('6. OPERATION'!$B$17:$B$149,$C150,'6. OPERATION'!AW$17:AW$149)+SUMIF('6. OPERATION'!$B$17:$B$149,$C150,'6. OPERATION'!BI$17:BI$149)</f>
        <v>0</v>
      </c>
      <c r="F175" s="697">
        <f>SUMIF('5. PERSON'!$B$17:$B$192,$C150,'5. PERSON'!BU$17:BU$192)+SUMIF('5. PERSON'!$B$17:$B$192,$C150,'5. PERSON'!CG$17:CG$192)+SUMIF('6. OPERATION'!$B$17:$B$149,$C150,'6. OPERATION'!AX$17:AX$149)+SUMIF('6. OPERATION'!$B$17:$B$149,$C150,'6. OPERATION'!BJ$17:BJ$149)</f>
        <v>0</v>
      </c>
      <c r="G175" s="697">
        <f>SUMIF('5. PERSON'!$B$17:$B$192,$C150,'5. PERSON'!BV$17:BV$192)+SUMIF('5. PERSON'!$B$17:$B$192,$C150,'5. PERSON'!CH$17:CH$192)+SUMIF('6. OPERATION'!$B$17:$B$149,$C150,'6. OPERATION'!AY$17:AY$149)+SUMIF('6. OPERATION'!$B$17:$B$149,$C150,'6. OPERATION'!BK$17:BK$149)</f>
        <v>0</v>
      </c>
      <c r="H175" s="697">
        <f>SUMIF('5. PERSON'!$B$17:$B$192,$C150,'5. PERSON'!BW$17:BW$192)+SUMIF('5. PERSON'!$B$17:$B$192,$C150,'5. PERSON'!CI$17:CI$192)+SUMIF('6. OPERATION'!$B$17:$B$149,$C150,'6. OPERATION'!AZ$17:AZ$149)+SUMIF('6. OPERATION'!$B$17:$B$149,$C150,'6. OPERATION'!BL$17:BL$149)</f>
        <v>0</v>
      </c>
      <c r="I175" s="697">
        <f>SUMIF('5. PERSON'!$B$17:$B$192,$C150,'5. PERSON'!BX$17:BX$192)+SUMIF('5. PERSON'!$B$17:$B$192,$C150,'5. PERSON'!CJ$17:CJ$192)+SUMIF('6. OPERATION'!$B$17:$B$149,$C150,'6. OPERATION'!BA$17:BA$149)+SUMIF('6. OPERATION'!$B$17:$B$149,$C150,'6. OPERATION'!BM$17:BM$149)</f>
        <v>0</v>
      </c>
      <c r="J175" s="697">
        <f>SUMIF('5. PERSON'!$B$17:$B$192,$C150,'5. PERSON'!BY$17:BY$192)+SUMIF('5. PERSON'!$B$17:$B$192,$C150,'5. PERSON'!CK$17:CK$192)+SUMIF('6. OPERATION'!$B$17:$B$149,$C150,'6. OPERATION'!BB$17:BB$149)+SUMIF('6. OPERATION'!$B$17:$B$149,$C150,'6. OPERATION'!BN$17:BN$149)</f>
        <v>0</v>
      </c>
      <c r="K175" s="697">
        <f>SUMIF('5. PERSON'!$B$17:$B$192,$C150,'5. PERSON'!BZ$17:BZ$192)+SUMIF('5. PERSON'!$B$17:$B$192,$C150,'5. PERSON'!CL$17:CL$192)+SUMIF('6. OPERATION'!$B$17:$B$149,$C150,'6. OPERATION'!BC$17:BC$149)+SUMIF('6. OPERATION'!$B$17:$B$149,$C150,'6. OPERATION'!BO$17:BO$149)</f>
        <v>0</v>
      </c>
      <c r="L175" s="697">
        <f>SUMIF('5. PERSON'!$B$17:$B$192,$C150,'5. PERSON'!CA$17:CA$192)+SUMIF('5. PERSON'!$B$17:$B$192,$C150,'5. PERSON'!CM$17:CM$192)+SUMIF('6. OPERATION'!$B$17:$B$149,$C150,'6. OPERATION'!BD$17:BD$149)+SUMIF('6. OPERATION'!$B$17:$B$149,$C150,'6. OPERATION'!BP$17:BP$149)</f>
        <v>0</v>
      </c>
      <c r="M175" s="693">
        <f>SUM(C175:L175)</f>
        <v>0</v>
      </c>
    </row>
    <row r="176" spans="2:15" s="3" customFormat="1" ht="13.2" x14ac:dyDescent="0.25">
      <c r="B176" s="124" t="s">
        <v>113</v>
      </c>
      <c r="C176" s="88">
        <f>SUM(C171:C175)</f>
        <v>0</v>
      </c>
      <c r="D176" s="88">
        <f t="shared" ref="D176:M176" si="18">SUM(D171:D175)</f>
        <v>0</v>
      </c>
      <c r="E176" s="88">
        <f t="shared" si="18"/>
        <v>0</v>
      </c>
      <c r="F176" s="88">
        <f t="shared" si="18"/>
        <v>0</v>
      </c>
      <c r="G176" s="88">
        <f t="shared" si="18"/>
        <v>0</v>
      </c>
      <c r="H176" s="88">
        <f t="shared" si="18"/>
        <v>0</v>
      </c>
      <c r="I176" s="88">
        <f t="shared" si="18"/>
        <v>0</v>
      </c>
      <c r="J176" s="88">
        <f t="shared" si="18"/>
        <v>0</v>
      </c>
      <c r="K176" s="88">
        <f t="shared" si="18"/>
        <v>0</v>
      </c>
      <c r="L176" s="88">
        <f t="shared" si="18"/>
        <v>0</v>
      </c>
      <c r="M176" s="142">
        <f t="shared" si="18"/>
        <v>0</v>
      </c>
    </row>
    <row r="177" spans="2:13" s="3" customFormat="1" ht="13.2" x14ac:dyDescent="0.25">
      <c r="B177" s="287"/>
      <c r="C177" s="37"/>
      <c r="D177" s="37"/>
      <c r="E177" s="37"/>
      <c r="F177" s="37"/>
      <c r="G177" s="37"/>
      <c r="H177" s="37"/>
      <c r="I177" s="37"/>
      <c r="J177" s="37"/>
      <c r="K177" s="37"/>
      <c r="L177" s="37"/>
      <c r="M177" s="37"/>
    </row>
    <row r="178" spans="2:13" s="3" customFormat="1" ht="12.75" customHeight="1" x14ac:dyDescent="0.25">
      <c r="B178" s="656" t="str">
        <f>IF('1. INTRO'!I$2="English","Co-funding share in full cost ","Medfinansieringsandel i full kostnad ")</f>
        <v xml:space="preserve">Co-funding share in full cost </v>
      </c>
      <c r="C178" s="143" t="str">
        <f t="shared" ref="C178:M178" si="19">IF(C176&gt;0,C168/C176,"")</f>
        <v/>
      </c>
      <c r="D178" s="143" t="str">
        <f t="shared" si="19"/>
        <v/>
      </c>
      <c r="E178" s="143" t="str">
        <f t="shared" si="19"/>
        <v/>
      </c>
      <c r="F178" s="143" t="str">
        <f t="shared" si="19"/>
        <v/>
      </c>
      <c r="G178" s="143" t="str">
        <f t="shared" si="19"/>
        <v/>
      </c>
      <c r="H178" s="143" t="str">
        <f t="shared" si="19"/>
        <v/>
      </c>
      <c r="I178" s="143" t="str">
        <f t="shared" si="19"/>
        <v/>
      </c>
      <c r="J178" s="143" t="str">
        <f t="shared" si="19"/>
        <v/>
      </c>
      <c r="K178" s="143" t="str">
        <f t="shared" si="19"/>
        <v/>
      </c>
      <c r="L178" s="143" t="str">
        <f t="shared" si="19"/>
        <v/>
      </c>
      <c r="M178" s="143" t="str">
        <f t="shared" si="19"/>
        <v/>
      </c>
    </row>
    <row r="179" spans="2:13" ht="12.75" customHeight="1" x14ac:dyDescent="0.2"/>
    <row r="180" spans="2:13" ht="12.75" customHeight="1" x14ac:dyDescent="0.25">
      <c r="D180" s="656" t="str">
        <f>IF('1. INTRO'!I$2="English","Co-funding need in average per year: ","Medfinansieringsbehov i genomsnitt per år: ")</f>
        <v xml:space="preserve">Co-funding need in average per year: </v>
      </c>
      <c r="E180" s="698" t="str">
        <f>IF(M168=0,"",M168/(DATEDIF('2. START'!C$18,'2. START'!C$19,"d")/365))</f>
        <v/>
      </c>
      <c r="H180" s="656" t="str">
        <f>IF('1. INTRO'!I$2="English","Co-funding need 1/3 of total: ","Medfinansieringsbehov 1/3 av totalt: ")</f>
        <v xml:space="preserve">Co-funding need 1/3 of total: </v>
      </c>
      <c r="I180" s="698">
        <f>M168/3</f>
        <v>0</v>
      </c>
      <c r="L180" s="287" t="str">
        <f>IF('1. INTRO'!I$2="English","Co-funding need total: ","Medfinansieringsbehov totalt: ")</f>
        <v xml:space="preserve">Co-funding need total: </v>
      </c>
      <c r="M180" s="698">
        <f>M168</f>
        <v>0</v>
      </c>
    </row>
    <row r="181" spans="2:13" ht="12.75" customHeight="1" x14ac:dyDescent="0.25">
      <c r="B181" s="53" t="str">
        <f>IF('1. INTRO'!I$2="English","Co-funding sources","Medfinansieringskällor")</f>
        <v>Co-funding sources</v>
      </c>
    </row>
    <row r="182" spans="2:13" ht="12.75" customHeight="1" x14ac:dyDescent="0.25">
      <c r="B182" s="225"/>
      <c r="C182" s="226"/>
      <c r="D182" s="226"/>
      <c r="E182" s="226"/>
      <c r="F182" s="226"/>
      <c r="G182" s="226"/>
      <c r="H182" s="226"/>
      <c r="I182" s="226"/>
      <c r="J182" s="226"/>
      <c r="K182" s="226"/>
      <c r="L182" s="227"/>
      <c r="M182" s="168">
        <f>SUM(C182:L182)</f>
        <v>0</v>
      </c>
    </row>
    <row r="183" spans="2:13" ht="12.75" customHeight="1" x14ac:dyDescent="0.25">
      <c r="B183" s="228"/>
      <c r="C183" s="229"/>
      <c r="D183" s="229"/>
      <c r="E183" s="229"/>
      <c r="F183" s="229"/>
      <c r="G183" s="229"/>
      <c r="H183" s="229"/>
      <c r="I183" s="229"/>
      <c r="J183" s="229"/>
      <c r="K183" s="229"/>
      <c r="L183" s="230"/>
      <c r="M183" s="687">
        <f t="shared" ref="M183:M186" si="20">SUM(C183:L183)</f>
        <v>0</v>
      </c>
    </row>
    <row r="184" spans="2:13" ht="12.75" customHeight="1" x14ac:dyDescent="0.25">
      <c r="B184" s="231"/>
      <c r="C184" s="232"/>
      <c r="D184" s="232"/>
      <c r="E184" s="232"/>
      <c r="F184" s="232"/>
      <c r="G184" s="232"/>
      <c r="H184" s="232"/>
      <c r="I184" s="232"/>
      <c r="J184" s="232"/>
      <c r="K184" s="232"/>
      <c r="L184" s="233"/>
      <c r="M184" s="117">
        <f t="shared" si="20"/>
        <v>0</v>
      </c>
    </row>
    <row r="185" spans="2:13" ht="12.75" customHeight="1" x14ac:dyDescent="0.25">
      <c r="B185" s="228"/>
      <c r="C185" s="229"/>
      <c r="D185" s="229"/>
      <c r="E185" s="229"/>
      <c r="F185" s="229"/>
      <c r="G185" s="229"/>
      <c r="H185" s="229"/>
      <c r="I185" s="229"/>
      <c r="J185" s="229"/>
      <c r="K185" s="229"/>
      <c r="L185" s="230"/>
      <c r="M185" s="687">
        <f t="shared" si="20"/>
        <v>0</v>
      </c>
    </row>
    <row r="186" spans="2:13" ht="12.75" customHeight="1" x14ac:dyDescent="0.25">
      <c r="B186" s="93"/>
      <c r="C186" s="232"/>
      <c r="D186" s="232"/>
      <c r="E186" s="232"/>
      <c r="F186" s="232"/>
      <c r="G186" s="232"/>
      <c r="H186" s="232"/>
      <c r="I186" s="232"/>
      <c r="J186" s="232"/>
      <c r="K186" s="232"/>
      <c r="L186" s="233"/>
      <c r="M186" s="117">
        <f t="shared" si="20"/>
        <v>0</v>
      </c>
    </row>
    <row r="187" spans="2:13" ht="12.75" customHeight="1" x14ac:dyDescent="0.25">
      <c r="B187" s="84" t="str">
        <f>IF('1. INTRO'!I$2="English","Total co-funding ","Total medfinansiering ")</f>
        <v xml:space="preserve">Total co-funding </v>
      </c>
      <c r="C187" s="87">
        <f t="shared" ref="C187:M187" si="21">SUM(C182:C186)</f>
        <v>0</v>
      </c>
      <c r="D187" s="87">
        <f t="shared" si="21"/>
        <v>0</v>
      </c>
      <c r="E187" s="87">
        <f t="shared" si="21"/>
        <v>0</v>
      </c>
      <c r="F187" s="87">
        <f t="shared" si="21"/>
        <v>0</v>
      </c>
      <c r="G187" s="87">
        <f t="shared" si="21"/>
        <v>0</v>
      </c>
      <c r="H187" s="87">
        <f t="shared" si="21"/>
        <v>0</v>
      </c>
      <c r="I187" s="87">
        <f t="shared" si="21"/>
        <v>0</v>
      </c>
      <c r="J187" s="87">
        <f t="shared" si="21"/>
        <v>0</v>
      </c>
      <c r="K187" s="87">
        <f t="shared" si="21"/>
        <v>0</v>
      </c>
      <c r="L187" s="87">
        <f t="shared" si="21"/>
        <v>0</v>
      </c>
      <c r="M187" s="142">
        <f t="shared" si="21"/>
        <v>0</v>
      </c>
    </row>
    <row r="188" spans="2:13" ht="12.75" customHeight="1" x14ac:dyDescent="0.2"/>
    <row r="189" spans="2:13" ht="12.75" customHeight="1" x14ac:dyDescent="0.2">
      <c r="B189" s="667" t="str">
        <f>IF('1. INTRO'!I$2="English","Calculation comments","Kalkylkommentarer")</f>
        <v>Calculation comments</v>
      </c>
    </row>
    <row r="190" spans="2:13" ht="12.75" customHeight="1" x14ac:dyDescent="0.2">
      <c r="B190" s="1142"/>
      <c r="C190" s="1143"/>
      <c r="D190" s="1143"/>
      <c r="E190" s="1143"/>
      <c r="F190" s="1143"/>
      <c r="G190" s="1143"/>
      <c r="H190" s="1143"/>
      <c r="I190" s="1143"/>
      <c r="J190" s="1143"/>
      <c r="K190" s="1143"/>
      <c r="L190" s="1143"/>
      <c r="M190" s="1144"/>
    </row>
    <row r="191" spans="2:13" ht="12.75" customHeight="1" x14ac:dyDescent="0.2">
      <c r="B191" s="1145"/>
      <c r="C191" s="1226"/>
      <c r="D191" s="1226"/>
      <c r="E191" s="1226"/>
      <c r="F191" s="1226"/>
      <c r="G191" s="1226"/>
      <c r="H191" s="1226"/>
      <c r="I191" s="1226"/>
      <c r="J191" s="1226"/>
      <c r="K191" s="1226"/>
      <c r="L191" s="1226"/>
      <c r="M191" s="1147"/>
    </row>
    <row r="192" spans="2:13" ht="12.75" customHeight="1" x14ac:dyDescent="0.2">
      <c r="B192" s="1145"/>
      <c r="C192" s="1226"/>
      <c r="D192" s="1226"/>
      <c r="E192" s="1226"/>
      <c r="F192" s="1226"/>
      <c r="G192" s="1226"/>
      <c r="H192" s="1226"/>
      <c r="I192" s="1226"/>
      <c r="J192" s="1226"/>
      <c r="K192" s="1226"/>
      <c r="L192" s="1226"/>
      <c r="M192" s="1147"/>
    </row>
    <row r="193" spans="2:15" ht="12.75" customHeight="1" x14ac:dyDescent="0.2">
      <c r="B193" s="1145"/>
      <c r="C193" s="1226"/>
      <c r="D193" s="1226"/>
      <c r="E193" s="1226"/>
      <c r="F193" s="1226"/>
      <c r="G193" s="1226"/>
      <c r="H193" s="1226"/>
      <c r="I193" s="1226"/>
      <c r="J193" s="1226"/>
      <c r="K193" s="1226"/>
      <c r="L193" s="1226"/>
      <c r="M193" s="1147"/>
    </row>
    <row r="194" spans="2:15" ht="12.75" customHeight="1" x14ac:dyDescent="0.2">
      <c r="B194" s="1148"/>
      <c r="C194" s="1149"/>
      <c r="D194" s="1149"/>
      <c r="E194" s="1149"/>
      <c r="F194" s="1149"/>
      <c r="G194" s="1149"/>
      <c r="H194" s="1149"/>
      <c r="I194" s="1149"/>
      <c r="J194" s="1149"/>
      <c r="K194" s="1149"/>
      <c r="L194" s="1149"/>
      <c r="M194" s="1150"/>
    </row>
    <row r="196" spans="2:15" s="3" customFormat="1" ht="12.75" customHeight="1" x14ac:dyDescent="0.25">
      <c r="B196" s="313" t="str">
        <f>'3. PARTNER'!C$4</f>
        <v xml:space="preserve">Project: </v>
      </c>
      <c r="C196" s="1062" t="str">
        <f>'3. PARTNER'!D$4</f>
        <v/>
      </c>
      <c r="D196" s="1001"/>
      <c r="E196" s="1001"/>
      <c r="F196" s="1001"/>
      <c r="G196" s="1001"/>
      <c r="H196" s="1001"/>
      <c r="I196" s="1001"/>
      <c r="J196" s="1001"/>
      <c r="K196" s="1001"/>
      <c r="L196" s="1001"/>
      <c r="M196" s="1001"/>
    </row>
    <row r="197" spans="2:15" s="3" customFormat="1" ht="13.2" x14ac:dyDescent="0.25">
      <c r="B197" s="313" t="str">
        <f>'3. PARTNER'!C$5</f>
        <v xml:space="preserve">Calculation for: </v>
      </c>
      <c r="C197" s="1062" t="str">
        <f>'3. PARTNER'!D$5</f>
        <v>APPLICATION</v>
      </c>
      <c r="D197" s="1001"/>
      <c r="E197" s="268"/>
      <c r="F197" s="268"/>
      <c r="G197" s="268"/>
      <c r="H197" s="268"/>
      <c r="I197" s="268"/>
      <c r="J197" s="268"/>
      <c r="K197" s="268"/>
      <c r="L197" s="268"/>
      <c r="M197" s="268"/>
    </row>
    <row r="198" spans="2:15" s="3" customFormat="1" ht="13.2" x14ac:dyDescent="0.25">
      <c r="B198" s="35" t="str">
        <f>'3. PARTNER'!C$6</f>
        <v xml:space="preserve">Project leader: </v>
      </c>
      <c r="C198" s="1062" t="str">
        <f>'3. PARTNER'!D$6</f>
        <v/>
      </c>
      <c r="D198" s="1001"/>
      <c r="E198" s="1001"/>
      <c r="F198" s="1001"/>
      <c r="G198" s="1001"/>
      <c r="H198" s="1001"/>
      <c r="I198" s="1001"/>
      <c r="J198" s="1001"/>
      <c r="K198" s="1001"/>
      <c r="L198" s="1001"/>
      <c r="M198" s="1001"/>
    </row>
    <row r="199" spans="2:15" s="3" customFormat="1" ht="13.2" x14ac:dyDescent="0.25">
      <c r="B199" s="313" t="str">
        <f>'5. PERSON'!B$7</f>
        <v xml:space="preserve">Amounts in: </v>
      </c>
      <c r="C199" s="655" t="str">
        <f>'5. PERSON'!C$7</f>
        <v>SEK</v>
      </c>
      <c r="D199" s="268"/>
      <c r="E199" s="268"/>
      <c r="F199" s="268"/>
      <c r="G199" s="234"/>
      <c r="H199" s="234"/>
      <c r="I199" s="270"/>
      <c r="J199" s="270"/>
      <c r="K199" s="270"/>
      <c r="L199" s="270"/>
      <c r="M199" s="270"/>
    </row>
    <row r="200" spans="2:15" s="3" customFormat="1" ht="13.2" x14ac:dyDescent="0.25">
      <c r="B200" s="313"/>
      <c r="C200" s="1053" t="str">
        <f>'3. PARTNER'!D$7</f>
        <v>Other basic data about the project is in sheet 2.</v>
      </c>
      <c r="D200" s="1001"/>
      <c r="E200" s="1001"/>
      <c r="F200" s="1001"/>
      <c r="G200" s="234"/>
      <c r="H200" s="234"/>
      <c r="I200" s="270"/>
      <c r="J200" s="270"/>
      <c r="K200" s="270"/>
      <c r="L200" s="251" t="s">
        <v>4</v>
      </c>
      <c r="M200" s="270"/>
    </row>
    <row r="201" spans="2:15" ht="12.75" customHeight="1" x14ac:dyDescent="0.2">
      <c r="J201" s="252" t="s">
        <v>322</v>
      </c>
      <c r="K201" s="252" t="s">
        <v>323</v>
      </c>
      <c r="L201" s="252" t="str">
        <f>IF('1. INTRO'!I$2="English","months","månader")</f>
        <v>months</v>
      </c>
    </row>
    <row r="202" spans="2:15" s="3" customFormat="1" ht="13.8" x14ac:dyDescent="0.25">
      <c r="B202" s="157" t="str">
        <f>IF('1. INTRO'!I$2="English","Project costs","Projektkostnader")</f>
        <v>Project costs</v>
      </c>
      <c r="C202" s="668" t="str">
        <f>A17</f>
        <v>638LTV</v>
      </c>
      <c r="D202" s="1227" t="str">
        <f>B17</f>
        <v>People and Society</v>
      </c>
      <c r="E202" s="1001"/>
      <c r="F202" s="1001"/>
      <c r="G202" s="37"/>
      <c r="H202" s="37"/>
      <c r="I202" s="37"/>
      <c r="J202" s="643"/>
      <c r="K202" s="643"/>
      <c r="L202" s="642">
        <f>SUMIF('5. PERSON'!$B$17:$B$192,$C202,'5. PERSON'!AE$17:AE$192)</f>
        <v>0</v>
      </c>
      <c r="M202" s="680" t="s">
        <v>330</v>
      </c>
    </row>
    <row r="203" spans="2:15" s="3" customFormat="1" ht="6" customHeight="1" x14ac:dyDescent="0.25">
      <c r="B203" s="57"/>
      <c r="C203" s="37"/>
      <c r="D203" s="37"/>
      <c r="E203" s="37"/>
      <c r="F203" s="37"/>
      <c r="G203" s="37"/>
      <c r="H203" s="37"/>
      <c r="I203" s="37"/>
      <c r="J203" s="37"/>
      <c r="K203" s="37"/>
      <c r="L203" s="37"/>
      <c r="M203" s="37"/>
    </row>
    <row r="204" spans="2:15" s="3" customFormat="1" ht="13.2" x14ac:dyDescent="0.25">
      <c r="B204" s="110" t="str">
        <f>IF('1. INTRO'!I$2="English","Costs to be covered by funding body","Kostnader att täckas av finansiär")</f>
        <v>Costs to be covered by funding body</v>
      </c>
      <c r="C204" s="111">
        <f>'5. PERSON'!G$15</f>
        <v>1900</v>
      </c>
      <c r="D204" s="111" t="str">
        <f>'5. PERSON'!H$15</f>
        <v/>
      </c>
      <c r="E204" s="111" t="str">
        <f>'5. PERSON'!I$15</f>
        <v/>
      </c>
      <c r="F204" s="111" t="str">
        <f>'5. PERSON'!J$15</f>
        <v/>
      </c>
      <c r="G204" s="111" t="str">
        <f>'5. PERSON'!K$15</f>
        <v/>
      </c>
      <c r="H204" s="111" t="str">
        <f>'5. PERSON'!L$15</f>
        <v/>
      </c>
      <c r="I204" s="111" t="str">
        <f>'5. PERSON'!M$15</f>
        <v/>
      </c>
      <c r="J204" s="111" t="str">
        <f>'5. PERSON'!N$15</f>
        <v/>
      </c>
      <c r="K204" s="111" t="str">
        <f>'5. PERSON'!O$15</f>
        <v/>
      </c>
      <c r="L204" s="111" t="str">
        <f>'5. PERSON'!P$15</f>
        <v/>
      </c>
      <c r="M204" s="112" t="s">
        <v>2</v>
      </c>
    </row>
    <row r="205" spans="2:15" s="3" customFormat="1" ht="12.75" customHeight="1" x14ac:dyDescent="0.25">
      <c r="B205" s="682" t="str">
        <f>IF('1. INTRO'!I$2="English","Salary including social costs (LKP)","Lön inklusive LKP")</f>
        <v>Salary including social costs (LKP)</v>
      </c>
      <c r="C205" s="683">
        <f>IF('2. START'!$C$14&gt;0,SUMIF('5. PERSON'!$B$17:$B$192,$C202,'5. PERSON'!DN$17:DN$192),SUMIF('5. PERSON'!$B$17:$B$192,$C202,'5. PERSON'!AT$17:AT$192))</f>
        <v>0</v>
      </c>
      <c r="D205" s="683">
        <f>IF('2. START'!$C$14&gt;0,SUMIF('5. PERSON'!$B$17:$B$192,$C202,'5. PERSON'!DO$17:DO$192),SUMIF('5. PERSON'!$B$17:$B$192,$C202,'5. PERSON'!AU$17:AU$192))</f>
        <v>0</v>
      </c>
      <c r="E205" s="683">
        <f>IF('2. START'!$C$14&gt;0,SUMIF('5. PERSON'!$B$17:$B$192,$C202,'5. PERSON'!DP$17:DP$192),SUMIF('5. PERSON'!$B$17:$B$192,$C202,'5. PERSON'!AV$17:AV$192))</f>
        <v>0</v>
      </c>
      <c r="F205" s="683">
        <f>IF('2. START'!$C$14&gt;0,SUMIF('5. PERSON'!$B$17:$B$192,$C202,'5. PERSON'!DQ$17:DQ$192),SUMIF('5. PERSON'!$B$17:$B$192,$C202,'5. PERSON'!AW$17:AW$192))</f>
        <v>0</v>
      </c>
      <c r="G205" s="683">
        <f>IF('2. START'!$C$14&gt;0,SUMIF('5. PERSON'!$B$17:$B$192,$C202,'5. PERSON'!DR$17:DR$192),SUMIF('5. PERSON'!$B$17:$B$192,$C202,'5. PERSON'!AX$17:AX$192))</f>
        <v>0</v>
      </c>
      <c r="H205" s="683">
        <f>IF('2. START'!$C$14&gt;0,SUMIF('5. PERSON'!$B$17:$B$192,$C202,'5. PERSON'!DS$17:DS$192),SUMIF('5. PERSON'!$B$17:$B$192,$C202,'5. PERSON'!AY$17:AY$192))</f>
        <v>0</v>
      </c>
      <c r="I205" s="683">
        <f>IF('2. START'!$C$14&gt;0,SUMIF('5. PERSON'!$B$17:$B$192,$C202,'5. PERSON'!DT$17:DT$192),SUMIF('5. PERSON'!$B$17:$B$192,$C202,'5. PERSON'!AZ$17:AZ$192))</f>
        <v>0</v>
      </c>
      <c r="J205" s="683">
        <f>IF('2. START'!$C$14&gt;0,SUMIF('5. PERSON'!$B$17:$B$192,$C202,'5. PERSON'!DU$17:DU$192),SUMIF('5. PERSON'!$B$17:$B$192,$C202,'5. PERSON'!BA$17:BA$192))</f>
        <v>0</v>
      </c>
      <c r="K205" s="683">
        <f>IF('2. START'!$C$14&gt;0,SUMIF('5. PERSON'!$B$17:$B$192,$C202,'5. PERSON'!DV$17:DV$192),SUMIF('5. PERSON'!$B$17:$B$192,$C202,'5. PERSON'!BB$17:BB$192))</f>
        <v>0</v>
      </c>
      <c r="L205" s="683">
        <f>IF('2. START'!$C$14&gt;0,SUMIF('5. PERSON'!$B$17:$B$192,$C202,'5. PERSON'!DW$17:DW$192),SUMIF('5. PERSON'!$B$17:$B$192,$C202,'5. PERSON'!BC$17:BC$192))</f>
        <v>0</v>
      </c>
      <c r="M205" s="684">
        <f t="shared" ref="M205:M210" si="22">SUM(C205:L205)</f>
        <v>0</v>
      </c>
      <c r="O205" s="4"/>
    </row>
    <row r="206" spans="2:15" s="3" customFormat="1" ht="12.75" customHeight="1" x14ac:dyDescent="0.25">
      <c r="B206" s="80" t="str">
        <f>IF('1. INTRO'!I$2="English","Operating","Drift")</f>
        <v>Operating</v>
      </c>
      <c r="C206" s="116">
        <f>SUMIF('6. OPERATION'!$B$17:$B$149,$C202,'6. OPERATION'!W$17:W$149)</f>
        <v>0</v>
      </c>
      <c r="D206" s="116">
        <f>SUMIF('6. OPERATION'!$B$17:$B$149,$C202,'6. OPERATION'!X$17:X$149)</f>
        <v>0</v>
      </c>
      <c r="E206" s="116">
        <f>SUMIF('6. OPERATION'!$B$17:$B$149,$C202,'6. OPERATION'!Y$17:Y$149)</f>
        <v>0</v>
      </c>
      <c r="F206" s="116">
        <f>SUMIF('6. OPERATION'!$B$17:$B$149,$C202,'6. OPERATION'!Z$17:Z$149)</f>
        <v>0</v>
      </c>
      <c r="G206" s="116">
        <f>SUMIF('6. OPERATION'!$B$17:$B$149,$C202,'6. OPERATION'!AA$17:AA$149)</f>
        <v>0</v>
      </c>
      <c r="H206" s="116">
        <f>SUMIF('6. OPERATION'!$B$17:$B$149,$C202,'6. OPERATION'!AB$17:AB$149)</f>
        <v>0</v>
      </c>
      <c r="I206" s="116">
        <f>SUMIF('6. OPERATION'!$B$17:$B$149,$C202,'6. OPERATION'!AC$17:AC$149)</f>
        <v>0</v>
      </c>
      <c r="J206" s="116">
        <f>SUMIF('6. OPERATION'!$B$17:$B$149,$C202,'6. OPERATION'!AD$17:AD$149)</f>
        <v>0</v>
      </c>
      <c r="K206" s="116">
        <f>SUMIF('6. OPERATION'!$B$17:$B$149,$C202,'6. OPERATION'!AE$17:AE$149)</f>
        <v>0</v>
      </c>
      <c r="L206" s="116">
        <f>SUMIF('6. OPERATION'!$B$17:$B$149,$C202,'6. OPERATION'!AF$17:AF$149)</f>
        <v>0</v>
      </c>
      <c r="M206" s="117">
        <f t="shared" si="22"/>
        <v>0</v>
      </c>
    </row>
    <row r="207" spans="2:15" s="3" customFormat="1" ht="13.2" x14ac:dyDescent="0.25">
      <c r="B207" s="685" t="str">
        <f>IF('1. INTRO'!I$2="English","Equipment","Utrustning")</f>
        <v>Equipment</v>
      </c>
      <c r="C207" s="686">
        <f>SUMIF('7. INVEST'!$B$17:$B$49,$C202,'7. INVEST'!W$17:W$49)</f>
        <v>0</v>
      </c>
      <c r="D207" s="686">
        <f>SUMIF('7. INVEST'!$B$17:$B$49,$C202,'7. INVEST'!X$17:X$49)</f>
        <v>0</v>
      </c>
      <c r="E207" s="686">
        <f>SUMIF('7. INVEST'!$B$17:$B$49,$C202,'7. INVEST'!Y$17:Y$49)</f>
        <v>0</v>
      </c>
      <c r="F207" s="686">
        <f>SUMIF('7. INVEST'!$B$17:$B$49,$C202,'7. INVEST'!Z$17:Z$49)</f>
        <v>0</v>
      </c>
      <c r="G207" s="686">
        <f>SUMIF('7. INVEST'!$B$17:$B$49,$C202,'7. INVEST'!AA$17:AA$49)</f>
        <v>0</v>
      </c>
      <c r="H207" s="686">
        <f>SUMIF('7. INVEST'!$B$17:$B$49,$C202,'7. INVEST'!AB$17:AB$49)</f>
        <v>0</v>
      </c>
      <c r="I207" s="686">
        <f>SUMIF('7. INVEST'!$B$17:$B$49,$C202,'7. INVEST'!AC$17:AC$49)</f>
        <v>0</v>
      </c>
      <c r="J207" s="686">
        <f>SUMIF('7. INVEST'!$B$17:$B$49,$C202,'7. INVEST'!AD$17:AD$49)</f>
        <v>0</v>
      </c>
      <c r="K207" s="686">
        <f>SUMIF('7. INVEST'!$B$17:$B$49,$C202,'7. INVEST'!AE$17:AE$49)</f>
        <v>0</v>
      </c>
      <c r="L207" s="686">
        <f>SUMIF('7. INVEST'!$B$17:$B$49,$C202,'7. INVEST'!AF$17:AF$49)</f>
        <v>0</v>
      </c>
      <c r="M207" s="687">
        <f t="shared" si="22"/>
        <v>0</v>
      </c>
    </row>
    <row r="208" spans="2:15" s="3" customFormat="1" ht="13.2" x14ac:dyDescent="0.25">
      <c r="B208" s="121" t="str">
        <f>IF('1. INTRO'!I$2="English",(IF('2. START'!C$11="NO","Facility accepted as direct cost by funding body","Facility")),IF('2. START'!C$11="NO","Lokal accepterad som direkt kostnad av finansiär","Lokal"))</f>
        <v>Facility</v>
      </c>
      <c r="C208" s="116">
        <f>IF('2. START'!$C$11="NO",SUMIF('8. FACILIT'!$B$18:$B$50,$C202,'8. FACILIT'!T$18:T$50),SUMIF('5. PERSON'!$B$17:$B$192,$C202,'5. PERSON'!CP$17:CP$192)+SUMIF('6. OPERATION'!$B$17:$B$149,$C202,'6. OPERATION'!BS$17:BS$149)+SUMIF('8. FACILIT'!$B$18:$B$50,$C202,'8. FACILIT'!T$18:T$50))</f>
        <v>0</v>
      </c>
      <c r="D208" s="116">
        <f>IF('2. START'!$C$11="NO",SUMIF('8. FACILIT'!$B$18:$B$50,$C202,'8. FACILIT'!U$18:U$50),SUMIF('5. PERSON'!$B$17:$B$192,$C202,'5. PERSON'!CQ$17:CQ$192)+SUMIF('6. OPERATION'!$B$17:$B$149,$C202,'6. OPERATION'!BT$17:BT$149)+SUMIF('8. FACILIT'!$B$18:$B$50,$C202,'8. FACILIT'!U$18:U$50))</f>
        <v>0</v>
      </c>
      <c r="E208" s="116">
        <f>IF('2. START'!$C$11="NO",SUMIF('8. FACILIT'!$B$18:$B$50,$C202,'8. FACILIT'!V$18:V$50),SUMIF('5. PERSON'!$B$17:$B$192,$C202,'5. PERSON'!CR$17:CR$192)+SUMIF('6. OPERATION'!$B$17:$B$149,$C202,'6. OPERATION'!BU$17:BU$149)+SUMIF('8. FACILIT'!$B$18:$B$50,$C202,'8. FACILIT'!V$18:V$50))</f>
        <v>0</v>
      </c>
      <c r="F208" s="116">
        <f>IF('2. START'!$C$11="NO",SUMIF('8. FACILIT'!$B$18:$B$50,$C202,'8. FACILIT'!W$18:W$50),SUMIF('5. PERSON'!$B$17:$B$192,$C202,'5. PERSON'!CS$17:CS$192)+SUMIF('6. OPERATION'!$B$17:$B$149,$C202,'6. OPERATION'!BV$17:BV$149)+SUMIF('8. FACILIT'!$B$18:$B$50,$C202,'8. FACILIT'!W$18:W$50))</f>
        <v>0</v>
      </c>
      <c r="G208" s="116">
        <f>IF('2. START'!$C$11="NO",SUMIF('8. FACILIT'!$B$18:$B$50,$C202,'8. FACILIT'!X$18:X$50),SUMIF('5. PERSON'!$B$17:$B$192,$C202,'5. PERSON'!CT$17:CT$192)+SUMIF('6. OPERATION'!$B$17:$B$149,$C202,'6. OPERATION'!BW$17:BW$149)+SUMIF('8. FACILIT'!$B$18:$B$50,$C202,'8. FACILIT'!X$18:X$50))</f>
        <v>0</v>
      </c>
      <c r="H208" s="116">
        <f>IF('2. START'!$C$11="NO",SUMIF('8. FACILIT'!$B$18:$B$50,$C202,'8. FACILIT'!Y$18:Y$50),SUMIF('5. PERSON'!$B$17:$B$192,$C202,'5. PERSON'!CU$17:CU$192)+SUMIF('6. OPERATION'!$B$17:$B$149,$C202,'6. OPERATION'!BX$17:BX$149)+SUMIF('8. FACILIT'!$B$18:$B$50,$C202,'8. FACILIT'!Y$18:Y$50))</f>
        <v>0</v>
      </c>
      <c r="I208" s="116">
        <f>IF('2. START'!$C$11="NO",SUMIF('8. FACILIT'!$B$18:$B$50,$C202,'8. FACILIT'!Z$18:Z$50),SUMIF('5. PERSON'!$B$17:$B$192,$C202,'5. PERSON'!CV$17:CV$192)+SUMIF('6. OPERATION'!$B$17:$B$149,$C202,'6. OPERATION'!BY$17:BY$149)+SUMIF('8. FACILIT'!$B$18:$B$50,$C202,'8. FACILIT'!Z$18:Z$50))</f>
        <v>0</v>
      </c>
      <c r="J208" s="116">
        <f>IF('2. START'!$C$11="NO",SUMIF('8. FACILIT'!$B$18:$B$50,$C202,'8. FACILIT'!AA$18:AA$50),SUMIF('5. PERSON'!$B$17:$B$192,$C202,'5. PERSON'!CW$17:CW$192)+SUMIF('6. OPERATION'!$B$17:$B$149,$C202,'6. OPERATION'!BZ$17:BZ$149)+SUMIF('8. FACILIT'!$B$18:$B$50,$C202,'8. FACILIT'!AA$18:AA$50))</f>
        <v>0</v>
      </c>
      <c r="K208" s="116">
        <f>IF('2. START'!$C$11="NO",SUMIF('8. FACILIT'!$B$18:$B$50,$C202,'8. FACILIT'!AB$18:AB$50),SUMIF('5. PERSON'!$B$17:$B$192,$C202,'5. PERSON'!CX$17:CX$192)+SUMIF('6. OPERATION'!$B$17:$B$149,$C202,'6. OPERATION'!CA$17:CA$149)+SUMIF('8. FACILIT'!$B$18:$B$50,$C202,'8. FACILIT'!AB$18:AB$50))</f>
        <v>0</v>
      </c>
      <c r="L208" s="116">
        <f>IF('2. START'!$C$11="NO",SUMIF('8. FACILIT'!$B$18:$B$50,$C202,'8. FACILIT'!AC$18:AC$50),SUMIF('5. PERSON'!$B$17:$B$192,$C202,'5. PERSON'!CY$17:CY$192)+SUMIF('6. OPERATION'!$B$17:$B$149,$C202,'6. OPERATION'!CB$17:CB$149)+SUMIF('8. FACILIT'!$B$18:$B$50,$C202,'8. FACILIT'!AC$18:AC$50))</f>
        <v>0</v>
      </c>
      <c r="M208" s="117">
        <f t="shared" si="22"/>
        <v>0</v>
      </c>
    </row>
    <row r="209" spans="2:15" s="3" customFormat="1" ht="13.2" x14ac:dyDescent="0.25">
      <c r="B209" s="688" t="str">
        <f>IF('1. INTRO'!I$2="English",(IF('2. START'!C$11="NO","Indirect and facility charge accepted as OH by funding body","Indirect")),IF('2. START'!C$11="NO","Indirekt och lokalpåslag accepterade som OH av finansiär","Indirekt"))</f>
        <v>Indirect</v>
      </c>
      <c r="C209" s="689">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689">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689">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689">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689">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689">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689">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689">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689">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689">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687">
        <f t="shared" si="22"/>
        <v>0</v>
      </c>
    </row>
    <row r="210" spans="2:15" s="3" customFormat="1" ht="13.2" x14ac:dyDescent="0.25">
      <c r="B210" s="124" t="s">
        <v>113</v>
      </c>
      <c r="C210" s="102">
        <f>SUM(C205:C209)</f>
        <v>0</v>
      </c>
      <c r="D210" s="102">
        <f t="shared" ref="D210:L210" si="23">SUM(D205:D209)</f>
        <v>0</v>
      </c>
      <c r="E210" s="102">
        <f t="shared" si="23"/>
        <v>0</v>
      </c>
      <c r="F210" s="102">
        <f t="shared" si="23"/>
        <v>0</v>
      </c>
      <c r="G210" s="102">
        <f t="shared" si="23"/>
        <v>0</v>
      </c>
      <c r="H210" s="102">
        <f t="shared" si="23"/>
        <v>0</v>
      </c>
      <c r="I210" s="102">
        <f t="shared" si="23"/>
        <v>0</v>
      </c>
      <c r="J210" s="102">
        <f t="shared" si="23"/>
        <v>0</v>
      </c>
      <c r="K210" s="102">
        <f t="shared" si="23"/>
        <v>0</v>
      </c>
      <c r="L210" s="102">
        <f t="shared" si="23"/>
        <v>0</v>
      </c>
      <c r="M210" s="125">
        <f t="shared" si="22"/>
        <v>0</v>
      </c>
    </row>
    <row r="211" spans="2:15" s="3" customFormat="1" ht="6" customHeight="1" x14ac:dyDescent="0.25">
      <c r="B211" s="126"/>
      <c r="C211" s="127"/>
      <c r="D211" s="127"/>
      <c r="E211" s="127"/>
      <c r="F211" s="127"/>
      <c r="G211" s="127"/>
      <c r="H211" s="127"/>
      <c r="I211" s="127"/>
      <c r="J211" s="127"/>
      <c r="K211" s="127"/>
      <c r="L211" s="127"/>
      <c r="M211" s="128"/>
    </row>
    <row r="212" spans="2:15" s="3" customFormat="1" ht="13.2" x14ac:dyDescent="0.25">
      <c r="B212" s="129" t="str">
        <f>IF('1. INTRO'!I$2="English","Costs to be co-funded","Kostnader att medfinansiera")</f>
        <v>Costs to be co-funded</v>
      </c>
      <c r="C212" s="86"/>
      <c r="D212" s="86"/>
      <c r="E212" s="86"/>
      <c r="F212" s="86"/>
      <c r="G212" s="86"/>
      <c r="H212" s="86"/>
      <c r="I212" s="86"/>
      <c r="J212" s="86"/>
      <c r="K212" s="86"/>
      <c r="L212" s="86"/>
      <c r="M212" s="130"/>
    </row>
    <row r="213" spans="2:15" s="3" customFormat="1" ht="13.2" x14ac:dyDescent="0.25">
      <c r="B213" s="690" t="str">
        <f>IF('1. INTRO'!I$2="English",(IF('2. START'!C$11="NO","Indirect and facility charge not accepted as OH by funding body","")),IF('2. START'!C$11="NO","Indirekt och lokalpåslag inte accepterade som OH av finansiär",""))</f>
        <v/>
      </c>
      <c r="C213" s="691">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691">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691">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691">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691">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691">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691">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691">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691">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691">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684">
        <f t="shared" ref="M213:M219" si="24">SUM(C213:L213)</f>
        <v>0</v>
      </c>
    </row>
    <row r="214" spans="2:15" s="3" customFormat="1" ht="12.75" customHeight="1" x14ac:dyDescent="0.25">
      <c r="B214" s="132" t="str">
        <f>IF('1. INTRO'!I$2="English",(IF('2. START'!C$14&gt;0,"Social costs (LKP) not accepted by funding body","")),IF('2. START'!C$14&gt;0,"LKP som inte accepteras av finansiär",""))</f>
        <v/>
      </c>
      <c r="C214" s="133">
        <f>IF('2. START'!$C$14&gt;0,SUMIF('5. PERSON'!$B$17:$B$192,$C202,'5. PERSON'!AT$17:AT$192)-SUMIF('5. PERSON'!$B$17:$B$192,$C202,'5. PERSON'!DN$17:DN$192),0)</f>
        <v>0</v>
      </c>
      <c r="D214" s="133">
        <f>IF('2. START'!$C$14&gt;0,SUMIF('5. PERSON'!$B$17:$B$192,$C202,'5. PERSON'!AU$17:AU$192)-SUMIF('5. PERSON'!$B$17:$B$192,$C202,'5. PERSON'!DO$17:DO$192),0)</f>
        <v>0</v>
      </c>
      <c r="E214" s="133">
        <f>IF('2. START'!$C$14&gt;0,SUMIF('5. PERSON'!$B$17:$B$192,$C202,'5. PERSON'!AV$17:AV$192)-SUMIF('5. PERSON'!$B$17:$B$192,$C202,'5. PERSON'!DP$17:DP$192),0)</f>
        <v>0</v>
      </c>
      <c r="F214" s="133">
        <f>IF('2. START'!$C$14&gt;0,SUMIF('5. PERSON'!$B$17:$B$192,$C202,'5. PERSON'!AW$17:AW$192)-SUMIF('5. PERSON'!$B$17:$B$192,$C202,'5. PERSON'!DQ$17:DQ$192),0)</f>
        <v>0</v>
      </c>
      <c r="G214" s="133">
        <f>IF('2. START'!$C$14&gt;0,SUMIF('5. PERSON'!$B$17:$B$192,$C202,'5. PERSON'!AX$17:AX$192)-SUMIF('5. PERSON'!$B$17:$B$192,$C202,'5. PERSON'!DR$17:DR$192),0)</f>
        <v>0</v>
      </c>
      <c r="H214" s="133">
        <f>IF('2. START'!$C$14&gt;0,SUMIF('5. PERSON'!$B$17:$B$192,$C202,'5. PERSON'!AY$17:AY$192)-SUMIF('5. PERSON'!$B$17:$B$192,$C202,'5. PERSON'!DS$17:DS$192),0)</f>
        <v>0</v>
      </c>
      <c r="I214" s="133">
        <f>IF('2. START'!$C$14&gt;0,SUMIF('5. PERSON'!$B$17:$B$192,$C202,'5. PERSON'!AZ$17:AZ$192)-SUMIF('5. PERSON'!$B$17:$B$192,$C202,'5. PERSON'!DT$17:DT$192),0)</f>
        <v>0</v>
      </c>
      <c r="J214" s="133">
        <f>IF('2. START'!$C$14&gt;0,SUMIF('5. PERSON'!$B$17:$B$192,$C202,'5. PERSON'!BA$17:BA$192)-SUMIF('5. PERSON'!$B$17:$B$192,$C202,'5. PERSON'!DU$17:DU$192),0)</f>
        <v>0</v>
      </c>
      <c r="K214" s="133">
        <f>IF('2. START'!$C$14&gt;0,SUMIF('5. PERSON'!$B$17:$B$192,$C202,'5. PERSON'!BB$17:BB$192)-SUMIF('5. PERSON'!$B$17:$B$192,$C202,'5. PERSON'!DV$17:DV$192),0)</f>
        <v>0</v>
      </c>
      <c r="L214" s="133">
        <f>IF('2. START'!$C$14&gt;0,SUMIF('5. PERSON'!$B$17:$B$192,$C202,'5. PERSON'!BC$17:BC$192)-SUMIF('5. PERSON'!$B$17:$B$192,$C202,'5. PERSON'!DW$17:DW$192),0)</f>
        <v>0</v>
      </c>
      <c r="M214" s="117">
        <f t="shared" si="24"/>
        <v>0</v>
      </c>
    </row>
    <row r="215" spans="2:15" s="3" customFormat="1" ht="12.75" customHeight="1" x14ac:dyDescent="0.25">
      <c r="B215" s="685" t="str">
        <f>IF('1. INTRO'!I$2="English",(IF('5. PERSON'!BP$193&gt;0,"Salary including social costs (LKP)","")),IF('5. PERSON'!BP$193&gt;0,"Lön inklusive LKP",""))</f>
        <v/>
      </c>
      <c r="C215" s="692">
        <f>SUMIF('5. PERSON'!$B$17:$B$192,$C202,'5. PERSON'!BF$17:BF$192)</f>
        <v>0</v>
      </c>
      <c r="D215" s="692">
        <f>SUMIF('5. PERSON'!$B$17:$B$192,$C202,'5. PERSON'!BG$17:BG$192)</f>
        <v>0</v>
      </c>
      <c r="E215" s="692">
        <f>SUMIF('5. PERSON'!$B$17:$B$192,$C202,'5. PERSON'!BH$17:BH$192)</f>
        <v>0</v>
      </c>
      <c r="F215" s="692">
        <f>SUMIF('5. PERSON'!$B$17:$B$192,$C202,'5. PERSON'!BI$17:BI$192)</f>
        <v>0</v>
      </c>
      <c r="G215" s="692">
        <f>SUMIF('5. PERSON'!$B$17:$B$192,$C202,'5. PERSON'!BJ$17:BJ$192)</f>
        <v>0</v>
      </c>
      <c r="H215" s="692">
        <f>SUMIF('5. PERSON'!$B$17:$B$192,$C202,'5. PERSON'!BK$17:BK$192)</f>
        <v>0</v>
      </c>
      <c r="I215" s="692">
        <f>SUMIF('5. PERSON'!$B$17:$B$192,$C202,'5. PERSON'!BL$17:BL$192)</f>
        <v>0</v>
      </c>
      <c r="J215" s="692">
        <f>SUMIF('5. PERSON'!$B$17:$B$192,$C202,'5. PERSON'!BM$17:BM$192)</f>
        <v>0</v>
      </c>
      <c r="K215" s="692">
        <f>SUMIF('5. PERSON'!$B$17:$B$192,$C202,'5. PERSON'!BN$17:BN$192)</f>
        <v>0</v>
      </c>
      <c r="L215" s="692">
        <f>SUMIF('5. PERSON'!$B$17:$B$192,$C202,'5. PERSON'!BO$17:BO$192)</f>
        <v>0</v>
      </c>
      <c r="M215" s="687">
        <f t="shared" si="24"/>
        <v>0</v>
      </c>
    </row>
    <row r="216" spans="2:15" s="3" customFormat="1" ht="13.2" x14ac:dyDescent="0.25">
      <c r="B216" s="80" t="str">
        <f>IF('1. INTRO'!I$2="English",(IF('6. OPERATION'!AS$150&gt;0,"Operating","")),IF('6. OPERATION'!AS$150&gt;0,"Drift",""))</f>
        <v/>
      </c>
      <c r="C216" s="135">
        <f>SUMIF('6. OPERATION'!$B$17:$B$149,$C202,'6. OPERATION'!AI$17:AI$149)</f>
        <v>0</v>
      </c>
      <c r="D216" s="135">
        <f>SUMIF('6. OPERATION'!$B$17:$B$149,$C202,'6. OPERATION'!AJ$17:AJ$149)</f>
        <v>0</v>
      </c>
      <c r="E216" s="135">
        <f>SUMIF('6. OPERATION'!$B$17:$B$149,$C202,'6. OPERATION'!AK$17:AK$149)</f>
        <v>0</v>
      </c>
      <c r="F216" s="135">
        <f>SUMIF('6. OPERATION'!$B$17:$B$149,$C202,'6. OPERATION'!AL$17:AL$149)</f>
        <v>0</v>
      </c>
      <c r="G216" s="135">
        <f>SUMIF('6. OPERATION'!$B$17:$B$149,$C202,'6. OPERATION'!AM$17:AM$149)</f>
        <v>0</v>
      </c>
      <c r="H216" s="135">
        <f>SUMIF('6. OPERATION'!$B$17:$B$149,$C202,'6. OPERATION'!AN$17:AN$149)</f>
        <v>0</v>
      </c>
      <c r="I216" s="135">
        <f>SUMIF('6. OPERATION'!$B$17:$B$149,$C202,'6. OPERATION'!AO$17:AO$149)</f>
        <v>0</v>
      </c>
      <c r="J216" s="135">
        <f>SUMIF('6. OPERATION'!$B$17:$B$149,$C202,'6. OPERATION'!AP$17:AP$149)</f>
        <v>0</v>
      </c>
      <c r="K216" s="135">
        <f>SUMIF('6. OPERATION'!$B$17:$B$149,$C202,'6. OPERATION'!AQ$17:AQ$149)</f>
        <v>0</v>
      </c>
      <c r="L216" s="135">
        <f>SUMIF('6. OPERATION'!$B$17:$B$149,$C202,'6. OPERATION'!AR$17:AR$149)</f>
        <v>0</v>
      </c>
      <c r="M216" s="117">
        <f t="shared" si="24"/>
        <v>0</v>
      </c>
    </row>
    <row r="217" spans="2:15" s="3" customFormat="1" ht="13.2" x14ac:dyDescent="0.25">
      <c r="B217" s="685" t="str">
        <f>IF('1. INTRO'!I$2="English",(IF('7. INVEST'!AS$50&gt;0,"Equipment","")),IF('7. INVEST'!AS$50&gt;0,"Utrustning",""))</f>
        <v/>
      </c>
      <c r="C217" s="692">
        <f>SUMIF('7. INVEST'!$B$17:$B$49,$C202,'7. INVEST'!AI$17:AI$49)</f>
        <v>0</v>
      </c>
      <c r="D217" s="692">
        <f>SUMIF('7. INVEST'!$B$17:$B$49,$C202,'7. INVEST'!AJ$17:AJ$49)</f>
        <v>0</v>
      </c>
      <c r="E217" s="692">
        <f>SUMIF('7. INVEST'!$B$17:$B$49,$C202,'7. INVEST'!AK$17:AK$49)</f>
        <v>0</v>
      </c>
      <c r="F217" s="692">
        <f>SUMIF('7. INVEST'!$B$17:$B$49,$C202,'7. INVEST'!AL$17:AL$49)</f>
        <v>0</v>
      </c>
      <c r="G217" s="692">
        <f>SUMIF('7. INVEST'!$B$17:$B$49,$C202,'7. INVEST'!AM$17:AM$49)</f>
        <v>0</v>
      </c>
      <c r="H217" s="692">
        <f>SUMIF('7. INVEST'!$B$17:$B$49,$C202,'7. INVEST'!AN$17:AN$49)</f>
        <v>0</v>
      </c>
      <c r="I217" s="692">
        <f>SUMIF('7. INVEST'!$B$17:$B$49,$C202,'7. INVEST'!AO$17:AO$49)</f>
        <v>0</v>
      </c>
      <c r="J217" s="692">
        <f>SUMIF('7. INVEST'!$B$17:$B$49,$C202,'7. INVEST'!AP$17:AP$49)</f>
        <v>0</v>
      </c>
      <c r="K217" s="692">
        <f>SUMIF('7. INVEST'!$B$17:$B$49,$C202,'7. INVEST'!AQ$17:AQ$49)</f>
        <v>0</v>
      </c>
      <c r="L217" s="692">
        <f>SUMIF('7. INVEST'!$B$17:$B$49,$C202,'7. INVEST'!AR$17:AR$49)</f>
        <v>0</v>
      </c>
      <c r="M217" s="687">
        <f t="shared" si="24"/>
        <v>0</v>
      </c>
    </row>
    <row r="218" spans="2:15" s="3" customFormat="1" ht="13.2" x14ac:dyDescent="0.25">
      <c r="B218" s="121" t="str">
        <f>IF('1. INTRO'!I$2="English",(IF('8. FACILIT'!AP$51&gt;0,"Facility","")),IF('8. FACILIT'!AP$51&gt;0,"Lokal",""))</f>
        <v/>
      </c>
      <c r="C218" s="135">
        <f>SUMIF('5. PERSON'!$B$17:$B$192,$C202,'5. PERSON'!DB$17:DB$192)+SUMIF('6. OPERATION'!$B$17:$B$149,$C202,'6. OPERATION'!CE$17:CE$149)+SUMIF('8. FACILIT'!$B$18:$B$50,$C202,'8. FACILIT'!AF$18:AF$50)</f>
        <v>0</v>
      </c>
      <c r="D218" s="135">
        <f>SUMIF('5. PERSON'!$B$17:$B$192,$C202,'5. PERSON'!DC$17:DC$192)+SUMIF('6. OPERATION'!$B$17:$B$149,$C202,'6. OPERATION'!CF$17:CF$149)+SUMIF('8. FACILIT'!$B$18:$B$50,$C202,'8. FACILIT'!AG$18:AG$50)</f>
        <v>0</v>
      </c>
      <c r="E218" s="135">
        <f>SUMIF('5. PERSON'!$B$17:$B$192,$C202,'5. PERSON'!DD$17:DD$192)+SUMIF('6. OPERATION'!$B$17:$B$149,$C202,'6. OPERATION'!CG$17:CG$149)+SUMIF('8. FACILIT'!$B$18:$B$50,$C202,'8. FACILIT'!AH$18:AH$50)</f>
        <v>0</v>
      </c>
      <c r="F218" s="135">
        <f>SUMIF('5. PERSON'!$B$17:$B$192,$C202,'5. PERSON'!DE$17:DE$192)+SUMIF('6. OPERATION'!$B$17:$B$149,$C202,'6. OPERATION'!CH$17:CH$149)+SUMIF('8. FACILIT'!$B$18:$B$50,$C202,'8. FACILIT'!AI$18:AI$50)</f>
        <v>0</v>
      </c>
      <c r="G218" s="135">
        <f>SUMIF('5. PERSON'!$B$17:$B$192,$C202,'5. PERSON'!DF$17:DF$192)+SUMIF('6. OPERATION'!$B$17:$B$149,$C202,'6. OPERATION'!CI$17:CI$149)+SUMIF('8. FACILIT'!$B$18:$B$50,$C202,'8. FACILIT'!AJ$18:AJ$50)</f>
        <v>0</v>
      </c>
      <c r="H218" s="135">
        <f>SUMIF('5. PERSON'!$B$17:$B$192,$C202,'5. PERSON'!DG$17:DG$192)+SUMIF('6. OPERATION'!$B$17:$B$149,$C202,'6. OPERATION'!CJ$17:CJ$149)+SUMIF('8. FACILIT'!$B$18:$B$50,$C202,'8. FACILIT'!AK$18:AK$50)</f>
        <v>0</v>
      </c>
      <c r="I218" s="135">
        <f>SUMIF('5. PERSON'!$B$17:$B$192,$C202,'5. PERSON'!DH$17:DH$192)+SUMIF('6. OPERATION'!$B$17:$B$149,$C202,'6. OPERATION'!CK$17:CK$149)+SUMIF('8. FACILIT'!$B$18:$B$50,$C202,'8. FACILIT'!AL$18:AL$50)</f>
        <v>0</v>
      </c>
      <c r="J218" s="135">
        <f>SUMIF('5. PERSON'!$B$17:$B$192,$C202,'5. PERSON'!DI$17:DI$192)+SUMIF('6. OPERATION'!$B$17:$B$149,$C202,'6. OPERATION'!CL$17:CL$149)+SUMIF('8. FACILIT'!$B$18:$B$50,$C202,'8. FACILIT'!AM$18:AM$50)</f>
        <v>0</v>
      </c>
      <c r="K218" s="135">
        <f>SUMIF('5. PERSON'!$B$17:$B$192,$C202,'5. PERSON'!DJ$17:DJ$192)+SUMIF('6. OPERATION'!$B$17:$B$149,$C202,'6. OPERATION'!CM$17:CM$149)+SUMIF('8. FACILIT'!$B$18:$B$50,$C202,'8. FACILIT'!AN$18:AN$50)</f>
        <v>0</v>
      </c>
      <c r="L218" s="135">
        <f>SUMIF('5. PERSON'!$B$17:$B$192,$C202,'5. PERSON'!DK$17:DK$192)+SUMIF('6. OPERATION'!$B$17:$B$149,$C202,'6. OPERATION'!CN$17:CN$149)+SUMIF('8. FACILIT'!$B$18:$B$50,$C202,'8. FACILIT'!AO$18:AO$50)</f>
        <v>0</v>
      </c>
      <c r="M218" s="117">
        <f t="shared" si="24"/>
        <v>0</v>
      </c>
    </row>
    <row r="219" spans="2:15" s="1" customFormat="1" ht="13.2" x14ac:dyDescent="0.25">
      <c r="B219" s="688" t="str">
        <f>IF('1. INTRO'!I$2="English",(IF(('5. PERSON'!CN$193+'6. OPERATION'!BQ$150)&gt;0,"Indirect","")),IF(('5. PERSON'!CN$193+'6. OPERATION'!BQ$150)&gt;0,"Indirekt",""))</f>
        <v/>
      </c>
      <c r="C219" s="689">
        <f>SUMIF('5. PERSON'!$B$17:$B$192,$C202,'5. PERSON'!CD$17:CD$192)+SUMIF('6. OPERATION'!$B$17:$B$149,$C202,'6. OPERATION'!BG$17:BG$149)</f>
        <v>0</v>
      </c>
      <c r="D219" s="689">
        <f>SUMIF('5. PERSON'!$B$17:$B$192,$C202,'5. PERSON'!CE$17:CE$192)+SUMIF('6. OPERATION'!$B$17:$B$149,$C202,'6. OPERATION'!BH$17:BH$149)</f>
        <v>0</v>
      </c>
      <c r="E219" s="689">
        <f>SUMIF('5. PERSON'!$B$17:$B$192,$C202,'5. PERSON'!CF$17:CF$192)+SUMIF('6. OPERATION'!$B$17:$B$149,$C202,'6. OPERATION'!BI$17:BI$149)</f>
        <v>0</v>
      </c>
      <c r="F219" s="689">
        <f>SUMIF('5. PERSON'!$B$17:$B$192,$C202,'5. PERSON'!CG$17:CG$192)+SUMIF('6. OPERATION'!$B$17:$B$149,$C202,'6. OPERATION'!BJ$17:BJ$149)</f>
        <v>0</v>
      </c>
      <c r="G219" s="689">
        <f>SUMIF('5. PERSON'!$B$17:$B$192,$C202,'5. PERSON'!CH$17:CH$192)+SUMIF('6. OPERATION'!$B$17:$B$149,$C202,'6. OPERATION'!BK$17:BK$149)</f>
        <v>0</v>
      </c>
      <c r="H219" s="689">
        <f>SUMIF('5. PERSON'!$B$17:$B$192,$C202,'5. PERSON'!CI$17:CI$192)+SUMIF('6. OPERATION'!$B$17:$B$149,$C202,'6. OPERATION'!BL$17:BL$149)</f>
        <v>0</v>
      </c>
      <c r="I219" s="689">
        <f>SUMIF('5. PERSON'!$B$17:$B$192,$C202,'5. PERSON'!CJ$17:CJ$192)+SUMIF('6. OPERATION'!$B$17:$B$149,$C202,'6. OPERATION'!BM$17:BM$149)</f>
        <v>0</v>
      </c>
      <c r="J219" s="689">
        <f>SUMIF('5. PERSON'!$B$17:$B$192,$C202,'5. PERSON'!CK$17:CK$192)+SUMIF('6. OPERATION'!$B$17:$B$149,$C202,'6. OPERATION'!BN$17:BN$149)</f>
        <v>0</v>
      </c>
      <c r="K219" s="689">
        <f>SUMIF('5. PERSON'!$B$17:$B$192,$C202,'5. PERSON'!CL$17:CL$192)+SUMIF('6. OPERATION'!$B$17:$B$149,$C202,'6. OPERATION'!BO$17:BO$149)</f>
        <v>0</v>
      </c>
      <c r="L219" s="689">
        <f>SUMIF('5. PERSON'!$B$17:$B$192,$C202,'5. PERSON'!CM$17:CM$192)+SUMIF('6. OPERATION'!$B$17:$B$149,$C202,'6. OPERATION'!BP$17:BP$149)</f>
        <v>0</v>
      </c>
      <c r="M219" s="693">
        <f t="shared" si="24"/>
        <v>0</v>
      </c>
    </row>
    <row r="220" spans="2:15" s="3" customFormat="1" ht="13.2" x14ac:dyDescent="0.25">
      <c r="B220" s="124" t="s">
        <v>113</v>
      </c>
      <c r="C220" s="102">
        <f>SUM(C213:C219)</f>
        <v>0</v>
      </c>
      <c r="D220" s="102">
        <f t="shared" ref="D220:M220" si="25">SUM(D213:D219)</f>
        <v>0</v>
      </c>
      <c r="E220" s="102">
        <f t="shared" si="25"/>
        <v>0</v>
      </c>
      <c r="F220" s="102">
        <f t="shared" si="25"/>
        <v>0</v>
      </c>
      <c r="G220" s="102">
        <f t="shared" si="25"/>
        <v>0</v>
      </c>
      <c r="H220" s="102">
        <f t="shared" si="25"/>
        <v>0</v>
      </c>
      <c r="I220" s="102">
        <f t="shared" si="25"/>
        <v>0</v>
      </c>
      <c r="J220" s="102">
        <f t="shared" si="25"/>
        <v>0</v>
      </c>
      <c r="K220" s="102">
        <f t="shared" si="25"/>
        <v>0</v>
      </c>
      <c r="L220" s="102">
        <f t="shared" si="25"/>
        <v>0</v>
      </c>
      <c r="M220" s="125">
        <f t="shared" si="25"/>
        <v>0</v>
      </c>
      <c r="N220" s="23"/>
      <c r="O220" s="23"/>
    </row>
    <row r="221" spans="2:15" s="3" customFormat="1" ht="6" customHeight="1" x14ac:dyDescent="0.25">
      <c r="B221" s="136"/>
      <c r="C221" s="127"/>
      <c r="D221" s="127"/>
      <c r="E221" s="127"/>
      <c r="F221" s="127"/>
      <c r="G221" s="127"/>
      <c r="H221" s="127"/>
      <c r="I221" s="127"/>
      <c r="J221" s="127"/>
      <c r="K221" s="127"/>
      <c r="L221" s="127"/>
      <c r="M221" s="137"/>
    </row>
    <row r="222" spans="2:15" s="3" customFormat="1" ht="13.2" x14ac:dyDescent="0.25">
      <c r="B222" s="129" t="str">
        <f>IF('1. INTRO'!I$2="English","Full cost","Full kostnad")</f>
        <v>Full cost</v>
      </c>
      <c r="C222" s="127"/>
      <c r="D222" s="127"/>
      <c r="E222" s="127"/>
      <c r="F222" s="127"/>
      <c r="G222" s="127"/>
      <c r="H222" s="127"/>
      <c r="I222" s="127"/>
      <c r="J222" s="127"/>
      <c r="K222" s="127"/>
      <c r="L222" s="127"/>
      <c r="M222" s="137"/>
    </row>
    <row r="223" spans="2:15" s="3" customFormat="1" ht="13.2" x14ac:dyDescent="0.25">
      <c r="B223" s="682" t="str">
        <f>IF('1. INTRO'!I$2="English","Salary including social costs (LKP)","Lön inklusive LKP")</f>
        <v>Salary including social costs (LKP)</v>
      </c>
      <c r="C223" s="694">
        <f>C205+C214+C215</f>
        <v>0</v>
      </c>
      <c r="D223" s="694">
        <f t="shared" ref="D223:L223" si="26">D205+D214+D215</f>
        <v>0</v>
      </c>
      <c r="E223" s="694">
        <f t="shared" si="26"/>
        <v>0</v>
      </c>
      <c r="F223" s="694">
        <f t="shared" si="26"/>
        <v>0</v>
      </c>
      <c r="G223" s="694">
        <f t="shared" si="26"/>
        <v>0</v>
      </c>
      <c r="H223" s="694">
        <f t="shared" si="26"/>
        <v>0</v>
      </c>
      <c r="I223" s="694">
        <f t="shared" si="26"/>
        <v>0</v>
      </c>
      <c r="J223" s="694">
        <f t="shared" si="26"/>
        <v>0</v>
      </c>
      <c r="K223" s="694">
        <f t="shared" si="26"/>
        <v>0</v>
      </c>
      <c r="L223" s="694">
        <f t="shared" si="26"/>
        <v>0</v>
      </c>
      <c r="M223" s="684">
        <f>SUM(C223:L223)</f>
        <v>0</v>
      </c>
    </row>
    <row r="224" spans="2:15" s="3" customFormat="1" ht="13.2" x14ac:dyDescent="0.25">
      <c r="B224" s="80" t="str">
        <f>IF('1. INTRO'!I$2="English","Operating","Drift")</f>
        <v>Operating</v>
      </c>
      <c r="C224" s="139">
        <f>C206+C216</f>
        <v>0</v>
      </c>
      <c r="D224" s="139">
        <f t="shared" ref="D224:L224" si="27">D206+D216</f>
        <v>0</v>
      </c>
      <c r="E224" s="139">
        <f t="shared" si="27"/>
        <v>0</v>
      </c>
      <c r="F224" s="139">
        <f t="shared" si="27"/>
        <v>0</v>
      </c>
      <c r="G224" s="139">
        <f t="shared" si="27"/>
        <v>0</v>
      </c>
      <c r="H224" s="139">
        <f t="shared" si="27"/>
        <v>0</v>
      </c>
      <c r="I224" s="139">
        <f t="shared" si="27"/>
        <v>0</v>
      </c>
      <c r="J224" s="139">
        <f t="shared" si="27"/>
        <v>0</v>
      </c>
      <c r="K224" s="139">
        <f t="shared" si="27"/>
        <v>0</v>
      </c>
      <c r="L224" s="139">
        <f t="shared" si="27"/>
        <v>0</v>
      </c>
      <c r="M224" s="117">
        <f>SUM(C224:L224)</f>
        <v>0</v>
      </c>
    </row>
    <row r="225" spans="2:13" s="3" customFormat="1" ht="13.2" x14ac:dyDescent="0.25">
      <c r="B225" s="685" t="str">
        <f>IF('1. INTRO'!I$2="English","Equipment","Utrustning")</f>
        <v>Equipment</v>
      </c>
      <c r="C225" s="695">
        <f>C207+C217</f>
        <v>0</v>
      </c>
      <c r="D225" s="695">
        <f t="shared" ref="D225:L225" si="28">D207+D217</f>
        <v>0</v>
      </c>
      <c r="E225" s="695">
        <f t="shared" si="28"/>
        <v>0</v>
      </c>
      <c r="F225" s="695">
        <f t="shared" si="28"/>
        <v>0</v>
      </c>
      <c r="G225" s="695">
        <f t="shared" si="28"/>
        <v>0</v>
      </c>
      <c r="H225" s="695">
        <f t="shared" si="28"/>
        <v>0</v>
      </c>
      <c r="I225" s="695">
        <f t="shared" si="28"/>
        <v>0</v>
      </c>
      <c r="J225" s="695">
        <f t="shared" si="28"/>
        <v>0</v>
      </c>
      <c r="K225" s="695">
        <f t="shared" si="28"/>
        <v>0</v>
      </c>
      <c r="L225" s="695">
        <f t="shared" si="28"/>
        <v>0</v>
      </c>
      <c r="M225" s="687">
        <f>SUM(C225:L225)</f>
        <v>0</v>
      </c>
    </row>
    <row r="226" spans="2:13" s="3" customFormat="1" ht="13.2" x14ac:dyDescent="0.25">
      <c r="B226" s="80" t="str">
        <f>IF('1. INTRO'!I$2="English","Facility","Lokal")</f>
        <v>Facility</v>
      </c>
      <c r="C226" s="139">
        <f>SUMIF('5. PERSON'!$B$17:$B$192,$C202,'5. PERSON'!CP$17:CP$192)+SUMIF('5. PERSON'!$B$17:$B$192,$C202,'5. PERSON'!DB$17:DB$192)+SUMIF('6. OPERATION'!$B$17:$B$149,$C202,'6. OPERATION'!BS$17:BS$149)+SUMIF('6. OPERATION'!$B$17:$B$149,$C202,'6. OPERATION'!CE$17:CE$149)+SUMIF('8. FACILIT'!$B$18:$B$50,$C202,'8. FACILIT'!T$18:T$50)+SUMIF('8. FACILIT'!$B$18:$B$50,$C202,'8. FACILIT'!AF$18:AF$50)</f>
        <v>0</v>
      </c>
      <c r="D226" s="139">
        <f>SUMIF('5. PERSON'!$B$17:$B$192,$C202,'5. PERSON'!CQ$17:CQ$192)+SUMIF('5. PERSON'!$B$17:$B$192,$C202,'5. PERSON'!DC$17:DC$192)+SUMIF('6. OPERATION'!$B$17:$B$149,$C202,'6. OPERATION'!BT$17:BT$149)+SUMIF('6. OPERATION'!$B$17:$B$149,$C202,'6. OPERATION'!CF$17:CF$149)+SUMIF('8. FACILIT'!$B$18:$B$50,$C202,'8. FACILIT'!U$18:U$50)+SUMIF('8. FACILIT'!$B$18:$B$50,$C202,'8. FACILIT'!AG$18:AG$50)</f>
        <v>0</v>
      </c>
      <c r="E226" s="139">
        <f>SUMIF('5. PERSON'!$B$17:$B$192,$C202,'5. PERSON'!CR$17:CR$192)+SUMIF('5. PERSON'!$B$17:$B$192,$C202,'5. PERSON'!DD$17:DD$192)+SUMIF('6. OPERATION'!$B$17:$B$149,$C202,'6. OPERATION'!BU$17:BU$149)+SUMIF('6. OPERATION'!$B$17:$B$149,$C202,'6. OPERATION'!CG$17:CG$149)+SUMIF('8. FACILIT'!$B$18:$B$50,$C202,'8. FACILIT'!V$18:V$50)+SUMIF('8. FACILIT'!$B$18:$B$50,$C202,'8. FACILIT'!AH$18:AH$50)</f>
        <v>0</v>
      </c>
      <c r="F226" s="139">
        <f>SUMIF('5. PERSON'!$B$17:$B$192,$C202,'5. PERSON'!CS$17:CS$192)+SUMIF('5. PERSON'!$B$17:$B$192,$C202,'5. PERSON'!DE$17:DE$192)+SUMIF('6. OPERATION'!$B$17:$B$149,$C202,'6. OPERATION'!BV$17:BV$149)+SUMIF('6. OPERATION'!$B$17:$B$149,$C202,'6. OPERATION'!CH$17:CH$149)+SUMIF('8. FACILIT'!$B$18:$B$50,$C202,'8. FACILIT'!W$18:W$50)+SUMIF('8. FACILIT'!$B$18:$B$50,$C202,'8. FACILIT'!AI$18:AI$50)</f>
        <v>0</v>
      </c>
      <c r="G226" s="139">
        <f>SUMIF('5. PERSON'!$B$17:$B$192,$C202,'5. PERSON'!CT$17:CT$192)+SUMIF('5. PERSON'!$B$17:$B$192,$C202,'5. PERSON'!DF$17:DF$192)+SUMIF('6. OPERATION'!$B$17:$B$149,$C202,'6. OPERATION'!BW$17:BW$149)+SUMIF('6. OPERATION'!$B$17:$B$149,$C202,'6. OPERATION'!CI$17:CI$149)+SUMIF('8. FACILIT'!$B$18:$B$50,$C202,'8. FACILIT'!X$18:X$50)+SUMIF('8. FACILIT'!$B$18:$B$50,$C202,'8. FACILIT'!AJ$18:AJ$50)</f>
        <v>0</v>
      </c>
      <c r="H226" s="139">
        <f>SUMIF('5. PERSON'!$B$17:$B$192,$C202,'5. PERSON'!CU$17:CU$192)+SUMIF('5. PERSON'!$B$17:$B$192,$C202,'5. PERSON'!DG$17:DG$192)+SUMIF('6. OPERATION'!$B$17:$B$149,$C202,'6. OPERATION'!BX$17:BX$149)+SUMIF('6. OPERATION'!$B$17:$B$149,$C202,'6. OPERATION'!CJ$17:CJ$149)+SUMIF('8. FACILIT'!$B$18:$B$50,$C202,'8. FACILIT'!Y$18:Y$50)+SUMIF('8. FACILIT'!$B$18:$B$50,$C202,'8. FACILIT'!AK$18:AK$50)</f>
        <v>0</v>
      </c>
      <c r="I226" s="139">
        <f>SUMIF('5. PERSON'!$B$17:$B$192,$C202,'5. PERSON'!CV$17:CV$192)+SUMIF('5. PERSON'!$B$17:$B$192,$C202,'5. PERSON'!DH$17:DH$192)+SUMIF('6. OPERATION'!$B$17:$B$149,$C202,'6. OPERATION'!BY$17:BY$149)+SUMIF('6. OPERATION'!$B$17:$B$149,$C202,'6. OPERATION'!CK$17:CK$149)+SUMIF('8. FACILIT'!$B$18:$B$50,$C202,'8. FACILIT'!Z$18:Z$50)+SUMIF('8. FACILIT'!$B$18:$B$50,$C202,'8. FACILIT'!AL$18:AL$50)</f>
        <v>0</v>
      </c>
      <c r="J226" s="139">
        <f>SUMIF('5. PERSON'!$B$17:$B$192,$C202,'5. PERSON'!CW$17:CW$192)+SUMIF('5. PERSON'!$B$17:$B$192,$C202,'5. PERSON'!DI$17:DI$192)+SUMIF('6. OPERATION'!$B$17:$B$149,$C202,'6. OPERATION'!BZ$17:BZ$149)+SUMIF('6. OPERATION'!$B$17:$B$149,$C202,'6. OPERATION'!CL$17:CL$149)+SUMIF('8. FACILIT'!$B$18:$B$50,$C202,'8. FACILIT'!AA$18:AA$50)+SUMIF('8. FACILIT'!$B$18:$B$50,$C202,'8. FACILIT'!AM$18:AM$50)</f>
        <v>0</v>
      </c>
      <c r="K226" s="139">
        <f>SUMIF('5. PERSON'!$B$17:$B$192,$C202,'5. PERSON'!CX$17:CX$192)+SUMIF('5. PERSON'!$B$17:$B$192,$C202,'5. PERSON'!DJ$17:DJ$192)+SUMIF('6. OPERATION'!$B$17:$B$149,$C202,'6. OPERATION'!CA$17:CA$149)+SUMIF('6. OPERATION'!$B$17:$B$149,$C202,'6. OPERATION'!CM$17:CM$149)+SUMIF('8. FACILIT'!$B$18:$B$50,$C202,'8. FACILIT'!AB$18:AB$50)+SUMIF('8. FACILIT'!$B$18:$B$50,$C202,'8. FACILIT'!AN$18:AN$50)</f>
        <v>0</v>
      </c>
      <c r="L226" s="139">
        <f>SUMIF('5. PERSON'!$B$17:$B$192,$C202,'5. PERSON'!CY$17:CY$192)+SUMIF('5. PERSON'!$B$17:$B$192,$C202,'5. PERSON'!DK$17:DK$192)+SUMIF('6. OPERATION'!$B$17:$B$149,$C202,'6. OPERATION'!CB$17:CB$149)+SUMIF('6. OPERATION'!$B$17:$B$149,$C202,'6. OPERATION'!CN$17:CN$149)+SUMIF('8. FACILIT'!$B$18:$B$50,$C202,'8. FACILIT'!AC$18:AC$50)+SUMIF('8. FACILIT'!$B$18:$B$50,$C202,'8. FACILIT'!AO$18:AO$50)</f>
        <v>0</v>
      </c>
      <c r="M226" s="117">
        <f>SUM(C226:L226)</f>
        <v>0</v>
      </c>
    </row>
    <row r="227" spans="2:13" s="3" customFormat="1" ht="13.2" x14ac:dyDescent="0.25">
      <c r="B227" s="696" t="str">
        <f>IF('1. INTRO'!I$2="English","Indirect","Indirekt")</f>
        <v>Indirect</v>
      </c>
      <c r="C227" s="697">
        <f>SUMIF('5. PERSON'!$B$17:$B$192,$C202,'5. PERSON'!BR$17:BR$192)+SUMIF('5. PERSON'!$B$17:$B$192,$C202,'5. PERSON'!CD$17:CD$192)+SUMIF('6. OPERATION'!$B$17:$B$149,$C202,'6. OPERATION'!AU$17:AU$149)+SUMIF('6. OPERATION'!$B$17:$B$149,$C202,'6. OPERATION'!BG$17:BG$149)</f>
        <v>0</v>
      </c>
      <c r="D227" s="697">
        <f>SUMIF('5. PERSON'!$B$17:$B$192,$C202,'5. PERSON'!BS$17:BS$192)+SUMIF('5. PERSON'!$B$17:$B$192,$C202,'5. PERSON'!CE$17:CE$192)+SUMIF('6. OPERATION'!$B$17:$B$149,$C202,'6. OPERATION'!AV$17:AV$149)+SUMIF('6. OPERATION'!$B$17:$B$149,$C202,'6. OPERATION'!BH$17:BH$149)</f>
        <v>0</v>
      </c>
      <c r="E227" s="697">
        <f>SUMIF('5. PERSON'!$B$17:$B$192,$C202,'5. PERSON'!BT$17:BT$192)+SUMIF('5. PERSON'!$B$17:$B$192,$C202,'5. PERSON'!CF$17:CF$192)+SUMIF('6. OPERATION'!$B$17:$B$149,$C202,'6. OPERATION'!AW$17:AW$149)+SUMIF('6. OPERATION'!$B$17:$B$149,$C202,'6. OPERATION'!BI$17:BI$149)</f>
        <v>0</v>
      </c>
      <c r="F227" s="697">
        <f>SUMIF('5. PERSON'!$B$17:$B$192,$C202,'5. PERSON'!BU$17:BU$192)+SUMIF('5. PERSON'!$B$17:$B$192,$C202,'5. PERSON'!CG$17:CG$192)+SUMIF('6. OPERATION'!$B$17:$B$149,$C202,'6. OPERATION'!AX$17:AX$149)+SUMIF('6. OPERATION'!$B$17:$B$149,$C202,'6. OPERATION'!BJ$17:BJ$149)</f>
        <v>0</v>
      </c>
      <c r="G227" s="697">
        <f>SUMIF('5. PERSON'!$B$17:$B$192,$C202,'5. PERSON'!BV$17:BV$192)+SUMIF('5. PERSON'!$B$17:$B$192,$C202,'5. PERSON'!CH$17:CH$192)+SUMIF('6. OPERATION'!$B$17:$B$149,$C202,'6. OPERATION'!AY$17:AY$149)+SUMIF('6. OPERATION'!$B$17:$B$149,$C202,'6. OPERATION'!BK$17:BK$149)</f>
        <v>0</v>
      </c>
      <c r="H227" s="697">
        <f>SUMIF('5. PERSON'!$B$17:$B$192,$C202,'5. PERSON'!BW$17:BW$192)+SUMIF('5. PERSON'!$B$17:$B$192,$C202,'5. PERSON'!CI$17:CI$192)+SUMIF('6. OPERATION'!$B$17:$B$149,$C202,'6. OPERATION'!AZ$17:AZ$149)+SUMIF('6. OPERATION'!$B$17:$B$149,$C202,'6. OPERATION'!BL$17:BL$149)</f>
        <v>0</v>
      </c>
      <c r="I227" s="697">
        <f>SUMIF('5. PERSON'!$B$17:$B$192,$C202,'5. PERSON'!BX$17:BX$192)+SUMIF('5. PERSON'!$B$17:$B$192,$C202,'5. PERSON'!CJ$17:CJ$192)+SUMIF('6. OPERATION'!$B$17:$B$149,$C202,'6. OPERATION'!BA$17:BA$149)+SUMIF('6. OPERATION'!$B$17:$B$149,$C202,'6. OPERATION'!BM$17:BM$149)</f>
        <v>0</v>
      </c>
      <c r="J227" s="697">
        <f>SUMIF('5. PERSON'!$B$17:$B$192,$C202,'5. PERSON'!BY$17:BY$192)+SUMIF('5. PERSON'!$B$17:$B$192,$C202,'5. PERSON'!CK$17:CK$192)+SUMIF('6. OPERATION'!$B$17:$B$149,$C202,'6. OPERATION'!BB$17:BB$149)+SUMIF('6. OPERATION'!$B$17:$B$149,$C202,'6. OPERATION'!BN$17:BN$149)</f>
        <v>0</v>
      </c>
      <c r="K227" s="697">
        <f>SUMIF('5. PERSON'!$B$17:$B$192,$C202,'5. PERSON'!BZ$17:BZ$192)+SUMIF('5. PERSON'!$B$17:$B$192,$C202,'5. PERSON'!CL$17:CL$192)+SUMIF('6. OPERATION'!$B$17:$B$149,$C202,'6. OPERATION'!BC$17:BC$149)+SUMIF('6. OPERATION'!$B$17:$B$149,$C202,'6. OPERATION'!BO$17:BO$149)</f>
        <v>0</v>
      </c>
      <c r="L227" s="697">
        <f>SUMIF('5. PERSON'!$B$17:$B$192,$C202,'5. PERSON'!CA$17:CA$192)+SUMIF('5. PERSON'!$B$17:$B$192,$C202,'5. PERSON'!CM$17:CM$192)+SUMIF('6. OPERATION'!$B$17:$B$149,$C202,'6. OPERATION'!BD$17:BD$149)+SUMIF('6. OPERATION'!$B$17:$B$149,$C202,'6. OPERATION'!BP$17:BP$149)</f>
        <v>0</v>
      </c>
      <c r="M227" s="693">
        <f>SUM(C227:L227)</f>
        <v>0</v>
      </c>
    </row>
    <row r="228" spans="2:13" s="3" customFormat="1" ht="13.2" x14ac:dyDescent="0.25">
      <c r="B228" s="124" t="s">
        <v>113</v>
      </c>
      <c r="C228" s="88">
        <f>SUM(C223:C227)</f>
        <v>0</v>
      </c>
      <c r="D228" s="88">
        <f t="shared" ref="D228:M228" si="29">SUM(D223:D227)</f>
        <v>0</v>
      </c>
      <c r="E228" s="88">
        <f t="shared" si="29"/>
        <v>0</v>
      </c>
      <c r="F228" s="88">
        <f t="shared" si="29"/>
        <v>0</v>
      </c>
      <c r="G228" s="88">
        <f t="shared" si="29"/>
        <v>0</v>
      </c>
      <c r="H228" s="88">
        <f t="shared" si="29"/>
        <v>0</v>
      </c>
      <c r="I228" s="88">
        <f t="shared" si="29"/>
        <v>0</v>
      </c>
      <c r="J228" s="88">
        <f t="shared" si="29"/>
        <v>0</v>
      </c>
      <c r="K228" s="88">
        <f t="shared" si="29"/>
        <v>0</v>
      </c>
      <c r="L228" s="88">
        <f t="shared" si="29"/>
        <v>0</v>
      </c>
      <c r="M228" s="142">
        <f t="shared" si="29"/>
        <v>0</v>
      </c>
    </row>
    <row r="229" spans="2:13" s="3" customFormat="1" ht="13.2" x14ac:dyDescent="0.25">
      <c r="B229" s="287"/>
      <c r="C229" s="37"/>
      <c r="D229" s="37"/>
      <c r="E229" s="37"/>
      <c r="F229" s="37"/>
      <c r="G229" s="37"/>
      <c r="H229" s="37"/>
      <c r="I229" s="37"/>
      <c r="J229" s="37"/>
      <c r="K229" s="37"/>
      <c r="L229" s="37"/>
      <c r="M229" s="37"/>
    </row>
    <row r="230" spans="2:13" s="3" customFormat="1" ht="12.75" customHeight="1" x14ac:dyDescent="0.25">
      <c r="B230" s="656" t="str">
        <f>IF('1. INTRO'!I$2="English","Co-funding share in full cost ","Medfinansieringsandel i full kostnad ")</f>
        <v xml:space="preserve">Co-funding share in full cost </v>
      </c>
      <c r="C230" s="143" t="str">
        <f t="shared" ref="C230:M230" si="30">IF(C228&gt;0,C220/C228,"")</f>
        <v/>
      </c>
      <c r="D230" s="143" t="str">
        <f t="shared" si="30"/>
        <v/>
      </c>
      <c r="E230" s="143" t="str">
        <f t="shared" si="30"/>
        <v/>
      </c>
      <c r="F230" s="143" t="str">
        <f t="shared" si="30"/>
        <v/>
      </c>
      <c r="G230" s="143" t="str">
        <f t="shared" si="30"/>
        <v/>
      </c>
      <c r="H230" s="143" t="str">
        <f t="shared" si="30"/>
        <v/>
      </c>
      <c r="I230" s="143" t="str">
        <f t="shared" si="30"/>
        <v/>
      </c>
      <c r="J230" s="143" t="str">
        <f t="shared" si="30"/>
        <v/>
      </c>
      <c r="K230" s="143" t="str">
        <f t="shared" si="30"/>
        <v/>
      </c>
      <c r="L230" s="143" t="str">
        <f t="shared" si="30"/>
        <v/>
      </c>
      <c r="M230" s="143" t="str">
        <f t="shared" si="30"/>
        <v/>
      </c>
    </row>
    <row r="231" spans="2:13" ht="12.75" customHeight="1" x14ac:dyDescent="0.2"/>
    <row r="232" spans="2:13" ht="12.75" customHeight="1" x14ac:dyDescent="0.25">
      <c r="D232" s="656" t="str">
        <f>IF('1. INTRO'!I$2="English","Co-funding need in average per year: ","Medfinansieringsbehov i genomsnitt per år: ")</f>
        <v xml:space="preserve">Co-funding need in average per year: </v>
      </c>
      <c r="E232" s="698" t="str">
        <f>IF(M220=0,"",M220/(DATEDIF('2. START'!C$18,'2. START'!C$19,"d")/365))</f>
        <v/>
      </c>
      <c r="H232" s="656" t="str">
        <f>IF('1. INTRO'!I$2="English","Co-funding need 1/3 of total: ","Medfinansieringsbehov 1/3 av totalt: ")</f>
        <v xml:space="preserve">Co-funding need 1/3 of total: </v>
      </c>
      <c r="I232" s="698">
        <f>M220/3</f>
        <v>0</v>
      </c>
      <c r="L232" s="287" t="str">
        <f>IF('1. INTRO'!I$2="English","Co-funding need total: ","Medfinansieringsbehov totalt: ")</f>
        <v xml:space="preserve">Co-funding need total: </v>
      </c>
      <c r="M232" s="698">
        <f>M220</f>
        <v>0</v>
      </c>
    </row>
    <row r="233" spans="2:13" ht="12.75" customHeight="1" x14ac:dyDescent="0.25">
      <c r="B233" s="53" t="str">
        <f>IF('1. INTRO'!I$2="English","Co-funding sources","Medfinansieringskällor")</f>
        <v>Co-funding sources</v>
      </c>
    </row>
    <row r="234" spans="2:13" ht="12.75" customHeight="1" x14ac:dyDescent="0.25">
      <c r="B234" s="225"/>
      <c r="C234" s="226"/>
      <c r="D234" s="226"/>
      <c r="E234" s="226"/>
      <c r="F234" s="226"/>
      <c r="G234" s="226"/>
      <c r="H234" s="226"/>
      <c r="I234" s="226"/>
      <c r="J234" s="226"/>
      <c r="K234" s="226"/>
      <c r="L234" s="227"/>
      <c r="M234" s="168">
        <f>SUM(C234:L234)</f>
        <v>0</v>
      </c>
    </row>
    <row r="235" spans="2:13" ht="12.75" customHeight="1" x14ac:dyDescent="0.25">
      <c r="B235" s="228"/>
      <c r="C235" s="229"/>
      <c r="D235" s="229"/>
      <c r="E235" s="229"/>
      <c r="F235" s="229"/>
      <c r="G235" s="229"/>
      <c r="H235" s="229"/>
      <c r="I235" s="229"/>
      <c r="J235" s="229"/>
      <c r="K235" s="229"/>
      <c r="L235" s="230"/>
      <c r="M235" s="687">
        <f t="shared" ref="M235:M238" si="31">SUM(C235:L235)</f>
        <v>0</v>
      </c>
    </row>
    <row r="236" spans="2:13" ht="12.75" customHeight="1" x14ac:dyDescent="0.25">
      <c r="B236" s="231"/>
      <c r="C236" s="232"/>
      <c r="D236" s="232"/>
      <c r="E236" s="232"/>
      <c r="F236" s="232"/>
      <c r="G236" s="232"/>
      <c r="H236" s="232"/>
      <c r="I236" s="232"/>
      <c r="J236" s="232"/>
      <c r="K236" s="232"/>
      <c r="L236" s="233"/>
      <c r="M236" s="117">
        <f t="shared" si="31"/>
        <v>0</v>
      </c>
    </row>
    <row r="237" spans="2:13" ht="12.75" customHeight="1" x14ac:dyDescent="0.25">
      <c r="B237" s="228"/>
      <c r="C237" s="229"/>
      <c r="D237" s="229"/>
      <c r="E237" s="229"/>
      <c r="F237" s="229"/>
      <c r="G237" s="229"/>
      <c r="H237" s="229"/>
      <c r="I237" s="229"/>
      <c r="J237" s="229"/>
      <c r="K237" s="229"/>
      <c r="L237" s="230"/>
      <c r="M237" s="687">
        <f t="shared" si="31"/>
        <v>0</v>
      </c>
    </row>
    <row r="238" spans="2:13" ht="12.75" customHeight="1" x14ac:dyDescent="0.25">
      <c r="B238" s="93"/>
      <c r="C238" s="232"/>
      <c r="D238" s="232"/>
      <c r="E238" s="232"/>
      <c r="F238" s="232"/>
      <c r="G238" s="232"/>
      <c r="H238" s="232"/>
      <c r="I238" s="232"/>
      <c r="J238" s="232"/>
      <c r="K238" s="232"/>
      <c r="L238" s="233"/>
      <c r="M238" s="117">
        <f t="shared" si="31"/>
        <v>0</v>
      </c>
    </row>
    <row r="239" spans="2:13" ht="12.75" customHeight="1" x14ac:dyDescent="0.25">
      <c r="B239" s="84" t="str">
        <f>IF('1. INTRO'!I$2="English","Total co-funding ","Total medfinansiering ")</f>
        <v xml:space="preserve">Total co-funding </v>
      </c>
      <c r="C239" s="87">
        <f t="shared" ref="C239:M239" si="32">SUM(C234:C238)</f>
        <v>0</v>
      </c>
      <c r="D239" s="87">
        <f t="shared" si="32"/>
        <v>0</v>
      </c>
      <c r="E239" s="87">
        <f t="shared" si="32"/>
        <v>0</v>
      </c>
      <c r="F239" s="87">
        <f t="shared" si="32"/>
        <v>0</v>
      </c>
      <c r="G239" s="87">
        <f t="shared" si="32"/>
        <v>0</v>
      </c>
      <c r="H239" s="87">
        <f t="shared" si="32"/>
        <v>0</v>
      </c>
      <c r="I239" s="87">
        <f t="shared" si="32"/>
        <v>0</v>
      </c>
      <c r="J239" s="87">
        <f t="shared" si="32"/>
        <v>0</v>
      </c>
      <c r="K239" s="87">
        <f t="shared" si="32"/>
        <v>0</v>
      </c>
      <c r="L239" s="87">
        <f t="shared" si="32"/>
        <v>0</v>
      </c>
      <c r="M239" s="142">
        <f t="shared" si="32"/>
        <v>0</v>
      </c>
    </row>
    <row r="240" spans="2:13" ht="12.75" customHeight="1" x14ac:dyDescent="0.2"/>
    <row r="241" spans="2:13" ht="12.75" customHeight="1" x14ac:dyDescent="0.2">
      <c r="B241" s="667" t="str">
        <f>IF('1. INTRO'!I$2="English","Calculation comments","Kalkylkommentarer")</f>
        <v>Calculation comments</v>
      </c>
    </row>
    <row r="242" spans="2:13" ht="12.75" customHeight="1" x14ac:dyDescent="0.2">
      <c r="B242" s="1228"/>
      <c r="C242" s="1229"/>
      <c r="D242" s="1229"/>
      <c r="E242" s="1229"/>
      <c r="F242" s="1229"/>
      <c r="G242" s="1229"/>
      <c r="H242" s="1229"/>
      <c r="I242" s="1229"/>
      <c r="J242" s="1229"/>
      <c r="K242" s="1229"/>
      <c r="L242" s="1229"/>
      <c r="M242" s="1230"/>
    </row>
    <row r="243" spans="2:13" ht="12.75" customHeight="1" x14ac:dyDescent="0.2">
      <c r="B243" s="1231"/>
      <c r="C243" s="1232"/>
      <c r="D243" s="1232"/>
      <c r="E243" s="1232"/>
      <c r="F243" s="1232"/>
      <c r="G243" s="1232"/>
      <c r="H243" s="1232"/>
      <c r="I243" s="1232"/>
      <c r="J243" s="1232"/>
      <c r="K243" s="1232"/>
      <c r="L243" s="1232"/>
      <c r="M243" s="1233"/>
    </row>
    <row r="244" spans="2:13" ht="12.75" customHeight="1" x14ac:dyDescent="0.2">
      <c r="B244" s="1231"/>
      <c r="C244" s="1232"/>
      <c r="D244" s="1232"/>
      <c r="E244" s="1232"/>
      <c r="F244" s="1232"/>
      <c r="G244" s="1232"/>
      <c r="H244" s="1232"/>
      <c r="I244" s="1232"/>
      <c r="J244" s="1232"/>
      <c r="K244" s="1232"/>
      <c r="L244" s="1232"/>
      <c r="M244" s="1233"/>
    </row>
    <row r="245" spans="2:13" ht="12.75" customHeight="1" x14ac:dyDescent="0.2">
      <c r="B245" s="1231"/>
      <c r="C245" s="1232"/>
      <c r="D245" s="1232"/>
      <c r="E245" s="1232"/>
      <c r="F245" s="1232"/>
      <c r="G245" s="1232"/>
      <c r="H245" s="1232"/>
      <c r="I245" s="1232"/>
      <c r="J245" s="1232"/>
      <c r="K245" s="1232"/>
      <c r="L245" s="1232"/>
      <c r="M245" s="1233"/>
    </row>
    <row r="246" spans="2:13" ht="12.75" customHeight="1" x14ac:dyDescent="0.2">
      <c r="B246" s="1234"/>
      <c r="C246" s="1235"/>
      <c r="D246" s="1235"/>
      <c r="E246" s="1235"/>
      <c r="F246" s="1235"/>
      <c r="G246" s="1235"/>
      <c r="H246" s="1235"/>
      <c r="I246" s="1235"/>
      <c r="J246" s="1235"/>
      <c r="K246" s="1235"/>
      <c r="L246" s="1235"/>
      <c r="M246" s="1236"/>
    </row>
    <row r="248" spans="2:13" s="3" customFormat="1" ht="12.75" customHeight="1" x14ac:dyDescent="0.25">
      <c r="B248" s="313" t="str">
        <f>'3. PARTNER'!C$4</f>
        <v xml:space="preserve">Project: </v>
      </c>
      <c r="C248" s="1062" t="str">
        <f>'3. PARTNER'!D$4</f>
        <v/>
      </c>
      <c r="D248" s="1001"/>
      <c r="E248" s="1001"/>
      <c r="F248" s="1001"/>
      <c r="G248" s="1001"/>
      <c r="H248" s="1001"/>
      <c r="I248" s="1001"/>
      <c r="J248" s="1001"/>
      <c r="K248" s="1001"/>
      <c r="L248" s="1001"/>
      <c r="M248" s="1001"/>
    </row>
    <row r="249" spans="2:13" s="3" customFormat="1" ht="13.2" x14ac:dyDescent="0.25">
      <c r="B249" s="313" t="str">
        <f>'3. PARTNER'!C$5</f>
        <v xml:space="preserve">Calculation for: </v>
      </c>
      <c r="C249" s="1062" t="str">
        <f>'3. PARTNER'!D$5</f>
        <v>APPLICATION</v>
      </c>
      <c r="D249" s="1001"/>
      <c r="E249" s="268"/>
      <c r="F249" s="268"/>
      <c r="G249" s="268"/>
      <c r="H249" s="268"/>
      <c r="I249" s="268"/>
      <c r="J249" s="268"/>
      <c r="K249" s="268"/>
      <c r="L249" s="268"/>
      <c r="M249" s="268"/>
    </row>
    <row r="250" spans="2:13" s="3" customFormat="1" ht="13.2" x14ac:dyDescent="0.25">
      <c r="B250" s="35" t="str">
        <f>'3. PARTNER'!C$6</f>
        <v xml:space="preserve">Project leader: </v>
      </c>
      <c r="C250" s="1062" t="str">
        <f>'3. PARTNER'!D$6</f>
        <v/>
      </c>
      <c r="D250" s="1001"/>
      <c r="E250" s="1001"/>
      <c r="F250" s="1001"/>
      <c r="G250" s="1001"/>
      <c r="H250" s="1001"/>
      <c r="I250" s="1001"/>
      <c r="J250" s="1001"/>
      <c r="K250" s="1001"/>
      <c r="L250" s="1001"/>
      <c r="M250" s="1001"/>
    </row>
    <row r="251" spans="2:13" s="3" customFormat="1" ht="13.2" x14ac:dyDescent="0.25">
      <c r="B251" s="313" t="str">
        <f>'5. PERSON'!B$7</f>
        <v xml:space="preserve">Amounts in: </v>
      </c>
      <c r="C251" s="655" t="str">
        <f>'5. PERSON'!C$7</f>
        <v>SEK</v>
      </c>
      <c r="D251" s="268"/>
      <c r="E251" s="268"/>
      <c r="F251" s="268"/>
      <c r="G251" s="234"/>
      <c r="H251" s="234"/>
      <c r="I251" s="270"/>
      <c r="J251" s="270"/>
      <c r="K251" s="270"/>
      <c r="L251" s="270"/>
      <c r="M251" s="270"/>
    </row>
    <row r="252" spans="2:13" s="3" customFormat="1" ht="13.2" x14ac:dyDescent="0.25">
      <c r="B252" s="313"/>
      <c r="C252" s="1053" t="str">
        <f>'3. PARTNER'!D$7</f>
        <v>Other basic data about the project is in sheet 2.</v>
      </c>
      <c r="D252" s="1001"/>
      <c r="E252" s="1001"/>
      <c r="F252" s="1001"/>
      <c r="G252" s="234"/>
      <c r="H252" s="234"/>
      <c r="I252" s="270"/>
      <c r="J252" s="270"/>
      <c r="K252" s="270"/>
      <c r="L252" s="251" t="s">
        <v>4</v>
      </c>
      <c r="M252" s="270"/>
    </row>
    <row r="253" spans="2:13" ht="12.75" customHeight="1" x14ac:dyDescent="0.2">
      <c r="J253" s="252" t="s">
        <v>322</v>
      </c>
      <c r="K253" s="252" t="s">
        <v>323</v>
      </c>
      <c r="L253" s="252" t="str">
        <f>IF('1. INTRO'!I$2="English","months","månader")</f>
        <v>months</v>
      </c>
    </row>
    <row r="254" spans="2:13" s="3" customFormat="1" ht="13.8" x14ac:dyDescent="0.25">
      <c r="B254" s="157" t="str">
        <f>IF('1. INTRO'!I$2="English","Project costs","Projektkostnader")</f>
        <v>Project costs</v>
      </c>
      <c r="C254" s="668" t="str">
        <f>A18</f>
        <v>639LTV</v>
      </c>
      <c r="D254" s="1227" t="str">
        <f>B18</f>
        <v>Odlingsenheten</v>
      </c>
      <c r="E254" s="1001"/>
      <c r="G254" s="37"/>
      <c r="H254" s="37"/>
      <c r="I254" s="37"/>
      <c r="J254" s="643"/>
      <c r="K254" s="643"/>
      <c r="L254" s="642">
        <f>SUMIF('5. PERSON'!$B$17:$B$192,$C254,'5. PERSON'!AE$17:AE$192)</f>
        <v>0</v>
      </c>
      <c r="M254" s="680" t="s">
        <v>330</v>
      </c>
    </row>
    <row r="255" spans="2:13" s="3" customFormat="1" ht="6" customHeight="1" x14ac:dyDescent="0.25">
      <c r="B255" s="57"/>
      <c r="C255" s="37"/>
      <c r="D255" s="37"/>
      <c r="E255" s="37"/>
      <c r="F255" s="37"/>
      <c r="G255" s="37"/>
      <c r="H255" s="37"/>
      <c r="I255" s="37"/>
      <c r="J255" s="37"/>
      <c r="K255" s="37"/>
      <c r="L255" s="37"/>
      <c r="M255" s="37"/>
    </row>
    <row r="256" spans="2:13" s="3" customFormat="1" ht="13.2" x14ac:dyDescent="0.25">
      <c r="B256" s="110" t="str">
        <f>IF('1. INTRO'!I$2="English","Costs to be covered by funding body","Kostnader att täckas av finansiär")</f>
        <v>Costs to be covered by funding body</v>
      </c>
      <c r="C256" s="111">
        <f>'5. PERSON'!G$15</f>
        <v>1900</v>
      </c>
      <c r="D256" s="111" t="str">
        <f>'5. PERSON'!H$15</f>
        <v/>
      </c>
      <c r="E256" s="111" t="str">
        <f>'5. PERSON'!I$15</f>
        <v/>
      </c>
      <c r="F256" s="111" t="str">
        <f>'5. PERSON'!J$15</f>
        <v/>
      </c>
      <c r="G256" s="111" t="str">
        <f>'5. PERSON'!K$15</f>
        <v/>
      </c>
      <c r="H256" s="111" t="str">
        <f>'5. PERSON'!L$15</f>
        <v/>
      </c>
      <c r="I256" s="111" t="str">
        <f>'5. PERSON'!M$15</f>
        <v/>
      </c>
      <c r="J256" s="111" t="str">
        <f>'5. PERSON'!N$15</f>
        <v/>
      </c>
      <c r="K256" s="111" t="str">
        <f>'5. PERSON'!O$15</f>
        <v/>
      </c>
      <c r="L256" s="111" t="str">
        <f>'5. PERSON'!P$15</f>
        <v/>
      </c>
      <c r="M256" s="112" t="s">
        <v>2</v>
      </c>
    </row>
    <row r="257" spans="2:15" s="3" customFormat="1" ht="12.75" customHeight="1" x14ac:dyDescent="0.25">
      <c r="B257" s="682" t="str">
        <f>IF('1. INTRO'!I$2="English","Salary including social costs (LKP)","Lön inklusive LKP")</f>
        <v>Salary including social costs (LKP)</v>
      </c>
      <c r="C257" s="683">
        <f>IF('2. START'!$C$14&gt;0,SUMIF('5. PERSON'!$B$17:$B$192,$C254,'5. PERSON'!DN$17:DN$192),SUMIF('5. PERSON'!$B$17:$B$192,$C254,'5. PERSON'!AT$17:AT$192))</f>
        <v>0</v>
      </c>
      <c r="D257" s="683">
        <f>IF('2. START'!$C$14&gt;0,SUMIF('5. PERSON'!$B$17:$B$192,$C254,'5. PERSON'!DO$17:DO$192),SUMIF('5. PERSON'!$B$17:$B$192,$C254,'5. PERSON'!AU$17:AU$192))</f>
        <v>0</v>
      </c>
      <c r="E257" s="683">
        <f>IF('2. START'!$C$14&gt;0,SUMIF('5. PERSON'!$B$17:$B$192,$C254,'5. PERSON'!DP$17:DP$192),SUMIF('5. PERSON'!$B$17:$B$192,$C254,'5. PERSON'!AV$17:AV$192))</f>
        <v>0</v>
      </c>
      <c r="F257" s="683">
        <f>IF('2. START'!$C$14&gt;0,SUMIF('5. PERSON'!$B$17:$B$192,$C254,'5. PERSON'!DQ$17:DQ$192),SUMIF('5. PERSON'!$B$17:$B$192,$C254,'5. PERSON'!AW$17:AW$192))</f>
        <v>0</v>
      </c>
      <c r="G257" s="683">
        <f>IF('2. START'!$C$14&gt;0,SUMIF('5. PERSON'!$B$17:$B$192,$C254,'5. PERSON'!DR$17:DR$192),SUMIF('5. PERSON'!$B$17:$B$192,$C254,'5. PERSON'!AX$17:AX$192))</f>
        <v>0</v>
      </c>
      <c r="H257" s="683">
        <f>IF('2. START'!$C$14&gt;0,SUMIF('5. PERSON'!$B$17:$B$192,$C254,'5. PERSON'!DS$17:DS$192),SUMIF('5. PERSON'!$B$17:$B$192,$C254,'5. PERSON'!AY$17:AY$192))</f>
        <v>0</v>
      </c>
      <c r="I257" s="683">
        <f>IF('2. START'!$C$14&gt;0,SUMIF('5. PERSON'!$B$17:$B$192,$C254,'5. PERSON'!DT$17:DT$192),SUMIF('5. PERSON'!$B$17:$B$192,$C254,'5. PERSON'!AZ$17:AZ$192))</f>
        <v>0</v>
      </c>
      <c r="J257" s="683">
        <f>IF('2. START'!$C$14&gt;0,SUMIF('5. PERSON'!$B$17:$B$192,$C254,'5. PERSON'!DU$17:DU$192),SUMIF('5. PERSON'!$B$17:$B$192,$C254,'5. PERSON'!BA$17:BA$192))</f>
        <v>0</v>
      </c>
      <c r="K257" s="683">
        <f>IF('2. START'!$C$14&gt;0,SUMIF('5. PERSON'!$B$17:$B$192,$C254,'5. PERSON'!DV$17:DV$192),SUMIF('5. PERSON'!$B$17:$B$192,$C254,'5. PERSON'!BB$17:BB$192))</f>
        <v>0</v>
      </c>
      <c r="L257" s="683">
        <f>IF('2. START'!$C$14&gt;0,SUMIF('5. PERSON'!$B$17:$B$192,$C254,'5. PERSON'!DW$17:DW$192),SUMIF('5. PERSON'!$B$17:$B$192,$C254,'5. PERSON'!BC$17:BC$192))</f>
        <v>0</v>
      </c>
      <c r="M257" s="684">
        <f t="shared" ref="M257:M262" si="33">SUM(C257:L257)</f>
        <v>0</v>
      </c>
      <c r="O257" s="4"/>
    </row>
    <row r="258" spans="2:15" s="3" customFormat="1" ht="12.75" customHeight="1" x14ac:dyDescent="0.25">
      <c r="B258" s="80" t="str">
        <f>IF('1. INTRO'!I$2="English","Operating","Drift")</f>
        <v>Operating</v>
      </c>
      <c r="C258" s="116">
        <f>SUMIF('6. OPERATION'!$B$17:$B$149,$C254,'6. OPERATION'!W$17:W$149)</f>
        <v>0</v>
      </c>
      <c r="D258" s="116">
        <f>SUMIF('6. OPERATION'!$B$17:$B$149,$C254,'6. OPERATION'!X$17:X$149)</f>
        <v>0</v>
      </c>
      <c r="E258" s="116">
        <f>SUMIF('6. OPERATION'!$B$17:$B$149,$C254,'6. OPERATION'!Y$17:Y$149)</f>
        <v>0</v>
      </c>
      <c r="F258" s="116">
        <f>SUMIF('6. OPERATION'!$B$17:$B$149,$C254,'6. OPERATION'!Z$17:Z$149)</f>
        <v>0</v>
      </c>
      <c r="G258" s="116">
        <f>SUMIF('6. OPERATION'!$B$17:$B$149,$C254,'6. OPERATION'!AA$17:AA$149)</f>
        <v>0</v>
      </c>
      <c r="H258" s="116">
        <f>SUMIF('6. OPERATION'!$B$17:$B$149,$C254,'6. OPERATION'!AB$17:AB$149)</f>
        <v>0</v>
      </c>
      <c r="I258" s="116">
        <f>SUMIF('6. OPERATION'!$B$17:$B$149,$C254,'6. OPERATION'!AC$17:AC$149)</f>
        <v>0</v>
      </c>
      <c r="J258" s="116">
        <f>SUMIF('6. OPERATION'!$B$17:$B$149,$C254,'6. OPERATION'!AD$17:AD$149)</f>
        <v>0</v>
      </c>
      <c r="K258" s="116">
        <f>SUMIF('6. OPERATION'!$B$17:$B$149,$C254,'6. OPERATION'!AE$17:AE$149)</f>
        <v>0</v>
      </c>
      <c r="L258" s="116">
        <f>SUMIF('6. OPERATION'!$B$17:$B$149,$C254,'6. OPERATION'!AF$17:AF$149)</f>
        <v>0</v>
      </c>
      <c r="M258" s="117">
        <f t="shared" si="33"/>
        <v>0</v>
      </c>
    </row>
    <row r="259" spans="2:15" s="3" customFormat="1" ht="13.2" x14ac:dyDescent="0.25">
      <c r="B259" s="685" t="str">
        <f>IF('1. INTRO'!I$2="English","Equipment","Utrustning")</f>
        <v>Equipment</v>
      </c>
      <c r="C259" s="686">
        <f>SUMIF('7. INVEST'!$B$17:$B$49,$C254,'7. INVEST'!W$17:W$49)</f>
        <v>0</v>
      </c>
      <c r="D259" s="686">
        <f>SUMIF('7. INVEST'!$B$17:$B$49,$C254,'7. INVEST'!X$17:X$49)</f>
        <v>0</v>
      </c>
      <c r="E259" s="686">
        <f>SUMIF('7. INVEST'!$B$17:$B$49,$C254,'7. INVEST'!Y$17:Y$49)</f>
        <v>0</v>
      </c>
      <c r="F259" s="686">
        <f>SUMIF('7. INVEST'!$B$17:$B$49,$C254,'7. INVEST'!Z$17:Z$49)</f>
        <v>0</v>
      </c>
      <c r="G259" s="686">
        <f>SUMIF('7. INVEST'!$B$17:$B$49,$C254,'7. INVEST'!AA$17:AA$49)</f>
        <v>0</v>
      </c>
      <c r="H259" s="686">
        <f>SUMIF('7. INVEST'!$B$17:$B$49,$C254,'7. INVEST'!AB$17:AB$49)</f>
        <v>0</v>
      </c>
      <c r="I259" s="686">
        <f>SUMIF('7. INVEST'!$B$17:$B$49,$C254,'7. INVEST'!AC$17:AC$49)</f>
        <v>0</v>
      </c>
      <c r="J259" s="686">
        <f>SUMIF('7. INVEST'!$B$17:$B$49,$C254,'7. INVEST'!AD$17:AD$49)</f>
        <v>0</v>
      </c>
      <c r="K259" s="686">
        <f>SUMIF('7. INVEST'!$B$17:$B$49,$C254,'7. INVEST'!AE$17:AE$49)</f>
        <v>0</v>
      </c>
      <c r="L259" s="686">
        <f>SUMIF('7. INVEST'!$B$17:$B$49,$C254,'7. INVEST'!AF$17:AF$49)</f>
        <v>0</v>
      </c>
      <c r="M259" s="687">
        <f t="shared" si="33"/>
        <v>0</v>
      </c>
    </row>
    <row r="260" spans="2:15" s="3" customFormat="1" ht="13.2" x14ac:dyDescent="0.25">
      <c r="B260" s="121" t="str">
        <f>IF('1. INTRO'!I$2="English",(IF('2. START'!C$11="NO","Facility accepted as direct cost by funding body","Facility")),IF('2. START'!C$11="NO","Lokal accepterad som direkt kostnad av finansiär","Lokal"))</f>
        <v>Facility</v>
      </c>
      <c r="C260" s="116">
        <f>IF('2. START'!$C$11="NO",SUMIF('8. FACILIT'!$B$18:$B$50,$C254,'8. FACILIT'!T$18:T$50),SUMIF('5. PERSON'!$B$17:$B$192,$C254,'5. PERSON'!CP$17:CP$192)+SUMIF('6. OPERATION'!$B$17:$B$149,$C254,'6. OPERATION'!BS$17:BS$149)+SUMIF('8. FACILIT'!$B$18:$B$50,$C254,'8. FACILIT'!T$18:T$50))</f>
        <v>0</v>
      </c>
      <c r="D260" s="116">
        <f>IF('2. START'!$C$11="NO",SUMIF('8. FACILIT'!$B$18:$B$50,$C254,'8. FACILIT'!U$18:U$50),SUMIF('5. PERSON'!$B$17:$B$192,$C254,'5. PERSON'!CQ$17:CQ$192)+SUMIF('6. OPERATION'!$B$17:$B$149,$C254,'6. OPERATION'!BT$17:BT$149)+SUMIF('8. FACILIT'!$B$18:$B$50,$C254,'8. FACILIT'!U$18:U$50))</f>
        <v>0</v>
      </c>
      <c r="E260" s="116">
        <f>IF('2. START'!$C$11="NO",SUMIF('8. FACILIT'!$B$18:$B$50,$C254,'8. FACILIT'!V$18:V$50),SUMIF('5. PERSON'!$B$17:$B$192,$C254,'5. PERSON'!CR$17:CR$192)+SUMIF('6. OPERATION'!$B$17:$B$149,$C254,'6. OPERATION'!BU$17:BU$149)+SUMIF('8. FACILIT'!$B$18:$B$50,$C254,'8. FACILIT'!V$18:V$50))</f>
        <v>0</v>
      </c>
      <c r="F260" s="116">
        <f>IF('2. START'!$C$11="NO",SUMIF('8. FACILIT'!$B$18:$B$50,$C254,'8. FACILIT'!W$18:W$50),SUMIF('5. PERSON'!$B$17:$B$192,$C254,'5. PERSON'!CS$17:CS$192)+SUMIF('6. OPERATION'!$B$17:$B$149,$C254,'6. OPERATION'!BV$17:BV$149)+SUMIF('8. FACILIT'!$B$18:$B$50,$C254,'8. FACILIT'!W$18:W$50))</f>
        <v>0</v>
      </c>
      <c r="G260" s="116">
        <f>IF('2. START'!$C$11="NO",SUMIF('8. FACILIT'!$B$18:$B$50,$C254,'8. FACILIT'!X$18:X$50),SUMIF('5. PERSON'!$B$17:$B$192,$C254,'5. PERSON'!CT$17:CT$192)+SUMIF('6. OPERATION'!$B$17:$B$149,$C254,'6. OPERATION'!BW$17:BW$149)+SUMIF('8. FACILIT'!$B$18:$B$50,$C254,'8. FACILIT'!X$18:X$50))</f>
        <v>0</v>
      </c>
      <c r="H260" s="116">
        <f>IF('2. START'!$C$11="NO",SUMIF('8. FACILIT'!$B$18:$B$50,$C254,'8. FACILIT'!Y$18:Y$50),SUMIF('5. PERSON'!$B$17:$B$192,$C254,'5. PERSON'!CU$17:CU$192)+SUMIF('6. OPERATION'!$B$17:$B$149,$C254,'6. OPERATION'!BX$17:BX$149)+SUMIF('8. FACILIT'!$B$18:$B$50,$C254,'8. FACILIT'!Y$18:Y$50))</f>
        <v>0</v>
      </c>
      <c r="I260" s="116">
        <f>IF('2. START'!$C$11="NO",SUMIF('8. FACILIT'!$B$18:$B$50,$C254,'8. FACILIT'!Z$18:Z$50),SUMIF('5. PERSON'!$B$17:$B$192,$C254,'5. PERSON'!CV$17:CV$192)+SUMIF('6. OPERATION'!$B$17:$B$149,$C254,'6. OPERATION'!BY$17:BY$149)+SUMIF('8. FACILIT'!$B$18:$B$50,$C254,'8. FACILIT'!Z$18:Z$50))</f>
        <v>0</v>
      </c>
      <c r="J260" s="116">
        <f>IF('2. START'!$C$11="NO",SUMIF('8. FACILIT'!$B$18:$B$50,$C254,'8. FACILIT'!AA$18:AA$50),SUMIF('5. PERSON'!$B$17:$B$192,$C254,'5. PERSON'!CW$17:CW$192)+SUMIF('6. OPERATION'!$B$17:$B$149,$C254,'6. OPERATION'!BZ$17:BZ$149)+SUMIF('8. FACILIT'!$B$18:$B$50,$C254,'8. FACILIT'!AA$18:AA$50))</f>
        <v>0</v>
      </c>
      <c r="K260" s="116">
        <f>IF('2. START'!$C$11="NO",SUMIF('8. FACILIT'!$B$18:$B$50,$C254,'8. FACILIT'!AB$18:AB$50),SUMIF('5. PERSON'!$B$17:$B$192,$C254,'5. PERSON'!CX$17:CX$192)+SUMIF('6. OPERATION'!$B$17:$B$149,$C254,'6. OPERATION'!CA$17:CA$149)+SUMIF('8. FACILIT'!$B$18:$B$50,$C254,'8. FACILIT'!AB$18:AB$50))</f>
        <v>0</v>
      </c>
      <c r="L260" s="116">
        <f>IF('2. START'!$C$11="NO",SUMIF('8. FACILIT'!$B$18:$B$50,$C254,'8. FACILIT'!AC$18:AC$50),SUMIF('5. PERSON'!$B$17:$B$192,$C254,'5. PERSON'!CY$17:CY$192)+SUMIF('6. OPERATION'!$B$17:$B$149,$C254,'6. OPERATION'!CB$17:CB$149)+SUMIF('8. FACILIT'!$B$18:$B$50,$C254,'8. FACILIT'!AC$18:AC$50))</f>
        <v>0</v>
      </c>
      <c r="M260" s="117">
        <f t="shared" si="33"/>
        <v>0</v>
      </c>
    </row>
    <row r="261" spans="2:15" s="3" customFormat="1" ht="13.2" x14ac:dyDescent="0.25">
      <c r="B261" s="688" t="str">
        <f>IF('1. INTRO'!I$2="English",(IF('2. START'!C$11="NO","Indirect and facility charge accepted as OH by funding body","Indirect")),IF('2. START'!C$11="NO","Indirekt och lokalpåslag accepterade som OH av finansiär","Indirekt"))</f>
        <v>Indirect</v>
      </c>
      <c r="C261" s="689">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689">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689">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689">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689">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689">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689">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689">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689">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689">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687">
        <f t="shared" si="33"/>
        <v>0</v>
      </c>
    </row>
    <row r="262" spans="2:15" s="3" customFormat="1" ht="13.2" x14ac:dyDescent="0.25">
      <c r="B262" s="124" t="s">
        <v>113</v>
      </c>
      <c r="C262" s="102">
        <f>SUM(C257:C261)</f>
        <v>0</v>
      </c>
      <c r="D262" s="102">
        <f t="shared" ref="D262:L262" si="34">SUM(D257:D261)</f>
        <v>0</v>
      </c>
      <c r="E262" s="102">
        <f t="shared" si="34"/>
        <v>0</v>
      </c>
      <c r="F262" s="102">
        <f t="shared" si="34"/>
        <v>0</v>
      </c>
      <c r="G262" s="102">
        <f t="shared" si="34"/>
        <v>0</v>
      </c>
      <c r="H262" s="102">
        <f t="shared" si="34"/>
        <v>0</v>
      </c>
      <c r="I262" s="102">
        <f t="shared" si="34"/>
        <v>0</v>
      </c>
      <c r="J262" s="102">
        <f t="shared" si="34"/>
        <v>0</v>
      </c>
      <c r="K262" s="102">
        <f t="shared" si="34"/>
        <v>0</v>
      </c>
      <c r="L262" s="102">
        <f t="shared" si="34"/>
        <v>0</v>
      </c>
      <c r="M262" s="125">
        <f t="shared" si="33"/>
        <v>0</v>
      </c>
    </row>
    <row r="263" spans="2:15" s="3" customFormat="1" ht="6" customHeight="1" x14ac:dyDescent="0.25">
      <c r="B263" s="126"/>
      <c r="C263" s="127"/>
      <c r="D263" s="127"/>
      <c r="E263" s="127"/>
      <c r="F263" s="127"/>
      <c r="G263" s="127"/>
      <c r="H263" s="127"/>
      <c r="I263" s="127"/>
      <c r="J263" s="127"/>
      <c r="K263" s="127"/>
      <c r="L263" s="127"/>
      <c r="M263" s="128"/>
    </row>
    <row r="264" spans="2:15" s="3" customFormat="1" ht="13.2" x14ac:dyDescent="0.25">
      <c r="B264" s="129" t="str">
        <f>IF('1. INTRO'!I$2="English","Costs to be co-funded","Kostnader att medfinansiera")</f>
        <v>Costs to be co-funded</v>
      </c>
      <c r="C264" s="86"/>
      <c r="D264" s="86"/>
      <c r="E264" s="86"/>
      <c r="F264" s="86"/>
      <c r="G264" s="86"/>
      <c r="H264" s="86"/>
      <c r="I264" s="86"/>
      <c r="J264" s="86"/>
      <c r="K264" s="86"/>
      <c r="L264" s="86"/>
      <c r="M264" s="130"/>
    </row>
    <row r="265" spans="2:15" s="3" customFormat="1" ht="13.2" x14ac:dyDescent="0.25">
      <c r="B265" s="690" t="str">
        <f>IF('1. INTRO'!I$2="English",(IF('2. START'!C$11="NO","Indirect and facility charge not accepted as OH by funding body","")),IF('2. START'!C$11="NO","Indirekt och lokalpåslag inte accepterade som OH av finansiär",""))</f>
        <v/>
      </c>
      <c r="C265" s="691">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691">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691">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691">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691">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691">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691">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691">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691">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691">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684">
        <f t="shared" ref="M265:M271" si="35">SUM(C265:L265)</f>
        <v>0</v>
      </c>
    </row>
    <row r="266" spans="2:15" s="3" customFormat="1" ht="12.75" customHeight="1" x14ac:dyDescent="0.25">
      <c r="B266" s="132" t="str">
        <f>IF('1. INTRO'!I$2="English",(IF('2. START'!C$14&gt;0,"Social costs (LKP) not accepted by funding body","")),IF('2. START'!C$14&gt;0,"LKP som inte accepteras av finansiär",""))</f>
        <v/>
      </c>
      <c r="C266" s="133">
        <f>IF('2. START'!$C$14&gt;0,SUMIF('5. PERSON'!$B$17:$B$192,$C254,'5. PERSON'!AT$17:AT$192)-SUMIF('5. PERSON'!$B$17:$B$192,$C254,'5. PERSON'!DN$17:DN$192),0)</f>
        <v>0</v>
      </c>
      <c r="D266" s="133">
        <f>IF('2. START'!$C$14&gt;0,SUMIF('5. PERSON'!$B$17:$B$192,$C254,'5. PERSON'!AU$17:AU$192)-SUMIF('5. PERSON'!$B$17:$B$192,$C254,'5. PERSON'!DO$17:DO$192),0)</f>
        <v>0</v>
      </c>
      <c r="E266" s="133">
        <f>IF('2. START'!$C$14&gt;0,SUMIF('5. PERSON'!$B$17:$B$192,$C254,'5. PERSON'!AV$17:AV$192)-SUMIF('5. PERSON'!$B$17:$B$192,$C254,'5. PERSON'!DP$17:DP$192),0)</f>
        <v>0</v>
      </c>
      <c r="F266" s="133">
        <f>IF('2. START'!$C$14&gt;0,SUMIF('5. PERSON'!$B$17:$B$192,$C254,'5. PERSON'!AW$17:AW$192)-SUMIF('5. PERSON'!$B$17:$B$192,$C254,'5. PERSON'!DQ$17:DQ$192),0)</f>
        <v>0</v>
      </c>
      <c r="G266" s="133">
        <f>IF('2. START'!$C$14&gt;0,SUMIF('5. PERSON'!$B$17:$B$192,$C254,'5. PERSON'!AX$17:AX$192)-SUMIF('5. PERSON'!$B$17:$B$192,$C254,'5. PERSON'!DR$17:DR$192),0)</f>
        <v>0</v>
      </c>
      <c r="H266" s="133">
        <f>IF('2. START'!$C$14&gt;0,SUMIF('5. PERSON'!$B$17:$B$192,$C254,'5. PERSON'!AY$17:AY$192)-SUMIF('5. PERSON'!$B$17:$B$192,$C254,'5. PERSON'!DS$17:DS$192),0)</f>
        <v>0</v>
      </c>
      <c r="I266" s="133">
        <f>IF('2. START'!$C$14&gt;0,SUMIF('5. PERSON'!$B$17:$B$192,$C254,'5. PERSON'!AZ$17:AZ$192)-SUMIF('5. PERSON'!$B$17:$B$192,$C254,'5. PERSON'!DT$17:DT$192),0)</f>
        <v>0</v>
      </c>
      <c r="J266" s="133">
        <f>IF('2. START'!$C$14&gt;0,SUMIF('5. PERSON'!$B$17:$B$192,$C254,'5. PERSON'!BA$17:BA$192)-SUMIF('5. PERSON'!$B$17:$B$192,$C254,'5. PERSON'!DU$17:DU$192),0)</f>
        <v>0</v>
      </c>
      <c r="K266" s="133">
        <f>IF('2. START'!$C$14&gt;0,SUMIF('5. PERSON'!$B$17:$B$192,$C254,'5. PERSON'!BB$17:BB$192)-SUMIF('5. PERSON'!$B$17:$B$192,$C254,'5. PERSON'!DV$17:DV$192),0)</f>
        <v>0</v>
      </c>
      <c r="L266" s="133">
        <f>IF('2. START'!$C$14&gt;0,SUMIF('5. PERSON'!$B$17:$B$192,$C254,'5. PERSON'!BC$17:BC$192)-SUMIF('5. PERSON'!$B$17:$B$192,$C254,'5. PERSON'!DW$17:DW$192),0)</f>
        <v>0</v>
      </c>
      <c r="M266" s="117">
        <f t="shared" si="35"/>
        <v>0</v>
      </c>
    </row>
    <row r="267" spans="2:15" s="3" customFormat="1" ht="12.75" customHeight="1" x14ac:dyDescent="0.25">
      <c r="B267" s="685" t="str">
        <f>IF('1. INTRO'!I$2="English",(IF('5. PERSON'!BP$193&gt;0,"Salary including social costs (LKP)","")),IF('5. PERSON'!BP$193&gt;0,"Lön inklusive LKP",""))</f>
        <v/>
      </c>
      <c r="C267" s="692">
        <f>SUMIF('5. PERSON'!$B$17:$B$192,$C254,'5. PERSON'!BF$17:BF$192)</f>
        <v>0</v>
      </c>
      <c r="D267" s="692">
        <f>SUMIF('5. PERSON'!$B$17:$B$192,$C254,'5. PERSON'!BG$17:BG$192)</f>
        <v>0</v>
      </c>
      <c r="E267" s="692">
        <f>SUMIF('5. PERSON'!$B$17:$B$192,$C254,'5. PERSON'!BH$17:BH$192)</f>
        <v>0</v>
      </c>
      <c r="F267" s="692">
        <f>SUMIF('5. PERSON'!$B$17:$B$192,$C254,'5. PERSON'!BI$17:BI$192)</f>
        <v>0</v>
      </c>
      <c r="G267" s="692">
        <f>SUMIF('5. PERSON'!$B$17:$B$192,$C254,'5. PERSON'!BJ$17:BJ$192)</f>
        <v>0</v>
      </c>
      <c r="H267" s="692">
        <f>SUMIF('5. PERSON'!$B$17:$B$192,$C254,'5. PERSON'!BK$17:BK$192)</f>
        <v>0</v>
      </c>
      <c r="I267" s="692">
        <f>SUMIF('5. PERSON'!$B$17:$B$192,$C254,'5. PERSON'!BL$17:BL$192)</f>
        <v>0</v>
      </c>
      <c r="J267" s="692">
        <f>SUMIF('5. PERSON'!$B$17:$B$192,$C254,'5. PERSON'!BM$17:BM$192)</f>
        <v>0</v>
      </c>
      <c r="K267" s="692">
        <f>SUMIF('5. PERSON'!$B$17:$B$192,$C254,'5. PERSON'!BN$17:BN$192)</f>
        <v>0</v>
      </c>
      <c r="L267" s="692">
        <f>SUMIF('5. PERSON'!$B$17:$B$192,$C254,'5. PERSON'!BO$17:BO$192)</f>
        <v>0</v>
      </c>
      <c r="M267" s="687">
        <f t="shared" si="35"/>
        <v>0</v>
      </c>
    </row>
    <row r="268" spans="2:15" s="3" customFormat="1" ht="13.2" x14ac:dyDescent="0.25">
      <c r="B268" s="80" t="str">
        <f>IF('1. INTRO'!I$2="English",(IF('6. OPERATION'!AS$150&gt;0,"Operating","")),IF('6. OPERATION'!AS$150&gt;0,"Drift",""))</f>
        <v/>
      </c>
      <c r="C268" s="135">
        <f>SUMIF('6. OPERATION'!$B$17:$B$149,$C254,'6. OPERATION'!AI$17:AI$149)</f>
        <v>0</v>
      </c>
      <c r="D268" s="135">
        <f>SUMIF('6. OPERATION'!$B$17:$B$149,$C254,'6. OPERATION'!AJ$17:AJ$149)</f>
        <v>0</v>
      </c>
      <c r="E268" s="135">
        <f>SUMIF('6. OPERATION'!$B$17:$B$149,$C254,'6. OPERATION'!AK$17:AK$149)</f>
        <v>0</v>
      </c>
      <c r="F268" s="135">
        <f>SUMIF('6. OPERATION'!$B$17:$B$149,$C254,'6. OPERATION'!AL$17:AL$149)</f>
        <v>0</v>
      </c>
      <c r="G268" s="135">
        <f>SUMIF('6. OPERATION'!$B$17:$B$149,$C254,'6. OPERATION'!AM$17:AM$149)</f>
        <v>0</v>
      </c>
      <c r="H268" s="135">
        <f>SUMIF('6. OPERATION'!$B$17:$B$149,$C254,'6. OPERATION'!AN$17:AN$149)</f>
        <v>0</v>
      </c>
      <c r="I268" s="135">
        <f>SUMIF('6. OPERATION'!$B$17:$B$149,$C254,'6. OPERATION'!AO$17:AO$149)</f>
        <v>0</v>
      </c>
      <c r="J268" s="135">
        <f>SUMIF('6. OPERATION'!$B$17:$B$149,$C254,'6. OPERATION'!AP$17:AP$149)</f>
        <v>0</v>
      </c>
      <c r="K268" s="135">
        <f>SUMIF('6. OPERATION'!$B$17:$B$149,$C254,'6. OPERATION'!AQ$17:AQ$149)</f>
        <v>0</v>
      </c>
      <c r="L268" s="135">
        <f>SUMIF('6. OPERATION'!$B$17:$B$149,$C254,'6. OPERATION'!AR$17:AR$149)</f>
        <v>0</v>
      </c>
      <c r="M268" s="117">
        <f t="shared" si="35"/>
        <v>0</v>
      </c>
    </row>
    <row r="269" spans="2:15" s="3" customFormat="1" ht="13.2" x14ac:dyDescent="0.25">
      <c r="B269" s="685" t="str">
        <f>IF('1. INTRO'!I$2="English",(IF('7. INVEST'!AS$50&gt;0,"Equipment","")),IF('7. INVEST'!AS$50&gt;0,"Utrustning",""))</f>
        <v/>
      </c>
      <c r="C269" s="692">
        <f>SUMIF('7. INVEST'!$B$17:$B$49,$C254,'7. INVEST'!AI$17:AI$49)</f>
        <v>0</v>
      </c>
      <c r="D269" s="692">
        <f>SUMIF('7. INVEST'!$B$17:$B$49,$C254,'7. INVEST'!AJ$17:AJ$49)</f>
        <v>0</v>
      </c>
      <c r="E269" s="692">
        <f>SUMIF('7. INVEST'!$B$17:$B$49,$C254,'7. INVEST'!AK$17:AK$49)</f>
        <v>0</v>
      </c>
      <c r="F269" s="692">
        <f>SUMIF('7. INVEST'!$B$17:$B$49,$C254,'7. INVEST'!AL$17:AL$49)</f>
        <v>0</v>
      </c>
      <c r="G269" s="692">
        <f>SUMIF('7. INVEST'!$B$17:$B$49,$C254,'7. INVEST'!AM$17:AM$49)</f>
        <v>0</v>
      </c>
      <c r="H269" s="692">
        <f>SUMIF('7. INVEST'!$B$17:$B$49,$C254,'7. INVEST'!AN$17:AN$49)</f>
        <v>0</v>
      </c>
      <c r="I269" s="692">
        <f>SUMIF('7. INVEST'!$B$17:$B$49,$C254,'7. INVEST'!AO$17:AO$49)</f>
        <v>0</v>
      </c>
      <c r="J269" s="692">
        <f>SUMIF('7. INVEST'!$B$17:$B$49,$C254,'7. INVEST'!AP$17:AP$49)</f>
        <v>0</v>
      </c>
      <c r="K269" s="692">
        <f>SUMIF('7. INVEST'!$B$17:$B$49,$C254,'7. INVEST'!AQ$17:AQ$49)</f>
        <v>0</v>
      </c>
      <c r="L269" s="692">
        <f>SUMIF('7. INVEST'!$B$17:$B$49,$C254,'7. INVEST'!AR$17:AR$49)</f>
        <v>0</v>
      </c>
      <c r="M269" s="687">
        <f t="shared" si="35"/>
        <v>0</v>
      </c>
    </row>
    <row r="270" spans="2:15" s="3" customFormat="1" ht="13.2" x14ac:dyDescent="0.25">
      <c r="B270" s="121" t="str">
        <f>IF('1. INTRO'!I$2="English",(IF('8. FACILIT'!AP$51&gt;0,"Facility","")),IF('8. FACILIT'!AP$51&gt;0,"Lokal",""))</f>
        <v/>
      </c>
      <c r="C270" s="135">
        <f>SUMIF('5. PERSON'!$B$17:$B$192,$C254,'5. PERSON'!DB$17:DB$192)+SUMIF('6. OPERATION'!$B$17:$B$149,$C254,'6. OPERATION'!CE$17:CE$149)+SUMIF('8. FACILIT'!$B$18:$B$50,$C254,'8. FACILIT'!AF$18:AF$50)</f>
        <v>0</v>
      </c>
      <c r="D270" s="135">
        <f>SUMIF('5. PERSON'!$B$17:$B$192,$C254,'5. PERSON'!DC$17:DC$192)+SUMIF('6. OPERATION'!$B$17:$B$149,$C254,'6. OPERATION'!CF$17:CF$149)+SUMIF('8. FACILIT'!$B$18:$B$50,$C254,'8. FACILIT'!AG$18:AG$50)</f>
        <v>0</v>
      </c>
      <c r="E270" s="135">
        <f>SUMIF('5. PERSON'!$B$17:$B$192,$C254,'5. PERSON'!DD$17:DD$192)+SUMIF('6. OPERATION'!$B$17:$B$149,$C254,'6. OPERATION'!CG$17:CG$149)+SUMIF('8. FACILIT'!$B$18:$B$50,$C254,'8. FACILIT'!AH$18:AH$50)</f>
        <v>0</v>
      </c>
      <c r="F270" s="135">
        <f>SUMIF('5. PERSON'!$B$17:$B$192,$C254,'5. PERSON'!DE$17:DE$192)+SUMIF('6. OPERATION'!$B$17:$B$149,$C254,'6. OPERATION'!CH$17:CH$149)+SUMIF('8. FACILIT'!$B$18:$B$50,$C254,'8. FACILIT'!AI$18:AI$50)</f>
        <v>0</v>
      </c>
      <c r="G270" s="135">
        <f>SUMIF('5. PERSON'!$B$17:$B$192,$C254,'5. PERSON'!DF$17:DF$192)+SUMIF('6. OPERATION'!$B$17:$B$149,$C254,'6. OPERATION'!CI$17:CI$149)+SUMIF('8. FACILIT'!$B$18:$B$50,$C254,'8. FACILIT'!AJ$18:AJ$50)</f>
        <v>0</v>
      </c>
      <c r="H270" s="135">
        <f>SUMIF('5. PERSON'!$B$17:$B$192,$C254,'5. PERSON'!DG$17:DG$192)+SUMIF('6. OPERATION'!$B$17:$B$149,$C254,'6. OPERATION'!CJ$17:CJ$149)+SUMIF('8. FACILIT'!$B$18:$B$50,$C254,'8. FACILIT'!AK$18:AK$50)</f>
        <v>0</v>
      </c>
      <c r="I270" s="135">
        <f>SUMIF('5. PERSON'!$B$17:$B$192,$C254,'5. PERSON'!DH$17:DH$192)+SUMIF('6. OPERATION'!$B$17:$B$149,$C254,'6. OPERATION'!CK$17:CK$149)+SUMIF('8. FACILIT'!$B$18:$B$50,$C254,'8. FACILIT'!AL$18:AL$50)</f>
        <v>0</v>
      </c>
      <c r="J270" s="135">
        <f>SUMIF('5. PERSON'!$B$17:$B$192,$C254,'5. PERSON'!DI$17:DI$192)+SUMIF('6. OPERATION'!$B$17:$B$149,$C254,'6. OPERATION'!CL$17:CL$149)+SUMIF('8. FACILIT'!$B$18:$B$50,$C254,'8. FACILIT'!AM$18:AM$50)</f>
        <v>0</v>
      </c>
      <c r="K270" s="135">
        <f>SUMIF('5. PERSON'!$B$17:$B$192,$C254,'5. PERSON'!DJ$17:DJ$192)+SUMIF('6. OPERATION'!$B$17:$B$149,$C254,'6. OPERATION'!CM$17:CM$149)+SUMIF('8. FACILIT'!$B$18:$B$50,$C254,'8. FACILIT'!AN$18:AN$50)</f>
        <v>0</v>
      </c>
      <c r="L270" s="135">
        <f>SUMIF('5. PERSON'!$B$17:$B$192,$C254,'5. PERSON'!DK$17:DK$192)+SUMIF('6. OPERATION'!$B$17:$B$149,$C254,'6. OPERATION'!CN$17:CN$149)+SUMIF('8. FACILIT'!$B$18:$B$50,$C254,'8. FACILIT'!AO$18:AO$50)</f>
        <v>0</v>
      </c>
      <c r="M270" s="117">
        <f t="shared" si="35"/>
        <v>0</v>
      </c>
    </row>
    <row r="271" spans="2:15" s="1" customFormat="1" ht="13.2" x14ac:dyDescent="0.25">
      <c r="B271" s="688" t="str">
        <f>IF('1. INTRO'!I$2="English",(IF(('5. PERSON'!CN$193+'6. OPERATION'!BQ$150)&gt;0,"Indirect","")),IF(('5. PERSON'!CN$193+'6. OPERATION'!BQ$150)&gt;0,"Indirekt",""))</f>
        <v/>
      </c>
      <c r="C271" s="689">
        <f>SUMIF('5. PERSON'!$B$17:$B$192,$C254,'5. PERSON'!CD$17:CD$192)+SUMIF('6. OPERATION'!$B$17:$B$149,$C254,'6. OPERATION'!BG$17:BG$149)</f>
        <v>0</v>
      </c>
      <c r="D271" s="689">
        <f>SUMIF('5. PERSON'!$B$17:$B$192,$C254,'5. PERSON'!CE$17:CE$192)+SUMIF('6. OPERATION'!$B$17:$B$149,$C254,'6. OPERATION'!BH$17:BH$149)</f>
        <v>0</v>
      </c>
      <c r="E271" s="689">
        <f>SUMIF('5. PERSON'!$B$17:$B$192,$C254,'5. PERSON'!CF$17:CF$192)+SUMIF('6. OPERATION'!$B$17:$B$149,$C254,'6. OPERATION'!BI$17:BI$149)</f>
        <v>0</v>
      </c>
      <c r="F271" s="689">
        <f>SUMIF('5. PERSON'!$B$17:$B$192,$C254,'5. PERSON'!CG$17:CG$192)+SUMIF('6. OPERATION'!$B$17:$B$149,$C254,'6. OPERATION'!BJ$17:BJ$149)</f>
        <v>0</v>
      </c>
      <c r="G271" s="689">
        <f>SUMIF('5. PERSON'!$B$17:$B$192,$C254,'5. PERSON'!CH$17:CH$192)+SUMIF('6. OPERATION'!$B$17:$B$149,$C254,'6. OPERATION'!BK$17:BK$149)</f>
        <v>0</v>
      </c>
      <c r="H271" s="689">
        <f>SUMIF('5. PERSON'!$B$17:$B$192,$C254,'5. PERSON'!CI$17:CI$192)+SUMIF('6. OPERATION'!$B$17:$B$149,$C254,'6. OPERATION'!BL$17:BL$149)</f>
        <v>0</v>
      </c>
      <c r="I271" s="689">
        <f>SUMIF('5. PERSON'!$B$17:$B$192,$C254,'5. PERSON'!CJ$17:CJ$192)+SUMIF('6. OPERATION'!$B$17:$B$149,$C254,'6. OPERATION'!BM$17:BM$149)</f>
        <v>0</v>
      </c>
      <c r="J271" s="689">
        <f>SUMIF('5. PERSON'!$B$17:$B$192,$C254,'5. PERSON'!CK$17:CK$192)+SUMIF('6. OPERATION'!$B$17:$B$149,$C254,'6. OPERATION'!BN$17:BN$149)</f>
        <v>0</v>
      </c>
      <c r="K271" s="689">
        <f>SUMIF('5. PERSON'!$B$17:$B$192,$C254,'5. PERSON'!CL$17:CL$192)+SUMIF('6. OPERATION'!$B$17:$B$149,$C254,'6. OPERATION'!BO$17:BO$149)</f>
        <v>0</v>
      </c>
      <c r="L271" s="689">
        <f>SUMIF('5. PERSON'!$B$17:$B$192,$C254,'5. PERSON'!CM$17:CM$192)+SUMIF('6. OPERATION'!$B$17:$B$149,$C254,'6. OPERATION'!BP$17:BP$149)</f>
        <v>0</v>
      </c>
      <c r="M271" s="693">
        <f t="shared" si="35"/>
        <v>0</v>
      </c>
    </row>
    <row r="272" spans="2:15" s="3" customFormat="1" ht="13.2" x14ac:dyDescent="0.25">
      <c r="B272" s="124" t="s">
        <v>113</v>
      </c>
      <c r="C272" s="102">
        <f>SUM(C265:C271)</f>
        <v>0</v>
      </c>
      <c r="D272" s="102">
        <f t="shared" ref="D272:M272" si="36">SUM(D265:D271)</f>
        <v>0</v>
      </c>
      <c r="E272" s="102">
        <f t="shared" si="36"/>
        <v>0</v>
      </c>
      <c r="F272" s="102">
        <f t="shared" si="36"/>
        <v>0</v>
      </c>
      <c r="G272" s="102">
        <f t="shared" si="36"/>
        <v>0</v>
      </c>
      <c r="H272" s="102">
        <f t="shared" si="36"/>
        <v>0</v>
      </c>
      <c r="I272" s="102">
        <f t="shared" si="36"/>
        <v>0</v>
      </c>
      <c r="J272" s="102">
        <f t="shared" si="36"/>
        <v>0</v>
      </c>
      <c r="K272" s="102">
        <f t="shared" si="36"/>
        <v>0</v>
      </c>
      <c r="L272" s="102">
        <f t="shared" si="36"/>
        <v>0</v>
      </c>
      <c r="M272" s="125">
        <f t="shared" si="36"/>
        <v>0</v>
      </c>
      <c r="N272" s="23"/>
      <c r="O272" s="23"/>
    </row>
    <row r="273" spans="2:13" s="3" customFormat="1" ht="6" customHeight="1" x14ac:dyDescent="0.25">
      <c r="B273" s="136"/>
      <c r="C273" s="127"/>
      <c r="D273" s="127"/>
      <c r="E273" s="127"/>
      <c r="F273" s="127"/>
      <c r="G273" s="127"/>
      <c r="H273" s="127"/>
      <c r="I273" s="127"/>
      <c r="J273" s="127"/>
      <c r="K273" s="127"/>
      <c r="L273" s="127"/>
      <c r="M273" s="137"/>
    </row>
    <row r="274" spans="2:13" s="3" customFormat="1" ht="13.2" x14ac:dyDescent="0.25">
      <c r="B274" s="129" t="str">
        <f>IF('1. INTRO'!I$2="English","Full cost","Full kostnad")</f>
        <v>Full cost</v>
      </c>
      <c r="C274" s="127"/>
      <c r="D274" s="127"/>
      <c r="E274" s="127"/>
      <c r="F274" s="127"/>
      <c r="G274" s="127"/>
      <c r="H274" s="127"/>
      <c r="I274" s="127"/>
      <c r="J274" s="127"/>
      <c r="K274" s="127"/>
      <c r="L274" s="127"/>
      <c r="M274" s="137"/>
    </row>
    <row r="275" spans="2:13" s="3" customFormat="1" ht="13.2" x14ac:dyDescent="0.25">
      <c r="B275" s="682" t="str">
        <f>IF('1. INTRO'!I$2="English","Salary including social costs (LKP)","Lön inklusive LKP")</f>
        <v>Salary including social costs (LKP)</v>
      </c>
      <c r="C275" s="694">
        <f>C257+C266+C267</f>
        <v>0</v>
      </c>
      <c r="D275" s="694">
        <f t="shared" ref="D275:L275" si="37">D257+D266+D267</f>
        <v>0</v>
      </c>
      <c r="E275" s="694">
        <f t="shared" si="37"/>
        <v>0</v>
      </c>
      <c r="F275" s="694">
        <f t="shared" si="37"/>
        <v>0</v>
      </c>
      <c r="G275" s="694">
        <f t="shared" si="37"/>
        <v>0</v>
      </c>
      <c r="H275" s="694">
        <f t="shared" si="37"/>
        <v>0</v>
      </c>
      <c r="I275" s="694">
        <f t="shared" si="37"/>
        <v>0</v>
      </c>
      <c r="J275" s="694">
        <f t="shared" si="37"/>
        <v>0</v>
      </c>
      <c r="K275" s="694">
        <f t="shared" si="37"/>
        <v>0</v>
      </c>
      <c r="L275" s="694">
        <f t="shared" si="37"/>
        <v>0</v>
      </c>
      <c r="M275" s="684">
        <f>SUM(C275:L275)</f>
        <v>0</v>
      </c>
    </row>
    <row r="276" spans="2:13" s="3" customFormat="1" ht="13.2" x14ac:dyDescent="0.25">
      <c r="B276" s="80" t="str">
        <f>IF('1. INTRO'!I$2="English","Operating","Drift")</f>
        <v>Operating</v>
      </c>
      <c r="C276" s="139">
        <f>C258+C268</f>
        <v>0</v>
      </c>
      <c r="D276" s="139">
        <f t="shared" ref="D276:L276" si="38">D258+D268</f>
        <v>0</v>
      </c>
      <c r="E276" s="139">
        <f t="shared" si="38"/>
        <v>0</v>
      </c>
      <c r="F276" s="139">
        <f t="shared" si="38"/>
        <v>0</v>
      </c>
      <c r="G276" s="139">
        <f t="shared" si="38"/>
        <v>0</v>
      </c>
      <c r="H276" s="139">
        <f t="shared" si="38"/>
        <v>0</v>
      </c>
      <c r="I276" s="139">
        <f t="shared" si="38"/>
        <v>0</v>
      </c>
      <c r="J276" s="139">
        <f t="shared" si="38"/>
        <v>0</v>
      </c>
      <c r="K276" s="139">
        <f t="shared" si="38"/>
        <v>0</v>
      </c>
      <c r="L276" s="139">
        <f t="shared" si="38"/>
        <v>0</v>
      </c>
      <c r="M276" s="117">
        <f>SUM(C276:L276)</f>
        <v>0</v>
      </c>
    </row>
    <row r="277" spans="2:13" s="3" customFormat="1" ht="13.2" x14ac:dyDescent="0.25">
      <c r="B277" s="685" t="str">
        <f>IF('1. INTRO'!I$2="English","Equipment","Utrustning")</f>
        <v>Equipment</v>
      </c>
      <c r="C277" s="695">
        <f>C259+C269</f>
        <v>0</v>
      </c>
      <c r="D277" s="695">
        <f t="shared" ref="D277:L277" si="39">D259+D269</f>
        <v>0</v>
      </c>
      <c r="E277" s="695">
        <f t="shared" si="39"/>
        <v>0</v>
      </c>
      <c r="F277" s="695">
        <f t="shared" si="39"/>
        <v>0</v>
      </c>
      <c r="G277" s="695">
        <f t="shared" si="39"/>
        <v>0</v>
      </c>
      <c r="H277" s="695">
        <f t="shared" si="39"/>
        <v>0</v>
      </c>
      <c r="I277" s="695">
        <f t="shared" si="39"/>
        <v>0</v>
      </c>
      <c r="J277" s="695">
        <f t="shared" si="39"/>
        <v>0</v>
      </c>
      <c r="K277" s="695">
        <f t="shared" si="39"/>
        <v>0</v>
      </c>
      <c r="L277" s="695">
        <f t="shared" si="39"/>
        <v>0</v>
      </c>
      <c r="M277" s="687">
        <f>SUM(C277:L277)</f>
        <v>0</v>
      </c>
    </row>
    <row r="278" spans="2:13" s="3" customFormat="1" ht="13.2" x14ac:dyDescent="0.25">
      <c r="B278" s="80" t="str">
        <f>IF('1. INTRO'!I$2="English","Facility","Lokal")</f>
        <v>Facility</v>
      </c>
      <c r="C278" s="139">
        <f>SUMIF('5. PERSON'!$B$17:$B$192,$C254,'5. PERSON'!CP$17:CP$192)+SUMIF('5. PERSON'!$B$17:$B$192,$C254,'5. PERSON'!DB$17:DB$192)+SUMIF('6. OPERATION'!$B$17:$B$149,$C254,'6. OPERATION'!BS$17:BS$149)+SUMIF('6. OPERATION'!$B$17:$B$149,$C254,'6. OPERATION'!CE$17:CE$149)+SUMIF('8. FACILIT'!$B$18:$B$50,$C254,'8. FACILIT'!T$18:T$50)+SUMIF('8. FACILIT'!$B$18:$B$50,$C254,'8. FACILIT'!AF$18:AF$50)</f>
        <v>0</v>
      </c>
      <c r="D278" s="139">
        <f>SUMIF('5. PERSON'!$B$17:$B$192,$C254,'5. PERSON'!CQ$17:CQ$192)+SUMIF('5. PERSON'!$B$17:$B$192,$C254,'5. PERSON'!DC$17:DC$192)+SUMIF('6. OPERATION'!$B$17:$B$149,$C254,'6. OPERATION'!BT$17:BT$149)+SUMIF('6. OPERATION'!$B$17:$B$149,$C254,'6. OPERATION'!CF$17:CF$149)+SUMIF('8. FACILIT'!$B$18:$B$50,$C254,'8. FACILIT'!U$18:U$50)+SUMIF('8. FACILIT'!$B$18:$B$50,$C254,'8. FACILIT'!AG$18:AG$50)</f>
        <v>0</v>
      </c>
      <c r="E278" s="139">
        <f>SUMIF('5. PERSON'!$B$17:$B$192,$C254,'5. PERSON'!CR$17:CR$192)+SUMIF('5. PERSON'!$B$17:$B$192,$C254,'5. PERSON'!DD$17:DD$192)+SUMIF('6. OPERATION'!$B$17:$B$149,$C254,'6. OPERATION'!BU$17:BU$149)+SUMIF('6. OPERATION'!$B$17:$B$149,$C254,'6. OPERATION'!CG$17:CG$149)+SUMIF('8. FACILIT'!$B$18:$B$50,$C254,'8. FACILIT'!V$18:V$50)+SUMIF('8. FACILIT'!$B$18:$B$50,$C254,'8. FACILIT'!AH$18:AH$50)</f>
        <v>0</v>
      </c>
      <c r="F278" s="139">
        <f>SUMIF('5. PERSON'!$B$17:$B$192,$C254,'5. PERSON'!CS$17:CS$192)+SUMIF('5. PERSON'!$B$17:$B$192,$C254,'5. PERSON'!DE$17:DE$192)+SUMIF('6. OPERATION'!$B$17:$B$149,$C254,'6. OPERATION'!BV$17:BV$149)+SUMIF('6. OPERATION'!$B$17:$B$149,$C254,'6. OPERATION'!CH$17:CH$149)+SUMIF('8. FACILIT'!$B$18:$B$50,$C254,'8. FACILIT'!W$18:W$50)+SUMIF('8. FACILIT'!$B$18:$B$50,$C254,'8. FACILIT'!AI$18:AI$50)</f>
        <v>0</v>
      </c>
      <c r="G278" s="139">
        <f>SUMIF('5. PERSON'!$B$17:$B$192,$C254,'5. PERSON'!CT$17:CT$192)+SUMIF('5. PERSON'!$B$17:$B$192,$C254,'5. PERSON'!DF$17:DF$192)+SUMIF('6. OPERATION'!$B$17:$B$149,$C254,'6. OPERATION'!BW$17:BW$149)+SUMIF('6. OPERATION'!$B$17:$B$149,$C254,'6. OPERATION'!CI$17:CI$149)+SUMIF('8. FACILIT'!$B$18:$B$50,$C254,'8. FACILIT'!X$18:X$50)+SUMIF('8. FACILIT'!$B$18:$B$50,$C254,'8. FACILIT'!AJ$18:AJ$50)</f>
        <v>0</v>
      </c>
      <c r="H278" s="139">
        <f>SUMIF('5. PERSON'!$B$17:$B$192,$C254,'5. PERSON'!CU$17:CU$192)+SUMIF('5. PERSON'!$B$17:$B$192,$C254,'5. PERSON'!DG$17:DG$192)+SUMIF('6. OPERATION'!$B$17:$B$149,$C254,'6. OPERATION'!BX$17:BX$149)+SUMIF('6. OPERATION'!$B$17:$B$149,$C254,'6. OPERATION'!CJ$17:CJ$149)+SUMIF('8. FACILIT'!$B$18:$B$50,$C254,'8. FACILIT'!Y$18:Y$50)+SUMIF('8. FACILIT'!$B$18:$B$50,$C254,'8. FACILIT'!AK$18:AK$50)</f>
        <v>0</v>
      </c>
      <c r="I278" s="139">
        <f>SUMIF('5. PERSON'!$B$17:$B$192,$C254,'5. PERSON'!CV$17:CV$192)+SUMIF('5. PERSON'!$B$17:$B$192,$C254,'5. PERSON'!DH$17:DH$192)+SUMIF('6. OPERATION'!$B$17:$B$149,$C254,'6. OPERATION'!BY$17:BY$149)+SUMIF('6. OPERATION'!$B$17:$B$149,$C254,'6. OPERATION'!CK$17:CK$149)+SUMIF('8. FACILIT'!$B$18:$B$50,$C254,'8. FACILIT'!Z$18:Z$50)+SUMIF('8. FACILIT'!$B$18:$B$50,$C254,'8. FACILIT'!AL$18:AL$50)</f>
        <v>0</v>
      </c>
      <c r="J278" s="139">
        <f>SUMIF('5. PERSON'!$B$17:$B$192,$C254,'5. PERSON'!CW$17:CW$192)+SUMIF('5. PERSON'!$B$17:$B$192,$C254,'5. PERSON'!DI$17:DI$192)+SUMIF('6. OPERATION'!$B$17:$B$149,$C254,'6. OPERATION'!BZ$17:BZ$149)+SUMIF('6. OPERATION'!$B$17:$B$149,$C254,'6. OPERATION'!CL$17:CL$149)+SUMIF('8. FACILIT'!$B$18:$B$50,$C254,'8. FACILIT'!AA$18:AA$50)+SUMIF('8. FACILIT'!$B$18:$B$50,$C254,'8. FACILIT'!AM$18:AM$50)</f>
        <v>0</v>
      </c>
      <c r="K278" s="139">
        <f>SUMIF('5. PERSON'!$B$17:$B$192,$C254,'5. PERSON'!CX$17:CX$192)+SUMIF('5. PERSON'!$B$17:$B$192,$C254,'5. PERSON'!DJ$17:DJ$192)+SUMIF('6. OPERATION'!$B$17:$B$149,$C254,'6. OPERATION'!CA$17:CA$149)+SUMIF('6. OPERATION'!$B$17:$B$149,$C254,'6. OPERATION'!CM$17:CM$149)+SUMIF('8. FACILIT'!$B$18:$B$50,$C254,'8. FACILIT'!AB$18:AB$50)+SUMIF('8. FACILIT'!$B$18:$B$50,$C254,'8. FACILIT'!AN$18:AN$50)</f>
        <v>0</v>
      </c>
      <c r="L278" s="139">
        <f>SUMIF('5. PERSON'!$B$17:$B$192,$C254,'5. PERSON'!CY$17:CY$192)+SUMIF('5. PERSON'!$B$17:$B$192,$C254,'5. PERSON'!DK$17:DK$192)+SUMIF('6. OPERATION'!$B$17:$B$149,$C254,'6. OPERATION'!CB$17:CB$149)+SUMIF('6. OPERATION'!$B$17:$B$149,$C254,'6. OPERATION'!CN$17:CN$149)+SUMIF('8. FACILIT'!$B$18:$B$50,$C254,'8. FACILIT'!AC$18:AC$50)+SUMIF('8. FACILIT'!$B$18:$B$50,$C254,'8. FACILIT'!AO$18:AO$50)</f>
        <v>0</v>
      </c>
      <c r="M278" s="117">
        <f>SUM(C278:L278)</f>
        <v>0</v>
      </c>
    </row>
    <row r="279" spans="2:13" s="3" customFormat="1" ht="13.2" x14ac:dyDescent="0.25">
      <c r="B279" s="696" t="str">
        <f>IF('1. INTRO'!I$2="English","Indirect","Indirekt")</f>
        <v>Indirect</v>
      </c>
      <c r="C279" s="697">
        <f>SUMIF('5. PERSON'!$B$17:$B$192,$C254,'5. PERSON'!BR$17:BR$192)+SUMIF('5. PERSON'!$B$17:$B$192,$C254,'5. PERSON'!CD$17:CD$192)+SUMIF('6. OPERATION'!$B$17:$B$149,$C254,'6. OPERATION'!AU$17:AU$149)+SUMIF('6. OPERATION'!$B$17:$B$149,$C254,'6. OPERATION'!BG$17:BG$149)</f>
        <v>0</v>
      </c>
      <c r="D279" s="697">
        <f>SUMIF('5. PERSON'!$B$17:$B$192,$C254,'5. PERSON'!BS$17:BS$192)+SUMIF('5. PERSON'!$B$17:$B$192,$C254,'5. PERSON'!CE$17:CE$192)+SUMIF('6. OPERATION'!$B$17:$B$149,$C254,'6. OPERATION'!AV$17:AV$149)+SUMIF('6. OPERATION'!$B$17:$B$149,$C254,'6. OPERATION'!BH$17:BH$149)</f>
        <v>0</v>
      </c>
      <c r="E279" s="697">
        <f>SUMIF('5. PERSON'!$B$17:$B$192,$C254,'5. PERSON'!BT$17:BT$192)+SUMIF('5. PERSON'!$B$17:$B$192,$C254,'5. PERSON'!CF$17:CF$192)+SUMIF('6. OPERATION'!$B$17:$B$149,$C254,'6. OPERATION'!AW$17:AW$149)+SUMIF('6. OPERATION'!$B$17:$B$149,$C254,'6. OPERATION'!BI$17:BI$149)</f>
        <v>0</v>
      </c>
      <c r="F279" s="697">
        <f>SUMIF('5. PERSON'!$B$17:$B$192,$C254,'5. PERSON'!BU$17:BU$192)+SUMIF('5. PERSON'!$B$17:$B$192,$C254,'5. PERSON'!CG$17:CG$192)+SUMIF('6. OPERATION'!$B$17:$B$149,$C254,'6. OPERATION'!AX$17:AX$149)+SUMIF('6. OPERATION'!$B$17:$B$149,$C254,'6. OPERATION'!BJ$17:BJ$149)</f>
        <v>0</v>
      </c>
      <c r="G279" s="697">
        <f>SUMIF('5. PERSON'!$B$17:$B$192,$C254,'5. PERSON'!BV$17:BV$192)+SUMIF('5. PERSON'!$B$17:$B$192,$C254,'5. PERSON'!CH$17:CH$192)+SUMIF('6. OPERATION'!$B$17:$B$149,$C254,'6. OPERATION'!AY$17:AY$149)+SUMIF('6. OPERATION'!$B$17:$B$149,$C254,'6. OPERATION'!BK$17:BK$149)</f>
        <v>0</v>
      </c>
      <c r="H279" s="697">
        <f>SUMIF('5. PERSON'!$B$17:$B$192,$C254,'5. PERSON'!BW$17:BW$192)+SUMIF('5. PERSON'!$B$17:$B$192,$C254,'5. PERSON'!CI$17:CI$192)+SUMIF('6. OPERATION'!$B$17:$B$149,$C254,'6. OPERATION'!AZ$17:AZ$149)+SUMIF('6. OPERATION'!$B$17:$B$149,$C254,'6. OPERATION'!BL$17:BL$149)</f>
        <v>0</v>
      </c>
      <c r="I279" s="697">
        <f>SUMIF('5. PERSON'!$B$17:$B$192,$C254,'5. PERSON'!BX$17:BX$192)+SUMIF('5. PERSON'!$B$17:$B$192,$C254,'5. PERSON'!CJ$17:CJ$192)+SUMIF('6. OPERATION'!$B$17:$B$149,$C254,'6. OPERATION'!BA$17:BA$149)+SUMIF('6. OPERATION'!$B$17:$B$149,$C254,'6. OPERATION'!BM$17:BM$149)</f>
        <v>0</v>
      </c>
      <c r="J279" s="697">
        <f>SUMIF('5. PERSON'!$B$17:$B$192,$C254,'5. PERSON'!BY$17:BY$192)+SUMIF('5. PERSON'!$B$17:$B$192,$C254,'5. PERSON'!CK$17:CK$192)+SUMIF('6. OPERATION'!$B$17:$B$149,$C254,'6. OPERATION'!BB$17:BB$149)+SUMIF('6. OPERATION'!$B$17:$B$149,$C254,'6. OPERATION'!BN$17:BN$149)</f>
        <v>0</v>
      </c>
      <c r="K279" s="697">
        <f>SUMIF('5. PERSON'!$B$17:$B$192,$C254,'5. PERSON'!BZ$17:BZ$192)+SUMIF('5. PERSON'!$B$17:$B$192,$C254,'5. PERSON'!CL$17:CL$192)+SUMIF('6. OPERATION'!$B$17:$B$149,$C254,'6. OPERATION'!BC$17:BC$149)+SUMIF('6. OPERATION'!$B$17:$B$149,$C254,'6. OPERATION'!BO$17:BO$149)</f>
        <v>0</v>
      </c>
      <c r="L279" s="697">
        <f>SUMIF('5. PERSON'!$B$17:$B$192,$C254,'5. PERSON'!CA$17:CA$192)+SUMIF('5. PERSON'!$B$17:$B$192,$C254,'5. PERSON'!CM$17:CM$192)+SUMIF('6. OPERATION'!$B$17:$B$149,$C254,'6. OPERATION'!BD$17:BD$149)+SUMIF('6. OPERATION'!$B$17:$B$149,$C254,'6. OPERATION'!BP$17:BP$149)</f>
        <v>0</v>
      </c>
      <c r="M279" s="693">
        <f>SUM(C279:L279)</f>
        <v>0</v>
      </c>
    </row>
    <row r="280" spans="2:13" s="3" customFormat="1" ht="13.2" x14ac:dyDescent="0.25">
      <c r="B280" s="124" t="s">
        <v>113</v>
      </c>
      <c r="C280" s="88">
        <f>SUM(C275:C279)</f>
        <v>0</v>
      </c>
      <c r="D280" s="88">
        <f t="shared" ref="D280:M280" si="40">SUM(D275:D279)</f>
        <v>0</v>
      </c>
      <c r="E280" s="88">
        <f t="shared" si="40"/>
        <v>0</v>
      </c>
      <c r="F280" s="88">
        <f t="shared" si="40"/>
        <v>0</v>
      </c>
      <c r="G280" s="88">
        <f t="shared" si="40"/>
        <v>0</v>
      </c>
      <c r="H280" s="88">
        <f t="shared" si="40"/>
        <v>0</v>
      </c>
      <c r="I280" s="88">
        <f t="shared" si="40"/>
        <v>0</v>
      </c>
      <c r="J280" s="88">
        <f t="shared" si="40"/>
        <v>0</v>
      </c>
      <c r="K280" s="88">
        <f t="shared" si="40"/>
        <v>0</v>
      </c>
      <c r="L280" s="88">
        <f t="shared" si="40"/>
        <v>0</v>
      </c>
      <c r="M280" s="142">
        <f t="shared" si="40"/>
        <v>0</v>
      </c>
    </row>
    <row r="281" spans="2:13" s="3" customFormat="1" ht="13.2" x14ac:dyDescent="0.25">
      <c r="B281" s="287"/>
      <c r="C281" s="37"/>
      <c r="D281" s="37"/>
      <c r="E281" s="37"/>
      <c r="F281" s="37"/>
      <c r="G281" s="37"/>
      <c r="H281" s="37"/>
      <c r="I281" s="37"/>
      <c r="J281" s="37"/>
      <c r="K281" s="37"/>
      <c r="L281" s="37"/>
      <c r="M281" s="37"/>
    </row>
    <row r="282" spans="2:13" s="3" customFormat="1" ht="12.75" customHeight="1" x14ac:dyDescent="0.25">
      <c r="B282" s="656" t="str">
        <f>IF('1. INTRO'!I$2="English","Co-funding share in full cost ","Medfinansieringsandel i full kostnad ")</f>
        <v xml:space="preserve">Co-funding share in full cost </v>
      </c>
      <c r="C282" s="143" t="str">
        <f t="shared" ref="C282:M282" si="41">IF(C280&gt;0,C272/C280,"")</f>
        <v/>
      </c>
      <c r="D282" s="143" t="str">
        <f t="shared" si="41"/>
        <v/>
      </c>
      <c r="E282" s="143" t="str">
        <f t="shared" si="41"/>
        <v/>
      </c>
      <c r="F282" s="143" t="str">
        <f t="shared" si="41"/>
        <v/>
      </c>
      <c r="G282" s="143" t="str">
        <f t="shared" si="41"/>
        <v/>
      </c>
      <c r="H282" s="143" t="str">
        <f t="shared" si="41"/>
        <v/>
      </c>
      <c r="I282" s="143" t="str">
        <f t="shared" si="41"/>
        <v/>
      </c>
      <c r="J282" s="143" t="str">
        <f t="shared" si="41"/>
        <v/>
      </c>
      <c r="K282" s="143" t="str">
        <f t="shared" si="41"/>
        <v/>
      </c>
      <c r="L282" s="143" t="str">
        <f t="shared" si="41"/>
        <v/>
      </c>
      <c r="M282" s="143" t="str">
        <f t="shared" si="41"/>
        <v/>
      </c>
    </row>
    <row r="283" spans="2:13" ht="12.75" customHeight="1" x14ac:dyDescent="0.2"/>
    <row r="284" spans="2:13" ht="12.75" customHeight="1" x14ac:dyDescent="0.25">
      <c r="D284" s="656" t="str">
        <f>IF('1. INTRO'!I$2="English","Co-funding need in average per year: ","Medfinansieringsbehov i genomsnitt per år: ")</f>
        <v xml:space="preserve">Co-funding need in average per year: </v>
      </c>
      <c r="E284" s="698" t="str">
        <f>IF(M272=0,"",M272/(DATEDIF('2. START'!C$18,'2. START'!C$19,"d")/365))</f>
        <v/>
      </c>
      <c r="H284" s="656" t="str">
        <f>IF('1. INTRO'!I$2="English","Co-funding need 1/3 of total: ","Medfinansieringsbehov 1/3 av totalt: ")</f>
        <v xml:space="preserve">Co-funding need 1/3 of total: </v>
      </c>
      <c r="I284" s="698">
        <f>M272/3</f>
        <v>0</v>
      </c>
      <c r="L284" s="287" t="str">
        <f>IF('1. INTRO'!I$2="English","Co-funding need total: ","Medfinansieringsbehov totalt: ")</f>
        <v xml:space="preserve">Co-funding need total: </v>
      </c>
      <c r="M284" s="698">
        <f>M272</f>
        <v>0</v>
      </c>
    </row>
    <row r="285" spans="2:13" ht="12.75" customHeight="1" x14ac:dyDescent="0.25">
      <c r="B285" s="53" t="str">
        <f>IF('1. INTRO'!I$2="English","Co-funding sources","Medfinansieringskällor")</f>
        <v>Co-funding sources</v>
      </c>
    </row>
    <row r="286" spans="2:13" ht="12.75" customHeight="1" x14ac:dyDescent="0.25">
      <c r="B286" s="225"/>
      <c r="C286" s="226"/>
      <c r="D286" s="226"/>
      <c r="E286" s="226"/>
      <c r="F286" s="226"/>
      <c r="G286" s="226"/>
      <c r="H286" s="226"/>
      <c r="I286" s="226"/>
      <c r="J286" s="226"/>
      <c r="K286" s="226"/>
      <c r="L286" s="227"/>
      <c r="M286" s="168">
        <f>SUM(C286:L286)</f>
        <v>0</v>
      </c>
    </row>
    <row r="287" spans="2:13" ht="12.75" customHeight="1" x14ac:dyDescent="0.25">
      <c r="B287" s="228"/>
      <c r="C287" s="229"/>
      <c r="D287" s="229"/>
      <c r="E287" s="229"/>
      <c r="F287" s="229"/>
      <c r="G287" s="229"/>
      <c r="H287" s="229"/>
      <c r="I287" s="229"/>
      <c r="J287" s="229"/>
      <c r="K287" s="229"/>
      <c r="L287" s="230"/>
      <c r="M287" s="687">
        <f t="shared" ref="M287:M290" si="42">SUM(C287:L287)</f>
        <v>0</v>
      </c>
    </row>
    <row r="288" spans="2:13" ht="12.75" customHeight="1" x14ac:dyDescent="0.25">
      <c r="B288" s="231"/>
      <c r="C288" s="232"/>
      <c r="D288" s="232"/>
      <c r="E288" s="232"/>
      <c r="F288" s="232"/>
      <c r="G288" s="232"/>
      <c r="H288" s="232"/>
      <c r="I288" s="232"/>
      <c r="J288" s="232"/>
      <c r="K288" s="232"/>
      <c r="L288" s="233"/>
      <c r="M288" s="117">
        <f t="shared" si="42"/>
        <v>0</v>
      </c>
    </row>
    <row r="289" spans="2:13" ht="12.75" customHeight="1" x14ac:dyDescent="0.25">
      <c r="B289" s="228"/>
      <c r="C289" s="229"/>
      <c r="D289" s="229"/>
      <c r="E289" s="229"/>
      <c r="F289" s="229"/>
      <c r="G289" s="229"/>
      <c r="H289" s="229"/>
      <c r="I289" s="229"/>
      <c r="J289" s="229"/>
      <c r="K289" s="229"/>
      <c r="L289" s="230"/>
      <c r="M289" s="687">
        <f t="shared" si="42"/>
        <v>0</v>
      </c>
    </row>
    <row r="290" spans="2:13" ht="12.75" customHeight="1" x14ac:dyDescent="0.25">
      <c r="B290" s="93"/>
      <c r="C290" s="232"/>
      <c r="D290" s="232"/>
      <c r="E290" s="232"/>
      <c r="F290" s="232"/>
      <c r="G290" s="232"/>
      <c r="H290" s="232"/>
      <c r="I290" s="232"/>
      <c r="J290" s="232"/>
      <c r="K290" s="232"/>
      <c r="L290" s="233"/>
      <c r="M290" s="117">
        <f t="shared" si="42"/>
        <v>0</v>
      </c>
    </row>
    <row r="291" spans="2:13" ht="12.75" customHeight="1" x14ac:dyDescent="0.25">
      <c r="B291" s="84" t="str">
        <f>IF('1. INTRO'!I$2="English","Total co-funding ","Total medfinansiering ")</f>
        <v xml:space="preserve">Total co-funding </v>
      </c>
      <c r="C291" s="87">
        <f t="shared" ref="C291:M291" si="43">SUM(C286:C290)</f>
        <v>0</v>
      </c>
      <c r="D291" s="87">
        <f t="shared" si="43"/>
        <v>0</v>
      </c>
      <c r="E291" s="87">
        <f t="shared" si="43"/>
        <v>0</v>
      </c>
      <c r="F291" s="87">
        <f t="shared" si="43"/>
        <v>0</v>
      </c>
      <c r="G291" s="87">
        <f t="shared" si="43"/>
        <v>0</v>
      </c>
      <c r="H291" s="87">
        <f t="shared" si="43"/>
        <v>0</v>
      </c>
      <c r="I291" s="87">
        <f t="shared" si="43"/>
        <v>0</v>
      </c>
      <c r="J291" s="87">
        <f t="shared" si="43"/>
        <v>0</v>
      </c>
      <c r="K291" s="87">
        <f t="shared" si="43"/>
        <v>0</v>
      </c>
      <c r="L291" s="87">
        <f t="shared" si="43"/>
        <v>0</v>
      </c>
      <c r="M291" s="142">
        <f t="shared" si="43"/>
        <v>0</v>
      </c>
    </row>
    <row r="292" spans="2:13" ht="12.75" customHeight="1" x14ac:dyDescent="0.2"/>
    <row r="293" spans="2:13" ht="12.75" customHeight="1" x14ac:dyDescent="0.2">
      <c r="B293" s="667" t="str">
        <f>IF('1. INTRO'!I$2="English","Calculation comments","Kalkylkommentarer")</f>
        <v>Calculation comments</v>
      </c>
    </row>
    <row r="294" spans="2:13" ht="12.75" customHeight="1" x14ac:dyDescent="0.2">
      <c r="B294" s="1142"/>
      <c r="C294" s="1143"/>
      <c r="D294" s="1143"/>
      <c r="E294" s="1143"/>
      <c r="F294" s="1143"/>
      <c r="G294" s="1143"/>
      <c r="H294" s="1143"/>
      <c r="I294" s="1143"/>
      <c r="J294" s="1143"/>
      <c r="K294" s="1143"/>
      <c r="L294" s="1143"/>
      <c r="M294" s="1144"/>
    </row>
    <row r="295" spans="2:13" ht="12.75" customHeight="1" x14ac:dyDescent="0.2">
      <c r="B295" s="1145"/>
      <c r="C295" s="1226"/>
      <c r="D295" s="1226"/>
      <c r="E295" s="1226"/>
      <c r="F295" s="1226"/>
      <c r="G295" s="1226"/>
      <c r="H295" s="1226"/>
      <c r="I295" s="1226"/>
      <c r="J295" s="1226"/>
      <c r="K295" s="1226"/>
      <c r="L295" s="1226"/>
      <c r="M295" s="1147"/>
    </row>
    <row r="296" spans="2:13" ht="12.75" customHeight="1" x14ac:dyDescent="0.2">
      <c r="B296" s="1145"/>
      <c r="C296" s="1226"/>
      <c r="D296" s="1226"/>
      <c r="E296" s="1226"/>
      <c r="F296" s="1226"/>
      <c r="G296" s="1226"/>
      <c r="H296" s="1226"/>
      <c r="I296" s="1226"/>
      <c r="J296" s="1226"/>
      <c r="K296" s="1226"/>
      <c r="L296" s="1226"/>
      <c r="M296" s="1147"/>
    </row>
    <row r="297" spans="2:13" ht="12.75" customHeight="1" x14ac:dyDescent="0.2">
      <c r="B297" s="1145"/>
      <c r="C297" s="1226"/>
      <c r="D297" s="1226"/>
      <c r="E297" s="1226"/>
      <c r="F297" s="1226"/>
      <c r="G297" s="1226"/>
      <c r="H297" s="1226"/>
      <c r="I297" s="1226"/>
      <c r="J297" s="1226"/>
      <c r="K297" s="1226"/>
      <c r="L297" s="1226"/>
      <c r="M297" s="1147"/>
    </row>
    <row r="298" spans="2:13" ht="12.75" customHeight="1" x14ac:dyDescent="0.2">
      <c r="B298" s="1148"/>
      <c r="C298" s="1149"/>
      <c r="D298" s="1149"/>
      <c r="E298" s="1149"/>
      <c r="F298" s="1149"/>
      <c r="G298" s="1149"/>
      <c r="H298" s="1149"/>
      <c r="I298" s="1149"/>
      <c r="J298" s="1149"/>
      <c r="K298" s="1149"/>
      <c r="L298" s="1149"/>
      <c r="M298" s="1150"/>
    </row>
    <row r="300" spans="2:13" s="3" customFormat="1" ht="12.75" customHeight="1" x14ac:dyDescent="0.25">
      <c r="B300" s="313" t="str">
        <f>'3. PARTNER'!C$4</f>
        <v xml:space="preserve">Project: </v>
      </c>
      <c r="C300" s="1062" t="str">
        <f>'3. PARTNER'!D$4</f>
        <v/>
      </c>
      <c r="D300" s="1001"/>
      <c r="E300" s="1001"/>
      <c r="F300" s="1001"/>
      <c r="G300" s="1001"/>
      <c r="H300" s="1001"/>
      <c r="I300" s="1001"/>
      <c r="J300" s="1001"/>
      <c r="K300" s="1001"/>
      <c r="L300" s="1001"/>
      <c r="M300" s="1001"/>
    </row>
    <row r="301" spans="2:13" s="3" customFormat="1" ht="13.2" x14ac:dyDescent="0.25">
      <c r="B301" s="313" t="str">
        <f>'3. PARTNER'!C$5</f>
        <v xml:space="preserve">Calculation for: </v>
      </c>
      <c r="C301" s="1062" t="str">
        <f>'3. PARTNER'!D$5</f>
        <v>APPLICATION</v>
      </c>
      <c r="D301" s="1001"/>
      <c r="E301" s="268"/>
      <c r="F301" s="268"/>
      <c r="G301" s="268"/>
      <c r="H301" s="268"/>
      <c r="I301" s="268"/>
      <c r="J301" s="268"/>
      <c r="K301" s="268"/>
      <c r="L301" s="268"/>
      <c r="M301" s="268"/>
    </row>
    <row r="302" spans="2:13" s="3" customFormat="1" ht="13.2" x14ac:dyDescent="0.25">
      <c r="B302" s="35" t="str">
        <f>'3. PARTNER'!C$6</f>
        <v xml:space="preserve">Project leader: </v>
      </c>
      <c r="C302" s="1062" t="str">
        <f>'3. PARTNER'!D$6</f>
        <v/>
      </c>
      <c r="D302" s="1001"/>
      <c r="E302" s="1001"/>
      <c r="F302" s="1001"/>
      <c r="G302" s="1001"/>
      <c r="H302" s="1001"/>
      <c r="I302" s="1001"/>
      <c r="J302" s="1001"/>
      <c r="K302" s="1001"/>
      <c r="L302" s="1001"/>
      <c r="M302" s="1001"/>
    </row>
    <row r="303" spans="2:13" s="3" customFormat="1" ht="13.2" x14ac:dyDescent="0.25">
      <c r="B303" s="313" t="str">
        <f>'5. PERSON'!B$7</f>
        <v xml:space="preserve">Amounts in: </v>
      </c>
      <c r="C303" s="655" t="str">
        <f>'5. PERSON'!C$7</f>
        <v>SEK</v>
      </c>
      <c r="D303" s="268"/>
      <c r="E303" s="268"/>
      <c r="F303" s="268"/>
      <c r="G303" s="234"/>
      <c r="H303" s="234"/>
      <c r="I303" s="270"/>
      <c r="J303" s="270"/>
      <c r="K303" s="270"/>
      <c r="L303" s="270"/>
      <c r="M303" s="270"/>
    </row>
    <row r="304" spans="2:13" s="3" customFormat="1" ht="13.2" x14ac:dyDescent="0.25">
      <c r="B304" s="313"/>
      <c r="C304" s="1053" t="str">
        <f>'3. PARTNER'!D$7</f>
        <v>Other basic data about the project is in sheet 2.</v>
      </c>
      <c r="D304" s="1001"/>
      <c r="E304" s="1001"/>
      <c r="F304" s="1001"/>
      <c r="G304" s="234"/>
      <c r="H304" s="234"/>
      <c r="I304" s="270"/>
      <c r="J304" s="270"/>
      <c r="K304" s="270"/>
      <c r="L304" s="251" t="s">
        <v>4</v>
      </c>
      <c r="M304" s="270"/>
    </row>
    <row r="305" spans="2:15" ht="12.75" customHeight="1" x14ac:dyDescent="0.2">
      <c r="J305" s="252" t="s">
        <v>322</v>
      </c>
      <c r="K305" s="252" t="s">
        <v>323</v>
      </c>
      <c r="L305" s="252" t="str">
        <f>IF('1. INTRO'!I$2="English","months","månader")</f>
        <v>months</v>
      </c>
    </row>
    <row r="306" spans="2:15" s="3" customFormat="1" ht="13.8" x14ac:dyDescent="0.25">
      <c r="B306" s="157" t="str">
        <f>IF('1. INTRO'!I$2="English","Project costs","Projektkostnader")</f>
        <v>Project costs</v>
      </c>
      <c r="C306" s="668" t="str">
        <f>A19</f>
        <v>642LTV</v>
      </c>
      <c r="D306" s="1227" t="str">
        <f>B19</f>
        <v>Plant Breeding</v>
      </c>
      <c r="E306" s="1004"/>
      <c r="G306" s="37"/>
      <c r="H306" s="37"/>
      <c r="I306" s="37"/>
      <c r="J306" s="643"/>
      <c r="K306" s="643"/>
      <c r="L306" s="642">
        <f>SUMIF('5. PERSON'!$B$17:$B$192,$C306,'5. PERSON'!AE$17:AE$192)</f>
        <v>0</v>
      </c>
      <c r="M306" s="680" t="s">
        <v>330</v>
      </c>
    </row>
    <row r="307" spans="2:15" s="3" customFormat="1" ht="6" customHeight="1" x14ac:dyDescent="0.25">
      <c r="B307" s="57"/>
      <c r="C307" s="37"/>
      <c r="D307" s="37"/>
      <c r="E307" s="37"/>
      <c r="F307" s="37"/>
      <c r="G307" s="37"/>
      <c r="H307" s="37"/>
      <c r="I307" s="37"/>
      <c r="J307" s="37"/>
      <c r="K307" s="37"/>
      <c r="L307" s="37"/>
      <c r="M307" s="37"/>
    </row>
    <row r="308" spans="2:15" s="3" customFormat="1" ht="13.2" x14ac:dyDescent="0.25">
      <c r="B308" s="110" t="str">
        <f>IF('1. INTRO'!I$2="English","Costs to be covered by funding body","Kostnader att täckas av finansiär")</f>
        <v>Costs to be covered by funding body</v>
      </c>
      <c r="C308" s="111">
        <f>'5. PERSON'!G$15</f>
        <v>1900</v>
      </c>
      <c r="D308" s="111" t="str">
        <f>'5. PERSON'!H$15</f>
        <v/>
      </c>
      <c r="E308" s="111" t="str">
        <f>'5. PERSON'!I$15</f>
        <v/>
      </c>
      <c r="F308" s="111" t="str">
        <f>'5. PERSON'!J$15</f>
        <v/>
      </c>
      <c r="G308" s="111" t="str">
        <f>'5. PERSON'!K$15</f>
        <v/>
      </c>
      <c r="H308" s="111" t="str">
        <f>'5. PERSON'!L$15</f>
        <v/>
      </c>
      <c r="I308" s="111" t="str">
        <f>'5. PERSON'!M$15</f>
        <v/>
      </c>
      <c r="J308" s="111" t="str">
        <f>'5. PERSON'!N$15</f>
        <v/>
      </c>
      <c r="K308" s="111" t="str">
        <f>'5. PERSON'!O$15</f>
        <v/>
      </c>
      <c r="L308" s="111" t="str">
        <f>'5. PERSON'!P$15</f>
        <v/>
      </c>
      <c r="M308" s="112" t="s">
        <v>2</v>
      </c>
    </row>
    <row r="309" spans="2:15" s="3" customFormat="1" ht="12.75" customHeight="1" x14ac:dyDescent="0.25">
      <c r="B309" s="682" t="str">
        <f>IF('1. INTRO'!I$2="English","Salary including social costs (LKP)","Lön inklusive LKP")</f>
        <v>Salary including social costs (LKP)</v>
      </c>
      <c r="C309" s="683">
        <f>IF('2. START'!$C$14&gt;0,SUMIF('5. PERSON'!$B$17:$B$192,$C306,'5. PERSON'!DN$17:DN$192),SUMIF('5. PERSON'!$B$17:$B$192,$C306,'5. PERSON'!AT$17:AT$192))</f>
        <v>0</v>
      </c>
      <c r="D309" s="683">
        <f>IF('2. START'!$C$14&gt;0,SUMIF('5. PERSON'!$B$17:$B$192,$C306,'5. PERSON'!DO$17:DO$192),SUMIF('5. PERSON'!$B$17:$B$192,$C306,'5. PERSON'!AU$17:AU$192))</f>
        <v>0</v>
      </c>
      <c r="E309" s="683">
        <f>IF('2. START'!$C$14&gt;0,SUMIF('5. PERSON'!$B$17:$B$192,$C306,'5. PERSON'!DP$17:DP$192),SUMIF('5. PERSON'!$B$17:$B$192,$C306,'5. PERSON'!AV$17:AV$192))</f>
        <v>0</v>
      </c>
      <c r="F309" s="683">
        <f>IF('2. START'!$C$14&gt;0,SUMIF('5. PERSON'!$B$17:$B$192,$C306,'5. PERSON'!DQ$17:DQ$192),SUMIF('5. PERSON'!$B$17:$B$192,$C306,'5. PERSON'!AW$17:AW$192))</f>
        <v>0</v>
      </c>
      <c r="G309" s="683">
        <f>IF('2. START'!$C$14&gt;0,SUMIF('5. PERSON'!$B$17:$B$192,$C306,'5. PERSON'!DR$17:DR$192),SUMIF('5. PERSON'!$B$17:$B$192,$C306,'5. PERSON'!AX$17:AX$192))</f>
        <v>0</v>
      </c>
      <c r="H309" s="683">
        <f>IF('2. START'!$C$14&gt;0,SUMIF('5. PERSON'!$B$17:$B$192,$C306,'5. PERSON'!DS$17:DS$192),SUMIF('5. PERSON'!$B$17:$B$192,$C306,'5. PERSON'!AY$17:AY$192))</f>
        <v>0</v>
      </c>
      <c r="I309" s="683">
        <f>IF('2. START'!$C$14&gt;0,SUMIF('5. PERSON'!$B$17:$B$192,$C306,'5. PERSON'!DT$17:DT$192),SUMIF('5. PERSON'!$B$17:$B$192,$C306,'5. PERSON'!AZ$17:AZ$192))</f>
        <v>0</v>
      </c>
      <c r="J309" s="683">
        <f>IF('2. START'!$C$14&gt;0,SUMIF('5. PERSON'!$B$17:$B$192,$C306,'5. PERSON'!DU$17:DU$192),SUMIF('5. PERSON'!$B$17:$B$192,$C306,'5. PERSON'!BA$17:BA$192))</f>
        <v>0</v>
      </c>
      <c r="K309" s="683">
        <f>IF('2. START'!$C$14&gt;0,SUMIF('5. PERSON'!$B$17:$B$192,$C306,'5. PERSON'!DV$17:DV$192),SUMIF('5. PERSON'!$B$17:$B$192,$C306,'5. PERSON'!BB$17:BB$192))</f>
        <v>0</v>
      </c>
      <c r="L309" s="683">
        <f>IF('2. START'!$C$14&gt;0,SUMIF('5. PERSON'!$B$17:$B$192,$C306,'5. PERSON'!DW$17:DW$192),SUMIF('5. PERSON'!$B$17:$B$192,$C306,'5. PERSON'!BC$17:BC$192))</f>
        <v>0</v>
      </c>
      <c r="M309" s="684">
        <f t="shared" ref="M309:M314" si="44">SUM(C309:L309)</f>
        <v>0</v>
      </c>
      <c r="O309" s="4"/>
    </row>
    <row r="310" spans="2:15" s="3" customFormat="1" ht="12.75" customHeight="1" x14ac:dyDescent="0.25">
      <c r="B310" s="80" t="str">
        <f>IF('1. INTRO'!I$2="English","Operating","Drift")</f>
        <v>Operating</v>
      </c>
      <c r="C310" s="116">
        <f>SUMIF('6. OPERATION'!$B$17:$B$149,$C306,'6. OPERATION'!W$17:W$149)</f>
        <v>0</v>
      </c>
      <c r="D310" s="116">
        <f>SUMIF('6. OPERATION'!$B$17:$B$149,$C306,'6. OPERATION'!X$17:X$149)</f>
        <v>0</v>
      </c>
      <c r="E310" s="116">
        <f>SUMIF('6. OPERATION'!$B$17:$B$149,$C306,'6. OPERATION'!Y$17:Y$149)</f>
        <v>0</v>
      </c>
      <c r="F310" s="116">
        <f>SUMIF('6. OPERATION'!$B$17:$B$149,$C306,'6. OPERATION'!Z$17:Z$149)</f>
        <v>0</v>
      </c>
      <c r="G310" s="116">
        <f>SUMIF('6. OPERATION'!$B$17:$B$149,$C306,'6. OPERATION'!AA$17:AA$149)</f>
        <v>0</v>
      </c>
      <c r="H310" s="116">
        <f>SUMIF('6. OPERATION'!$B$17:$B$149,$C306,'6. OPERATION'!AB$17:AB$149)</f>
        <v>0</v>
      </c>
      <c r="I310" s="116">
        <f>SUMIF('6. OPERATION'!$B$17:$B$149,$C306,'6. OPERATION'!AC$17:AC$149)</f>
        <v>0</v>
      </c>
      <c r="J310" s="116">
        <f>SUMIF('6. OPERATION'!$B$17:$B$149,$C306,'6. OPERATION'!AD$17:AD$149)</f>
        <v>0</v>
      </c>
      <c r="K310" s="116">
        <f>SUMIF('6. OPERATION'!$B$17:$B$149,$C306,'6. OPERATION'!AE$17:AE$149)</f>
        <v>0</v>
      </c>
      <c r="L310" s="116">
        <f>SUMIF('6. OPERATION'!$B$17:$B$149,$C306,'6. OPERATION'!AF$17:AF$149)</f>
        <v>0</v>
      </c>
      <c r="M310" s="117">
        <f t="shared" si="44"/>
        <v>0</v>
      </c>
    </row>
    <row r="311" spans="2:15" s="3" customFormat="1" ht="13.2" x14ac:dyDescent="0.25">
      <c r="B311" s="685" t="str">
        <f>IF('1. INTRO'!I$2="English","Equipment","Utrustning")</f>
        <v>Equipment</v>
      </c>
      <c r="C311" s="686">
        <f>SUMIF('7. INVEST'!$B$17:$B$49,$C306,'7. INVEST'!W$17:W$49)</f>
        <v>0</v>
      </c>
      <c r="D311" s="686">
        <f>SUMIF('7. INVEST'!$B$17:$B$49,$C306,'7. INVEST'!X$17:X$49)</f>
        <v>0</v>
      </c>
      <c r="E311" s="686">
        <f>SUMIF('7. INVEST'!$B$17:$B$49,$C306,'7. INVEST'!Y$17:Y$49)</f>
        <v>0</v>
      </c>
      <c r="F311" s="686">
        <f>SUMIF('7. INVEST'!$B$17:$B$49,$C306,'7. INVEST'!Z$17:Z$49)</f>
        <v>0</v>
      </c>
      <c r="G311" s="686">
        <f>SUMIF('7. INVEST'!$B$17:$B$49,$C306,'7. INVEST'!AA$17:AA$49)</f>
        <v>0</v>
      </c>
      <c r="H311" s="686">
        <f>SUMIF('7. INVEST'!$B$17:$B$49,$C306,'7. INVEST'!AB$17:AB$49)</f>
        <v>0</v>
      </c>
      <c r="I311" s="686">
        <f>SUMIF('7. INVEST'!$B$17:$B$49,$C306,'7. INVEST'!AC$17:AC$49)</f>
        <v>0</v>
      </c>
      <c r="J311" s="686">
        <f>SUMIF('7. INVEST'!$B$17:$B$49,$C306,'7. INVEST'!AD$17:AD$49)</f>
        <v>0</v>
      </c>
      <c r="K311" s="686">
        <f>SUMIF('7. INVEST'!$B$17:$B$49,$C306,'7. INVEST'!AE$17:AE$49)</f>
        <v>0</v>
      </c>
      <c r="L311" s="686">
        <f>SUMIF('7. INVEST'!$B$17:$B$49,$C306,'7. INVEST'!AF$17:AF$49)</f>
        <v>0</v>
      </c>
      <c r="M311" s="687">
        <f t="shared" si="44"/>
        <v>0</v>
      </c>
    </row>
    <row r="312" spans="2:15" s="3" customFormat="1" ht="13.2" x14ac:dyDescent="0.25">
      <c r="B312" s="121" t="str">
        <f>IF('1. INTRO'!I$2="English",(IF('2. START'!C$11="NO","Facility accepted as direct cost by funding body","Facility")),IF('2. START'!C$11="NO","Lokal accepterad som direkt kostnad av finansiär","Lokal"))</f>
        <v>Facility</v>
      </c>
      <c r="C312" s="116">
        <f>IF('2. START'!$C$11="NO",SUMIF('8. FACILIT'!$B$18:$B$50,$C306,'8. FACILIT'!T$18:T$50),SUMIF('5. PERSON'!$B$17:$B$192,$C306,'5. PERSON'!CP$17:CP$192)+SUMIF('6. OPERATION'!$B$17:$B$149,$C306,'6. OPERATION'!BS$17:BS$149)+SUMIF('8. FACILIT'!$B$18:$B$50,$C306,'8. FACILIT'!T$18:T$50))</f>
        <v>0</v>
      </c>
      <c r="D312" s="116">
        <f>IF('2. START'!$C$11="NO",SUMIF('8. FACILIT'!$B$18:$B$50,$C306,'8. FACILIT'!U$18:U$50),SUMIF('5. PERSON'!$B$17:$B$192,$C306,'5. PERSON'!CQ$17:CQ$192)+SUMIF('6. OPERATION'!$B$17:$B$149,$C306,'6. OPERATION'!BT$17:BT$149)+SUMIF('8. FACILIT'!$B$18:$B$50,$C306,'8. FACILIT'!U$18:U$50))</f>
        <v>0</v>
      </c>
      <c r="E312" s="116">
        <f>IF('2. START'!$C$11="NO",SUMIF('8. FACILIT'!$B$18:$B$50,$C306,'8. FACILIT'!V$18:V$50),SUMIF('5. PERSON'!$B$17:$B$192,$C306,'5. PERSON'!CR$17:CR$192)+SUMIF('6. OPERATION'!$B$17:$B$149,$C306,'6. OPERATION'!BU$17:BU$149)+SUMIF('8. FACILIT'!$B$18:$B$50,$C306,'8. FACILIT'!V$18:V$50))</f>
        <v>0</v>
      </c>
      <c r="F312" s="116">
        <f>IF('2. START'!$C$11="NO",SUMIF('8. FACILIT'!$B$18:$B$50,$C306,'8. FACILIT'!W$18:W$50),SUMIF('5. PERSON'!$B$17:$B$192,$C306,'5. PERSON'!CS$17:CS$192)+SUMIF('6. OPERATION'!$B$17:$B$149,$C306,'6. OPERATION'!BV$17:BV$149)+SUMIF('8. FACILIT'!$B$18:$B$50,$C306,'8. FACILIT'!W$18:W$50))</f>
        <v>0</v>
      </c>
      <c r="G312" s="116">
        <f>IF('2. START'!$C$11="NO",SUMIF('8. FACILIT'!$B$18:$B$50,$C306,'8. FACILIT'!X$18:X$50),SUMIF('5. PERSON'!$B$17:$B$192,$C306,'5. PERSON'!CT$17:CT$192)+SUMIF('6. OPERATION'!$B$17:$B$149,$C306,'6. OPERATION'!BW$17:BW$149)+SUMIF('8. FACILIT'!$B$18:$B$50,$C306,'8. FACILIT'!X$18:X$50))</f>
        <v>0</v>
      </c>
      <c r="H312" s="116">
        <f>IF('2. START'!$C$11="NO",SUMIF('8. FACILIT'!$B$18:$B$50,$C306,'8. FACILIT'!Y$18:Y$50),SUMIF('5. PERSON'!$B$17:$B$192,$C306,'5. PERSON'!CU$17:CU$192)+SUMIF('6. OPERATION'!$B$17:$B$149,$C306,'6. OPERATION'!BX$17:BX$149)+SUMIF('8. FACILIT'!$B$18:$B$50,$C306,'8. FACILIT'!Y$18:Y$50))</f>
        <v>0</v>
      </c>
      <c r="I312" s="116">
        <f>IF('2. START'!$C$11="NO",SUMIF('8. FACILIT'!$B$18:$B$50,$C306,'8. FACILIT'!Z$18:Z$50),SUMIF('5. PERSON'!$B$17:$B$192,$C306,'5. PERSON'!CV$17:CV$192)+SUMIF('6. OPERATION'!$B$17:$B$149,$C306,'6. OPERATION'!BY$17:BY$149)+SUMIF('8. FACILIT'!$B$18:$B$50,$C306,'8. FACILIT'!Z$18:Z$50))</f>
        <v>0</v>
      </c>
      <c r="J312" s="116">
        <f>IF('2. START'!$C$11="NO",SUMIF('8. FACILIT'!$B$18:$B$50,$C306,'8. FACILIT'!AA$18:AA$50),SUMIF('5. PERSON'!$B$17:$B$192,$C306,'5. PERSON'!CW$17:CW$192)+SUMIF('6. OPERATION'!$B$17:$B$149,$C306,'6. OPERATION'!BZ$17:BZ$149)+SUMIF('8. FACILIT'!$B$18:$B$50,$C306,'8. FACILIT'!AA$18:AA$50))</f>
        <v>0</v>
      </c>
      <c r="K312" s="116">
        <f>IF('2. START'!$C$11="NO",SUMIF('8. FACILIT'!$B$18:$B$50,$C306,'8. FACILIT'!AB$18:AB$50),SUMIF('5. PERSON'!$B$17:$B$192,$C306,'5. PERSON'!CX$17:CX$192)+SUMIF('6. OPERATION'!$B$17:$B$149,$C306,'6. OPERATION'!CA$17:CA$149)+SUMIF('8. FACILIT'!$B$18:$B$50,$C306,'8. FACILIT'!AB$18:AB$50))</f>
        <v>0</v>
      </c>
      <c r="L312" s="116">
        <f>IF('2. START'!$C$11="NO",SUMIF('8. FACILIT'!$B$18:$B$50,$C306,'8. FACILIT'!AC$18:AC$50),SUMIF('5. PERSON'!$B$17:$B$192,$C306,'5. PERSON'!CY$17:CY$192)+SUMIF('6. OPERATION'!$B$17:$B$149,$C306,'6. OPERATION'!CB$17:CB$149)+SUMIF('8. FACILIT'!$B$18:$B$50,$C306,'8. FACILIT'!AC$18:AC$50))</f>
        <v>0</v>
      </c>
      <c r="M312" s="117">
        <f t="shared" si="44"/>
        <v>0</v>
      </c>
    </row>
    <row r="313" spans="2:15" s="3" customFormat="1" ht="13.2" x14ac:dyDescent="0.25">
      <c r="B313" s="688" t="str">
        <f>IF('1. INTRO'!I$2="English",(IF('2. START'!C$11="NO","Indirect and facility charge accepted as OH by funding body","Indirect")),IF('2. START'!C$11="NO","Indirekt och lokalpåslag accepterade som OH av finansiär","Indirekt"))</f>
        <v>Indirect</v>
      </c>
      <c r="C313" s="689">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689">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689">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689">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689">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689">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689">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689">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689">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689">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687">
        <f t="shared" si="44"/>
        <v>0</v>
      </c>
    </row>
    <row r="314" spans="2:15" s="3" customFormat="1" ht="13.2" x14ac:dyDescent="0.25">
      <c r="B314" s="124" t="s">
        <v>113</v>
      </c>
      <c r="C314" s="102">
        <f>SUM(C309:C313)</f>
        <v>0</v>
      </c>
      <c r="D314" s="102">
        <f t="shared" ref="D314:L314" si="45">SUM(D309:D313)</f>
        <v>0</v>
      </c>
      <c r="E314" s="102">
        <f t="shared" si="45"/>
        <v>0</v>
      </c>
      <c r="F314" s="102">
        <f t="shared" si="45"/>
        <v>0</v>
      </c>
      <c r="G314" s="102">
        <f t="shared" si="45"/>
        <v>0</v>
      </c>
      <c r="H314" s="102">
        <f t="shared" si="45"/>
        <v>0</v>
      </c>
      <c r="I314" s="102">
        <f t="shared" si="45"/>
        <v>0</v>
      </c>
      <c r="J314" s="102">
        <f t="shared" si="45"/>
        <v>0</v>
      </c>
      <c r="K314" s="102">
        <f t="shared" si="45"/>
        <v>0</v>
      </c>
      <c r="L314" s="102">
        <f t="shared" si="45"/>
        <v>0</v>
      </c>
      <c r="M314" s="125">
        <f t="shared" si="44"/>
        <v>0</v>
      </c>
    </row>
    <row r="315" spans="2:15" s="3" customFormat="1" ht="6" customHeight="1" x14ac:dyDescent="0.25">
      <c r="B315" s="126"/>
      <c r="C315" s="127"/>
      <c r="D315" s="127"/>
      <c r="E315" s="127"/>
      <c r="F315" s="127"/>
      <c r="G315" s="127"/>
      <c r="H315" s="127"/>
      <c r="I315" s="127"/>
      <c r="J315" s="127"/>
      <c r="K315" s="127"/>
      <c r="L315" s="127"/>
      <c r="M315" s="128"/>
    </row>
    <row r="316" spans="2:15" s="3" customFormat="1" ht="13.2" x14ac:dyDescent="0.25">
      <c r="B316" s="129" t="str">
        <f>IF('1. INTRO'!I$2="English","Costs to be co-funded","Kostnader att medfinansiera")</f>
        <v>Costs to be co-funded</v>
      </c>
      <c r="C316" s="86"/>
      <c r="D316" s="86"/>
      <c r="E316" s="86"/>
      <c r="F316" s="86"/>
      <c r="G316" s="86"/>
      <c r="H316" s="86"/>
      <c r="I316" s="86"/>
      <c r="J316" s="86"/>
      <c r="K316" s="86"/>
      <c r="L316" s="86"/>
      <c r="M316" s="130"/>
    </row>
    <row r="317" spans="2:15" s="3" customFormat="1" ht="13.2" x14ac:dyDescent="0.25">
      <c r="B317" s="690" t="str">
        <f>IF('1. INTRO'!I$2="English",(IF('2. START'!C$11="NO","Indirect and facility charge not accepted as OH by funding body","")),IF('2. START'!C$11="NO","Indirekt och lokalpåslag inte accepterade som OH av finansiär",""))</f>
        <v/>
      </c>
      <c r="C317" s="691">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691">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691">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691">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691">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691">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691">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691">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691">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691">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684">
        <f t="shared" ref="M317:M323" si="46">SUM(C317:L317)</f>
        <v>0</v>
      </c>
    </row>
    <row r="318" spans="2:15" s="3" customFormat="1" ht="12.75" customHeight="1" x14ac:dyDescent="0.25">
      <c r="B318" s="132" t="str">
        <f>IF('1. INTRO'!I$2="English",(IF('2. START'!C$14&gt;0,"Social costs (LKP) not accepted by funding body","")),IF('2. START'!C$14&gt;0,"LKP som inte accepteras av finansiär",""))</f>
        <v/>
      </c>
      <c r="C318" s="133">
        <f>IF('2. START'!$C$14&gt;0,SUMIF('5. PERSON'!$B$17:$B$192,$C306,'5. PERSON'!AT$17:AT$192)-SUMIF('5. PERSON'!$B$17:$B$192,$C306,'5. PERSON'!DN$17:DN$192),0)</f>
        <v>0</v>
      </c>
      <c r="D318" s="133">
        <f>IF('2. START'!$C$14&gt;0,SUMIF('5. PERSON'!$B$17:$B$192,$C306,'5. PERSON'!AU$17:AU$192)-SUMIF('5. PERSON'!$B$17:$B$192,$C306,'5. PERSON'!DO$17:DO$192),0)</f>
        <v>0</v>
      </c>
      <c r="E318" s="133">
        <f>IF('2. START'!$C$14&gt;0,SUMIF('5. PERSON'!$B$17:$B$192,$C306,'5. PERSON'!AV$17:AV$192)-SUMIF('5. PERSON'!$B$17:$B$192,$C306,'5. PERSON'!DP$17:DP$192),0)</f>
        <v>0</v>
      </c>
      <c r="F318" s="133">
        <f>IF('2. START'!$C$14&gt;0,SUMIF('5. PERSON'!$B$17:$B$192,$C306,'5. PERSON'!AW$17:AW$192)-SUMIF('5. PERSON'!$B$17:$B$192,$C306,'5. PERSON'!DQ$17:DQ$192),0)</f>
        <v>0</v>
      </c>
      <c r="G318" s="133">
        <f>IF('2. START'!$C$14&gt;0,SUMIF('5. PERSON'!$B$17:$B$192,$C306,'5. PERSON'!AX$17:AX$192)-SUMIF('5. PERSON'!$B$17:$B$192,$C306,'5. PERSON'!DR$17:DR$192),0)</f>
        <v>0</v>
      </c>
      <c r="H318" s="133">
        <f>IF('2. START'!$C$14&gt;0,SUMIF('5. PERSON'!$B$17:$B$192,$C306,'5. PERSON'!AY$17:AY$192)-SUMIF('5. PERSON'!$B$17:$B$192,$C306,'5. PERSON'!DS$17:DS$192),0)</f>
        <v>0</v>
      </c>
      <c r="I318" s="133">
        <f>IF('2. START'!$C$14&gt;0,SUMIF('5. PERSON'!$B$17:$B$192,$C306,'5. PERSON'!AZ$17:AZ$192)-SUMIF('5. PERSON'!$B$17:$B$192,$C306,'5. PERSON'!DT$17:DT$192),0)</f>
        <v>0</v>
      </c>
      <c r="J318" s="133">
        <f>IF('2. START'!$C$14&gt;0,SUMIF('5. PERSON'!$B$17:$B$192,$C306,'5. PERSON'!BA$17:BA$192)-SUMIF('5. PERSON'!$B$17:$B$192,$C306,'5. PERSON'!DU$17:DU$192),0)</f>
        <v>0</v>
      </c>
      <c r="K318" s="133">
        <f>IF('2. START'!$C$14&gt;0,SUMIF('5. PERSON'!$B$17:$B$192,$C306,'5. PERSON'!BB$17:BB$192)-SUMIF('5. PERSON'!$B$17:$B$192,$C306,'5. PERSON'!DV$17:DV$192),0)</f>
        <v>0</v>
      </c>
      <c r="L318" s="133">
        <f>IF('2. START'!$C$14&gt;0,SUMIF('5. PERSON'!$B$17:$B$192,$C306,'5. PERSON'!BC$17:BC$192)-SUMIF('5. PERSON'!$B$17:$B$192,$C306,'5. PERSON'!DW$17:DW$192),0)</f>
        <v>0</v>
      </c>
      <c r="M318" s="117">
        <f t="shared" si="46"/>
        <v>0</v>
      </c>
    </row>
    <row r="319" spans="2:15" s="3" customFormat="1" ht="12.75" customHeight="1" x14ac:dyDescent="0.25">
      <c r="B319" s="685" t="str">
        <f>IF('1. INTRO'!I$2="English",(IF('5. PERSON'!BP$193&gt;0,"Salary including social costs (LKP)","")),IF('5. PERSON'!BP$193&gt;0,"Lön inklusive LKP",""))</f>
        <v/>
      </c>
      <c r="C319" s="692">
        <f>SUMIF('5. PERSON'!$B$17:$B$192,$C306,'5. PERSON'!BF$17:BF$192)</f>
        <v>0</v>
      </c>
      <c r="D319" s="692">
        <f>SUMIF('5. PERSON'!$B$17:$B$192,$C306,'5. PERSON'!BG$17:BG$192)</f>
        <v>0</v>
      </c>
      <c r="E319" s="692">
        <f>SUMIF('5. PERSON'!$B$17:$B$192,$C306,'5. PERSON'!BH$17:BH$192)</f>
        <v>0</v>
      </c>
      <c r="F319" s="692">
        <f>SUMIF('5. PERSON'!$B$17:$B$192,$C306,'5. PERSON'!BI$17:BI$192)</f>
        <v>0</v>
      </c>
      <c r="G319" s="692">
        <f>SUMIF('5. PERSON'!$B$17:$B$192,$C306,'5. PERSON'!BJ$17:BJ$192)</f>
        <v>0</v>
      </c>
      <c r="H319" s="692">
        <f>SUMIF('5. PERSON'!$B$17:$B$192,$C306,'5. PERSON'!BK$17:BK$192)</f>
        <v>0</v>
      </c>
      <c r="I319" s="692">
        <f>SUMIF('5. PERSON'!$B$17:$B$192,$C306,'5. PERSON'!BL$17:BL$192)</f>
        <v>0</v>
      </c>
      <c r="J319" s="692">
        <f>SUMIF('5. PERSON'!$B$17:$B$192,$C306,'5. PERSON'!BM$17:BM$192)</f>
        <v>0</v>
      </c>
      <c r="K319" s="692">
        <f>SUMIF('5. PERSON'!$B$17:$B$192,$C306,'5. PERSON'!BN$17:BN$192)</f>
        <v>0</v>
      </c>
      <c r="L319" s="692">
        <f>SUMIF('5. PERSON'!$B$17:$B$192,$C306,'5. PERSON'!BO$17:BO$192)</f>
        <v>0</v>
      </c>
      <c r="M319" s="687">
        <f t="shared" si="46"/>
        <v>0</v>
      </c>
    </row>
    <row r="320" spans="2:15" s="3" customFormat="1" ht="13.2" x14ac:dyDescent="0.25">
      <c r="B320" s="80" t="str">
        <f>IF('1. INTRO'!I$2="English",(IF('6. OPERATION'!AS$150&gt;0,"Operating","")),IF('6. OPERATION'!AS$150&gt;0,"Drift",""))</f>
        <v/>
      </c>
      <c r="C320" s="135">
        <f>SUMIF('6. OPERATION'!$B$17:$B$149,$C306,'6. OPERATION'!AI$17:AI$149)</f>
        <v>0</v>
      </c>
      <c r="D320" s="135">
        <f>SUMIF('6. OPERATION'!$B$17:$B$149,$C306,'6. OPERATION'!AJ$17:AJ$149)</f>
        <v>0</v>
      </c>
      <c r="E320" s="135">
        <f>SUMIF('6. OPERATION'!$B$17:$B$149,$C306,'6. OPERATION'!AK$17:AK$149)</f>
        <v>0</v>
      </c>
      <c r="F320" s="135">
        <f>SUMIF('6. OPERATION'!$B$17:$B$149,$C306,'6. OPERATION'!AL$17:AL$149)</f>
        <v>0</v>
      </c>
      <c r="G320" s="135">
        <f>SUMIF('6. OPERATION'!$B$17:$B$149,$C306,'6. OPERATION'!AM$17:AM$149)</f>
        <v>0</v>
      </c>
      <c r="H320" s="135">
        <f>SUMIF('6. OPERATION'!$B$17:$B$149,$C306,'6. OPERATION'!AN$17:AN$149)</f>
        <v>0</v>
      </c>
      <c r="I320" s="135">
        <f>SUMIF('6. OPERATION'!$B$17:$B$149,$C306,'6. OPERATION'!AO$17:AO$149)</f>
        <v>0</v>
      </c>
      <c r="J320" s="135">
        <f>SUMIF('6. OPERATION'!$B$17:$B$149,$C306,'6. OPERATION'!AP$17:AP$149)</f>
        <v>0</v>
      </c>
      <c r="K320" s="135">
        <f>SUMIF('6. OPERATION'!$B$17:$B$149,$C306,'6. OPERATION'!AQ$17:AQ$149)</f>
        <v>0</v>
      </c>
      <c r="L320" s="135">
        <f>SUMIF('6. OPERATION'!$B$17:$B$149,$C306,'6. OPERATION'!AR$17:AR$149)</f>
        <v>0</v>
      </c>
      <c r="M320" s="117">
        <f t="shared" si="46"/>
        <v>0</v>
      </c>
    </row>
    <row r="321" spans="2:15" s="3" customFormat="1" ht="13.2" x14ac:dyDescent="0.25">
      <c r="B321" s="685" t="str">
        <f>IF('1. INTRO'!I$2="English",(IF('7. INVEST'!AS$50&gt;0,"Equipment","")),IF('7. INVEST'!AS$50&gt;0,"Utrustning",""))</f>
        <v/>
      </c>
      <c r="C321" s="692">
        <f>SUMIF('7. INVEST'!$B$17:$B$49,$C306,'7. INVEST'!AI$17:AI$49)</f>
        <v>0</v>
      </c>
      <c r="D321" s="692">
        <f>SUMIF('7. INVEST'!$B$17:$B$49,$C306,'7. INVEST'!AJ$17:AJ$49)</f>
        <v>0</v>
      </c>
      <c r="E321" s="692">
        <f>SUMIF('7. INVEST'!$B$17:$B$49,$C306,'7. INVEST'!AK$17:AK$49)</f>
        <v>0</v>
      </c>
      <c r="F321" s="692">
        <f>SUMIF('7. INVEST'!$B$17:$B$49,$C306,'7. INVEST'!AL$17:AL$49)</f>
        <v>0</v>
      </c>
      <c r="G321" s="692">
        <f>SUMIF('7. INVEST'!$B$17:$B$49,$C306,'7. INVEST'!AM$17:AM$49)</f>
        <v>0</v>
      </c>
      <c r="H321" s="692">
        <f>SUMIF('7. INVEST'!$B$17:$B$49,$C306,'7. INVEST'!AN$17:AN$49)</f>
        <v>0</v>
      </c>
      <c r="I321" s="692">
        <f>SUMIF('7. INVEST'!$B$17:$B$49,$C306,'7. INVEST'!AO$17:AO$49)</f>
        <v>0</v>
      </c>
      <c r="J321" s="692">
        <f>SUMIF('7. INVEST'!$B$17:$B$49,$C306,'7. INVEST'!AP$17:AP$49)</f>
        <v>0</v>
      </c>
      <c r="K321" s="692">
        <f>SUMIF('7. INVEST'!$B$17:$B$49,$C306,'7. INVEST'!AQ$17:AQ$49)</f>
        <v>0</v>
      </c>
      <c r="L321" s="692">
        <f>SUMIF('7. INVEST'!$B$17:$B$49,$C306,'7. INVEST'!AR$17:AR$49)</f>
        <v>0</v>
      </c>
      <c r="M321" s="687">
        <f t="shared" si="46"/>
        <v>0</v>
      </c>
    </row>
    <row r="322" spans="2:15" s="3" customFormat="1" ht="13.2" x14ac:dyDescent="0.25">
      <c r="B322" s="121" t="str">
        <f>IF('1. INTRO'!I$2="English",(IF('8. FACILIT'!AP$51&gt;0,"Facility","")),IF('8. FACILIT'!AP$51&gt;0,"Lokal",""))</f>
        <v/>
      </c>
      <c r="C322" s="135">
        <f>SUMIF('5. PERSON'!$B$17:$B$192,$C306,'5. PERSON'!DB$17:DB$192)+SUMIF('6. OPERATION'!$B$17:$B$149,$C306,'6. OPERATION'!CE$17:CE$149)+SUMIF('8. FACILIT'!$B$18:$B$50,$C306,'8. FACILIT'!AF$18:AF$50)</f>
        <v>0</v>
      </c>
      <c r="D322" s="135">
        <f>SUMIF('5. PERSON'!$B$17:$B$192,$C306,'5. PERSON'!DC$17:DC$192)+SUMIF('6. OPERATION'!$B$17:$B$149,$C306,'6. OPERATION'!CF$17:CF$149)+SUMIF('8. FACILIT'!$B$18:$B$50,$C306,'8. FACILIT'!AG$18:AG$50)</f>
        <v>0</v>
      </c>
      <c r="E322" s="135">
        <f>SUMIF('5. PERSON'!$B$17:$B$192,$C306,'5. PERSON'!DD$17:DD$192)+SUMIF('6. OPERATION'!$B$17:$B$149,$C306,'6. OPERATION'!CG$17:CG$149)+SUMIF('8. FACILIT'!$B$18:$B$50,$C306,'8. FACILIT'!AH$18:AH$50)</f>
        <v>0</v>
      </c>
      <c r="F322" s="135">
        <f>SUMIF('5. PERSON'!$B$17:$B$192,$C306,'5. PERSON'!DE$17:DE$192)+SUMIF('6. OPERATION'!$B$17:$B$149,$C306,'6. OPERATION'!CH$17:CH$149)+SUMIF('8. FACILIT'!$B$18:$B$50,$C306,'8. FACILIT'!AI$18:AI$50)</f>
        <v>0</v>
      </c>
      <c r="G322" s="135">
        <f>SUMIF('5. PERSON'!$B$17:$B$192,$C306,'5. PERSON'!DF$17:DF$192)+SUMIF('6. OPERATION'!$B$17:$B$149,$C306,'6. OPERATION'!CI$17:CI$149)+SUMIF('8. FACILIT'!$B$18:$B$50,$C306,'8. FACILIT'!AJ$18:AJ$50)</f>
        <v>0</v>
      </c>
      <c r="H322" s="135">
        <f>SUMIF('5. PERSON'!$B$17:$B$192,$C306,'5. PERSON'!DG$17:DG$192)+SUMIF('6. OPERATION'!$B$17:$B$149,$C306,'6. OPERATION'!CJ$17:CJ$149)+SUMIF('8. FACILIT'!$B$18:$B$50,$C306,'8. FACILIT'!AK$18:AK$50)</f>
        <v>0</v>
      </c>
      <c r="I322" s="135">
        <f>SUMIF('5. PERSON'!$B$17:$B$192,$C306,'5. PERSON'!DH$17:DH$192)+SUMIF('6. OPERATION'!$B$17:$B$149,$C306,'6. OPERATION'!CK$17:CK$149)+SUMIF('8. FACILIT'!$B$18:$B$50,$C306,'8. FACILIT'!AL$18:AL$50)</f>
        <v>0</v>
      </c>
      <c r="J322" s="135">
        <f>SUMIF('5. PERSON'!$B$17:$B$192,$C306,'5. PERSON'!DI$17:DI$192)+SUMIF('6. OPERATION'!$B$17:$B$149,$C306,'6. OPERATION'!CL$17:CL$149)+SUMIF('8. FACILIT'!$B$18:$B$50,$C306,'8. FACILIT'!AM$18:AM$50)</f>
        <v>0</v>
      </c>
      <c r="K322" s="135">
        <f>SUMIF('5. PERSON'!$B$17:$B$192,$C306,'5. PERSON'!DJ$17:DJ$192)+SUMIF('6. OPERATION'!$B$17:$B$149,$C306,'6. OPERATION'!CM$17:CM$149)+SUMIF('8. FACILIT'!$B$18:$B$50,$C306,'8. FACILIT'!AN$18:AN$50)</f>
        <v>0</v>
      </c>
      <c r="L322" s="135">
        <f>SUMIF('5. PERSON'!$B$17:$B$192,$C306,'5. PERSON'!DK$17:DK$192)+SUMIF('6. OPERATION'!$B$17:$B$149,$C306,'6. OPERATION'!CN$17:CN$149)+SUMIF('8. FACILIT'!$B$18:$B$50,$C306,'8. FACILIT'!AO$18:AO$50)</f>
        <v>0</v>
      </c>
      <c r="M322" s="117">
        <f t="shared" si="46"/>
        <v>0</v>
      </c>
    </row>
    <row r="323" spans="2:15" s="1" customFormat="1" ht="13.2" x14ac:dyDescent="0.25">
      <c r="B323" s="688" t="str">
        <f>IF('1. INTRO'!I$2="English",(IF(('5. PERSON'!CN$193+'6. OPERATION'!BQ$150)&gt;0,"Indirect","")),IF(('5. PERSON'!CN$193+'6. OPERATION'!BQ$150)&gt;0,"Indirekt",""))</f>
        <v/>
      </c>
      <c r="C323" s="689">
        <f>SUMIF('5. PERSON'!$B$17:$B$192,$C306,'5. PERSON'!CD$17:CD$192)+SUMIF('6. OPERATION'!$B$17:$B$149,$C306,'6. OPERATION'!BG$17:BG$149)</f>
        <v>0</v>
      </c>
      <c r="D323" s="689">
        <f>SUMIF('5. PERSON'!$B$17:$B$192,$C306,'5. PERSON'!CE$17:CE$192)+SUMIF('6. OPERATION'!$B$17:$B$149,$C306,'6. OPERATION'!BH$17:BH$149)</f>
        <v>0</v>
      </c>
      <c r="E323" s="689">
        <f>SUMIF('5. PERSON'!$B$17:$B$192,$C306,'5. PERSON'!CF$17:CF$192)+SUMIF('6. OPERATION'!$B$17:$B$149,$C306,'6. OPERATION'!BI$17:BI$149)</f>
        <v>0</v>
      </c>
      <c r="F323" s="689">
        <f>SUMIF('5. PERSON'!$B$17:$B$192,$C306,'5. PERSON'!CG$17:CG$192)+SUMIF('6. OPERATION'!$B$17:$B$149,$C306,'6. OPERATION'!BJ$17:BJ$149)</f>
        <v>0</v>
      </c>
      <c r="G323" s="689">
        <f>SUMIF('5. PERSON'!$B$17:$B$192,$C306,'5. PERSON'!CH$17:CH$192)+SUMIF('6. OPERATION'!$B$17:$B$149,$C306,'6. OPERATION'!BK$17:BK$149)</f>
        <v>0</v>
      </c>
      <c r="H323" s="689">
        <f>SUMIF('5. PERSON'!$B$17:$B$192,$C306,'5. PERSON'!CI$17:CI$192)+SUMIF('6. OPERATION'!$B$17:$B$149,$C306,'6. OPERATION'!BL$17:BL$149)</f>
        <v>0</v>
      </c>
      <c r="I323" s="689">
        <f>SUMIF('5. PERSON'!$B$17:$B$192,$C306,'5. PERSON'!CJ$17:CJ$192)+SUMIF('6. OPERATION'!$B$17:$B$149,$C306,'6. OPERATION'!BM$17:BM$149)</f>
        <v>0</v>
      </c>
      <c r="J323" s="689">
        <f>SUMIF('5. PERSON'!$B$17:$B$192,$C306,'5. PERSON'!CK$17:CK$192)+SUMIF('6. OPERATION'!$B$17:$B$149,$C306,'6. OPERATION'!BN$17:BN$149)</f>
        <v>0</v>
      </c>
      <c r="K323" s="689">
        <f>SUMIF('5. PERSON'!$B$17:$B$192,$C306,'5. PERSON'!CL$17:CL$192)+SUMIF('6. OPERATION'!$B$17:$B$149,$C306,'6. OPERATION'!BO$17:BO$149)</f>
        <v>0</v>
      </c>
      <c r="L323" s="689">
        <f>SUMIF('5. PERSON'!$B$17:$B$192,$C306,'5. PERSON'!CM$17:CM$192)+SUMIF('6. OPERATION'!$B$17:$B$149,$C306,'6. OPERATION'!BP$17:BP$149)</f>
        <v>0</v>
      </c>
      <c r="M323" s="693">
        <f t="shared" si="46"/>
        <v>0</v>
      </c>
    </row>
    <row r="324" spans="2:15" s="3" customFormat="1" ht="13.2" x14ac:dyDescent="0.25">
      <c r="B324" s="124" t="s">
        <v>113</v>
      </c>
      <c r="C324" s="102">
        <f>SUM(C317:C323)</f>
        <v>0</v>
      </c>
      <c r="D324" s="102">
        <f t="shared" ref="D324:M324" si="47">SUM(D317:D323)</f>
        <v>0</v>
      </c>
      <c r="E324" s="102">
        <f t="shared" si="47"/>
        <v>0</v>
      </c>
      <c r="F324" s="102">
        <f t="shared" si="47"/>
        <v>0</v>
      </c>
      <c r="G324" s="102">
        <f t="shared" si="47"/>
        <v>0</v>
      </c>
      <c r="H324" s="102">
        <f t="shared" si="47"/>
        <v>0</v>
      </c>
      <c r="I324" s="102">
        <f t="shared" si="47"/>
        <v>0</v>
      </c>
      <c r="J324" s="102">
        <f t="shared" si="47"/>
        <v>0</v>
      </c>
      <c r="K324" s="102">
        <f t="shared" si="47"/>
        <v>0</v>
      </c>
      <c r="L324" s="102">
        <f t="shared" si="47"/>
        <v>0</v>
      </c>
      <c r="M324" s="125">
        <f t="shared" si="47"/>
        <v>0</v>
      </c>
      <c r="N324" s="23"/>
      <c r="O324" s="23"/>
    </row>
    <row r="325" spans="2:15" s="3" customFormat="1" ht="6" customHeight="1" x14ac:dyDescent="0.25">
      <c r="B325" s="136"/>
      <c r="C325" s="127"/>
      <c r="D325" s="127"/>
      <c r="E325" s="127"/>
      <c r="F325" s="127"/>
      <c r="G325" s="127"/>
      <c r="H325" s="127"/>
      <c r="I325" s="127"/>
      <c r="J325" s="127"/>
      <c r="K325" s="127"/>
      <c r="L325" s="127"/>
      <c r="M325" s="137"/>
    </row>
    <row r="326" spans="2:15" s="3" customFormat="1" ht="13.2" x14ac:dyDescent="0.25">
      <c r="B326" s="129" t="str">
        <f>IF('1. INTRO'!I$2="English","Full cost","Full kostnad")</f>
        <v>Full cost</v>
      </c>
      <c r="C326" s="127"/>
      <c r="D326" s="127"/>
      <c r="E326" s="127"/>
      <c r="F326" s="127"/>
      <c r="G326" s="127"/>
      <c r="H326" s="127"/>
      <c r="I326" s="127"/>
      <c r="J326" s="127"/>
      <c r="K326" s="127"/>
      <c r="L326" s="127"/>
      <c r="M326" s="137"/>
    </row>
    <row r="327" spans="2:15" s="3" customFormat="1" ht="13.2" x14ac:dyDescent="0.25">
      <c r="B327" s="682" t="str">
        <f>IF('1. INTRO'!I$2="English","Salary including social costs (LKP)","Lön inklusive LKP")</f>
        <v>Salary including social costs (LKP)</v>
      </c>
      <c r="C327" s="694">
        <f>C309+C318+C319</f>
        <v>0</v>
      </c>
      <c r="D327" s="694">
        <f t="shared" ref="D327:L327" si="48">D309+D318+D319</f>
        <v>0</v>
      </c>
      <c r="E327" s="694">
        <f t="shared" si="48"/>
        <v>0</v>
      </c>
      <c r="F327" s="694">
        <f t="shared" si="48"/>
        <v>0</v>
      </c>
      <c r="G327" s="694">
        <f t="shared" si="48"/>
        <v>0</v>
      </c>
      <c r="H327" s="694">
        <f t="shared" si="48"/>
        <v>0</v>
      </c>
      <c r="I327" s="694">
        <f t="shared" si="48"/>
        <v>0</v>
      </c>
      <c r="J327" s="694">
        <f t="shared" si="48"/>
        <v>0</v>
      </c>
      <c r="K327" s="694">
        <f t="shared" si="48"/>
        <v>0</v>
      </c>
      <c r="L327" s="694">
        <f t="shared" si="48"/>
        <v>0</v>
      </c>
      <c r="M327" s="684">
        <f>SUM(C327:L327)</f>
        <v>0</v>
      </c>
    </row>
    <row r="328" spans="2:15" s="3" customFormat="1" ht="13.2" x14ac:dyDescent="0.25">
      <c r="B328" s="80" t="str">
        <f>IF('1. INTRO'!I$2="English","Operating","Drift")</f>
        <v>Operating</v>
      </c>
      <c r="C328" s="139">
        <f>C310+C320</f>
        <v>0</v>
      </c>
      <c r="D328" s="139">
        <f t="shared" ref="D328:L328" si="49">D310+D320</f>
        <v>0</v>
      </c>
      <c r="E328" s="139">
        <f t="shared" si="49"/>
        <v>0</v>
      </c>
      <c r="F328" s="139">
        <f t="shared" si="49"/>
        <v>0</v>
      </c>
      <c r="G328" s="139">
        <f t="shared" si="49"/>
        <v>0</v>
      </c>
      <c r="H328" s="139">
        <f t="shared" si="49"/>
        <v>0</v>
      </c>
      <c r="I328" s="139">
        <f t="shared" si="49"/>
        <v>0</v>
      </c>
      <c r="J328" s="139">
        <f t="shared" si="49"/>
        <v>0</v>
      </c>
      <c r="K328" s="139">
        <f t="shared" si="49"/>
        <v>0</v>
      </c>
      <c r="L328" s="139">
        <f t="shared" si="49"/>
        <v>0</v>
      </c>
      <c r="M328" s="117">
        <f>SUM(C328:L328)</f>
        <v>0</v>
      </c>
    </row>
    <row r="329" spans="2:15" s="3" customFormat="1" ht="13.2" x14ac:dyDescent="0.25">
      <c r="B329" s="685" t="str">
        <f>IF('1. INTRO'!I$2="English","Equipment","Utrustning")</f>
        <v>Equipment</v>
      </c>
      <c r="C329" s="695">
        <f>C311+C321</f>
        <v>0</v>
      </c>
      <c r="D329" s="695">
        <f t="shared" ref="D329:L329" si="50">D311+D321</f>
        <v>0</v>
      </c>
      <c r="E329" s="695">
        <f t="shared" si="50"/>
        <v>0</v>
      </c>
      <c r="F329" s="695">
        <f t="shared" si="50"/>
        <v>0</v>
      </c>
      <c r="G329" s="695">
        <f t="shared" si="50"/>
        <v>0</v>
      </c>
      <c r="H329" s="695">
        <f t="shared" si="50"/>
        <v>0</v>
      </c>
      <c r="I329" s="695">
        <f t="shared" si="50"/>
        <v>0</v>
      </c>
      <c r="J329" s="695">
        <f t="shared" si="50"/>
        <v>0</v>
      </c>
      <c r="K329" s="695">
        <f t="shared" si="50"/>
        <v>0</v>
      </c>
      <c r="L329" s="695">
        <f t="shared" si="50"/>
        <v>0</v>
      </c>
      <c r="M329" s="687">
        <f>SUM(C329:L329)</f>
        <v>0</v>
      </c>
    </row>
    <row r="330" spans="2:15" s="3" customFormat="1" ht="13.2" x14ac:dyDescent="0.25">
      <c r="B330" s="80" t="str">
        <f>IF('1. INTRO'!I$2="English","Facility","Lokal")</f>
        <v>Facility</v>
      </c>
      <c r="C330" s="139">
        <f>SUMIF('5. PERSON'!$B$17:$B$192,$C306,'5. PERSON'!CP$17:CP$192)+SUMIF('5. PERSON'!$B$17:$B$192,$C306,'5. PERSON'!DB$17:DB$192)+SUMIF('6. OPERATION'!$B$17:$B$149,$C306,'6. OPERATION'!BS$17:BS$149)+SUMIF('6. OPERATION'!$B$17:$B$149,$C306,'6. OPERATION'!CE$17:CE$149)+SUMIF('8. FACILIT'!$B$18:$B$50,$C306,'8. FACILIT'!T$18:T$50)+SUMIF('8. FACILIT'!$B$18:$B$50,$C306,'8. FACILIT'!AF$18:AF$50)</f>
        <v>0</v>
      </c>
      <c r="D330" s="139">
        <f>SUMIF('5. PERSON'!$B$17:$B$192,$C306,'5. PERSON'!CQ$17:CQ$192)+SUMIF('5. PERSON'!$B$17:$B$192,$C306,'5. PERSON'!DC$17:DC$192)+SUMIF('6. OPERATION'!$B$17:$B$149,$C306,'6. OPERATION'!BT$17:BT$149)+SUMIF('6. OPERATION'!$B$17:$B$149,$C306,'6. OPERATION'!CF$17:CF$149)+SUMIF('8. FACILIT'!$B$18:$B$50,$C306,'8. FACILIT'!U$18:U$50)+SUMIF('8. FACILIT'!$B$18:$B$50,$C306,'8. FACILIT'!AG$18:AG$50)</f>
        <v>0</v>
      </c>
      <c r="E330" s="139">
        <f>SUMIF('5. PERSON'!$B$17:$B$192,$C306,'5. PERSON'!CR$17:CR$192)+SUMIF('5. PERSON'!$B$17:$B$192,$C306,'5. PERSON'!DD$17:DD$192)+SUMIF('6. OPERATION'!$B$17:$B$149,$C306,'6. OPERATION'!BU$17:BU$149)+SUMIF('6. OPERATION'!$B$17:$B$149,$C306,'6. OPERATION'!CG$17:CG$149)+SUMIF('8. FACILIT'!$B$18:$B$50,$C306,'8. FACILIT'!V$18:V$50)+SUMIF('8. FACILIT'!$B$18:$B$50,$C306,'8. FACILIT'!AH$18:AH$50)</f>
        <v>0</v>
      </c>
      <c r="F330" s="139">
        <f>SUMIF('5. PERSON'!$B$17:$B$192,$C306,'5. PERSON'!CS$17:CS$192)+SUMIF('5. PERSON'!$B$17:$B$192,$C306,'5. PERSON'!DE$17:DE$192)+SUMIF('6. OPERATION'!$B$17:$B$149,$C306,'6. OPERATION'!BV$17:BV$149)+SUMIF('6. OPERATION'!$B$17:$B$149,$C306,'6. OPERATION'!CH$17:CH$149)+SUMIF('8. FACILIT'!$B$18:$B$50,$C306,'8. FACILIT'!W$18:W$50)+SUMIF('8. FACILIT'!$B$18:$B$50,$C306,'8. FACILIT'!AI$18:AI$50)</f>
        <v>0</v>
      </c>
      <c r="G330" s="139">
        <f>SUMIF('5. PERSON'!$B$17:$B$192,$C306,'5. PERSON'!CT$17:CT$192)+SUMIF('5. PERSON'!$B$17:$B$192,$C306,'5. PERSON'!DF$17:DF$192)+SUMIF('6. OPERATION'!$B$17:$B$149,$C306,'6. OPERATION'!BW$17:BW$149)+SUMIF('6. OPERATION'!$B$17:$B$149,$C306,'6. OPERATION'!CI$17:CI$149)+SUMIF('8. FACILIT'!$B$18:$B$50,$C306,'8. FACILIT'!X$18:X$50)+SUMIF('8. FACILIT'!$B$18:$B$50,$C306,'8. FACILIT'!AJ$18:AJ$50)</f>
        <v>0</v>
      </c>
      <c r="H330" s="139">
        <f>SUMIF('5. PERSON'!$B$17:$B$192,$C306,'5. PERSON'!CU$17:CU$192)+SUMIF('5. PERSON'!$B$17:$B$192,$C306,'5. PERSON'!DG$17:DG$192)+SUMIF('6. OPERATION'!$B$17:$B$149,$C306,'6. OPERATION'!BX$17:BX$149)+SUMIF('6. OPERATION'!$B$17:$B$149,$C306,'6. OPERATION'!CJ$17:CJ$149)+SUMIF('8. FACILIT'!$B$18:$B$50,$C306,'8. FACILIT'!Y$18:Y$50)+SUMIF('8. FACILIT'!$B$18:$B$50,$C306,'8. FACILIT'!AK$18:AK$50)</f>
        <v>0</v>
      </c>
      <c r="I330" s="139">
        <f>SUMIF('5. PERSON'!$B$17:$B$192,$C306,'5. PERSON'!CV$17:CV$192)+SUMIF('5. PERSON'!$B$17:$B$192,$C306,'5. PERSON'!DH$17:DH$192)+SUMIF('6. OPERATION'!$B$17:$B$149,$C306,'6. OPERATION'!BY$17:BY$149)+SUMIF('6. OPERATION'!$B$17:$B$149,$C306,'6. OPERATION'!CK$17:CK$149)+SUMIF('8. FACILIT'!$B$18:$B$50,$C306,'8. FACILIT'!Z$18:Z$50)+SUMIF('8. FACILIT'!$B$18:$B$50,$C306,'8. FACILIT'!AL$18:AL$50)</f>
        <v>0</v>
      </c>
      <c r="J330" s="139">
        <f>SUMIF('5. PERSON'!$B$17:$B$192,$C306,'5. PERSON'!CW$17:CW$192)+SUMIF('5. PERSON'!$B$17:$B$192,$C306,'5. PERSON'!DI$17:DI$192)+SUMIF('6. OPERATION'!$B$17:$B$149,$C306,'6. OPERATION'!BZ$17:BZ$149)+SUMIF('6. OPERATION'!$B$17:$B$149,$C306,'6. OPERATION'!CL$17:CL$149)+SUMIF('8. FACILIT'!$B$18:$B$50,$C306,'8. FACILIT'!AA$18:AA$50)+SUMIF('8. FACILIT'!$B$18:$B$50,$C306,'8. FACILIT'!AM$18:AM$50)</f>
        <v>0</v>
      </c>
      <c r="K330" s="139">
        <f>SUMIF('5. PERSON'!$B$17:$B$192,$C306,'5. PERSON'!CX$17:CX$192)+SUMIF('5. PERSON'!$B$17:$B$192,$C306,'5. PERSON'!DJ$17:DJ$192)+SUMIF('6. OPERATION'!$B$17:$B$149,$C306,'6. OPERATION'!CA$17:CA$149)+SUMIF('6. OPERATION'!$B$17:$B$149,$C306,'6. OPERATION'!CM$17:CM$149)+SUMIF('8. FACILIT'!$B$18:$B$50,$C306,'8. FACILIT'!AB$18:AB$50)+SUMIF('8. FACILIT'!$B$18:$B$50,$C306,'8. FACILIT'!AN$18:AN$50)</f>
        <v>0</v>
      </c>
      <c r="L330" s="139">
        <f>SUMIF('5. PERSON'!$B$17:$B$192,$C306,'5. PERSON'!CY$17:CY$192)+SUMIF('5. PERSON'!$B$17:$B$192,$C306,'5. PERSON'!DK$17:DK$192)+SUMIF('6. OPERATION'!$B$17:$B$149,$C306,'6. OPERATION'!CB$17:CB$149)+SUMIF('6. OPERATION'!$B$17:$B$149,$C306,'6. OPERATION'!CN$17:CN$149)+SUMIF('8. FACILIT'!$B$18:$B$50,$C306,'8. FACILIT'!AC$18:AC$50)+SUMIF('8. FACILIT'!$B$18:$B$50,$C306,'8. FACILIT'!AO$18:AO$50)</f>
        <v>0</v>
      </c>
      <c r="M330" s="117">
        <f>SUM(C330:L330)</f>
        <v>0</v>
      </c>
    </row>
    <row r="331" spans="2:15" s="3" customFormat="1" ht="13.2" x14ac:dyDescent="0.25">
      <c r="B331" s="696" t="str">
        <f>IF('1. INTRO'!I$2="English","Indirect","Indirekt")</f>
        <v>Indirect</v>
      </c>
      <c r="C331" s="697">
        <f>SUMIF('5. PERSON'!$B$17:$B$192,$C306,'5. PERSON'!BR$17:BR$192)+SUMIF('5. PERSON'!$B$17:$B$192,$C306,'5. PERSON'!CD$17:CD$192)+SUMIF('6. OPERATION'!$B$17:$B$149,$C306,'6. OPERATION'!AU$17:AU$149)+SUMIF('6. OPERATION'!$B$17:$B$149,$C306,'6. OPERATION'!BG$17:BG$149)</f>
        <v>0</v>
      </c>
      <c r="D331" s="697">
        <f>SUMIF('5. PERSON'!$B$17:$B$192,$C306,'5. PERSON'!BS$17:BS$192)+SUMIF('5. PERSON'!$B$17:$B$192,$C306,'5. PERSON'!CE$17:CE$192)+SUMIF('6. OPERATION'!$B$17:$B$149,$C306,'6. OPERATION'!AV$17:AV$149)+SUMIF('6. OPERATION'!$B$17:$B$149,$C306,'6. OPERATION'!BH$17:BH$149)</f>
        <v>0</v>
      </c>
      <c r="E331" s="697">
        <f>SUMIF('5. PERSON'!$B$17:$B$192,$C306,'5. PERSON'!BT$17:BT$192)+SUMIF('5. PERSON'!$B$17:$B$192,$C306,'5. PERSON'!CF$17:CF$192)+SUMIF('6. OPERATION'!$B$17:$B$149,$C306,'6. OPERATION'!AW$17:AW$149)+SUMIF('6. OPERATION'!$B$17:$B$149,$C306,'6. OPERATION'!BI$17:BI$149)</f>
        <v>0</v>
      </c>
      <c r="F331" s="697">
        <f>SUMIF('5. PERSON'!$B$17:$B$192,$C306,'5. PERSON'!BU$17:BU$192)+SUMIF('5. PERSON'!$B$17:$B$192,$C306,'5. PERSON'!CG$17:CG$192)+SUMIF('6. OPERATION'!$B$17:$B$149,$C306,'6. OPERATION'!AX$17:AX$149)+SUMIF('6. OPERATION'!$B$17:$B$149,$C306,'6. OPERATION'!BJ$17:BJ$149)</f>
        <v>0</v>
      </c>
      <c r="G331" s="697">
        <f>SUMIF('5. PERSON'!$B$17:$B$192,$C306,'5. PERSON'!BV$17:BV$192)+SUMIF('5. PERSON'!$B$17:$B$192,$C306,'5. PERSON'!CH$17:CH$192)+SUMIF('6. OPERATION'!$B$17:$B$149,$C306,'6. OPERATION'!AY$17:AY$149)+SUMIF('6. OPERATION'!$B$17:$B$149,$C306,'6. OPERATION'!BK$17:BK$149)</f>
        <v>0</v>
      </c>
      <c r="H331" s="697">
        <f>SUMIF('5. PERSON'!$B$17:$B$192,$C306,'5. PERSON'!BW$17:BW$192)+SUMIF('5. PERSON'!$B$17:$B$192,$C306,'5. PERSON'!CI$17:CI$192)+SUMIF('6. OPERATION'!$B$17:$B$149,$C306,'6. OPERATION'!AZ$17:AZ$149)+SUMIF('6. OPERATION'!$B$17:$B$149,$C306,'6. OPERATION'!BL$17:BL$149)</f>
        <v>0</v>
      </c>
      <c r="I331" s="697">
        <f>SUMIF('5. PERSON'!$B$17:$B$192,$C306,'5. PERSON'!BX$17:BX$192)+SUMIF('5. PERSON'!$B$17:$B$192,$C306,'5. PERSON'!CJ$17:CJ$192)+SUMIF('6. OPERATION'!$B$17:$B$149,$C306,'6. OPERATION'!BA$17:BA$149)+SUMIF('6. OPERATION'!$B$17:$B$149,$C306,'6. OPERATION'!BM$17:BM$149)</f>
        <v>0</v>
      </c>
      <c r="J331" s="697">
        <f>SUMIF('5. PERSON'!$B$17:$B$192,$C306,'5. PERSON'!BY$17:BY$192)+SUMIF('5. PERSON'!$B$17:$B$192,$C306,'5. PERSON'!CK$17:CK$192)+SUMIF('6. OPERATION'!$B$17:$B$149,$C306,'6. OPERATION'!BB$17:BB$149)+SUMIF('6. OPERATION'!$B$17:$B$149,$C306,'6. OPERATION'!BN$17:BN$149)</f>
        <v>0</v>
      </c>
      <c r="K331" s="697">
        <f>SUMIF('5. PERSON'!$B$17:$B$192,$C306,'5. PERSON'!BZ$17:BZ$192)+SUMIF('5. PERSON'!$B$17:$B$192,$C306,'5. PERSON'!CL$17:CL$192)+SUMIF('6. OPERATION'!$B$17:$B$149,$C306,'6. OPERATION'!BC$17:BC$149)+SUMIF('6. OPERATION'!$B$17:$B$149,$C306,'6. OPERATION'!BO$17:BO$149)</f>
        <v>0</v>
      </c>
      <c r="L331" s="697">
        <f>SUMIF('5. PERSON'!$B$17:$B$192,$C306,'5. PERSON'!CA$17:CA$192)+SUMIF('5. PERSON'!$B$17:$B$192,$C306,'5. PERSON'!CM$17:CM$192)+SUMIF('6. OPERATION'!$B$17:$B$149,$C306,'6. OPERATION'!BD$17:BD$149)+SUMIF('6. OPERATION'!$B$17:$B$149,$C306,'6. OPERATION'!BP$17:BP$149)</f>
        <v>0</v>
      </c>
      <c r="M331" s="693">
        <f>SUM(C331:L331)</f>
        <v>0</v>
      </c>
    </row>
    <row r="332" spans="2:15" s="3" customFormat="1" ht="13.2" x14ac:dyDescent="0.25">
      <c r="B332" s="124" t="s">
        <v>113</v>
      </c>
      <c r="C332" s="88">
        <f>SUM(C327:C331)</f>
        <v>0</v>
      </c>
      <c r="D332" s="88">
        <f t="shared" ref="D332:M332" si="51">SUM(D327:D331)</f>
        <v>0</v>
      </c>
      <c r="E332" s="88">
        <f t="shared" si="51"/>
        <v>0</v>
      </c>
      <c r="F332" s="88">
        <f t="shared" si="51"/>
        <v>0</v>
      </c>
      <c r="G332" s="88">
        <f t="shared" si="51"/>
        <v>0</v>
      </c>
      <c r="H332" s="88">
        <f t="shared" si="51"/>
        <v>0</v>
      </c>
      <c r="I332" s="88">
        <f t="shared" si="51"/>
        <v>0</v>
      </c>
      <c r="J332" s="88">
        <f t="shared" si="51"/>
        <v>0</v>
      </c>
      <c r="K332" s="88">
        <f t="shared" si="51"/>
        <v>0</v>
      </c>
      <c r="L332" s="88">
        <f t="shared" si="51"/>
        <v>0</v>
      </c>
      <c r="M332" s="142">
        <f t="shared" si="51"/>
        <v>0</v>
      </c>
    </row>
    <row r="333" spans="2:15" s="3" customFormat="1" ht="13.2" x14ac:dyDescent="0.25">
      <c r="B333" s="287"/>
      <c r="C333" s="37"/>
      <c r="D333" s="37"/>
      <c r="E333" s="37"/>
      <c r="F333" s="37"/>
      <c r="G333" s="37"/>
      <c r="H333" s="37"/>
      <c r="I333" s="37"/>
      <c r="J333" s="37"/>
      <c r="K333" s="37"/>
      <c r="L333" s="37"/>
      <c r="M333" s="37"/>
    </row>
    <row r="334" spans="2:15" s="3" customFormat="1" ht="12.75" customHeight="1" x14ac:dyDescent="0.25">
      <c r="B334" s="656" t="str">
        <f>IF('1. INTRO'!I$2="English","Co-funding share in full cost ","Medfinansieringsandel i full kostnad ")</f>
        <v xml:space="preserve">Co-funding share in full cost </v>
      </c>
      <c r="C334" s="143" t="str">
        <f t="shared" ref="C334:M334" si="52">IF(C332&gt;0,C324/C332,"")</f>
        <v/>
      </c>
      <c r="D334" s="143" t="str">
        <f t="shared" si="52"/>
        <v/>
      </c>
      <c r="E334" s="143" t="str">
        <f t="shared" si="52"/>
        <v/>
      </c>
      <c r="F334" s="143" t="str">
        <f t="shared" si="52"/>
        <v/>
      </c>
      <c r="G334" s="143" t="str">
        <f t="shared" si="52"/>
        <v/>
      </c>
      <c r="H334" s="143" t="str">
        <f t="shared" si="52"/>
        <v/>
      </c>
      <c r="I334" s="143" t="str">
        <f t="shared" si="52"/>
        <v/>
      </c>
      <c r="J334" s="143" t="str">
        <f t="shared" si="52"/>
        <v/>
      </c>
      <c r="K334" s="143" t="str">
        <f t="shared" si="52"/>
        <v/>
      </c>
      <c r="L334" s="143" t="str">
        <f t="shared" si="52"/>
        <v/>
      </c>
      <c r="M334" s="143" t="str">
        <f t="shared" si="52"/>
        <v/>
      </c>
    </row>
    <row r="335" spans="2:15" ht="12.75" customHeight="1" x14ac:dyDescent="0.2"/>
    <row r="336" spans="2:15" ht="12.75" customHeight="1" x14ac:dyDescent="0.25">
      <c r="D336" s="656" t="str">
        <f>IF('1. INTRO'!I$2="English","Co-funding need in average per year: ","Medfinansieringsbehov i genomsnitt per år: ")</f>
        <v xml:space="preserve">Co-funding need in average per year: </v>
      </c>
      <c r="E336" s="698" t="str">
        <f>IF(M324=0,"",M324/(DATEDIF('2. START'!C$18,'2. START'!C$19,"d")/365))</f>
        <v/>
      </c>
      <c r="H336" s="656" t="str">
        <f>IF('1. INTRO'!I$2="English","Co-funding need 1/3 of total: ","Medfinansieringsbehov 1/3 av totalt: ")</f>
        <v xml:space="preserve">Co-funding need 1/3 of total: </v>
      </c>
      <c r="I336" s="698">
        <f>M324/3</f>
        <v>0</v>
      </c>
      <c r="L336" s="287" t="str">
        <f>IF('1. INTRO'!I$2="English","Co-funding need total: ","Medfinansieringsbehov totalt: ")</f>
        <v xml:space="preserve">Co-funding need total: </v>
      </c>
      <c r="M336" s="698">
        <f>M324</f>
        <v>0</v>
      </c>
    </row>
    <row r="337" spans="2:13" ht="12.75" customHeight="1" x14ac:dyDescent="0.25">
      <c r="B337" s="53" t="str">
        <f>IF('1. INTRO'!I$2="English","Co-funding sources","Medfinansieringskällor")</f>
        <v>Co-funding sources</v>
      </c>
    </row>
    <row r="338" spans="2:13" ht="12.75" customHeight="1" x14ac:dyDescent="0.25">
      <c r="B338" s="225"/>
      <c r="C338" s="226"/>
      <c r="D338" s="226"/>
      <c r="E338" s="226"/>
      <c r="F338" s="226"/>
      <c r="G338" s="226"/>
      <c r="H338" s="226"/>
      <c r="I338" s="226"/>
      <c r="J338" s="226"/>
      <c r="K338" s="226"/>
      <c r="L338" s="227"/>
      <c r="M338" s="168">
        <f>SUM(C338:L338)</f>
        <v>0</v>
      </c>
    </row>
    <row r="339" spans="2:13" ht="12.75" customHeight="1" x14ac:dyDescent="0.25">
      <c r="B339" s="228"/>
      <c r="C339" s="229"/>
      <c r="D339" s="229"/>
      <c r="E339" s="229"/>
      <c r="F339" s="229"/>
      <c r="G339" s="229"/>
      <c r="H339" s="229"/>
      <c r="I339" s="229"/>
      <c r="J339" s="229"/>
      <c r="K339" s="229"/>
      <c r="L339" s="230"/>
      <c r="M339" s="687">
        <f t="shared" ref="M339:M342" si="53">SUM(C339:L339)</f>
        <v>0</v>
      </c>
    </row>
    <row r="340" spans="2:13" ht="12.75" customHeight="1" x14ac:dyDescent="0.25">
      <c r="B340" s="231"/>
      <c r="C340" s="232"/>
      <c r="D340" s="232"/>
      <c r="E340" s="232"/>
      <c r="F340" s="232"/>
      <c r="G340" s="232"/>
      <c r="H340" s="232"/>
      <c r="I340" s="232"/>
      <c r="J340" s="232"/>
      <c r="K340" s="232"/>
      <c r="L340" s="233"/>
      <c r="M340" s="117">
        <f t="shared" si="53"/>
        <v>0</v>
      </c>
    </row>
    <row r="341" spans="2:13" ht="12.75" customHeight="1" x14ac:dyDescent="0.25">
      <c r="B341" s="228"/>
      <c r="C341" s="229"/>
      <c r="D341" s="229"/>
      <c r="E341" s="229"/>
      <c r="F341" s="229"/>
      <c r="G341" s="229"/>
      <c r="H341" s="229"/>
      <c r="I341" s="229"/>
      <c r="J341" s="229"/>
      <c r="K341" s="229"/>
      <c r="L341" s="230"/>
      <c r="M341" s="687">
        <f t="shared" si="53"/>
        <v>0</v>
      </c>
    </row>
    <row r="342" spans="2:13" ht="12.75" customHeight="1" x14ac:dyDescent="0.25">
      <c r="B342" s="93"/>
      <c r="C342" s="232"/>
      <c r="D342" s="232"/>
      <c r="E342" s="232"/>
      <c r="F342" s="232"/>
      <c r="G342" s="232"/>
      <c r="H342" s="232"/>
      <c r="I342" s="232"/>
      <c r="J342" s="232"/>
      <c r="K342" s="232"/>
      <c r="L342" s="233"/>
      <c r="M342" s="117">
        <f t="shared" si="53"/>
        <v>0</v>
      </c>
    </row>
    <row r="343" spans="2:13" ht="12.75" customHeight="1" x14ac:dyDescent="0.25">
      <c r="B343" s="84" t="str">
        <f>IF('1. INTRO'!I$2="English","Total co-funding ","Total medfinansiering ")</f>
        <v xml:space="preserve">Total co-funding </v>
      </c>
      <c r="C343" s="87">
        <f t="shared" ref="C343:M343" si="54">SUM(C338:C342)</f>
        <v>0</v>
      </c>
      <c r="D343" s="87">
        <f t="shared" si="54"/>
        <v>0</v>
      </c>
      <c r="E343" s="87">
        <f t="shared" si="54"/>
        <v>0</v>
      </c>
      <c r="F343" s="87">
        <f t="shared" si="54"/>
        <v>0</v>
      </c>
      <c r="G343" s="87">
        <f t="shared" si="54"/>
        <v>0</v>
      </c>
      <c r="H343" s="87">
        <f t="shared" si="54"/>
        <v>0</v>
      </c>
      <c r="I343" s="87">
        <f t="shared" si="54"/>
        <v>0</v>
      </c>
      <c r="J343" s="87">
        <f t="shared" si="54"/>
        <v>0</v>
      </c>
      <c r="K343" s="87">
        <f t="shared" si="54"/>
        <v>0</v>
      </c>
      <c r="L343" s="87">
        <f t="shared" si="54"/>
        <v>0</v>
      </c>
      <c r="M343" s="142">
        <f t="shared" si="54"/>
        <v>0</v>
      </c>
    </row>
    <row r="344" spans="2:13" ht="12.75" customHeight="1" x14ac:dyDescent="0.2"/>
    <row r="345" spans="2:13" ht="12.75" customHeight="1" x14ac:dyDescent="0.2">
      <c r="B345" s="667" t="str">
        <f>IF('1. INTRO'!I$2="English","Calculation comments","Kalkylkommentarer")</f>
        <v>Calculation comments</v>
      </c>
    </row>
    <row r="346" spans="2:13" ht="12.75" customHeight="1" x14ac:dyDescent="0.2">
      <c r="B346" s="1142"/>
      <c r="C346" s="1143"/>
      <c r="D346" s="1143"/>
      <c r="E346" s="1143"/>
      <c r="F346" s="1143"/>
      <c r="G346" s="1143"/>
      <c r="H346" s="1143"/>
      <c r="I346" s="1143"/>
      <c r="J346" s="1143"/>
      <c r="K346" s="1143"/>
      <c r="L346" s="1143"/>
      <c r="M346" s="1144"/>
    </row>
    <row r="347" spans="2:13" ht="12.75" customHeight="1" x14ac:dyDescent="0.2">
      <c r="B347" s="1145"/>
      <c r="C347" s="1226"/>
      <c r="D347" s="1226"/>
      <c r="E347" s="1226"/>
      <c r="F347" s="1226"/>
      <c r="G347" s="1226"/>
      <c r="H347" s="1226"/>
      <c r="I347" s="1226"/>
      <c r="J347" s="1226"/>
      <c r="K347" s="1226"/>
      <c r="L347" s="1226"/>
      <c r="M347" s="1147"/>
    </row>
    <row r="348" spans="2:13" ht="12.75" customHeight="1" x14ac:dyDescent="0.2">
      <c r="B348" s="1145"/>
      <c r="C348" s="1226"/>
      <c r="D348" s="1226"/>
      <c r="E348" s="1226"/>
      <c r="F348" s="1226"/>
      <c r="G348" s="1226"/>
      <c r="H348" s="1226"/>
      <c r="I348" s="1226"/>
      <c r="J348" s="1226"/>
      <c r="K348" s="1226"/>
      <c r="L348" s="1226"/>
      <c r="M348" s="1147"/>
    </row>
    <row r="349" spans="2:13" ht="12.75" customHeight="1" x14ac:dyDescent="0.2">
      <c r="B349" s="1145"/>
      <c r="C349" s="1226"/>
      <c r="D349" s="1226"/>
      <c r="E349" s="1226"/>
      <c r="F349" s="1226"/>
      <c r="G349" s="1226"/>
      <c r="H349" s="1226"/>
      <c r="I349" s="1226"/>
      <c r="J349" s="1226"/>
      <c r="K349" s="1226"/>
      <c r="L349" s="1226"/>
      <c r="M349" s="1147"/>
    </row>
    <row r="350" spans="2:13" ht="12.75" customHeight="1" x14ac:dyDescent="0.2">
      <c r="B350" s="1148"/>
      <c r="C350" s="1149"/>
      <c r="D350" s="1149"/>
      <c r="E350" s="1149"/>
      <c r="F350" s="1149"/>
      <c r="G350" s="1149"/>
      <c r="H350" s="1149"/>
      <c r="I350" s="1149"/>
      <c r="J350" s="1149"/>
      <c r="K350" s="1149"/>
      <c r="L350" s="1149"/>
      <c r="M350" s="1150"/>
    </row>
    <row r="352" spans="2:13" s="3" customFormat="1" ht="12.75" customHeight="1" x14ac:dyDescent="0.25">
      <c r="B352" s="313" t="str">
        <f>'3. PARTNER'!C$4</f>
        <v xml:space="preserve">Project: </v>
      </c>
      <c r="C352" s="1062" t="str">
        <f>'3. PARTNER'!D$4</f>
        <v/>
      </c>
      <c r="D352" s="1001"/>
      <c r="E352" s="1001"/>
      <c r="F352" s="1001"/>
      <c r="G352" s="1001"/>
      <c r="H352" s="1001"/>
      <c r="I352" s="1001"/>
      <c r="J352" s="1001"/>
      <c r="K352" s="1001"/>
      <c r="L352" s="1001"/>
      <c r="M352" s="1001"/>
    </row>
    <row r="353" spans="2:15" s="3" customFormat="1" ht="13.2" x14ac:dyDescent="0.25">
      <c r="B353" s="313" t="str">
        <f>'3. PARTNER'!C$5</f>
        <v xml:space="preserve">Calculation for: </v>
      </c>
      <c r="C353" s="1062" t="str">
        <f>'3. PARTNER'!D$5</f>
        <v>APPLICATION</v>
      </c>
      <c r="D353" s="1001"/>
      <c r="E353" s="268"/>
      <c r="F353" s="268"/>
      <c r="G353" s="268"/>
      <c r="H353" s="268"/>
      <c r="I353" s="268"/>
      <c r="J353" s="268"/>
      <c r="K353" s="268"/>
      <c r="L353" s="268"/>
      <c r="M353" s="268"/>
    </row>
    <row r="354" spans="2:15" s="3" customFormat="1" ht="13.2" x14ac:dyDescent="0.25">
      <c r="B354" s="35" t="str">
        <f>'3. PARTNER'!C$6</f>
        <v xml:space="preserve">Project leader: </v>
      </c>
      <c r="C354" s="1062" t="str">
        <f>'3. PARTNER'!D$6</f>
        <v/>
      </c>
      <c r="D354" s="1001"/>
      <c r="E354" s="1001"/>
      <c r="F354" s="1001"/>
      <c r="G354" s="1001"/>
      <c r="H354" s="1001"/>
      <c r="I354" s="1001"/>
      <c r="J354" s="1001"/>
      <c r="K354" s="1001"/>
      <c r="L354" s="1001"/>
      <c r="M354" s="1001"/>
    </row>
    <row r="355" spans="2:15" s="3" customFormat="1" ht="13.2" x14ac:dyDescent="0.25">
      <c r="B355" s="313" t="str">
        <f>'5. PERSON'!B$7</f>
        <v xml:space="preserve">Amounts in: </v>
      </c>
      <c r="C355" s="655" t="str">
        <f>'5. PERSON'!C$7</f>
        <v>SEK</v>
      </c>
      <c r="D355" s="268"/>
      <c r="E355" s="268"/>
      <c r="F355" s="268"/>
      <c r="G355" s="234"/>
      <c r="H355" s="234"/>
      <c r="I355" s="270"/>
      <c r="J355" s="270"/>
      <c r="K355" s="270"/>
      <c r="L355" s="270"/>
      <c r="M355" s="270"/>
    </row>
    <row r="356" spans="2:15" s="3" customFormat="1" ht="13.2" x14ac:dyDescent="0.25">
      <c r="B356" s="313"/>
      <c r="C356" s="1053" t="str">
        <f>'3. PARTNER'!D$7</f>
        <v>Other basic data about the project is in sheet 2.</v>
      </c>
      <c r="D356" s="1001"/>
      <c r="E356" s="1001"/>
      <c r="F356" s="1001"/>
      <c r="G356" s="234"/>
      <c r="H356" s="234"/>
      <c r="I356" s="270"/>
      <c r="J356" s="270"/>
      <c r="K356" s="270"/>
      <c r="L356" s="251" t="s">
        <v>4</v>
      </c>
      <c r="M356" s="270"/>
    </row>
    <row r="357" spans="2:15" ht="12.75" customHeight="1" x14ac:dyDescent="0.2">
      <c r="J357" s="252" t="s">
        <v>322</v>
      </c>
      <c r="K357" s="252" t="s">
        <v>323</v>
      </c>
      <c r="L357" s="252" t="str">
        <f>IF('1. INTRO'!I$2="English","months","månader")</f>
        <v>months</v>
      </c>
    </row>
    <row r="358" spans="2:15" s="3" customFormat="1" ht="13.8" x14ac:dyDescent="0.25">
      <c r="B358" s="157" t="str">
        <f>IF('1. INTRO'!I$2="English","Project costs","Projektkostnader")</f>
        <v>Project costs</v>
      </c>
      <c r="C358" s="668" t="str">
        <f>A20</f>
        <v>643LTV</v>
      </c>
      <c r="D358" s="1227" t="str">
        <f>B20</f>
        <v>Biosystems and Technology</v>
      </c>
      <c r="E358" s="1001"/>
      <c r="F358" s="1001"/>
      <c r="G358" s="37"/>
      <c r="H358" s="37"/>
      <c r="I358" s="37"/>
      <c r="J358" s="643"/>
      <c r="K358" s="643"/>
      <c r="L358" s="642">
        <f>SUMIF('5. PERSON'!$B$17:$B$192,$C358,'5. PERSON'!AE$17:AE$192)</f>
        <v>0</v>
      </c>
      <c r="M358" s="680" t="s">
        <v>330</v>
      </c>
    </row>
    <row r="359" spans="2:15" s="3" customFormat="1" ht="6" customHeight="1" x14ac:dyDescent="0.25">
      <c r="B359" s="57"/>
      <c r="C359" s="37"/>
      <c r="D359" s="37"/>
      <c r="E359" s="37"/>
      <c r="F359" s="37"/>
      <c r="G359" s="37"/>
      <c r="H359" s="37"/>
      <c r="I359" s="37"/>
      <c r="J359" s="37"/>
      <c r="K359" s="37"/>
      <c r="L359" s="37"/>
      <c r="M359" s="37"/>
    </row>
    <row r="360" spans="2:15" s="3" customFormat="1" ht="13.2" x14ac:dyDescent="0.25">
      <c r="B360" s="110" t="str">
        <f>IF('1. INTRO'!I$2="English","Costs to be covered by funding body","Kostnader att täckas av finansiär")</f>
        <v>Costs to be covered by funding body</v>
      </c>
      <c r="C360" s="111">
        <f>'5. PERSON'!G$15</f>
        <v>1900</v>
      </c>
      <c r="D360" s="111" t="str">
        <f>'5. PERSON'!H$15</f>
        <v/>
      </c>
      <c r="E360" s="111" t="str">
        <f>'5. PERSON'!I$15</f>
        <v/>
      </c>
      <c r="F360" s="111" t="str">
        <f>'5. PERSON'!J$15</f>
        <v/>
      </c>
      <c r="G360" s="111" t="str">
        <f>'5. PERSON'!K$15</f>
        <v/>
      </c>
      <c r="H360" s="111" t="str">
        <f>'5. PERSON'!L$15</f>
        <v/>
      </c>
      <c r="I360" s="111" t="str">
        <f>'5. PERSON'!M$15</f>
        <v/>
      </c>
      <c r="J360" s="111" t="str">
        <f>'5. PERSON'!N$15</f>
        <v/>
      </c>
      <c r="K360" s="111" t="str">
        <f>'5. PERSON'!O$15</f>
        <v/>
      </c>
      <c r="L360" s="111" t="str">
        <f>'5. PERSON'!P$15</f>
        <v/>
      </c>
      <c r="M360" s="112" t="s">
        <v>2</v>
      </c>
    </row>
    <row r="361" spans="2:15" s="3" customFormat="1" ht="12.75" customHeight="1" x14ac:dyDescent="0.25">
      <c r="B361" s="682" t="str">
        <f>IF('1. INTRO'!I$2="English","Salary including social costs (LKP)","Lön inklusive LKP")</f>
        <v>Salary including social costs (LKP)</v>
      </c>
      <c r="C361" s="683">
        <f>IF('2. START'!$C$14&gt;0,SUMIF('5. PERSON'!$B$17:$B$192,$C358,'5. PERSON'!DN$17:DN$192),SUMIF('5. PERSON'!$B$17:$B$192,$C358,'5. PERSON'!AT$17:AT$192))</f>
        <v>0</v>
      </c>
      <c r="D361" s="683">
        <f>IF('2. START'!$C$14&gt;0,SUMIF('5. PERSON'!$B$17:$B$192,$C358,'5. PERSON'!DO$17:DO$192),SUMIF('5. PERSON'!$B$17:$B$192,$C358,'5. PERSON'!AU$17:AU$192))</f>
        <v>0</v>
      </c>
      <c r="E361" s="683">
        <f>IF('2. START'!$C$14&gt;0,SUMIF('5. PERSON'!$B$17:$B$192,$C358,'5. PERSON'!DP$17:DP$192),SUMIF('5. PERSON'!$B$17:$B$192,$C358,'5. PERSON'!AV$17:AV$192))</f>
        <v>0</v>
      </c>
      <c r="F361" s="683">
        <f>IF('2. START'!$C$14&gt;0,SUMIF('5. PERSON'!$B$17:$B$192,$C358,'5. PERSON'!DQ$17:DQ$192),SUMIF('5. PERSON'!$B$17:$B$192,$C358,'5. PERSON'!AW$17:AW$192))</f>
        <v>0</v>
      </c>
      <c r="G361" s="683">
        <f>IF('2. START'!$C$14&gt;0,SUMIF('5. PERSON'!$B$17:$B$192,$C358,'5. PERSON'!DR$17:DR$192),SUMIF('5. PERSON'!$B$17:$B$192,$C358,'5. PERSON'!AX$17:AX$192))</f>
        <v>0</v>
      </c>
      <c r="H361" s="683">
        <f>IF('2. START'!$C$14&gt;0,SUMIF('5. PERSON'!$B$17:$B$192,$C358,'5. PERSON'!DS$17:DS$192),SUMIF('5. PERSON'!$B$17:$B$192,$C358,'5. PERSON'!AY$17:AY$192))</f>
        <v>0</v>
      </c>
      <c r="I361" s="683">
        <f>IF('2. START'!$C$14&gt;0,SUMIF('5. PERSON'!$B$17:$B$192,$C358,'5. PERSON'!DT$17:DT$192),SUMIF('5. PERSON'!$B$17:$B$192,$C358,'5. PERSON'!AZ$17:AZ$192))</f>
        <v>0</v>
      </c>
      <c r="J361" s="683">
        <f>IF('2. START'!$C$14&gt;0,SUMIF('5. PERSON'!$B$17:$B$192,$C358,'5. PERSON'!DU$17:DU$192),SUMIF('5. PERSON'!$B$17:$B$192,$C358,'5. PERSON'!BA$17:BA$192))</f>
        <v>0</v>
      </c>
      <c r="K361" s="683">
        <f>IF('2. START'!$C$14&gt;0,SUMIF('5. PERSON'!$B$17:$B$192,$C358,'5. PERSON'!DV$17:DV$192),SUMIF('5. PERSON'!$B$17:$B$192,$C358,'5. PERSON'!BB$17:BB$192))</f>
        <v>0</v>
      </c>
      <c r="L361" s="683">
        <f>IF('2. START'!$C$14&gt;0,SUMIF('5. PERSON'!$B$17:$B$192,$C358,'5. PERSON'!DW$17:DW$192),SUMIF('5. PERSON'!$B$17:$B$192,$C358,'5. PERSON'!BC$17:BC$192))</f>
        <v>0</v>
      </c>
      <c r="M361" s="684">
        <f t="shared" ref="M361:M366" si="55">SUM(C361:L361)</f>
        <v>0</v>
      </c>
      <c r="O361" s="4"/>
    </row>
    <row r="362" spans="2:15" s="3" customFormat="1" ht="12.75" customHeight="1" x14ac:dyDescent="0.25">
      <c r="B362" s="80" t="str">
        <f>IF('1. INTRO'!I$2="English","Operating","Drift")</f>
        <v>Operating</v>
      </c>
      <c r="C362" s="116">
        <f>SUMIF('6. OPERATION'!$B$17:$B$149,$C358,'6. OPERATION'!W$17:W$149)</f>
        <v>0</v>
      </c>
      <c r="D362" s="116">
        <f>SUMIF('6. OPERATION'!$B$17:$B$149,$C358,'6. OPERATION'!X$17:X$149)</f>
        <v>0</v>
      </c>
      <c r="E362" s="116">
        <f>SUMIF('6. OPERATION'!$B$17:$B$149,$C358,'6. OPERATION'!Y$17:Y$149)</f>
        <v>0</v>
      </c>
      <c r="F362" s="116">
        <f>SUMIF('6. OPERATION'!$B$17:$B$149,$C358,'6. OPERATION'!Z$17:Z$149)</f>
        <v>0</v>
      </c>
      <c r="G362" s="116">
        <f>SUMIF('6. OPERATION'!$B$17:$B$149,$C358,'6. OPERATION'!AA$17:AA$149)</f>
        <v>0</v>
      </c>
      <c r="H362" s="116">
        <f>SUMIF('6. OPERATION'!$B$17:$B$149,$C358,'6. OPERATION'!AB$17:AB$149)</f>
        <v>0</v>
      </c>
      <c r="I362" s="116">
        <f>SUMIF('6. OPERATION'!$B$17:$B$149,$C358,'6. OPERATION'!AC$17:AC$149)</f>
        <v>0</v>
      </c>
      <c r="J362" s="116">
        <f>SUMIF('6. OPERATION'!$B$17:$B$149,$C358,'6. OPERATION'!AD$17:AD$149)</f>
        <v>0</v>
      </c>
      <c r="K362" s="116">
        <f>SUMIF('6. OPERATION'!$B$17:$B$149,$C358,'6. OPERATION'!AE$17:AE$149)</f>
        <v>0</v>
      </c>
      <c r="L362" s="116">
        <f>SUMIF('6. OPERATION'!$B$17:$B$149,$C358,'6. OPERATION'!AF$17:AF$149)</f>
        <v>0</v>
      </c>
      <c r="M362" s="117">
        <f t="shared" si="55"/>
        <v>0</v>
      </c>
    </row>
    <row r="363" spans="2:15" s="3" customFormat="1" ht="13.2" x14ac:dyDescent="0.25">
      <c r="B363" s="685" t="str">
        <f>IF('1. INTRO'!I$2="English","Equipment","Utrustning")</f>
        <v>Equipment</v>
      </c>
      <c r="C363" s="686">
        <f>SUMIF('7. INVEST'!$B$17:$B$49,$C358,'7. INVEST'!W$17:W$49)</f>
        <v>0</v>
      </c>
      <c r="D363" s="686">
        <f>SUMIF('7. INVEST'!$B$17:$B$49,$C358,'7. INVEST'!X$17:X$49)</f>
        <v>0</v>
      </c>
      <c r="E363" s="686">
        <f>SUMIF('7. INVEST'!$B$17:$B$49,$C358,'7. INVEST'!Y$17:Y$49)</f>
        <v>0</v>
      </c>
      <c r="F363" s="686">
        <f>SUMIF('7. INVEST'!$B$17:$B$49,$C358,'7. INVEST'!Z$17:Z$49)</f>
        <v>0</v>
      </c>
      <c r="G363" s="686">
        <f>SUMIF('7. INVEST'!$B$17:$B$49,$C358,'7. INVEST'!AA$17:AA$49)</f>
        <v>0</v>
      </c>
      <c r="H363" s="686">
        <f>SUMIF('7. INVEST'!$B$17:$B$49,$C358,'7. INVEST'!AB$17:AB$49)</f>
        <v>0</v>
      </c>
      <c r="I363" s="686">
        <f>SUMIF('7. INVEST'!$B$17:$B$49,$C358,'7. INVEST'!AC$17:AC$49)</f>
        <v>0</v>
      </c>
      <c r="J363" s="686">
        <f>SUMIF('7. INVEST'!$B$17:$B$49,$C358,'7. INVEST'!AD$17:AD$49)</f>
        <v>0</v>
      </c>
      <c r="K363" s="686">
        <f>SUMIF('7. INVEST'!$B$17:$B$49,$C358,'7. INVEST'!AE$17:AE$49)</f>
        <v>0</v>
      </c>
      <c r="L363" s="686">
        <f>SUMIF('7. INVEST'!$B$17:$B$49,$C358,'7. INVEST'!AF$17:AF$49)</f>
        <v>0</v>
      </c>
      <c r="M363" s="687">
        <f t="shared" si="55"/>
        <v>0</v>
      </c>
    </row>
    <row r="364" spans="2:15" s="3" customFormat="1" ht="13.2" x14ac:dyDescent="0.25">
      <c r="B364" s="121" t="str">
        <f>IF('1. INTRO'!I$2="English",(IF('2. START'!C$11="NO","Facility accepted as direct cost by funding body","Facility")),IF('2. START'!C$11="NO","Lokal accepterad som direkt kostnad av finansiär","Lokal"))</f>
        <v>Facility</v>
      </c>
      <c r="C364" s="116">
        <f>IF('2. START'!$C$11="NO",SUMIF('8. FACILIT'!$B$18:$B$50,$C358,'8. FACILIT'!T$18:T$50),SUMIF('5. PERSON'!$B$17:$B$192,$C358,'5. PERSON'!CP$17:CP$192)+SUMIF('6. OPERATION'!$B$17:$B$149,$C358,'6. OPERATION'!BS$17:BS$149)+SUMIF('8. FACILIT'!$B$18:$B$50,$C358,'8. FACILIT'!T$18:T$50))</f>
        <v>0</v>
      </c>
      <c r="D364" s="116">
        <f>IF('2. START'!$C$11="NO",SUMIF('8. FACILIT'!$B$18:$B$50,$C358,'8. FACILIT'!U$18:U$50),SUMIF('5. PERSON'!$B$17:$B$192,$C358,'5. PERSON'!CQ$17:CQ$192)+SUMIF('6. OPERATION'!$B$17:$B$149,$C358,'6. OPERATION'!BT$17:BT$149)+SUMIF('8. FACILIT'!$B$18:$B$50,$C358,'8. FACILIT'!U$18:U$50))</f>
        <v>0</v>
      </c>
      <c r="E364" s="116">
        <f>IF('2. START'!$C$11="NO",SUMIF('8. FACILIT'!$B$18:$B$50,$C358,'8. FACILIT'!V$18:V$50),SUMIF('5. PERSON'!$B$17:$B$192,$C358,'5. PERSON'!CR$17:CR$192)+SUMIF('6. OPERATION'!$B$17:$B$149,$C358,'6. OPERATION'!BU$17:BU$149)+SUMIF('8. FACILIT'!$B$18:$B$50,$C358,'8. FACILIT'!V$18:V$50))</f>
        <v>0</v>
      </c>
      <c r="F364" s="116">
        <f>IF('2. START'!$C$11="NO",SUMIF('8. FACILIT'!$B$18:$B$50,$C358,'8. FACILIT'!W$18:W$50),SUMIF('5. PERSON'!$B$17:$B$192,$C358,'5. PERSON'!CS$17:CS$192)+SUMIF('6. OPERATION'!$B$17:$B$149,$C358,'6. OPERATION'!BV$17:BV$149)+SUMIF('8. FACILIT'!$B$18:$B$50,$C358,'8. FACILIT'!W$18:W$50))</f>
        <v>0</v>
      </c>
      <c r="G364" s="116">
        <f>IF('2. START'!$C$11="NO",SUMIF('8. FACILIT'!$B$18:$B$50,$C358,'8. FACILIT'!X$18:X$50),SUMIF('5. PERSON'!$B$17:$B$192,$C358,'5. PERSON'!CT$17:CT$192)+SUMIF('6. OPERATION'!$B$17:$B$149,$C358,'6. OPERATION'!BW$17:BW$149)+SUMIF('8. FACILIT'!$B$18:$B$50,$C358,'8. FACILIT'!X$18:X$50))</f>
        <v>0</v>
      </c>
      <c r="H364" s="116">
        <f>IF('2. START'!$C$11="NO",SUMIF('8. FACILIT'!$B$18:$B$50,$C358,'8. FACILIT'!Y$18:Y$50),SUMIF('5. PERSON'!$B$17:$B$192,$C358,'5. PERSON'!CU$17:CU$192)+SUMIF('6. OPERATION'!$B$17:$B$149,$C358,'6. OPERATION'!BX$17:BX$149)+SUMIF('8. FACILIT'!$B$18:$B$50,$C358,'8. FACILIT'!Y$18:Y$50))</f>
        <v>0</v>
      </c>
      <c r="I364" s="116">
        <f>IF('2. START'!$C$11="NO",SUMIF('8. FACILIT'!$B$18:$B$50,$C358,'8. FACILIT'!Z$18:Z$50),SUMIF('5. PERSON'!$B$17:$B$192,$C358,'5. PERSON'!CV$17:CV$192)+SUMIF('6. OPERATION'!$B$17:$B$149,$C358,'6. OPERATION'!BY$17:BY$149)+SUMIF('8. FACILIT'!$B$18:$B$50,$C358,'8. FACILIT'!Z$18:Z$50))</f>
        <v>0</v>
      </c>
      <c r="J364" s="116">
        <f>IF('2. START'!$C$11="NO",SUMIF('8. FACILIT'!$B$18:$B$50,$C358,'8. FACILIT'!AA$18:AA$50),SUMIF('5. PERSON'!$B$17:$B$192,$C358,'5. PERSON'!CW$17:CW$192)+SUMIF('6. OPERATION'!$B$17:$B$149,$C358,'6. OPERATION'!BZ$17:BZ$149)+SUMIF('8. FACILIT'!$B$18:$B$50,$C358,'8. FACILIT'!AA$18:AA$50))</f>
        <v>0</v>
      </c>
      <c r="K364" s="116">
        <f>IF('2. START'!$C$11="NO",SUMIF('8. FACILIT'!$B$18:$B$50,$C358,'8. FACILIT'!AB$18:AB$50),SUMIF('5. PERSON'!$B$17:$B$192,$C358,'5. PERSON'!CX$17:CX$192)+SUMIF('6. OPERATION'!$B$17:$B$149,$C358,'6. OPERATION'!CA$17:CA$149)+SUMIF('8. FACILIT'!$B$18:$B$50,$C358,'8. FACILIT'!AB$18:AB$50))</f>
        <v>0</v>
      </c>
      <c r="L364" s="116">
        <f>IF('2. START'!$C$11="NO",SUMIF('8. FACILIT'!$B$18:$B$50,$C358,'8. FACILIT'!AC$18:AC$50),SUMIF('5. PERSON'!$B$17:$B$192,$C358,'5. PERSON'!CY$17:CY$192)+SUMIF('6. OPERATION'!$B$17:$B$149,$C358,'6. OPERATION'!CB$17:CB$149)+SUMIF('8. FACILIT'!$B$18:$B$50,$C358,'8. FACILIT'!AC$18:AC$50))</f>
        <v>0</v>
      </c>
      <c r="M364" s="117">
        <f t="shared" si="55"/>
        <v>0</v>
      </c>
    </row>
    <row r="365" spans="2:15" s="3" customFormat="1" ht="13.2" x14ac:dyDescent="0.25">
      <c r="B365" s="688" t="str">
        <f>IF('1. INTRO'!I$2="English",(IF('2. START'!C$11="NO","Indirect and facility charge accepted as OH by funding body","Indirect")),IF('2. START'!C$11="NO","Indirekt och lokalpåslag accepterade som OH av finansiär","Indirekt"))</f>
        <v>Indirect</v>
      </c>
      <c r="C365" s="689">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689">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689">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689">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689">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689">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689">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689">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689">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689">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687">
        <f t="shared" si="55"/>
        <v>0</v>
      </c>
    </row>
    <row r="366" spans="2:15" s="3" customFormat="1" ht="13.2" x14ac:dyDescent="0.25">
      <c r="B366" s="124" t="s">
        <v>113</v>
      </c>
      <c r="C366" s="102">
        <f>SUM(C361:C365)</f>
        <v>0</v>
      </c>
      <c r="D366" s="102">
        <f t="shared" ref="D366:L366" si="56">SUM(D361:D365)</f>
        <v>0</v>
      </c>
      <c r="E366" s="102">
        <f t="shared" si="56"/>
        <v>0</v>
      </c>
      <c r="F366" s="102">
        <f t="shared" si="56"/>
        <v>0</v>
      </c>
      <c r="G366" s="102">
        <f t="shared" si="56"/>
        <v>0</v>
      </c>
      <c r="H366" s="102">
        <f t="shared" si="56"/>
        <v>0</v>
      </c>
      <c r="I366" s="102">
        <f t="shared" si="56"/>
        <v>0</v>
      </c>
      <c r="J366" s="102">
        <f t="shared" si="56"/>
        <v>0</v>
      </c>
      <c r="K366" s="102">
        <f t="shared" si="56"/>
        <v>0</v>
      </c>
      <c r="L366" s="102">
        <f t="shared" si="56"/>
        <v>0</v>
      </c>
      <c r="M366" s="125">
        <f t="shared" si="55"/>
        <v>0</v>
      </c>
    </row>
    <row r="367" spans="2:15" s="3" customFormat="1" ht="6" customHeight="1" x14ac:dyDescent="0.25">
      <c r="B367" s="126"/>
      <c r="C367" s="127"/>
      <c r="D367" s="127"/>
      <c r="E367" s="127"/>
      <c r="F367" s="127"/>
      <c r="G367" s="127"/>
      <c r="H367" s="127"/>
      <c r="I367" s="127"/>
      <c r="J367" s="127"/>
      <c r="K367" s="127"/>
      <c r="L367" s="127"/>
      <c r="M367" s="128"/>
    </row>
    <row r="368" spans="2:15" s="3" customFormat="1" ht="13.2" x14ac:dyDescent="0.25">
      <c r="B368" s="129" t="str">
        <f>IF('1. INTRO'!I$2="English","Costs to be co-funded","Kostnader att medfinansiera")</f>
        <v>Costs to be co-funded</v>
      </c>
      <c r="C368" s="86"/>
      <c r="D368" s="86"/>
      <c r="E368" s="86"/>
      <c r="F368" s="86"/>
      <c r="G368" s="86"/>
      <c r="H368" s="86"/>
      <c r="I368" s="86"/>
      <c r="J368" s="86"/>
      <c r="K368" s="86"/>
      <c r="L368" s="86"/>
      <c r="M368" s="130"/>
    </row>
    <row r="369" spans="2:15" s="3" customFormat="1" ht="13.2" x14ac:dyDescent="0.25">
      <c r="B369" s="690" t="str">
        <f>IF('1. INTRO'!I$2="English",(IF('2. START'!C$11="NO","Indirect and facility charge not accepted as OH by funding body","")),IF('2. START'!C$11="NO","Indirekt och lokalpåslag inte accepterade som OH av finansiär",""))</f>
        <v/>
      </c>
      <c r="C369" s="691">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691">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691">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691">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691">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691">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691">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691">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691">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691">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684">
        <f t="shared" ref="M369:M375" si="57">SUM(C369:L369)</f>
        <v>0</v>
      </c>
    </row>
    <row r="370" spans="2:15" s="3" customFormat="1" ht="12.75" customHeight="1" x14ac:dyDescent="0.25">
      <c r="B370" s="132" t="str">
        <f>IF('1. INTRO'!I$2="English",(IF('2. START'!C$14&gt;0,"Social costs (LKP) not accepted by funding body","")),IF('2. START'!C$14&gt;0,"LKP som inte accepteras av finansiär",""))</f>
        <v/>
      </c>
      <c r="C370" s="133">
        <f>IF('2. START'!$C$14&gt;0,SUMIF('5. PERSON'!$B$17:$B$192,$C358,'5. PERSON'!AT$17:AT$192)-SUMIF('5. PERSON'!$B$17:$B$192,$C358,'5. PERSON'!DN$17:DN$192),0)</f>
        <v>0</v>
      </c>
      <c r="D370" s="133">
        <f>IF('2. START'!$C$14&gt;0,SUMIF('5. PERSON'!$B$17:$B$192,$C358,'5. PERSON'!AU$17:AU$192)-SUMIF('5. PERSON'!$B$17:$B$192,$C358,'5. PERSON'!DO$17:DO$192),0)</f>
        <v>0</v>
      </c>
      <c r="E370" s="133">
        <f>IF('2. START'!$C$14&gt;0,SUMIF('5. PERSON'!$B$17:$B$192,$C358,'5. PERSON'!AV$17:AV$192)-SUMIF('5. PERSON'!$B$17:$B$192,$C358,'5. PERSON'!DP$17:DP$192),0)</f>
        <v>0</v>
      </c>
      <c r="F370" s="133">
        <f>IF('2. START'!$C$14&gt;0,SUMIF('5. PERSON'!$B$17:$B$192,$C358,'5. PERSON'!AW$17:AW$192)-SUMIF('5. PERSON'!$B$17:$B$192,$C358,'5. PERSON'!DQ$17:DQ$192),0)</f>
        <v>0</v>
      </c>
      <c r="G370" s="133">
        <f>IF('2. START'!$C$14&gt;0,SUMIF('5. PERSON'!$B$17:$B$192,$C358,'5. PERSON'!AX$17:AX$192)-SUMIF('5. PERSON'!$B$17:$B$192,$C358,'5. PERSON'!DR$17:DR$192),0)</f>
        <v>0</v>
      </c>
      <c r="H370" s="133">
        <f>IF('2. START'!$C$14&gt;0,SUMIF('5. PERSON'!$B$17:$B$192,$C358,'5. PERSON'!AY$17:AY$192)-SUMIF('5. PERSON'!$B$17:$B$192,$C358,'5. PERSON'!DS$17:DS$192),0)</f>
        <v>0</v>
      </c>
      <c r="I370" s="133">
        <f>IF('2. START'!$C$14&gt;0,SUMIF('5. PERSON'!$B$17:$B$192,$C358,'5. PERSON'!AZ$17:AZ$192)-SUMIF('5. PERSON'!$B$17:$B$192,$C358,'5. PERSON'!DT$17:DT$192),0)</f>
        <v>0</v>
      </c>
      <c r="J370" s="133">
        <f>IF('2. START'!$C$14&gt;0,SUMIF('5. PERSON'!$B$17:$B$192,$C358,'5. PERSON'!BA$17:BA$192)-SUMIF('5. PERSON'!$B$17:$B$192,$C358,'5. PERSON'!DU$17:DU$192),0)</f>
        <v>0</v>
      </c>
      <c r="K370" s="133">
        <f>IF('2. START'!$C$14&gt;0,SUMIF('5. PERSON'!$B$17:$B$192,$C358,'5. PERSON'!BB$17:BB$192)-SUMIF('5. PERSON'!$B$17:$B$192,$C358,'5. PERSON'!DV$17:DV$192),0)</f>
        <v>0</v>
      </c>
      <c r="L370" s="133">
        <f>IF('2. START'!$C$14&gt;0,SUMIF('5. PERSON'!$B$17:$B$192,$C358,'5. PERSON'!BC$17:BC$192)-SUMIF('5. PERSON'!$B$17:$B$192,$C358,'5. PERSON'!DW$17:DW$192),0)</f>
        <v>0</v>
      </c>
      <c r="M370" s="117">
        <f t="shared" si="57"/>
        <v>0</v>
      </c>
    </row>
    <row r="371" spans="2:15" s="3" customFormat="1" ht="12.75" customHeight="1" x14ac:dyDescent="0.25">
      <c r="B371" s="685" t="str">
        <f>IF('1. INTRO'!I$2="English",(IF('5. PERSON'!BP$193&gt;0,"Salary including social costs (LKP)","")),IF('5. PERSON'!BP$193&gt;0,"Lön inklusive LKP",""))</f>
        <v/>
      </c>
      <c r="C371" s="692">
        <f>SUMIF('5. PERSON'!$B$17:$B$192,$C358,'5. PERSON'!BF$17:BF$192)</f>
        <v>0</v>
      </c>
      <c r="D371" s="692">
        <f>SUMIF('5. PERSON'!$B$17:$B$192,$C358,'5. PERSON'!BG$17:BG$192)</f>
        <v>0</v>
      </c>
      <c r="E371" s="692">
        <f>SUMIF('5. PERSON'!$B$17:$B$192,$C358,'5. PERSON'!BH$17:BH$192)</f>
        <v>0</v>
      </c>
      <c r="F371" s="692">
        <f>SUMIF('5. PERSON'!$B$17:$B$192,$C358,'5. PERSON'!BI$17:BI$192)</f>
        <v>0</v>
      </c>
      <c r="G371" s="692">
        <f>SUMIF('5. PERSON'!$B$17:$B$192,$C358,'5. PERSON'!BJ$17:BJ$192)</f>
        <v>0</v>
      </c>
      <c r="H371" s="692">
        <f>SUMIF('5. PERSON'!$B$17:$B$192,$C358,'5. PERSON'!BK$17:BK$192)</f>
        <v>0</v>
      </c>
      <c r="I371" s="692">
        <f>SUMIF('5. PERSON'!$B$17:$B$192,$C358,'5. PERSON'!BL$17:BL$192)</f>
        <v>0</v>
      </c>
      <c r="J371" s="692">
        <f>SUMIF('5. PERSON'!$B$17:$B$192,$C358,'5. PERSON'!BM$17:BM$192)</f>
        <v>0</v>
      </c>
      <c r="K371" s="692">
        <f>SUMIF('5. PERSON'!$B$17:$B$192,$C358,'5. PERSON'!BN$17:BN$192)</f>
        <v>0</v>
      </c>
      <c r="L371" s="692">
        <f>SUMIF('5. PERSON'!$B$17:$B$192,$C358,'5. PERSON'!BO$17:BO$192)</f>
        <v>0</v>
      </c>
      <c r="M371" s="687">
        <f t="shared" si="57"/>
        <v>0</v>
      </c>
    </row>
    <row r="372" spans="2:15" s="3" customFormat="1" ht="13.2" x14ac:dyDescent="0.25">
      <c r="B372" s="80" t="str">
        <f>IF('1. INTRO'!I$2="English",(IF('6. OPERATION'!AS$150&gt;0,"Operating","")),IF('6. OPERATION'!AS$150&gt;0,"Drift",""))</f>
        <v/>
      </c>
      <c r="C372" s="135">
        <f>SUMIF('6. OPERATION'!$B$17:$B$149,$C358,'6. OPERATION'!AI$17:AI$149)</f>
        <v>0</v>
      </c>
      <c r="D372" s="135">
        <f>SUMIF('6. OPERATION'!$B$17:$B$149,$C358,'6. OPERATION'!AJ$17:AJ$149)</f>
        <v>0</v>
      </c>
      <c r="E372" s="135">
        <f>SUMIF('6. OPERATION'!$B$17:$B$149,$C358,'6. OPERATION'!AK$17:AK$149)</f>
        <v>0</v>
      </c>
      <c r="F372" s="135">
        <f>SUMIF('6. OPERATION'!$B$17:$B$149,$C358,'6. OPERATION'!AL$17:AL$149)</f>
        <v>0</v>
      </c>
      <c r="G372" s="135">
        <f>SUMIF('6. OPERATION'!$B$17:$B$149,$C358,'6. OPERATION'!AM$17:AM$149)</f>
        <v>0</v>
      </c>
      <c r="H372" s="135">
        <f>SUMIF('6. OPERATION'!$B$17:$B$149,$C358,'6. OPERATION'!AN$17:AN$149)</f>
        <v>0</v>
      </c>
      <c r="I372" s="135">
        <f>SUMIF('6. OPERATION'!$B$17:$B$149,$C358,'6. OPERATION'!AO$17:AO$149)</f>
        <v>0</v>
      </c>
      <c r="J372" s="135">
        <f>SUMIF('6. OPERATION'!$B$17:$B$149,$C358,'6. OPERATION'!AP$17:AP$149)</f>
        <v>0</v>
      </c>
      <c r="K372" s="135">
        <f>SUMIF('6. OPERATION'!$B$17:$B$149,$C358,'6. OPERATION'!AQ$17:AQ$149)</f>
        <v>0</v>
      </c>
      <c r="L372" s="135">
        <f>SUMIF('6. OPERATION'!$B$17:$B$149,$C358,'6. OPERATION'!AR$17:AR$149)</f>
        <v>0</v>
      </c>
      <c r="M372" s="117">
        <f t="shared" si="57"/>
        <v>0</v>
      </c>
    </row>
    <row r="373" spans="2:15" s="3" customFormat="1" ht="13.2" x14ac:dyDescent="0.25">
      <c r="B373" s="685" t="str">
        <f>IF('1. INTRO'!I$2="English",(IF('7. INVEST'!AS$50&gt;0,"Equipment","")),IF('7. INVEST'!AS$50&gt;0,"Utrustning",""))</f>
        <v/>
      </c>
      <c r="C373" s="692">
        <f>SUMIF('7. INVEST'!$B$17:$B$49,$C358,'7. INVEST'!AI$17:AI$49)</f>
        <v>0</v>
      </c>
      <c r="D373" s="692">
        <f>SUMIF('7. INVEST'!$B$17:$B$49,$C358,'7. INVEST'!AJ$17:AJ$49)</f>
        <v>0</v>
      </c>
      <c r="E373" s="692">
        <f>SUMIF('7. INVEST'!$B$17:$B$49,$C358,'7. INVEST'!AK$17:AK$49)</f>
        <v>0</v>
      </c>
      <c r="F373" s="692">
        <f>SUMIF('7. INVEST'!$B$17:$B$49,$C358,'7. INVEST'!AL$17:AL$49)</f>
        <v>0</v>
      </c>
      <c r="G373" s="692">
        <f>SUMIF('7. INVEST'!$B$17:$B$49,$C358,'7. INVEST'!AM$17:AM$49)</f>
        <v>0</v>
      </c>
      <c r="H373" s="692">
        <f>SUMIF('7. INVEST'!$B$17:$B$49,$C358,'7. INVEST'!AN$17:AN$49)</f>
        <v>0</v>
      </c>
      <c r="I373" s="692">
        <f>SUMIF('7. INVEST'!$B$17:$B$49,$C358,'7. INVEST'!AO$17:AO$49)</f>
        <v>0</v>
      </c>
      <c r="J373" s="692">
        <f>SUMIF('7. INVEST'!$B$17:$B$49,$C358,'7. INVEST'!AP$17:AP$49)</f>
        <v>0</v>
      </c>
      <c r="K373" s="692">
        <f>SUMIF('7. INVEST'!$B$17:$B$49,$C358,'7. INVEST'!AQ$17:AQ$49)</f>
        <v>0</v>
      </c>
      <c r="L373" s="692">
        <f>SUMIF('7. INVEST'!$B$17:$B$49,$C358,'7. INVEST'!AR$17:AR$49)</f>
        <v>0</v>
      </c>
      <c r="M373" s="687">
        <f t="shared" si="57"/>
        <v>0</v>
      </c>
    </row>
    <row r="374" spans="2:15" s="3" customFormat="1" ht="13.2" x14ac:dyDescent="0.25">
      <c r="B374" s="121" t="str">
        <f>IF('1. INTRO'!I$2="English",(IF('8. FACILIT'!AP$51&gt;0,"Facility","")),IF('8. FACILIT'!AP$51&gt;0,"Lokal",""))</f>
        <v/>
      </c>
      <c r="C374" s="135">
        <f>SUMIF('5. PERSON'!$B$17:$B$192,$C358,'5. PERSON'!DB$17:DB$192)+SUMIF('6. OPERATION'!$B$17:$B$149,$C358,'6. OPERATION'!CE$17:CE$149)+SUMIF('8. FACILIT'!$B$18:$B$50,$C358,'8. FACILIT'!AF$18:AF$50)</f>
        <v>0</v>
      </c>
      <c r="D374" s="135">
        <f>SUMIF('5. PERSON'!$B$17:$B$192,$C358,'5. PERSON'!DC$17:DC$192)+SUMIF('6. OPERATION'!$B$17:$B$149,$C358,'6. OPERATION'!CF$17:CF$149)+SUMIF('8. FACILIT'!$B$18:$B$50,$C358,'8. FACILIT'!AG$18:AG$50)</f>
        <v>0</v>
      </c>
      <c r="E374" s="135">
        <f>SUMIF('5. PERSON'!$B$17:$B$192,$C358,'5. PERSON'!DD$17:DD$192)+SUMIF('6. OPERATION'!$B$17:$B$149,$C358,'6. OPERATION'!CG$17:CG$149)+SUMIF('8. FACILIT'!$B$18:$B$50,$C358,'8. FACILIT'!AH$18:AH$50)</f>
        <v>0</v>
      </c>
      <c r="F374" s="135">
        <f>SUMIF('5. PERSON'!$B$17:$B$192,$C358,'5. PERSON'!DE$17:DE$192)+SUMIF('6. OPERATION'!$B$17:$B$149,$C358,'6. OPERATION'!CH$17:CH$149)+SUMIF('8. FACILIT'!$B$18:$B$50,$C358,'8. FACILIT'!AI$18:AI$50)</f>
        <v>0</v>
      </c>
      <c r="G374" s="135">
        <f>SUMIF('5. PERSON'!$B$17:$B$192,$C358,'5. PERSON'!DF$17:DF$192)+SUMIF('6. OPERATION'!$B$17:$B$149,$C358,'6. OPERATION'!CI$17:CI$149)+SUMIF('8. FACILIT'!$B$18:$B$50,$C358,'8. FACILIT'!AJ$18:AJ$50)</f>
        <v>0</v>
      </c>
      <c r="H374" s="135">
        <f>SUMIF('5. PERSON'!$B$17:$B$192,$C358,'5. PERSON'!DG$17:DG$192)+SUMIF('6. OPERATION'!$B$17:$B$149,$C358,'6. OPERATION'!CJ$17:CJ$149)+SUMIF('8. FACILIT'!$B$18:$B$50,$C358,'8. FACILIT'!AK$18:AK$50)</f>
        <v>0</v>
      </c>
      <c r="I374" s="135">
        <f>SUMIF('5. PERSON'!$B$17:$B$192,$C358,'5. PERSON'!DH$17:DH$192)+SUMIF('6. OPERATION'!$B$17:$B$149,$C358,'6. OPERATION'!CK$17:CK$149)+SUMIF('8. FACILIT'!$B$18:$B$50,$C358,'8. FACILIT'!AL$18:AL$50)</f>
        <v>0</v>
      </c>
      <c r="J374" s="135">
        <f>SUMIF('5. PERSON'!$B$17:$B$192,$C358,'5. PERSON'!DI$17:DI$192)+SUMIF('6. OPERATION'!$B$17:$B$149,$C358,'6. OPERATION'!CL$17:CL$149)+SUMIF('8. FACILIT'!$B$18:$B$50,$C358,'8. FACILIT'!AM$18:AM$50)</f>
        <v>0</v>
      </c>
      <c r="K374" s="135">
        <f>SUMIF('5. PERSON'!$B$17:$B$192,$C358,'5. PERSON'!DJ$17:DJ$192)+SUMIF('6. OPERATION'!$B$17:$B$149,$C358,'6. OPERATION'!CM$17:CM$149)+SUMIF('8. FACILIT'!$B$18:$B$50,$C358,'8. FACILIT'!AN$18:AN$50)</f>
        <v>0</v>
      </c>
      <c r="L374" s="135">
        <f>SUMIF('5. PERSON'!$B$17:$B$192,$C358,'5. PERSON'!DK$17:DK$192)+SUMIF('6. OPERATION'!$B$17:$B$149,$C358,'6. OPERATION'!CN$17:CN$149)+SUMIF('8. FACILIT'!$B$18:$B$50,$C358,'8. FACILIT'!AO$18:AO$50)</f>
        <v>0</v>
      </c>
      <c r="M374" s="117">
        <f t="shared" si="57"/>
        <v>0</v>
      </c>
    </row>
    <row r="375" spans="2:15" s="1" customFormat="1" ht="13.2" x14ac:dyDescent="0.25">
      <c r="B375" s="688" t="str">
        <f>IF('1. INTRO'!I$2="English",(IF(('5. PERSON'!CN$193+'6. OPERATION'!BQ$150)&gt;0,"Indirect","")),IF(('5. PERSON'!CN$193+'6. OPERATION'!BQ$150)&gt;0,"Indirekt",""))</f>
        <v/>
      </c>
      <c r="C375" s="689">
        <f>SUMIF('5. PERSON'!$B$17:$B$192,$C358,'5. PERSON'!CD$17:CD$192)+SUMIF('6. OPERATION'!$B$17:$B$149,$C358,'6. OPERATION'!BG$17:BG$149)</f>
        <v>0</v>
      </c>
      <c r="D375" s="689">
        <f>SUMIF('5. PERSON'!$B$17:$B$192,$C358,'5. PERSON'!CE$17:CE$192)+SUMIF('6. OPERATION'!$B$17:$B$149,$C358,'6. OPERATION'!BH$17:BH$149)</f>
        <v>0</v>
      </c>
      <c r="E375" s="689">
        <f>SUMIF('5. PERSON'!$B$17:$B$192,$C358,'5. PERSON'!CF$17:CF$192)+SUMIF('6. OPERATION'!$B$17:$B$149,$C358,'6. OPERATION'!BI$17:BI$149)</f>
        <v>0</v>
      </c>
      <c r="F375" s="689">
        <f>SUMIF('5. PERSON'!$B$17:$B$192,$C358,'5. PERSON'!CG$17:CG$192)+SUMIF('6. OPERATION'!$B$17:$B$149,$C358,'6. OPERATION'!BJ$17:BJ$149)</f>
        <v>0</v>
      </c>
      <c r="G375" s="689">
        <f>SUMIF('5. PERSON'!$B$17:$B$192,$C358,'5. PERSON'!CH$17:CH$192)+SUMIF('6. OPERATION'!$B$17:$B$149,$C358,'6. OPERATION'!BK$17:BK$149)</f>
        <v>0</v>
      </c>
      <c r="H375" s="689">
        <f>SUMIF('5. PERSON'!$B$17:$B$192,$C358,'5. PERSON'!CI$17:CI$192)+SUMIF('6. OPERATION'!$B$17:$B$149,$C358,'6. OPERATION'!BL$17:BL$149)</f>
        <v>0</v>
      </c>
      <c r="I375" s="689">
        <f>SUMIF('5. PERSON'!$B$17:$B$192,$C358,'5. PERSON'!CJ$17:CJ$192)+SUMIF('6. OPERATION'!$B$17:$B$149,$C358,'6. OPERATION'!BM$17:BM$149)</f>
        <v>0</v>
      </c>
      <c r="J375" s="689">
        <f>SUMIF('5. PERSON'!$B$17:$B$192,$C358,'5. PERSON'!CK$17:CK$192)+SUMIF('6. OPERATION'!$B$17:$B$149,$C358,'6. OPERATION'!BN$17:BN$149)</f>
        <v>0</v>
      </c>
      <c r="K375" s="689">
        <f>SUMIF('5. PERSON'!$B$17:$B$192,$C358,'5. PERSON'!CL$17:CL$192)+SUMIF('6. OPERATION'!$B$17:$B$149,$C358,'6. OPERATION'!BO$17:BO$149)</f>
        <v>0</v>
      </c>
      <c r="L375" s="689">
        <f>SUMIF('5. PERSON'!$B$17:$B$192,$C358,'5. PERSON'!CM$17:CM$192)+SUMIF('6. OPERATION'!$B$17:$B$149,$C358,'6. OPERATION'!BP$17:BP$149)</f>
        <v>0</v>
      </c>
      <c r="M375" s="693">
        <f t="shared" si="57"/>
        <v>0</v>
      </c>
    </row>
    <row r="376" spans="2:15" s="3" customFormat="1" ht="13.2" x14ac:dyDescent="0.25">
      <c r="B376" s="124" t="s">
        <v>113</v>
      </c>
      <c r="C376" s="102">
        <f>SUM(C369:C375)</f>
        <v>0</v>
      </c>
      <c r="D376" s="102">
        <f t="shared" ref="D376:M376" si="58">SUM(D369:D375)</f>
        <v>0</v>
      </c>
      <c r="E376" s="102">
        <f t="shared" si="58"/>
        <v>0</v>
      </c>
      <c r="F376" s="102">
        <f t="shared" si="58"/>
        <v>0</v>
      </c>
      <c r="G376" s="102">
        <f t="shared" si="58"/>
        <v>0</v>
      </c>
      <c r="H376" s="102">
        <f t="shared" si="58"/>
        <v>0</v>
      </c>
      <c r="I376" s="102">
        <f t="shared" si="58"/>
        <v>0</v>
      </c>
      <c r="J376" s="102">
        <f t="shared" si="58"/>
        <v>0</v>
      </c>
      <c r="K376" s="102">
        <f t="shared" si="58"/>
        <v>0</v>
      </c>
      <c r="L376" s="102">
        <f t="shared" si="58"/>
        <v>0</v>
      </c>
      <c r="M376" s="125">
        <f t="shared" si="58"/>
        <v>0</v>
      </c>
      <c r="N376" s="23"/>
      <c r="O376" s="23"/>
    </row>
    <row r="377" spans="2:15" s="3" customFormat="1" ht="6" customHeight="1" x14ac:dyDescent="0.25">
      <c r="B377" s="136"/>
      <c r="C377" s="127"/>
      <c r="D377" s="127"/>
      <c r="E377" s="127"/>
      <c r="F377" s="127"/>
      <c r="G377" s="127"/>
      <c r="H377" s="127"/>
      <c r="I377" s="127"/>
      <c r="J377" s="127"/>
      <c r="K377" s="127"/>
      <c r="L377" s="127"/>
      <c r="M377" s="137"/>
    </row>
    <row r="378" spans="2:15" s="3" customFormat="1" ht="13.2" x14ac:dyDescent="0.25">
      <c r="B378" s="129" t="str">
        <f>IF('1. INTRO'!I$2="English","Full cost","Full kostnad")</f>
        <v>Full cost</v>
      </c>
      <c r="C378" s="127"/>
      <c r="D378" s="127"/>
      <c r="E378" s="127"/>
      <c r="F378" s="127"/>
      <c r="G378" s="127"/>
      <c r="H378" s="127"/>
      <c r="I378" s="127"/>
      <c r="J378" s="127"/>
      <c r="K378" s="127"/>
      <c r="L378" s="127"/>
      <c r="M378" s="137"/>
    </row>
    <row r="379" spans="2:15" s="3" customFormat="1" ht="13.2" x14ac:dyDescent="0.25">
      <c r="B379" s="682" t="str">
        <f>IF('1. INTRO'!I$2="English","Salary including social costs (LKP)","Lön inklusive LKP")</f>
        <v>Salary including social costs (LKP)</v>
      </c>
      <c r="C379" s="694">
        <f>C361+C370+C371</f>
        <v>0</v>
      </c>
      <c r="D379" s="694">
        <f t="shared" ref="D379:L379" si="59">D361+D370+D371</f>
        <v>0</v>
      </c>
      <c r="E379" s="694">
        <f t="shared" si="59"/>
        <v>0</v>
      </c>
      <c r="F379" s="694">
        <f t="shared" si="59"/>
        <v>0</v>
      </c>
      <c r="G379" s="694">
        <f t="shared" si="59"/>
        <v>0</v>
      </c>
      <c r="H379" s="694">
        <f t="shared" si="59"/>
        <v>0</v>
      </c>
      <c r="I379" s="694">
        <f t="shared" si="59"/>
        <v>0</v>
      </c>
      <c r="J379" s="694">
        <f t="shared" si="59"/>
        <v>0</v>
      </c>
      <c r="K379" s="694">
        <f t="shared" si="59"/>
        <v>0</v>
      </c>
      <c r="L379" s="694">
        <f t="shared" si="59"/>
        <v>0</v>
      </c>
      <c r="M379" s="684">
        <f>SUM(C379:L379)</f>
        <v>0</v>
      </c>
    </row>
    <row r="380" spans="2:15" s="3" customFormat="1" ht="13.2" x14ac:dyDescent="0.25">
      <c r="B380" s="80" t="str">
        <f>IF('1. INTRO'!I$2="English","Operating","Drift")</f>
        <v>Operating</v>
      </c>
      <c r="C380" s="139">
        <f>C362+C372</f>
        <v>0</v>
      </c>
      <c r="D380" s="139">
        <f t="shared" ref="D380:L380" si="60">D362+D372</f>
        <v>0</v>
      </c>
      <c r="E380" s="139">
        <f t="shared" si="60"/>
        <v>0</v>
      </c>
      <c r="F380" s="139">
        <f t="shared" si="60"/>
        <v>0</v>
      </c>
      <c r="G380" s="139">
        <f t="shared" si="60"/>
        <v>0</v>
      </c>
      <c r="H380" s="139">
        <f t="shared" si="60"/>
        <v>0</v>
      </c>
      <c r="I380" s="139">
        <f t="shared" si="60"/>
        <v>0</v>
      </c>
      <c r="J380" s="139">
        <f t="shared" si="60"/>
        <v>0</v>
      </c>
      <c r="K380" s="139">
        <f t="shared" si="60"/>
        <v>0</v>
      </c>
      <c r="L380" s="139">
        <f t="shared" si="60"/>
        <v>0</v>
      </c>
      <c r="M380" s="117">
        <f>SUM(C380:L380)</f>
        <v>0</v>
      </c>
    </row>
    <row r="381" spans="2:15" s="3" customFormat="1" ht="13.2" x14ac:dyDescent="0.25">
      <c r="B381" s="685" t="str">
        <f>IF('1. INTRO'!I$2="English","Equipment","Utrustning")</f>
        <v>Equipment</v>
      </c>
      <c r="C381" s="695">
        <f>C363+C373</f>
        <v>0</v>
      </c>
      <c r="D381" s="695">
        <f t="shared" ref="D381:L381" si="61">D363+D373</f>
        <v>0</v>
      </c>
      <c r="E381" s="695">
        <f t="shared" si="61"/>
        <v>0</v>
      </c>
      <c r="F381" s="695">
        <f t="shared" si="61"/>
        <v>0</v>
      </c>
      <c r="G381" s="695">
        <f t="shared" si="61"/>
        <v>0</v>
      </c>
      <c r="H381" s="695">
        <f t="shared" si="61"/>
        <v>0</v>
      </c>
      <c r="I381" s="695">
        <f t="shared" si="61"/>
        <v>0</v>
      </c>
      <c r="J381" s="695">
        <f t="shared" si="61"/>
        <v>0</v>
      </c>
      <c r="K381" s="695">
        <f t="shared" si="61"/>
        <v>0</v>
      </c>
      <c r="L381" s="695">
        <f t="shared" si="61"/>
        <v>0</v>
      </c>
      <c r="M381" s="687">
        <f>SUM(C381:L381)</f>
        <v>0</v>
      </c>
    </row>
    <row r="382" spans="2:15" s="3" customFormat="1" ht="13.2" x14ac:dyDescent="0.25">
      <c r="B382" s="80" t="str">
        <f>IF('1. INTRO'!I$2="English","Facility","Lokal")</f>
        <v>Facility</v>
      </c>
      <c r="C382" s="139">
        <f>SUMIF('5. PERSON'!$B$17:$B$192,$C358,'5. PERSON'!CP$17:CP$192)+SUMIF('5. PERSON'!$B$17:$B$192,$C358,'5. PERSON'!DB$17:DB$192)+SUMIF('6. OPERATION'!$B$17:$B$149,$C358,'6. OPERATION'!BS$17:BS$149)+SUMIF('6. OPERATION'!$B$17:$B$149,$C358,'6. OPERATION'!CE$17:CE$149)+SUMIF('8. FACILIT'!$B$18:$B$50,$C358,'8. FACILIT'!T$18:T$50)+SUMIF('8. FACILIT'!$B$18:$B$50,$C358,'8. FACILIT'!AF$18:AF$50)</f>
        <v>0</v>
      </c>
      <c r="D382" s="139">
        <f>SUMIF('5. PERSON'!$B$17:$B$192,$C358,'5. PERSON'!CQ$17:CQ$192)+SUMIF('5. PERSON'!$B$17:$B$192,$C358,'5. PERSON'!DC$17:DC$192)+SUMIF('6. OPERATION'!$B$17:$B$149,$C358,'6. OPERATION'!BT$17:BT$149)+SUMIF('6. OPERATION'!$B$17:$B$149,$C358,'6. OPERATION'!CF$17:CF$149)+SUMIF('8. FACILIT'!$B$18:$B$50,$C358,'8. FACILIT'!U$18:U$50)+SUMIF('8. FACILIT'!$B$18:$B$50,$C358,'8. FACILIT'!AG$18:AG$50)</f>
        <v>0</v>
      </c>
      <c r="E382" s="139">
        <f>SUMIF('5. PERSON'!$B$17:$B$192,$C358,'5. PERSON'!CR$17:CR$192)+SUMIF('5. PERSON'!$B$17:$B$192,$C358,'5. PERSON'!DD$17:DD$192)+SUMIF('6. OPERATION'!$B$17:$B$149,$C358,'6. OPERATION'!BU$17:BU$149)+SUMIF('6. OPERATION'!$B$17:$B$149,$C358,'6. OPERATION'!CG$17:CG$149)+SUMIF('8. FACILIT'!$B$18:$B$50,$C358,'8. FACILIT'!V$18:V$50)+SUMIF('8. FACILIT'!$B$18:$B$50,$C358,'8. FACILIT'!AH$18:AH$50)</f>
        <v>0</v>
      </c>
      <c r="F382" s="139">
        <f>SUMIF('5. PERSON'!$B$17:$B$192,$C358,'5. PERSON'!CS$17:CS$192)+SUMIF('5. PERSON'!$B$17:$B$192,$C358,'5. PERSON'!DE$17:DE$192)+SUMIF('6. OPERATION'!$B$17:$B$149,$C358,'6. OPERATION'!BV$17:BV$149)+SUMIF('6. OPERATION'!$B$17:$B$149,$C358,'6. OPERATION'!CH$17:CH$149)+SUMIF('8. FACILIT'!$B$18:$B$50,$C358,'8. FACILIT'!W$18:W$50)+SUMIF('8. FACILIT'!$B$18:$B$50,$C358,'8. FACILIT'!AI$18:AI$50)</f>
        <v>0</v>
      </c>
      <c r="G382" s="139">
        <f>SUMIF('5. PERSON'!$B$17:$B$192,$C358,'5. PERSON'!CT$17:CT$192)+SUMIF('5. PERSON'!$B$17:$B$192,$C358,'5. PERSON'!DF$17:DF$192)+SUMIF('6. OPERATION'!$B$17:$B$149,$C358,'6. OPERATION'!BW$17:BW$149)+SUMIF('6. OPERATION'!$B$17:$B$149,$C358,'6. OPERATION'!CI$17:CI$149)+SUMIF('8. FACILIT'!$B$18:$B$50,$C358,'8. FACILIT'!X$18:X$50)+SUMIF('8. FACILIT'!$B$18:$B$50,$C358,'8. FACILIT'!AJ$18:AJ$50)</f>
        <v>0</v>
      </c>
      <c r="H382" s="139">
        <f>SUMIF('5. PERSON'!$B$17:$B$192,$C358,'5. PERSON'!CU$17:CU$192)+SUMIF('5. PERSON'!$B$17:$B$192,$C358,'5. PERSON'!DG$17:DG$192)+SUMIF('6. OPERATION'!$B$17:$B$149,$C358,'6. OPERATION'!BX$17:BX$149)+SUMIF('6. OPERATION'!$B$17:$B$149,$C358,'6. OPERATION'!CJ$17:CJ$149)+SUMIF('8. FACILIT'!$B$18:$B$50,$C358,'8. FACILIT'!Y$18:Y$50)+SUMIF('8. FACILIT'!$B$18:$B$50,$C358,'8. FACILIT'!AK$18:AK$50)</f>
        <v>0</v>
      </c>
      <c r="I382" s="139">
        <f>SUMIF('5. PERSON'!$B$17:$B$192,$C358,'5. PERSON'!CV$17:CV$192)+SUMIF('5. PERSON'!$B$17:$B$192,$C358,'5. PERSON'!DH$17:DH$192)+SUMIF('6. OPERATION'!$B$17:$B$149,$C358,'6. OPERATION'!BY$17:BY$149)+SUMIF('6. OPERATION'!$B$17:$B$149,$C358,'6. OPERATION'!CK$17:CK$149)+SUMIF('8. FACILIT'!$B$18:$B$50,$C358,'8. FACILIT'!Z$18:Z$50)+SUMIF('8. FACILIT'!$B$18:$B$50,$C358,'8. FACILIT'!AL$18:AL$50)</f>
        <v>0</v>
      </c>
      <c r="J382" s="139">
        <f>SUMIF('5. PERSON'!$B$17:$B$192,$C358,'5. PERSON'!CW$17:CW$192)+SUMIF('5. PERSON'!$B$17:$B$192,$C358,'5. PERSON'!DI$17:DI$192)+SUMIF('6. OPERATION'!$B$17:$B$149,$C358,'6. OPERATION'!BZ$17:BZ$149)+SUMIF('6. OPERATION'!$B$17:$B$149,$C358,'6. OPERATION'!CL$17:CL$149)+SUMIF('8. FACILIT'!$B$18:$B$50,$C358,'8. FACILIT'!AA$18:AA$50)+SUMIF('8. FACILIT'!$B$18:$B$50,$C358,'8. FACILIT'!AM$18:AM$50)</f>
        <v>0</v>
      </c>
      <c r="K382" s="139">
        <f>SUMIF('5. PERSON'!$B$17:$B$192,$C358,'5. PERSON'!CX$17:CX$192)+SUMIF('5. PERSON'!$B$17:$B$192,$C358,'5. PERSON'!DJ$17:DJ$192)+SUMIF('6. OPERATION'!$B$17:$B$149,$C358,'6. OPERATION'!CA$17:CA$149)+SUMIF('6. OPERATION'!$B$17:$B$149,$C358,'6. OPERATION'!CM$17:CM$149)+SUMIF('8. FACILIT'!$B$18:$B$50,$C358,'8. FACILIT'!AB$18:AB$50)+SUMIF('8. FACILIT'!$B$18:$B$50,$C358,'8. FACILIT'!AN$18:AN$50)</f>
        <v>0</v>
      </c>
      <c r="L382" s="139">
        <f>SUMIF('5. PERSON'!$B$17:$B$192,$C358,'5. PERSON'!CY$17:CY$192)+SUMIF('5. PERSON'!$B$17:$B$192,$C358,'5. PERSON'!DK$17:DK$192)+SUMIF('6. OPERATION'!$B$17:$B$149,$C358,'6. OPERATION'!CB$17:CB$149)+SUMIF('6. OPERATION'!$B$17:$B$149,$C358,'6. OPERATION'!CN$17:CN$149)+SUMIF('8. FACILIT'!$B$18:$B$50,$C358,'8. FACILIT'!AC$18:AC$50)+SUMIF('8. FACILIT'!$B$18:$B$50,$C358,'8. FACILIT'!AO$18:AO$50)</f>
        <v>0</v>
      </c>
      <c r="M382" s="117">
        <f>SUM(C382:L382)</f>
        <v>0</v>
      </c>
    </row>
    <row r="383" spans="2:15" s="3" customFormat="1" ht="13.2" x14ac:dyDescent="0.25">
      <c r="B383" s="696" t="str">
        <f>IF('1. INTRO'!I$2="English","Indirect","Indirekt")</f>
        <v>Indirect</v>
      </c>
      <c r="C383" s="697">
        <f>SUMIF('5. PERSON'!$B$17:$B$192,$C358,'5. PERSON'!BR$17:BR$192)+SUMIF('5. PERSON'!$B$17:$B$192,$C358,'5. PERSON'!CD$17:CD$192)+SUMIF('6. OPERATION'!$B$17:$B$149,$C358,'6. OPERATION'!AU$17:AU$149)+SUMIF('6. OPERATION'!$B$17:$B$149,$C358,'6. OPERATION'!BG$17:BG$149)</f>
        <v>0</v>
      </c>
      <c r="D383" s="697">
        <f>SUMIF('5. PERSON'!$B$17:$B$192,$C358,'5. PERSON'!BS$17:BS$192)+SUMIF('5. PERSON'!$B$17:$B$192,$C358,'5. PERSON'!CE$17:CE$192)+SUMIF('6. OPERATION'!$B$17:$B$149,$C358,'6. OPERATION'!AV$17:AV$149)+SUMIF('6. OPERATION'!$B$17:$B$149,$C358,'6. OPERATION'!BH$17:BH$149)</f>
        <v>0</v>
      </c>
      <c r="E383" s="697">
        <f>SUMIF('5. PERSON'!$B$17:$B$192,$C358,'5. PERSON'!BT$17:BT$192)+SUMIF('5. PERSON'!$B$17:$B$192,$C358,'5. PERSON'!CF$17:CF$192)+SUMIF('6. OPERATION'!$B$17:$B$149,$C358,'6. OPERATION'!AW$17:AW$149)+SUMIF('6. OPERATION'!$B$17:$B$149,$C358,'6. OPERATION'!BI$17:BI$149)</f>
        <v>0</v>
      </c>
      <c r="F383" s="697">
        <f>SUMIF('5. PERSON'!$B$17:$B$192,$C358,'5. PERSON'!BU$17:BU$192)+SUMIF('5. PERSON'!$B$17:$B$192,$C358,'5. PERSON'!CG$17:CG$192)+SUMIF('6. OPERATION'!$B$17:$B$149,$C358,'6. OPERATION'!AX$17:AX$149)+SUMIF('6. OPERATION'!$B$17:$B$149,$C358,'6. OPERATION'!BJ$17:BJ$149)</f>
        <v>0</v>
      </c>
      <c r="G383" s="697">
        <f>SUMIF('5. PERSON'!$B$17:$B$192,$C358,'5. PERSON'!BV$17:BV$192)+SUMIF('5. PERSON'!$B$17:$B$192,$C358,'5. PERSON'!CH$17:CH$192)+SUMIF('6. OPERATION'!$B$17:$B$149,$C358,'6. OPERATION'!AY$17:AY$149)+SUMIF('6. OPERATION'!$B$17:$B$149,$C358,'6. OPERATION'!BK$17:BK$149)</f>
        <v>0</v>
      </c>
      <c r="H383" s="697">
        <f>SUMIF('5. PERSON'!$B$17:$B$192,$C358,'5. PERSON'!BW$17:BW$192)+SUMIF('5. PERSON'!$B$17:$B$192,$C358,'5. PERSON'!CI$17:CI$192)+SUMIF('6. OPERATION'!$B$17:$B$149,$C358,'6. OPERATION'!AZ$17:AZ$149)+SUMIF('6. OPERATION'!$B$17:$B$149,$C358,'6. OPERATION'!BL$17:BL$149)</f>
        <v>0</v>
      </c>
      <c r="I383" s="697">
        <f>SUMIF('5. PERSON'!$B$17:$B$192,$C358,'5. PERSON'!BX$17:BX$192)+SUMIF('5. PERSON'!$B$17:$B$192,$C358,'5. PERSON'!CJ$17:CJ$192)+SUMIF('6. OPERATION'!$B$17:$B$149,$C358,'6. OPERATION'!BA$17:BA$149)+SUMIF('6. OPERATION'!$B$17:$B$149,$C358,'6. OPERATION'!BM$17:BM$149)</f>
        <v>0</v>
      </c>
      <c r="J383" s="697">
        <f>SUMIF('5. PERSON'!$B$17:$B$192,$C358,'5. PERSON'!BY$17:BY$192)+SUMIF('5. PERSON'!$B$17:$B$192,$C358,'5. PERSON'!CK$17:CK$192)+SUMIF('6. OPERATION'!$B$17:$B$149,$C358,'6. OPERATION'!BB$17:BB$149)+SUMIF('6. OPERATION'!$B$17:$B$149,$C358,'6. OPERATION'!BN$17:BN$149)</f>
        <v>0</v>
      </c>
      <c r="K383" s="697">
        <f>SUMIF('5. PERSON'!$B$17:$B$192,$C358,'5. PERSON'!BZ$17:BZ$192)+SUMIF('5. PERSON'!$B$17:$B$192,$C358,'5. PERSON'!CL$17:CL$192)+SUMIF('6. OPERATION'!$B$17:$B$149,$C358,'6. OPERATION'!BC$17:BC$149)+SUMIF('6. OPERATION'!$B$17:$B$149,$C358,'6. OPERATION'!BO$17:BO$149)</f>
        <v>0</v>
      </c>
      <c r="L383" s="697">
        <f>SUMIF('5. PERSON'!$B$17:$B$192,$C358,'5. PERSON'!CA$17:CA$192)+SUMIF('5. PERSON'!$B$17:$B$192,$C358,'5. PERSON'!CM$17:CM$192)+SUMIF('6. OPERATION'!$B$17:$B$149,$C358,'6. OPERATION'!BD$17:BD$149)+SUMIF('6. OPERATION'!$B$17:$B$149,$C358,'6. OPERATION'!BP$17:BP$149)</f>
        <v>0</v>
      </c>
      <c r="M383" s="693">
        <f>SUM(C383:L383)</f>
        <v>0</v>
      </c>
    </row>
    <row r="384" spans="2:15" s="3" customFormat="1" ht="13.2" x14ac:dyDescent="0.25">
      <c r="B384" s="124" t="s">
        <v>113</v>
      </c>
      <c r="C384" s="88">
        <f>SUM(C379:C383)</f>
        <v>0</v>
      </c>
      <c r="D384" s="88">
        <f t="shared" ref="D384:M384" si="62">SUM(D379:D383)</f>
        <v>0</v>
      </c>
      <c r="E384" s="88">
        <f t="shared" si="62"/>
        <v>0</v>
      </c>
      <c r="F384" s="88">
        <f t="shared" si="62"/>
        <v>0</v>
      </c>
      <c r="G384" s="88">
        <f t="shared" si="62"/>
        <v>0</v>
      </c>
      <c r="H384" s="88">
        <f t="shared" si="62"/>
        <v>0</v>
      </c>
      <c r="I384" s="88">
        <f t="shared" si="62"/>
        <v>0</v>
      </c>
      <c r="J384" s="88">
        <f t="shared" si="62"/>
        <v>0</v>
      </c>
      <c r="K384" s="88">
        <f t="shared" si="62"/>
        <v>0</v>
      </c>
      <c r="L384" s="88">
        <f t="shared" si="62"/>
        <v>0</v>
      </c>
      <c r="M384" s="142">
        <f t="shared" si="62"/>
        <v>0</v>
      </c>
    </row>
    <row r="385" spans="2:13" s="3" customFormat="1" ht="13.2" x14ac:dyDescent="0.25">
      <c r="B385" s="287"/>
      <c r="C385" s="37"/>
      <c r="D385" s="37"/>
      <c r="E385" s="37"/>
      <c r="F385" s="37"/>
      <c r="G385" s="37"/>
      <c r="H385" s="37"/>
      <c r="I385" s="37"/>
      <c r="J385" s="37"/>
      <c r="K385" s="37"/>
      <c r="L385" s="37"/>
      <c r="M385" s="37"/>
    </row>
    <row r="386" spans="2:13" s="3" customFormat="1" ht="12.75" customHeight="1" x14ac:dyDescent="0.25">
      <c r="B386" s="656" t="str">
        <f>IF('1. INTRO'!I$2="English","Co-funding share in full cost ","Medfinansieringsandel i full kostnad ")</f>
        <v xml:space="preserve">Co-funding share in full cost </v>
      </c>
      <c r="C386" s="143" t="str">
        <f t="shared" ref="C386:M386" si="63">IF(C384&gt;0,C376/C384,"")</f>
        <v/>
      </c>
      <c r="D386" s="143" t="str">
        <f t="shared" si="63"/>
        <v/>
      </c>
      <c r="E386" s="143" t="str">
        <f t="shared" si="63"/>
        <v/>
      </c>
      <c r="F386" s="143" t="str">
        <f t="shared" si="63"/>
        <v/>
      </c>
      <c r="G386" s="143" t="str">
        <f t="shared" si="63"/>
        <v/>
      </c>
      <c r="H386" s="143" t="str">
        <f t="shared" si="63"/>
        <v/>
      </c>
      <c r="I386" s="143" t="str">
        <f t="shared" si="63"/>
        <v/>
      </c>
      <c r="J386" s="143" t="str">
        <f t="shared" si="63"/>
        <v/>
      </c>
      <c r="K386" s="143" t="str">
        <f t="shared" si="63"/>
        <v/>
      </c>
      <c r="L386" s="143" t="str">
        <f t="shared" si="63"/>
        <v/>
      </c>
      <c r="M386" s="143" t="str">
        <f t="shared" si="63"/>
        <v/>
      </c>
    </row>
    <row r="387" spans="2:13" ht="12.75" customHeight="1" x14ac:dyDescent="0.2"/>
    <row r="388" spans="2:13" ht="12.75" customHeight="1" x14ac:dyDescent="0.25">
      <c r="D388" s="656" t="str">
        <f>IF('1. INTRO'!I$2="English","Co-funding need in average per year: ","Medfinansieringsbehov i genomsnitt per år: ")</f>
        <v xml:space="preserve">Co-funding need in average per year: </v>
      </c>
      <c r="E388" s="698" t="str">
        <f>IF(M376=0,"",M376/(DATEDIF('2. START'!C$18,'2. START'!C$19,"d")/365))</f>
        <v/>
      </c>
      <c r="H388" s="656" t="str">
        <f>IF('1. INTRO'!I$2="English","Co-funding need 1/3 of total: ","Medfinansieringsbehov 1/3 av totalt: ")</f>
        <v xml:space="preserve">Co-funding need 1/3 of total: </v>
      </c>
      <c r="I388" s="698">
        <f>M376/3</f>
        <v>0</v>
      </c>
      <c r="L388" s="287" t="str">
        <f>IF('1. INTRO'!I$2="English","Co-funding need total: ","Medfinansieringsbehov totalt: ")</f>
        <v xml:space="preserve">Co-funding need total: </v>
      </c>
      <c r="M388" s="698">
        <f>M376</f>
        <v>0</v>
      </c>
    </row>
    <row r="389" spans="2:13" ht="12.75" customHeight="1" x14ac:dyDescent="0.25">
      <c r="B389" s="53" t="str">
        <f>IF('1. INTRO'!I$2="English","Co-funding sources","Medfinansieringskällor")</f>
        <v>Co-funding sources</v>
      </c>
    </row>
    <row r="390" spans="2:13" ht="12.75" customHeight="1" x14ac:dyDescent="0.25">
      <c r="B390" s="225"/>
      <c r="C390" s="226"/>
      <c r="D390" s="226"/>
      <c r="E390" s="226"/>
      <c r="F390" s="226"/>
      <c r="G390" s="226"/>
      <c r="H390" s="226"/>
      <c r="I390" s="226"/>
      <c r="J390" s="226"/>
      <c r="K390" s="226"/>
      <c r="L390" s="227"/>
      <c r="M390" s="168">
        <f>SUM(C390:L390)</f>
        <v>0</v>
      </c>
    </row>
    <row r="391" spans="2:13" ht="12.75" customHeight="1" x14ac:dyDescent="0.25">
      <c r="B391" s="228"/>
      <c r="C391" s="229"/>
      <c r="D391" s="229"/>
      <c r="E391" s="229"/>
      <c r="F391" s="229"/>
      <c r="G391" s="229"/>
      <c r="H391" s="229"/>
      <c r="I391" s="229"/>
      <c r="J391" s="229"/>
      <c r="K391" s="229"/>
      <c r="L391" s="230"/>
      <c r="M391" s="687">
        <f t="shared" ref="M391:M394" si="64">SUM(C391:L391)</f>
        <v>0</v>
      </c>
    </row>
    <row r="392" spans="2:13" ht="12.75" customHeight="1" x14ac:dyDescent="0.25">
      <c r="B392" s="231"/>
      <c r="C392" s="232"/>
      <c r="D392" s="232"/>
      <c r="E392" s="232"/>
      <c r="F392" s="232"/>
      <c r="G392" s="232"/>
      <c r="H392" s="232"/>
      <c r="I392" s="232"/>
      <c r="J392" s="232"/>
      <c r="K392" s="232"/>
      <c r="L392" s="233"/>
      <c r="M392" s="117">
        <f t="shared" si="64"/>
        <v>0</v>
      </c>
    </row>
    <row r="393" spans="2:13" ht="12.75" customHeight="1" x14ac:dyDescent="0.25">
      <c r="B393" s="228"/>
      <c r="C393" s="229"/>
      <c r="D393" s="229"/>
      <c r="E393" s="229"/>
      <c r="F393" s="229"/>
      <c r="G393" s="229"/>
      <c r="H393" s="229"/>
      <c r="I393" s="229"/>
      <c r="J393" s="229"/>
      <c r="K393" s="229"/>
      <c r="L393" s="230"/>
      <c r="M393" s="687">
        <f t="shared" si="64"/>
        <v>0</v>
      </c>
    </row>
    <row r="394" spans="2:13" ht="12.75" customHeight="1" x14ac:dyDescent="0.25">
      <c r="B394" s="93"/>
      <c r="C394" s="232"/>
      <c r="D394" s="232"/>
      <c r="E394" s="232"/>
      <c r="F394" s="232"/>
      <c r="G394" s="232"/>
      <c r="H394" s="232"/>
      <c r="I394" s="232"/>
      <c r="J394" s="232"/>
      <c r="K394" s="232"/>
      <c r="L394" s="233"/>
      <c r="M394" s="117">
        <f t="shared" si="64"/>
        <v>0</v>
      </c>
    </row>
    <row r="395" spans="2:13" ht="12.75" customHeight="1" x14ac:dyDescent="0.25">
      <c r="B395" s="84" t="str">
        <f>IF('1. INTRO'!I$2="English","Total co-funding ","Total medfinansiering ")</f>
        <v xml:space="preserve">Total co-funding </v>
      </c>
      <c r="C395" s="87">
        <f t="shared" ref="C395:M395" si="65">SUM(C390:C394)</f>
        <v>0</v>
      </c>
      <c r="D395" s="87">
        <f t="shared" si="65"/>
        <v>0</v>
      </c>
      <c r="E395" s="87">
        <f t="shared" si="65"/>
        <v>0</v>
      </c>
      <c r="F395" s="87">
        <f t="shared" si="65"/>
        <v>0</v>
      </c>
      <c r="G395" s="87">
        <f t="shared" si="65"/>
        <v>0</v>
      </c>
      <c r="H395" s="87">
        <f t="shared" si="65"/>
        <v>0</v>
      </c>
      <c r="I395" s="87">
        <f t="shared" si="65"/>
        <v>0</v>
      </c>
      <c r="J395" s="87">
        <f t="shared" si="65"/>
        <v>0</v>
      </c>
      <c r="K395" s="87">
        <f t="shared" si="65"/>
        <v>0</v>
      </c>
      <c r="L395" s="87">
        <f t="shared" si="65"/>
        <v>0</v>
      </c>
      <c r="M395" s="142">
        <f t="shared" si="65"/>
        <v>0</v>
      </c>
    </row>
    <row r="396" spans="2:13" ht="12.75" customHeight="1" x14ac:dyDescent="0.2"/>
    <row r="397" spans="2:13" ht="12.75" customHeight="1" x14ac:dyDescent="0.2">
      <c r="B397" s="667" t="str">
        <f>IF('1. INTRO'!I$2="English","Calculation comments","Kalkylkommentarer")</f>
        <v>Calculation comments</v>
      </c>
    </row>
    <row r="398" spans="2:13" ht="12.75" customHeight="1" x14ac:dyDescent="0.2">
      <c r="B398" s="1142"/>
      <c r="C398" s="1143"/>
      <c r="D398" s="1143"/>
      <c r="E398" s="1143"/>
      <c r="F398" s="1143"/>
      <c r="G398" s="1143"/>
      <c r="H398" s="1143"/>
      <c r="I398" s="1143"/>
      <c r="J398" s="1143"/>
      <c r="K398" s="1143"/>
      <c r="L398" s="1143"/>
      <c r="M398" s="1144"/>
    </row>
    <row r="399" spans="2:13" ht="12.75" customHeight="1" x14ac:dyDescent="0.2">
      <c r="B399" s="1145"/>
      <c r="C399" s="1226"/>
      <c r="D399" s="1226"/>
      <c r="E399" s="1226"/>
      <c r="F399" s="1226"/>
      <c r="G399" s="1226"/>
      <c r="H399" s="1226"/>
      <c r="I399" s="1226"/>
      <c r="J399" s="1226"/>
      <c r="K399" s="1226"/>
      <c r="L399" s="1226"/>
      <c r="M399" s="1147"/>
    </row>
    <row r="400" spans="2:13" ht="12.75" customHeight="1" x14ac:dyDescent="0.2">
      <c r="B400" s="1145"/>
      <c r="C400" s="1226"/>
      <c r="D400" s="1226"/>
      <c r="E400" s="1226"/>
      <c r="F400" s="1226"/>
      <c r="G400" s="1226"/>
      <c r="H400" s="1226"/>
      <c r="I400" s="1226"/>
      <c r="J400" s="1226"/>
      <c r="K400" s="1226"/>
      <c r="L400" s="1226"/>
      <c r="M400" s="1147"/>
    </row>
    <row r="401" spans="2:15" ht="12.75" customHeight="1" x14ac:dyDescent="0.2">
      <c r="B401" s="1145"/>
      <c r="C401" s="1226"/>
      <c r="D401" s="1226"/>
      <c r="E401" s="1226"/>
      <c r="F401" s="1226"/>
      <c r="G401" s="1226"/>
      <c r="H401" s="1226"/>
      <c r="I401" s="1226"/>
      <c r="J401" s="1226"/>
      <c r="K401" s="1226"/>
      <c r="L401" s="1226"/>
      <c r="M401" s="1147"/>
    </row>
    <row r="402" spans="2:15" ht="12.75" customHeight="1" x14ac:dyDescent="0.2">
      <c r="B402" s="1148"/>
      <c r="C402" s="1149"/>
      <c r="D402" s="1149"/>
      <c r="E402" s="1149"/>
      <c r="F402" s="1149"/>
      <c r="G402" s="1149"/>
      <c r="H402" s="1149"/>
      <c r="I402" s="1149"/>
      <c r="J402" s="1149"/>
      <c r="K402" s="1149"/>
      <c r="L402" s="1149"/>
      <c r="M402" s="1150"/>
    </row>
    <row r="404" spans="2:15" s="3" customFormat="1" ht="12.75" customHeight="1" x14ac:dyDescent="0.25">
      <c r="B404" s="313" t="str">
        <f>'3. PARTNER'!C$4</f>
        <v xml:space="preserve">Project: </v>
      </c>
      <c r="C404" s="1062" t="str">
        <f>'3. PARTNER'!D$4</f>
        <v/>
      </c>
      <c r="D404" s="1001"/>
      <c r="E404" s="1001"/>
      <c r="F404" s="1001"/>
      <c r="G404" s="1001"/>
      <c r="H404" s="1001"/>
      <c r="I404" s="1001"/>
      <c r="J404" s="1001"/>
      <c r="K404" s="1001"/>
      <c r="L404" s="1001"/>
      <c r="M404" s="1001"/>
    </row>
    <row r="405" spans="2:15" s="3" customFormat="1" ht="13.2" x14ac:dyDescent="0.25">
      <c r="B405" s="313" t="str">
        <f>'3. PARTNER'!C$5</f>
        <v xml:space="preserve">Calculation for: </v>
      </c>
      <c r="C405" s="1062" t="str">
        <f>'3. PARTNER'!D$5</f>
        <v>APPLICATION</v>
      </c>
      <c r="D405" s="1001"/>
      <c r="E405" s="268"/>
      <c r="F405" s="268"/>
      <c r="G405" s="268"/>
      <c r="H405" s="268"/>
      <c r="I405" s="268"/>
      <c r="J405" s="268"/>
      <c r="K405" s="268"/>
      <c r="L405" s="268"/>
      <c r="M405" s="268"/>
    </row>
    <row r="406" spans="2:15" s="3" customFormat="1" ht="13.2" x14ac:dyDescent="0.25">
      <c r="B406" s="35" t="str">
        <f>'3. PARTNER'!C$6</f>
        <v xml:space="preserve">Project leader: </v>
      </c>
      <c r="C406" s="1062" t="str">
        <f>'3. PARTNER'!D$6</f>
        <v/>
      </c>
      <c r="D406" s="1001"/>
      <c r="E406" s="1001"/>
      <c r="F406" s="1001"/>
      <c r="G406" s="1001"/>
      <c r="H406" s="1001"/>
      <c r="I406" s="1001"/>
      <c r="J406" s="1001"/>
      <c r="K406" s="1001"/>
      <c r="L406" s="1001"/>
      <c r="M406" s="1001"/>
    </row>
    <row r="407" spans="2:15" s="3" customFormat="1" ht="13.2" x14ac:dyDescent="0.25">
      <c r="B407" s="313" t="str">
        <f>'5. PERSON'!B$7</f>
        <v xml:space="preserve">Amounts in: </v>
      </c>
      <c r="C407" s="655" t="str">
        <f>'5. PERSON'!C$7</f>
        <v>SEK</v>
      </c>
      <c r="D407" s="268"/>
      <c r="E407" s="268"/>
      <c r="F407" s="268"/>
      <c r="G407" s="234"/>
      <c r="H407" s="234"/>
      <c r="I407" s="270"/>
      <c r="J407" s="270"/>
      <c r="K407" s="270"/>
      <c r="L407" s="270"/>
      <c r="M407" s="270"/>
    </row>
    <row r="408" spans="2:15" s="3" customFormat="1" ht="13.2" x14ac:dyDescent="0.25">
      <c r="B408" s="313"/>
      <c r="C408" s="1053" t="str">
        <f>'3. PARTNER'!D$7</f>
        <v>Other basic data about the project is in sheet 2.</v>
      </c>
      <c r="D408" s="1001"/>
      <c r="E408" s="1001"/>
      <c r="F408" s="1001"/>
      <c r="G408" s="234"/>
      <c r="H408" s="234"/>
      <c r="I408" s="270"/>
      <c r="J408" s="270"/>
      <c r="K408" s="270"/>
      <c r="L408" s="251" t="s">
        <v>4</v>
      </c>
      <c r="M408" s="270"/>
    </row>
    <row r="409" spans="2:15" ht="12.75" customHeight="1" x14ac:dyDescent="0.2">
      <c r="J409" s="252" t="s">
        <v>322</v>
      </c>
      <c r="K409" s="252" t="s">
        <v>323</v>
      </c>
      <c r="L409" s="252" t="str">
        <f>IF('1. INTRO'!I$2="English","months","månader")</f>
        <v>months</v>
      </c>
    </row>
    <row r="410" spans="2:15" s="3" customFormat="1" ht="13.8" x14ac:dyDescent="0.25">
      <c r="B410" s="157" t="str">
        <f>IF('1. INTRO'!I$2="English","Project costs","Projektkostnader")</f>
        <v>Project costs</v>
      </c>
      <c r="C410" s="668" t="str">
        <f>A21</f>
        <v>644LTV</v>
      </c>
      <c r="D410" s="1227" t="str">
        <f>B21</f>
        <v>Landscape Architecture, Planning and Management</v>
      </c>
      <c r="E410" s="1001"/>
      <c r="F410" s="1001"/>
      <c r="G410" s="1001"/>
      <c r="H410" s="1001"/>
      <c r="I410" s="37"/>
      <c r="J410" s="643"/>
      <c r="K410" s="643"/>
      <c r="L410" s="642">
        <f>SUMIF('5. PERSON'!$B$17:$B$192,$C410,'5. PERSON'!AE$17:AE$192)</f>
        <v>0</v>
      </c>
      <c r="M410" s="680" t="s">
        <v>330</v>
      </c>
    </row>
    <row r="411" spans="2:15" s="3" customFormat="1" ht="6" customHeight="1" x14ac:dyDescent="0.25">
      <c r="B411" s="57"/>
      <c r="C411" s="37"/>
      <c r="D411" s="37"/>
      <c r="E411" s="37"/>
      <c r="F411" s="37"/>
      <c r="G411" s="37"/>
      <c r="H411" s="37"/>
      <c r="I411" s="37"/>
      <c r="J411" s="37"/>
      <c r="K411" s="37"/>
      <c r="L411" s="37"/>
      <c r="M411" s="37"/>
    </row>
    <row r="412" spans="2:15" s="3" customFormat="1" ht="13.2" x14ac:dyDescent="0.25">
      <c r="B412" s="110" t="str">
        <f>IF('1. INTRO'!I$2="English","Costs to be covered by funding body","Kostnader att täckas av finansiär")</f>
        <v>Costs to be covered by funding body</v>
      </c>
      <c r="C412" s="111">
        <f>'5. PERSON'!G$15</f>
        <v>1900</v>
      </c>
      <c r="D412" s="111" t="str">
        <f>'5. PERSON'!H$15</f>
        <v/>
      </c>
      <c r="E412" s="111" t="str">
        <f>'5. PERSON'!I$15</f>
        <v/>
      </c>
      <c r="F412" s="111" t="str">
        <f>'5. PERSON'!J$15</f>
        <v/>
      </c>
      <c r="G412" s="111" t="str">
        <f>'5. PERSON'!K$15</f>
        <v/>
      </c>
      <c r="H412" s="111" t="str">
        <f>'5. PERSON'!L$15</f>
        <v/>
      </c>
      <c r="I412" s="111" t="str">
        <f>'5. PERSON'!M$15</f>
        <v/>
      </c>
      <c r="J412" s="111" t="str">
        <f>'5. PERSON'!N$15</f>
        <v/>
      </c>
      <c r="K412" s="111" t="str">
        <f>'5. PERSON'!O$15</f>
        <v/>
      </c>
      <c r="L412" s="111" t="str">
        <f>'5. PERSON'!P$15</f>
        <v/>
      </c>
      <c r="M412" s="112" t="s">
        <v>2</v>
      </c>
    </row>
    <row r="413" spans="2:15" s="3" customFormat="1" ht="12.75" customHeight="1" x14ac:dyDescent="0.25">
      <c r="B413" s="682" t="str">
        <f>IF('1. INTRO'!I$2="English","Salary including social costs (LKP)","Lön inklusive LKP")</f>
        <v>Salary including social costs (LKP)</v>
      </c>
      <c r="C413" s="683">
        <f>IF('2. START'!$C$14&gt;0,SUMIF('5. PERSON'!$B$17:$B$192,$C410,'5. PERSON'!DN$17:DN$192),SUMIF('5. PERSON'!$B$17:$B$192,$C410,'5. PERSON'!AT$17:AT$192))</f>
        <v>0</v>
      </c>
      <c r="D413" s="683">
        <f>IF('2. START'!$C$14&gt;0,SUMIF('5. PERSON'!$B$17:$B$192,$C410,'5. PERSON'!DO$17:DO$192),SUMIF('5. PERSON'!$B$17:$B$192,$C410,'5. PERSON'!AU$17:AU$192))</f>
        <v>0</v>
      </c>
      <c r="E413" s="683">
        <f>IF('2. START'!$C$14&gt;0,SUMIF('5. PERSON'!$B$17:$B$192,$C410,'5. PERSON'!DP$17:DP$192),SUMIF('5. PERSON'!$B$17:$B$192,$C410,'5. PERSON'!AV$17:AV$192))</f>
        <v>0</v>
      </c>
      <c r="F413" s="683">
        <f>IF('2. START'!$C$14&gt;0,SUMIF('5. PERSON'!$B$17:$B$192,$C410,'5. PERSON'!DQ$17:DQ$192),SUMIF('5. PERSON'!$B$17:$B$192,$C410,'5. PERSON'!AW$17:AW$192))</f>
        <v>0</v>
      </c>
      <c r="G413" s="683">
        <f>IF('2. START'!$C$14&gt;0,SUMIF('5. PERSON'!$B$17:$B$192,$C410,'5. PERSON'!DR$17:DR$192),SUMIF('5. PERSON'!$B$17:$B$192,$C410,'5. PERSON'!AX$17:AX$192))</f>
        <v>0</v>
      </c>
      <c r="H413" s="683">
        <f>IF('2. START'!$C$14&gt;0,SUMIF('5. PERSON'!$B$17:$B$192,$C410,'5. PERSON'!DS$17:DS$192),SUMIF('5. PERSON'!$B$17:$B$192,$C410,'5. PERSON'!AY$17:AY$192))</f>
        <v>0</v>
      </c>
      <c r="I413" s="683">
        <f>IF('2. START'!$C$14&gt;0,SUMIF('5. PERSON'!$B$17:$B$192,$C410,'5. PERSON'!DT$17:DT$192),SUMIF('5. PERSON'!$B$17:$B$192,$C410,'5. PERSON'!AZ$17:AZ$192))</f>
        <v>0</v>
      </c>
      <c r="J413" s="683">
        <f>IF('2. START'!$C$14&gt;0,SUMIF('5. PERSON'!$B$17:$B$192,$C410,'5. PERSON'!DU$17:DU$192),SUMIF('5. PERSON'!$B$17:$B$192,$C410,'5. PERSON'!BA$17:BA$192))</f>
        <v>0</v>
      </c>
      <c r="K413" s="683">
        <f>IF('2. START'!$C$14&gt;0,SUMIF('5. PERSON'!$B$17:$B$192,$C410,'5. PERSON'!DV$17:DV$192),SUMIF('5. PERSON'!$B$17:$B$192,$C410,'5. PERSON'!BB$17:BB$192))</f>
        <v>0</v>
      </c>
      <c r="L413" s="683">
        <f>IF('2. START'!$C$14&gt;0,SUMIF('5. PERSON'!$B$17:$B$192,$C410,'5. PERSON'!DW$17:DW$192),SUMIF('5. PERSON'!$B$17:$B$192,$C410,'5. PERSON'!BC$17:BC$192))</f>
        <v>0</v>
      </c>
      <c r="M413" s="684">
        <f t="shared" ref="M413:M418" si="66">SUM(C413:L413)</f>
        <v>0</v>
      </c>
      <c r="O413" s="4"/>
    </row>
    <row r="414" spans="2:15" s="3" customFormat="1" ht="12.75" customHeight="1" x14ac:dyDescent="0.25">
      <c r="B414" s="80" t="str">
        <f>IF('1. INTRO'!I$2="English","Operating","Drift")</f>
        <v>Operating</v>
      </c>
      <c r="C414" s="116">
        <f>SUMIF('6. OPERATION'!$B$17:$B$149,$C410,'6. OPERATION'!W$17:W$149)</f>
        <v>0</v>
      </c>
      <c r="D414" s="116">
        <f>SUMIF('6. OPERATION'!$B$17:$B$149,$C410,'6. OPERATION'!X$17:X$149)</f>
        <v>0</v>
      </c>
      <c r="E414" s="116">
        <f>SUMIF('6. OPERATION'!$B$17:$B$149,$C410,'6. OPERATION'!Y$17:Y$149)</f>
        <v>0</v>
      </c>
      <c r="F414" s="116">
        <f>SUMIF('6. OPERATION'!$B$17:$B$149,$C410,'6. OPERATION'!Z$17:Z$149)</f>
        <v>0</v>
      </c>
      <c r="G414" s="116">
        <f>SUMIF('6. OPERATION'!$B$17:$B$149,$C410,'6. OPERATION'!AA$17:AA$149)</f>
        <v>0</v>
      </c>
      <c r="H414" s="116">
        <f>SUMIF('6. OPERATION'!$B$17:$B$149,$C410,'6. OPERATION'!AB$17:AB$149)</f>
        <v>0</v>
      </c>
      <c r="I414" s="116">
        <f>SUMIF('6. OPERATION'!$B$17:$B$149,$C410,'6. OPERATION'!AC$17:AC$149)</f>
        <v>0</v>
      </c>
      <c r="J414" s="116">
        <f>SUMIF('6. OPERATION'!$B$17:$B$149,$C410,'6. OPERATION'!AD$17:AD$149)</f>
        <v>0</v>
      </c>
      <c r="K414" s="116">
        <f>SUMIF('6. OPERATION'!$B$17:$B$149,$C410,'6. OPERATION'!AE$17:AE$149)</f>
        <v>0</v>
      </c>
      <c r="L414" s="116">
        <f>SUMIF('6. OPERATION'!$B$17:$B$149,$C410,'6. OPERATION'!AF$17:AF$149)</f>
        <v>0</v>
      </c>
      <c r="M414" s="117">
        <f t="shared" si="66"/>
        <v>0</v>
      </c>
    </row>
    <row r="415" spans="2:15" s="3" customFormat="1" ht="13.2" x14ac:dyDescent="0.25">
      <c r="B415" s="685" t="str">
        <f>IF('1. INTRO'!I$2="English","Equipment","Utrustning")</f>
        <v>Equipment</v>
      </c>
      <c r="C415" s="686">
        <f>SUMIF('7. INVEST'!$B$17:$B$49,$C410,'7. INVEST'!W$17:W$49)</f>
        <v>0</v>
      </c>
      <c r="D415" s="686">
        <f>SUMIF('7. INVEST'!$B$17:$B$49,$C410,'7. INVEST'!X$17:X$49)</f>
        <v>0</v>
      </c>
      <c r="E415" s="686">
        <f>SUMIF('7. INVEST'!$B$17:$B$49,$C410,'7. INVEST'!Y$17:Y$49)</f>
        <v>0</v>
      </c>
      <c r="F415" s="686">
        <f>SUMIF('7. INVEST'!$B$17:$B$49,$C410,'7. INVEST'!Z$17:Z$49)</f>
        <v>0</v>
      </c>
      <c r="G415" s="686">
        <f>SUMIF('7. INVEST'!$B$17:$B$49,$C410,'7. INVEST'!AA$17:AA$49)</f>
        <v>0</v>
      </c>
      <c r="H415" s="686">
        <f>SUMIF('7. INVEST'!$B$17:$B$49,$C410,'7. INVEST'!AB$17:AB$49)</f>
        <v>0</v>
      </c>
      <c r="I415" s="686">
        <f>SUMIF('7. INVEST'!$B$17:$B$49,$C410,'7. INVEST'!AC$17:AC$49)</f>
        <v>0</v>
      </c>
      <c r="J415" s="686">
        <f>SUMIF('7. INVEST'!$B$17:$B$49,$C410,'7. INVEST'!AD$17:AD$49)</f>
        <v>0</v>
      </c>
      <c r="K415" s="686">
        <f>SUMIF('7. INVEST'!$B$17:$B$49,$C410,'7. INVEST'!AE$17:AE$49)</f>
        <v>0</v>
      </c>
      <c r="L415" s="686">
        <f>SUMIF('7. INVEST'!$B$17:$B$49,$C410,'7. INVEST'!AF$17:AF$49)</f>
        <v>0</v>
      </c>
      <c r="M415" s="687">
        <f t="shared" si="66"/>
        <v>0</v>
      </c>
    </row>
    <row r="416" spans="2:15" s="3" customFormat="1" ht="13.2" x14ac:dyDescent="0.25">
      <c r="B416" s="121" t="str">
        <f>IF('1. INTRO'!I$2="English",(IF('2. START'!C$11="NO","Facility accepted as direct cost by funding body","Facility")),IF('2. START'!C$11="NO","Lokal accepterad som direkt kostnad av finansiär","Lokal"))</f>
        <v>Facility</v>
      </c>
      <c r="C416" s="116">
        <f>IF('2. START'!$C$11="NO",SUMIF('8. FACILIT'!$B$18:$B$50,$C410,'8. FACILIT'!T$18:T$50),SUMIF('5. PERSON'!$B$17:$B$192,$C410,'5. PERSON'!CP$17:CP$192)+SUMIF('6. OPERATION'!$B$17:$B$149,$C410,'6. OPERATION'!BS$17:BS$149)+SUMIF('8. FACILIT'!$B$18:$B$50,$C410,'8. FACILIT'!T$18:T$50))</f>
        <v>0</v>
      </c>
      <c r="D416" s="116">
        <f>IF('2. START'!$C$11="NO",SUMIF('8. FACILIT'!$B$18:$B$50,$C410,'8. FACILIT'!U$18:U$50),SUMIF('5. PERSON'!$B$17:$B$192,$C410,'5. PERSON'!CQ$17:CQ$192)+SUMIF('6. OPERATION'!$B$17:$B$149,$C410,'6. OPERATION'!BT$17:BT$149)+SUMIF('8. FACILIT'!$B$18:$B$50,$C410,'8. FACILIT'!U$18:U$50))</f>
        <v>0</v>
      </c>
      <c r="E416" s="116">
        <f>IF('2. START'!$C$11="NO",SUMIF('8. FACILIT'!$B$18:$B$50,$C410,'8. FACILIT'!V$18:V$50),SUMIF('5. PERSON'!$B$17:$B$192,$C410,'5. PERSON'!CR$17:CR$192)+SUMIF('6. OPERATION'!$B$17:$B$149,$C410,'6. OPERATION'!BU$17:BU$149)+SUMIF('8. FACILIT'!$B$18:$B$50,$C410,'8. FACILIT'!V$18:V$50))</f>
        <v>0</v>
      </c>
      <c r="F416" s="116">
        <f>IF('2. START'!$C$11="NO",SUMIF('8. FACILIT'!$B$18:$B$50,$C410,'8. FACILIT'!W$18:W$50),SUMIF('5. PERSON'!$B$17:$B$192,$C410,'5. PERSON'!CS$17:CS$192)+SUMIF('6. OPERATION'!$B$17:$B$149,$C410,'6. OPERATION'!BV$17:BV$149)+SUMIF('8. FACILIT'!$B$18:$B$50,$C410,'8. FACILIT'!W$18:W$50))</f>
        <v>0</v>
      </c>
      <c r="G416" s="116">
        <f>IF('2. START'!$C$11="NO",SUMIF('8. FACILIT'!$B$18:$B$50,$C410,'8. FACILIT'!X$18:X$50),SUMIF('5. PERSON'!$B$17:$B$192,$C410,'5. PERSON'!CT$17:CT$192)+SUMIF('6. OPERATION'!$B$17:$B$149,$C410,'6. OPERATION'!BW$17:BW$149)+SUMIF('8. FACILIT'!$B$18:$B$50,$C410,'8. FACILIT'!X$18:X$50))</f>
        <v>0</v>
      </c>
      <c r="H416" s="116">
        <f>IF('2. START'!$C$11="NO",SUMIF('8. FACILIT'!$B$18:$B$50,$C410,'8. FACILIT'!Y$18:Y$50),SUMIF('5. PERSON'!$B$17:$B$192,$C410,'5. PERSON'!CU$17:CU$192)+SUMIF('6. OPERATION'!$B$17:$B$149,$C410,'6. OPERATION'!BX$17:BX$149)+SUMIF('8. FACILIT'!$B$18:$B$50,$C410,'8. FACILIT'!Y$18:Y$50))</f>
        <v>0</v>
      </c>
      <c r="I416" s="116">
        <f>IF('2. START'!$C$11="NO",SUMIF('8. FACILIT'!$B$18:$B$50,$C410,'8. FACILIT'!Z$18:Z$50),SUMIF('5. PERSON'!$B$17:$B$192,$C410,'5. PERSON'!CV$17:CV$192)+SUMIF('6. OPERATION'!$B$17:$B$149,$C410,'6. OPERATION'!BY$17:BY$149)+SUMIF('8. FACILIT'!$B$18:$B$50,$C410,'8. FACILIT'!Z$18:Z$50))</f>
        <v>0</v>
      </c>
      <c r="J416" s="116">
        <f>IF('2. START'!$C$11="NO",SUMIF('8. FACILIT'!$B$18:$B$50,$C410,'8. FACILIT'!AA$18:AA$50),SUMIF('5. PERSON'!$B$17:$B$192,$C410,'5. PERSON'!CW$17:CW$192)+SUMIF('6. OPERATION'!$B$17:$B$149,$C410,'6. OPERATION'!BZ$17:BZ$149)+SUMIF('8. FACILIT'!$B$18:$B$50,$C410,'8. FACILIT'!AA$18:AA$50))</f>
        <v>0</v>
      </c>
      <c r="K416" s="116">
        <f>IF('2. START'!$C$11="NO",SUMIF('8. FACILIT'!$B$18:$B$50,$C410,'8. FACILIT'!AB$18:AB$50),SUMIF('5. PERSON'!$B$17:$B$192,$C410,'5. PERSON'!CX$17:CX$192)+SUMIF('6. OPERATION'!$B$17:$B$149,$C410,'6. OPERATION'!CA$17:CA$149)+SUMIF('8. FACILIT'!$B$18:$B$50,$C410,'8. FACILIT'!AB$18:AB$50))</f>
        <v>0</v>
      </c>
      <c r="L416" s="116">
        <f>IF('2. START'!$C$11="NO",SUMIF('8. FACILIT'!$B$18:$B$50,$C410,'8. FACILIT'!AC$18:AC$50),SUMIF('5. PERSON'!$B$17:$B$192,$C410,'5. PERSON'!CY$17:CY$192)+SUMIF('6. OPERATION'!$B$17:$B$149,$C410,'6. OPERATION'!CB$17:CB$149)+SUMIF('8. FACILIT'!$B$18:$B$50,$C410,'8. FACILIT'!AC$18:AC$50))</f>
        <v>0</v>
      </c>
      <c r="M416" s="117">
        <f t="shared" si="66"/>
        <v>0</v>
      </c>
    </row>
    <row r="417" spans="2:15" s="3" customFormat="1" ht="13.2" x14ac:dyDescent="0.25">
      <c r="B417" s="688" t="str">
        <f>IF('1. INTRO'!I$2="English",(IF('2. START'!C$11="NO","Indirect and facility charge accepted as OH by funding body","Indirect")),IF('2. START'!C$11="NO","Indirekt och lokalpåslag accepterade som OH av finansiär","Indirekt"))</f>
        <v>Indirect</v>
      </c>
      <c r="C417" s="689">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689">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689">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689">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689">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689">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689">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689">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689">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689">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687">
        <f t="shared" si="66"/>
        <v>0</v>
      </c>
    </row>
    <row r="418" spans="2:15" s="3" customFormat="1" ht="13.2" x14ac:dyDescent="0.25">
      <c r="B418" s="124" t="s">
        <v>113</v>
      </c>
      <c r="C418" s="102">
        <f>SUM(C413:C417)</f>
        <v>0</v>
      </c>
      <c r="D418" s="102">
        <f t="shared" ref="D418:L418" si="67">SUM(D413:D417)</f>
        <v>0</v>
      </c>
      <c r="E418" s="102">
        <f t="shared" si="67"/>
        <v>0</v>
      </c>
      <c r="F418" s="102">
        <f t="shared" si="67"/>
        <v>0</v>
      </c>
      <c r="G418" s="102">
        <f t="shared" si="67"/>
        <v>0</v>
      </c>
      <c r="H418" s="102">
        <f t="shared" si="67"/>
        <v>0</v>
      </c>
      <c r="I418" s="102">
        <f t="shared" si="67"/>
        <v>0</v>
      </c>
      <c r="J418" s="102">
        <f t="shared" si="67"/>
        <v>0</v>
      </c>
      <c r="K418" s="102">
        <f t="shared" si="67"/>
        <v>0</v>
      </c>
      <c r="L418" s="102">
        <f t="shared" si="67"/>
        <v>0</v>
      </c>
      <c r="M418" s="125">
        <f t="shared" si="66"/>
        <v>0</v>
      </c>
    </row>
    <row r="419" spans="2:15" s="3" customFormat="1" ht="6" customHeight="1" x14ac:dyDescent="0.25">
      <c r="B419" s="126"/>
      <c r="C419" s="127"/>
      <c r="D419" s="127"/>
      <c r="E419" s="127"/>
      <c r="F419" s="127"/>
      <c r="G419" s="127"/>
      <c r="H419" s="127"/>
      <c r="I419" s="127"/>
      <c r="J419" s="127"/>
      <c r="K419" s="127"/>
      <c r="L419" s="127"/>
      <c r="M419" s="128"/>
    </row>
    <row r="420" spans="2:15" s="3" customFormat="1" ht="13.2" x14ac:dyDescent="0.25">
      <c r="B420" s="129" t="str">
        <f>IF('1. INTRO'!I$2="English","Costs to be co-funded","Kostnader att medfinansiera")</f>
        <v>Costs to be co-funded</v>
      </c>
      <c r="C420" s="86"/>
      <c r="D420" s="86"/>
      <c r="E420" s="86"/>
      <c r="F420" s="86"/>
      <c r="G420" s="86"/>
      <c r="H420" s="86"/>
      <c r="I420" s="86"/>
      <c r="J420" s="86"/>
      <c r="K420" s="86"/>
      <c r="L420" s="86"/>
      <c r="M420" s="130"/>
    </row>
    <row r="421" spans="2:15" s="3" customFormat="1" ht="13.2" x14ac:dyDescent="0.25">
      <c r="B421" s="690" t="str">
        <f>IF('1. INTRO'!I$2="English",(IF('2. START'!C$11="NO","Indirect and facility charge not accepted as OH by funding body","")),IF('2. START'!C$11="NO","Indirekt och lokalpåslag inte accepterade som OH av finansiär",""))</f>
        <v/>
      </c>
      <c r="C421" s="691">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691">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691">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691">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691">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691">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691">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691">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691">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691">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684">
        <f t="shared" ref="M421:M427" si="68">SUM(C421:L421)</f>
        <v>0</v>
      </c>
    </row>
    <row r="422" spans="2:15" s="3" customFormat="1" ht="12.75" customHeight="1" x14ac:dyDescent="0.25">
      <c r="B422" s="132" t="str">
        <f>IF('1. INTRO'!I$2="English",(IF('2. START'!C$14&gt;0,"Social costs (LKP) not accepted by funding body","")),IF('2. START'!C$14&gt;0,"LKP som inte accepteras av finansiär",""))</f>
        <v/>
      </c>
      <c r="C422" s="133">
        <f>IF('2. START'!$C$14&gt;0,SUMIF('5. PERSON'!$B$17:$B$192,$C410,'5. PERSON'!AT$17:AT$192)-SUMIF('5. PERSON'!$B$17:$B$192,$C410,'5. PERSON'!DN$17:DN$192),0)</f>
        <v>0</v>
      </c>
      <c r="D422" s="133">
        <f>IF('2. START'!$C$14&gt;0,SUMIF('5. PERSON'!$B$17:$B$192,$C410,'5. PERSON'!AU$17:AU$192)-SUMIF('5. PERSON'!$B$17:$B$192,$C410,'5. PERSON'!DO$17:DO$192),0)</f>
        <v>0</v>
      </c>
      <c r="E422" s="133">
        <f>IF('2. START'!$C$14&gt;0,SUMIF('5. PERSON'!$B$17:$B$192,$C410,'5. PERSON'!AV$17:AV$192)-SUMIF('5. PERSON'!$B$17:$B$192,$C410,'5. PERSON'!DP$17:DP$192),0)</f>
        <v>0</v>
      </c>
      <c r="F422" s="133">
        <f>IF('2. START'!$C$14&gt;0,SUMIF('5. PERSON'!$B$17:$B$192,$C410,'5. PERSON'!AW$17:AW$192)-SUMIF('5. PERSON'!$B$17:$B$192,$C410,'5. PERSON'!DQ$17:DQ$192),0)</f>
        <v>0</v>
      </c>
      <c r="G422" s="133">
        <f>IF('2. START'!$C$14&gt;0,SUMIF('5. PERSON'!$B$17:$B$192,$C410,'5. PERSON'!AX$17:AX$192)-SUMIF('5. PERSON'!$B$17:$B$192,$C410,'5. PERSON'!DR$17:DR$192),0)</f>
        <v>0</v>
      </c>
      <c r="H422" s="133">
        <f>IF('2. START'!$C$14&gt;0,SUMIF('5. PERSON'!$B$17:$B$192,$C410,'5. PERSON'!AY$17:AY$192)-SUMIF('5. PERSON'!$B$17:$B$192,$C410,'5. PERSON'!DS$17:DS$192),0)</f>
        <v>0</v>
      </c>
      <c r="I422" s="133">
        <f>IF('2. START'!$C$14&gt;0,SUMIF('5. PERSON'!$B$17:$B$192,$C410,'5. PERSON'!AZ$17:AZ$192)-SUMIF('5. PERSON'!$B$17:$B$192,$C410,'5. PERSON'!DT$17:DT$192),0)</f>
        <v>0</v>
      </c>
      <c r="J422" s="133">
        <f>IF('2. START'!$C$14&gt;0,SUMIF('5. PERSON'!$B$17:$B$192,$C410,'5. PERSON'!BA$17:BA$192)-SUMIF('5. PERSON'!$B$17:$B$192,$C410,'5. PERSON'!DU$17:DU$192),0)</f>
        <v>0</v>
      </c>
      <c r="K422" s="133">
        <f>IF('2. START'!$C$14&gt;0,SUMIF('5. PERSON'!$B$17:$B$192,$C410,'5. PERSON'!BB$17:BB$192)-SUMIF('5. PERSON'!$B$17:$B$192,$C410,'5. PERSON'!DV$17:DV$192),0)</f>
        <v>0</v>
      </c>
      <c r="L422" s="133">
        <f>IF('2. START'!$C$14&gt;0,SUMIF('5. PERSON'!$B$17:$B$192,$C410,'5. PERSON'!BC$17:BC$192)-SUMIF('5. PERSON'!$B$17:$B$192,$C410,'5. PERSON'!DW$17:DW$192),0)</f>
        <v>0</v>
      </c>
      <c r="M422" s="117">
        <f t="shared" si="68"/>
        <v>0</v>
      </c>
    </row>
    <row r="423" spans="2:15" s="3" customFormat="1" ht="12.75" customHeight="1" x14ac:dyDescent="0.25">
      <c r="B423" s="685" t="str">
        <f>IF('1. INTRO'!I$2="English",(IF('5. PERSON'!BP$193&gt;0,"Salary including social costs (LKP)","")),IF('5. PERSON'!BP$193&gt;0,"Lön inklusive LKP",""))</f>
        <v/>
      </c>
      <c r="C423" s="692">
        <f>SUMIF('5. PERSON'!$B$17:$B$192,$C410,'5. PERSON'!BF$17:BF$192)</f>
        <v>0</v>
      </c>
      <c r="D423" s="692">
        <f>SUMIF('5. PERSON'!$B$17:$B$192,$C410,'5. PERSON'!BG$17:BG$192)</f>
        <v>0</v>
      </c>
      <c r="E423" s="692">
        <f>SUMIF('5. PERSON'!$B$17:$B$192,$C410,'5. PERSON'!BH$17:BH$192)</f>
        <v>0</v>
      </c>
      <c r="F423" s="692">
        <f>SUMIF('5. PERSON'!$B$17:$B$192,$C410,'5. PERSON'!BI$17:BI$192)</f>
        <v>0</v>
      </c>
      <c r="G423" s="692">
        <f>SUMIF('5. PERSON'!$B$17:$B$192,$C410,'5. PERSON'!BJ$17:BJ$192)</f>
        <v>0</v>
      </c>
      <c r="H423" s="692">
        <f>SUMIF('5. PERSON'!$B$17:$B$192,$C410,'5. PERSON'!BK$17:BK$192)</f>
        <v>0</v>
      </c>
      <c r="I423" s="692">
        <f>SUMIF('5. PERSON'!$B$17:$B$192,$C410,'5. PERSON'!BL$17:BL$192)</f>
        <v>0</v>
      </c>
      <c r="J423" s="692">
        <f>SUMIF('5. PERSON'!$B$17:$B$192,$C410,'5. PERSON'!BM$17:BM$192)</f>
        <v>0</v>
      </c>
      <c r="K423" s="692">
        <f>SUMIF('5. PERSON'!$B$17:$B$192,$C410,'5. PERSON'!BN$17:BN$192)</f>
        <v>0</v>
      </c>
      <c r="L423" s="692">
        <f>SUMIF('5. PERSON'!$B$17:$B$192,$C410,'5. PERSON'!BO$17:BO$192)</f>
        <v>0</v>
      </c>
      <c r="M423" s="687">
        <f t="shared" si="68"/>
        <v>0</v>
      </c>
    </row>
    <row r="424" spans="2:15" s="3" customFormat="1" ht="13.2" x14ac:dyDescent="0.25">
      <c r="B424" s="80" t="str">
        <f>IF('1. INTRO'!I$2="English",(IF('6. OPERATION'!AS$150&gt;0,"Operating","")),IF('6. OPERATION'!AS$150&gt;0,"Drift",""))</f>
        <v/>
      </c>
      <c r="C424" s="135">
        <f>SUMIF('6. OPERATION'!$B$17:$B$149,$C410,'6. OPERATION'!AI$17:AI$149)</f>
        <v>0</v>
      </c>
      <c r="D424" s="135">
        <f>SUMIF('6. OPERATION'!$B$17:$B$149,$C410,'6. OPERATION'!AJ$17:AJ$149)</f>
        <v>0</v>
      </c>
      <c r="E424" s="135">
        <f>SUMIF('6. OPERATION'!$B$17:$B$149,$C410,'6. OPERATION'!AK$17:AK$149)</f>
        <v>0</v>
      </c>
      <c r="F424" s="135">
        <f>SUMIF('6. OPERATION'!$B$17:$B$149,$C410,'6. OPERATION'!AL$17:AL$149)</f>
        <v>0</v>
      </c>
      <c r="G424" s="135">
        <f>SUMIF('6. OPERATION'!$B$17:$B$149,$C410,'6. OPERATION'!AM$17:AM$149)</f>
        <v>0</v>
      </c>
      <c r="H424" s="135">
        <f>SUMIF('6. OPERATION'!$B$17:$B$149,$C410,'6. OPERATION'!AN$17:AN$149)</f>
        <v>0</v>
      </c>
      <c r="I424" s="135">
        <f>SUMIF('6. OPERATION'!$B$17:$B$149,$C410,'6. OPERATION'!AO$17:AO$149)</f>
        <v>0</v>
      </c>
      <c r="J424" s="135">
        <f>SUMIF('6. OPERATION'!$B$17:$B$149,$C410,'6. OPERATION'!AP$17:AP$149)</f>
        <v>0</v>
      </c>
      <c r="K424" s="135">
        <f>SUMIF('6. OPERATION'!$B$17:$B$149,$C410,'6. OPERATION'!AQ$17:AQ$149)</f>
        <v>0</v>
      </c>
      <c r="L424" s="135">
        <f>SUMIF('6. OPERATION'!$B$17:$B$149,$C410,'6. OPERATION'!AR$17:AR$149)</f>
        <v>0</v>
      </c>
      <c r="M424" s="117">
        <f t="shared" si="68"/>
        <v>0</v>
      </c>
    </row>
    <row r="425" spans="2:15" s="3" customFormat="1" ht="13.2" x14ac:dyDescent="0.25">
      <c r="B425" s="685" t="str">
        <f>IF('1. INTRO'!I$2="English",(IF('7. INVEST'!AS$50&gt;0,"Equipment","")),IF('7. INVEST'!AS$50&gt;0,"Utrustning",""))</f>
        <v/>
      </c>
      <c r="C425" s="692">
        <f>SUMIF('7. INVEST'!$B$17:$B$49,$C410,'7. INVEST'!AI$17:AI$49)</f>
        <v>0</v>
      </c>
      <c r="D425" s="692">
        <f>SUMIF('7. INVEST'!$B$17:$B$49,$C410,'7. INVEST'!AJ$17:AJ$49)</f>
        <v>0</v>
      </c>
      <c r="E425" s="692">
        <f>SUMIF('7. INVEST'!$B$17:$B$49,$C410,'7. INVEST'!AK$17:AK$49)</f>
        <v>0</v>
      </c>
      <c r="F425" s="692">
        <f>SUMIF('7. INVEST'!$B$17:$B$49,$C410,'7. INVEST'!AL$17:AL$49)</f>
        <v>0</v>
      </c>
      <c r="G425" s="692">
        <f>SUMIF('7. INVEST'!$B$17:$B$49,$C410,'7. INVEST'!AM$17:AM$49)</f>
        <v>0</v>
      </c>
      <c r="H425" s="692">
        <f>SUMIF('7. INVEST'!$B$17:$B$49,$C410,'7. INVEST'!AN$17:AN$49)</f>
        <v>0</v>
      </c>
      <c r="I425" s="692">
        <f>SUMIF('7. INVEST'!$B$17:$B$49,$C410,'7. INVEST'!AO$17:AO$49)</f>
        <v>0</v>
      </c>
      <c r="J425" s="692">
        <f>SUMIF('7. INVEST'!$B$17:$B$49,$C410,'7. INVEST'!AP$17:AP$49)</f>
        <v>0</v>
      </c>
      <c r="K425" s="692">
        <f>SUMIF('7. INVEST'!$B$17:$B$49,$C410,'7. INVEST'!AQ$17:AQ$49)</f>
        <v>0</v>
      </c>
      <c r="L425" s="692">
        <f>SUMIF('7. INVEST'!$B$17:$B$49,$C410,'7. INVEST'!AR$17:AR$49)</f>
        <v>0</v>
      </c>
      <c r="M425" s="687">
        <f t="shared" si="68"/>
        <v>0</v>
      </c>
    </row>
    <row r="426" spans="2:15" s="3" customFormat="1" ht="13.2" x14ac:dyDescent="0.25">
      <c r="B426" s="121" t="str">
        <f>IF('1. INTRO'!I$2="English",(IF('8. FACILIT'!AP$51&gt;0,"Facility","")),IF('8. FACILIT'!AP$51&gt;0,"Lokal",""))</f>
        <v/>
      </c>
      <c r="C426" s="135">
        <f>SUMIF('5. PERSON'!$B$17:$B$192,$C410,'5. PERSON'!DB$17:DB$192)+SUMIF('6. OPERATION'!$B$17:$B$149,$C410,'6. OPERATION'!CE$17:CE$149)+SUMIF('8. FACILIT'!$B$18:$B$50,$C410,'8. FACILIT'!AF$18:AF$50)</f>
        <v>0</v>
      </c>
      <c r="D426" s="135">
        <f>SUMIF('5. PERSON'!$B$17:$B$192,$C410,'5. PERSON'!DC$17:DC$192)+SUMIF('6. OPERATION'!$B$17:$B$149,$C410,'6. OPERATION'!CF$17:CF$149)+SUMIF('8. FACILIT'!$B$18:$B$50,$C410,'8. FACILIT'!AG$18:AG$50)</f>
        <v>0</v>
      </c>
      <c r="E426" s="135">
        <f>SUMIF('5. PERSON'!$B$17:$B$192,$C410,'5. PERSON'!DD$17:DD$192)+SUMIF('6. OPERATION'!$B$17:$B$149,$C410,'6. OPERATION'!CG$17:CG$149)+SUMIF('8. FACILIT'!$B$18:$B$50,$C410,'8. FACILIT'!AH$18:AH$50)</f>
        <v>0</v>
      </c>
      <c r="F426" s="135">
        <f>SUMIF('5. PERSON'!$B$17:$B$192,$C410,'5. PERSON'!DE$17:DE$192)+SUMIF('6. OPERATION'!$B$17:$B$149,$C410,'6. OPERATION'!CH$17:CH$149)+SUMIF('8. FACILIT'!$B$18:$B$50,$C410,'8. FACILIT'!AI$18:AI$50)</f>
        <v>0</v>
      </c>
      <c r="G426" s="135">
        <f>SUMIF('5. PERSON'!$B$17:$B$192,$C410,'5. PERSON'!DF$17:DF$192)+SUMIF('6. OPERATION'!$B$17:$B$149,$C410,'6. OPERATION'!CI$17:CI$149)+SUMIF('8. FACILIT'!$B$18:$B$50,$C410,'8. FACILIT'!AJ$18:AJ$50)</f>
        <v>0</v>
      </c>
      <c r="H426" s="135">
        <f>SUMIF('5. PERSON'!$B$17:$B$192,$C410,'5. PERSON'!DG$17:DG$192)+SUMIF('6. OPERATION'!$B$17:$B$149,$C410,'6. OPERATION'!CJ$17:CJ$149)+SUMIF('8. FACILIT'!$B$18:$B$50,$C410,'8. FACILIT'!AK$18:AK$50)</f>
        <v>0</v>
      </c>
      <c r="I426" s="135">
        <f>SUMIF('5. PERSON'!$B$17:$B$192,$C410,'5. PERSON'!DH$17:DH$192)+SUMIF('6. OPERATION'!$B$17:$B$149,$C410,'6. OPERATION'!CK$17:CK$149)+SUMIF('8. FACILIT'!$B$18:$B$50,$C410,'8. FACILIT'!AL$18:AL$50)</f>
        <v>0</v>
      </c>
      <c r="J426" s="135">
        <f>SUMIF('5. PERSON'!$B$17:$B$192,$C410,'5. PERSON'!DI$17:DI$192)+SUMIF('6. OPERATION'!$B$17:$B$149,$C410,'6. OPERATION'!CL$17:CL$149)+SUMIF('8. FACILIT'!$B$18:$B$50,$C410,'8. FACILIT'!AM$18:AM$50)</f>
        <v>0</v>
      </c>
      <c r="K426" s="135">
        <f>SUMIF('5. PERSON'!$B$17:$B$192,$C410,'5. PERSON'!DJ$17:DJ$192)+SUMIF('6. OPERATION'!$B$17:$B$149,$C410,'6. OPERATION'!CM$17:CM$149)+SUMIF('8. FACILIT'!$B$18:$B$50,$C410,'8. FACILIT'!AN$18:AN$50)</f>
        <v>0</v>
      </c>
      <c r="L426" s="135">
        <f>SUMIF('5. PERSON'!$B$17:$B$192,$C410,'5. PERSON'!DK$17:DK$192)+SUMIF('6. OPERATION'!$B$17:$B$149,$C410,'6. OPERATION'!CN$17:CN$149)+SUMIF('8. FACILIT'!$B$18:$B$50,$C410,'8. FACILIT'!AO$18:AO$50)</f>
        <v>0</v>
      </c>
      <c r="M426" s="117">
        <f t="shared" si="68"/>
        <v>0</v>
      </c>
    </row>
    <row r="427" spans="2:15" s="1" customFormat="1" ht="13.2" x14ac:dyDescent="0.25">
      <c r="B427" s="688" t="str">
        <f>IF('1. INTRO'!I$2="English",(IF(('5. PERSON'!CN$193+'6. OPERATION'!BQ$150)&gt;0,"Indirect","")),IF(('5. PERSON'!CN$193+'6. OPERATION'!BQ$150)&gt;0,"Indirekt",""))</f>
        <v/>
      </c>
      <c r="C427" s="689">
        <f>SUMIF('5. PERSON'!$B$17:$B$192,$C410,'5. PERSON'!CD$17:CD$192)+SUMIF('6. OPERATION'!$B$17:$B$149,$C410,'6. OPERATION'!BG$17:BG$149)</f>
        <v>0</v>
      </c>
      <c r="D427" s="689">
        <f>SUMIF('5. PERSON'!$B$17:$B$192,$C410,'5. PERSON'!CE$17:CE$192)+SUMIF('6. OPERATION'!$B$17:$B$149,$C410,'6. OPERATION'!BH$17:BH$149)</f>
        <v>0</v>
      </c>
      <c r="E427" s="689">
        <f>SUMIF('5. PERSON'!$B$17:$B$192,$C410,'5. PERSON'!CF$17:CF$192)+SUMIF('6. OPERATION'!$B$17:$B$149,$C410,'6. OPERATION'!BI$17:BI$149)</f>
        <v>0</v>
      </c>
      <c r="F427" s="689">
        <f>SUMIF('5. PERSON'!$B$17:$B$192,$C410,'5. PERSON'!CG$17:CG$192)+SUMIF('6. OPERATION'!$B$17:$B$149,$C410,'6. OPERATION'!BJ$17:BJ$149)</f>
        <v>0</v>
      </c>
      <c r="G427" s="689">
        <f>SUMIF('5. PERSON'!$B$17:$B$192,$C410,'5. PERSON'!CH$17:CH$192)+SUMIF('6. OPERATION'!$B$17:$B$149,$C410,'6. OPERATION'!BK$17:BK$149)</f>
        <v>0</v>
      </c>
      <c r="H427" s="689">
        <f>SUMIF('5. PERSON'!$B$17:$B$192,$C410,'5. PERSON'!CI$17:CI$192)+SUMIF('6. OPERATION'!$B$17:$B$149,$C410,'6. OPERATION'!BL$17:BL$149)</f>
        <v>0</v>
      </c>
      <c r="I427" s="689">
        <f>SUMIF('5. PERSON'!$B$17:$B$192,$C410,'5. PERSON'!CJ$17:CJ$192)+SUMIF('6. OPERATION'!$B$17:$B$149,$C410,'6. OPERATION'!BM$17:BM$149)</f>
        <v>0</v>
      </c>
      <c r="J427" s="689">
        <f>SUMIF('5. PERSON'!$B$17:$B$192,$C410,'5. PERSON'!CK$17:CK$192)+SUMIF('6. OPERATION'!$B$17:$B$149,$C410,'6. OPERATION'!BN$17:BN$149)</f>
        <v>0</v>
      </c>
      <c r="K427" s="689">
        <f>SUMIF('5. PERSON'!$B$17:$B$192,$C410,'5. PERSON'!CL$17:CL$192)+SUMIF('6. OPERATION'!$B$17:$B$149,$C410,'6. OPERATION'!BO$17:BO$149)</f>
        <v>0</v>
      </c>
      <c r="L427" s="689">
        <f>SUMIF('5. PERSON'!$B$17:$B$192,$C410,'5. PERSON'!CM$17:CM$192)+SUMIF('6. OPERATION'!$B$17:$B$149,$C410,'6. OPERATION'!BP$17:BP$149)</f>
        <v>0</v>
      </c>
      <c r="M427" s="693">
        <f t="shared" si="68"/>
        <v>0</v>
      </c>
    </row>
    <row r="428" spans="2:15" s="3" customFormat="1" ht="13.2" x14ac:dyDescent="0.25">
      <c r="B428" s="124" t="s">
        <v>113</v>
      </c>
      <c r="C428" s="102">
        <f>SUM(C421:C427)</f>
        <v>0</v>
      </c>
      <c r="D428" s="102">
        <f t="shared" ref="D428:M428" si="69">SUM(D421:D427)</f>
        <v>0</v>
      </c>
      <c r="E428" s="102">
        <f t="shared" si="69"/>
        <v>0</v>
      </c>
      <c r="F428" s="102">
        <f t="shared" si="69"/>
        <v>0</v>
      </c>
      <c r="G428" s="102">
        <f t="shared" si="69"/>
        <v>0</v>
      </c>
      <c r="H428" s="102">
        <f t="shared" si="69"/>
        <v>0</v>
      </c>
      <c r="I428" s="102">
        <f t="shared" si="69"/>
        <v>0</v>
      </c>
      <c r="J428" s="102">
        <f t="shared" si="69"/>
        <v>0</v>
      </c>
      <c r="K428" s="102">
        <f t="shared" si="69"/>
        <v>0</v>
      </c>
      <c r="L428" s="102">
        <f t="shared" si="69"/>
        <v>0</v>
      </c>
      <c r="M428" s="125">
        <f t="shared" si="69"/>
        <v>0</v>
      </c>
      <c r="N428" s="23"/>
      <c r="O428" s="23"/>
    </row>
    <row r="429" spans="2:15" s="3" customFormat="1" ht="6" customHeight="1" x14ac:dyDescent="0.25">
      <c r="B429" s="136"/>
      <c r="C429" s="127"/>
      <c r="D429" s="127"/>
      <c r="E429" s="127"/>
      <c r="F429" s="127"/>
      <c r="G429" s="127"/>
      <c r="H429" s="127"/>
      <c r="I429" s="127"/>
      <c r="J429" s="127"/>
      <c r="K429" s="127"/>
      <c r="L429" s="127"/>
      <c r="M429" s="137"/>
    </row>
    <row r="430" spans="2:15" s="3" customFormat="1" ht="13.2" x14ac:dyDescent="0.25">
      <c r="B430" s="129" t="str">
        <f>IF('1. INTRO'!I$2="English","Full cost","Full kostnad")</f>
        <v>Full cost</v>
      </c>
      <c r="C430" s="127"/>
      <c r="D430" s="127"/>
      <c r="E430" s="127"/>
      <c r="F430" s="127"/>
      <c r="G430" s="127"/>
      <c r="H430" s="127"/>
      <c r="I430" s="127"/>
      <c r="J430" s="127"/>
      <c r="K430" s="127"/>
      <c r="L430" s="127"/>
      <c r="M430" s="137"/>
    </row>
    <row r="431" spans="2:15" s="3" customFormat="1" ht="13.2" x14ac:dyDescent="0.25">
      <c r="B431" s="682" t="str">
        <f>IF('1. INTRO'!I$2="English","Salary including social costs (LKP)","Lön inklusive LKP")</f>
        <v>Salary including social costs (LKP)</v>
      </c>
      <c r="C431" s="694">
        <f>C413+C422+C423</f>
        <v>0</v>
      </c>
      <c r="D431" s="694">
        <f t="shared" ref="D431:L431" si="70">D413+D422+D423</f>
        <v>0</v>
      </c>
      <c r="E431" s="694">
        <f t="shared" si="70"/>
        <v>0</v>
      </c>
      <c r="F431" s="694">
        <f t="shared" si="70"/>
        <v>0</v>
      </c>
      <c r="G431" s="694">
        <f t="shared" si="70"/>
        <v>0</v>
      </c>
      <c r="H431" s="694">
        <f t="shared" si="70"/>
        <v>0</v>
      </c>
      <c r="I431" s="694">
        <f t="shared" si="70"/>
        <v>0</v>
      </c>
      <c r="J431" s="694">
        <f t="shared" si="70"/>
        <v>0</v>
      </c>
      <c r="K431" s="694">
        <f t="shared" si="70"/>
        <v>0</v>
      </c>
      <c r="L431" s="694">
        <f t="shared" si="70"/>
        <v>0</v>
      </c>
      <c r="M431" s="684">
        <f>SUM(C431:L431)</f>
        <v>0</v>
      </c>
    </row>
    <row r="432" spans="2:15" s="3" customFormat="1" ht="13.2" x14ac:dyDescent="0.25">
      <c r="B432" s="80" t="str">
        <f>IF('1. INTRO'!I$2="English","Operating","Drift")</f>
        <v>Operating</v>
      </c>
      <c r="C432" s="139">
        <f>C414+C424</f>
        <v>0</v>
      </c>
      <c r="D432" s="139">
        <f t="shared" ref="D432:L432" si="71">D414+D424</f>
        <v>0</v>
      </c>
      <c r="E432" s="139">
        <f t="shared" si="71"/>
        <v>0</v>
      </c>
      <c r="F432" s="139">
        <f t="shared" si="71"/>
        <v>0</v>
      </c>
      <c r="G432" s="139">
        <f t="shared" si="71"/>
        <v>0</v>
      </c>
      <c r="H432" s="139">
        <f t="shared" si="71"/>
        <v>0</v>
      </c>
      <c r="I432" s="139">
        <f t="shared" si="71"/>
        <v>0</v>
      </c>
      <c r="J432" s="139">
        <f t="shared" si="71"/>
        <v>0</v>
      </c>
      <c r="K432" s="139">
        <f t="shared" si="71"/>
        <v>0</v>
      </c>
      <c r="L432" s="139">
        <f t="shared" si="71"/>
        <v>0</v>
      </c>
      <c r="M432" s="117">
        <f>SUM(C432:L432)</f>
        <v>0</v>
      </c>
    </row>
    <row r="433" spans="2:13" s="3" customFormat="1" ht="13.2" x14ac:dyDescent="0.25">
      <c r="B433" s="685" t="str">
        <f>IF('1. INTRO'!I$2="English","Equipment","Utrustning")</f>
        <v>Equipment</v>
      </c>
      <c r="C433" s="695">
        <f>C415+C425</f>
        <v>0</v>
      </c>
      <c r="D433" s="695">
        <f t="shared" ref="D433:L433" si="72">D415+D425</f>
        <v>0</v>
      </c>
      <c r="E433" s="695">
        <f t="shared" si="72"/>
        <v>0</v>
      </c>
      <c r="F433" s="695">
        <f t="shared" si="72"/>
        <v>0</v>
      </c>
      <c r="G433" s="695">
        <f t="shared" si="72"/>
        <v>0</v>
      </c>
      <c r="H433" s="695">
        <f t="shared" si="72"/>
        <v>0</v>
      </c>
      <c r="I433" s="695">
        <f t="shared" si="72"/>
        <v>0</v>
      </c>
      <c r="J433" s="695">
        <f t="shared" si="72"/>
        <v>0</v>
      </c>
      <c r="K433" s="695">
        <f t="shared" si="72"/>
        <v>0</v>
      </c>
      <c r="L433" s="695">
        <f t="shared" si="72"/>
        <v>0</v>
      </c>
      <c r="M433" s="687">
        <f>SUM(C433:L433)</f>
        <v>0</v>
      </c>
    </row>
    <row r="434" spans="2:13" s="3" customFormat="1" ht="13.2" x14ac:dyDescent="0.25">
      <c r="B434" s="80" t="str">
        <f>IF('1. INTRO'!I$2="English","Facility","Lokal")</f>
        <v>Facility</v>
      </c>
      <c r="C434" s="139">
        <f>SUMIF('5. PERSON'!$B$17:$B$192,$C410,'5. PERSON'!CP$17:CP$192)+SUMIF('5. PERSON'!$B$17:$B$192,$C410,'5. PERSON'!DB$17:DB$192)+SUMIF('6. OPERATION'!$B$17:$B$149,$C410,'6. OPERATION'!BS$17:BS$149)+SUMIF('6. OPERATION'!$B$17:$B$149,$C410,'6. OPERATION'!CE$17:CE$149)+SUMIF('8. FACILIT'!$B$18:$B$50,$C410,'8. FACILIT'!T$18:T$50)+SUMIF('8. FACILIT'!$B$18:$B$50,$C410,'8. FACILIT'!AF$18:AF$50)</f>
        <v>0</v>
      </c>
      <c r="D434" s="139">
        <f>SUMIF('5. PERSON'!$B$17:$B$192,$C410,'5. PERSON'!CQ$17:CQ$192)+SUMIF('5. PERSON'!$B$17:$B$192,$C410,'5. PERSON'!DC$17:DC$192)+SUMIF('6. OPERATION'!$B$17:$B$149,$C410,'6. OPERATION'!BT$17:BT$149)+SUMIF('6. OPERATION'!$B$17:$B$149,$C410,'6. OPERATION'!CF$17:CF$149)+SUMIF('8. FACILIT'!$B$18:$B$50,$C410,'8. FACILIT'!U$18:U$50)+SUMIF('8. FACILIT'!$B$18:$B$50,$C410,'8. FACILIT'!AG$18:AG$50)</f>
        <v>0</v>
      </c>
      <c r="E434" s="139">
        <f>SUMIF('5. PERSON'!$B$17:$B$192,$C410,'5. PERSON'!CR$17:CR$192)+SUMIF('5. PERSON'!$B$17:$B$192,$C410,'5. PERSON'!DD$17:DD$192)+SUMIF('6. OPERATION'!$B$17:$B$149,$C410,'6. OPERATION'!BU$17:BU$149)+SUMIF('6. OPERATION'!$B$17:$B$149,$C410,'6. OPERATION'!CG$17:CG$149)+SUMIF('8. FACILIT'!$B$18:$B$50,$C410,'8. FACILIT'!V$18:V$50)+SUMIF('8. FACILIT'!$B$18:$B$50,$C410,'8. FACILIT'!AH$18:AH$50)</f>
        <v>0</v>
      </c>
      <c r="F434" s="139">
        <f>SUMIF('5. PERSON'!$B$17:$B$192,$C410,'5. PERSON'!CS$17:CS$192)+SUMIF('5. PERSON'!$B$17:$B$192,$C410,'5. PERSON'!DE$17:DE$192)+SUMIF('6. OPERATION'!$B$17:$B$149,$C410,'6. OPERATION'!BV$17:BV$149)+SUMIF('6. OPERATION'!$B$17:$B$149,$C410,'6. OPERATION'!CH$17:CH$149)+SUMIF('8. FACILIT'!$B$18:$B$50,$C410,'8. FACILIT'!W$18:W$50)+SUMIF('8. FACILIT'!$B$18:$B$50,$C410,'8. FACILIT'!AI$18:AI$50)</f>
        <v>0</v>
      </c>
      <c r="G434" s="139">
        <f>SUMIF('5. PERSON'!$B$17:$B$192,$C410,'5. PERSON'!CT$17:CT$192)+SUMIF('5. PERSON'!$B$17:$B$192,$C410,'5. PERSON'!DF$17:DF$192)+SUMIF('6. OPERATION'!$B$17:$B$149,$C410,'6. OPERATION'!BW$17:BW$149)+SUMIF('6. OPERATION'!$B$17:$B$149,$C410,'6. OPERATION'!CI$17:CI$149)+SUMIF('8. FACILIT'!$B$18:$B$50,$C410,'8. FACILIT'!X$18:X$50)+SUMIF('8. FACILIT'!$B$18:$B$50,$C410,'8. FACILIT'!AJ$18:AJ$50)</f>
        <v>0</v>
      </c>
      <c r="H434" s="139">
        <f>SUMIF('5. PERSON'!$B$17:$B$192,$C410,'5. PERSON'!CU$17:CU$192)+SUMIF('5. PERSON'!$B$17:$B$192,$C410,'5. PERSON'!DG$17:DG$192)+SUMIF('6. OPERATION'!$B$17:$B$149,$C410,'6. OPERATION'!BX$17:BX$149)+SUMIF('6. OPERATION'!$B$17:$B$149,$C410,'6. OPERATION'!CJ$17:CJ$149)+SUMIF('8. FACILIT'!$B$18:$B$50,$C410,'8. FACILIT'!Y$18:Y$50)+SUMIF('8. FACILIT'!$B$18:$B$50,$C410,'8. FACILIT'!AK$18:AK$50)</f>
        <v>0</v>
      </c>
      <c r="I434" s="139">
        <f>SUMIF('5. PERSON'!$B$17:$B$192,$C410,'5. PERSON'!CV$17:CV$192)+SUMIF('5. PERSON'!$B$17:$B$192,$C410,'5. PERSON'!DH$17:DH$192)+SUMIF('6. OPERATION'!$B$17:$B$149,$C410,'6. OPERATION'!BY$17:BY$149)+SUMIF('6. OPERATION'!$B$17:$B$149,$C410,'6. OPERATION'!CK$17:CK$149)+SUMIF('8. FACILIT'!$B$18:$B$50,$C410,'8. FACILIT'!Z$18:Z$50)+SUMIF('8. FACILIT'!$B$18:$B$50,$C410,'8. FACILIT'!AL$18:AL$50)</f>
        <v>0</v>
      </c>
      <c r="J434" s="139">
        <f>SUMIF('5. PERSON'!$B$17:$B$192,$C410,'5. PERSON'!CW$17:CW$192)+SUMIF('5. PERSON'!$B$17:$B$192,$C410,'5. PERSON'!DI$17:DI$192)+SUMIF('6. OPERATION'!$B$17:$B$149,$C410,'6. OPERATION'!BZ$17:BZ$149)+SUMIF('6. OPERATION'!$B$17:$B$149,$C410,'6. OPERATION'!CL$17:CL$149)+SUMIF('8. FACILIT'!$B$18:$B$50,$C410,'8. FACILIT'!AA$18:AA$50)+SUMIF('8. FACILIT'!$B$18:$B$50,$C410,'8. FACILIT'!AM$18:AM$50)</f>
        <v>0</v>
      </c>
      <c r="K434" s="139">
        <f>SUMIF('5. PERSON'!$B$17:$B$192,$C410,'5. PERSON'!CX$17:CX$192)+SUMIF('5. PERSON'!$B$17:$B$192,$C410,'5. PERSON'!DJ$17:DJ$192)+SUMIF('6. OPERATION'!$B$17:$B$149,$C410,'6. OPERATION'!CA$17:CA$149)+SUMIF('6. OPERATION'!$B$17:$B$149,$C410,'6. OPERATION'!CM$17:CM$149)+SUMIF('8. FACILIT'!$B$18:$B$50,$C410,'8. FACILIT'!AB$18:AB$50)+SUMIF('8. FACILIT'!$B$18:$B$50,$C410,'8. FACILIT'!AN$18:AN$50)</f>
        <v>0</v>
      </c>
      <c r="L434" s="139">
        <f>SUMIF('5. PERSON'!$B$17:$B$192,$C410,'5. PERSON'!CY$17:CY$192)+SUMIF('5. PERSON'!$B$17:$B$192,$C410,'5. PERSON'!DK$17:DK$192)+SUMIF('6. OPERATION'!$B$17:$B$149,$C410,'6. OPERATION'!CB$17:CB$149)+SUMIF('6. OPERATION'!$B$17:$B$149,$C410,'6. OPERATION'!CN$17:CN$149)+SUMIF('8. FACILIT'!$B$18:$B$50,$C410,'8. FACILIT'!AC$18:AC$50)+SUMIF('8. FACILIT'!$B$18:$B$50,$C410,'8. FACILIT'!AO$18:AO$50)</f>
        <v>0</v>
      </c>
      <c r="M434" s="117">
        <f>SUM(C434:L434)</f>
        <v>0</v>
      </c>
    </row>
    <row r="435" spans="2:13" s="3" customFormat="1" ht="13.2" x14ac:dyDescent="0.25">
      <c r="B435" s="696" t="str">
        <f>IF('1. INTRO'!I$2="English","Indirect","Indirekt")</f>
        <v>Indirect</v>
      </c>
      <c r="C435" s="697">
        <f>SUMIF('5. PERSON'!$B$17:$B$192,$C410,'5. PERSON'!BR$17:BR$192)+SUMIF('5. PERSON'!$B$17:$B$192,$C410,'5. PERSON'!CD$17:CD$192)+SUMIF('6. OPERATION'!$B$17:$B$149,$C410,'6. OPERATION'!AU$17:AU$149)+SUMIF('6. OPERATION'!$B$17:$B$149,$C410,'6. OPERATION'!BG$17:BG$149)</f>
        <v>0</v>
      </c>
      <c r="D435" s="697">
        <f>SUMIF('5. PERSON'!$B$17:$B$192,$C410,'5. PERSON'!BS$17:BS$192)+SUMIF('5. PERSON'!$B$17:$B$192,$C410,'5. PERSON'!CE$17:CE$192)+SUMIF('6. OPERATION'!$B$17:$B$149,$C410,'6. OPERATION'!AV$17:AV$149)+SUMIF('6. OPERATION'!$B$17:$B$149,$C410,'6. OPERATION'!BH$17:BH$149)</f>
        <v>0</v>
      </c>
      <c r="E435" s="697">
        <f>SUMIF('5. PERSON'!$B$17:$B$192,$C410,'5. PERSON'!BT$17:BT$192)+SUMIF('5. PERSON'!$B$17:$B$192,$C410,'5. PERSON'!CF$17:CF$192)+SUMIF('6. OPERATION'!$B$17:$B$149,$C410,'6. OPERATION'!AW$17:AW$149)+SUMIF('6. OPERATION'!$B$17:$B$149,$C410,'6. OPERATION'!BI$17:BI$149)</f>
        <v>0</v>
      </c>
      <c r="F435" s="697">
        <f>SUMIF('5. PERSON'!$B$17:$B$192,$C410,'5. PERSON'!BU$17:BU$192)+SUMIF('5. PERSON'!$B$17:$B$192,$C410,'5. PERSON'!CG$17:CG$192)+SUMIF('6. OPERATION'!$B$17:$B$149,$C410,'6. OPERATION'!AX$17:AX$149)+SUMIF('6. OPERATION'!$B$17:$B$149,$C410,'6. OPERATION'!BJ$17:BJ$149)</f>
        <v>0</v>
      </c>
      <c r="G435" s="697">
        <f>SUMIF('5. PERSON'!$B$17:$B$192,$C410,'5. PERSON'!BV$17:BV$192)+SUMIF('5. PERSON'!$B$17:$B$192,$C410,'5. PERSON'!CH$17:CH$192)+SUMIF('6. OPERATION'!$B$17:$B$149,$C410,'6. OPERATION'!AY$17:AY$149)+SUMIF('6. OPERATION'!$B$17:$B$149,$C410,'6. OPERATION'!BK$17:BK$149)</f>
        <v>0</v>
      </c>
      <c r="H435" s="697">
        <f>SUMIF('5. PERSON'!$B$17:$B$192,$C410,'5. PERSON'!BW$17:BW$192)+SUMIF('5. PERSON'!$B$17:$B$192,$C410,'5. PERSON'!CI$17:CI$192)+SUMIF('6. OPERATION'!$B$17:$B$149,$C410,'6. OPERATION'!AZ$17:AZ$149)+SUMIF('6. OPERATION'!$B$17:$B$149,$C410,'6. OPERATION'!BL$17:BL$149)</f>
        <v>0</v>
      </c>
      <c r="I435" s="697">
        <f>SUMIF('5. PERSON'!$B$17:$B$192,$C410,'5. PERSON'!BX$17:BX$192)+SUMIF('5. PERSON'!$B$17:$B$192,$C410,'5. PERSON'!CJ$17:CJ$192)+SUMIF('6. OPERATION'!$B$17:$B$149,$C410,'6. OPERATION'!BA$17:BA$149)+SUMIF('6. OPERATION'!$B$17:$B$149,$C410,'6. OPERATION'!BM$17:BM$149)</f>
        <v>0</v>
      </c>
      <c r="J435" s="697">
        <f>SUMIF('5. PERSON'!$B$17:$B$192,$C410,'5. PERSON'!BY$17:BY$192)+SUMIF('5. PERSON'!$B$17:$B$192,$C410,'5. PERSON'!CK$17:CK$192)+SUMIF('6. OPERATION'!$B$17:$B$149,$C410,'6. OPERATION'!BB$17:BB$149)+SUMIF('6. OPERATION'!$B$17:$B$149,$C410,'6. OPERATION'!BN$17:BN$149)</f>
        <v>0</v>
      </c>
      <c r="K435" s="697">
        <f>SUMIF('5. PERSON'!$B$17:$B$192,$C410,'5. PERSON'!BZ$17:BZ$192)+SUMIF('5. PERSON'!$B$17:$B$192,$C410,'5. PERSON'!CL$17:CL$192)+SUMIF('6. OPERATION'!$B$17:$B$149,$C410,'6. OPERATION'!BC$17:BC$149)+SUMIF('6. OPERATION'!$B$17:$B$149,$C410,'6. OPERATION'!BO$17:BO$149)</f>
        <v>0</v>
      </c>
      <c r="L435" s="697">
        <f>SUMIF('5. PERSON'!$B$17:$B$192,$C410,'5. PERSON'!CA$17:CA$192)+SUMIF('5. PERSON'!$B$17:$B$192,$C410,'5. PERSON'!CM$17:CM$192)+SUMIF('6. OPERATION'!$B$17:$B$149,$C410,'6. OPERATION'!BD$17:BD$149)+SUMIF('6. OPERATION'!$B$17:$B$149,$C410,'6. OPERATION'!BP$17:BP$149)</f>
        <v>0</v>
      </c>
      <c r="M435" s="693">
        <f>SUM(C435:L435)</f>
        <v>0</v>
      </c>
    </row>
    <row r="436" spans="2:13" s="3" customFormat="1" ht="13.2" x14ac:dyDescent="0.25">
      <c r="B436" s="124" t="s">
        <v>113</v>
      </c>
      <c r="C436" s="88">
        <f>SUM(C431:C435)</f>
        <v>0</v>
      </c>
      <c r="D436" s="88">
        <f t="shared" ref="D436:M436" si="73">SUM(D431:D435)</f>
        <v>0</v>
      </c>
      <c r="E436" s="88">
        <f t="shared" si="73"/>
        <v>0</v>
      </c>
      <c r="F436" s="88">
        <f t="shared" si="73"/>
        <v>0</v>
      </c>
      <c r="G436" s="88">
        <f t="shared" si="73"/>
        <v>0</v>
      </c>
      <c r="H436" s="88">
        <f t="shared" si="73"/>
        <v>0</v>
      </c>
      <c r="I436" s="88">
        <f t="shared" si="73"/>
        <v>0</v>
      </c>
      <c r="J436" s="88">
        <f t="shared" si="73"/>
        <v>0</v>
      </c>
      <c r="K436" s="88">
        <f t="shared" si="73"/>
        <v>0</v>
      </c>
      <c r="L436" s="88">
        <f t="shared" si="73"/>
        <v>0</v>
      </c>
      <c r="M436" s="142">
        <f t="shared" si="73"/>
        <v>0</v>
      </c>
    </row>
    <row r="437" spans="2:13" s="3" customFormat="1" ht="13.2" x14ac:dyDescent="0.25">
      <c r="B437" s="287"/>
      <c r="C437" s="37"/>
      <c r="D437" s="37"/>
      <c r="E437" s="37"/>
      <c r="F437" s="37"/>
      <c r="G437" s="37"/>
      <c r="H437" s="37"/>
      <c r="I437" s="37"/>
      <c r="J437" s="37"/>
      <c r="K437" s="37"/>
      <c r="L437" s="37"/>
      <c r="M437" s="37"/>
    </row>
    <row r="438" spans="2:13" s="3" customFormat="1" ht="12.75" customHeight="1" x14ac:dyDescent="0.25">
      <c r="B438" s="656" t="str">
        <f>IF('1. INTRO'!I$2="English","Co-funding share in full cost ","Medfinansieringsandel i full kostnad ")</f>
        <v xml:space="preserve">Co-funding share in full cost </v>
      </c>
      <c r="C438" s="143" t="str">
        <f t="shared" ref="C438:M438" si="74">IF(C436&gt;0,C428/C436,"")</f>
        <v/>
      </c>
      <c r="D438" s="143" t="str">
        <f t="shared" si="74"/>
        <v/>
      </c>
      <c r="E438" s="143" t="str">
        <f t="shared" si="74"/>
        <v/>
      </c>
      <c r="F438" s="143" t="str">
        <f t="shared" si="74"/>
        <v/>
      </c>
      <c r="G438" s="143" t="str">
        <f t="shared" si="74"/>
        <v/>
      </c>
      <c r="H438" s="143" t="str">
        <f t="shared" si="74"/>
        <v/>
      </c>
      <c r="I438" s="143" t="str">
        <f t="shared" si="74"/>
        <v/>
      </c>
      <c r="J438" s="143" t="str">
        <f t="shared" si="74"/>
        <v/>
      </c>
      <c r="K438" s="143" t="str">
        <f t="shared" si="74"/>
        <v/>
      </c>
      <c r="L438" s="143" t="str">
        <f t="shared" si="74"/>
        <v/>
      </c>
      <c r="M438" s="143" t="str">
        <f t="shared" si="74"/>
        <v/>
      </c>
    </row>
    <row r="439" spans="2:13" ht="12.75" customHeight="1" x14ac:dyDescent="0.2"/>
    <row r="440" spans="2:13" ht="12.75" customHeight="1" x14ac:dyDescent="0.25">
      <c r="D440" s="656" t="str">
        <f>IF('1. INTRO'!I$2="English","Co-funding need in average per year: ","Medfinansieringsbehov i genomsnitt per år: ")</f>
        <v xml:space="preserve">Co-funding need in average per year: </v>
      </c>
      <c r="E440" s="698" t="str">
        <f>IF(M428=0,"",M428/(DATEDIF('2. START'!C$18,'2. START'!C$19,"d")/365))</f>
        <v/>
      </c>
      <c r="H440" s="656" t="str">
        <f>IF('1. INTRO'!I$2="English","Co-funding need 1/3 of total: ","Medfinansieringsbehov 1/3 av totalt: ")</f>
        <v xml:space="preserve">Co-funding need 1/3 of total: </v>
      </c>
      <c r="I440" s="698">
        <f>M428/3</f>
        <v>0</v>
      </c>
      <c r="L440" s="287" t="str">
        <f>IF('1. INTRO'!I$2="English","Co-funding need total: ","Medfinansieringsbehov totalt: ")</f>
        <v xml:space="preserve">Co-funding need total: </v>
      </c>
      <c r="M440" s="698">
        <f>M428</f>
        <v>0</v>
      </c>
    </row>
    <row r="441" spans="2:13" ht="12.75" customHeight="1" x14ac:dyDescent="0.25">
      <c r="B441" s="53" t="str">
        <f>IF('1. INTRO'!I$2="English","Co-funding sources","Medfinansieringskällor")</f>
        <v>Co-funding sources</v>
      </c>
    </row>
    <row r="442" spans="2:13" ht="12.75" customHeight="1" x14ac:dyDescent="0.25">
      <c r="B442" s="225"/>
      <c r="C442" s="226"/>
      <c r="D442" s="226"/>
      <c r="E442" s="226"/>
      <c r="F442" s="226"/>
      <c r="G442" s="226"/>
      <c r="H442" s="226"/>
      <c r="I442" s="226"/>
      <c r="J442" s="226"/>
      <c r="K442" s="226"/>
      <c r="L442" s="227"/>
      <c r="M442" s="168">
        <f>SUM(C442:L442)</f>
        <v>0</v>
      </c>
    </row>
    <row r="443" spans="2:13" ht="12.75" customHeight="1" x14ac:dyDescent="0.25">
      <c r="B443" s="228"/>
      <c r="C443" s="229"/>
      <c r="D443" s="229"/>
      <c r="E443" s="229"/>
      <c r="F443" s="229"/>
      <c r="G443" s="229"/>
      <c r="H443" s="229"/>
      <c r="I443" s="229"/>
      <c r="J443" s="229"/>
      <c r="K443" s="229"/>
      <c r="L443" s="230"/>
      <c r="M443" s="687">
        <f t="shared" ref="M443:M446" si="75">SUM(C443:L443)</f>
        <v>0</v>
      </c>
    </row>
    <row r="444" spans="2:13" ht="12.75" customHeight="1" x14ac:dyDescent="0.25">
      <c r="B444" s="231"/>
      <c r="C444" s="232"/>
      <c r="D444" s="232"/>
      <c r="E444" s="232"/>
      <c r="F444" s="232"/>
      <c r="G444" s="232"/>
      <c r="H444" s="232"/>
      <c r="I444" s="232"/>
      <c r="J444" s="232"/>
      <c r="K444" s="232"/>
      <c r="L444" s="233"/>
      <c r="M444" s="117">
        <f t="shared" si="75"/>
        <v>0</v>
      </c>
    </row>
    <row r="445" spans="2:13" ht="12.75" customHeight="1" x14ac:dyDescent="0.25">
      <c r="B445" s="228"/>
      <c r="C445" s="229"/>
      <c r="D445" s="229"/>
      <c r="E445" s="229"/>
      <c r="F445" s="229"/>
      <c r="G445" s="229"/>
      <c r="H445" s="229"/>
      <c r="I445" s="229"/>
      <c r="J445" s="229"/>
      <c r="K445" s="229"/>
      <c r="L445" s="230"/>
      <c r="M445" s="687">
        <f t="shared" si="75"/>
        <v>0</v>
      </c>
    </row>
    <row r="446" spans="2:13" ht="12.75" customHeight="1" x14ac:dyDescent="0.25">
      <c r="B446" s="93"/>
      <c r="C446" s="232"/>
      <c r="D446" s="232"/>
      <c r="E446" s="232"/>
      <c r="F446" s="232"/>
      <c r="G446" s="232"/>
      <c r="H446" s="232"/>
      <c r="I446" s="232"/>
      <c r="J446" s="232"/>
      <c r="K446" s="232"/>
      <c r="L446" s="233"/>
      <c r="M446" s="117">
        <f t="shared" si="75"/>
        <v>0</v>
      </c>
    </row>
    <row r="447" spans="2:13" ht="12.75" customHeight="1" x14ac:dyDescent="0.25">
      <c r="B447" s="84" t="str">
        <f>IF('1. INTRO'!I$2="English","Total co-funding ","Total medfinansiering ")</f>
        <v xml:space="preserve">Total co-funding </v>
      </c>
      <c r="C447" s="87">
        <f t="shared" ref="C447:M447" si="76">SUM(C442:C446)</f>
        <v>0</v>
      </c>
      <c r="D447" s="87">
        <f t="shared" si="76"/>
        <v>0</v>
      </c>
      <c r="E447" s="87">
        <f t="shared" si="76"/>
        <v>0</v>
      </c>
      <c r="F447" s="87">
        <f t="shared" si="76"/>
        <v>0</v>
      </c>
      <c r="G447" s="87">
        <f t="shared" si="76"/>
        <v>0</v>
      </c>
      <c r="H447" s="87">
        <f t="shared" si="76"/>
        <v>0</v>
      </c>
      <c r="I447" s="87">
        <f t="shared" si="76"/>
        <v>0</v>
      </c>
      <c r="J447" s="87">
        <f t="shared" si="76"/>
        <v>0</v>
      </c>
      <c r="K447" s="87">
        <f t="shared" si="76"/>
        <v>0</v>
      </c>
      <c r="L447" s="87">
        <f t="shared" si="76"/>
        <v>0</v>
      </c>
      <c r="M447" s="142">
        <f t="shared" si="76"/>
        <v>0</v>
      </c>
    </row>
    <row r="448" spans="2:13" ht="12.75" customHeight="1" x14ac:dyDescent="0.2"/>
    <row r="449" spans="2:13" ht="12.75" customHeight="1" x14ac:dyDescent="0.2">
      <c r="B449" s="667" t="str">
        <f>IF('1. INTRO'!I$2="English","Calculation comments","Kalkylkommentarer")</f>
        <v>Calculation comments</v>
      </c>
    </row>
    <row r="450" spans="2:13" ht="12.75" customHeight="1" x14ac:dyDescent="0.2">
      <c r="B450" s="1142"/>
      <c r="C450" s="1143"/>
      <c r="D450" s="1143"/>
      <c r="E450" s="1143"/>
      <c r="F450" s="1143"/>
      <c r="G450" s="1143"/>
      <c r="H450" s="1143"/>
      <c r="I450" s="1143"/>
      <c r="J450" s="1143"/>
      <c r="K450" s="1143"/>
      <c r="L450" s="1143"/>
      <c r="M450" s="1144"/>
    </row>
    <row r="451" spans="2:13" ht="12.75" customHeight="1" x14ac:dyDescent="0.2">
      <c r="B451" s="1145"/>
      <c r="C451" s="1226"/>
      <c r="D451" s="1226"/>
      <c r="E451" s="1226"/>
      <c r="F451" s="1226"/>
      <c r="G451" s="1226"/>
      <c r="H451" s="1226"/>
      <c r="I451" s="1226"/>
      <c r="J451" s="1226"/>
      <c r="K451" s="1226"/>
      <c r="L451" s="1226"/>
      <c r="M451" s="1147"/>
    </row>
    <row r="452" spans="2:13" ht="12.75" customHeight="1" x14ac:dyDescent="0.2">
      <c r="B452" s="1145"/>
      <c r="C452" s="1226"/>
      <c r="D452" s="1226"/>
      <c r="E452" s="1226"/>
      <c r="F452" s="1226"/>
      <c r="G452" s="1226"/>
      <c r="H452" s="1226"/>
      <c r="I452" s="1226"/>
      <c r="J452" s="1226"/>
      <c r="K452" s="1226"/>
      <c r="L452" s="1226"/>
      <c r="M452" s="1147"/>
    </row>
    <row r="453" spans="2:13" ht="12.75" customHeight="1" x14ac:dyDescent="0.2">
      <c r="B453" s="1145"/>
      <c r="C453" s="1226"/>
      <c r="D453" s="1226"/>
      <c r="E453" s="1226"/>
      <c r="F453" s="1226"/>
      <c r="G453" s="1226"/>
      <c r="H453" s="1226"/>
      <c r="I453" s="1226"/>
      <c r="J453" s="1226"/>
      <c r="K453" s="1226"/>
      <c r="L453" s="1226"/>
      <c r="M453" s="1147"/>
    </row>
    <row r="454" spans="2:13" ht="12.75" customHeight="1" x14ac:dyDescent="0.2">
      <c r="B454" s="1148"/>
      <c r="C454" s="1149"/>
      <c r="D454" s="1149"/>
      <c r="E454" s="1149"/>
      <c r="F454" s="1149"/>
      <c r="G454" s="1149"/>
      <c r="H454" s="1149"/>
      <c r="I454" s="1149"/>
      <c r="J454" s="1149"/>
      <c r="K454" s="1149"/>
      <c r="L454" s="1149"/>
      <c r="M454" s="1150"/>
    </row>
    <row r="456" spans="2:13" s="3" customFormat="1" ht="12.75" customHeight="1" x14ac:dyDescent="0.25">
      <c r="B456" s="313" t="str">
        <f>'3. PARTNER'!C$4</f>
        <v xml:space="preserve">Project: </v>
      </c>
      <c r="C456" s="1062" t="str">
        <f>'3. PARTNER'!D$4</f>
        <v/>
      </c>
      <c r="D456" s="1001"/>
      <c r="E456" s="1001"/>
      <c r="F456" s="1001"/>
      <c r="G456" s="1001"/>
      <c r="H456" s="1001"/>
      <c r="I456" s="1001"/>
      <c r="J456" s="1001"/>
      <c r="K456" s="1001"/>
      <c r="L456" s="1001"/>
      <c r="M456" s="1001"/>
    </row>
    <row r="457" spans="2:13" s="3" customFormat="1" ht="13.2" x14ac:dyDescent="0.25">
      <c r="B457" s="313" t="str">
        <f>'3. PARTNER'!C$5</f>
        <v xml:space="preserve">Calculation for: </v>
      </c>
      <c r="C457" s="1062" t="str">
        <f>'3. PARTNER'!D$5</f>
        <v>APPLICATION</v>
      </c>
      <c r="D457" s="1001"/>
      <c r="E457" s="268"/>
      <c r="F457" s="268"/>
      <c r="G457" s="268"/>
      <c r="H457" s="268"/>
      <c r="I457" s="268"/>
      <c r="J457" s="268"/>
      <c r="K457" s="268"/>
      <c r="L457" s="268"/>
      <c r="M457" s="268"/>
    </row>
    <row r="458" spans="2:13" s="3" customFormat="1" ht="13.2" x14ac:dyDescent="0.25">
      <c r="B458" s="35" t="str">
        <f>'3. PARTNER'!C$6</f>
        <v xml:space="preserve">Project leader: </v>
      </c>
      <c r="C458" s="1062" t="str">
        <f>'3. PARTNER'!D$6</f>
        <v/>
      </c>
      <c r="D458" s="1001"/>
      <c r="E458" s="1001"/>
      <c r="F458" s="1001"/>
      <c r="G458" s="1001"/>
      <c r="H458" s="1001"/>
      <c r="I458" s="1001"/>
      <c r="J458" s="1001"/>
      <c r="K458" s="1001"/>
      <c r="L458" s="1001"/>
      <c r="M458" s="1001"/>
    </row>
    <row r="459" spans="2:13" s="3" customFormat="1" ht="13.2" x14ac:dyDescent="0.25">
      <c r="B459" s="313" t="str">
        <f>'5. PERSON'!B$7</f>
        <v xml:space="preserve">Amounts in: </v>
      </c>
      <c r="C459" s="655" t="str">
        <f>'5. PERSON'!C$7</f>
        <v>SEK</v>
      </c>
      <c r="D459" s="268"/>
      <c r="E459" s="268"/>
      <c r="F459" s="268"/>
      <c r="G459" s="234"/>
      <c r="H459" s="234"/>
      <c r="I459" s="270"/>
      <c r="J459" s="270"/>
      <c r="K459" s="270"/>
      <c r="L459" s="270"/>
      <c r="M459" s="270"/>
    </row>
    <row r="460" spans="2:13" s="3" customFormat="1" ht="13.2" x14ac:dyDescent="0.25">
      <c r="B460" s="313"/>
      <c r="C460" s="1053" t="str">
        <f>'3. PARTNER'!D$7</f>
        <v>Other basic data about the project is in sheet 2.</v>
      </c>
      <c r="D460" s="1001"/>
      <c r="E460" s="1001"/>
      <c r="F460" s="1001"/>
      <c r="G460" s="234"/>
      <c r="H460" s="234"/>
      <c r="I460" s="270"/>
      <c r="J460" s="270"/>
      <c r="K460" s="270"/>
      <c r="L460" s="251" t="s">
        <v>4</v>
      </c>
      <c r="M460" s="270"/>
    </row>
    <row r="461" spans="2:13" ht="12.75" customHeight="1" x14ac:dyDescent="0.2">
      <c r="J461" s="252" t="s">
        <v>322</v>
      </c>
      <c r="K461" s="252" t="s">
        <v>323</v>
      </c>
      <c r="L461" s="252" t="str">
        <f>IF('1. INTRO'!I$2="English","months","månader")</f>
        <v>months</v>
      </c>
    </row>
    <row r="462" spans="2:13" s="3" customFormat="1" ht="13.8" x14ac:dyDescent="0.25">
      <c r="B462" s="157" t="str">
        <f>IF('1. INTRO'!I$2="English","Project costs","Projektkostnader")</f>
        <v>Project costs</v>
      </c>
      <c r="C462" s="157" t="str">
        <f>A22</f>
        <v>645LTV</v>
      </c>
      <c r="D462" s="1259" t="str">
        <f>B22</f>
        <v>Unit for collaboration and development</v>
      </c>
      <c r="E462" s="1004"/>
      <c r="F462" s="1004"/>
      <c r="G462" s="1004"/>
      <c r="H462" s="37"/>
      <c r="I462" s="37"/>
      <c r="J462" s="643"/>
      <c r="K462" s="643"/>
      <c r="L462" s="642">
        <f>SUMIF('5. PERSON'!$B$17:$B$192,$C462,'5. PERSON'!AE$17:AE$192)</f>
        <v>0</v>
      </c>
      <c r="M462" s="680" t="s">
        <v>330</v>
      </c>
    </row>
    <row r="463" spans="2:13" s="3" customFormat="1" ht="6" customHeight="1" x14ac:dyDescent="0.25">
      <c r="B463" s="57"/>
      <c r="C463" s="37"/>
      <c r="D463" s="37"/>
      <c r="E463" s="37"/>
      <c r="F463" s="37"/>
      <c r="G463" s="37"/>
      <c r="H463" s="37"/>
      <c r="I463" s="37"/>
      <c r="J463" s="37"/>
      <c r="K463" s="37"/>
      <c r="L463" s="37"/>
      <c r="M463" s="37"/>
    </row>
    <row r="464" spans="2:13" s="3" customFormat="1" ht="13.2" x14ac:dyDescent="0.25">
      <c r="B464" s="110" t="str">
        <f>IF('1. INTRO'!I$2="English","Costs to be covered by funding body","Kostnader att täckas av finansiär")</f>
        <v>Costs to be covered by funding body</v>
      </c>
      <c r="C464" s="111">
        <f>'5. PERSON'!G$15</f>
        <v>1900</v>
      </c>
      <c r="D464" s="111" t="str">
        <f>'5. PERSON'!H$15</f>
        <v/>
      </c>
      <c r="E464" s="111" t="str">
        <f>'5. PERSON'!I$15</f>
        <v/>
      </c>
      <c r="F464" s="111" t="str">
        <f>'5. PERSON'!J$15</f>
        <v/>
      </c>
      <c r="G464" s="111" t="str">
        <f>'5. PERSON'!K$15</f>
        <v/>
      </c>
      <c r="H464" s="111" t="str">
        <f>'5. PERSON'!L$15</f>
        <v/>
      </c>
      <c r="I464" s="111" t="str">
        <f>'5. PERSON'!M$15</f>
        <v/>
      </c>
      <c r="J464" s="111" t="str">
        <f>'5. PERSON'!N$15</f>
        <v/>
      </c>
      <c r="K464" s="111" t="str">
        <f>'5. PERSON'!O$15</f>
        <v/>
      </c>
      <c r="L464" s="111" t="str">
        <f>'5. PERSON'!P$15</f>
        <v/>
      </c>
      <c r="M464" s="112" t="s">
        <v>2</v>
      </c>
    </row>
    <row r="465" spans="2:15" s="3" customFormat="1" ht="12.75" customHeight="1" x14ac:dyDescent="0.25">
      <c r="B465" s="682" t="str">
        <f>IF('1. INTRO'!I$2="English","Salary including social costs (LKP)","Lön inklusive LKP")</f>
        <v>Salary including social costs (LKP)</v>
      </c>
      <c r="C465" s="683">
        <f>IF('2. START'!$C$14&gt;0,SUMIF('5. PERSON'!$B$17:$B$192,$C462,'5. PERSON'!DN$17:DN$192),SUMIF('5. PERSON'!$B$17:$B$192,$C462,'5. PERSON'!AT$17:AT$192))</f>
        <v>0</v>
      </c>
      <c r="D465" s="683">
        <f>IF('2. START'!$C$14&gt;0,SUMIF('5. PERSON'!$B$17:$B$192,$C462,'5. PERSON'!DO$17:DO$192),SUMIF('5. PERSON'!$B$17:$B$192,$C462,'5. PERSON'!AU$17:AU$192))</f>
        <v>0</v>
      </c>
      <c r="E465" s="683">
        <f>IF('2. START'!$C$14&gt;0,SUMIF('5. PERSON'!$B$17:$B$192,$C462,'5. PERSON'!DP$17:DP$192),SUMIF('5. PERSON'!$B$17:$B$192,$C462,'5. PERSON'!AV$17:AV$192))</f>
        <v>0</v>
      </c>
      <c r="F465" s="683">
        <f>IF('2. START'!$C$14&gt;0,SUMIF('5. PERSON'!$B$17:$B$192,$C462,'5. PERSON'!DQ$17:DQ$192),SUMIF('5. PERSON'!$B$17:$B$192,$C462,'5. PERSON'!AW$17:AW$192))</f>
        <v>0</v>
      </c>
      <c r="G465" s="683">
        <f>IF('2. START'!$C$14&gt;0,SUMIF('5. PERSON'!$B$17:$B$192,$C462,'5. PERSON'!DR$17:DR$192),SUMIF('5. PERSON'!$B$17:$B$192,$C462,'5. PERSON'!AX$17:AX$192))</f>
        <v>0</v>
      </c>
      <c r="H465" s="683">
        <f>IF('2. START'!$C$14&gt;0,SUMIF('5. PERSON'!$B$17:$B$192,$C462,'5. PERSON'!DS$17:DS$192),SUMIF('5. PERSON'!$B$17:$B$192,$C462,'5. PERSON'!AY$17:AY$192))</f>
        <v>0</v>
      </c>
      <c r="I465" s="683">
        <f>IF('2. START'!$C$14&gt;0,SUMIF('5. PERSON'!$B$17:$B$192,$C462,'5. PERSON'!DT$17:DT$192),SUMIF('5. PERSON'!$B$17:$B$192,$C462,'5. PERSON'!AZ$17:AZ$192))</f>
        <v>0</v>
      </c>
      <c r="J465" s="683">
        <f>IF('2. START'!$C$14&gt;0,SUMIF('5. PERSON'!$B$17:$B$192,$C462,'5. PERSON'!DU$17:DU$192),SUMIF('5. PERSON'!$B$17:$B$192,$C462,'5. PERSON'!BA$17:BA$192))</f>
        <v>0</v>
      </c>
      <c r="K465" s="683">
        <f>IF('2. START'!$C$14&gt;0,SUMIF('5. PERSON'!$B$17:$B$192,$C462,'5. PERSON'!DV$17:DV$192),SUMIF('5. PERSON'!$B$17:$B$192,$C462,'5. PERSON'!BB$17:BB$192))</f>
        <v>0</v>
      </c>
      <c r="L465" s="683">
        <f>IF('2. START'!$C$14&gt;0,SUMIF('5. PERSON'!$B$17:$B$192,$C462,'5. PERSON'!DW$17:DW$192),SUMIF('5. PERSON'!$B$17:$B$192,$C462,'5. PERSON'!BC$17:BC$192))</f>
        <v>0</v>
      </c>
      <c r="M465" s="684">
        <f t="shared" ref="M465:M470" si="77">SUM(C465:L465)</f>
        <v>0</v>
      </c>
      <c r="O465" s="4"/>
    </row>
    <row r="466" spans="2:15" s="3" customFormat="1" ht="12.75" customHeight="1" x14ac:dyDescent="0.25">
      <c r="B466" s="80" t="str">
        <f>IF('1. INTRO'!I$2="English","Operating","Drift")</f>
        <v>Operating</v>
      </c>
      <c r="C466" s="116">
        <f>SUMIF('6. OPERATION'!$B$17:$B$149,$C462,'6. OPERATION'!W$17:W$149)</f>
        <v>0</v>
      </c>
      <c r="D466" s="116">
        <f>SUMIF('6. OPERATION'!$B$17:$B$149,$C462,'6. OPERATION'!X$17:X$149)</f>
        <v>0</v>
      </c>
      <c r="E466" s="116">
        <f>SUMIF('6. OPERATION'!$B$17:$B$149,$C462,'6. OPERATION'!Y$17:Y$149)</f>
        <v>0</v>
      </c>
      <c r="F466" s="116">
        <f>SUMIF('6. OPERATION'!$B$17:$B$149,$C462,'6. OPERATION'!Z$17:Z$149)</f>
        <v>0</v>
      </c>
      <c r="G466" s="116">
        <f>SUMIF('6. OPERATION'!$B$17:$B$149,$C462,'6. OPERATION'!AA$17:AA$149)</f>
        <v>0</v>
      </c>
      <c r="H466" s="116">
        <f>SUMIF('6. OPERATION'!$B$17:$B$149,$C462,'6. OPERATION'!AB$17:AB$149)</f>
        <v>0</v>
      </c>
      <c r="I466" s="116">
        <f>SUMIF('6. OPERATION'!$B$17:$B$149,$C462,'6. OPERATION'!AC$17:AC$149)</f>
        <v>0</v>
      </c>
      <c r="J466" s="116">
        <f>SUMIF('6. OPERATION'!$B$17:$B$149,$C462,'6. OPERATION'!AD$17:AD$149)</f>
        <v>0</v>
      </c>
      <c r="K466" s="116">
        <f>SUMIF('6. OPERATION'!$B$17:$B$149,$C462,'6. OPERATION'!AE$17:AE$149)</f>
        <v>0</v>
      </c>
      <c r="L466" s="116">
        <f>SUMIF('6. OPERATION'!$B$17:$B$149,$C462,'6. OPERATION'!AF$17:AF$149)</f>
        <v>0</v>
      </c>
      <c r="M466" s="117">
        <f t="shared" si="77"/>
        <v>0</v>
      </c>
    </row>
    <row r="467" spans="2:15" s="3" customFormat="1" ht="13.2" x14ac:dyDescent="0.25">
      <c r="B467" s="685" t="str">
        <f>IF('1. INTRO'!I$2="English","Equipment","Utrustning")</f>
        <v>Equipment</v>
      </c>
      <c r="C467" s="686">
        <f>SUMIF('7. INVEST'!$B$17:$B$49,$C462,'7. INVEST'!W$17:W$49)</f>
        <v>0</v>
      </c>
      <c r="D467" s="686">
        <f>SUMIF('7. INVEST'!$B$17:$B$49,$C462,'7. INVEST'!X$17:X$49)</f>
        <v>0</v>
      </c>
      <c r="E467" s="686">
        <f>SUMIF('7. INVEST'!$B$17:$B$49,$C462,'7. INVEST'!Y$17:Y$49)</f>
        <v>0</v>
      </c>
      <c r="F467" s="686">
        <f>SUMIF('7. INVEST'!$B$17:$B$49,$C462,'7. INVEST'!Z$17:Z$49)</f>
        <v>0</v>
      </c>
      <c r="G467" s="686">
        <f>SUMIF('7. INVEST'!$B$17:$B$49,$C462,'7. INVEST'!AA$17:AA$49)</f>
        <v>0</v>
      </c>
      <c r="H467" s="686">
        <f>SUMIF('7. INVEST'!$B$17:$B$49,$C462,'7. INVEST'!AB$17:AB$49)</f>
        <v>0</v>
      </c>
      <c r="I467" s="686">
        <f>SUMIF('7. INVEST'!$B$17:$B$49,$C462,'7. INVEST'!AC$17:AC$49)</f>
        <v>0</v>
      </c>
      <c r="J467" s="686">
        <f>SUMIF('7. INVEST'!$B$17:$B$49,$C462,'7. INVEST'!AD$17:AD$49)</f>
        <v>0</v>
      </c>
      <c r="K467" s="686">
        <f>SUMIF('7. INVEST'!$B$17:$B$49,$C462,'7. INVEST'!AE$17:AE$49)</f>
        <v>0</v>
      </c>
      <c r="L467" s="686">
        <f>SUMIF('7. INVEST'!$B$17:$B$49,$C462,'7. INVEST'!AF$17:AF$49)</f>
        <v>0</v>
      </c>
      <c r="M467" s="687">
        <f t="shared" si="77"/>
        <v>0</v>
      </c>
    </row>
    <row r="468" spans="2:15" s="3" customFormat="1" ht="13.2" x14ac:dyDescent="0.25">
      <c r="B468" s="121" t="str">
        <f>IF('1. INTRO'!I$2="English",(IF('2. START'!C$11="NO","Facility accepted as direct cost by funding body","Facility")),IF('2. START'!C$11="NO","Lokal accepterad som direkt kostnad av finansiär","Lokal"))</f>
        <v>Facility</v>
      </c>
      <c r="C468" s="116">
        <f>IF('2. START'!$C$11="NO",SUMIF('8. FACILIT'!$B$18:$B$50,$C462,'8. FACILIT'!T$18:T$50),SUMIF('5. PERSON'!$B$17:$B$192,$C462,'5. PERSON'!CP$17:CP$192)+SUMIF('6. OPERATION'!$B$17:$B$149,$C462,'6. OPERATION'!BS$17:BS$149)+SUMIF('8. FACILIT'!$B$18:$B$50,$C462,'8. FACILIT'!T$18:T$50))</f>
        <v>0</v>
      </c>
      <c r="D468" s="116">
        <f>IF('2. START'!$C$11="NO",SUMIF('8. FACILIT'!$B$18:$B$50,$C462,'8. FACILIT'!U$18:U$50),SUMIF('5. PERSON'!$B$17:$B$192,$C462,'5. PERSON'!CQ$17:CQ$192)+SUMIF('6. OPERATION'!$B$17:$B$149,$C462,'6. OPERATION'!BT$17:BT$149)+SUMIF('8. FACILIT'!$B$18:$B$50,$C462,'8. FACILIT'!U$18:U$50))</f>
        <v>0</v>
      </c>
      <c r="E468" s="116">
        <f>IF('2. START'!$C$11="NO",SUMIF('8. FACILIT'!$B$18:$B$50,$C462,'8. FACILIT'!V$18:V$50),SUMIF('5. PERSON'!$B$17:$B$192,$C462,'5. PERSON'!CR$17:CR$192)+SUMIF('6. OPERATION'!$B$17:$B$149,$C462,'6. OPERATION'!BU$17:BU$149)+SUMIF('8. FACILIT'!$B$18:$B$50,$C462,'8. FACILIT'!V$18:V$50))</f>
        <v>0</v>
      </c>
      <c r="F468" s="116">
        <f>IF('2. START'!$C$11="NO",SUMIF('8. FACILIT'!$B$18:$B$50,$C462,'8. FACILIT'!W$18:W$50),SUMIF('5. PERSON'!$B$17:$B$192,$C462,'5. PERSON'!CS$17:CS$192)+SUMIF('6. OPERATION'!$B$17:$B$149,$C462,'6. OPERATION'!BV$17:BV$149)+SUMIF('8. FACILIT'!$B$18:$B$50,$C462,'8. FACILIT'!W$18:W$50))</f>
        <v>0</v>
      </c>
      <c r="G468" s="116">
        <f>IF('2. START'!$C$11="NO",SUMIF('8. FACILIT'!$B$18:$B$50,$C462,'8. FACILIT'!X$18:X$50),SUMIF('5. PERSON'!$B$17:$B$192,$C462,'5. PERSON'!CT$17:CT$192)+SUMIF('6. OPERATION'!$B$17:$B$149,$C462,'6. OPERATION'!BW$17:BW$149)+SUMIF('8. FACILIT'!$B$18:$B$50,$C462,'8. FACILIT'!X$18:X$50))</f>
        <v>0</v>
      </c>
      <c r="H468" s="116">
        <f>IF('2. START'!$C$11="NO",SUMIF('8. FACILIT'!$B$18:$B$50,$C462,'8. FACILIT'!Y$18:Y$50),SUMIF('5. PERSON'!$B$17:$B$192,$C462,'5. PERSON'!CU$17:CU$192)+SUMIF('6. OPERATION'!$B$17:$B$149,$C462,'6. OPERATION'!BX$17:BX$149)+SUMIF('8. FACILIT'!$B$18:$B$50,$C462,'8. FACILIT'!Y$18:Y$50))</f>
        <v>0</v>
      </c>
      <c r="I468" s="116">
        <f>IF('2. START'!$C$11="NO",SUMIF('8. FACILIT'!$B$18:$B$50,$C462,'8. FACILIT'!Z$18:Z$50),SUMIF('5. PERSON'!$B$17:$B$192,$C462,'5. PERSON'!CV$17:CV$192)+SUMIF('6. OPERATION'!$B$17:$B$149,$C462,'6. OPERATION'!BY$17:BY$149)+SUMIF('8. FACILIT'!$B$18:$B$50,$C462,'8. FACILIT'!Z$18:Z$50))</f>
        <v>0</v>
      </c>
      <c r="J468" s="116">
        <f>IF('2. START'!$C$11="NO",SUMIF('8. FACILIT'!$B$18:$B$50,$C462,'8. FACILIT'!AA$18:AA$50),SUMIF('5. PERSON'!$B$17:$B$192,$C462,'5. PERSON'!CW$17:CW$192)+SUMIF('6. OPERATION'!$B$17:$B$149,$C462,'6. OPERATION'!BZ$17:BZ$149)+SUMIF('8. FACILIT'!$B$18:$B$50,$C462,'8. FACILIT'!AA$18:AA$50))</f>
        <v>0</v>
      </c>
      <c r="K468" s="116">
        <f>IF('2. START'!$C$11="NO",SUMIF('8. FACILIT'!$B$18:$B$50,$C462,'8. FACILIT'!AB$18:AB$50),SUMIF('5. PERSON'!$B$17:$B$192,$C462,'5. PERSON'!CX$17:CX$192)+SUMIF('6. OPERATION'!$B$17:$B$149,$C462,'6. OPERATION'!CA$17:CA$149)+SUMIF('8. FACILIT'!$B$18:$B$50,$C462,'8. FACILIT'!AB$18:AB$50))</f>
        <v>0</v>
      </c>
      <c r="L468" s="116">
        <f>IF('2. START'!$C$11="NO",SUMIF('8. FACILIT'!$B$18:$B$50,$C462,'8. FACILIT'!AC$18:AC$50),SUMIF('5. PERSON'!$B$17:$B$192,$C462,'5. PERSON'!CY$17:CY$192)+SUMIF('6. OPERATION'!$B$17:$B$149,$C462,'6. OPERATION'!CB$17:CB$149)+SUMIF('8. FACILIT'!$B$18:$B$50,$C462,'8. FACILIT'!AC$18:AC$50))</f>
        <v>0</v>
      </c>
      <c r="M468" s="117">
        <f t="shared" si="77"/>
        <v>0</v>
      </c>
    </row>
    <row r="469" spans="2:15" s="3" customFormat="1" ht="13.2" x14ac:dyDescent="0.25">
      <c r="B469" s="688" t="str">
        <f>IF('1. INTRO'!I$2="English",(IF('2. START'!C$11="NO","Indirect and facility charge accepted as OH by funding body","Indirect")),IF('2. START'!C$11="NO","Indirekt och lokalpåslag accepterade som OH av finansiär","Indirekt"))</f>
        <v>Indirect</v>
      </c>
      <c r="C469" s="689">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689">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689">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689">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689">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689">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689">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689">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689">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689">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687">
        <f t="shared" si="77"/>
        <v>0</v>
      </c>
    </row>
    <row r="470" spans="2:15" s="3" customFormat="1" ht="13.2" x14ac:dyDescent="0.25">
      <c r="B470" s="124" t="s">
        <v>113</v>
      </c>
      <c r="C470" s="102">
        <f>SUM(C465:C469)</f>
        <v>0</v>
      </c>
      <c r="D470" s="102">
        <f t="shared" ref="D470:L470" si="78">SUM(D465:D469)</f>
        <v>0</v>
      </c>
      <c r="E470" s="102">
        <f t="shared" si="78"/>
        <v>0</v>
      </c>
      <c r="F470" s="102">
        <f t="shared" si="78"/>
        <v>0</v>
      </c>
      <c r="G470" s="102">
        <f t="shared" si="78"/>
        <v>0</v>
      </c>
      <c r="H470" s="102">
        <f t="shared" si="78"/>
        <v>0</v>
      </c>
      <c r="I470" s="102">
        <f t="shared" si="78"/>
        <v>0</v>
      </c>
      <c r="J470" s="102">
        <f t="shared" si="78"/>
        <v>0</v>
      </c>
      <c r="K470" s="102">
        <f t="shared" si="78"/>
        <v>0</v>
      </c>
      <c r="L470" s="102">
        <f t="shared" si="78"/>
        <v>0</v>
      </c>
      <c r="M470" s="125">
        <f t="shared" si="77"/>
        <v>0</v>
      </c>
    </row>
    <row r="471" spans="2:15" s="3" customFormat="1" ht="6" customHeight="1" x14ac:dyDescent="0.25">
      <c r="B471" s="126"/>
      <c r="C471" s="127"/>
      <c r="D471" s="127"/>
      <c r="E471" s="127"/>
      <c r="F471" s="127"/>
      <c r="G471" s="127"/>
      <c r="H471" s="127"/>
      <c r="I471" s="127"/>
      <c r="J471" s="127"/>
      <c r="K471" s="127"/>
      <c r="L471" s="127"/>
      <c r="M471" s="128"/>
    </row>
    <row r="472" spans="2:15" s="3" customFormat="1" ht="13.2" x14ac:dyDescent="0.25">
      <c r="B472" s="129" t="str">
        <f>IF('1. INTRO'!I$2="English","Costs to be co-funded","Kostnader att medfinansiera")</f>
        <v>Costs to be co-funded</v>
      </c>
      <c r="C472" s="86"/>
      <c r="D472" s="86"/>
      <c r="E472" s="86"/>
      <c r="F472" s="86"/>
      <c r="G472" s="86"/>
      <c r="H472" s="86"/>
      <c r="I472" s="86"/>
      <c r="J472" s="86"/>
      <c r="K472" s="86"/>
      <c r="L472" s="86"/>
      <c r="M472" s="130"/>
    </row>
    <row r="473" spans="2:15" s="3" customFormat="1" ht="13.2" x14ac:dyDescent="0.25">
      <c r="B473" s="690" t="str">
        <f>IF('1. INTRO'!I$2="English",(IF('2. START'!C$11="NO","Indirect and facility charge not accepted as OH by funding body","")),IF('2. START'!C$11="NO","Indirekt och lokalpåslag inte accepterade som OH av finansiär",""))</f>
        <v/>
      </c>
      <c r="C473" s="691">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691">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691">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691">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691">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691">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691">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691">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691">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691">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684">
        <f t="shared" ref="M473:M479" si="79">SUM(C473:L473)</f>
        <v>0</v>
      </c>
    </row>
    <row r="474" spans="2:15" s="3" customFormat="1" ht="12.75" customHeight="1" x14ac:dyDescent="0.25">
      <c r="B474" s="132" t="str">
        <f>IF('1. INTRO'!I$2="English",(IF('2. START'!C$14&gt;0,"Social costs (LKP) not accepted by funding body","")),IF('2. START'!C$14&gt;0,"LKP som inte accepteras av finansiär",""))</f>
        <v/>
      </c>
      <c r="C474" s="133">
        <f>IF('2. START'!$C$14&gt;0,SUMIF('5. PERSON'!$B$17:$B$192,$C462,'5. PERSON'!AT$17:AT$192)-SUMIF('5. PERSON'!$B$17:$B$192,$C462,'5. PERSON'!DN$17:DN$192),0)</f>
        <v>0</v>
      </c>
      <c r="D474" s="133">
        <f>IF('2. START'!$C$14&gt;0,SUMIF('5. PERSON'!$B$17:$B$192,$C462,'5. PERSON'!AU$17:AU$192)-SUMIF('5. PERSON'!$B$17:$B$192,$C462,'5. PERSON'!DO$17:DO$192),0)</f>
        <v>0</v>
      </c>
      <c r="E474" s="133">
        <f>IF('2. START'!$C$14&gt;0,SUMIF('5. PERSON'!$B$17:$B$192,$C462,'5. PERSON'!AV$17:AV$192)-SUMIF('5. PERSON'!$B$17:$B$192,$C462,'5. PERSON'!DP$17:DP$192),0)</f>
        <v>0</v>
      </c>
      <c r="F474" s="133">
        <f>IF('2. START'!$C$14&gt;0,SUMIF('5. PERSON'!$B$17:$B$192,$C462,'5. PERSON'!AW$17:AW$192)-SUMIF('5. PERSON'!$B$17:$B$192,$C462,'5. PERSON'!DQ$17:DQ$192),0)</f>
        <v>0</v>
      </c>
      <c r="G474" s="133">
        <f>IF('2. START'!$C$14&gt;0,SUMIF('5. PERSON'!$B$17:$B$192,$C462,'5. PERSON'!AX$17:AX$192)-SUMIF('5. PERSON'!$B$17:$B$192,$C462,'5. PERSON'!DR$17:DR$192),0)</f>
        <v>0</v>
      </c>
      <c r="H474" s="133">
        <f>IF('2. START'!$C$14&gt;0,SUMIF('5. PERSON'!$B$17:$B$192,$C462,'5. PERSON'!AY$17:AY$192)-SUMIF('5. PERSON'!$B$17:$B$192,$C462,'5. PERSON'!DS$17:DS$192),0)</f>
        <v>0</v>
      </c>
      <c r="I474" s="133">
        <f>IF('2. START'!$C$14&gt;0,SUMIF('5. PERSON'!$B$17:$B$192,$C462,'5. PERSON'!AZ$17:AZ$192)-SUMIF('5. PERSON'!$B$17:$B$192,$C462,'5. PERSON'!DT$17:DT$192),0)</f>
        <v>0</v>
      </c>
      <c r="J474" s="133">
        <f>IF('2. START'!$C$14&gt;0,SUMIF('5. PERSON'!$B$17:$B$192,$C462,'5. PERSON'!BA$17:BA$192)-SUMIF('5. PERSON'!$B$17:$B$192,$C462,'5. PERSON'!DU$17:DU$192),0)</f>
        <v>0</v>
      </c>
      <c r="K474" s="133">
        <f>IF('2. START'!$C$14&gt;0,SUMIF('5. PERSON'!$B$17:$B$192,$C462,'5. PERSON'!BB$17:BB$192)-SUMIF('5. PERSON'!$B$17:$B$192,$C462,'5. PERSON'!DV$17:DV$192),0)</f>
        <v>0</v>
      </c>
      <c r="L474" s="133">
        <f>IF('2. START'!$C$14&gt;0,SUMIF('5. PERSON'!$B$17:$B$192,$C462,'5. PERSON'!BC$17:BC$192)-SUMIF('5. PERSON'!$B$17:$B$192,$C462,'5. PERSON'!DW$17:DW$192),0)</f>
        <v>0</v>
      </c>
      <c r="M474" s="117">
        <f t="shared" si="79"/>
        <v>0</v>
      </c>
    </row>
    <row r="475" spans="2:15" s="3" customFormat="1" ht="12.75" customHeight="1" x14ac:dyDescent="0.25">
      <c r="B475" s="685" t="str">
        <f>IF('1. INTRO'!I$2="English",(IF('5. PERSON'!BP$193&gt;0,"Salary including social costs (LKP)","")),IF('5. PERSON'!BP$193&gt;0,"Lön inklusive LKP",""))</f>
        <v/>
      </c>
      <c r="C475" s="692">
        <f>SUMIF('5. PERSON'!$B$17:$B$192,$C462,'5. PERSON'!BF$17:BF$192)</f>
        <v>0</v>
      </c>
      <c r="D475" s="692">
        <f>SUMIF('5. PERSON'!$B$17:$B$192,$C462,'5. PERSON'!BG$17:BG$192)</f>
        <v>0</v>
      </c>
      <c r="E475" s="692">
        <f>SUMIF('5. PERSON'!$B$17:$B$192,$C462,'5. PERSON'!BH$17:BH$192)</f>
        <v>0</v>
      </c>
      <c r="F475" s="692">
        <f>SUMIF('5. PERSON'!$B$17:$B$192,$C462,'5. PERSON'!BI$17:BI$192)</f>
        <v>0</v>
      </c>
      <c r="G475" s="692">
        <f>SUMIF('5. PERSON'!$B$17:$B$192,$C462,'5. PERSON'!BJ$17:BJ$192)</f>
        <v>0</v>
      </c>
      <c r="H475" s="692">
        <f>SUMIF('5. PERSON'!$B$17:$B$192,$C462,'5. PERSON'!BK$17:BK$192)</f>
        <v>0</v>
      </c>
      <c r="I475" s="692">
        <f>SUMIF('5. PERSON'!$B$17:$B$192,$C462,'5. PERSON'!BL$17:BL$192)</f>
        <v>0</v>
      </c>
      <c r="J475" s="692">
        <f>SUMIF('5. PERSON'!$B$17:$B$192,$C462,'5. PERSON'!BM$17:BM$192)</f>
        <v>0</v>
      </c>
      <c r="K475" s="692">
        <f>SUMIF('5. PERSON'!$B$17:$B$192,$C462,'5. PERSON'!BN$17:BN$192)</f>
        <v>0</v>
      </c>
      <c r="L475" s="692">
        <f>SUMIF('5. PERSON'!$B$17:$B$192,$C462,'5. PERSON'!BO$17:BO$192)</f>
        <v>0</v>
      </c>
      <c r="M475" s="687">
        <f t="shared" si="79"/>
        <v>0</v>
      </c>
    </row>
    <row r="476" spans="2:15" s="3" customFormat="1" ht="13.2" x14ac:dyDescent="0.25">
      <c r="B476" s="80" t="str">
        <f>IF('1. INTRO'!I$2="English",(IF('6. OPERATION'!AS$150&gt;0,"Operating","")),IF('6. OPERATION'!AS$150&gt;0,"Drift",""))</f>
        <v/>
      </c>
      <c r="C476" s="135">
        <f>SUMIF('6. OPERATION'!$B$17:$B$149,$C462,'6. OPERATION'!AI$17:AI$149)</f>
        <v>0</v>
      </c>
      <c r="D476" s="135">
        <f>SUMIF('6. OPERATION'!$B$17:$B$149,$C462,'6. OPERATION'!AJ$17:AJ$149)</f>
        <v>0</v>
      </c>
      <c r="E476" s="135">
        <f>SUMIF('6. OPERATION'!$B$17:$B$149,$C462,'6. OPERATION'!AK$17:AK$149)</f>
        <v>0</v>
      </c>
      <c r="F476" s="135">
        <f>SUMIF('6. OPERATION'!$B$17:$B$149,$C462,'6. OPERATION'!AL$17:AL$149)</f>
        <v>0</v>
      </c>
      <c r="G476" s="135">
        <f>SUMIF('6. OPERATION'!$B$17:$B$149,$C462,'6. OPERATION'!AM$17:AM$149)</f>
        <v>0</v>
      </c>
      <c r="H476" s="135">
        <f>SUMIF('6. OPERATION'!$B$17:$B$149,$C462,'6. OPERATION'!AN$17:AN$149)</f>
        <v>0</v>
      </c>
      <c r="I476" s="135">
        <f>SUMIF('6. OPERATION'!$B$17:$B$149,$C462,'6. OPERATION'!AO$17:AO$149)</f>
        <v>0</v>
      </c>
      <c r="J476" s="135">
        <f>SUMIF('6. OPERATION'!$B$17:$B$149,$C462,'6. OPERATION'!AP$17:AP$149)</f>
        <v>0</v>
      </c>
      <c r="K476" s="135">
        <f>SUMIF('6. OPERATION'!$B$17:$B$149,$C462,'6. OPERATION'!AQ$17:AQ$149)</f>
        <v>0</v>
      </c>
      <c r="L476" s="135">
        <f>SUMIF('6. OPERATION'!$B$17:$B$149,$C462,'6. OPERATION'!AR$17:AR$149)</f>
        <v>0</v>
      </c>
      <c r="M476" s="117">
        <f t="shared" si="79"/>
        <v>0</v>
      </c>
    </row>
    <row r="477" spans="2:15" s="3" customFormat="1" ht="13.2" x14ac:dyDescent="0.25">
      <c r="B477" s="685" t="str">
        <f>IF('1. INTRO'!I$2="English",(IF('7. INVEST'!AS$50&gt;0,"Equipment","")),IF('7. INVEST'!AS$50&gt;0,"Utrustning",""))</f>
        <v/>
      </c>
      <c r="C477" s="692">
        <f>SUMIF('7. INVEST'!$B$17:$B$49,$C462,'7. INVEST'!AI$17:AI$49)</f>
        <v>0</v>
      </c>
      <c r="D477" s="692">
        <f>SUMIF('7. INVEST'!$B$17:$B$49,$C462,'7. INVEST'!AJ$17:AJ$49)</f>
        <v>0</v>
      </c>
      <c r="E477" s="692">
        <f>SUMIF('7. INVEST'!$B$17:$B$49,$C462,'7. INVEST'!AK$17:AK$49)</f>
        <v>0</v>
      </c>
      <c r="F477" s="692">
        <f>SUMIF('7. INVEST'!$B$17:$B$49,$C462,'7. INVEST'!AL$17:AL$49)</f>
        <v>0</v>
      </c>
      <c r="G477" s="692">
        <f>SUMIF('7. INVEST'!$B$17:$B$49,$C462,'7. INVEST'!AM$17:AM$49)</f>
        <v>0</v>
      </c>
      <c r="H477" s="692">
        <f>SUMIF('7. INVEST'!$B$17:$B$49,$C462,'7. INVEST'!AN$17:AN$49)</f>
        <v>0</v>
      </c>
      <c r="I477" s="692">
        <f>SUMIF('7. INVEST'!$B$17:$B$49,$C462,'7. INVEST'!AO$17:AO$49)</f>
        <v>0</v>
      </c>
      <c r="J477" s="692">
        <f>SUMIF('7. INVEST'!$B$17:$B$49,$C462,'7. INVEST'!AP$17:AP$49)</f>
        <v>0</v>
      </c>
      <c r="K477" s="692">
        <f>SUMIF('7. INVEST'!$B$17:$B$49,$C462,'7. INVEST'!AQ$17:AQ$49)</f>
        <v>0</v>
      </c>
      <c r="L477" s="692">
        <f>SUMIF('7. INVEST'!$B$17:$B$49,$C462,'7. INVEST'!AR$17:AR$49)</f>
        <v>0</v>
      </c>
      <c r="M477" s="687">
        <f t="shared" si="79"/>
        <v>0</v>
      </c>
    </row>
    <row r="478" spans="2:15" s="3" customFormat="1" ht="13.2" x14ac:dyDescent="0.25">
      <c r="B478" s="121" t="str">
        <f>IF('1. INTRO'!I$2="English",(IF('8. FACILIT'!AP$51&gt;0,"Facility","")),IF('8. FACILIT'!AP$51&gt;0,"Lokal",""))</f>
        <v/>
      </c>
      <c r="C478" s="135">
        <f>SUMIF('5. PERSON'!$B$17:$B$192,$C462,'5. PERSON'!DB$17:DB$192)+SUMIF('6. OPERATION'!$B$17:$B$149,$C462,'6. OPERATION'!CE$17:CE$149)+SUMIF('8. FACILIT'!$B$18:$B$50,$C462,'8. FACILIT'!AF$18:AF$50)</f>
        <v>0</v>
      </c>
      <c r="D478" s="135">
        <f>SUMIF('5. PERSON'!$B$17:$B$192,$C462,'5. PERSON'!DC$17:DC$192)+SUMIF('6. OPERATION'!$B$17:$B$149,$C462,'6. OPERATION'!CF$17:CF$149)+SUMIF('8. FACILIT'!$B$18:$B$50,$C462,'8. FACILIT'!AG$18:AG$50)</f>
        <v>0</v>
      </c>
      <c r="E478" s="135">
        <f>SUMIF('5. PERSON'!$B$17:$B$192,$C462,'5. PERSON'!DD$17:DD$192)+SUMIF('6. OPERATION'!$B$17:$B$149,$C462,'6. OPERATION'!CG$17:CG$149)+SUMIF('8. FACILIT'!$B$18:$B$50,$C462,'8. FACILIT'!AH$18:AH$50)</f>
        <v>0</v>
      </c>
      <c r="F478" s="135">
        <f>SUMIF('5. PERSON'!$B$17:$B$192,$C462,'5. PERSON'!DE$17:DE$192)+SUMIF('6. OPERATION'!$B$17:$B$149,$C462,'6. OPERATION'!CH$17:CH$149)+SUMIF('8. FACILIT'!$B$18:$B$50,$C462,'8. FACILIT'!AI$18:AI$50)</f>
        <v>0</v>
      </c>
      <c r="G478" s="135">
        <f>SUMIF('5. PERSON'!$B$17:$B$192,$C462,'5. PERSON'!DF$17:DF$192)+SUMIF('6. OPERATION'!$B$17:$B$149,$C462,'6. OPERATION'!CI$17:CI$149)+SUMIF('8. FACILIT'!$B$18:$B$50,$C462,'8. FACILIT'!AJ$18:AJ$50)</f>
        <v>0</v>
      </c>
      <c r="H478" s="135">
        <f>SUMIF('5. PERSON'!$B$17:$B$192,$C462,'5. PERSON'!DG$17:DG$192)+SUMIF('6. OPERATION'!$B$17:$B$149,$C462,'6. OPERATION'!CJ$17:CJ$149)+SUMIF('8. FACILIT'!$B$18:$B$50,$C462,'8. FACILIT'!AK$18:AK$50)</f>
        <v>0</v>
      </c>
      <c r="I478" s="135">
        <f>SUMIF('5. PERSON'!$B$17:$B$192,$C462,'5. PERSON'!DH$17:DH$192)+SUMIF('6. OPERATION'!$B$17:$B$149,$C462,'6. OPERATION'!CK$17:CK$149)+SUMIF('8. FACILIT'!$B$18:$B$50,$C462,'8. FACILIT'!AL$18:AL$50)</f>
        <v>0</v>
      </c>
      <c r="J478" s="135">
        <f>SUMIF('5. PERSON'!$B$17:$B$192,$C462,'5. PERSON'!DI$17:DI$192)+SUMIF('6. OPERATION'!$B$17:$B$149,$C462,'6. OPERATION'!CL$17:CL$149)+SUMIF('8. FACILIT'!$B$18:$B$50,$C462,'8. FACILIT'!AM$18:AM$50)</f>
        <v>0</v>
      </c>
      <c r="K478" s="135">
        <f>SUMIF('5. PERSON'!$B$17:$B$192,$C462,'5. PERSON'!DJ$17:DJ$192)+SUMIF('6. OPERATION'!$B$17:$B$149,$C462,'6. OPERATION'!CM$17:CM$149)+SUMIF('8. FACILIT'!$B$18:$B$50,$C462,'8. FACILIT'!AN$18:AN$50)</f>
        <v>0</v>
      </c>
      <c r="L478" s="135">
        <f>SUMIF('5. PERSON'!$B$17:$B$192,$C462,'5. PERSON'!DK$17:DK$192)+SUMIF('6. OPERATION'!$B$17:$B$149,$C462,'6. OPERATION'!CN$17:CN$149)+SUMIF('8. FACILIT'!$B$18:$B$50,$C462,'8. FACILIT'!AO$18:AO$50)</f>
        <v>0</v>
      </c>
      <c r="M478" s="117">
        <f t="shared" si="79"/>
        <v>0</v>
      </c>
    </row>
    <row r="479" spans="2:15" s="1" customFormat="1" ht="13.2" x14ac:dyDescent="0.25">
      <c r="B479" s="688" t="str">
        <f>IF('1. INTRO'!I$2="English",(IF(('5. PERSON'!CN$193+'6. OPERATION'!BQ$150)&gt;0,"Indirect","")),IF(('5. PERSON'!CN$193+'6. OPERATION'!BQ$150)&gt;0,"Indirekt",""))</f>
        <v/>
      </c>
      <c r="C479" s="689">
        <f>SUMIF('5. PERSON'!$B$17:$B$192,$C462,'5. PERSON'!CD$17:CD$192)+SUMIF('6. OPERATION'!$B$17:$B$149,$C462,'6. OPERATION'!BG$17:BG$149)</f>
        <v>0</v>
      </c>
      <c r="D479" s="689">
        <f>SUMIF('5. PERSON'!$B$17:$B$192,$C462,'5. PERSON'!CE$17:CE$192)+SUMIF('6. OPERATION'!$B$17:$B$149,$C462,'6. OPERATION'!BH$17:BH$149)</f>
        <v>0</v>
      </c>
      <c r="E479" s="689">
        <f>SUMIF('5. PERSON'!$B$17:$B$192,$C462,'5. PERSON'!CF$17:CF$192)+SUMIF('6. OPERATION'!$B$17:$B$149,$C462,'6. OPERATION'!BI$17:BI$149)</f>
        <v>0</v>
      </c>
      <c r="F479" s="689">
        <f>SUMIF('5. PERSON'!$B$17:$B$192,$C462,'5. PERSON'!CG$17:CG$192)+SUMIF('6. OPERATION'!$B$17:$B$149,$C462,'6. OPERATION'!BJ$17:BJ$149)</f>
        <v>0</v>
      </c>
      <c r="G479" s="689">
        <f>SUMIF('5. PERSON'!$B$17:$B$192,$C462,'5. PERSON'!CH$17:CH$192)+SUMIF('6. OPERATION'!$B$17:$B$149,$C462,'6. OPERATION'!BK$17:BK$149)</f>
        <v>0</v>
      </c>
      <c r="H479" s="689">
        <f>SUMIF('5. PERSON'!$B$17:$B$192,$C462,'5. PERSON'!CI$17:CI$192)+SUMIF('6. OPERATION'!$B$17:$B$149,$C462,'6. OPERATION'!BL$17:BL$149)</f>
        <v>0</v>
      </c>
      <c r="I479" s="689">
        <f>SUMIF('5. PERSON'!$B$17:$B$192,$C462,'5. PERSON'!CJ$17:CJ$192)+SUMIF('6. OPERATION'!$B$17:$B$149,$C462,'6. OPERATION'!BM$17:BM$149)</f>
        <v>0</v>
      </c>
      <c r="J479" s="689">
        <f>SUMIF('5. PERSON'!$B$17:$B$192,$C462,'5. PERSON'!CK$17:CK$192)+SUMIF('6. OPERATION'!$B$17:$B$149,$C462,'6. OPERATION'!BN$17:BN$149)</f>
        <v>0</v>
      </c>
      <c r="K479" s="689">
        <f>SUMIF('5. PERSON'!$B$17:$B$192,$C462,'5. PERSON'!CL$17:CL$192)+SUMIF('6. OPERATION'!$B$17:$B$149,$C462,'6. OPERATION'!BO$17:BO$149)</f>
        <v>0</v>
      </c>
      <c r="L479" s="689">
        <f>SUMIF('5. PERSON'!$B$17:$B$192,$C462,'5. PERSON'!CM$17:CM$192)+SUMIF('6. OPERATION'!$B$17:$B$149,$C462,'6. OPERATION'!BP$17:BP$149)</f>
        <v>0</v>
      </c>
      <c r="M479" s="693">
        <f t="shared" si="79"/>
        <v>0</v>
      </c>
    </row>
    <row r="480" spans="2:15" s="3" customFormat="1" ht="13.2" x14ac:dyDescent="0.25">
      <c r="B480" s="124" t="s">
        <v>113</v>
      </c>
      <c r="C480" s="102">
        <f>SUM(C473:C479)</f>
        <v>0</v>
      </c>
      <c r="D480" s="102">
        <f t="shared" ref="D480:M480" si="80">SUM(D473:D479)</f>
        <v>0</v>
      </c>
      <c r="E480" s="102">
        <f t="shared" si="80"/>
        <v>0</v>
      </c>
      <c r="F480" s="102">
        <f t="shared" si="80"/>
        <v>0</v>
      </c>
      <c r="G480" s="102">
        <f t="shared" si="80"/>
        <v>0</v>
      </c>
      <c r="H480" s="102">
        <f t="shared" si="80"/>
        <v>0</v>
      </c>
      <c r="I480" s="102">
        <f t="shared" si="80"/>
        <v>0</v>
      </c>
      <c r="J480" s="102">
        <f t="shared" si="80"/>
        <v>0</v>
      </c>
      <c r="K480" s="102">
        <f t="shared" si="80"/>
        <v>0</v>
      </c>
      <c r="L480" s="102">
        <f t="shared" si="80"/>
        <v>0</v>
      </c>
      <c r="M480" s="125">
        <f t="shared" si="80"/>
        <v>0</v>
      </c>
      <c r="N480" s="23"/>
      <c r="O480" s="23"/>
    </row>
    <row r="481" spans="2:13" s="3" customFormat="1" ht="6" customHeight="1" x14ac:dyDescent="0.25">
      <c r="B481" s="136"/>
      <c r="C481" s="127"/>
      <c r="D481" s="127"/>
      <c r="E481" s="127"/>
      <c r="F481" s="127"/>
      <c r="G481" s="127"/>
      <c r="H481" s="127"/>
      <c r="I481" s="127"/>
      <c r="J481" s="127"/>
      <c r="K481" s="127"/>
      <c r="L481" s="127"/>
      <c r="M481" s="137"/>
    </row>
    <row r="482" spans="2:13" s="3" customFormat="1" ht="13.2" x14ac:dyDescent="0.25">
      <c r="B482" s="129" t="str">
        <f>IF('1. INTRO'!I$2="English","Full cost","Full kostnad")</f>
        <v>Full cost</v>
      </c>
      <c r="C482" s="127"/>
      <c r="D482" s="127"/>
      <c r="E482" s="127"/>
      <c r="F482" s="127"/>
      <c r="G482" s="127"/>
      <c r="H482" s="127"/>
      <c r="I482" s="127"/>
      <c r="J482" s="127"/>
      <c r="K482" s="127"/>
      <c r="L482" s="127"/>
      <c r="M482" s="137"/>
    </row>
    <row r="483" spans="2:13" s="3" customFormat="1" ht="13.2" x14ac:dyDescent="0.25">
      <c r="B483" s="682" t="str">
        <f>IF('1. INTRO'!I$2="English","Salary including social costs (LKP)","Lön inklusive LKP")</f>
        <v>Salary including social costs (LKP)</v>
      </c>
      <c r="C483" s="694">
        <f>C465+C474+C475</f>
        <v>0</v>
      </c>
      <c r="D483" s="694">
        <f t="shared" ref="D483:L483" si="81">D465+D474+D475</f>
        <v>0</v>
      </c>
      <c r="E483" s="694">
        <f t="shared" si="81"/>
        <v>0</v>
      </c>
      <c r="F483" s="694">
        <f t="shared" si="81"/>
        <v>0</v>
      </c>
      <c r="G483" s="694">
        <f t="shared" si="81"/>
        <v>0</v>
      </c>
      <c r="H483" s="694">
        <f t="shared" si="81"/>
        <v>0</v>
      </c>
      <c r="I483" s="694">
        <f t="shared" si="81"/>
        <v>0</v>
      </c>
      <c r="J483" s="694">
        <f t="shared" si="81"/>
        <v>0</v>
      </c>
      <c r="K483" s="694">
        <f t="shared" si="81"/>
        <v>0</v>
      </c>
      <c r="L483" s="694">
        <f t="shared" si="81"/>
        <v>0</v>
      </c>
      <c r="M483" s="684">
        <f>SUM(C483:L483)</f>
        <v>0</v>
      </c>
    </row>
    <row r="484" spans="2:13" s="3" customFormat="1" ht="13.2" x14ac:dyDescent="0.25">
      <c r="B484" s="80" t="str">
        <f>IF('1. INTRO'!I$2="English","Operating","Drift")</f>
        <v>Operating</v>
      </c>
      <c r="C484" s="139">
        <f>C466+C476</f>
        <v>0</v>
      </c>
      <c r="D484" s="139">
        <f t="shared" ref="D484:L484" si="82">D466+D476</f>
        <v>0</v>
      </c>
      <c r="E484" s="139">
        <f t="shared" si="82"/>
        <v>0</v>
      </c>
      <c r="F484" s="139">
        <f t="shared" si="82"/>
        <v>0</v>
      </c>
      <c r="G484" s="139">
        <f t="shared" si="82"/>
        <v>0</v>
      </c>
      <c r="H484" s="139">
        <f t="shared" si="82"/>
        <v>0</v>
      </c>
      <c r="I484" s="139">
        <f t="shared" si="82"/>
        <v>0</v>
      </c>
      <c r="J484" s="139">
        <f t="shared" si="82"/>
        <v>0</v>
      </c>
      <c r="K484" s="139">
        <f t="shared" si="82"/>
        <v>0</v>
      </c>
      <c r="L484" s="139">
        <f t="shared" si="82"/>
        <v>0</v>
      </c>
      <c r="M484" s="117">
        <f>SUM(C484:L484)</f>
        <v>0</v>
      </c>
    </row>
    <row r="485" spans="2:13" s="3" customFormat="1" ht="13.2" x14ac:dyDescent="0.25">
      <c r="B485" s="685" t="str">
        <f>IF('1. INTRO'!I$2="English","Equipment","Utrustning")</f>
        <v>Equipment</v>
      </c>
      <c r="C485" s="695">
        <f>C467+C477</f>
        <v>0</v>
      </c>
      <c r="D485" s="695">
        <f t="shared" ref="D485:L485" si="83">D467+D477</f>
        <v>0</v>
      </c>
      <c r="E485" s="695">
        <f t="shared" si="83"/>
        <v>0</v>
      </c>
      <c r="F485" s="695">
        <f t="shared" si="83"/>
        <v>0</v>
      </c>
      <c r="G485" s="695">
        <f t="shared" si="83"/>
        <v>0</v>
      </c>
      <c r="H485" s="695">
        <f t="shared" si="83"/>
        <v>0</v>
      </c>
      <c r="I485" s="695">
        <f t="shared" si="83"/>
        <v>0</v>
      </c>
      <c r="J485" s="695">
        <f t="shared" si="83"/>
        <v>0</v>
      </c>
      <c r="K485" s="695">
        <f t="shared" si="83"/>
        <v>0</v>
      </c>
      <c r="L485" s="695">
        <f t="shared" si="83"/>
        <v>0</v>
      </c>
      <c r="M485" s="687">
        <f>SUM(C485:L485)</f>
        <v>0</v>
      </c>
    </row>
    <row r="486" spans="2:13" s="3" customFormat="1" ht="13.2" x14ac:dyDescent="0.25">
      <c r="B486" s="80" t="str">
        <f>IF('1. INTRO'!I$2="English","Facility","Lokal")</f>
        <v>Facility</v>
      </c>
      <c r="C486" s="139">
        <f>SUMIF('5. PERSON'!$B$17:$B$192,$C462,'5. PERSON'!CP$17:CP$192)+SUMIF('5. PERSON'!$B$17:$B$192,$C462,'5. PERSON'!DB$17:DB$192)+SUMIF('6. OPERATION'!$B$17:$B$149,$C462,'6. OPERATION'!BS$17:BS$149)+SUMIF('6. OPERATION'!$B$17:$B$149,$C462,'6. OPERATION'!CE$17:CE$149)+SUMIF('8. FACILIT'!$B$18:$B$50,$C462,'8. FACILIT'!T$18:T$50)+SUMIF('8. FACILIT'!$B$18:$B$50,$C462,'8. FACILIT'!AF$18:AF$50)</f>
        <v>0</v>
      </c>
      <c r="D486" s="139">
        <f>SUMIF('5. PERSON'!$B$17:$B$192,$C462,'5. PERSON'!CQ$17:CQ$192)+SUMIF('5. PERSON'!$B$17:$B$192,$C462,'5. PERSON'!DC$17:DC$192)+SUMIF('6. OPERATION'!$B$17:$B$149,$C462,'6. OPERATION'!BT$17:BT$149)+SUMIF('6. OPERATION'!$B$17:$B$149,$C462,'6. OPERATION'!CF$17:CF$149)+SUMIF('8. FACILIT'!$B$18:$B$50,$C462,'8. FACILIT'!U$18:U$50)+SUMIF('8. FACILIT'!$B$18:$B$50,$C462,'8. FACILIT'!AG$18:AG$50)</f>
        <v>0</v>
      </c>
      <c r="E486" s="139">
        <f>SUMIF('5. PERSON'!$B$17:$B$192,$C462,'5. PERSON'!CR$17:CR$192)+SUMIF('5. PERSON'!$B$17:$B$192,$C462,'5. PERSON'!DD$17:DD$192)+SUMIF('6. OPERATION'!$B$17:$B$149,$C462,'6. OPERATION'!BU$17:BU$149)+SUMIF('6. OPERATION'!$B$17:$B$149,$C462,'6. OPERATION'!CG$17:CG$149)+SUMIF('8. FACILIT'!$B$18:$B$50,$C462,'8. FACILIT'!V$18:V$50)+SUMIF('8. FACILIT'!$B$18:$B$50,$C462,'8. FACILIT'!AH$18:AH$50)</f>
        <v>0</v>
      </c>
      <c r="F486" s="139">
        <f>SUMIF('5. PERSON'!$B$17:$B$192,$C462,'5. PERSON'!CS$17:CS$192)+SUMIF('5. PERSON'!$B$17:$B$192,$C462,'5. PERSON'!DE$17:DE$192)+SUMIF('6. OPERATION'!$B$17:$B$149,$C462,'6. OPERATION'!BV$17:BV$149)+SUMIF('6. OPERATION'!$B$17:$B$149,$C462,'6. OPERATION'!CH$17:CH$149)+SUMIF('8. FACILIT'!$B$18:$B$50,$C462,'8. FACILIT'!W$18:W$50)+SUMIF('8. FACILIT'!$B$18:$B$50,$C462,'8. FACILIT'!AI$18:AI$50)</f>
        <v>0</v>
      </c>
      <c r="G486" s="139">
        <f>SUMIF('5. PERSON'!$B$17:$B$192,$C462,'5. PERSON'!CT$17:CT$192)+SUMIF('5. PERSON'!$B$17:$B$192,$C462,'5. PERSON'!DF$17:DF$192)+SUMIF('6. OPERATION'!$B$17:$B$149,$C462,'6. OPERATION'!BW$17:BW$149)+SUMIF('6. OPERATION'!$B$17:$B$149,$C462,'6. OPERATION'!CI$17:CI$149)+SUMIF('8. FACILIT'!$B$18:$B$50,$C462,'8. FACILIT'!X$18:X$50)+SUMIF('8. FACILIT'!$B$18:$B$50,$C462,'8. FACILIT'!AJ$18:AJ$50)</f>
        <v>0</v>
      </c>
      <c r="H486" s="139">
        <f>SUMIF('5. PERSON'!$B$17:$B$192,$C462,'5. PERSON'!CU$17:CU$192)+SUMIF('5. PERSON'!$B$17:$B$192,$C462,'5. PERSON'!DG$17:DG$192)+SUMIF('6. OPERATION'!$B$17:$B$149,$C462,'6. OPERATION'!BX$17:BX$149)+SUMIF('6. OPERATION'!$B$17:$B$149,$C462,'6. OPERATION'!CJ$17:CJ$149)+SUMIF('8. FACILIT'!$B$18:$B$50,$C462,'8. FACILIT'!Y$18:Y$50)+SUMIF('8. FACILIT'!$B$18:$B$50,$C462,'8. FACILIT'!AK$18:AK$50)</f>
        <v>0</v>
      </c>
      <c r="I486" s="139">
        <f>SUMIF('5. PERSON'!$B$17:$B$192,$C462,'5. PERSON'!CV$17:CV$192)+SUMIF('5. PERSON'!$B$17:$B$192,$C462,'5. PERSON'!DH$17:DH$192)+SUMIF('6. OPERATION'!$B$17:$B$149,$C462,'6. OPERATION'!BY$17:BY$149)+SUMIF('6. OPERATION'!$B$17:$B$149,$C462,'6. OPERATION'!CK$17:CK$149)+SUMIF('8. FACILIT'!$B$18:$B$50,$C462,'8. FACILIT'!Z$18:Z$50)+SUMIF('8. FACILIT'!$B$18:$B$50,$C462,'8. FACILIT'!AL$18:AL$50)</f>
        <v>0</v>
      </c>
      <c r="J486" s="139">
        <f>SUMIF('5. PERSON'!$B$17:$B$192,$C462,'5. PERSON'!CW$17:CW$192)+SUMIF('5. PERSON'!$B$17:$B$192,$C462,'5. PERSON'!DI$17:DI$192)+SUMIF('6. OPERATION'!$B$17:$B$149,$C462,'6. OPERATION'!BZ$17:BZ$149)+SUMIF('6. OPERATION'!$B$17:$B$149,$C462,'6. OPERATION'!CL$17:CL$149)+SUMIF('8. FACILIT'!$B$18:$B$50,$C462,'8. FACILIT'!AA$18:AA$50)+SUMIF('8. FACILIT'!$B$18:$B$50,$C462,'8. FACILIT'!AM$18:AM$50)</f>
        <v>0</v>
      </c>
      <c r="K486" s="139">
        <f>SUMIF('5. PERSON'!$B$17:$B$192,$C462,'5. PERSON'!CX$17:CX$192)+SUMIF('5. PERSON'!$B$17:$B$192,$C462,'5. PERSON'!DJ$17:DJ$192)+SUMIF('6. OPERATION'!$B$17:$B$149,$C462,'6. OPERATION'!CA$17:CA$149)+SUMIF('6. OPERATION'!$B$17:$B$149,$C462,'6. OPERATION'!CM$17:CM$149)+SUMIF('8. FACILIT'!$B$18:$B$50,$C462,'8. FACILIT'!AB$18:AB$50)+SUMIF('8. FACILIT'!$B$18:$B$50,$C462,'8. FACILIT'!AN$18:AN$50)</f>
        <v>0</v>
      </c>
      <c r="L486" s="139">
        <f>SUMIF('5. PERSON'!$B$17:$B$192,$C462,'5. PERSON'!CY$17:CY$192)+SUMIF('5. PERSON'!$B$17:$B$192,$C462,'5. PERSON'!DK$17:DK$192)+SUMIF('6. OPERATION'!$B$17:$B$149,$C462,'6. OPERATION'!CB$17:CB$149)+SUMIF('6. OPERATION'!$B$17:$B$149,$C462,'6. OPERATION'!CN$17:CN$149)+SUMIF('8. FACILIT'!$B$18:$B$50,$C462,'8. FACILIT'!AC$18:AC$50)+SUMIF('8. FACILIT'!$B$18:$B$50,$C462,'8. FACILIT'!AO$18:AO$50)</f>
        <v>0</v>
      </c>
      <c r="M486" s="117">
        <f>SUM(C486:L486)</f>
        <v>0</v>
      </c>
    </row>
    <row r="487" spans="2:13" s="3" customFormat="1" ht="13.2" x14ac:dyDescent="0.25">
      <c r="B487" s="696" t="str">
        <f>IF('1. INTRO'!I$2="English","Indirect","Indirekt")</f>
        <v>Indirect</v>
      </c>
      <c r="C487" s="697">
        <f>SUMIF('5. PERSON'!$B$17:$B$192,$C462,'5. PERSON'!BR$17:BR$192)+SUMIF('5. PERSON'!$B$17:$B$192,$C462,'5. PERSON'!CD$17:CD$192)+SUMIF('6. OPERATION'!$B$17:$B$149,$C462,'6. OPERATION'!AU$17:AU$149)+SUMIF('6. OPERATION'!$B$17:$B$149,$C462,'6. OPERATION'!BG$17:BG$149)</f>
        <v>0</v>
      </c>
      <c r="D487" s="697">
        <f>SUMIF('5. PERSON'!$B$17:$B$192,$C462,'5. PERSON'!BS$17:BS$192)+SUMIF('5. PERSON'!$B$17:$B$192,$C462,'5. PERSON'!CE$17:CE$192)+SUMIF('6. OPERATION'!$B$17:$B$149,$C462,'6. OPERATION'!AV$17:AV$149)+SUMIF('6. OPERATION'!$B$17:$B$149,$C462,'6. OPERATION'!BH$17:BH$149)</f>
        <v>0</v>
      </c>
      <c r="E487" s="697">
        <f>SUMIF('5. PERSON'!$B$17:$B$192,$C462,'5. PERSON'!BT$17:BT$192)+SUMIF('5. PERSON'!$B$17:$B$192,$C462,'5. PERSON'!CF$17:CF$192)+SUMIF('6. OPERATION'!$B$17:$B$149,$C462,'6. OPERATION'!AW$17:AW$149)+SUMIF('6. OPERATION'!$B$17:$B$149,$C462,'6. OPERATION'!BI$17:BI$149)</f>
        <v>0</v>
      </c>
      <c r="F487" s="697">
        <f>SUMIF('5. PERSON'!$B$17:$B$192,$C462,'5. PERSON'!BU$17:BU$192)+SUMIF('5. PERSON'!$B$17:$B$192,$C462,'5. PERSON'!CG$17:CG$192)+SUMIF('6. OPERATION'!$B$17:$B$149,$C462,'6. OPERATION'!AX$17:AX$149)+SUMIF('6. OPERATION'!$B$17:$B$149,$C462,'6. OPERATION'!BJ$17:BJ$149)</f>
        <v>0</v>
      </c>
      <c r="G487" s="697">
        <f>SUMIF('5. PERSON'!$B$17:$B$192,$C462,'5. PERSON'!BV$17:BV$192)+SUMIF('5. PERSON'!$B$17:$B$192,$C462,'5. PERSON'!CH$17:CH$192)+SUMIF('6. OPERATION'!$B$17:$B$149,$C462,'6. OPERATION'!AY$17:AY$149)+SUMIF('6. OPERATION'!$B$17:$B$149,$C462,'6. OPERATION'!BK$17:BK$149)</f>
        <v>0</v>
      </c>
      <c r="H487" s="697">
        <f>SUMIF('5. PERSON'!$B$17:$B$192,$C462,'5. PERSON'!BW$17:BW$192)+SUMIF('5. PERSON'!$B$17:$B$192,$C462,'5. PERSON'!CI$17:CI$192)+SUMIF('6. OPERATION'!$B$17:$B$149,$C462,'6. OPERATION'!AZ$17:AZ$149)+SUMIF('6. OPERATION'!$B$17:$B$149,$C462,'6. OPERATION'!BL$17:BL$149)</f>
        <v>0</v>
      </c>
      <c r="I487" s="697">
        <f>SUMIF('5. PERSON'!$B$17:$B$192,$C462,'5. PERSON'!BX$17:BX$192)+SUMIF('5. PERSON'!$B$17:$B$192,$C462,'5. PERSON'!CJ$17:CJ$192)+SUMIF('6. OPERATION'!$B$17:$B$149,$C462,'6. OPERATION'!BA$17:BA$149)+SUMIF('6. OPERATION'!$B$17:$B$149,$C462,'6. OPERATION'!BM$17:BM$149)</f>
        <v>0</v>
      </c>
      <c r="J487" s="697">
        <f>SUMIF('5. PERSON'!$B$17:$B$192,$C462,'5. PERSON'!BY$17:BY$192)+SUMIF('5. PERSON'!$B$17:$B$192,$C462,'5. PERSON'!CK$17:CK$192)+SUMIF('6. OPERATION'!$B$17:$B$149,$C462,'6. OPERATION'!BB$17:BB$149)+SUMIF('6. OPERATION'!$B$17:$B$149,$C462,'6. OPERATION'!BN$17:BN$149)</f>
        <v>0</v>
      </c>
      <c r="K487" s="697">
        <f>SUMIF('5. PERSON'!$B$17:$B$192,$C462,'5. PERSON'!BZ$17:BZ$192)+SUMIF('5. PERSON'!$B$17:$B$192,$C462,'5. PERSON'!CL$17:CL$192)+SUMIF('6. OPERATION'!$B$17:$B$149,$C462,'6. OPERATION'!BC$17:BC$149)+SUMIF('6. OPERATION'!$B$17:$B$149,$C462,'6. OPERATION'!BO$17:BO$149)</f>
        <v>0</v>
      </c>
      <c r="L487" s="697">
        <f>SUMIF('5. PERSON'!$B$17:$B$192,$C462,'5. PERSON'!CA$17:CA$192)+SUMIF('5. PERSON'!$B$17:$B$192,$C462,'5. PERSON'!CM$17:CM$192)+SUMIF('6. OPERATION'!$B$17:$B$149,$C462,'6. OPERATION'!BD$17:BD$149)+SUMIF('6. OPERATION'!$B$17:$B$149,$C462,'6. OPERATION'!BP$17:BP$149)</f>
        <v>0</v>
      </c>
      <c r="M487" s="693">
        <f>SUM(C487:L487)</f>
        <v>0</v>
      </c>
    </row>
    <row r="488" spans="2:13" s="3" customFormat="1" ht="13.2" x14ac:dyDescent="0.25">
      <c r="B488" s="124" t="s">
        <v>113</v>
      </c>
      <c r="C488" s="88">
        <f>SUM(C483:C487)</f>
        <v>0</v>
      </c>
      <c r="D488" s="88">
        <f t="shared" ref="D488:M488" si="84">SUM(D483:D487)</f>
        <v>0</v>
      </c>
      <c r="E488" s="88">
        <f t="shared" si="84"/>
        <v>0</v>
      </c>
      <c r="F488" s="88">
        <f t="shared" si="84"/>
        <v>0</v>
      </c>
      <c r="G488" s="88">
        <f t="shared" si="84"/>
        <v>0</v>
      </c>
      <c r="H488" s="88">
        <f t="shared" si="84"/>
        <v>0</v>
      </c>
      <c r="I488" s="88">
        <f t="shared" si="84"/>
        <v>0</v>
      </c>
      <c r="J488" s="88">
        <f t="shared" si="84"/>
        <v>0</v>
      </c>
      <c r="K488" s="88">
        <f t="shared" si="84"/>
        <v>0</v>
      </c>
      <c r="L488" s="88">
        <f t="shared" si="84"/>
        <v>0</v>
      </c>
      <c r="M488" s="142">
        <f t="shared" si="84"/>
        <v>0</v>
      </c>
    </row>
    <row r="489" spans="2:13" s="3" customFormat="1" ht="13.2" x14ac:dyDescent="0.25">
      <c r="B489" s="287"/>
      <c r="C489" s="37"/>
      <c r="D489" s="37"/>
      <c r="E489" s="37"/>
      <c r="F489" s="37"/>
      <c r="G489" s="37"/>
      <c r="H489" s="37"/>
      <c r="I489" s="37"/>
      <c r="J489" s="37"/>
      <c r="K489" s="37"/>
      <c r="L489" s="37"/>
      <c r="M489" s="37"/>
    </row>
    <row r="490" spans="2:13" s="3" customFormat="1" ht="12.75" customHeight="1" x14ac:dyDescent="0.25">
      <c r="B490" s="656" t="str">
        <f>IF('1. INTRO'!I$2="English","Co-funding share in full cost ","Medfinansieringsandel i full kostnad ")</f>
        <v xml:space="preserve">Co-funding share in full cost </v>
      </c>
      <c r="C490" s="143" t="str">
        <f t="shared" ref="C490:M490" si="85">IF(C488&gt;0,C480/C488,"")</f>
        <v/>
      </c>
      <c r="D490" s="143" t="str">
        <f t="shared" si="85"/>
        <v/>
      </c>
      <c r="E490" s="143" t="str">
        <f t="shared" si="85"/>
        <v/>
      </c>
      <c r="F490" s="143" t="str">
        <f t="shared" si="85"/>
        <v/>
      </c>
      <c r="G490" s="143" t="str">
        <f t="shared" si="85"/>
        <v/>
      </c>
      <c r="H490" s="143" t="str">
        <f t="shared" si="85"/>
        <v/>
      </c>
      <c r="I490" s="143" t="str">
        <f t="shared" si="85"/>
        <v/>
      </c>
      <c r="J490" s="143" t="str">
        <f t="shared" si="85"/>
        <v/>
      </c>
      <c r="K490" s="143" t="str">
        <f t="shared" si="85"/>
        <v/>
      </c>
      <c r="L490" s="143" t="str">
        <f t="shared" si="85"/>
        <v/>
      </c>
      <c r="M490" s="143" t="str">
        <f t="shared" si="85"/>
        <v/>
      </c>
    </row>
    <row r="491" spans="2:13" ht="12.75" customHeight="1" x14ac:dyDescent="0.2"/>
    <row r="492" spans="2:13" ht="12.75" customHeight="1" x14ac:dyDescent="0.25">
      <c r="D492" s="656" t="str">
        <f>IF('1. INTRO'!I$2="English","Co-funding need in average per year: ","Medfinansieringsbehov i genomsnitt per år: ")</f>
        <v xml:space="preserve">Co-funding need in average per year: </v>
      </c>
      <c r="E492" s="698" t="str">
        <f>IF(M480=0,"",M480/(DATEDIF('2. START'!C$18,'2. START'!C$19,"d")/365))</f>
        <v/>
      </c>
      <c r="H492" s="656" t="str">
        <f>IF('1. INTRO'!I$2="English","Co-funding need 1/3 of total: ","Medfinansieringsbehov 1/3 av totalt: ")</f>
        <v xml:space="preserve">Co-funding need 1/3 of total: </v>
      </c>
      <c r="I492" s="698">
        <f>M480/3</f>
        <v>0</v>
      </c>
      <c r="L492" s="287" t="str">
        <f>IF('1. INTRO'!I$2="English","Co-funding need total: ","Medfinansieringsbehov totalt: ")</f>
        <v xml:space="preserve">Co-funding need total: </v>
      </c>
      <c r="M492" s="698">
        <f>M480</f>
        <v>0</v>
      </c>
    </row>
    <row r="493" spans="2:13" ht="12.75" customHeight="1" x14ac:dyDescent="0.25">
      <c r="B493" s="53" t="str">
        <f>IF('1. INTRO'!I$2="English","Co-funding sources","Medfinansieringskällor")</f>
        <v>Co-funding sources</v>
      </c>
    </row>
    <row r="494" spans="2:13" ht="12.75" customHeight="1" x14ac:dyDescent="0.25">
      <c r="B494" s="225"/>
      <c r="C494" s="226"/>
      <c r="D494" s="226"/>
      <c r="E494" s="226"/>
      <c r="F494" s="226"/>
      <c r="G494" s="226"/>
      <c r="H494" s="226"/>
      <c r="I494" s="226"/>
      <c r="J494" s="226"/>
      <c r="K494" s="226"/>
      <c r="L494" s="227"/>
      <c r="M494" s="168">
        <f>SUM(C494:L494)</f>
        <v>0</v>
      </c>
    </row>
    <row r="495" spans="2:13" ht="12.75" customHeight="1" x14ac:dyDescent="0.25">
      <c r="B495" s="228"/>
      <c r="C495" s="229"/>
      <c r="D495" s="229"/>
      <c r="E495" s="229"/>
      <c r="F495" s="229"/>
      <c r="G495" s="229"/>
      <c r="H495" s="229"/>
      <c r="I495" s="229"/>
      <c r="J495" s="229"/>
      <c r="K495" s="229"/>
      <c r="L495" s="230"/>
      <c r="M495" s="687">
        <f t="shared" ref="M495:M498" si="86">SUM(C495:L495)</f>
        <v>0</v>
      </c>
    </row>
    <row r="496" spans="2:13" ht="12.75" customHeight="1" x14ac:dyDescent="0.25">
      <c r="B496" s="231"/>
      <c r="C496" s="232"/>
      <c r="D496" s="232"/>
      <c r="E496" s="232"/>
      <c r="F496" s="232"/>
      <c r="G496" s="232"/>
      <c r="H496" s="232"/>
      <c r="I496" s="232"/>
      <c r="J496" s="232"/>
      <c r="K496" s="232"/>
      <c r="L496" s="233"/>
      <c r="M496" s="117">
        <f t="shared" si="86"/>
        <v>0</v>
      </c>
    </row>
    <row r="497" spans="2:13" ht="12.75" customHeight="1" x14ac:dyDescent="0.25">
      <c r="B497" s="228"/>
      <c r="C497" s="229"/>
      <c r="D497" s="229"/>
      <c r="E497" s="229"/>
      <c r="F497" s="229"/>
      <c r="G497" s="229"/>
      <c r="H497" s="229"/>
      <c r="I497" s="229"/>
      <c r="J497" s="229"/>
      <c r="K497" s="229"/>
      <c r="L497" s="230"/>
      <c r="M497" s="687">
        <f t="shared" si="86"/>
        <v>0</v>
      </c>
    </row>
    <row r="498" spans="2:13" ht="12.75" customHeight="1" x14ac:dyDescent="0.25">
      <c r="B498" s="93"/>
      <c r="C498" s="232"/>
      <c r="D498" s="232"/>
      <c r="E498" s="232"/>
      <c r="F498" s="232"/>
      <c r="G498" s="232"/>
      <c r="H498" s="232"/>
      <c r="I498" s="232"/>
      <c r="J498" s="232"/>
      <c r="K498" s="232"/>
      <c r="L498" s="233"/>
      <c r="M498" s="117">
        <f t="shared" si="86"/>
        <v>0</v>
      </c>
    </row>
    <row r="499" spans="2:13" ht="12.75" customHeight="1" x14ac:dyDescent="0.25">
      <c r="B499" s="84" t="str">
        <f>IF('1. INTRO'!I$2="English","Total co-funding ","Total medfinansiering ")</f>
        <v xml:space="preserve">Total co-funding </v>
      </c>
      <c r="C499" s="87">
        <f t="shared" ref="C499:M499" si="87">SUM(C494:C498)</f>
        <v>0</v>
      </c>
      <c r="D499" s="87">
        <f t="shared" si="87"/>
        <v>0</v>
      </c>
      <c r="E499" s="87">
        <f t="shared" si="87"/>
        <v>0</v>
      </c>
      <c r="F499" s="87">
        <f t="shared" si="87"/>
        <v>0</v>
      </c>
      <c r="G499" s="87">
        <f t="shared" si="87"/>
        <v>0</v>
      </c>
      <c r="H499" s="87">
        <f t="shared" si="87"/>
        <v>0</v>
      </c>
      <c r="I499" s="87">
        <f t="shared" si="87"/>
        <v>0</v>
      </c>
      <c r="J499" s="87">
        <f t="shared" si="87"/>
        <v>0</v>
      </c>
      <c r="K499" s="87">
        <f t="shared" si="87"/>
        <v>0</v>
      </c>
      <c r="L499" s="87">
        <f t="shared" si="87"/>
        <v>0</v>
      </c>
      <c r="M499" s="142">
        <f t="shared" si="87"/>
        <v>0</v>
      </c>
    </row>
    <row r="500" spans="2:13" ht="12.75" customHeight="1" x14ac:dyDescent="0.2"/>
    <row r="501" spans="2:13" ht="12.75" customHeight="1" x14ac:dyDescent="0.2">
      <c r="B501" s="667" t="str">
        <f>IF('1. INTRO'!I$2="English","Calculation comments","Kalkylkommentarer")</f>
        <v>Calculation comments</v>
      </c>
    </row>
    <row r="502" spans="2:13" ht="12.75" customHeight="1" x14ac:dyDescent="0.2">
      <c r="B502" s="1142"/>
      <c r="C502" s="1143"/>
      <c r="D502" s="1143"/>
      <c r="E502" s="1143"/>
      <c r="F502" s="1143"/>
      <c r="G502" s="1143"/>
      <c r="H502" s="1143"/>
      <c r="I502" s="1143"/>
      <c r="J502" s="1143"/>
      <c r="K502" s="1143"/>
      <c r="L502" s="1143"/>
      <c r="M502" s="1144"/>
    </row>
    <row r="503" spans="2:13" ht="12.75" customHeight="1" x14ac:dyDescent="0.2">
      <c r="B503" s="1145"/>
      <c r="C503" s="1226"/>
      <c r="D503" s="1226"/>
      <c r="E503" s="1226"/>
      <c r="F503" s="1226"/>
      <c r="G503" s="1226"/>
      <c r="H503" s="1226"/>
      <c r="I503" s="1226"/>
      <c r="J503" s="1226"/>
      <c r="K503" s="1226"/>
      <c r="L503" s="1226"/>
      <c r="M503" s="1147"/>
    </row>
    <row r="504" spans="2:13" ht="12.75" customHeight="1" x14ac:dyDescent="0.2">
      <c r="B504" s="1145"/>
      <c r="C504" s="1226"/>
      <c r="D504" s="1226"/>
      <c r="E504" s="1226"/>
      <c r="F504" s="1226"/>
      <c r="G504" s="1226"/>
      <c r="H504" s="1226"/>
      <c r="I504" s="1226"/>
      <c r="J504" s="1226"/>
      <c r="K504" s="1226"/>
      <c r="L504" s="1226"/>
      <c r="M504" s="1147"/>
    </row>
    <row r="505" spans="2:13" ht="12.75" customHeight="1" x14ac:dyDescent="0.2">
      <c r="B505" s="1145"/>
      <c r="C505" s="1226"/>
      <c r="D505" s="1226"/>
      <c r="E505" s="1226"/>
      <c r="F505" s="1226"/>
      <c r="G505" s="1226"/>
      <c r="H505" s="1226"/>
      <c r="I505" s="1226"/>
      <c r="J505" s="1226"/>
      <c r="K505" s="1226"/>
      <c r="L505" s="1226"/>
      <c r="M505" s="1147"/>
    </row>
    <row r="506" spans="2:13" ht="12.75" customHeight="1" x14ac:dyDescent="0.2">
      <c r="B506" s="1148"/>
      <c r="C506" s="1149"/>
      <c r="D506" s="1149"/>
      <c r="E506" s="1149"/>
      <c r="F506" s="1149"/>
      <c r="G506" s="1149"/>
      <c r="H506" s="1149"/>
      <c r="I506" s="1149"/>
      <c r="J506" s="1149"/>
      <c r="K506" s="1149"/>
      <c r="L506" s="1149"/>
      <c r="M506" s="1150"/>
    </row>
    <row r="508" spans="2:13" s="3" customFormat="1" ht="12.75" customHeight="1" x14ac:dyDescent="0.25">
      <c r="B508" s="313" t="str">
        <f>'3. PARTNER'!C$4</f>
        <v xml:space="preserve">Project: </v>
      </c>
      <c r="C508" s="1062" t="str">
        <f>'3. PARTNER'!D$4</f>
        <v/>
      </c>
      <c r="D508" s="1001"/>
      <c r="E508" s="1001"/>
      <c r="F508" s="1001"/>
      <c r="G508" s="1001"/>
      <c r="H508" s="1001"/>
      <c r="I508" s="1001"/>
      <c r="J508" s="1001"/>
      <c r="K508" s="1001"/>
      <c r="L508" s="1001"/>
      <c r="M508" s="1001"/>
    </row>
    <row r="509" spans="2:13" s="3" customFormat="1" ht="13.2" x14ac:dyDescent="0.25">
      <c r="B509" s="313" t="str">
        <f>'3. PARTNER'!C$5</f>
        <v xml:space="preserve">Calculation for: </v>
      </c>
      <c r="C509" s="1062" t="str">
        <f>'3. PARTNER'!D$5</f>
        <v>APPLICATION</v>
      </c>
      <c r="D509" s="1001"/>
      <c r="E509" s="268"/>
      <c r="F509" s="268"/>
      <c r="G509" s="268"/>
      <c r="H509" s="268"/>
      <c r="I509" s="268"/>
      <c r="J509" s="268"/>
      <c r="K509" s="268"/>
      <c r="L509" s="268"/>
      <c r="M509" s="268"/>
    </row>
    <row r="510" spans="2:13" s="3" customFormat="1" ht="13.2" x14ac:dyDescent="0.25">
      <c r="B510" s="35" t="str">
        <f>'3. PARTNER'!C$6</f>
        <v xml:space="preserve">Project leader: </v>
      </c>
      <c r="C510" s="1062" t="str">
        <f>'3. PARTNER'!D$6</f>
        <v/>
      </c>
      <c r="D510" s="1001"/>
      <c r="E510" s="1001"/>
      <c r="F510" s="1001"/>
      <c r="G510" s="1001"/>
      <c r="H510" s="1001"/>
      <c r="I510" s="1001"/>
      <c r="J510" s="1001"/>
      <c r="K510" s="1001"/>
      <c r="L510" s="1001"/>
      <c r="M510" s="1001"/>
    </row>
    <row r="511" spans="2:13" s="3" customFormat="1" ht="13.2" x14ac:dyDescent="0.25">
      <c r="B511" s="313" t="str">
        <f>'5. PERSON'!B$7</f>
        <v xml:space="preserve">Amounts in: </v>
      </c>
      <c r="C511" s="655" t="str">
        <f>'5. PERSON'!C$7</f>
        <v>SEK</v>
      </c>
      <c r="D511" s="268"/>
      <c r="E511" s="268"/>
      <c r="F511" s="268"/>
      <c r="G511" s="234"/>
      <c r="H511" s="234"/>
      <c r="I511" s="270"/>
      <c r="J511" s="270"/>
      <c r="K511" s="270"/>
      <c r="L511" s="270"/>
      <c r="M511" s="270"/>
    </row>
    <row r="512" spans="2:13" s="3" customFormat="1" ht="13.2" x14ac:dyDescent="0.25">
      <c r="B512" s="313"/>
      <c r="C512" s="1053" t="str">
        <f>'3. PARTNER'!D$7</f>
        <v>Other basic data about the project is in sheet 2.</v>
      </c>
      <c r="D512" s="1001"/>
      <c r="E512" s="1001"/>
      <c r="F512" s="1001"/>
      <c r="G512" s="234"/>
      <c r="H512" s="234"/>
      <c r="I512" s="270"/>
      <c r="J512" s="270"/>
      <c r="K512" s="270"/>
      <c r="L512" s="251" t="s">
        <v>4</v>
      </c>
      <c r="M512" s="270"/>
    </row>
    <row r="513" spans="2:15" ht="12.75" customHeight="1" x14ac:dyDescent="0.2">
      <c r="L513" s="252" t="str">
        <f>IF('1. INTRO'!I$2="English","months","månader")</f>
        <v>months</v>
      </c>
    </row>
    <row r="514" spans="2:15" s="3" customFormat="1" ht="13.8" x14ac:dyDescent="0.25">
      <c r="B514" s="157" t="str">
        <f>IF('1. INTRO'!I$2="English","Project costs","Projektkostnader")</f>
        <v>Project costs</v>
      </c>
      <c r="C514" s="1227" t="str">
        <f>B23</f>
        <v xml:space="preserve">LTV-faculty </v>
      </c>
      <c r="D514" s="1001"/>
      <c r="E514" s="37"/>
      <c r="G514" s="37"/>
      <c r="H514" s="37"/>
      <c r="I514" s="37"/>
      <c r="J514" s="37"/>
      <c r="K514" s="37"/>
      <c r="L514" s="642">
        <f>L462+L410+L358+L306+L254+L202+L150+L98</f>
        <v>0</v>
      </c>
      <c r="M514" s="680" t="s">
        <v>330</v>
      </c>
    </row>
    <row r="515" spans="2:15" s="3" customFormat="1" ht="6" customHeight="1" x14ac:dyDescent="0.25">
      <c r="B515" s="57"/>
      <c r="C515" s="37"/>
      <c r="D515" s="37"/>
      <c r="E515" s="37"/>
      <c r="F515" s="37"/>
      <c r="G515" s="37"/>
      <c r="H515" s="37"/>
      <c r="I515" s="37"/>
      <c r="J515" s="37"/>
      <c r="K515" s="37"/>
      <c r="L515" s="37"/>
      <c r="M515" s="37"/>
    </row>
    <row r="516" spans="2:15" s="3" customFormat="1" ht="13.2" x14ac:dyDescent="0.25">
      <c r="B516" s="110" t="str">
        <f>IF('1. INTRO'!I$2="English","Costs to be covered by funding body","Kostnader att täckas av finansiär")</f>
        <v>Costs to be covered by funding body</v>
      </c>
      <c r="C516" s="111">
        <f>'5. PERSON'!G$15</f>
        <v>1900</v>
      </c>
      <c r="D516" s="111" t="str">
        <f>'5. PERSON'!H$15</f>
        <v/>
      </c>
      <c r="E516" s="111" t="str">
        <f>'5. PERSON'!I$15</f>
        <v/>
      </c>
      <c r="F516" s="111" t="str">
        <f>'5. PERSON'!J$15</f>
        <v/>
      </c>
      <c r="G516" s="111" t="str">
        <f>'5. PERSON'!K$15</f>
        <v/>
      </c>
      <c r="H516" s="111" t="str">
        <f>'5. PERSON'!L$15</f>
        <v/>
      </c>
      <c r="I516" s="111" t="str">
        <f>'5. PERSON'!M$15</f>
        <v/>
      </c>
      <c r="J516" s="111" t="str">
        <f>'5. PERSON'!N$15</f>
        <v/>
      </c>
      <c r="K516" s="111" t="str">
        <f>'5. PERSON'!O$15</f>
        <v/>
      </c>
      <c r="L516" s="111" t="str">
        <f>'5. PERSON'!P$15</f>
        <v/>
      </c>
      <c r="M516" s="112" t="s">
        <v>2</v>
      </c>
    </row>
    <row r="517" spans="2:15" s="3" customFormat="1" ht="12.75" customHeight="1" x14ac:dyDescent="0.25">
      <c r="B517" s="682" t="str">
        <f>IF('1. INTRO'!I$2="English","Salary including social costs (LKP)","Lön inklusive LKP")</f>
        <v>Salary including social costs (LKP)</v>
      </c>
      <c r="C517" s="683">
        <f t="shared" ref="C517:L517" si="88">C101+C153+C205+C257+C309+C361+C413+C465</f>
        <v>0</v>
      </c>
      <c r="D517" s="699">
        <f t="shared" si="88"/>
        <v>0</v>
      </c>
      <c r="E517" s="683">
        <f t="shared" si="88"/>
        <v>0</v>
      </c>
      <c r="F517" s="699">
        <f t="shared" si="88"/>
        <v>0</v>
      </c>
      <c r="G517" s="683">
        <f t="shared" si="88"/>
        <v>0</v>
      </c>
      <c r="H517" s="699">
        <f t="shared" si="88"/>
        <v>0</v>
      </c>
      <c r="I517" s="683">
        <f t="shared" si="88"/>
        <v>0</v>
      </c>
      <c r="J517" s="699">
        <f t="shared" si="88"/>
        <v>0</v>
      </c>
      <c r="K517" s="683">
        <f t="shared" si="88"/>
        <v>0</v>
      </c>
      <c r="L517" s="700">
        <f t="shared" si="88"/>
        <v>0</v>
      </c>
      <c r="M517" s="701">
        <f t="shared" ref="M517:M522" si="89">SUM(C517:L517)</f>
        <v>0</v>
      </c>
      <c r="O517" s="4"/>
    </row>
    <row r="518" spans="2:15" s="3" customFormat="1" ht="12.75" customHeight="1" x14ac:dyDescent="0.25">
      <c r="B518" s="80" t="str">
        <f>IF('1. INTRO'!I$2="English","Operating","Drift")</f>
        <v>Operating</v>
      </c>
      <c r="C518" s="116">
        <f t="shared" ref="C518:L518" si="90">C102+C154+C206+C258+C310+C362+C414+C466</f>
        <v>0</v>
      </c>
      <c r="D518" s="109">
        <f t="shared" si="90"/>
        <v>0</v>
      </c>
      <c r="E518" s="116">
        <f t="shared" si="90"/>
        <v>0</v>
      </c>
      <c r="F518" s="109">
        <f t="shared" si="90"/>
        <v>0</v>
      </c>
      <c r="G518" s="116">
        <f t="shared" si="90"/>
        <v>0</v>
      </c>
      <c r="H518" s="109">
        <f t="shared" si="90"/>
        <v>0</v>
      </c>
      <c r="I518" s="116">
        <f t="shared" si="90"/>
        <v>0</v>
      </c>
      <c r="J518" s="109">
        <f t="shared" si="90"/>
        <v>0</v>
      </c>
      <c r="K518" s="116">
        <f t="shared" si="90"/>
        <v>0</v>
      </c>
      <c r="L518" s="135">
        <f t="shared" si="90"/>
        <v>0</v>
      </c>
      <c r="M518" s="146">
        <f t="shared" si="89"/>
        <v>0</v>
      </c>
    </row>
    <row r="519" spans="2:15" s="3" customFormat="1" ht="13.2" x14ac:dyDescent="0.25">
      <c r="B519" s="685" t="str">
        <f>IF('1. INTRO'!I$2="English","Equipment","Utrustning")</f>
        <v>Equipment</v>
      </c>
      <c r="C519" s="686">
        <f t="shared" ref="C519:L519" si="91">C103+C155+C207+C259+C311+C363+C415+C467</f>
        <v>0</v>
      </c>
      <c r="D519" s="702">
        <f t="shared" si="91"/>
        <v>0</v>
      </c>
      <c r="E519" s="686">
        <f t="shared" si="91"/>
        <v>0</v>
      </c>
      <c r="F519" s="702">
        <f t="shared" si="91"/>
        <v>0</v>
      </c>
      <c r="G519" s="686">
        <f t="shared" si="91"/>
        <v>0</v>
      </c>
      <c r="H519" s="702">
        <f t="shared" si="91"/>
        <v>0</v>
      </c>
      <c r="I519" s="686">
        <f t="shared" si="91"/>
        <v>0</v>
      </c>
      <c r="J519" s="702">
        <f t="shared" si="91"/>
        <v>0</v>
      </c>
      <c r="K519" s="686">
        <f t="shared" si="91"/>
        <v>0</v>
      </c>
      <c r="L519" s="692">
        <f t="shared" si="91"/>
        <v>0</v>
      </c>
      <c r="M519" s="703">
        <f t="shared" si="89"/>
        <v>0</v>
      </c>
    </row>
    <row r="520" spans="2:15" s="3" customFormat="1" ht="13.2" x14ac:dyDescent="0.25">
      <c r="B520" s="121" t="str">
        <f>IF('1. INTRO'!I$2="English",(IF('2. START'!C$11="NO","Facility accepted as direct cost by funding body","Facility")),IF('2. START'!C$11="NO","Lokal accepterad som direkt kostnad av finansiär","Lokal"))</f>
        <v>Facility</v>
      </c>
      <c r="C520" s="116">
        <f t="shared" ref="C520:L520" si="92">C104+C156+C208+C260+C312+C364+C416+C468</f>
        <v>0</v>
      </c>
      <c r="D520" s="109">
        <f t="shared" si="92"/>
        <v>0</v>
      </c>
      <c r="E520" s="116">
        <f t="shared" si="92"/>
        <v>0</v>
      </c>
      <c r="F520" s="109">
        <f t="shared" si="92"/>
        <v>0</v>
      </c>
      <c r="G520" s="116">
        <f t="shared" si="92"/>
        <v>0</v>
      </c>
      <c r="H520" s="109">
        <f t="shared" si="92"/>
        <v>0</v>
      </c>
      <c r="I520" s="116">
        <f t="shared" si="92"/>
        <v>0</v>
      </c>
      <c r="J520" s="109">
        <f t="shared" si="92"/>
        <v>0</v>
      </c>
      <c r="K520" s="116">
        <f t="shared" si="92"/>
        <v>0</v>
      </c>
      <c r="L520" s="135">
        <f t="shared" si="92"/>
        <v>0</v>
      </c>
      <c r="M520" s="146">
        <f t="shared" si="89"/>
        <v>0</v>
      </c>
    </row>
    <row r="521" spans="2:15" s="3" customFormat="1" ht="13.2" x14ac:dyDescent="0.25">
      <c r="B521" s="688" t="str">
        <f>IF('1. INTRO'!I$2="English",(IF('2. START'!C$11="NO","Indirect and facility charge accepted as OH by funding body","Indirect")),IF('2. START'!C$11="NO","Indirekt och lokalpåslag accepterade som OH av finansiär","Indirekt"))</f>
        <v>Indirect</v>
      </c>
      <c r="C521" s="689">
        <f t="shared" ref="C521:L521" si="93">C105+C157+C209+C261+C313+C365+C417+C469</f>
        <v>0</v>
      </c>
      <c r="D521" s="704">
        <f t="shared" si="93"/>
        <v>0</v>
      </c>
      <c r="E521" s="689">
        <f t="shared" si="93"/>
        <v>0</v>
      </c>
      <c r="F521" s="704">
        <f t="shared" si="93"/>
        <v>0</v>
      </c>
      <c r="G521" s="689">
        <f t="shared" si="93"/>
        <v>0</v>
      </c>
      <c r="H521" s="704">
        <f t="shared" si="93"/>
        <v>0</v>
      </c>
      <c r="I521" s="689">
        <f t="shared" si="93"/>
        <v>0</v>
      </c>
      <c r="J521" s="704">
        <f t="shared" si="93"/>
        <v>0</v>
      </c>
      <c r="K521" s="689">
        <f t="shared" si="93"/>
        <v>0</v>
      </c>
      <c r="L521" s="705">
        <f t="shared" si="93"/>
        <v>0</v>
      </c>
      <c r="M521" s="706">
        <f t="shared" si="89"/>
        <v>0</v>
      </c>
    </row>
    <row r="522" spans="2:15" s="3" customFormat="1" ht="13.2" x14ac:dyDescent="0.25">
      <c r="B522" s="124" t="s">
        <v>113</v>
      </c>
      <c r="C522" s="161">
        <f>SUM(C517:C521)</f>
        <v>0</v>
      </c>
      <c r="D522" s="161">
        <f t="shared" ref="D522:L522" si="94">SUM(D517:D521)</f>
        <v>0</v>
      </c>
      <c r="E522" s="161">
        <f t="shared" si="94"/>
        <v>0</v>
      </c>
      <c r="F522" s="161">
        <f t="shared" si="94"/>
        <v>0</v>
      </c>
      <c r="G522" s="161">
        <f t="shared" si="94"/>
        <v>0</v>
      </c>
      <c r="H522" s="161">
        <f t="shared" si="94"/>
        <v>0</v>
      </c>
      <c r="I522" s="161">
        <f t="shared" si="94"/>
        <v>0</v>
      </c>
      <c r="J522" s="161">
        <f t="shared" si="94"/>
        <v>0</v>
      </c>
      <c r="K522" s="161">
        <f t="shared" si="94"/>
        <v>0</v>
      </c>
      <c r="L522" s="161">
        <f t="shared" si="94"/>
        <v>0</v>
      </c>
      <c r="M522" s="125">
        <f t="shared" si="89"/>
        <v>0</v>
      </c>
    </row>
    <row r="523" spans="2:15" s="3" customFormat="1" ht="6" customHeight="1" x14ac:dyDescent="0.25">
      <c r="B523" s="126"/>
      <c r="C523" s="127"/>
      <c r="D523" s="127"/>
      <c r="E523" s="127"/>
      <c r="F523" s="127"/>
      <c r="G523" s="127"/>
      <c r="H523" s="127"/>
      <c r="I523" s="127"/>
      <c r="J523" s="127"/>
      <c r="K523" s="127"/>
      <c r="L523" s="127"/>
      <c r="M523" s="128"/>
    </row>
    <row r="524" spans="2:15" s="3" customFormat="1" ht="13.2" x14ac:dyDescent="0.25">
      <c r="B524" s="129" t="str">
        <f>IF('1. INTRO'!I$2="English","Costs to be co-funded","Kostnader att medfinansiera")</f>
        <v>Costs to be co-funded</v>
      </c>
      <c r="C524" s="86"/>
      <c r="D524" s="86"/>
      <c r="E524" s="86"/>
      <c r="F524" s="86"/>
      <c r="G524" s="86"/>
      <c r="H524" s="86"/>
      <c r="I524" s="86"/>
      <c r="J524" s="86"/>
      <c r="K524" s="86"/>
      <c r="L524" s="86"/>
      <c r="M524" s="130"/>
    </row>
    <row r="525" spans="2:15" s="3" customFormat="1" ht="13.2" x14ac:dyDescent="0.25">
      <c r="B525" s="690" t="str">
        <f>IF('1. INTRO'!I$2="English",(IF('2. START'!C$11="NO","Indirect and facility charge not accepted as OH by funding body","")),IF('2. START'!C$11="NO","Indirekt och lokalpåslag inte accepterade som OH av finansiär",""))</f>
        <v/>
      </c>
      <c r="C525" s="707">
        <f t="shared" ref="C525:L525" si="95">C109+C161+C213+C265+C317+C369+C421+C473</f>
        <v>0</v>
      </c>
      <c r="D525" s="708">
        <f t="shared" si="95"/>
        <v>0</v>
      </c>
      <c r="E525" s="709">
        <f t="shared" si="95"/>
        <v>0</v>
      </c>
      <c r="F525" s="708">
        <f t="shared" si="95"/>
        <v>0</v>
      </c>
      <c r="G525" s="709">
        <f t="shared" si="95"/>
        <v>0</v>
      </c>
      <c r="H525" s="708">
        <f t="shared" si="95"/>
        <v>0</v>
      </c>
      <c r="I525" s="709">
        <f t="shared" si="95"/>
        <v>0</v>
      </c>
      <c r="J525" s="708">
        <f t="shared" si="95"/>
        <v>0</v>
      </c>
      <c r="K525" s="709">
        <f t="shared" si="95"/>
        <v>0</v>
      </c>
      <c r="L525" s="708">
        <f t="shared" si="95"/>
        <v>0</v>
      </c>
      <c r="M525" s="701">
        <f t="shared" ref="M525:M527" si="96">SUM(C525:L525)</f>
        <v>0</v>
      </c>
    </row>
    <row r="526" spans="2:15" s="3" customFormat="1" ht="12.75" customHeight="1" x14ac:dyDescent="0.25">
      <c r="B526" s="132" t="str">
        <f>IF('1. INTRO'!I$2="English",(IF('2. START'!C$14&gt;0,"Social costs (LKP) not accepted by funding body","")),IF('2. START'!C$14&gt;0,"LKP som inte accepteras av finansiär",""))</f>
        <v/>
      </c>
      <c r="C526" s="192">
        <f t="shared" ref="C526:L526" si="97">C110+C162+C214+C266+C318+C370+C422+C474</f>
        <v>0</v>
      </c>
      <c r="D526" s="181">
        <f t="shared" si="97"/>
        <v>0</v>
      </c>
      <c r="E526" s="182">
        <f t="shared" si="97"/>
        <v>0</v>
      </c>
      <c r="F526" s="181">
        <f t="shared" si="97"/>
        <v>0</v>
      </c>
      <c r="G526" s="182">
        <f t="shared" si="97"/>
        <v>0</v>
      </c>
      <c r="H526" s="181">
        <f t="shared" si="97"/>
        <v>0</v>
      </c>
      <c r="I526" s="182">
        <f t="shared" si="97"/>
        <v>0</v>
      </c>
      <c r="J526" s="181">
        <f t="shared" si="97"/>
        <v>0</v>
      </c>
      <c r="K526" s="182">
        <f t="shared" si="97"/>
        <v>0</v>
      </c>
      <c r="L526" s="181">
        <f t="shared" si="97"/>
        <v>0</v>
      </c>
      <c r="M526" s="146">
        <f t="shared" si="96"/>
        <v>0</v>
      </c>
    </row>
    <row r="527" spans="2:15" s="3" customFormat="1" ht="12.75" customHeight="1" x14ac:dyDescent="0.25">
      <c r="B527" s="685" t="str">
        <f>IF('1. INTRO'!I$2="English",(IF('5. PERSON'!BP$193&gt;0,"Salary including social costs (LKP)","")),IF('5. PERSON'!BP$193&gt;0,"Lön inklusive LKP",""))</f>
        <v/>
      </c>
      <c r="C527" s="710">
        <f t="shared" ref="C527:L527" si="98">C111+C163+C215+C267+C319+C371+C423+C475</f>
        <v>0</v>
      </c>
      <c r="D527" s="711">
        <f t="shared" si="98"/>
        <v>0</v>
      </c>
      <c r="E527" s="712">
        <f t="shared" si="98"/>
        <v>0</v>
      </c>
      <c r="F527" s="711">
        <f t="shared" si="98"/>
        <v>0</v>
      </c>
      <c r="G527" s="712">
        <f t="shared" si="98"/>
        <v>0</v>
      </c>
      <c r="H527" s="711">
        <f t="shared" si="98"/>
        <v>0</v>
      </c>
      <c r="I527" s="712">
        <f t="shared" si="98"/>
        <v>0</v>
      </c>
      <c r="J527" s="711">
        <f t="shared" si="98"/>
        <v>0</v>
      </c>
      <c r="K527" s="712">
        <f t="shared" si="98"/>
        <v>0</v>
      </c>
      <c r="L527" s="711">
        <f t="shared" si="98"/>
        <v>0</v>
      </c>
      <c r="M527" s="703">
        <f t="shared" si="96"/>
        <v>0</v>
      </c>
    </row>
    <row r="528" spans="2:15" s="3" customFormat="1" ht="13.2" x14ac:dyDescent="0.25">
      <c r="B528" s="80" t="str">
        <f>IF('1. INTRO'!I$2="English",(IF('6. OPERATION'!AS$150&gt;0,"Operating","")),IF('6. OPERATION'!AS$150&gt;0,"Drift",""))</f>
        <v/>
      </c>
      <c r="C528" s="192">
        <f t="shared" ref="C528:L528" si="99">C112+C164+C216+C268+C320+C372+C424+C476</f>
        <v>0</v>
      </c>
      <c r="D528" s="181">
        <f t="shared" si="99"/>
        <v>0</v>
      </c>
      <c r="E528" s="182">
        <f t="shared" si="99"/>
        <v>0</v>
      </c>
      <c r="F528" s="181">
        <f t="shared" si="99"/>
        <v>0</v>
      </c>
      <c r="G528" s="182">
        <f t="shared" si="99"/>
        <v>0</v>
      </c>
      <c r="H528" s="181">
        <f t="shared" si="99"/>
        <v>0</v>
      </c>
      <c r="I528" s="182">
        <f t="shared" si="99"/>
        <v>0</v>
      </c>
      <c r="J528" s="181">
        <f t="shared" si="99"/>
        <v>0</v>
      </c>
      <c r="K528" s="182">
        <f t="shared" si="99"/>
        <v>0</v>
      </c>
      <c r="L528" s="181">
        <f t="shared" si="99"/>
        <v>0</v>
      </c>
      <c r="M528" s="146">
        <f t="shared" ref="M528:M531" si="100">SUM(C528:L528)</f>
        <v>0</v>
      </c>
    </row>
    <row r="529" spans="2:15" s="3" customFormat="1" ht="13.2" x14ac:dyDescent="0.25">
      <c r="B529" s="685" t="str">
        <f>IF('1. INTRO'!I$2="English",(IF('7. INVEST'!AS$50&gt;0,"Equipment","")),IF('7. INVEST'!AS$50&gt;0,"Utrustning",""))</f>
        <v/>
      </c>
      <c r="C529" s="710">
        <f t="shared" ref="C529:L529" si="101">C113+C165+C217+C269+C321+C373+C425+C477</f>
        <v>0</v>
      </c>
      <c r="D529" s="711">
        <f t="shared" si="101"/>
        <v>0</v>
      </c>
      <c r="E529" s="712">
        <f t="shared" si="101"/>
        <v>0</v>
      </c>
      <c r="F529" s="711">
        <f t="shared" si="101"/>
        <v>0</v>
      </c>
      <c r="G529" s="712">
        <f t="shared" si="101"/>
        <v>0</v>
      </c>
      <c r="H529" s="711">
        <f t="shared" si="101"/>
        <v>0</v>
      </c>
      <c r="I529" s="712">
        <f t="shared" si="101"/>
        <v>0</v>
      </c>
      <c r="J529" s="711">
        <f t="shared" si="101"/>
        <v>0</v>
      </c>
      <c r="K529" s="712">
        <f t="shared" si="101"/>
        <v>0</v>
      </c>
      <c r="L529" s="711">
        <f t="shared" si="101"/>
        <v>0</v>
      </c>
      <c r="M529" s="703">
        <f t="shared" si="100"/>
        <v>0</v>
      </c>
    </row>
    <row r="530" spans="2:15" s="3" customFormat="1" ht="13.2" x14ac:dyDescent="0.25">
      <c r="B530" s="121" t="str">
        <f>IF('1. INTRO'!I$2="English",(IF('8. FACILIT'!AP$51&gt;0,"Facility","")),IF('8. FACILIT'!AP$51&gt;0,"Lokal",""))</f>
        <v/>
      </c>
      <c r="C530" s="192">
        <f t="shared" ref="C530:L530" si="102">C114+C166+C218+C270+C322+C374+C426+C478</f>
        <v>0</v>
      </c>
      <c r="D530" s="181">
        <f t="shared" si="102"/>
        <v>0</v>
      </c>
      <c r="E530" s="182">
        <f t="shared" si="102"/>
        <v>0</v>
      </c>
      <c r="F530" s="181">
        <f t="shared" si="102"/>
        <v>0</v>
      </c>
      <c r="G530" s="182">
        <f t="shared" si="102"/>
        <v>0</v>
      </c>
      <c r="H530" s="181">
        <f t="shared" si="102"/>
        <v>0</v>
      </c>
      <c r="I530" s="182">
        <f t="shared" si="102"/>
        <v>0</v>
      </c>
      <c r="J530" s="181">
        <f t="shared" si="102"/>
        <v>0</v>
      </c>
      <c r="K530" s="182">
        <f t="shared" si="102"/>
        <v>0</v>
      </c>
      <c r="L530" s="181">
        <f t="shared" si="102"/>
        <v>0</v>
      </c>
      <c r="M530" s="146">
        <f t="shared" si="100"/>
        <v>0</v>
      </c>
    </row>
    <row r="531" spans="2:15" s="1" customFormat="1" ht="13.2" x14ac:dyDescent="0.25">
      <c r="B531" s="688" t="str">
        <f>IF('1. INTRO'!I$2="English",(IF(('5. PERSON'!CN$193+'6. OPERATION'!BQ$150)&gt;0,"Indirect","")),IF(('5. PERSON'!CN$193+'6. OPERATION'!BQ$150)&gt;0,"Indirekt",""))</f>
        <v/>
      </c>
      <c r="C531" s="713">
        <f t="shared" ref="C531:L531" si="103">C115+C167+C219+C271+C323+C375+C427+C479</f>
        <v>0</v>
      </c>
      <c r="D531" s="714">
        <f t="shared" si="103"/>
        <v>0</v>
      </c>
      <c r="E531" s="715">
        <f t="shared" si="103"/>
        <v>0</v>
      </c>
      <c r="F531" s="714">
        <f t="shared" si="103"/>
        <v>0</v>
      </c>
      <c r="G531" s="715">
        <f t="shared" si="103"/>
        <v>0</v>
      </c>
      <c r="H531" s="714">
        <f t="shared" si="103"/>
        <v>0</v>
      </c>
      <c r="I531" s="715">
        <f t="shared" si="103"/>
        <v>0</v>
      </c>
      <c r="J531" s="714">
        <f t="shared" si="103"/>
        <v>0</v>
      </c>
      <c r="K531" s="715">
        <f t="shared" si="103"/>
        <v>0</v>
      </c>
      <c r="L531" s="714">
        <f t="shared" si="103"/>
        <v>0</v>
      </c>
      <c r="M531" s="703">
        <f t="shared" si="100"/>
        <v>0</v>
      </c>
    </row>
    <row r="532" spans="2:15" s="3" customFormat="1" ht="13.2" x14ac:dyDescent="0.25">
      <c r="B532" s="124" t="s">
        <v>113</v>
      </c>
      <c r="C532" s="161">
        <f>SUM(C525:C531)</f>
        <v>0</v>
      </c>
      <c r="D532" s="161">
        <f t="shared" ref="D532:M532" si="104">SUM(D525:D531)</f>
        <v>0</v>
      </c>
      <c r="E532" s="161">
        <f t="shared" si="104"/>
        <v>0</v>
      </c>
      <c r="F532" s="161">
        <f t="shared" si="104"/>
        <v>0</v>
      </c>
      <c r="G532" s="161">
        <f t="shared" si="104"/>
        <v>0</v>
      </c>
      <c r="H532" s="161">
        <f t="shared" si="104"/>
        <v>0</v>
      </c>
      <c r="I532" s="161">
        <f t="shared" si="104"/>
        <v>0</v>
      </c>
      <c r="J532" s="161">
        <f t="shared" si="104"/>
        <v>0</v>
      </c>
      <c r="K532" s="161">
        <f t="shared" si="104"/>
        <v>0</v>
      </c>
      <c r="L532" s="161">
        <f t="shared" si="104"/>
        <v>0</v>
      </c>
      <c r="M532" s="125">
        <f t="shared" si="104"/>
        <v>0</v>
      </c>
      <c r="N532" s="23"/>
      <c r="O532" s="23"/>
    </row>
    <row r="533" spans="2:15" s="3" customFormat="1" ht="6" customHeight="1" x14ac:dyDescent="0.25">
      <c r="B533" s="136"/>
      <c r="C533" s="127"/>
      <c r="D533" s="127"/>
      <c r="E533" s="127"/>
      <c r="F533" s="127"/>
      <c r="G533" s="127"/>
      <c r="H533" s="127"/>
      <c r="I533" s="127"/>
      <c r="J533" s="127"/>
      <c r="K533" s="127"/>
      <c r="L533" s="127"/>
      <c r="M533" s="137"/>
    </row>
    <row r="534" spans="2:15" s="3" customFormat="1" ht="13.2" x14ac:dyDescent="0.25">
      <c r="B534" s="129" t="str">
        <f>IF('1. INTRO'!I$2="English","Full cost","Full kostnad")</f>
        <v>Full cost</v>
      </c>
      <c r="C534" s="127"/>
      <c r="D534" s="127"/>
      <c r="E534" s="127"/>
      <c r="F534" s="127"/>
      <c r="G534" s="127"/>
      <c r="H534" s="127"/>
      <c r="I534" s="127"/>
      <c r="J534" s="127"/>
      <c r="K534" s="127"/>
      <c r="L534" s="127"/>
      <c r="M534" s="137"/>
    </row>
    <row r="535" spans="2:15" s="3" customFormat="1" ht="13.2" x14ac:dyDescent="0.25">
      <c r="B535" s="682" t="str">
        <f>IF('1. INTRO'!I$2="English","Salary including social costs (LKP)","Lön inklusive LKP")</f>
        <v>Salary including social costs (LKP)</v>
      </c>
      <c r="C535" s="716">
        <f t="shared" ref="C535:L535" si="105">C119+C171+C223+C275+C327+C379+C431+C483</f>
        <v>0</v>
      </c>
      <c r="D535" s="694">
        <f t="shared" si="105"/>
        <v>0</v>
      </c>
      <c r="E535" s="717">
        <f t="shared" si="105"/>
        <v>0</v>
      </c>
      <c r="F535" s="694">
        <f t="shared" si="105"/>
        <v>0</v>
      </c>
      <c r="G535" s="717">
        <f t="shared" si="105"/>
        <v>0</v>
      </c>
      <c r="H535" s="694">
        <f t="shared" si="105"/>
        <v>0</v>
      </c>
      <c r="I535" s="717">
        <f t="shared" si="105"/>
        <v>0</v>
      </c>
      <c r="J535" s="694">
        <f t="shared" si="105"/>
        <v>0</v>
      </c>
      <c r="K535" s="717">
        <f t="shared" si="105"/>
        <v>0</v>
      </c>
      <c r="L535" s="694">
        <f t="shared" si="105"/>
        <v>0</v>
      </c>
      <c r="M535" s="701">
        <f>SUM(C535:L535)</f>
        <v>0</v>
      </c>
    </row>
    <row r="536" spans="2:15" s="3" customFormat="1" ht="13.2" x14ac:dyDescent="0.25">
      <c r="B536" s="80" t="str">
        <f>IF('1. INTRO'!I$2="English","Operating","Drift")</f>
        <v>Operating</v>
      </c>
      <c r="C536" s="189">
        <f t="shared" ref="C536:L536" si="106">C120+C172+C224+C276+C328+C380+C432+C484</f>
        <v>0</v>
      </c>
      <c r="D536" s="190">
        <f t="shared" si="106"/>
        <v>0</v>
      </c>
      <c r="E536" s="191">
        <f t="shared" si="106"/>
        <v>0</v>
      </c>
      <c r="F536" s="190">
        <f t="shared" si="106"/>
        <v>0</v>
      </c>
      <c r="G536" s="191">
        <f t="shared" si="106"/>
        <v>0</v>
      </c>
      <c r="H536" s="190">
        <f t="shared" si="106"/>
        <v>0</v>
      </c>
      <c r="I536" s="191">
        <f t="shared" si="106"/>
        <v>0</v>
      </c>
      <c r="J536" s="190">
        <f t="shared" si="106"/>
        <v>0</v>
      </c>
      <c r="K536" s="191">
        <f t="shared" si="106"/>
        <v>0</v>
      </c>
      <c r="L536" s="190">
        <f t="shared" si="106"/>
        <v>0</v>
      </c>
      <c r="M536" s="146">
        <f>SUM(C536:L536)</f>
        <v>0</v>
      </c>
    </row>
    <row r="537" spans="2:15" s="3" customFormat="1" ht="13.2" x14ac:dyDescent="0.25">
      <c r="B537" s="685" t="str">
        <f>IF('1. INTRO'!I$2="English","Equipment","Utrustning")</f>
        <v>Equipment</v>
      </c>
      <c r="C537" s="718">
        <f t="shared" ref="C537:L537" si="107">C121+C173+C225+C277+C329+C381+C433+C485</f>
        <v>0</v>
      </c>
      <c r="D537" s="695">
        <f t="shared" si="107"/>
        <v>0</v>
      </c>
      <c r="E537" s="719">
        <f t="shared" si="107"/>
        <v>0</v>
      </c>
      <c r="F537" s="695">
        <f t="shared" si="107"/>
        <v>0</v>
      </c>
      <c r="G537" s="719">
        <f t="shared" si="107"/>
        <v>0</v>
      </c>
      <c r="H537" s="695">
        <f t="shared" si="107"/>
        <v>0</v>
      </c>
      <c r="I537" s="719">
        <f t="shared" si="107"/>
        <v>0</v>
      </c>
      <c r="J537" s="695">
        <f t="shared" si="107"/>
        <v>0</v>
      </c>
      <c r="K537" s="719">
        <f t="shared" si="107"/>
        <v>0</v>
      </c>
      <c r="L537" s="695">
        <f t="shared" si="107"/>
        <v>0</v>
      </c>
      <c r="M537" s="703">
        <f>SUM(C537:L537)</f>
        <v>0</v>
      </c>
    </row>
    <row r="538" spans="2:15" s="3" customFormat="1" ht="13.2" x14ac:dyDescent="0.25">
      <c r="B538" s="80" t="str">
        <f>IF('1. INTRO'!I$2="English","Facility","Lokal")</f>
        <v>Facility</v>
      </c>
      <c r="C538" s="189">
        <f t="shared" ref="C538:L538" si="108">C122+C174+C226+C278+C330+C382+C434+C486</f>
        <v>0</v>
      </c>
      <c r="D538" s="190">
        <f t="shared" si="108"/>
        <v>0</v>
      </c>
      <c r="E538" s="191">
        <f t="shared" si="108"/>
        <v>0</v>
      </c>
      <c r="F538" s="190">
        <f t="shared" si="108"/>
        <v>0</v>
      </c>
      <c r="G538" s="191">
        <f t="shared" si="108"/>
        <v>0</v>
      </c>
      <c r="H538" s="190">
        <f t="shared" si="108"/>
        <v>0</v>
      </c>
      <c r="I538" s="191">
        <f t="shared" si="108"/>
        <v>0</v>
      </c>
      <c r="J538" s="190">
        <f t="shared" si="108"/>
        <v>0</v>
      </c>
      <c r="K538" s="191">
        <f t="shared" si="108"/>
        <v>0</v>
      </c>
      <c r="L538" s="190">
        <f t="shared" si="108"/>
        <v>0</v>
      </c>
      <c r="M538" s="146">
        <f>SUM(C538:L538)</f>
        <v>0</v>
      </c>
    </row>
    <row r="539" spans="2:15" s="3" customFormat="1" ht="13.2" x14ac:dyDescent="0.25">
      <c r="B539" s="696" t="str">
        <f>IF('1. INTRO'!I$2="English","Indirect","Indirekt")</f>
        <v>Indirect</v>
      </c>
      <c r="C539" s="720">
        <f t="shared" ref="C539:L539" si="109">C123+C175+C227+C279+C331+C383+C435+C487</f>
        <v>0</v>
      </c>
      <c r="D539" s="697">
        <f t="shared" si="109"/>
        <v>0</v>
      </c>
      <c r="E539" s="721">
        <f t="shared" si="109"/>
        <v>0</v>
      </c>
      <c r="F539" s="697">
        <f t="shared" si="109"/>
        <v>0</v>
      </c>
      <c r="G539" s="721">
        <f t="shared" si="109"/>
        <v>0</v>
      </c>
      <c r="H539" s="697">
        <f t="shared" si="109"/>
        <v>0</v>
      </c>
      <c r="I539" s="721">
        <f t="shared" si="109"/>
        <v>0</v>
      </c>
      <c r="J539" s="697">
        <f t="shared" si="109"/>
        <v>0</v>
      </c>
      <c r="K539" s="721">
        <f t="shared" si="109"/>
        <v>0</v>
      </c>
      <c r="L539" s="697">
        <f t="shared" si="109"/>
        <v>0</v>
      </c>
      <c r="M539" s="706">
        <f>SUM(C539:L539)</f>
        <v>0</v>
      </c>
    </row>
    <row r="540" spans="2:15" s="3" customFormat="1" ht="13.2" x14ac:dyDescent="0.25">
      <c r="B540" s="124" t="s">
        <v>113</v>
      </c>
      <c r="C540" s="104">
        <f t="shared" ref="C540:M540" si="110">SUM(C535:C539)</f>
        <v>0</v>
      </c>
      <c r="D540" s="104">
        <f t="shared" si="110"/>
        <v>0</v>
      </c>
      <c r="E540" s="104">
        <f t="shared" si="110"/>
        <v>0</v>
      </c>
      <c r="F540" s="104">
        <f t="shared" si="110"/>
        <v>0</v>
      </c>
      <c r="G540" s="104">
        <f t="shared" si="110"/>
        <v>0</v>
      </c>
      <c r="H540" s="104">
        <f t="shared" si="110"/>
        <v>0</v>
      </c>
      <c r="I540" s="104">
        <f t="shared" si="110"/>
        <v>0</v>
      </c>
      <c r="J540" s="104">
        <f t="shared" si="110"/>
        <v>0</v>
      </c>
      <c r="K540" s="104">
        <f t="shared" si="110"/>
        <v>0</v>
      </c>
      <c r="L540" s="104">
        <f t="shared" si="110"/>
        <v>0</v>
      </c>
      <c r="M540" s="142">
        <f t="shared" si="110"/>
        <v>0</v>
      </c>
    </row>
    <row r="541" spans="2:15" s="3" customFormat="1" ht="13.2" x14ac:dyDescent="0.25">
      <c r="B541" s="124"/>
      <c r="C541" s="154"/>
      <c r="D541" s="154"/>
      <c r="E541" s="154"/>
      <c r="F541" s="154"/>
      <c r="G541" s="154"/>
      <c r="H541" s="154"/>
      <c r="I541" s="154"/>
      <c r="J541" s="154"/>
      <c r="K541" s="154"/>
      <c r="L541" s="154"/>
      <c r="M541" s="137"/>
    </row>
    <row r="542" spans="2:15" ht="12.75" customHeight="1" x14ac:dyDescent="0.25">
      <c r="D542" s="656" t="str">
        <f>IF('1. INTRO'!I$2="English","Co-funding need in average per year: ","Medfinansieringsbehov i genomsnitt per år: ")</f>
        <v xml:space="preserve">Co-funding need in average per year: </v>
      </c>
      <c r="E542" s="698" t="str">
        <f>IF(M532=0,"",M532/(DATEDIF('2. START'!C$18,'2. START'!C$19,"d")/365))</f>
        <v/>
      </c>
      <c r="H542" s="656" t="str">
        <f>IF('1. INTRO'!I$2="English","Co-funding need 1/3 of total: ","Medfinansieringsbehov 1/3 av totalt: ")</f>
        <v xml:space="preserve">Co-funding need 1/3 of total: </v>
      </c>
      <c r="I542" s="698">
        <f>M532/3</f>
        <v>0</v>
      </c>
      <c r="L542" s="287" t="str">
        <f>IF('1. INTRO'!I$2="English","Co-funding need total: ","Medfinansieringsbehov totalt: ")</f>
        <v xml:space="preserve">Co-funding need total: </v>
      </c>
      <c r="M542" s="698">
        <f>M532</f>
        <v>0</v>
      </c>
    </row>
    <row r="543" spans="2:15" s="3" customFormat="1" ht="13.2" x14ac:dyDescent="0.25">
      <c r="B543" s="70"/>
      <c r="C543" s="37"/>
      <c r="D543" s="37"/>
      <c r="E543" s="37"/>
      <c r="F543" s="37"/>
      <c r="G543" s="37"/>
      <c r="H543" s="37"/>
      <c r="I543" s="37"/>
      <c r="J543" s="37"/>
      <c r="K543" s="37"/>
      <c r="L543" s="37"/>
      <c r="M543" s="37"/>
    </row>
    <row r="544" spans="2:15" s="3" customFormat="1" ht="12.75" customHeight="1" x14ac:dyDescent="0.25">
      <c r="B544" s="313" t="str">
        <f>'3. PARTNER'!C$4</f>
        <v xml:space="preserve">Project: </v>
      </c>
      <c r="C544" s="1062" t="str">
        <f>'3. PARTNER'!D$4</f>
        <v/>
      </c>
      <c r="D544" s="1001"/>
      <c r="E544" s="1001"/>
      <c r="F544" s="1001"/>
      <c r="G544" s="1001"/>
      <c r="H544" s="1001"/>
      <c r="I544" s="1001"/>
      <c r="J544" s="1001"/>
      <c r="K544" s="1001"/>
      <c r="L544" s="1001"/>
      <c r="M544" s="1001"/>
    </row>
    <row r="545" spans="2:15" s="3" customFormat="1" ht="13.2" x14ac:dyDescent="0.25">
      <c r="B545" s="313" t="str">
        <f>'3. PARTNER'!C$5</f>
        <v xml:space="preserve">Calculation for: </v>
      </c>
      <c r="C545" s="1062" t="str">
        <f>'3. PARTNER'!D$5</f>
        <v>APPLICATION</v>
      </c>
      <c r="D545" s="1001"/>
      <c r="E545" s="268"/>
      <c r="F545" s="268"/>
      <c r="G545" s="268"/>
      <c r="H545" s="268"/>
      <c r="I545" s="268"/>
      <c r="J545" s="268"/>
      <c r="K545" s="268"/>
      <c r="L545" s="268"/>
      <c r="M545" s="268"/>
    </row>
    <row r="546" spans="2:15" s="3" customFormat="1" ht="13.2" x14ac:dyDescent="0.25">
      <c r="B546" s="35" t="str">
        <f>'3. PARTNER'!C$6</f>
        <v xml:space="preserve">Project leader: </v>
      </c>
      <c r="C546" s="1062" t="str">
        <f>'3. PARTNER'!D$6</f>
        <v/>
      </c>
      <c r="D546" s="1001"/>
      <c r="E546" s="1001"/>
      <c r="F546" s="1001"/>
      <c r="G546" s="1001"/>
      <c r="H546" s="1001"/>
      <c r="I546" s="1001"/>
      <c r="J546" s="1001"/>
      <c r="K546" s="1001"/>
      <c r="L546" s="1001"/>
      <c r="M546" s="1001"/>
    </row>
    <row r="547" spans="2:15" s="3" customFormat="1" ht="13.2" x14ac:dyDescent="0.25">
      <c r="B547" s="313" t="str">
        <f>'5. PERSON'!B$7</f>
        <v xml:space="preserve">Amounts in: </v>
      </c>
      <c r="C547" s="655" t="str">
        <f>'5. PERSON'!C$7</f>
        <v>SEK</v>
      </c>
      <c r="D547" s="268"/>
      <c r="E547" s="268"/>
      <c r="F547" s="268"/>
      <c r="G547" s="234"/>
      <c r="H547" s="234"/>
      <c r="I547" s="270"/>
      <c r="J547" s="270"/>
      <c r="K547" s="270"/>
      <c r="L547" s="270"/>
      <c r="M547" s="270"/>
    </row>
    <row r="548" spans="2:15" s="3" customFormat="1" ht="13.2" x14ac:dyDescent="0.25">
      <c r="B548" s="313"/>
      <c r="C548" s="1053" t="str">
        <f>'3. PARTNER'!D$7</f>
        <v>Other basic data about the project is in sheet 2.</v>
      </c>
      <c r="D548" s="1001"/>
      <c r="E548" s="1001"/>
      <c r="F548" s="1001"/>
      <c r="G548" s="234"/>
      <c r="H548" s="234"/>
      <c r="I548" s="270"/>
      <c r="J548" s="270"/>
      <c r="K548" s="270"/>
      <c r="L548" s="251" t="s">
        <v>4</v>
      </c>
      <c r="M548" s="270"/>
    </row>
    <row r="549" spans="2:15" ht="12.75" customHeight="1" x14ac:dyDescent="0.2">
      <c r="J549" s="252" t="s">
        <v>322</v>
      </c>
      <c r="K549" s="252" t="s">
        <v>323</v>
      </c>
      <c r="L549" s="252" t="str">
        <f>IF('1. INTRO'!I$2="English","months","månader")</f>
        <v>months</v>
      </c>
    </row>
    <row r="550" spans="2:15" s="3" customFormat="1" ht="13.8" x14ac:dyDescent="0.25">
      <c r="B550" s="157" t="str">
        <f>IF('1. INTRO'!I$2="English","Project costs","Projektkostnader")</f>
        <v>Project costs</v>
      </c>
      <c r="C550" s="668" t="str">
        <f>A24</f>
        <v>135NJ</v>
      </c>
      <c r="D550" s="1227" t="str">
        <f>B24</f>
        <v>Aquatic Resources</v>
      </c>
      <c r="E550" s="1001"/>
      <c r="G550" s="37"/>
      <c r="H550" s="37"/>
      <c r="I550" s="37"/>
      <c r="J550" s="643"/>
      <c r="K550" s="643"/>
      <c r="L550" s="642">
        <f>SUMIF('5. PERSON'!$B$17:$B$192,$C550,'5. PERSON'!AE$17:AE$192)</f>
        <v>0</v>
      </c>
      <c r="M550" s="680" t="s">
        <v>330</v>
      </c>
    </row>
    <row r="551" spans="2:15" s="3" customFormat="1" ht="6" customHeight="1" x14ac:dyDescent="0.25">
      <c r="B551" s="57"/>
      <c r="C551" s="37"/>
      <c r="D551" s="37"/>
      <c r="E551" s="37"/>
      <c r="F551" s="37"/>
      <c r="G551" s="37"/>
      <c r="H551" s="37"/>
      <c r="I551" s="37"/>
      <c r="J551" s="37"/>
      <c r="K551" s="37"/>
      <c r="L551" s="37"/>
      <c r="M551" s="37"/>
    </row>
    <row r="552" spans="2:15" s="3" customFormat="1" ht="13.2" x14ac:dyDescent="0.25">
      <c r="B552" s="110" t="str">
        <f>IF('1. INTRO'!I$2="English","Costs to be covered by funding body","Kostnader att täckas av finansiär")</f>
        <v>Costs to be covered by funding body</v>
      </c>
      <c r="C552" s="111">
        <f>'5. PERSON'!G$15</f>
        <v>1900</v>
      </c>
      <c r="D552" s="111" t="str">
        <f>'5. PERSON'!H$15</f>
        <v/>
      </c>
      <c r="E552" s="111" t="str">
        <f>'5. PERSON'!I$15</f>
        <v/>
      </c>
      <c r="F552" s="111" t="str">
        <f>'5. PERSON'!J$15</f>
        <v/>
      </c>
      <c r="G552" s="111" t="str">
        <f>'5. PERSON'!K$15</f>
        <v/>
      </c>
      <c r="H552" s="111" t="str">
        <f>'5. PERSON'!L$15</f>
        <v/>
      </c>
      <c r="I552" s="111" t="str">
        <f>'5. PERSON'!M$15</f>
        <v/>
      </c>
      <c r="J552" s="111" t="str">
        <f>'5. PERSON'!N$15</f>
        <v/>
      </c>
      <c r="K552" s="111" t="str">
        <f>'5. PERSON'!O$15</f>
        <v/>
      </c>
      <c r="L552" s="111" t="str">
        <f>'5. PERSON'!P$15</f>
        <v/>
      </c>
      <c r="M552" s="112" t="s">
        <v>2</v>
      </c>
    </row>
    <row r="553" spans="2:15" s="3" customFormat="1" ht="12.75" customHeight="1" x14ac:dyDescent="0.25">
      <c r="B553" s="722" t="str">
        <f>IF('1. INTRO'!I$2="English","Salary including social costs (LKP)","Lön inklusive LKP")</f>
        <v>Salary including social costs (LKP)</v>
      </c>
      <c r="C553" s="723">
        <f>IF('2. START'!$C$14&gt;0,SUMIF('5. PERSON'!$B$17:$B$192,$C550,'5. PERSON'!DN$17:DN$192),SUMIF('5. PERSON'!$B$17:$B$192,$C550,'5. PERSON'!AT$17:AT$192))</f>
        <v>0</v>
      </c>
      <c r="D553" s="723">
        <f>IF('2. START'!$C$14&gt;0,SUMIF('5. PERSON'!$B$17:$B$192,$C550,'5. PERSON'!DO$17:DO$192),SUMIF('5. PERSON'!$B$17:$B$192,$C550,'5. PERSON'!AU$17:AU$192))</f>
        <v>0</v>
      </c>
      <c r="E553" s="723">
        <f>IF('2. START'!$C$14&gt;0,SUMIF('5. PERSON'!$B$17:$B$192,$C550,'5. PERSON'!DP$17:DP$192),SUMIF('5. PERSON'!$B$17:$B$192,$C550,'5. PERSON'!AV$17:AV$192))</f>
        <v>0</v>
      </c>
      <c r="F553" s="723">
        <f>IF('2. START'!$C$14&gt;0,SUMIF('5. PERSON'!$B$17:$B$192,$C550,'5. PERSON'!DQ$17:DQ$192),SUMIF('5. PERSON'!$B$17:$B$192,$C550,'5. PERSON'!AW$17:AW$192))</f>
        <v>0</v>
      </c>
      <c r="G553" s="723">
        <f>IF('2. START'!$C$14&gt;0,SUMIF('5. PERSON'!$B$17:$B$192,$C550,'5. PERSON'!DR$17:DR$192),SUMIF('5. PERSON'!$B$17:$B$192,$C550,'5. PERSON'!AX$17:AX$192))</f>
        <v>0</v>
      </c>
      <c r="H553" s="723">
        <f>IF('2. START'!$C$14&gt;0,SUMIF('5. PERSON'!$B$17:$B$192,$C550,'5. PERSON'!DS$17:DS$192),SUMIF('5. PERSON'!$B$17:$B$192,$C550,'5. PERSON'!AY$17:AY$192))</f>
        <v>0</v>
      </c>
      <c r="I553" s="723">
        <f>IF('2. START'!$C$14&gt;0,SUMIF('5. PERSON'!$B$17:$B$192,$C550,'5. PERSON'!DT$17:DT$192),SUMIF('5. PERSON'!$B$17:$B$192,$C550,'5. PERSON'!AZ$17:AZ$192))</f>
        <v>0</v>
      </c>
      <c r="J553" s="723">
        <f>IF('2. START'!$C$14&gt;0,SUMIF('5. PERSON'!$B$17:$B$192,$C550,'5. PERSON'!DU$17:DU$192),SUMIF('5. PERSON'!$B$17:$B$192,$C550,'5. PERSON'!BA$17:BA$192))</f>
        <v>0</v>
      </c>
      <c r="K553" s="723">
        <f>IF('2. START'!$C$14&gt;0,SUMIF('5. PERSON'!$B$17:$B$192,$C550,'5. PERSON'!DV$17:DV$192),SUMIF('5. PERSON'!$B$17:$B$192,$C550,'5. PERSON'!BB$17:BB$192))</f>
        <v>0</v>
      </c>
      <c r="L553" s="723">
        <f>IF('2. START'!$C$14&gt;0,SUMIF('5. PERSON'!$B$17:$B$192,$C550,'5. PERSON'!DW$17:DW$192),SUMIF('5. PERSON'!$B$17:$B$192,$C550,'5. PERSON'!BC$17:BC$192))</f>
        <v>0</v>
      </c>
      <c r="M553" s="724">
        <f t="shared" ref="M553:M558" si="111">SUM(C553:L553)</f>
        <v>0</v>
      </c>
      <c r="O553" s="4"/>
    </row>
    <row r="554" spans="2:15" s="3" customFormat="1" ht="12.75" customHeight="1" x14ac:dyDescent="0.25">
      <c r="B554" s="80" t="str">
        <f>IF('1. INTRO'!I$2="English","Operating","Drift")</f>
        <v>Operating</v>
      </c>
      <c r="C554" s="116">
        <f>SUMIF('6. OPERATION'!$B$17:$B$149,$C550,'6. OPERATION'!W$17:W$149)</f>
        <v>0</v>
      </c>
      <c r="D554" s="116">
        <f>SUMIF('6. OPERATION'!$B$17:$B$149,$C550,'6. OPERATION'!X$17:X$149)</f>
        <v>0</v>
      </c>
      <c r="E554" s="116">
        <f>SUMIF('6. OPERATION'!$B$17:$B$149,$C550,'6. OPERATION'!Y$17:Y$149)</f>
        <v>0</v>
      </c>
      <c r="F554" s="116">
        <f>SUMIF('6. OPERATION'!$B$17:$B$149,$C550,'6. OPERATION'!Z$17:Z$149)</f>
        <v>0</v>
      </c>
      <c r="G554" s="116">
        <f>SUMIF('6. OPERATION'!$B$17:$B$149,$C550,'6. OPERATION'!AA$17:AA$149)</f>
        <v>0</v>
      </c>
      <c r="H554" s="116">
        <f>SUMIF('6. OPERATION'!$B$17:$B$149,$C550,'6. OPERATION'!AB$17:AB$149)</f>
        <v>0</v>
      </c>
      <c r="I554" s="116">
        <f>SUMIF('6. OPERATION'!$B$17:$B$149,$C550,'6. OPERATION'!AC$17:AC$149)</f>
        <v>0</v>
      </c>
      <c r="J554" s="116">
        <f>SUMIF('6. OPERATION'!$B$17:$B$149,$C550,'6. OPERATION'!AD$17:AD$149)</f>
        <v>0</v>
      </c>
      <c r="K554" s="116">
        <f>SUMIF('6. OPERATION'!$B$17:$B$149,$C550,'6. OPERATION'!AE$17:AE$149)</f>
        <v>0</v>
      </c>
      <c r="L554" s="116">
        <f>SUMIF('6. OPERATION'!$B$17:$B$149,$C550,'6. OPERATION'!AF$17:AF$149)</f>
        <v>0</v>
      </c>
      <c r="M554" s="117">
        <f t="shared" si="111"/>
        <v>0</v>
      </c>
    </row>
    <row r="555" spans="2:15" s="3" customFormat="1" ht="13.2" x14ac:dyDescent="0.25">
      <c r="B555" s="725" t="str">
        <f>IF('1. INTRO'!I$2="English","Equipment","Utrustning")</f>
        <v>Equipment</v>
      </c>
      <c r="C555" s="726">
        <f>SUMIF('7. INVEST'!$B$17:$B$49,$C550,'7. INVEST'!W$17:W$49)</f>
        <v>0</v>
      </c>
      <c r="D555" s="726">
        <f>SUMIF('7. INVEST'!$B$17:$B$49,$C550,'7. INVEST'!X$17:X$49)</f>
        <v>0</v>
      </c>
      <c r="E555" s="726">
        <f>SUMIF('7. INVEST'!$B$17:$B$49,$C550,'7. INVEST'!Y$17:Y$49)</f>
        <v>0</v>
      </c>
      <c r="F555" s="726">
        <f>SUMIF('7. INVEST'!$B$17:$B$49,$C550,'7. INVEST'!Z$17:Z$49)</f>
        <v>0</v>
      </c>
      <c r="G555" s="726">
        <f>SUMIF('7. INVEST'!$B$17:$B$49,$C550,'7. INVEST'!AA$17:AA$49)</f>
        <v>0</v>
      </c>
      <c r="H555" s="726">
        <f>SUMIF('7. INVEST'!$B$17:$B$49,$C550,'7. INVEST'!AB$17:AB$49)</f>
        <v>0</v>
      </c>
      <c r="I555" s="726">
        <f>SUMIF('7. INVEST'!$B$17:$B$49,$C550,'7. INVEST'!AC$17:AC$49)</f>
        <v>0</v>
      </c>
      <c r="J555" s="726">
        <f>SUMIF('7. INVEST'!$B$17:$B$49,$C550,'7. INVEST'!AD$17:AD$49)</f>
        <v>0</v>
      </c>
      <c r="K555" s="726">
        <f>SUMIF('7. INVEST'!$B$17:$B$49,$C550,'7. INVEST'!AE$17:AE$49)</f>
        <v>0</v>
      </c>
      <c r="L555" s="726">
        <f>SUMIF('7. INVEST'!$B$17:$B$49,$C550,'7. INVEST'!AF$17:AF$49)</f>
        <v>0</v>
      </c>
      <c r="M555" s="727">
        <f t="shared" si="111"/>
        <v>0</v>
      </c>
    </row>
    <row r="556" spans="2:15" s="3" customFormat="1" ht="13.2" x14ac:dyDescent="0.25">
      <c r="B556" s="121" t="str">
        <f>IF('1. INTRO'!I$2="English",(IF('2. START'!C$11="NO","Facility accepted as direct cost by funding body","Facility")),IF('2. START'!C$11="NO","Lokal accepterad som direkt kostnad av finansiär","Lokal"))</f>
        <v>Facility</v>
      </c>
      <c r="C556" s="116">
        <f>IF('2. START'!$C$11="NO",SUMIF('8. FACILIT'!$B$18:$B$50,$C550,'8. FACILIT'!T$18:T$50),SUMIF('5. PERSON'!$B$17:$B$192,$C550,'5. PERSON'!CP$17:CP$192)+SUMIF('6. OPERATION'!$B$17:$B$149,$C550,'6. OPERATION'!BS$17:BS$149)+SUMIF('8. FACILIT'!$B$18:$B$50,$C550,'8. FACILIT'!T$18:T$50))</f>
        <v>0</v>
      </c>
      <c r="D556" s="116">
        <f>IF('2. START'!$C$11="NO",SUMIF('8. FACILIT'!$B$18:$B$50,$C550,'8. FACILIT'!U$18:U$50),SUMIF('5. PERSON'!$B$17:$B$192,$C550,'5. PERSON'!CQ$17:CQ$192)+SUMIF('6. OPERATION'!$B$17:$B$149,$C550,'6. OPERATION'!BT$17:BT$149)+SUMIF('8. FACILIT'!$B$18:$B$50,$C550,'8. FACILIT'!U$18:U$50))</f>
        <v>0</v>
      </c>
      <c r="E556" s="116">
        <f>IF('2. START'!$C$11="NO",SUMIF('8. FACILIT'!$B$18:$B$50,$C550,'8. FACILIT'!V$18:V$50),SUMIF('5. PERSON'!$B$17:$B$192,$C550,'5. PERSON'!CR$17:CR$192)+SUMIF('6. OPERATION'!$B$17:$B$149,$C550,'6. OPERATION'!BU$17:BU$149)+SUMIF('8. FACILIT'!$B$18:$B$50,$C550,'8. FACILIT'!V$18:V$50))</f>
        <v>0</v>
      </c>
      <c r="F556" s="116">
        <f>IF('2. START'!$C$11="NO",SUMIF('8. FACILIT'!$B$18:$B$50,$C550,'8. FACILIT'!W$18:W$50),SUMIF('5. PERSON'!$B$17:$B$192,$C550,'5. PERSON'!CS$17:CS$192)+SUMIF('6. OPERATION'!$B$17:$B$149,$C550,'6. OPERATION'!BV$17:BV$149)+SUMIF('8. FACILIT'!$B$18:$B$50,$C550,'8. FACILIT'!W$18:W$50))</f>
        <v>0</v>
      </c>
      <c r="G556" s="116">
        <f>IF('2. START'!$C$11="NO",SUMIF('8. FACILIT'!$B$18:$B$50,$C550,'8. FACILIT'!X$18:X$50),SUMIF('5. PERSON'!$B$17:$B$192,$C550,'5. PERSON'!CT$17:CT$192)+SUMIF('6. OPERATION'!$B$17:$B$149,$C550,'6. OPERATION'!BW$17:BW$149)+SUMIF('8. FACILIT'!$B$18:$B$50,$C550,'8. FACILIT'!X$18:X$50))</f>
        <v>0</v>
      </c>
      <c r="H556" s="116">
        <f>IF('2. START'!$C$11="NO",SUMIF('8. FACILIT'!$B$18:$B$50,$C550,'8. FACILIT'!Y$18:Y$50),SUMIF('5. PERSON'!$B$17:$B$192,$C550,'5. PERSON'!CU$17:CU$192)+SUMIF('6. OPERATION'!$B$17:$B$149,$C550,'6. OPERATION'!BX$17:BX$149)+SUMIF('8. FACILIT'!$B$18:$B$50,$C550,'8. FACILIT'!Y$18:Y$50))</f>
        <v>0</v>
      </c>
      <c r="I556" s="116">
        <f>IF('2. START'!$C$11="NO",SUMIF('8. FACILIT'!$B$18:$B$50,$C550,'8. FACILIT'!Z$18:Z$50),SUMIF('5. PERSON'!$B$17:$B$192,$C550,'5. PERSON'!CV$17:CV$192)+SUMIF('6. OPERATION'!$B$17:$B$149,$C550,'6. OPERATION'!BY$17:BY$149)+SUMIF('8. FACILIT'!$B$18:$B$50,$C550,'8. FACILIT'!Z$18:Z$50))</f>
        <v>0</v>
      </c>
      <c r="J556" s="116">
        <f>IF('2. START'!$C$11="NO",SUMIF('8. FACILIT'!$B$18:$B$50,$C550,'8. FACILIT'!AA$18:AA$50),SUMIF('5. PERSON'!$B$17:$B$192,$C550,'5. PERSON'!CW$17:CW$192)+SUMIF('6. OPERATION'!$B$17:$B$149,$C550,'6. OPERATION'!BZ$17:BZ$149)+SUMIF('8. FACILIT'!$B$18:$B$50,$C550,'8. FACILIT'!AA$18:AA$50))</f>
        <v>0</v>
      </c>
      <c r="K556" s="116">
        <f>IF('2. START'!$C$11="NO",SUMIF('8. FACILIT'!$B$18:$B$50,$C550,'8. FACILIT'!AB$18:AB$50),SUMIF('5. PERSON'!$B$17:$B$192,$C550,'5. PERSON'!CX$17:CX$192)+SUMIF('6. OPERATION'!$B$17:$B$149,$C550,'6. OPERATION'!CA$17:CA$149)+SUMIF('8. FACILIT'!$B$18:$B$50,$C550,'8. FACILIT'!AB$18:AB$50))</f>
        <v>0</v>
      </c>
      <c r="L556" s="116">
        <f>IF('2. START'!$C$11="NO",SUMIF('8. FACILIT'!$B$18:$B$50,$C550,'8. FACILIT'!AC$18:AC$50),SUMIF('5. PERSON'!$B$17:$B$192,$C550,'5. PERSON'!CY$17:CY$192)+SUMIF('6. OPERATION'!$B$17:$B$149,$C550,'6. OPERATION'!CB$17:CB$149)+SUMIF('8. FACILIT'!$B$18:$B$50,$C550,'8. FACILIT'!AC$18:AC$50))</f>
        <v>0</v>
      </c>
      <c r="M556" s="117">
        <f t="shared" si="111"/>
        <v>0</v>
      </c>
    </row>
    <row r="557" spans="2:15" s="3" customFormat="1" ht="13.2" x14ac:dyDescent="0.25">
      <c r="B557" s="728" t="str">
        <f>IF('1. INTRO'!I$2="English",(IF('2. START'!C$11="NO","Indirect and facility charge accepted as OH by funding body","Indirect")),IF('2. START'!C$11="NO","Indirekt och lokalpåslag accepterade som OH av finansiär","Indirekt"))</f>
        <v>Indirect</v>
      </c>
      <c r="C557" s="729">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729">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729">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729">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729">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729">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729">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729">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729">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729">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727">
        <f t="shared" si="111"/>
        <v>0</v>
      </c>
    </row>
    <row r="558" spans="2:15" s="3" customFormat="1" ht="13.2" x14ac:dyDescent="0.25">
      <c r="B558" s="124" t="s">
        <v>113</v>
      </c>
      <c r="C558" s="102">
        <f>SUM(C553:C557)</f>
        <v>0</v>
      </c>
      <c r="D558" s="102">
        <f t="shared" ref="D558:L558" si="112">SUM(D553:D557)</f>
        <v>0</v>
      </c>
      <c r="E558" s="102">
        <f t="shared" si="112"/>
        <v>0</v>
      </c>
      <c r="F558" s="102">
        <f t="shared" si="112"/>
        <v>0</v>
      </c>
      <c r="G558" s="102">
        <f t="shared" si="112"/>
        <v>0</v>
      </c>
      <c r="H558" s="102">
        <f t="shared" si="112"/>
        <v>0</v>
      </c>
      <c r="I558" s="102">
        <f t="shared" si="112"/>
        <v>0</v>
      </c>
      <c r="J558" s="102">
        <f t="shared" si="112"/>
        <v>0</v>
      </c>
      <c r="K558" s="102">
        <f t="shared" si="112"/>
        <v>0</v>
      </c>
      <c r="L558" s="102">
        <f t="shared" si="112"/>
        <v>0</v>
      </c>
      <c r="M558" s="125">
        <f t="shared" si="111"/>
        <v>0</v>
      </c>
    </row>
    <row r="559" spans="2:15" s="3" customFormat="1" ht="6" customHeight="1" x14ac:dyDescent="0.25">
      <c r="B559" s="126"/>
      <c r="C559" s="127"/>
      <c r="D559" s="127"/>
      <c r="E559" s="127"/>
      <c r="F559" s="127"/>
      <c r="G559" s="127"/>
      <c r="H559" s="127"/>
      <c r="I559" s="127"/>
      <c r="J559" s="127"/>
      <c r="K559" s="127"/>
      <c r="L559" s="127"/>
      <c r="M559" s="128"/>
    </row>
    <row r="560" spans="2:15" s="3" customFormat="1" ht="13.2" x14ac:dyDescent="0.25">
      <c r="B560" s="129" t="str">
        <f>IF('1. INTRO'!I$2="English","Costs to be co-funded","Kostnader att medfinansiera")</f>
        <v>Costs to be co-funded</v>
      </c>
      <c r="C560" s="86"/>
      <c r="D560" s="86"/>
      <c r="E560" s="86"/>
      <c r="F560" s="86"/>
      <c r="G560" s="86"/>
      <c r="H560" s="86"/>
      <c r="I560" s="86"/>
      <c r="J560" s="86"/>
      <c r="K560" s="86"/>
      <c r="L560" s="86"/>
      <c r="M560" s="130"/>
    </row>
    <row r="561" spans="2:15" s="3" customFormat="1" ht="13.2" x14ac:dyDescent="0.25">
      <c r="B561" s="730" t="str">
        <f>IF('1. INTRO'!I$2="English",(IF('2. START'!C$11="NO","Indirect and facility charge not accepted as OH by funding body","")),IF('2. START'!C$11="NO","Indirekt och lokalpåslag inte accepterade som OH av finansiär",""))</f>
        <v/>
      </c>
      <c r="C561" s="731">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731">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731">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731">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731">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731">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731">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731">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731">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731">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724">
        <f t="shared" ref="M561:M567" si="113">SUM(C561:L561)</f>
        <v>0</v>
      </c>
    </row>
    <row r="562" spans="2:15" s="3" customFormat="1" ht="12.75" customHeight="1" x14ac:dyDescent="0.25">
      <c r="B562" s="132" t="str">
        <f>IF('1. INTRO'!I$2="English",(IF('2. START'!C$14&gt;0,"Social costs (LKP) not accepted by funding body","")),IF('2. START'!C$14&gt;0,"LKP som inte accepteras av finansiär",""))</f>
        <v/>
      </c>
      <c r="C562" s="133">
        <f>IF('2. START'!$C$14&gt;0,SUMIF('5. PERSON'!$B$17:$B$192,$C550,'5. PERSON'!AT$17:AT$192)-SUMIF('5. PERSON'!$B$17:$B$192,$C550,'5. PERSON'!DN$17:DN$192),0)</f>
        <v>0</v>
      </c>
      <c r="D562" s="133">
        <f>IF('2. START'!$C$14&gt;0,SUMIF('5. PERSON'!$B$17:$B$192,$C550,'5. PERSON'!AU$17:AU$192)-SUMIF('5. PERSON'!$B$17:$B$192,$C550,'5. PERSON'!DO$17:DO$192),0)</f>
        <v>0</v>
      </c>
      <c r="E562" s="133">
        <f>IF('2. START'!$C$14&gt;0,SUMIF('5. PERSON'!$B$17:$B$192,$C550,'5. PERSON'!AV$17:AV$192)-SUMIF('5. PERSON'!$B$17:$B$192,$C550,'5. PERSON'!DP$17:DP$192),0)</f>
        <v>0</v>
      </c>
      <c r="F562" s="133">
        <f>IF('2. START'!$C$14&gt;0,SUMIF('5. PERSON'!$B$17:$B$192,$C550,'5. PERSON'!AW$17:AW$192)-SUMIF('5. PERSON'!$B$17:$B$192,$C550,'5. PERSON'!DQ$17:DQ$192),0)</f>
        <v>0</v>
      </c>
      <c r="G562" s="133">
        <f>IF('2. START'!$C$14&gt;0,SUMIF('5. PERSON'!$B$17:$B$192,$C550,'5. PERSON'!AX$17:AX$192)-SUMIF('5. PERSON'!$B$17:$B$192,$C550,'5. PERSON'!DR$17:DR$192),0)</f>
        <v>0</v>
      </c>
      <c r="H562" s="133">
        <f>IF('2. START'!$C$14&gt;0,SUMIF('5. PERSON'!$B$17:$B$192,$C550,'5. PERSON'!AY$17:AY$192)-SUMIF('5. PERSON'!$B$17:$B$192,$C550,'5. PERSON'!DS$17:DS$192),0)</f>
        <v>0</v>
      </c>
      <c r="I562" s="133">
        <f>IF('2. START'!$C$14&gt;0,SUMIF('5. PERSON'!$B$17:$B$192,$C550,'5. PERSON'!AZ$17:AZ$192)-SUMIF('5. PERSON'!$B$17:$B$192,$C550,'5. PERSON'!DT$17:DT$192),0)</f>
        <v>0</v>
      </c>
      <c r="J562" s="133">
        <f>IF('2. START'!$C$14&gt;0,SUMIF('5. PERSON'!$B$17:$B$192,$C550,'5. PERSON'!BA$17:BA$192)-SUMIF('5. PERSON'!$B$17:$B$192,$C550,'5. PERSON'!DU$17:DU$192),0)</f>
        <v>0</v>
      </c>
      <c r="K562" s="133">
        <f>IF('2. START'!$C$14&gt;0,SUMIF('5. PERSON'!$B$17:$B$192,$C550,'5. PERSON'!BB$17:BB$192)-SUMIF('5. PERSON'!$B$17:$B$192,$C550,'5. PERSON'!DV$17:DV$192),0)</f>
        <v>0</v>
      </c>
      <c r="L562" s="133">
        <f>IF('2. START'!$C$14&gt;0,SUMIF('5. PERSON'!$B$17:$B$192,$C550,'5. PERSON'!BC$17:BC$192)-SUMIF('5. PERSON'!$B$17:$B$192,$C550,'5. PERSON'!DW$17:DW$192),0)</f>
        <v>0</v>
      </c>
      <c r="M562" s="117">
        <f t="shared" si="113"/>
        <v>0</v>
      </c>
    </row>
    <row r="563" spans="2:15" s="3" customFormat="1" ht="12.75" customHeight="1" x14ac:dyDescent="0.25">
      <c r="B563" s="725" t="str">
        <f>IF('1. INTRO'!I$2="English",(IF('5. PERSON'!BP$193&gt;0,"Salary including social costs (LKP)","")),IF('5. PERSON'!BP$193&gt;0,"Lön inklusive LKP",""))</f>
        <v/>
      </c>
      <c r="C563" s="732">
        <f>SUMIF('5. PERSON'!$B$17:$B$192,$C550,'5. PERSON'!BF$17:BF$192)</f>
        <v>0</v>
      </c>
      <c r="D563" s="732">
        <f>SUMIF('5. PERSON'!$B$17:$B$192,$C550,'5. PERSON'!BG$17:BG$192)</f>
        <v>0</v>
      </c>
      <c r="E563" s="732">
        <f>SUMIF('5. PERSON'!$B$17:$B$192,$C550,'5. PERSON'!BH$17:BH$192)</f>
        <v>0</v>
      </c>
      <c r="F563" s="732">
        <f>SUMIF('5. PERSON'!$B$17:$B$192,$C550,'5. PERSON'!BI$17:BI$192)</f>
        <v>0</v>
      </c>
      <c r="G563" s="732">
        <f>SUMIF('5. PERSON'!$B$17:$B$192,$C550,'5. PERSON'!BJ$17:BJ$192)</f>
        <v>0</v>
      </c>
      <c r="H563" s="732">
        <f>SUMIF('5. PERSON'!$B$17:$B$192,$C550,'5. PERSON'!BK$17:BK$192)</f>
        <v>0</v>
      </c>
      <c r="I563" s="732">
        <f>SUMIF('5. PERSON'!$B$17:$B$192,$C550,'5. PERSON'!BL$17:BL$192)</f>
        <v>0</v>
      </c>
      <c r="J563" s="732">
        <f>SUMIF('5. PERSON'!$B$17:$B$192,$C550,'5. PERSON'!BM$17:BM$192)</f>
        <v>0</v>
      </c>
      <c r="K563" s="732">
        <f>SUMIF('5. PERSON'!$B$17:$B$192,$C550,'5. PERSON'!BN$17:BN$192)</f>
        <v>0</v>
      </c>
      <c r="L563" s="732">
        <f>SUMIF('5. PERSON'!$B$17:$B$192,$C550,'5. PERSON'!BO$17:BO$192)</f>
        <v>0</v>
      </c>
      <c r="M563" s="727">
        <f t="shared" si="113"/>
        <v>0</v>
      </c>
    </row>
    <row r="564" spans="2:15" s="3" customFormat="1" ht="13.2" x14ac:dyDescent="0.25">
      <c r="B564" s="80" t="str">
        <f>IF('1. INTRO'!I$2="English",(IF('6. OPERATION'!AS$150&gt;0,"Operating","")),IF('6. OPERATION'!AS$150&gt;0,"Drift",""))</f>
        <v/>
      </c>
      <c r="C564" s="135">
        <f>SUMIF('6. OPERATION'!$B$17:$B$149,$C550,'6. OPERATION'!AI$17:AI$149)</f>
        <v>0</v>
      </c>
      <c r="D564" s="135">
        <f>SUMIF('6. OPERATION'!$B$17:$B$149,$C550,'6. OPERATION'!AJ$17:AJ$149)</f>
        <v>0</v>
      </c>
      <c r="E564" s="135">
        <f>SUMIF('6. OPERATION'!$B$17:$B$149,$C550,'6. OPERATION'!AK$17:AK$149)</f>
        <v>0</v>
      </c>
      <c r="F564" s="135">
        <f>SUMIF('6. OPERATION'!$B$17:$B$149,$C550,'6. OPERATION'!AL$17:AL$149)</f>
        <v>0</v>
      </c>
      <c r="G564" s="135">
        <f>SUMIF('6. OPERATION'!$B$17:$B$149,$C550,'6. OPERATION'!AM$17:AM$149)</f>
        <v>0</v>
      </c>
      <c r="H564" s="135">
        <f>SUMIF('6. OPERATION'!$B$17:$B$149,$C550,'6. OPERATION'!AN$17:AN$149)</f>
        <v>0</v>
      </c>
      <c r="I564" s="135">
        <f>SUMIF('6. OPERATION'!$B$17:$B$149,$C550,'6. OPERATION'!AO$17:AO$149)</f>
        <v>0</v>
      </c>
      <c r="J564" s="135">
        <f>SUMIF('6. OPERATION'!$B$17:$B$149,$C550,'6. OPERATION'!AP$17:AP$149)</f>
        <v>0</v>
      </c>
      <c r="K564" s="135">
        <f>SUMIF('6. OPERATION'!$B$17:$B$149,$C550,'6. OPERATION'!AQ$17:AQ$149)</f>
        <v>0</v>
      </c>
      <c r="L564" s="135">
        <f>SUMIF('6. OPERATION'!$B$17:$B$149,$C550,'6. OPERATION'!AR$17:AR$149)</f>
        <v>0</v>
      </c>
      <c r="M564" s="117">
        <f t="shared" si="113"/>
        <v>0</v>
      </c>
    </row>
    <row r="565" spans="2:15" s="3" customFormat="1" ht="13.2" x14ac:dyDescent="0.25">
      <c r="B565" s="725" t="str">
        <f>IF('1. INTRO'!I$2="English",(IF('7. INVEST'!AS$50&gt;0,"Equipment","")),IF('7. INVEST'!AS$50&gt;0,"Utrustning",""))</f>
        <v/>
      </c>
      <c r="C565" s="732">
        <f>SUMIF('7. INVEST'!$B$17:$B$49,$C550,'7. INVEST'!AI$17:AI$49)</f>
        <v>0</v>
      </c>
      <c r="D565" s="732">
        <f>SUMIF('7. INVEST'!$B$17:$B$49,$C550,'7. INVEST'!AJ$17:AJ$49)</f>
        <v>0</v>
      </c>
      <c r="E565" s="732">
        <f>SUMIF('7. INVEST'!$B$17:$B$49,$C550,'7. INVEST'!AK$17:AK$49)</f>
        <v>0</v>
      </c>
      <c r="F565" s="732">
        <f>SUMIF('7. INVEST'!$B$17:$B$49,$C550,'7. INVEST'!AL$17:AL$49)</f>
        <v>0</v>
      </c>
      <c r="G565" s="732">
        <f>SUMIF('7. INVEST'!$B$17:$B$49,$C550,'7. INVEST'!AM$17:AM$49)</f>
        <v>0</v>
      </c>
      <c r="H565" s="732">
        <f>SUMIF('7. INVEST'!$B$17:$B$49,$C550,'7. INVEST'!AN$17:AN$49)</f>
        <v>0</v>
      </c>
      <c r="I565" s="732">
        <f>SUMIF('7. INVEST'!$B$17:$B$49,$C550,'7. INVEST'!AO$17:AO$49)</f>
        <v>0</v>
      </c>
      <c r="J565" s="732">
        <f>SUMIF('7. INVEST'!$B$17:$B$49,$C550,'7. INVEST'!AP$17:AP$49)</f>
        <v>0</v>
      </c>
      <c r="K565" s="732">
        <f>SUMIF('7. INVEST'!$B$17:$B$49,$C550,'7. INVEST'!AQ$17:AQ$49)</f>
        <v>0</v>
      </c>
      <c r="L565" s="732">
        <f>SUMIF('7. INVEST'!$B$17:$B$49,$C550,'7. INVEST'!AR$17:AR$49)</f>
        <v>0</v>
      </c>
      <c r="M565" s="727">
        <f t="shared" si="113"/>
        <v>0</v>
      </c>
    </row>
    <row r="566" spans="2:15" s="3" customFormat="1" ht="13.2" x14ac:dyDescent="0.25">
      <c r="B566" s="121" t="str">
        <f>IF('1. INTRO'!I$2="English",(IF('8. FACILIT'!AP$51&gt;0,"Facility","")),IF('8. FACILIT'!AP$51&gt;0,"Lokal",""))</f>
        <v/>
      </c>
      <c r="C566" s="135">
        <f>SUMIF('5. PERSON'!$B$17:$B$192,$C550,'5. PERSON'!DB$17:DB$192)+SUMIF('6. OPERATION'!$B$17:$B$149,$C550,'6. OPERATION'!CE$17:CE$149)+SUMIF('8. FACILIT'!$B$18:$B$50,$C550,'8. FACILIT'!AF$18:AF$50)</f>
        <v>0</v>
      </c>
      <c r="D566" s="135">
        <f>SUMIF('5. PERSON'!$B$17:$B$192,$C550,'5. PERSON'!DC$17:DC$192)+SUMIF('6. OPERATION'!$B$17:$B$149,$C550,'6. OPERATION'!CF$17:CF$149)+SUMIF('8. FACILIT'!$B$18:$B$50,$C550,'8. FACILIT'!AG$18:AG$50)</f>
        <v>0</v>
      </c>
      <c r="E566" s="135">
        <f>SUMIF('5. PERSON'!$B$17:$B$192,$C550,'5. PERSON'!DD$17:DD$192)+SUMIF('6. OPERATION'!$B$17:$B$149,$C550,'6. OPERATION'!CG$17:CG$149)+SUMIF('8. FACILIT'!$B$18:$B$50,$C550,'8. FACILIT'!AH$18:AH$50)</f>
        <v>0</v>
      </c>
      <c r="F566" s="135">
        <f>SUMIF('5. PERSON'!$B$17:$B$192,$C550,'5. PERSON'!DE$17:DE$192)+SUMIF('6. OPERATION'!$B$17:$B$149,$C550,'6. OPERATION'!CH$17:CH$149)+SUMIF('8. FACILIT'!$B$18:$B$50,$C550,'8. FACILIT'!AI$18:AI$50)</f>
        <v>0</v>
      </c>
      <c r="G566" s="135">
        <f>SUMIF('5. PERSON'!$B$17:$B$192,$C550,'5. PERSON'!DF$17:DF$192)+SUMIF('6. OPERATION'!$B$17:$B$149,$C550,'6. OPERATION'!CI$17:CI$149)+SUMIF('8. FACILIT'!$B$18:$B$50,$C550,'8. FACILIT'!AJ$18:AJ$50)</f>
        <v>0</v>
      </c>
      <c r="H566" s="135">
        <f>SUMIF('5. PERSON'!$B$17:$B$192,$C550,'5. PERSON'!DG$17:DG$192)+SUMIF('6. OPERATION'!$B$17:$B$149,$C550,'6. OPERATION'!CJ$17:CJ$149)+SUMIF('8. FACILIT'!$B$18:$B$50,$C550,'8. FACILIT'!AK$18:AK$50)</f>
        <v>0</v>
      </c>
      <c r="I566" s="135">
        <f>SUMIF('5. PERSON'!$B$17:$B$192,$C550,'5. PERSON'!DH$17:DH$192)+SUMIF('6. OPERATION'!$B$17:$B$149,$C550,'6. OPERATION'!CK$17:CK$149)+SUMIF('8. FACILIT'!$B$18:$B$50,$C550,'8. FACILIT'!AL$18:AL$50)</f>
        <v>0</v>
      </c>
      <c r="J566" s="135">
        <f>SUMIF('5. PERSON'!$B$17:$B$192,$C550,'5. PERSON'!DI$17:DI$192)+SUMIF('6. OPERATION'!$B$17:$B$149,$C550,'6. OPERATION'!CL$17:CL$149)+SUMIF('8. FACILIT'!$B$18:$B$50,$C550,'8. FACILIT'!AM$18:AM$50)</f>
        <v>0</v>
      </c>
      <c r="K566" s="135">
        <f>SUMIF('5. PERSON'!$B$17:$B$192,$C550,'5. PERSON'!DJ$17:DJ$192)+SUMIF('6. OPERATION'!$B$17:$B$149,$C550,'6. OPERATION'!CM$17:CM$149)+SUMIF('8. FACILIT'!$B$18:$B$50,$C550,'8. FACILIT'!AN$18:AN$50)</f>
        <v>0</v>
      </c>
      <c r="L566" s="135">
        <f>SUMIF('5. PERSON'!$B$17:$B$192,$C550,'5. PERSON'!DK$17:DK$192)+SUMIF('6. OPERATION'!$B$17:$B$149,$C550,'6. OPERATION'!CN$17:CN$149)+SUMIF('8. FACILIT'!$B$18:$B$50,$C550,'8. FACILIT'!AO$18:AO$50)</f>
        <v>0</v>
      </c>
      <c r="M566" s="117">
        <f t="shared" si="113"/>
        <v>0</v>
      </c>
    </row>
    <row r="567" spans="2:15" s="1" customFormat="1" ht="13.2" x14ac:dyDescent="0.25">
      <c r="B567" s="728" t="str">
        <f>IF('1. INTRO'!I$2="English",(IF(('5. PERSON'!CN$193+'6. OPERATION'!BQ$150)&gt;0,"Indirect","")),IF(('5. PERSON'!CN$193+'6. OPERATION'!BQ$150)&gt;0,"Indirekt",""))</f>
        <v/>
      </c>
      <c r="C567" s="729">
        <f>SUMIF('5. PERSON'!$B$17:$B$192,$C550,'5. PERSON'!CD$17:CD$192)+SUMIF('6. OPERATION'!$B$17:$B$149,$C550,'6. OPERATION'!BG$17:BG$149)</f>
        <v>0</v>
      </c>
      <c r="D567" s="729">
        <f>SUMIF('5. PERSON'!$B$17:$B$192,$C550,'5. PERSON'!CE$17:CE$192)+SUMIF('6. OPERATION'!$B$17:$B$149,$C550,'6. OPERATION'!BH$17:BH$149)</f>
        <v>0</v>
      </c>
      <c r="E567" s="729">
        <f>SUMIF('5. PERSON'!$B$17:$B$192,$C550,'5. PERSON'!CF$17:CF$192)+SUMIF('6. OPERATION'!$B$17:$B$149,$C550,'6. OPERATION'!BI$17:BI$149)</f>
        <v>0</v>
      </c>
      <c r="F567" s="729">
        <f>SUMIF('5. PERSON'!$B$17:$B$192,$C550,'5. PERSON'!CG$17:CG$192)+SUMIF('6. OPERATION'!$B$17:$B$149,$C550,'6. OPERATION'!BJ$17:BJ$149)</f>
        <v>0</v>
      </c>
      <c r="G567" s="729">
        <f>SUMIF('5. PERSON'!$B$17:$B$192,$C550,'5. PERSON'!CH$17:CH$192)+SUMIF('6. OPERATION'!$B$17:$B$149,$C550,'6. OPERATION'!BK$17:BK$149)</f>
        <v>0</v>
      </c>
      <c r="H567" s="729">
        <f>SUMIF('5. PERSON'!$B$17:$B$192,$C550,'5. PERSON'!CI$17:CI$192)+SUMIF('6. OPERATION'!$B$17:$B$149,$C550,'6. OPERATION'!BL$17:BL$149)</f>
        <v>0</v>
      </c>
      <c r="I567" s="729">
        <f>SUMIF('5. PERSON'!$B$17:$B$192,$C550,'5. PERSON'!CJ$17:CJ$192)+SUMIF('6. OPERATION'!$B$17:$B$149,$C550,'6. OPERATION'!BM$17:BM$149)</f>
        <v>0</v>
      </c>
      <c r="J567" s="729">
        <f>SUMIF('5. PERSON'!$B$17:$B$192,$C550,'5. PERSON'!CK$17:CK$192)+SUMIF('6. OPERATION'!$B$17:$B$149,$C550,'6. OPERATION'!BN$17:BN$149)</f>
        <v>0</v>
      </c>
      <c r="K567" s="729">
        <f>SUMIF('5. PERSON'!$B$17:$B$192,$C550,'5. PERSON'!CL$17:CL$192)+SUMIF('6. OPERATION'!$B$17:$B$149,$C550,'6. OPERATION'!BO$17:BO$149)</f>
        <v>0</v>
      </c>
      <c r="L567" s="729">
        <f>SUMIF('5. PERSON'!$B$17:$B$192,$C550,'5. PERSON'!CM$17:CM$192)+SUMIF('6. OPERATION'!$B$17:$B$149,$C550,'6. OPERATION'!BP$17:BP$149)</f>
        <v>0</v>
      </c>
      <c r="M567" s="733">
        <f t="shared" si="113"/>
        <v>0</v>
      </c>
    </row>
    <row r="568" spans="2:15" s="3" customFormat="1" ht="13.2" x14ac:dyDescent="0.25">
      <c r="B568" s="124" t="s">
        <v>113</v>
      </c>
      <c r="C568" s="102">
        <f>SUM(C561:C567)</f>
        <v>0</v>
      </c>
      <c r="D568" s="102">
        <f t="shared" ref="D568:M568" si="114">SUM(D561:D567)</f>
        <v>0</v>
      </c>
      <c r="E568" s="102">
        <f t="shared" si="114"/>
        <v>0</v>
      </c>
      <c r="F568" s="102">
        <f t="shared" si="114"/>
        <v>0</v>
      </c>
      <c r="G568" s="102">
        <f t="shared" si="114"/>
        <v>0</v>
      </c>
      <c r="H568" s="102">
        <f t="shared" si="114"/>
        <v>0</v>
      </c>
      <c r="I568" s="102">
        <f t="shared" si="114"/>
        <v>0</v>
      </c>
      <c r="J568" s="102">
        <f t="shared" si="114"/>
        <v>0</v>
      </c>
      <c r="K568" s="102">
        <f t="shared" si="114"/>
        <v>0</v>
      </c>
      <c r="L568" s="102">
        <f t="shared" si="114"/>
        <v>0</v>
      </c>
      <c r="M568" s="125">
        <f t="shared" si="114"/>
        <v>0</v>
      </c>
      <c r="N568" s="23"/>
      <c r="O568" s="23"/>
    </row>
    <row r="569" spans="2:15" s="3" customFormat="1" ht="6" customHeight="1" x14ac:dyDescent="0.25">
      <c r="B569" s="136"/>
      <c r="C569" s="127"/>
      <c r="D569" s="127"/>
      <c r="E569" s="127"/>
      <c r="F569" s="127"/>
      <c r="G569" s="127"/>
      <c r="H569" s="127"/>
      <c r="I569" s="127"/>
      <c r="J569" s="127"/>
      <c r="K569" s="127"/>
      <c r="L569" s="127"/>
      <c r="M569" s="137"/>
    </row>
    <row r="570" spans="2:15" s="3" customFormat="1" ht="13.2" x14ac:dyDescent="0.25">
      <c r="B570" s="129" t="str">
        <f>IF('1. INTRO'!I$2="English","Full cost","Full kostnad")</f>
        <v>Full cost</v>
      </c>
      <c r="C570" s="127"/>
      <c r="D570" s="127"/>
      <c r="E570" s="127"/>
      <c r="F570" s="127"/>
      <c r="G570" s="127"/>
      <c r="H570" s="127"/>
      <c r="I570" s="127"/>
      <c r="J570" s="127"/>
      <c r="K570" s="127"/>
      <c r="L570" s="127"/>
      <c r="M570" s="137"/>
    </row>
    <row r="571" spans="2:15" s="3" customFormat="1" ht="13.2" x14ac:dyDescent="0.25">
      <c r="B571" s="722" t="str">
        <f>IF('1. INTRO'!I$2="English","Salary including social costs (LKP)","Lön inklusive LKP")</f>
        <v>Salary including social costs (LKP)</v>
      </c>
      <c r="C571" s="734">
        <f>C553+C562+C563</f>
        <v>0</v>
      </c>
      <c r="D571" s="734">
        <f t="shared" ref="D571:L571" si="115">D553+D562+D563</f>
        <v>0</v>
      </c>
      <c r="E571" s="734">
        <f t="shared" si="115"/>
        <v>0</v>
      </c>
      <c r="F571" s="734">
        <f t="shared" si="115"/>
        <v>0</v>
      </c>
      <c r="G571" s="734">
        <f t="shared" si="115"/>
        <v>0</v>
      </c>
      <c r="H571" s="734">
        <f t="shared" si="115"/>
        <v>0</v>
      </c>
      <c r="I571" s="734">
        <f t="shared" si="115"/>
        <v>0</v>
      </c>
      <c r="J571" s="734">
        <f t="shared" si="115"/>
        <v>0</v>
      </c>
      <c r="K571" s="734">
        <f t="shared" si="115"/>
        <v>0</v>
      </c>
      <c r="L571" s="734">
        <f t="shared" si="115"/>
        <v>0</v>
      </c>
      <c r="M571" s="724">
        <f>SUM(C571:L571)</f>
        <v>0</v>
      </c>
    </row>
    <row r="572" spans="2:15" s="3" customFormat="1" ht="13.2" x14ac:dyDescent="0.25">
      <c r="B572" s="80" t="str">
        <f>IF('1. INTRO'!I$2="English","Operating","Drift")</f>
        <v>Operating</v>
      </c>
      <c r="C572" s="139">
        <f>C554+C564</f>
        <v>0</v>
      </c>
      <c r="D572" s="139">
        <f t="shared" ref="D572:L572" si="116">D554+D564</f>
        <v>0</v>
      </c>
      <c r="E572" s="139">
        <f t="shared" si="116"/>
        <v>0</v>
      </c>
      <c r="F572" s="139">
        <f t="shared" si="116"/>
        <v>0</v>
      </c>
      <c r="G572" s="139">
        <f t="shared" si="116"/>
        <v>0</v>
      </c>
      <c r="H572" s="139">
        <f t="shared" si="116"/>
        <v>0</v>
      </c>
      <c r="I572" s="139">
        <f t="shared" si="116"/>
        <v>0</v>
      </c>
      <c r="J572" s="139">
        <f t="shared" si="116"/>
        <v>0</v>
      </c>
      <c r="K572" s="139">
        <f t="shared" si="116"/>
        <v>0</v>
      </c>
      <c r="L572" s="139">
        <f t="shared" si="116"/>
        <v>0</v>
      </c>
      <c r="M572" s="117">
        <f>SUM(C572:L572)</f>
        <v>0</v>
      </c>
    </row>
    <row r="573" spans="2:15" s="3" customFormat="1" ht="13.2" x14ac:dyDescent="0.25">
      <c r="B573" s="725" t="str">
        <f>IF('1. INTRO'!I$2="English","Equipment","Utrustning")</f>
        <v>Equipment</v>
      </c>
      <c r="C573" s="735">
        <f>C555+C565</f>
        <v>0</v>
      </c>
      <c r="D573" s="735">
        <f t="shared" ref="D573:L573" si="117">D555+D565</f>
        <v>0</v>
      </c>
      <c r="E573" s="735">
        <f t="shared" si="117"/>
        <v>0</v>
      </c>
      <c r="F573" s="735">
        <f t="shared" si="117"/>
        <v>0</v>
      </c>
      <c r="G573" s="735">
        <f t="shared" si="117"/>
        <v>0</v>
      </c>
      <c r="H573" s="735">
        <f t="shared" si="117"/>
        <v>0</v>
      </c>
      <c r="I573" s="735">
        <f t="shared" si="117"/>
        <v>0</v>
      </c>
      <c r="J573" s="735">
        <f t="shared" si="117"/>
        <v>0</v>
      </c>
      <c r="K573" s="735">
        <f t="shared" si="117"/>
        <v>0</v>
      </c>
      <c r="L573" s="735">
        <f t="shared" si="117"/>
        <v>0</v>
      </c>
      <c r="M573" s="727">
        <f>SUM(C573:L573)</f>
        <v>0</v>
      </c>
    </row>
    <row r="574" spans="2:15" s="3" customFormat="1" ht="13.2" x14ac:dyDescent="0.25">
      <c r="B574" s="80" t="str">
        <f>IF('1. INTRO'!I$2="English","Facility","Lokal")</f>
        <v>Facility</v>
      </c>
      <c r="C574" s="139">
        <f>SUMIF('5. PERSON'!$B$17:$B$192,$C550,'5. PERSON'!CP$17:CP$192)+SUMIF('5. PERSON'!$B$17:$B$192,$C550,'5. PERSON'!DB$17:DB$192)+SUMIF('6. OPERATION'!$B$17:$B$149,$C550,'6. OPERATION'!BS$17:BS$149)+SUMIF('6. OPERATION'!$B$17:$B$149,$C550,'6. OPERATION'!CE$17:CE$149)+SUMIF('8. FACILIT'!$B$18:$B$50,$C550,'8. FACILIT'!T$18:T$50)+SUMIF('8. FACILIT'!$B$18:$B$50,$C550,'8. FACILIT'!AF$18:AF$50)</f>
        <v>0</v>
      </c>
      <c r="D574" s="139">
        <f>SUMIF('5. PERSON'!$B$17:$B$192,$C550,'5. PERSON'!CQ$17:CQ$192)+SUMIF('5. PERSON'!$B$17:$B$192,$C550,'5. PERSON'!DC$17:DC$192)+SUMIF('6. OPERATION'!$B$17:$B$149,$C550,'6. OPERATION'!BT$17:BT$149)+SUMIF('6. OPERATION'!$B$17:$B$149,$C550,'6. OPERATION'!CF$17:CF$149)+SUMIF('8. FACILIT'!$B$18:$B$50,$C550,'8. FACILIT'!U$18:U$50)+SUMIF('8. FACILIT'!$B$18:$B$50,$C550,'8. FACILIT'!AG$18:AG$50)</f>
        <v>0</v>
      </c>
      <c r="E574" s="139">
        <f>SUMIF('5. PERSON'!$B$17:$B$192,$C550,'5. PERSON'!CR$17:CR$192)+SUMIF('5. PERSON'!$B$17:$B$192,$C550,'5. PERSON'!DD$17:DD$192)+SUMIF('6. OPERATION'!$B$17:$B$149,$C550,'6. OPERATION'!BU$17:BU$149)+SUMIF('6. OPERATION'!$B$17:$B$149,$C550,'6. OPERATION'!CG$17:CG$149)+SUMIF('8. FACILIT'!$B$18:$B$50,$C550,'8. FACILIT'!V$18:V$50)+SUMIF('8. FACILIT'!$B$18:$B$50,$C550,'8. FACILIT'!AH$18:AH$50)</f>
        <v>0</v>
      </c>
      <c r="F574" s="139">
        <f>SUMIF('5. PERSON'!$B$17:$B$192,$C550,'5. PERSON'!CS$17:CS$192)+SUMIF('5. PERSON'!$B$17:$B$192,$C550,'5. PERSON'!DE$17:DE$192)+SUMIF('6. OPERATION'!$B$17:$B$149,$C550,'6. OPERATION'!BV$17:BV$149)+SUMIF('6. OPERATION'!$B$17:$B$149,$C550,'6. OPERATION'!CH$17:CH$149)+SUMIF('8. FACILIT'!$B$18:$B$50,$C550,'8. FACILIT'!W$18:W$50)+SUMIF('8. FACILIT'!$B$18:$B$50,$C550,'8. FACILIT'!AI$18:AI$50)</f>
        <v>0</v>
      </c>
      <c r="G574" s="139">
        <f>SUMIF('5. PERSON'!$B$17:$B$192,$C550,'5. PERSON'!CT$17:CT$192)+SUMIF('5. PERSON'!$B$17:$B$192,$C550,'5. PERSON'!DF$17:DF$192)+SUMIF('6. OPERATION'!$B$17:$B$149,$C550,'6. OPERATION'!BW$17:BW$149)+SUMIF('6. OPERATION'!$B$17:$B$149,$C550,'6. OPERATION'!CI$17:CI$149)+SUMIF('8. FACILIT'!$B$18:$B$50,$C550,'8. FACILIT'!X$18:X$50)+SUMIF('8. FACILIT'!$B$18:$B$50,$C550,'8. FACILIT'!AJ$18:AJ$50)</f>
        <v>0</v>
      </c>
      <c r="H574" s="139">
        <f>SUMIF('5. PERSON'!$B$17:$B$192,$C550,'5. PERSON'!CU$17:CU$192)+SUMIF('5. PERSON'!$B$17:$B$192,$C550,'5. PERSON'!DG$17:DG$192)+SUMIF('6. OPERATION'!$B$17:$B$149,$C550,'6. OPERATION'!BX$17:BX$149)+SUMIF('6. OPERATION'!$B$17:$B$149,$C550,'6. OPERATION'!CJ$17:CJ$149)+SUMIF('8. FACILIT'!$B$18:$B$50,$C550,'8. FACILIT'!Y$18:Y$50)+SUMIF('8. FACILIT'!$B$18:$B$50,$C550,'8. FACILIT'!AK$18:AK$50)</f>
        <v>0</v>
      </c>
      <c r="I574" s="139">
        <f>SUMIF('5. PERSON'!$B$17:$B$192,$C550,'5. PERSON'!CV$17:CV$192)+SUMIF('5. PERSON'!$B$17:$B$192,$C550,'5. PERSON'!DH$17:DH$192)+SUMIF('6. OPERATION'!$B$17:$B$149,$C550,'6. OPERATION'!BY$17:BY$149)+SUMIF('6. OPERATION'!$B$17:$B$149,$C550,'6. OPERATION'!CK$17:CK$149)+SUMIF('8. FACILIT'!$B$18:$B$50,$C550,'8. FACILIT'!Z$18:Z$50)+SUMIF('8. FACILIT'!$B$18:$B$50,$C550,'8. FACILIT'!AL$18:AL$50)</f>
        <v>0</v>
      </c>
      <c r="J574" s="139">
        <f>SUMIF('5. PERSON'!$B$17:$B$192,$C550,'5. PERSON'!CW$17:CW$192)+SUMIF('5. PERSON'!$B$17:$B$192,$C550,'5. PERSON'!DI$17:DI$192)+SUMIF('6. OPERATION'!$B$17:$B$149,$C550,'6. OPERATION'!BZ$17:BZ$149)+SUMIF('6. OPERATION'!$B$17:$B$149,$C550,'6. OPERATION'!CL$17:CL$149)+SUMIF('8. FACILIT'!$B$18:$B$50,$C550,'8. FACILIT'!AA$18:AA$50)+SUMIF('8. FACILIT'!$B$18:$B$50,$C550,'8. FACILIT'!AM$18:AM$50)</f>
        <v>0</v>
      </c>
      <c r="K574" s="139">
        <f>SUMIF('5. PERSON'!$B$17:$B$192,$C550,'5. PERSON'!CX$17:CX$192)+SUMIF('5. PERSON'!$B$17:$B$192,$C550,'5. PERSON'!DJ$17:DJ$192)+SUMIF('6. OPERATION'!$B$17:$B$149,$C550,'6. OPERATION'!CA$17:CA$149)+SUMIF('6. OPERATION'!$B$17:$B$149,$C550,'6. OPERATION'!CM$17:CM$149)+SUMIF('8. FACILIT'!$B$18:$B$50,$C550,'8. FACILIT'!AB$18:AB$50)+SUMIF('8. FACILIT'!$B$18:$B$50,$C550,'8. FACILIT'!AN$18:AN$50)</f>
        <v>0</v>
      </c>
      <c r="L574" s="139">
        <f>SUMIF('5. PERSON'!$B$17:$B$192,$C550,'5. PERSON'!CY$17:CY$192)+SUMIF('5. PERSON'!$B$17:$B$192,$C550,'5. PERSON'!DK$17:DK$192)+SUMIF('6. OPERATION'!$B$17:$B$149,$C550,'6. OPERATION'!CB$17:CB$149)+SUMIF('6. OPERATION'!$B$17:$B$149,$C550,'6. OPERATION'!CN$17:CN$149)+SUMIF('8. FACILIT'!$B$18:$B$50,$C550,'8. FACILIT'!AC$18:AC$50)+SUMIF('8. FACILIT'!$B$18:$B$50,$C550,'8. FACILIT'!AO$18:AO$50)</f>
        <v>0</v>
      </c>
      <c r="M574" s="117">
        <f>SUM(C574:L574)</f>
        <v>0</v>
      </c>
    </row>
    <row r="575" spans="2:15" s="3" customFormat="1" ht="13.2" x14ac:dyDescent="0.25">
      <c r="B575" s="736" t="str">
        <f>IF('1. INTRO'!I$2="English","Indirect","Indirekt")</f>
        <v>Indirect</v>
      </c>
      <c r="C575" s="737">
        <f>SUMIF('5. PERSON'!$B$17:$B$192,$C550,'5. PERSON'!BR$17:BR$192)+SUMIF('5. PERSON'!$B$17:$B$192,$C550,'5. PERSON'!CD$17:CD$192)+SUMIF('6. OPERATION'!$B$17:$B$149,$C550,'6. OPERATION'!AU$17:AU$149)+SUMIF('6. OPERATION'!$B$17:$B$149,$C550,'6. OPERATION'!BG$17:BG$149)</f>
        <v>0</v>
      </c>
      <c r="D575" s="737">
        <f>SUMIF('5. PERSON'!$B$17:$B$192,$C550,'5. PERSON'!BS$17:BS$192)+SUMIF('5. PERSON'!$B$17:$B$192,$C550,'5. PERSON'!CE$17:CE$192)+SUMIF('6. OPERATION'!$B$17:$B$149,$C550,'6. OPERATION'!AV$17:AV$149)+SUMIF('6. OPERATION'!$B$17:$B$149,$C550,'6. OPERATION'!BH$17:BH$149)</f>
        <v>0</v>
      </c>
      <c r="E575" s="737">
        <f>SUMIF('5. PERSON'!$B$17:$B$192,$C550,'5. PERSON'!BT$17:BT$192)+SUMIF('5. PERSON'!$B$17:$B$192,$C550,'5. PERSON'!CF$17:CF$192)+SUMIF('6. OPERATION'!$B$17:$B$149,$C550,'6. OPERATION'!AW$17:AW$149)+SUMIF('6. OPERATION'!$B$17:$B$149,$C550,'6. OPERATION'!BI$17:BI$149)</f>
        <v>0</v>
      </c>
      <c r="F575" s="737">
        <f>SUMIF('5. PERSON'!$B$17:$B$192,$C550,'5. PERSON'!BU$17:BU$192)+SUMIF('5. PERSON'!$B$17:$B$192,$C550,'5. PERSON'!CG$17:CG$192)+SUMIF('6. OPERATION'!$B$17:$B$149,$C550,'6. OPERATION'!AX$17:AX$149)+SUMIF('6. OPERATION'!$B$17:$B$149,$C550,'6. OPERATION'!BJ$17:BJ$149)</f>
        <v>0</v>
      </c>
      <c r="G575" s="737">
        <f>SUMIF('5. PERSON'!$B$17:$B$192,$C550,'5. PERSON'!BV$17:BV$192)+SUMIF('5. PERSON'!$B$17:$B$192,$C550,'5. PERSON'!CH$17:CH$192)+SUMIF('6. OPERATION'!$B$17:$B$149,$C550,'6. OPERATION'!AY$17:AY$149)+SUMIF('6. OPERATION'!$B$17:$B$149,$C550,'6. OPERATION'!BK$17:BK$149)</f>
        <v>0</v>
      </c>
      <c r="H575" s="737">
        <f>SUMIF('5. PERSON'!$B$17:$B$192,$C550,'5. PERSON'!BW$17:BW$192)+SUMIF('5. PERSON'!$B$17:$B$192,$C550,'5. PERSON'!CI$17:CI$192)+SUMIF('6. OPERATION'!$B$17:$B$149,$C550,'6. OPERATION'!AZ$17:AZ$149)+SUMIF('6. OPERATION'!$B$17:$B$149,$C550,'6. OPERATION'!BL$17:BL$149)</f>
        <v>0</v>
      </c>
      <c r="I575" s="737">
        <f>SUMIF('5. PERSON'!$B$17:$B$192,$C550,'5. PERSON'!BX$17:BX$192)+SUMIF('5. PERSON'!$B$17:$B$192,$C550,'5. PERSON'!CJ$17:CJ$192)+SUMIF('6. OPERATION'!$B$17:$B$149,$C550,'6. OPERATION'!BA$17:BA$149)+SUMIF('6. OPERATION'!$B$17:$B$149,$C550,'6. OPERATION'!BM$17:BM$149)</f>
        <v>0</v>
      </c>
      <c r="J575" s="737">
        <f>SUMIF('5. PERSON'!$B$17:$B$192,$C550,'5. PERSON'!BY$17:BY$192)+SUMIF('5. PERSON'!$B$17:$B$192,$C550,'5. PERSON'!CK$17:CK$192)+SUMIF('6. OPERATION'!$B$17:$B$149,$C550,'6. OPERATION'!BB$17:BB$149)+SUMIF('6. OPERATION'!$B$17:$B$149,$C550,'6. OPERATION'!BN$17:BN$149)</f>
        <v>0</v>
      </c>
      <c r="K575" s="737">
        <f>SUMIF('5. PERSON'!$B$17:$B$192,$C550,'5. PERSON'!BZ$17:BZ$192)+SUMIF('5. PERSON'!$B$17:$B$192,$C550,'5. PERSON'!CL$17:CL$192)+SUMIF('6. OPERATION'!$B$17:$B$149,$C550,'6. OPERATION'!BC$17:BC$149)+SUMIF('6. OPERATION'!$B$17:$B$149,$C550,'6. OPERATION'!BO$17:BO$149)</f>
        <v>0</v>
      </c>
      <c r="L575" s="737">
        <f>SUMIF('5. PERSON'!$B$17:$B$192,$C550,'5. PERSON'!CA$17:CA$192)+SUMIF('5. PERSON'!$B$17:$B$192,$C550,'5. PERSON'!CM$17:CM$192)+SUMIF('6. OPERATION'!$B$17:$B$149,$C550,'6. OPERATION'!BD$17:BD$149)+SUMIF('6. OPERATION'!$B$17:$B$149,$C550,'6. OPERATION'!BP$17:BP$149)</f>
        <v>0</v>
      </c>
      <c r="M575" s="733">
        <f>SUM(C575:L575)</f>
        <v>0</v>
      </c>
    </row>
    <row r="576" spans="2:15" s="3" customFormat="1" ht="13.2" x14ac:dyDescent="0.25">
      <c r="B576" s="124" t="s">
        <v>113</v>
      </c>
      <c r="C576" s="88">
        <f>SUM(C571:C575)</f>
        <v>0</v>
      </c>
      <c r="D576" s="88">
        <f t="shared" ref="D576:M576" si="118">SUM(D571:D575)</f>
        <v>0</v>
      </c>
      <c r="E576" s="88">
        <f t="shared" si="118"/>
        <v>0</v>
      </c>
      <c r="F576" s="88">
        <f t="shared" si="118"/>
        <v>0</v>
      </c>
      <c r="G576" s="88">
        <f t="shared" si="118"/>
        <v>0</v>
      </c>
      <c r="H576" s="88">
        <f t="shared" si="118"/>
        <v>0</v>
      </c>
      <c r="I576" s="88">
        <f t="shared" si="118"/>
        <v>0</v>
      </c>
      <c r="J576" s="88">
        <f t="shared" si="118"/>
        <v>0</v>
      </c>
      <c r="K576" s="88">
        <f t="shared" si="118"/>
        <v>0</v>
      </c>
      <c r="L576" s="88">
        <f t="shared" si="118"/>
        <v>0</v>
      </c>
      <c r="M576" s="142">
        <f t="shared" si="118"/>
        <v>0</v>
      </c>
    </row>
    <row r="577" spans="2:13" s="3" customFormat="1" ht="13.2" x14ac:dyDescent="0.25">
      <c r="B577" s="287"/>
      <c r="C577" s="37"/>
      <c r="D577" s="37"/>
      <c r="E577" s="37"/>
      <c r="F577" s="37"/>
      <c r="G577" s="37"/>
      <c r="H577" s="37"/>
      <c r="I577" s="37"/>
      <c r="J577" s="37"/>
      <c r="K577" s="37"/>
      <c r="L577" s="37"/>
      <c r="M577" s="37"/>
    </row>
    <row r="578" spans="2:13" s="3" customFormat="1" ht="12.75" customHeight="1" x14ac:dyDescent="0.25">
      <c r="B578" s="656" t="str">
        <f>IF('1. INTRO'!I$2="English","Co-funding share in full cost ","Medfinansieringsandel i full kostnad ")</f>
        <v xml:space="preserve">Co-funding share in full cost </v>
      </c>
      <c r="C578" s="143" t="str">
        <f t="shared" ref="C578:M578" si="119">IF(C576&gt;0,C568/C576,"")</f>
        <v/>
      </c>
      <c r="D578" s="143" t="str">
        <f t="shared" si="119"/>
        <v/>
      </c>
      <c r="E578" s="143" t="str">
        <f t="shared" si="119"/>
        <v/>
      </c>
      <c r="F578" s="143" t="str">
        <f t="shared" si="119"/>
        <v/>
      </c>
      <c r="G578" s="143" t="str">
        <f t="shared" si="119"/>
        <v/>
      </c>
      <c r="H578" s="143" t="str">
        <f t="shared" si="119"/>
        <v/>
      </c>
      <c r="I578" s="143" t="str">
        <f t="shared" si="119"/>
        <v/>
      </c>
      <c r="J578" s="143" t="str">
        <f t="shared" si="119"/>
        <v/>
      </c>
      <c r="K578" s="143" t="str">
        <f t="shared" si="119"/>
        <v/>
      </c>
      <c r="L578" s="143" t="str">
        <f t="shared" si="119"/>
        <v/>
      </c>
      <c r="M578" s="143" t="str">
        <f t="shared" si="119"/>
        <v/>
      </c>
    </row>
    <row r="579" spans="2:13" ht="12.75" customHeight="1" x14ac:dyDescent="0.2"/>
    <row r="580" spans="2:13" ht="12.75" customHeight="1" x14ac:dyDescent="0.25">
      <c r="D580" s="656" t="str">
        <f>IF('1. INTRO'!I$2="English","Co-funding need in average per year: ","Medfinansieringsbehov i genomsnitt per år: ")</f>
        <v xml:space="preserve">Co-funding need in average per year: </v>
      </c>
      <c r="E580" s="92" t="str">
        <f>IF(M568=0,"",M568/(DATEDIF('2. START'!C$18,'2. START'!C$19,"d")/365))</f>
        <v/>
      </c>
      <c r="H580" s="656" t="str">
        <f>IF('1. INTRO'!I$2="English","Co-funding need 1/3 of total: ","Medfinansieringsbehov 1/3 av totalt: ")</f>
        <v xml:space="preserve">Co-funding need 1/3 of total: </v>
      </c>
      <c r="I580" s="92">
        <f>M568/3</f>
        <v>0</v>
      </c>
      <c r="L580" s="287" t="str">
        <f>IF('1. INTRO'!I$2="English","Co-funding need total: ","Medfinansieringsbehov totalt: ")</f>
        <v xml:space="preserve">Co-funding need total: </v>
      </c>
      <c r="M580" s="92">
        <f>M568</f>
        <v>0</v>
      </c>
    </row>
    <row r="581" spans="2:13" ht="12.75" customHeight="1" x14ac:dyDescent="0.25">
      <c r="B581" s="53" t="str">
        <f>IF('1. INTRO'!I$2="English","Co-funding sources","Medfinansieringskällor")</f>
        <v>Co-funding sources</v>
      </c>
    </row>
    <row r="582" spans="2:13" ht="12.75" customHeight="1" x14ac:dyDescent="0.25">
      <c r="B582" s="225"/>
      <c r="C582" s="226"/>
      <c r="D582" s="226"/>
      <c r="E582" s="226"/>
      <c r="F582" s="226"/>
      <c r="G582" s="226"/>
      <c r="H582" s="226"/>
      <c r="I582" s="226"/>
      <c r="J582" s="226"/>
      <c r="K582" s="226"/>
      <c r="L582" s="227"/>
      <c r="M582" s="168">
        <f>SUM(C582:L582)</f>
        <v>0</v>
      </c>
    </row>
    <row r="583" spans="2:13" ht="12.75" customHeight="1" x14ac:dyDescent="0.25">
      <c r="B583" s="228"/>
      <c r="C583" s="229"/>
      <c r="D583" s="229"/>
      <c r="E583" s="229"/>
      <c r="F583" s="229"/>
      <c r="G583" s="229"/>
      <c r="H583" s="229"/>
      <c r="I583" s="229"/>
      <c r="J583" s="229"/>
      <c r="K583" s="229"/>
      <c r="L583" s="230"/>
      <c r="M583" s="727">
        <f t="shared" ref="M583:M586" si="120">SUM(C583:L583)</f>
        <v>0</v>
      </c>
    </row>
    <row r="584" spans="2:13" ht="12.75" customHeight="1" x14ac:dyDescent="0.25">
      <c r="B584" s="231"/>
      <c r="C584" s="232"/>
      <c r="D584" s="232"/>
      <c r="E584" s="232"/>
      <c r="F584" s="232"/>
      <c r="G584" s="232"/>
      <c r="H584" s="232"/>
      <c r="I584" s="232"/>
      <c r="J584" s="232"/>
      <c r="K584" s="232"/>
      <c r="L584" s="233"/>
      <c r="M584" s="117">
        <f t="shared" si="120"/>
        <v>0</v>
      </c>
    </row>
    <row r="585" spans="2:13" ht="12.75" customHeight="1" x14ac:dyDescent="0.25">
      <c r="B585" s="228"/>
      <c r="C585" s="229"/>
      <c r="D585" s="229"/>
      <c r="E585" s="229"/>
      <c r="F585" s="229"/>
      <c r="G585" s="229"/>
      <c r="H585" s="229"/>
      <c r="I585" s="229"/>
      <c r="J585" s="229"/>
      <c r="K585" s="229"/>
      <c r="L585" s="230"/>
      <c r="M585" s="727">
        <f t="shared" si="120"/>
        <v>0</v>
      </c>
    </row>
    <row r="586" spans="2:13" ht="12.75" customHeight="1" x14ac:dyDescent="0.25">
      <c r="B586" s="93"/>
      <c r="C586" s="232"/>
      <c r="D586" s="232"/>
      <c r="E586" s="232"/>
      <c r="F586" s="232"/>
      <c r="G586" s="232"/>
      <c r="H586" s="232"/>
      <c r="I586" s="232"/>
      <c r="J586" s="232"/>
      <c r="K586" s="232"/>
      <c r="L586" s="233"/>
      <c r="M586" s="117">
        <f t="shared" si="120"/>
        <v>0</v>
      </c>
    </row>
    <row r="587" spans="2:13" ht="12.75" customHeight="1" x14ac:dyDescent="0.25">
      <c r="B587" s="84" t="str">
        <f>IF('1. INTRO'!I$2="English","Total co-funding ","Total medfinansiering ")</f>
        <v xml:space="preserve">Total co-funding </v>
      </c>
      <c r="C587" s="87">
        <f t="shared" ref="C587:M587" si="121">SUM(C582:C586)</f>
        <v>0</v>
      </c>
      <c r="D587" s="87">
        <f t="shared" si="121"/>
        <v>0</v>
      </c>
      <c r="E587" s="87">
        <f t="shared" si="121"/>
        <v>0</v>
      </c>
      <c r="F587" s="87">
        <f t="shared" si="121"/>
        <v>0</v>
      </c>
      <c r="G587" s="87">
        <f t="shared" si="121"/>
        <v>0</v>
      </c>
      <c r="H587" s="87">
        <f t="shared" si="121"/>
        <v>0</v>
      </c>
      <c r="I587" s="87">
        <f t="shared" si="121"/>
        <v>0</v>
      </c>
      <c r="J587" s="87">
        <f t="shared" si="121"/>
        <v>0</v>
      </c>
      <c r="K587" s="87">
        <f t="shared" si="121"/>
        <v>0</v>
      </c>
      <c r="L587" s="87">
        <f t="shared" si="121"/>
        <v>0</v>
      </c>
      <c r="M587" s="142">
        <f t="shared" si="121"/>
        <v>0</v>
      </c>
    </row>
    <row r="588" spans="2:13" ht="12.75" customHeight="1" x14ac:dyDescent="0.2"/>
    <row r="589" spans="2:13" ht="12.75" customHeight="1" x14ac:dyDescent="0.2">
      <c r="B589" s="667" t="str">
        <f>IF('1. INTRO'!I$2="English","Calculation comments","Kalkylkommentarer")</f>
        <v>Calculation comments</v>
      </c>
    </row>
    <row r="590" spans="2:13" ht="12.75" customHeight="1" x14ac:dyDescent="0.2">
      <c r="B590" s="1142"/>
      <c r="C590" s="1143"/>
      <c r="D590" s="1143"/>
      <c r="E590" s="1143"/>
      <c r="F590" s="1143"/>
      <c r="G590" s="1143"/>
      <c r="H590" s="1143"/>
      <c r="I590" s="1143"/>
      <c r="J590" s="1143"/>
      <c r="K590" s="1143"/>
      <c r="L590" s="1143"/>
      <c r="M590" s="1144"/>
    </row>
    <row r="591" spans="2:13" ht="12.75" customHeight="1" x14ac:dyDescent="0.2">
      <c r="B591" s="1145"/>
      <c r="C591" s="1226"/>
      <c r="D591" s="1226"/>
      <c r="E591" s="1226"/>
      <c r="F591" s="1226"/>
      <c r="G591" s="1226"/>
      <c r="H591" s="1226"/>
      <c r="I591" s="1226"/>
      <c r="J591" s="1226"/>
      <c r="K591" s="1226"/>
      <c r="L591" s="1226"/>
      <c r="M591" s="1147"/>
    </row>
    <row r="592" spans="2:13" ht="12.75" customHeight="1" x14ac:dyDescent="0.2">
      <c r="B592" s="1145"/>
      <c r="C592" s="1226"/>
      <c r="D592" s="1226"/>
      <c r="E592" s="1226"/>
      <c r="F592" s="1226"/>
      <c r="G592" s="1226"/>
      <c r="H592" s="1226"/>
      <c r="I592" s="1226"/>
      <c r="J592" s="1226"/>
      <c r="K592" s="1226"/>
      <c r="L592" s="1226"/>
      <c r="M592" s="1147"/>
    </row>
    <row r="593" spans="2:15" ht="12.75" customHeight="1" x14ac:dyDescent="0.2">
      <c r="B593" s="1145"/>
      <c r="C593" s="1226"/>
      <c r="D593" s="1226"/>
      <c r="E593" s="1226"/>
      <c r="F593" s="1226"/>
      <c r="G593" s="1226"/>
      <c r="H593" s="1226"/>
      <c r="I593" s="1226"/>
      <c r="J593" s="1226"/>
      <c r="K593" s="1226"/>
      <c r="L593" s="1226"/>
      <c r="M593" s="1147"/>
    </row>
    <row r="594" spans="2:15" ht="12.75" customHeight="1" x14ac:dyDescent="0.2">
      <c r="B594" s="1148"/>
      <c r="C594" s="1149"/>
      <c r="D594" s="1149"/>
      <c r="E594" s="1149"/>
      <c r="F594" s="1149"/>
      <c r="G594" s="1149"/>
      <c r="H594" s="1149"/>
      <c r="I594" s="1149"/>
      <c r="J594" s="1149"/>
      <c r="K594" s="1149"/>
      <c r="L594" s="1149"/>
      <c r="M594" s="1150"/>
    </row>
    <row r="596" spans="2:15" s="3" customFormat="1" ht="12.75" customHeight="1" x14ac:dyDescent="0.25">
      <c r="B596" s="313" t="str">
        <f>'3. PARTNER'!C$4</f>
        <v xml:space="preserve">Project: </v>
      </c>
      <c r="C596" s="1062" t="str">
        <f>'3. PARTNER'!D$4</f>
        <v/>
      </c>
      <c r="D596" s="1001"/>
      <c r="E596" s="1001"/>
      <c r="F596" s="1001"/>
      <c r="G596" s="1001"/>
      <c r="H596" s="1001"/>
      <c r="I596" s="1001"/>
      <c r="J596" s="1001"/>
      <c r="K596" s="1001"/>
      <c r="L596" s="1001"/>
      <c r="M596" s="1001"/>
    </row>
    <row r="597" spans="2:15" s="3" customFormat="1" ht="13.2" x14ac:dyDescent="0.25">
      <c r="B597" s="313" t="str">
        <f>'3. PARTNER'!C$5</f>
        <v xml:space="preserve">Calculation for: </v>
      </c>
      <c r="C597" s="1062" t="str">
        <f>'3. PARTNER'!D$5</f>
        <v>APPLICATION</v>
      </c>
      <c r="D597" s="1001"/>
      <c r="E597" s="268"/>
      <c r="F597" s="268"/>
      <c r="G597" s="268"/>
      <c r="H597" s="268"/>
      <c r="I597" s="268"/>
      <c r="J597" s="268"/>
      <c r="K597" s="268"/>
      <c r="L597" s="268"/>
      <c r="M597" s="268"/>
    </row>
    <row r="598" spans="2:15" s="3" customFormat="1" ht="13.2" x14ac:dyDescent="0.25">
      <c r="B598" s="35" t="str">
        <f>'3. PARTNER'!C$6</f>
        <v xml:space="preserve">Project leader: </v>
      </c>
      <c r="C598" s="1062" t="str">
        <f>'3. PARTNER'!D$6</f>
        <v/>
      </c>
      <c r="D598" s="1001"/>
      <c r="E598" s="1001"/>
      <c r="F598" s="1001"/>
      <c r="G598" s="1001"/>
      <c r="H598" s="1001"/>
      <c r="I598" s="1001"/>
      <c r="J598" s="1001"/>
      <c r="K598" s="1001"/>
      <c r="L598" s="1001"/>
      <c r="M598" s="1001"/>
    </row>
    <row r="599" spans="2:15" s="3" customFormat="1" ht="13.2" x14ac:dyDescent="0.25">
      <c r="B599" s="313" t="str">
        <f>'5. PERSON'!B$7</f>
        <v xml:space="preserve">Amounts in: </v>
      </c>
      <c r="C599" s="655" t="str">
        <f>'5. PERSON'!C$7</f>
        <v>SEK</v>
      </c>
      <c r="D599" s="268"/>
      <c r="E599" s="268"/>
      <c r="F599" s="268"/>
      <c r="G599" s="234"/>
      <c r="H599" s="234"/>
      <c r="I599" s="270"/>
      <c r="J599" s="270"/>
      <c r="K599" s="270"/>
      <c r="L599" s="270"/>
      <c r="M599" s="270"/>
    </row>
    <row r="600" spans="2:15" s="3" customFormat="1" ht="13.2" x14ac:dyDescent="0.25">
      <c r="B600" s="313"/>
      <c r="C600" s="1053" t="str">
        <f>'3. PARTNER'!D$7</f>
        <v>Other basic data about the project is in sheet 2.</v>
      </c>
      <c r="D600" s="1001"/>
      <c r="E600" s="1001"/>
      <c r="F600" s="1001"/>
      <c r="G600" s="234"/>
      <c r="H600" s="234"/>
      <c r="I600" s="270"/>
      <c r="J600" s="270"/>
      <c r="K600" s="270"/>
      <c r="L600" s="251" t="s">
        <v>4</v>
      </c>
      <c r="M600" s="270"/>
    </row>
    <row r="601" spans="2:15" ht="12.75" customHeight="1" x14ac:dyDescent="0.2">
      <c r="J601" s="252" t="s">
        <v>322</v>
      </c>
      <c r="K601" s="252" t="s">
        <v>323</v>
      </c>
      <c r="L601" s="252" t="str">
        <f>IF('1. INTRO'!I$2="English","months","månader")</f>
        <v>months</v>
      </c>
    </row>
    <row r="602" spans="2:15" s="3" customFormat="1" ht="13.8" x14ac:dyDescent="0.25">
      <c r="B602" s="157" t="str">
        <f>IF('1. INTRO'!I$2="English","Project costs","Projektkostnader")</f>
        <v>Project costs</v>
      </c>
      <c r="C602" s="668" t="str">
        <f>A25</f>
        <v>280NJ</v>
      </c>
      <c r="D602" s="1227" t="str">
        <f>B25</f>
        <v>Aquatic Sciences and Assessment</v>
      </c>
      <c r="E602" s="1001"/>
      <c r="F602" s="1004"/>
      <c r="G602" s="1004"/>
      <c r="H602" s="37"/>
      <c r="I602" s="37"/>
      <c r="J602" s="643"/>
      <c r="K602" s="643"/>
      <c r="L602" s="642">
        <f>SUMIF('5. PERSON'!$B$17:$B$192,$C602,'5. PERSON'!AE$17:AE$192)</f>
        <v>0</v>
      </c>
      <c r="M602" s="680" t="s">
        <v>330</v>
      </c>
    </row>
    <row r="603" spans="2:15" s="3" customFormat="1" ht="6" customHeight="1" x14ac:dyDescent="0.25">
      <c r="B603" s="57"/>
      <c r="C603" s="37"/>
      <c r="D603" s="37"/>
      <c r="E603" s="37"/>
      <c r="F603" s="37"/>
      <c r="G603" s="37"/>
      <c r="H603" s="37"/>
      <c r="I603" s="37"/>
      <c r="J603" s="37"/>
      <c r="K603" s="37"/>
      <c r="L603" s="37"/>
      <c r="M603" s="37"/>
    </row>
    <row r="604" spans="2:15" s="3" customFormat="1" ht="13.2" x14ac:dyDescent="0.25">
      <c r="B604" s="110" t="str">
        <f>IF('1. INTRO'!I$2="English","Costs to be covered by funding body","Kostnader att täckas av finansiär")</f>
        <v>Costs to be covered by funding body</v>
      </c>
      <c r="C604" s="111">
        <f>'5. PERSON'!G$15</f>
        <v>1900</v>
      </c>
      <c r="D604" s="111" t="str">
        <f>'5. PERSON'!H$15</f>
        <v/>
      </c>
      <c r="E604" s="111" t="str">
        <f>'5. PERSON'!I$15</f>
        <v/>
      </c>
      <c r="F604" s="111" t="str">
        <f>'5. PERSON'!J$15</f>
        <v/>
      </c>
      <c r="G604" s="111" t="str">
        <f>'5. PERSON'!K$15</f>
        <v/>
      </c>
      <c r="H604" s="111" t="str">
        <f>'5. PERSON'!L$15</f>
        <v/>
      </c>
      <c r="I604" s="111" t="str">
        <f>'5. PERSON'!M$15</f>
        <v/>
      </c>
      <c r="J604" s="111" t="str">
        <f>'5. PERSON'!N$15</f>
        <v/>
      </c>
      <c r="K604" s="111" t="str">
        <f>'5. PERSON'!O$15</f>
        <v/>
      </c>
      <c r="L604" s="111" t="str">
        <f>'5. PERSON'!P$15</f>
        <v/>
      </c>
      <c r="M604" s="112" t="s">
        <v>2</v>
      </c>
    </row>
    <row r="605" spans="2:15" s="3" customFormat="1" ht="12.75" customHeight="1" x14ac:dyDescent="0.25">
      <c r="B605" s="722" t="str">
        <f>IF('1. INTRO'!I$2="English","Salary including social costs (LKP)","Lön inklusive LKP")</f>
        <v>Salary including social costs (LKP)</v>
      </c>
      <c r="C605" s="723">
        <f>IF('2. START'!$C$14&gt;0,SUMIF('5. PERSON'!$B$17:$B$192,$C602,'5. PERSON'!DN$17:DN$192),SUMIF('5. PERSON'!$B$17:$B$192,$C602,'5. PERSON'!AT$17:AT$192))</f>
        <v>0</v>
      </c>
      <c r="D605" s="723">
        <f>IF('2. START'!$C$14&gt;0,SUMIF('5. PERSON'!$B$17:$B$192,$C602,'5. PERSON'!DO$17:DO$192),SUMIF('5. PERSON'!$B$17:$B$192,$C602,'5. PERSON'!AU$17:AU$192))</f>
        <v>0</v>
      </c>
      <c r="E605" s="723">
        <f>IF('2. START'!$C$14&gt;0,SUMIF('5. PERSON'!$B$17:$B$192,$C602,'5. PERSON'!DP$17:DP$192),SUMIF('5. PERSON'!$B$17:$B$192,$C602,'5. PERSON'!AV$17:AV$192))</f>
        <v>0</v>
      </c>
      <c r="F605" s="723">
        <f>IF('2. START'!$C$14&gt;0,SUMIF('5. PERSON'!$B$17:$B$192,$C602,'5. PERSON'!DQ$17:DQ$192),SUMIF('5. PERSON'!$B$17:$B$192,$C602,'5. PERSON'!AW$17:AW$192))</f>
        <v>0</v>
      </c>
      <c r="G605" s="723">
        <f>IF('2. START'!$C$14&gt;0,SUMIF('5. PERSON'!$B$17:$B$192,$C602,'5. PERSON'!DR$17:DR$192),SUMIF('5. PERSON'!$B$17:$B$192,$C602,'5. PERSON'!AX$17:AX$192))</f>
        <v>0</v>
      </c>
      <c r="H605" s="723">
        <f>IF('2. START'!$C$14&gt;0,SUMIF('5. PERSON'!$B$17:$B$192,$C602,'5. PERSON'!DS$17:DS$192),SUMIF('5. PERSON'!$B$17:$B$192,$C602,'5. PERSON'!AY$17:AY$192))</f>
        <v>0</v>
      </c>
      <c r="I605" s="723">
        <f>IF('2. START'!$C$14&gt;0,SUMIF('5. PERSON'!$B$17:$B$192,$C602,'5. PERSON'!DT$17:DT$192),SUMIF('5. PERSON'!$B$17:$B$192,$C602,'5. PERSON'!AZ$17:AZ$192))</f>
        <v>0</v>
      </c>
      <c r="J605" s="723">
        <f>IF('2. START'!$C$14&gt;0,SUMIF('5. PERSON'!$B$17:$B$192,$C602,'5. PERSON'!DU$17:DU$192),SUMIF('5. PERSON'!$B$17:$B$192,$C602,'5. PERSON'!BA$17:BA$192))</f>
        <v>0</v>
      </c>
      <c r="K605" s="723">
        <f>IF('2. START'!$C$14&gt;0,SUMIF('5. PERSON'!$B$17:$B$192,$C602,'5. PERSON'!DV$17:DV$192),SUMIF('5. PERSON'!$B$17:$B$192,$C602,'5. PERSON'!BB$17:BB$192))</f>
        <v>0</v>
      </c>
      <c r="L605" s="723">
        <f>IF('2. START'!$C$14&gt;0,SUMIF('5. PERSON'!$B$17:$B$192,$C602,'5. PERSON'!DW$17:DW$192),SUMIF('5. PERSON'!$B$17:$B$192,$C602,'5. PERSON'!BC$17:BC$192))</f>
        <v>0</v>
      </c>
      <c r="M605" s="724">
        <f t="shared" ref="M605:M610" si="122">SUM(C605:L605)</f>
        <v>0</v>
      </c>
      <c r="O605" s="4"/>
    </row>
    <row r="606" spans="2:15" s="3" customFormat="1" ht="12.75" customHeight="1" x14ac:dyDescent="0.25">
      <c r="B606" s="80" t="str">
        <f>IF('1. INTRO'!I$2="English","Operating","Drift")</f>
        <v>Operating</v>
      </c>
      <c r="C606" s="116">
        <f>SUMIF('6. OPERATION'!$B$17:$B$149,$C602,'6. OPERATION'!W$17:W$149)</f>
        <v>0</v>
      </c>
      <c r="D606" s="116">
        <f>SUMIF('6. OPERATION'!$B$17:$B$149,$C602,'6. OPERATION'!X$17:X$149)</f>
        <v>0</v>
      </c>
      <c r="E606" s="116">
        <f>SUMIF('6. OPERATION'!$B$17:$B$149,$C602,'6. OPERATION'!Y$17:Y$149)</f>
        <v>0</v>
      </c>
      <c r="F606" s="116">
        <f>SUMIF('6. OPERATION'!$B$17:$B$149,$C602,'6. OPERATION'!Z$17:Z$149)</f>
        <v>0</v>
      </c>
      <c r="G606" s="116">
        <f>SUMIF('6. OPERATION'!$B$17:$B$149,$C602,'6. OPERATION'!AA$17:AA$149)</f>
        <v>0</v>
      </c>
      <c r="H606" s="116">
        <f>SUMIF('6. OPERATION'!$B$17:$B$149,$C602,'6. OPERATION'!AB$17:AB$149)</f>
        <v>0</v>
      </c>
      <c r="I606" s="116">
        <f>SUMIF('6. OPERATION'!$B$17:$B$149,$C602,'6. OPERATION'!AC$17:AC$149)</f>
        <v>0</v>
      </c>
      <c r="J606" s="116">
        <f>SUMIF('6. OPERATION'!$B$17:$B$149,$C602,'6. OPERATION'!AD$17:AD$149)</f>
        <v>0</v>
      </c>
      <c r="K606" s="116">
        <f>SUMIF('6. OPERATION'!$B$17:$B$149,$C602,'6. OPERATION'!AE$17:AE$149)</f>
        <v>0</v>
      </c>
      <c r="L606" s="116">
        <f>SUMIF('6. OPERATION'!$B$17:$B$149,$C602,'6. OPERATION'!AF$17:AF$149)</f>
        <v>0</v>
      </c>
      <c r="M606" s="117">
        <f t="shared" si="122"/>
        <v>0</v>
      </c>
    </row>
    <row r="607" spans="2:15" s="3" customFormat="1" ht="13.2" x14ac:dyDescent="0.25">
      <c r="B607" s="725" t="str">
        <f>IF('1. INTRO'!I$2="English","Equipment","Utrustning")</f>
        <v>Equipment</v>
      </c>
      <c r="C607" s="726">
        <f>SUMIF('7. INVEST'!$B$17:$B$49,$C602,'7. INVEST'!W$17:W$49)</f>
        <v>0</v>
      </c>
      <c r="D607" s="726">
        <f>SUMIF('7. INVEST'!$B$17:$B$49,$C602,'7. INVEST'!X$17:X$49)</f>
        <v>0</v>
      </c>
      <c r="E607" s="726">
        <f>SUMIF('7. INVEST'!$B$17:$B$49,$C602,'7. INVEST'!Y$17:Y$49)</f>
        <v>0</v>
      </c>
      <c r="F607" s="726">
        <f>SUMIF('7. INVEST'!$B$17:$B$49,$C602,'7. INVEST'!Z$17:Z$49)</f>
        <v>0</v>
      </c>
      <c r="G607" s="726">
        <f>SUMIF('7. INVEST'!$B$17:$B$49,$C602,'7. INVEST'!AA$17:AA$49)</f>
        <v>0</v>
      </c>
      <c r="H607" s="726">
        <f>SUMIF('7. INVEST'!$B$17:$B$49,$C602,'7. INVEST'!AB$17:AB$49)</f>
        <v>0</v>
      </c>
      <c r="I607" s="726">
        <f>SUMIF('7. INVEST'!$B$17:$B$49,$C602,'7. INVEST'!AC$17:AC$49)</f>
        <v>0</v>
      </c>
      <c r="J607" s="726">
        <f>SUMIF('7. INVEST'!$B$17:$B$49,$C602,'7. INVEST'!AD$17:AD$49)</f>
        <v>0</v>
      </c>
      <c r="K607" s="726">
        <f>SUMIF('7. INVEST'!$B$17:$B$49,$C602,'7. INVEST'!AE$17:AE$49)</f>
        <v>0</v>
      </c>
      <c r="L607" s="726">
        <f>SUMIF('7. INVEST'!$B$17:$B$49,$C602,'7. INVEST'!AF$17:AF$49)</f>
        <v>0</v>
      </c>
      <c r="M607" s="727">
        <f t="shared" si="122"/>
        <v>0</v>
      </c>
    </row>
    <row r="608" spans="2:15" s="3" customFormat="1" ht="13.2" x14ac:dyDescent="0.25">
      <c r="B608" s="121" t="str">
        <f>IF('1. INTRO'!I$2="English",(IF('2. START'!C$11="NO","Facility accepted as direct cost by funding body","Facility")),IF('2. START'!C$11="NO","Lokal accepterad som direkt kostnad av finansiär","Lokal"))</f>
        <v>Facility</v>
      </c>
      <c r="C608" s="116">
        <f>IF('2. START'!$C$11="NO",SUMIF('8. FACILIT'!$B$18:$B$50,$C602,'8. FACILIT'!T$18:T$50),SUMIF('5. PERSON'!$B$17:$B$192,$C602,'5. PERSON'!CP$17:CP$192)+SUMIF('6. OPERATION'!$B$17:$B$149,$C602,'6. OPERATION'!BS$17:BS$149)+SUMIF('8. FACILIT'!$B$18:$B$50,$C602,'8. FACILIT'!T$18:T$50))</f>
        <v>0</v>
      </c>
      <c r="D608" s="116">
        <f>IF('2. START'!$C$11="NO",SUMIF('8. FACILIT'!$B$18:$B$50,$C602,'8. FACILIT'!U$18:U$50),SUMIF('5. PERSON'!$B$17:$B$192,$C602,'5. PERSON'!CQ$17:CQ$192)+SUMIF('6. OPERATION'!$B$17:$B$149,$C602,'6. OPERATION'!BT$17:BT$149)+SUMIF('8. FACILIT'!$B$18:$B$50,$C602,'8. FACILIT'!U$18:U$50))</f>
        <v>0</v>
      </c>
      <c r="E608" s="116">
        <f>IF('2. START'!$C$11="NO",SUMIF('8. FACILIT'!$B$18:$B$50,$C602,'8. FACILIT'!V$18:V$50),SUMIF('5. PERSON'!$B$17:$B$192,$C602,'5. PERSON'!CR$17:CR$192)+SUMIF('6. OPERATION'!$B$17:$B$149,$C602,'6. OPERATION'!BU$17:BU$149)+SUMIF('8. FACILIT'!$B$18:$B$50,$C602,'8. FACILIT'!V$18:V$50))</f>
        <v>0</v>
      </c>
      <c r="F608" s="116">
        <f>IF('2. START'!$C$11="NO",SUMIF('8. FACILIT'!$B$18:$B$50,$C602,'8. FACILIT'!W$18:W$50),SUMIF('5. PERSON'!$B$17:$B$192,$C602,'5. PERSON'!CS$17:CS$192)+SUMIF('6. OPERATION'!$B$17:$B$149,$C602,'6. OPERATION'!BV$17:BV$149)+SUMIF('8. FACILIT'!$B$18:$B$50,$C602,'8. FACILIT'!W$18:W$50))</f>
        <v>0</v>
      </c>
      <c r="G608" s="116">
        <f>IF('2. START'!$C$11="NO",SUMIF('8. FACILIT'!$B$18:$B$50,$C602,'8. FACILIT'!X$18:X$50),SUMIF('5. PERSON'!$B$17:$B$192,$C602,'5. PERSON'!CT$17:CT$192)+SUMIF('6. OPERATION'!$B$17:$B$149,$C602,'6. OPERATION'!BW$17:BW$149)+SUMIF('8. FACILIT'!$B$18:$B$50,$C602,'8. FACILIT'!X$18:X$50))</f>
        <v>0</v>
      </c>
      <c r="H608" s="116">
        <f>IF('2. START'!$C$11="NO",SUMIF('8. FACILIT'!$B$18:$B$50,$C602,'8. FACILIT'!Y$18:Y$50),SUMIF('5. PERSON'!$B$17:$B$192,$C602,'5. PERSON'!CU$17:CU$192)+SUMIF('6. OPERATION'!$B$17:$B$149,$C602,'6. OPERATION'!BX$17:BX$149)+SUMIF('8. FACILIT'!$B$18:$B$50,$C602,'8. FACILIT'!Y$18:Y$50))</f>
        <v>0</v>
      </c>
      <c r="I608" s="116">
        <f>IF('2. START'!$C$11="NO",SUMIF('8. FACILIT'!$B$18:$B$50,$C602,'8. FACILIT'!Z$18:Z$50),SUMIF('5. PERSON'!$B$17:$B$192,$C602,'5. PERSON'!CV$17:CV$192)+SUMIF('6. OPERATION'!$B$17:$B$149,$C602,'6. OPERATION'!BY$17:BY$149)+SUMIF('8. FACILIT'!$B$18:$B$50,$C602,'8. FACILIT'!Z$18:Z$50))</f>
        <v>0</v>
      </c>
      <c r="J608" s="116">
        <f>IF('2. START'!$C$11="NO",SUMIF('8. FACILIT'!$B$18:$B$50,$C602,'8. FACILIT'!AA$18:AA$50),SUMIF('5. PERSON'!$B$17:$B$192,$C602,'5. PERSON'!CW$17:CW$192)+SUMIF('6. OPERATION'!$B$17:$B$149,$C602,'6. OPERATION'!BZ$17:BZ$149)+SUMIF('8. FACILIT'!$B$18:$B$50,$C602,'8. FACILIT'!AA$18:AA$50))</f>
        <v>0</v>
      </c>
      <c r="K608" s="116">
        <f>IF('2. START'!$C$11="NO",SUMIF('8. FACILIT'!$B$18:$B$50,$C602,'8. FACILIT'!AB$18:AB$50),SUMIF('5. PERSON'!$B$17:$B$192,$C602,'5. PERSON'!CX$17:CX$192)+SUMIF('6. OPERATION'!$B$17:$B$149,$C602,'6. OPERATION'!CA$17:CA$149)+SUMIF('8. FACILIT'!$B$18:$B$50,$C602,'8. FACILIT'!AB$18:AB$50))</f>
        <v>0</v>
      </c>
      <c r="L608" s="116">
        <f>IF('2. START'!$C$11="NO",SUMIF('8. FACILIT'!$B$18:$B$50,$C602,'8. FACILIT'!AC$18:AC$50),SUMIF('5. PERSON'!$B$17:$B$192,$C602,'5. PERSON'!CY$17:CY$192)+SUMIF('6. OPERATION'!$B$17:$B$149,$C602,'6. OPERATION'!CB$17:CB$149)+SUMIF('8. FACILIT'!$B$18:$B$50,$C602,'8. FACILIT'!AC$18:AC$50))</f>
        <v>0</v>
      </c>
      <c r="M608" s="117">
        <f t="shared" si="122"/>
        <v>0</v>
      </c>
    </row>
    <row r="609" spans="2:15" s="3" customFormat="1" ht="13.2" x14ac:dyDescent="0.25">
      <c r="B609" s="728" t="str">
        <f>IF('1. INTRO'!I$2="English",(IF('2. START'!C$11="NO","Indirect and facility charge accepted as OH by funding body","Indirect")),IF('2. START'!C$11="NO","Indirekt och lokalpåslag accepterade som OH av finansiär","Indirekt"))</f>
        <v>Indirect</v>
      </c>
      <c r="C609" s="729">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729">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729">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729">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729">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729">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729">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729">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729">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729">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727">
        <f t="shared" si="122"/>
        <v>0</v>
      </c>
    </row>
    <row r="610" spans="2:15" s="3" customFormat="1" ht="13.2" x14ac:dyDescent="0.25">
      <c r="B610" s="124" t="s">
        <v>113</v>
      </c>
      <c r="C610" s="102">
        <f>SUM(C605:C609)</f>
        <v>0</v>
      </c>
      <c r="D610" s="102">
        <f t="shared" ref="D610:L610" si="123">SUM(D605:D609)</f>
        <v>0</v>
      </c>
      <c r="E610" s="102">
        <f t="shared" si="123"/>
        <v>0</v>
      </c>
      <c r="F610" s="102">
        <f t="shared" si="123"/>
        <v>0</v>
      </c>
      <c r="G610" s="102">
        <f t="shared" si="123"/>
        <v>0</v>
      </c>
      <c r="H610" s="102">
        <f t="shared" si="123"/>
        <v>0</v>
      </c>
      <c r="I610" s="102">
        <f t="shared" si="123"/>
        <v>0</v>
      </c>
      <c r="J610" s="102">
        <f t="shared" si="123"/>
        <v>0</v>
      </c>
      <c r="K610" s="102">
        <f t="shared" si="123"/>
        <v>0</v>
      </c>
      <c r="L610" s="102">
        <f t="shared" si="123"/>
        <v>0</v>
      </c>
      <c r="M610" s="125">
        <f t="shared" si="122"/>
        <v>0</v>
      </c>
    </row>
    <row r="611" spans="2:15" s="3" customFormat="1" ht="6" customHeight="1" x14ac:dyDescent="0.25">
      <c r="B611" s="126"/>
      <c r="C611" s="127"/>
      <c r="D611" s="127"/>
      <c r="E611" s="127"/>
      <c r="F611" s="127"/>
      <c r="G611" s="127"/>
      <c r="H611" s="127"/>
      <c r="I611" s="127"/>
      <c r="J611" s="127"/>
      <c r="K611" s="127"/>
      <c r="L611" s="127"/>
      <c r="M611" s="128"/>
    </row>
    <row r="612" spans="2:15" s="3" customFormat="1" ht="13.2" x14ac:dyDescent="0.25">
      <c r="B612" s="129" t="str">
        <f>IF('1. INTRO'!I$2="English","Costs to be co-funded","Kostnader att medfinansiera")</f>
        <v>Costs to be co-funded</v>
      </c>
      <c r="C612" s="86"/>
      <c r="D612" s="86"/>
      <c r="E612" s="86"/>
      <c r="F612" s="86"/>
      <c r="G612" s="86"/>
      <c r="H612" s="86"/>
      <c r="I612" s="86"/>
      <c r="J612" s="86"/>
      <c r="K612" s="86"/>
      <c r="L612" s="86"/>
      <c r="M612" s="130"/>
    </row>
    <row r="613" spans="2:15" s="3" customFormat="1" ht="13.2" x14ac:dyDescent="0.25">
      <c r="B613" s="730" t="str">
        <f>IF('1. INTRO'!I$2="English",(IF('2. START'!C$11="NO","Indirect and facility charge not accepted as OH by funding body","")),IF('2. START'!C$11="NO","Indirekt och lokalpåslag inte accepterade som OH av finansiär",""))</f>
        <v/>
      </c>
      <c r="C613" s="731">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731">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731">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731">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731">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731">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731">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731">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731">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731">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724">
        <f t="shared" ref="M613:M619" si="124">SUM(C613:L613)</f>
        <v>0</v>
      </c>
    </row>
    <row r="614" spans="2:15" s="3" customFormat="1" ht="12.75" customHeight="1" x14ac:dyDescent="0.25">
      <c r="B614" s="132" t="str">
        <f>IF('1. INTRO'!I$2="English",(IF('2. START'!C$14&gt;0,"Social costs (LKP) not accepted by funding body","")),IF('2. START'!C$14&gt;0,"LKP som inte accepteras av finansiär",""))</f>
        <v/>
      </c>
      <c r="C614" s="133">
        <f>IF('2. START'!$C$14&gt;0,SUMIF('5. PERSON'!$B$17:$B$192,$C602,'5. PERSON'!AT$17:AT$192)-SUMIF('5. PERSON'!$B$17:$B$192,$C602,'5. PERSON'!DN$17:DN$192),0)</f>
        <v>0</v>
      </c>
      <c r="D614" s="133">
        <f>IF('2. START'!$C$14&gt;0,SUMIF('5. PERSON'!$B$17:$B$192,$C602,'5. PERSON'!AU$17:AU$192)-SUMIF('5. PERSON'!$B$17:$B$192,$C602,'5. PERSON'!DO$17:DO$192),0)</f>
        <v>0</v>
      </c>
      <c r="E614" s="133">
        <f>IF('2. START'!$C$14&gt;0,SUMIF('5. PERSON'!$B$17:$B$192,$C602,'5. PERSON'!AV$17:AV$192)-SUMIF('5. PERSON'!$B$17:$B$192,$C602,'5. PERSON'!DP$17:DP$192),0)</f>
        <v>0</v>
      </c>
      <c r="F614" s="133">
        <f>IF('2. START'!$C$14&gt;0,SUMIF('5. PERSON'!$B$17:$B$192,$C602,'5. PERSON'!AW$17:AW$192)-SUMIF('5. PERSON'!$B$17:$B$192,$C602,'5. PERSON'!DQ$17:DQ$192),0)</f>
        <v>0</v>
      </c>
      <c r="G614" s="133">
        <f>IF('2. START'!$C$14&gt;0,SUMIF('5. PERSON'!$B$17:$B$192,$C602,'5. PERSON'!AX$17:AX$192)-SUMIF('5. PERSON'!$B$17:$B$192,$C602,'5. PERSON'!DR$17:DR$192),0)</f>
        <v>0</v>
      </c>
      <c r="H614" s="133">
        <f>IF('2. START'!$C$14&gt;0,SUMIF('5. PERSON'!$B$17:$B$192,$C602,'5. PERSON'!AY$17:AY$192)-SUMIF('5. PERSON'!$B$17:$B$192,$C602,'5. PERSON'!DS$17:DS$192),0)</f>
        <v>0</v>
      </c>
      <c r="I614" s="133">
        <f>IF('2. START'!$C$14&gt;0,SUMIF('5. PERSON'!$B$17:$B$192,$C602,'5. PERSON'!AZ$17:AZ$192)-SUMIF('5. PERSON'!$B$17:$B$192,$C602,'5. PERSON'!DT$17:DT$192),0)</f>
        <v>0</v>
      </c>
      <c r="J614" s="133">
        <f>IF('2. START'!$C$14&gt;0,SUMIF('5. PERSON'!$B$17:$B$192,$C602,'5. PERSON'!BA$17:BA$192)-SUMIF('5. PERSON'!$B$17:$B$192,$C602,'5. PERSON'!DU$17:DU$192),0)</f>
        <v>0</v>
      </c>
      <c r="K614" s="133">
        <f>IF('2. START'!$C$14&gt;0,SUMIF('5. PERSON'!$B$17:$B$192,$C602,'5. PERSON'!BB$17:BB$192)-SUMIF('5. PERSON'!$B$17:$B$192,$C602,'5. PERSON'!DV$17:DV$192),0)</f>
        <v>0</v>
      </c>
      <c r="L614" s="133">
        <f>IF('2. START'!$C$14&gt;0,SUMIF('5. PERSON'!$B$17:$B$192,$C602,'5. PERSON'!BC$17:BC$192)-SUMIF('5. PERSON'!$B$17:$B$192,$C602,'5. PERSON'!DW$17:DW$192),0)</f>
        <v>0</v>
      </c>
      <c r="M614" s="117">
        <f t="shared" si="124"/>
        <v>0</v>
      </c>
    </row>
    <row r="615" spans="2:15" s="3" customFormat="1" ht="12.75" customHeight="1" x14ac:dyDescent="0.25">
      <c r="B615" s="725" t="str">
        <f>IF('1. INTRO'!I$2="English",(IF('5. PERSON'!BP$193&gt;0,"Salary including social costs (LKP)","")),IF('5. PERSON'!BP$193&gt;0,"Lön inklusive LKP",""))</f>
        <v/>
      </c>
      <c r="C615" s="732">
        <f>SUMIF('5. PERSON'!$B$17:$B$192,$C602,'5. PERSON'!BF$17:BF$192)</f>
        <v>0</v>
      </c>
      <c r="D615" s="732">
        <f>SUMIF('5. PERSON'!$B$17:$B$192,$C602,'5. PERSON'!BG$17:BG$192)</f>
        <v>0</v>
      </c>
      <c r="E615" s="732">
        <f>SUMIF('5. PERSON'!$B$17:$B$192,$C602,'5. PERSON'!BH$17:BH$192)</f>
        <v>0</v>
      </c>
      <c r="F615" s="732">
        <f>SUMIF('5. PERSON'!$B$17:$B$192,$C602,'5. PERSON'!BI$17:BI$192)</f>
        <v>0</v>
      </c>
      <c r="G615" s="732">
        <f>SUMIF('5. PERSON'!$B$17:$B$192,$C602,'5. PERSON'!BJ$17:BJ$192)</f>
        <v>0</v>
      </c>
      <c r="H615" s="732">
        <f>SUMIF('5. PERSON'!$B$17:$B$192,$C602,'5. PERSON'!BK$17:BK$192)</f>
        <v>0</v>
      </c>
      <c r="I615" s="732">
        <f>SUMIF('5. PERSON'!$B$17:$B$192,$C602,'5. PERSON'!BL$17:BL$192)</f>
        <v>0</v>
      </c>
      <c r="J615" s="732">
        <f>SUMIF('5. PERSON'!$B$17:$B$192,$C602,'5. PERSON'!BM$17:BM$192)</f>
        <v>0</v>
      </c>
      <c r="K615" s="732">
        <f>SUMIF('5. PERSON'!$B$17:$B$192,$C602,'5. PERSON'!BN$17:BN$192)</f>
        <v>0</v>
      </c>
      <c r="L615" s="732">
        <f>SUMIF('5. PERSON'!$B$17:$B$192,$C602,'5. PERSON'!BO$17:BO$192)</f>
        <v>0</v>
      </c>
      <c r="M615" s="727">
        <f t="shared" si="124"/>
        <v>0</v>
      </c>
    </row>
    <row r="616" spans="2:15" s="3" customFormat="1" ht="13.2" x14ac:dyDescent="0.25">
      <c r="B616" s="80" t="str">
        <f>IF('1. INTRO'!I$2="English",(IF('6. OPERATION'!AS$150&gt;0,"Operating","")),IF('6. OPERATION'!AS$150&gt;0,"Drift",""))</f>
        <v/>
      </c>
      <c r="C616" s="135">
        <f>SUMIF('6. OPERATION'!$B$17:$B$149,$C602,'6. OPERATION'!AI$17:AI$149)</f>
        <v>0</v>
      </c>
      <c r="D616" s="135">
        <f>SUMIF('6. OPERATION'!$B$17:$B$149,$C602,'6. OPERATION'!AJ$17:AJ$149)</f>
        <v>0</v>
      </c>
      <c r="E616" s="135">
        <f>SUMIF('6. OPERATION'!$B$17:$B$149,$C602,'6. OPERATION'!AK$17:AK$149)</f>
        <v>0</v>
      </c>
      <c r="F616" s="135">
        <f>SUMIF('6. OPERATION'!$B$17:$B$149,$C602,'6. OPERATION'!AL$17:AL$149)</f>
        <v>0</v>
      </c>
      <c r="G616" s="135">
        <f>SUMIF('6. OPERATION'!$B$17:$B$149,$C602,'6. OPERATION'!AM$17:AM$149)</f>
        <v>0</v>
      </c>
      <c r="H616" s="135">
        <f>SUMIF('6. OPERATION'!$B$17:$B$149,$C602,'6. OPERATION'!AN$17:AN$149)</f>
        <v>0</v>
      </c>
      <c r="I616" s="135">
        <f>SUMIF('6. OPERATION'!$B$17:$B$149,$C602,'6. OPERATION'!AO$17:AO$149)</f>
        <v>0</v>
      </c>
      <c r="J616" s="135">
        <f>SUMIF('6. OPERATION'!$B$17:$B$149,$C602,'6. OPERATION'!AP$17:AP$149)</f>
        <v>0</v>
      </c>
      <c r="K616" s="135">
        <f>SUMIF('6. OPERATION'!$B$17:$B$149,$C602,'6. OPERATION'!AQ$17:AQ$149)</f>
        <v>0</v>
      </c>
      <c r="L616" s="135">
        <f>SUMIF('6. OPERATION'!$B$17:$B$149,$C602,'6. OPERATION'!AR$17:AR$149)</f>
        <v>0</v>
      </c>
      <c r="M616" s="117">
        <f t="shared" si="124"/>
        <v>0</v>
      </c>
    </row>
    <row r="617" spans="2:15" s="3" customFormat="1" ht="13.2" x14ac:dyDescent="0.25">
      <c r="B617" s="725" t="str">
        <f>IF('1. INTRO'!I$2="English",(IF('7. INVEST'!AS$50&gt;0,"Equipment","")),IF('7. INVEST'!AS$50&gt;0,"Utrustning",""))</f>
        <v/>
      </c>
      <c r="C617" s="732">
        <f>SUMIF('7. INVEST'!$B$17:$B$49,$C602,'7. INVEST'!AI$17:AI$49)</f>
        <v>0</v>
      </c>
      <c r="D617" s="732">
        <f>SUMIF('7. INVEST'!$B$17:$B$49,$C602,'7. INVEST'!AJ$17:AJ$49)</f>
        <v>0</v>
      </c>
      <c r="E617" s="732">
        <f>SUMIF('7. INVEST'!$B$17:$B$49,$C602,'7. INVEST'!AK$17:AK$49)</f>
        <v>0</v>
      </c>
      <c r="F617" s="732">
        <f>SUMIF('7. INVEST'!$B$17:$B$49,$C602,'7. INVEST'!AL$17:AL$49)</f>
        <v>0</v>
      </c>
      <c r="G617" s="732">
        <f>SUMIF('7. INVEST'!$B$17:$B$49,$C602,'7. INVEST'!AM$17:AM$49)</f>
        <v>0</v>
      </c>
      <c r="H617" s="732">
        <f>SUMIF('7. INVEST'!$B$17:$B$49,$C602,'7. INVEST'!AN$17:AN$49)</f>
        <v>0</v>
      </c>
      <c r="I617" s="732">
        <f>SUMIF('7. INVEST'!$B$17:$B$49,$C602,'7. INVEST'!AO$17:AO$49)</f>
        <v>0</v>
      </c>
      <c r="J617" s="732">
        <f>SUMIF('7. INVEST'!$B$17:$B$49,$C602,'7. INVEST'!AP$17:AP$49)</f>
        <v>0</v>
      </c>
      <c r="K617" s="732">
        <f>SUMIF('7. INVEST'!$B$17:$B$49,$C602,'7. INVEST'!AQ$17:AQ$49)</f>
        <v>0</v>
      </c>
      <c r="L617" s="732">
        <f>SUMIF('7. INVEST'!$B$17:$B$49,$C602,'7. INVEST'!AR$17:AR$49)</f>
        <v>0</v>
      </c>
      <c r="M617" s="727">
        <f t="shared" si="124"/>
        <v>0</v>
      </c>
    </row>
    <row r="618" spans="2:15" s="3" customFormat="1" ht="13.2" x14ac:dyDescent="0.25">
      <c r="B618" s="121" t="str">
        <f>IF('1. INTRO'!I$2="English",(IF('8. FACILIT'!AP$51&gt;0,"Facility","")),IF('8. FACILIT'!AP$51&gt;0,"Lokal",""))</f>
        <v/>
      </c>
      <c r="C618" s="135">
        <f>SUMIF('5. PERSON'!$B$17:$B$192,$C602,'5. PERSON'!DB$17:DB$192)+SUMIF('6. OPERATION'!$B$17:$B$149,$C602,'6. OPERATION'!CE$17:CE$149)+SUMIF('8. FACILIT'!$B$18:$B$50,$C602,'8. FACILIT'!AF$18:AF$50)</f>
        <v>0</v>
      </c>
      <c r="D618" s="135">
        <f>SUMIF('5. PERSON'!$B$17:$B$192,$C602,'5. PERSON'!DC$17:DC$192)+SUMIF('6. OPERATION'!$B$17:$B$149,$C602,'6. OPERATION'!CF$17:CF$149)+SUMIF('8. FACILIT'!$B$18:$B$50,$C602,'8. FACILIT'!AG$18:AG$50)</f>
        <v>0</v>
      </c>
      <c r="E618" s="135">
        <f>SUMIF('5. PERSON'!$B$17:$B$192,$C602,'5. PERSON'!DD$17:DD$192)+SUMIF('6. OPERATION'!$B$17:$B$149,$C602,'6. OPERATION'!CG$17:CG$149)+SUMIF('8. FACILIT'!$B$18:$B$50,$C602,'8. FACILIT'!AH$18:AH$50)</f>
        <v>0</v>
      </c>
      <c r="F618" s="135">
        <f>SUMIF('5. PERSON'!$B$17:$B$192,$C602,'5. PERSON'!DE$17:DE$192)+SUMIF('6. OPERATION'!$B$17:$B$149,$C602,'6. OPERATION'!CH$17:CH$149)+SUMIF('8. FACILIT'!$B$18:$B$50,$C602,'8. FACILIT'!AI$18:AI$50)</f>
        <v>0</v>
      </c>
      <c r="G618" s="135">
        <f>SUMIF('5. PERSON'!$B$17:$B$192,$C602,'5. PERSON'!DF$17:DF$192)+SUMIF('6. OPERATION'!$B$17:$B$149,$C602,'6. OPERATION'!CI$17:CI$149)+SUMIF('8. FACILIT'!$B$18:$B$50,$C602,'8. FACILIT'!AJ$18:AJ$50)</f>
        <v>0</v>
      </c>
      <c r="H618" s="135">
        <f>SUMIF('5. PERSON'!$B$17:$B$192,$C602,'5. PERSON'!DG$17:DG$192)+SUMIF('6. OPERATION'!$B$17:$B$149,$C602,'6. OPERATION'!CJ$17:CJ$149)+SUMIF('8. FACILIT'!$B$18:$B$50,$C602,'8. FACILIT'!AK$18:AK$50)</f>
        <v>0</v>
      </c>
      <c r="I618" s="135">
        <f>SUMIF('5. PERSON'!$B$17:$B$192,$C602,'5. PERSON'!DH$17:DH$192)+SUMIF('6. OPERATION'!$B$17:$B$149,$C602,'6. OPERATION'!CK$17:CK$149)+SUMIF('8. FACILIT'!$B$18:$B$50,$C602,'8. FACILIT'!AL$18:AL$50)</f>
        <v>0</v>
      </c>
      <c r="J618" s="135">
        <f>SUMIF('5. PERSON'!$B$17:$B$192,$C602,'5. PERSON'!DI$17:DI$192)+SUMIF('6. OPERATION'!$B$17:$B$149,$C602,'6. OPERATION'!CL$17:CL$149)+SUMIF('8. FACILIT'!$B$18:$B$50,$C602,'8. FACILIT'!AM$18:AM$50)</f>
        <v>0</v>
      </c>
      <c r="K618" s="135">
        <f>SUMIF('5. PERSON'!$B$17:$B$192,$C602,'5. PERSON'!DJ$17:DJ$192)+SUMIF('6. OPERATION'!$B$17:$B$149,$C602,'6. OPERATION'!CM$17:CM$149)+SUMIF('8. FACILIT'!$B$18:$B$50,$C602,'8. FACILIT'!AN$18:AN$50)</f>
        <v>0</v>
      </c>
      <c r="L618" s="135">
        <f>SUMIF('5. PERSON'!$B$17:$B$192,$C602,'5. PERSON'!DK$17:DK$192)+SUMIF('6. OPERATION'!$B$17:$B$149,$C602,'6. OPERATION'!CN$17:CN$149)+SUMIF('8. FACILIT'!$B$18:$B$50,$C602,'8. FACILIT'!AO$18:AO$50)</f>
        <v>0</v>
      </c>
      <c r="M618" s="117">
        <f t="shared" si="124"/>
        <v>0</v>
      </c>
    </row>
    <row r="619" spans="2:15" s="1" customFormat="1" ht="13.2" x14ac:dyDescent="0.25">
      <c r="B619" s="728" t="str">
        <f>IF('1. INTRO'!I$2="English",(IF(('5. PERSON'!CN$193+'6. OPERATION'!BQ$150)&gt;0,"Indirect","")),IF(('5. PERSON'!CN$193+'6. OPERATION'!BQ$150)&gt;0,"Indirekt",""))</f>
        <v/>
      </c>
      <c r="C619" s="729">
        <f>SUMIF('5. PERSON'!$B$17:$B$192,$C602,'5. PERSON'!CD$17:CD$192)+SUMIF('6. OPERATION'!$B$17:$B$149,$C602,'6. OPERATION'!BG$17:BG$149)</f>
        <v>0</v>
      </c>
      <c r="D619" s="729">
        <f>SUMIF('5. PERSON'!$B$17:$B$192,$C602,'5. PERSON'!CE$17:CE$192)+SUMIF('6. OPERATION'!$B$17:$B$149,$C602,'6. OPERATION'!BH$17:BH$149)</f>
        <v>0</v>
      </c>
      <c r="E619" s="729">
        <f>SUMIF('5. PERSON'!$B$17:$B$192,$C602,'5. PERSON'!CF$17:CF$192)+SUMIF('6. OPERATION'!$B$17:$B$149,$C602,'6. OPERATION'!BI$17:BI$149)</f>
        <v>0</v>
      </c>
      <c r="F619" s="729">
        <f>SUMIF('5. PERSON'!$B$17:$B$192,$C602,'5. PERSON'!CG$17:CG$192)+SUMIF('6. OPERATION'!$B$17:$B$149,$C602,'6. OPERATION'!BJ$17:BJ$149)</f>
        <v>0</v>
      </c>
      <c r="G619" s="729">
        <f>SUMIF('5. PERSON'!$B$17:$B$192,$C602,'5. PERSON'!CH$17:CH$192)+SUMIF('6. OPERATION'!$B$17:$B$149,$C602,'6. OPERATION'!BK$17:BK$149)</f>
        <v>0</v>
      </c>
      <c r="H619" s="729">
        <f>SUMIF('5. PERSON'!$B$17:$B$192,$C602,'5. PERSON'!CI$17:CI$192)+SUMIF('6. OPERATION'!$B$17:$B$149,$C602,'6. OPERATION'!BL$17:BL$149)</f>
        <v>0</v>
      </c>
      <c r="I619" s="729">
        <f>SUMIF('5. PERSON'!$B$17:$B$192,$C602,'5. PERSON'!CJ$17:CJ$192)+SUMIF('6. OPERATION'!$B$17:$B$149,$C602,'6. OPERATION'!BM$17:BM$149)</f>
        <v>0</v>
      </c>
      <c r="J619" s="729">
        <f>SUMIF('5. PERSON'!$B$17:$B$192,$C602,'5. PERSON'!CK$17:CK$192)+SUMIF('6. OPERATION'!$B$17:$B$149,$C602,'6. OPERATION'!BN$17:BN$149)</f>
        <v>0</v>
      </c>
      <c r="K619" s="729">
        <f>SUMIF('5. PERSON'!$B$17:$B$192,$C602,'5. PERSON'!CL$17:CL$192)+SUMIF('6. OPERATION'!$B$17:$B$149,$C602,'6. OPERATION'!BO$17:BO$149)</f>
        <v>0</v>
      </c>
      <c r="L619" s="729">
        <f>SUMIF('5. PERSON'!$B$17:$B$192,$C602,'5. PERSON'!CM$17:CM$192)+SUMIF('6. OPERATION'!$B$17:$B$149,$C602,'6. OPERATION'!BP$17:BP$149)</f>
        <v>0</v>
      </c>
      <c r="M619" s="733">
        <f t="shared" si="124"/>
        <v>0</v>
      </c>
    </row>
    <row r="620" spans="2:15" s="3" customFormat="1" ht="13.2" x14ac:dyDescent="0.25">
      <c r="B620" s="124" t="s">
        <v>113</v>
      </c>
      <c r="C620" s="102">
        <f>SUM(C613:C619)</f>
        <v>0</v>
      </c>
      <c r="D620" s="102">
        <f t="shared" ref="D620:M620" si="125">SUM(D613:D619)</f>
        <v>0</v>
      </c>
      <c r="E620" s="102">
        <f t="shared" si="125"/>
        <v>0</v>
      </c>
      <c r="F620" s="102">
        <f t="shared" si="125"/>
        <v>0</v>
      </c>
      <c r="G620" s="102">
        <f t="shared" si="125"/>
        <v>0</v>
      </c>
      <c r="H620" s="102">
        <f t="shared" si="125"/>
        <v>0</v>
      </c>
      <c r="I620" s="102">
        <f t="shared" si="125"/>
        <v>0</v>
      </c>
      <c r="J620" s="102">
        <f t="shared" si="125"/>
        <v>0</v>
      </c>
      <c r="K620" s="102">
        <f t="shared" si="125"/>
        <v>0</v>
      </c>
      <c r="L620" s="102">
        <f t="shared" si="125"/>
        <v>0</v>
      </c>
      <c r="M620" s="125">
        <f t="shared" si="125"/>
        <v>0</v>
      </c>
      <c r="N620" s="23"/>
      <c r="O620" s="23"/>
    </row>
    <row r="621" spans="2:15" s="3" customFormat="1" ht="6" customHeight="1" x14ac:dyDescent="0.25">
      <c r="B621" s="136"/>
      <c r="C621" s="127"/>
      <c r="D621" s="127"/>
      <c r="E621" s="127"/>
      <c r="F621" s="127"/>
      <c r="G621" s="127"/>
      <c r="H621" s="127"/>
      <c r="I621" s="127"/>
      <c r="J621" s="127"/>
      <c r="K621" s="127"/>
      <c r="L621" s="127"/>
      <c r="M621" s="137"/>
    </row>
    <row r="622" spans="2:15" s="3" customFormat="1" ht="13.2" x14ac:dyDescent="0.25">
      <c r="B622" s="129" t="str">
        <f>IF('1. INTRO'!I$2="English","Full cost","Full kostnad")</f>
        <v>Full cost</v>
      </c>
      <c r="C622" s="127"/>
      <c r="D622" s="127"/>
      <c r="E622" s="127"/>
      <c r="F622" s="127"/>
      <c r="G622" s="127"/>
      <c r="H622" s="127"/>
      <c r="I622" s="127"/>
      <c r="J622" s="127"/>
      <c r="K622" s="127"/>
      <c r="L622" s="127"/>
      <c r="M622" s="137"/>
    </row>
    <row r="623" spans="2:15" s="3" customFormat="1" ht="13.2" x14ac:dyDescent="0.25">
      <c r="B623" s="722" t="str">
        <f>IF('1. INTRO'!I$2="English","Salary including social costs (LKP)","Lön inklusive LKP")</f>
        <v>Salary including social costs (LKP)</v>
      </c>
      <c r="C623" s="734">
        <f>C605+C614+C615</f>
        <v>0</v>
      </c>
      <c r="D623" s="734">
        <f t="shared" ref="D623:L623" si="126">D605+D614+D615</f>
        <v>0</v>
      </c>
      <c r="E623" s="734">
        <f t="shared" si="126"/>
        <v>0</v>
      </c>
      <c r="F623" s="734">
        <f t="shared" si="126"/>
        <v>0</v>
      </c>
      <c r="G623" s="734">
        <f t="shared" si="126"/>
        <v>0</v>
      </c>
      <c r="H623" s="734">
        <f t="shared" si="126"/>
        <v>0</v>
      </c>
      <c r="I623" s="734">
        <f t="shared" si="126"/>
        <v>0</v>
      </c>
      <c r="J623" s="734">
        <f t="shared" si="126"/>
        <v>0</v>
      </c>
      <c r="K623" s="734">
        <f t="shared" si="126"/>
        <v>0</v>
      </c>
      <c r="L623" s="734">
        <f t="shared" si="126"/>
        <v>0</v>
      </c>
      <c r="M623" s="724">
        <f>SUM(C623:L623)</f>
        <v>0</v>
      </c>
    </row>
    <row r="624" spans="2:15" s="3" customFormat="1" ht="13.2" x14ac:dyDescent="0.25">
      <c r="B624" s="80" t="str">
        <f>IF('1. INTRO'!I$2="English","Operating","Drift")</f>
        <v>Operating</v>
      </c>
      <c r="C624" s="139">
        <f>C606+C616</f>
        <v>0</v>
      </c>
      <c r="D624" s="139">
        <f t="shared" ref="D624:L624" si="127">D606+D616</f>
        <v>0</v>
      </c>
      <c r="E624" s="139">
        <f t="shared" si="127"/>
        <v>0</v>
      </c>
      <c r="F624" s="139">
        <f t="shared" si="127"/>
        <v>0</v>
      </c>
      <c r="G624" s="139">
        <f t="shared" si="127"/>
        <v>0</v>
      </c>
      <c r="H624" s="139">
        <f t="shared" si="127"/>
        <v>0</v>
      </c>
      <c r="I624" s="139">
        <f t="shared" si="127"/>
        <v>0</v>
      </c>
      <c r="J624" s="139">
        <f t="shared" si="127"/>
        <v>0</v>
      </c>
      <c r="K624" s="139">
        <f t="shared" si="127"/>
        <v>0</v>
      </c>
      <c r="L624" s="139">
        <f t="shared" si="127"/>
        <v>0</v>
      </c>
      <c r="M624" s="117">
        <f>SUM(C624:L624)</f>
        <v>0</v>
      </c>
    </row>
    <row r="625" spans="2:13" s="3" customFormat="1" ht="13.2" x14ac:dyDescent="0.25">
      <c r="B625" s="725" t="str">
        <f>IF('1. INTRO'!I$2="English","Equipment","Utrustning")</f>
        <v>Equipment</v>
      </c>
      <c r="C625" s="735">
        <f>C607+C617</f>
        <v>0</v>
      </c>
      <c r="D625" s="735">
        <f t="shared" ref="D625:L625" si="128">D607+D617</f>
        <v>0</v>
      </c>
      <c r="E625" s="735">
        <f t="shared" si="128"/>
        <v>0</v>
      </c>
      <c r="F625" s="735">
        <f t="shared" si="128"/>
        <v>0</v>
      </c>
      <c r="G625" s="735">
        <f t="shared" si="128"/>
        <v>0</v>
      </c>
      <c r="H625" s="735">
        <f t="shared" si="128"/>
        <v>0</v>
      </c>
      <c r="I625" s="735">
        <f t="shared" si="128"/>
        <v>0</v>
      </c>
      <c r="J625" s="735">
        <f t="shared" si="128"/>
        <v>0</v>
      </c>
      <c r="K625" s="735">
        <f t="shared" si="128"/>
        <v>0</v>
      </c>
      <c r="L625" s="735">
        <f t="shared" si="128"/>
        <v>0</v>
      </c>
      <c r="M625" s="727">
        <f>SUM(C625:L625)</f>
        <v>0</v>
      </c>
    </row>
    <row r="626" spans="2:13" s="3" customFormat="1" ht="13.2" x14ac:dyDescent="0.25">
      <c r="B626" s="80" t="str">
        <f>IF('1. INTRO'!I$2="English","Facility","Lokal")</f>
        <v>Facility</v>
      </c>
      <c r="C626" s="139">
        <f>SUMIF('5. PERSON'!$B$17:$B$192,$C602,'5. PERSON'!CP$17:CP$192)+SUMIF('5. PERSON'!$B$17:$B$192,$C602,'5. PERSON'!DB$17:DB$192)+SUMIF('6. OPERATION'!$B$17:$B$149,$C602,'6. OPERATION'!BS$17:BS$149)+SUMIF('6. OPERATION'!$B$17:$B$149,$C602,'6. OPERATION'!CE$17:CE$149)+SUMIF('8. FACILIT'!$B$18:$B$50,$C602,'8. FACILIT'!T$18:T$50)+SUMIF('8. FACILIT'!$B$18:$B$50,$C602,'8. FACILIT'!AF$18:AF$50)</f>
        <v>0</v>
      </c>
      <c r="D626" s="139">
        <f>SUMIF('5. PERSON'!$B$17:$B$192,$C602,'5. PERSON'!CQ$17:CQ$192)+SUMIF('5. PERSON'!$B$17:$B$192,$C602,'5. PERSON'!DC$17:DC$192)+SUMIF('6. OPERATION'!$B$17:$B$149,$C602,'6. OPERATION'!BT$17:BT$149)+SUMIF('6. OPERATION'!$B$17:$B$149,$C602,'6. OPERATION'!CF$17:CF$149)+SUMIF('8. FACILIT'!$B$18:$B$50,$C602,'8. FACILIT'!U$18:U$50)+SUMIF('8. FACILIT'!$B$18:$B$50,$C602,'8. FACILIT'!AG$18:AG$50)</f>
        <v>0</v>
      </c>
      <c r="E626" s="139">
        <f>SUMIF('5. PERSON'!$B$17:$B$192,$C602,'5. PERSON'!CR$17:CR$192)+SUMIF('5. PERSON'!$B$17:$B$192,$C602,'5. PERSON'!DD$17:DD$192)+SUMIF('6. OPERATION'!$B$17:$B$149,$C602,'6. OPERATION'!BU$17:BU$149)+SUMIF('6. OPERATION'!$B$17:$B$149,$C602,'6. OPERATION'!CG$17:CG$149)+SUMIF('8. FACILIT'!$B$18:$B$50,$C602,'8. FACILIT'!V$18:V$50)+SUMIF('8. FACILIT'!$B$18:$B$50,$C602,'8. FACILIT'!AH$18:AH$50)</f>
        <v>0</v>
      </c>
      <c r="F626" s="139">
        <f>SUMIF('5. PERSON'!$B$17:$B$192,$C602,'5. PERSON'!CS$17:CS$192)+SUMIF('5. PERSON'!$B$17:$B$192,$C602,'5. PERSON'!DE$17:DE$192)+SUMIF('6. OPERATION'!$B$17:$B$149,$C602,'6. OPERATION'!BV$17:BV$149)+SUMIF('6. OPERATION'!$B$17:$B$149,$C602,'6. OPERATION'!CH$17:CH$149)+SUMIF('8. FACILIT'!$B$18:$B$50,$C602,'8. FACILIT'!W$18:W$50)+SUMIF('8. FACILIT'!$B$18:$B$50,$C602,'8. FACILIT'!AI$18:AI$50)</f>
        <v>0</v>
      </c>
      <c r="G626" s="139">
        <f>SUMIF('5. PERSON'!$B$17:$B$192,$C602,'5. PERSON'!CT$17:CT$192)+SUMIF('5. PERSON'!$B$17:$B$192,$C602,'5. PERSON'!DF$17:DF$192)+SUMIF('6. OPERATION'!$B$17:$B$149,$C602,'6. OPERATION'!BW$17:BW$149)+SUMIF('6. OPERATION'!$B$17:$B$149,$C602,'6. OPERATION'!CI$17:CI$149)+SUMIF('8. FACILIT'!$B$18:$B$50,$C602,'8. FACILIT'!X$18:X$50)+SUMIF('8. FACILIT'!$B$18:$B$50,$C602,'8. FACILIT'!AJ$18:AJ$50)</f>
        <v>0</v>
      </c>
      <c r="H626" s="139">
        <f>SUMIF('5. PERSON'!$B$17:$B$192,$C602,'5. PERSON'!CU$17:CU$192)+SUMIF('5. PERSON'!$B$17:$B$192,$C602,'5. PERSON'!DG$17:DG$192)+SUMIF('6. OPERATION'!$B$17:$B$149,$C602,'6. OPERATION'!BX$17:BX$149)+SUMIF('6. OPERATION'!$B$17:$B$149,$C602,'6. OPERATION'!CJ$17:CJ$149)+SUMIF('8. FACILIT'!$B$18:$B$50,$C602,'8. FACILIT'!Y$18:Y$50)+SUMIF('8. FACILIT'!$B$18:$B$50,$C602,'8. FACILIT'!AK$18:AK$50)</f>
        <v>0</v>
      </c>
      <c r="I626" s="139">
        <f>SUMIF('5. PERSON'!$B$17:$B$192,$C602,'5. PERSON'!CV$17:CV$192)+SUMIF('5. PERSON'!$B$17:$B$192,$C602,'5. PERSON'!DH$17:DH$192)+SUMIF('6. OPERATION'!$B$17:$B$149,$C602,'6. OPERATION'!BY$17:BY$149)+SUMIF('6. OPERATION'!$B$17:$B$149,$C602,'6. OPERATION'!CK$17:CK$149)+SUMIF('8. FACILIT'!$B$18:$B$50,$C602,'8. FACILIT'!Z$18:Z$50)+SUMIF('8. FACILIT'!$B$18:$B$50,$C602,'8. FACILIT'!AL$18:AL$50)</f>
        <v>0</v>
      </c>
      <c r="J626" s="139">
        <f>SUMIF('5. PERSON'!$B$17:$B$192,$C602,'5. PERSON'!CW$17:CW$192)+SUMIF('5. PERSON'!$B$17:$B$192,$C602,'5. PERSON'!DI$17:DI$192)+SUMIF('6. OPERATION'!$B$17:$B$149,$C602,'6. OPERATION'!BZ$17:BZ$149)+SUMIF('6. OPERATION'!$B$17:$B$149,$C602,'6. OPERATION'!CL$17:CL$149)+SUMIF('8. FACILIT'!$B$18:$B$50,$C602,'8. FACILIT'!AA$18:AA$50)+SUMIF('8. FACILIT'!$B$18:$B$50,$C602,'8. FACILIT'!AM$18:AM$50)</f>
        <v>0</v>
      </c>
      <c r="K626" s="139">
        <f>SUMIF('5. PERSON'!$B$17:$B$192,$C602,'5. PERSON'!CX$17:CX$192)+SUMIF('5. PERSON'!$B$17:$B$192,$C602,'5. PERSON'!DJ$17:DJ$192)+SUMIF('6. OPERATION'!$B$17:$B$149,$C602,'6. OPERATION'!CA$17:CA$149)+SUMIF('6. OPERATION'!$B$17:$B$149,$C602,'6. OPERATION'!CM$17:CM$149)+SUMIF('8. FACILIT'!$B$18:$B$50,$C602,'8. FACILIT'!AB$18:AB$50)+SUMIF('8. FACILIT'!$B$18:$B$50,$C602,'8. FACILIT'!AN$18:AN$50)</f>
        <v>0</v>
      </c>
      <c r="L626" s="139">
        <f>SUMIF('5. PERSON'!$B$17:$B$192,$C602,'5. PERSON'!CY$17:CY$192)+SUMIF('5. PERSON'!$B$17:$B$192,$C602,'5. PERSON'!DK$17:DK$192)+SUMIF('6. OPERATION'!$B$17:$B$149,$C602,'6. OPERATION'!CB$17:CB$149)+SUMIF('6. OPERATION'!$B$17:$B$149,$C602,'6. OPERATION'!CN$17:CN$149)+SUMIF('8. FACILIT'!$B$18:$B$50,$C602,'8. FACILIT'!AC$18:AC$50)+SUMIF('8. FACILIT'!$B$18:$B$50,$C602,'8. FACILIT'!AO$18:AO$50)</f>
        <v>0</v>
      </c>
      <c r="M626" s="117">
        <f>SUM(C626:L626)</f>
        <v>0</v>
      </c>
    </row>
    <row r="627" spans="2:13" s="3" customFormat="1" ht="13.2" x14ac:dyDescent="0.25">
      <c r="B627" s="736" t="str">
        <f>IF('1. INTRO'!I$2="English","Indirect","Indirekt")</f>
        <v>Indirect</v>
      </c>
      <c r="C627" s="737">
        <f>SUMIF('5. PERSON'!$B$17:$B$192,$C602,'5. PERSON'!BR$17:BR$192)+SUMIF('5. PERSON'!$B$17:$B$192,$C602,'5. PERSON'!CD$17:CD$192)+SUMIF('6. OPERATION'!$B$17:$B$149,$C602,'6. OPERATION'!AU$17:AU$149)+SUMIF('6. OPERATION'!$B$17:$B$149,$C602,'6. OPERATION'!BG$17:BG$149)</f>
        <v>0</v>
      </c>
      <c r="D627" s="737">
        <f>SUMIF('5. PERSON'!$B$17:$B$192,$C602,'5. PERSON'!BS$17:BS$192)+SUMIF('5. PERSON'!$B$17:$B$192,$C602,'5. PERSON'!CE$17:CE$192)+SUMIF('6. OPERATION'!$B$17:$B$149,$C602,'6. OPERATION'!AV$17:AV$149)+SUMIF('6. OPERATION'!$B$17:$B$149,$C602,'6. OPERATION'!BH$17:BH$149)</f>
        <v>0</v>
      </c>
      <c r="E627" s="737">
        <f>SUMIF('5. PERSON'!$B$17:$B$192,$C602,'5. PERSON'!BT$17:BT$192)+SUMIF('5. PERSON'!$B$17:$B$192,$C602,'5. PERSON'!CF$17:CF$192)+SUMIF('6. OPERATION'!$B$17:$B$149,$C602,'6. OPERATION'!AW$17:AW$149)+SUMIF('6. OPERATION'!$B$17:$B$149,$C602,'6. OPERATION'!BI$17:BI$149)</f>
        <v>0</v>
      </c>
      <c r="F627" s="737">
        <f>SUMIF('5. PERSON'!$B$17:$B$192,$C602,'5. PERSON'!BU$17:BU$192)+SUMIF('5. PERSON'!$B$17:$B$192,$C602,'5. PERSON'!CG$17:CG$192)+SUMIF('6. OPERATION'!$B$17:$B$149,$C602,'6. OPERATION'!AX$17:AX$149)+SUMIF('6. OPERATION'!$B$17:$B$149,$C602,'6. OPERATION'!BJ$17:BJ$149)</f>
        <v>0</v>
      </c>
      <c r="G627" s="737">
        <f>SUMIF('5. PERSON'!$B$17:$B$192,$C602,'5. PERSON'!BV$17:BV$192)+SUMIF('5. PERSON'!$B$17:$B$192,$C602,'5. PERSON'!CH$17:CH$192)+SUMIF('6. OPERATION'!$B$17:$B$149,$C602,'6. OPERATION'!AY$17:AY$149)+SUMIF('6. OPERATION'!$B$17:$B$149,$C602,'6. OPERATION'!BK$17:BK$149)</f>
        <v>0</v>
      </c>
      <c r="H627" s="737">
        <f>SUMIF('5. PERSON'!$B$17:$B$192,$C602,'5. PERSON'!BW$17:BW$192)+SUMIF('5. PERSON'!$B$17:$B$192,$C602,'5. PERSON'!CI$17:CI$192)+SUMIF('6. OPERATION'!$B$17:$B$149,$C602,'6. OPERATION'!AZ$17:AZ$149)+SUMIF('6. OPERATION'!$B$17:$B$149,$C602,'6. OPERATION'!BL$17:BL$149)</f>
        <v>0</v>
      </c>
      <c r="I627" s="737">
        <f>SUMIF('5. PERSON'!$B$17:$B$192,$C602,'5. PERSON'!BX$17:BX$192)+SUMIF('5. PERSON'!$B$17:$B$192,$C602,'5. PERSON'!CJ$17:CJ$192)+SUMIF('6. OPERATION'!$B$17:$B$149,$C602,'6. OPERATION'!BA$17:BA$149)+SUMIF('6. OPERATION'!$B$17:$B$149,$C602,'6. OPERATION'!BM$17:BM$149)</f>
        <v>0</v>
      </c>
      <c r="J627" s="737">
        <f>SUMIF('5. PERSON'!$B$17:$B$192,$C602,'5. PERSON'!BY$17:BY$192)+SUMIF('5. PERSON'!$B$17:$B$192,$C602,'5. PERSON'!CK$17:CK$192)+SUMIF('6. OPERATION'!$B$17:$B$149,$C602,'6. OPERATION'!BB$17:BB$149)+SUMIF('6. OPERATION'!$B$17:$B$149,$C602,'6. OPERATION'!BN$17:BN$149)</f>
        <v>0</v>
      </c>
      <c r="K627" s="737">
        <f>SUMIF('5. PERSON'!$B$17:$B$192,$C602,'5. PERSON'!BZ$17:BZ$192)+SUMIF('5. PERSON'!$B$17:$B$192,$C602,'5. PERSON'!CL$17:CL$192)+SUMIF('6. OPERATION'!$B$17:$B$149,$C602,'6. OPERATION'!BC$17:BC$149)+SUMIF('6. OPERATION'!$B$17:$B$149,$C602,'6. OPERATION'!BO$17:BO$149)</f>
        <v>0</v>
      </c>
      <c r="L627" s="737">
        <f>SUMIF('5. PERSON'!$B$17:$B$192,$C602,'5. PERSON'!CA$17:CA$192)+SUMIF('5. PERSON'!$B$17:$B$192,$C602,'5. PERSON'!CM$17:CM$192)+SUMIF('6. OPERATION'!$B$17:$B$149,$C602,'6. OPERATION'!BD$17:BD$149)+SUMIF('6. OPERATION'!$B$17:$B$149,$C602,'6. OPERATION'!BP$17:BP$149)</f>
        <v>0</v>
      </c>
      <c r="M627" s="733">
        <f>SUM(C627:L627)</f>
        <v>0</v>
      </c>
    </row>
    <row r="628" spans="2:13" s="3" customFormat="1" ht="13.2" x14ac:dyDescent="0.25">
      <c r="B628" s="124" t="s">
        <v>113</v>
      </c>
      <c r="C628" s="88">
        <f>SUM(C623:C627)</f>
        <v>0</v>
      </c>
      <c r="D628" s="88">
        <f t="shared" ref="D628:M628" si="129">SUM(D623:D627)</f>
        <v>0</v>
      </c>
      <c r="E628" s="88">
        <f t="shared" si="129"/>
        <v>0</v>
      </c>
      <c r="F628" s="88">
        <f t="shared" si="129"/>
        <v>0</v>
      </c>
      <c r="G628" s="88">
        <f t="shared" si="129"/>
        <v>0</v>
      </c>
      <c r="H628" s="88">
        <f t="shared" si="129"/>
        <v>0</v>
      </c>
      <c r="I628" s="88">
        <f t="shared" si="129"/>
        <v>0</v>
      </c>
      <c r="J628" s="88">
        <f t="shared" si="129"/>
        <v>0</v>
      </c>
      <c r="K628" s="88">
        <f t="shared" si="129"/>
        <v>0</v>
      </c>
      <c r="L628" s="88">
        <f t="shared" si="129"/>
        <v>0</v>
      </c>
      <c r="M628" s="142">
        <f t="shared" si="129"/>
        <v>0</v>
      </c>
    </row>
    <row r="629" spans="2:13" s="3" customFormat="1" ht="13.2" x14ac:dyDescent="0.25">
      <c r="B629" s="287"/>
      <c r="C629" s="37"/>
      <c r="D629" s="37"/>
      <c r="E629" s="37"/>
      <c r="F629" s="37"/>
      <c r="G629" s="37"/>
      <c r="H629" s="37"/>
      <c r="I629" s="37"/>
      <c r="J629" s="37"/>
      <c r="K629" s="37"/>
      <c r="L629" s="37"/>
      <c r="M629" s="37"/>
    </row>
    <row r="630" spans="2:13" s="3" customFormat="1" ht="12.75" customHeight="1" x14ac:dyDescent="0.25">
      <c r="B630" s="656" t="str">
        <f>IF('1. INTRO'!I$2="English","Co-funding share in full cost ","Medfinansieringsandel i full kostnad ")</f>
        <v xml:space="preserve">Co-funding share in full cost </v>
      </c>
      <c r="C630" s="143" t="str">
        <f t="shared" ref="C630:M630" si="130">IF(C628&gt;0,C620/C628,"")</f>
        <v/>
      </c>
      <c r="D630" s="143" t="str">
        <f t="shared" si="130"/>
        <v/>
      </c>
      <c r="E630" s="143" t="str">
        <f t="shared" si="130"/>
        <v/>
      </c>
      <c r="F630" s="143" t="str">
        <f t="shared" si="130"/>
        <v/>
      </c>
      <c r="G630" s="143" t="str">
        <f t="shared" si="130"/>
        <v/>
      </c>
      <c r="H630" s="143" t="str">
        <f t="shared" si="130"/>
        <v/>
      </c>
      <c r="I630" s="143" t="str">
        <f t="shared" si="130"/>
        <v/>
      </c>
      <c r="J630" s="143" t="str">
        <f t="shared" si="130"/>
        <v/>
      </c>
      <c r="K630" s="143" t="str">
        <f t="shared" si="130"/>
        <v/>
      </c>
      <c r="L630" s="143" t="str">
        <f t="shared" si="130"/>
        <v/>
      </c>
      <c r="M630" s="143" t="str">
        <f t="shared" si="130"/>
        <v/>
      </c>
    </row>
    <row r="631" spans="2:13" ht="12.75" customHeight="1" x14ac:dyDescent="0.2"/>
    <row r="632" spans="2:13" ht="12.75" customHeight="1" x14ac:dyDescent="0.25">
      <c r="D632" s="656" t="str">
        <f>IF('1. INTRO'!I$2="English","Co-funding need in average per year: ","Medfinansieringsbehov i genomsnitt per år: ")</f>
        <v xml:space="preserve">Co-funding need in average per year: </v>
      </c>
      <c r="E632" s="92" t="str">
        <f>IF(M620=0,"",M620/(DATEDIF('2. START'!C$18,'2. START'!C$19,"d")/365))</f>
        <v/>
      </c>
      <c r="H632" s="656" t="str">
        <f>IF('1. INTRO'!I$2="English","Co-funding need 1/3 of total: ","Medfinansieringsbehov 1/3 av totalt: ")</f>
        <v xml:space="preserve">Co-funding need 1/3 of total: </v>
      </c>
      <c r="I632" s="92">
        <f>M620/3</f>
        <v>0</v>
      </c>
      <c r="L632" s="287" t="str">
        <f>IF('1. INTRO'!I$2="English","Co-funding need total: ","Medfinansieringsbehov totalt: ")</f>
        <v xml:space="preserve">Co-funding need total: </v>
      </c>
      <c r="M632" s="92">
        <f>M620</f>
        <v>0</v>
      </c>
    </row>
    <row r="633" spans="2:13" ht="12.75" customHeight="1" x14ac:dyDescent="0.25">
      <c r="B633" s="53" t="str">
        <f>IF('1. INTRO'!I$2="English","Co-funding sources","Medfinansieringskällor")</f>
        <v>Co-funding sources</v>
      </c>
    </row>
    <row r="634" spans="2:13" ht="12.75" customHeight="1" x14ac:dyDescent="0.25">
      <c r="B634" s="225"/>
      <c r="C634" s="226"/>
      <c r="D634" s="226"/>
      <c r="E634" s="226"/>
      <c r="F634" s="226"/>
      <c r="G634" s="226"/>
      <c r="H634" s="226"/>
      <c r="I634" s="226"/>
      <c r="J634" s="226"/>
      <c r="K634" s="226"/>
      <c r="L634" s="227"/>
      <c r="M634" s="168">
        <f>SUM(C634:L634)</f>
        <v>0</v>
      </c>
    </row>
    <row r="635" spans="2:13" ht="12.75" customHeight="1" x14ac:dyDescent="0.25">
      <c r="B635" s="228"/>
      <c r="C635" s="229"/>
      <c r="D635" s="229"/>
      <c r="E635" s="229"/>
      <c r="F635" s="229"/>
      <c r="G635" s="229"/>
      <c r="H635" s="229"/>
      <c r="I635" s="229"/>
      <c r="J635" s="229"/>
      <c r="K635" s="229"/>
      <c r="L635" s="230"/>
      <c r="M635" s="727">
        <f t="shared" ref="M635:M638" si="131">SUM(C635:L635)</f>
        <v>0</v>
      </c>
    </row>
    <row r="636" spans="2:13" ht="12.75" customHeight="1" x14ac:dyDescent="0.25">
      <c r="B636" s="231"/>
      <c r="C636" s="232"/>
      <c r="D636" s="232"/>
      <c r="E636" s="232"/>
      <c r="F636" s="232"/>
      <c r="G636" s="232"/>
      <c r="H636" s="232"/>
      <c r="I636" s="232"/>
      <c r="J636" s="232"/>
      <c r="K636" s="232"/>
      <c r="L636" s="233"/>
      <c r="M636" s="117">
        <f t="shared" si="131"/>
        <v>0</v>
      </c>
    </row>
    <row r="637" spans="2:13" ht="12.75" customHeight="1" x14ac:dyDescent="0.25">
      <c r="B637" s="228"/>
      <c r="C637" s="229"/>
      <c r="D637" s="229"/>
      <c r="E637" s="229"/>
      <c r="F637" s="229"/>
      <c r="G637" s="229"/>
      <c r="H637" s="229"/>
      <c r="I637" s="229"/>
      <c r="J637" s="229"/>
      <c r="K637" s="229"/>
      <c r="L637" s="230"/>
      <c r="M637" s="727">
        <f t="shared" si="131"/>
        <v>0</v>
      </c>
    </row>
    <row r="638" spans="2:13" ht="12.75" customHeight="1" x14ac:dyDescent="0.25">
      <c r="B638" s="93"/>
      <c r="C638" s="232"/>
      <c r="D638" s="232"/>
      <c r="E638" s="232"/>
      <c r="F638" s="232"/>
      <c r="G638" s="232"/>
      <c r="H638" s="232"/>
      <c r="I638" s="232"/>
      <c r="J638" s="232"/>
      <c r="K638" s="232"/>
      <c r="L638" s="233"/>
      <c r="M638" s="117">
        <f t="shared" si="131"/>
        <v>0</v>
      </c>
    </row>
    <row r="639" spans="2:13" ht="12.75" customHeight="1" x14ac:dyDescent="0.25">
      <c r="B639" s="84" t="str">
        <f>IF('1. INTRO'!I$2="English","Total co-funding ","Total medfinansiering ")</f>
        <v xml:space="preserve">Total co-funding </v>
      </c>
      <c r="C639" s="87">
        <f t="shared" ref="C639:M639" si="132">SUM(C634:C638)</f>
        <v>0</v>
      </c>
      <c r="D639" s="87">
        <f t="shared" si="132"/>
        <v>0</v>
      </c>
      <c r="E639" s="87">
        <f t="shared" si="132"/>
        <v>0</v>
      </c>
      <c r="F639" s="87">
        <f t="shared" si="132"/>
        <v>0</v>
      </c>
      <c r="G639" s="87">
        <f t="shared" si="132"/>
        <v>0</v>
      </c>
      <c r="H639" s="87">
        <f t="shared" si="132"/>
        <v>0</v>
      </c>
      <c r="I639" s="87">
        <f t="shared" si="132"/>
        <v>0</v>
      </c>
      <c r="J639" s="87">
        <f t="shared" si="132"/>
        <v>0</v>
      </c>
      <c r="K639" s="87">
        <f t="shared" si="132"/>
        <v>0</v>
      </c>
      <c r="L639" s="87">
        <f t="shared" si="132"/>
        <v>0</v>
      </c>
      <c r="M639" s="142">
        <f t="shared" si="132"/>
        <v>0</v>
      </c>
    </row>
    <row r="640" spans="2:13" ht="12.75" customHeight="1" x14ac:dyDescent="0.2"/>
    <row r="641" spans="2:13" ht="12.75" customHeight="1" x14ac:dyDescent="0.2">
      <c r="B641" s="667" t="str">
        <f>IF('1. INTRO'!I$2="English","Calculation comments","Kalkylkommentarer")</f>
        <v>Calculation comments</v>
      </c>
    </row>
    <row r="642" spans="2:13" ht="12.75" customHeight="1" x14ac:dyDescent="0.2">
      <c r="B642" s="1142"/>
      <c r="C642" s="1143"/>
      <c r="D642" s="1143"/>
      <c r="E642" s="1143"/>
      <c r="F642" s="1143"/>
      <c r="G642" s="1143"/>
      <c r="H642" s="1143"/>
      <c r="I642" s="1143"/>
      <c r="J642" s="1143"/>
      <c r="K642" s="1143"/>
      <c r="L642" s="1143"/>
      <c r="M642" s="1144"/>
    </row>
    <row r="643" spans="2:13" ht="12.75" customHeight="1" x14ac:dyDescent="0.2">
      <c r="B643" s="1145"/>
      <c r="C643" s="1226"/>
      <c r="D643" s="1226"/>
      <c r="E643" s="1226"/>
      <c r="F643" s="1226"/>
      <c r="G643" s="1226"/>
      <c r="H643" s="1226"/>
      <c r="I643" s="1226"/>
      <c r="J643" s="1226"/>
      <c r="K643" s="1226"/>
      <c r="L643" s="1226"/>
      <c r="M643" s="1147"/>
    </row>
    <row r="644" spans="2:13" ht="12.75" customHeight="1" x14ac:dyDescent="0.2">
      <c r="B644" s="1145"/>
      <c r="C644" s="1226"/>
      <c r="D644" s="1226"/>
      <c r="E644" s="1226"/>
      <c r="F644" s="1226"/>
      <c r="G644" s="1226"/>
      <c r="H644" s="1226"/>
      <c r="I644" s="1226"/>
      <c r="J644" s="1226"/>
      <c r="K644" s="1226"/>
      <c r="L644" s="1226"/>
      <c r="M644" s="1147"/>
    </row>
    <row r="645" spans="2:13" ht="12.75" customHeight="1" x14ac:dyDescent="0.2">
      <c r="B645" s="1145"/>
      <c r="C645" s="1226"/>
      <c r="D645" s="1226"/>
      <c r="E645" s="1226"/>
      <c r="F645" s="1226"/>
      <c r="G645" s="1226"/>
      <c r="H645" s="1226"/>
      <c r="I645" s="1226"/>
      <c r="J645" s="1226"/>
      <c r="K645" s="1226"/>
      <c r="L645" s="1226"/>
      <c r="M645" s="1147"/>
    </row>
    <row r="646" spans="2:13" ht="12.75" customHeight="1" x14ac:dyDescent="0.2">
      <c r="B646" s="1148"/>
      <c r="C646" s="1149"/>
      <c r="D646" s="1149"/>
      <c r="E646" s="1149"/>
      <c r="F646" s="1149"/>
      <c r="G646" s="1149"/>
      <c r="H646" s="1149"/>
      <c r="I646" s="1149"/>
      <c r="J646" s="1149"/>
      <c r="K646" s="1149"/>
      <c r="L646" s="1149"/>
      <c r="M646" s="1150"/>
    </row>
    <row r="648" spans="2:13" s="3" customFormat="1" ht="12.75" customHeight="1" x14ac:dyDescent="0.25">
      <c r="B648" s="313" t="str">
        <f>'3. PARTNER'!C$4</f>
        <v xml:space="preserve">Project: </v>
      </c>
      <c r="C648" s="1062" t="str">
        <f>'3. PARTNER'!D$4</f>
        <v/>
      </c>
      <c r="D648" s="1001"/>
      <c r="E648" s="1001"/>
      <c r="F648" s="1001"/>
      <c r="G648" s="1001"/>
      <c r="H648" s="1001"/>
      <c r="I648" s="1001"/>
      <c r="J648" s="1001"/>
      <c r="K648" s="1001"/>
      <c r="L648" s="1001"/>
      <c r="M648" s="1001"/>
    </row>
    <row r="649" spans="2:13" s="3" customFormat="1" ht="13.2" x14ac:dyDescent="0.25">
      <c r="B649" s="313" t="str">
        <f>'3. PARTNER'!C$5</f>
        <v xml:space="preserve">Calculation for: </v>
      </c>
      <c r="C649" s="1062" t="str">
        <f>'3. PARTNER'!D$5</f>
        <v>APPLICATION</v>
      </c>
      <c r="D649" s="1001"/>
      <c r="E649" s="268"/>
      <c r="F649" s="268"/>
      <c r="G649" s="268"/>
      <c r="H649" s="268"/>
      <c r="I649" s="268"/>
      <c r="J649" s="268"/>
      <c r="K649" s="268"/>
      <c r="L649" s="268"/>
      <c r="M649" s="268"/>
    </row>
    <row r="650" spans="2:13" s="3" customFormat="1" ht="13.2" x14ac:dyDescent="0.25">
      <c r="B650" s="35" t="str">
        <f>'3. PARTNER'!C$6</f>
        <v xml:space="preserve">Project leader: </v>
      </c>
      <c r="C650" s="1062" t="str">
        <f>'3. PARTNER'!D$6</f>
        <v/>
      </c>
      <c r="D650" s="1001"/>
      <c r="E650" s="1001"/>
      <c r="F650" s="1001"/>
      <c r="G650" s="1001"/>
      <c r="H650" s="1001"/>
      <c r="I650" s="1001"/>
      <c r="J650" s="1001"/>
      <c r="K650" s="1001"/>
      <c r="L650" s="1001"/>
      <c r="M650" s="1001"/>
    </row>
    <row r="651" spans="2:13" s="3" customFormat="1" ht="13.2" x14ac:dyDescent="0.25">
      <c r="B651" s="313" t="str">
        <f>'5. PERSON'!B$7</f>
        <v xml:space="preserve">Amounts in: </v>
      </c>
      <c r="C651" s="655" t="str">
        <f>'5. PERSON'!C$7</f>
        <v>SEK</v>
      </c>
      <c r="D651" s="268"/>
      <c r="E651" s="268"/>
      <c r="F651" s="268"/>
      <c r="G651" s="234"/>
      <c r="H651" s="234"/>
      <c r="I651" s="270"/>
      <c r="J651" s="270"/>
      <c r="K651" s="270"/>
      <c r="L651" s="270"/>
      <c r="M651" s="270"/>
    </row>
    <row r="652" spans="2:13" s="3" customFormat="1" ht="13.2" x14ac:dyDescent="0.25">
      <c r="B652" s="313"/>
      <c r="C652" s="1053" t="str">
        <f>'3. PARTNER'!D$7</f>
        <v>Other basic data about the project is in sheet 2.</v>
      </c>
      <c r="D652" s="1001"/>
      <c r="E652" s="1001"/>
      <c r="F652" s="1001"/>
      <c r="G652" s="234"/>
      <c r="H652" s="234"/>
      <c r="I652" s="270"/>
      <c r="J652" s="270"/>
      <c r="K652" s="270"/>
      <c r="L652" s="251" t="s">
        <v>4</v>
      </c>
      <c r="M652" s="270"/>
    </row>
    <row r="653" spans="2:13" ht="12.75" customHeight="1" x14ac:dyDescent="0.2">
      <c r="J653" s="252" t="s">
        <v>322</v>
      </c>
      <c r="K653" s="252" t="s">
        <v>323</v>
      </c>
      <c r="L653" s="252" t="str">
        <f>IF('1. INTRO'!I$2="English","months","månader")</f>
        <v>months</v>
      </c>
    </row>
    <row r="654" spans="2:13" s="3" customFormat="1" ht="13.8" x14ac:dyDescent="0.25">
      <c r="B654" s="157" t="str">
        <f>IF('1. INTRO'!I$2="English","Project costs","Projektkostnader")</f>
        <v>Project costs</v>
      </c>
      <c r="C654" s="668" t="str">
        <f>A26</f>
        <v>390NJ</v>
      </c>
      <c r="D654" s="1227" t="str">
        <f>B26</f>
        <v>Forest Mycology and Plant Pathology NJ</v>
      </c>
      <c r="E654" s="1001"/>
      <c r="F654" s="1001"/>
      <c r="G654" s="1001"/>
      <c r="H654" s="37"/>
      <c r="I654" s="37"/>
      <c r="J654" s="643"/>
      <c r="K654" s="643"/>
      <c r="L654" s="642">
        <f>SUMIF('5. PERSON'!$B$17:$B$192,$C654,'5. PERSON'!AE$17:AE$192)</f>
        <v>0</v>
      </c>
      <c r="M654" s="680" t="s">
        <v>330</v>
      </c>
    </row>
    <row r="655" spans="2:13" s="3" customFormat="1" ht="6" customHeight="1" x14ac:dyDescent="0.25">
      <c r="B655" s="57"/>
      <c r="C655" s="37"/>
      <c r="D655" s="37"/>
      <c r="E655" s="37"/>
      <c r="F655" s="37"/>
      <c r="G655" s="37"/>
      <c r="H655" s="37"/>
      <c r="I655" s="37"/>
      <c r="J655" s="37"/>
      <c r="K655" s="37"/>
      <c r="L655" s="37"/>
      <c r="M655" s="37"/>
    </row>
    <row r="656" spans="2:13" s="3" customFormat="1" ht="13.2" x14ac:dyDescent="0.25">
      <c r="B656" s="110" t="str">
        <f>IF('1. INTRO'!I$2="English","Costs to be covered by funding body","Kostnader att täckas av finansiär")</f>
        <v>Costs to be covered by funding body</v>
      </c>
      <c r="C656" s="111">
        <f>'5. PERSON'!G$15</f>
        <v>1900</v>
      </c>
      <c r="D656" s="111" t="str">
        <f>'5. PERSON'!H$15</f>
        <v/>
      </c>
      <c r="E656" s="111" t="str">
        <f>'5. PERSON'!I$15</f>
        <v/>
      </c>
      <c r="F656" s="111" t="str">
        <f>'5. PERSON'!J$15</f>
        <v/>
      </c>
      <c r="G656" s="111" t="str">
        <f>'5. PERSON'!K$15</f>
        <v/>
      </c>
      <c r="H656" s="111" t="str">
        <f>'5. PERSON'!L$15</f>
        <v/>
      </c>
      <c r="I656" s="111" t="str">
        <f>'5. PERSON'!M$15</f>
        <v/>
      </c>
      <c r="J656" s="111" t="str">
        <f>'5. PERSON'!N$15</f>
        <v/>
      </c>
      <c r="K656" s="111" t="str">
        <f>'5. PERSON'!O$15</f>
        <v/>
      </c>
      <c r="L656" s="111" t="str">
        <f>'5. PERSON'!P$15</f>
        <v/>
      </c>
      <c r="M656" s="112" t="s">
        <v>2</v>
      </c>
    </row>
    <row r="657" spans="2:15" s="3" customFormat="1" ht="12.75" customHeight="1" x14ac:dyDescent="0.25">
      <c r="B657" s="722" t="str">
        <f>IF('1. INTRO'!I$2="English","Salary including social costs (LKP)","Lön inklusive LKP")</f>
        <v>Salary including social costs (LKP)</v>
      </c>
      <c r="C657" s="723">
        <f>IF('2. START'!$C$14&gt;0,SUMIF('5. PERSON'!$B$17:$B$192,$C654,'5. PERSON'!DN$17:DN$192),SUMIF('5. PERSON'!$B$17:$B$192,$C654,'5. PERSON'!AT$17:AT$192))</f>
        <v>0</v>
      </c>
      <c r="D657" s="723">
        <f>IF('2. START'!$C$14&gt;0,SUMIF('5. PERSON'!$B$17:$B$192,$C654,'5. PERSON'!DO$17:DO$192),SUMIF('5. PERSON'!$B$17:$B$192,$C654,'5. PERSON'!AU$17:AU$192))</f>
        <v>0</v>
      </c>
      <c r="E657" s="723">
        <f>IF('2. START'!$C$14&gt;0,SUMIF('5. PERSON'!$B$17:$B$192,$C654,'5. PERSON'!DP$17:DP$192),SUMIF('5. PERSON'!$B$17:$B$192,$C654,'5. PERSON'!AV$17:AV$192))</f>
        <v>0</v>
      </c>
      <c r="F657" s="723">
        <f>IF('2. START'!$C$14&gt;0,SUMIF('5. PERSON'!$B$17:$B$192,$C654,'5. PERSON'!DQ$17:DQ$192),SUMIF('5. PERSON'!$B$17:$B$192,$C654,'5. PERSON'!AW$17:AW$192))</f>
        <v>0</v>
      </c>
      <c r="G657" s="723">
        <f>IF('2. START'!$C$14&gt;0,SUMIF('5. PERSON'!$B$17:$B$192,$C654,'5. PERSON'!DR$17:DR$192),SUMIF('5. PERSON'!$B$17:$B$192,$C654,'5. PERSON'!AX$17:AX$192))</f>
        <v>0</v>
      </c>
      <c r="H657" s="723">
        <f>IF('2. START'!$C$14&gt;0,SUMIF('5. PERSON'!$B$17:$B$192,$C654,'5. PERSON'!DS$17:DS$192),SUMIF('5. PERSON'!$B$17:$B$192,$C654,'5. PERSON'!AY$17:AY$192))</f>
        <v>0</v>
      </c>
      <c r="I657" s="723">
        <f>IF('2. START'!$C$14&gt;0,SUMIF('5. PERSON'!$B$17:$B$192,$C654,'5. PERSON'!DT$17:DT$192),SUMIF('5. PERSON'!$B$17:$B$192,$C654,'5. PERSON'!AZ$17:AZ$192))</f>
        <v>0</v>
      </c>
      <c r="J657" s="723">
        <f>IF('2. START'!$C$14&gt;0,SUMIF('5. PERSON'!$B$17:$B$192,$C654,'5. PERSON'!DU$17:DU$192),SUMIF('5. PERSON'!$B$17:$B$192,$C654,'5. PERSON'!BA$17:BA$192))</f>
        <v>0</v>
      </c>
      <c r="K657" s="723">
        <f>IF('2. START'!$C$14&gt;0,SUMIF('5. PERSON'!$B$17:$B$192,$C654,'5. PERSON'!DV$17:DV$192),SUMIF('5. PERSON'!$B$17:$B$192,$C654,'5. PERSON'!BB$17:BB$192))</f>
        <v>0</v>
      </c>
      <c r="L657" s="723">
        <f>IF('2. START'!$C$14&gt;0,SUMIF('5. PERSON'!$B$17:$B$192,$C654,'5. PERSON'!DW$17:DW$192),SUMIF('5. PERSON'!$B$17:$B$192,$C654,'5. PERSON'!BC$17:BC$192))</f>
        <v>0</v>
      </c>
      <c r="M657" s="724">
        <f t="shared" ref="M657:M662" si="133">SUM(C657:L657)</f>
        <v>0</v>
      </c>
      <c r="O657" s="4"/>
    </row>
    <row r="658" spans="2:15" s="3" customFormat="1" ht="12.75" customHeight="1" x14ac:dyDescent="0.25">
      <c r="B658" s="80" t="str">
        <f>IF('1. INTRO'!I$2="English","Operating","Drift")</f>
        <v>Operating</v>
      </c>
      <c r="C658" s="116">
        <f>SUMIF('6. OPERATION'!$B$17:$B$149,$C654,'6. OPERATION'!W$17:W$149)</f>
        <v>0</v>
      </c>
      <c r="D658" s="116">
        <f>SUMIF('6. OPERATION'!$B$17:$B$149,$C654,'6. OPERATION'!X$17:X$149)</f>
        <v>0</v>
      </c>
      <c r="E658" s="116">
        <f>SUMIF('6. OPERATION'!$B$17:$B$149,$C654,'6. OPERATION'!Y$17:Y$149)</f>
        <v>0</v>
      </c>
      <c r="F658" s="116">
        <f>SUMIF('6. OPERATION'!$B$17:$B$149,$C654,'6. OPERATION'!Z$17:Z$149)</f>
        <v>0</v>
      </c>
      <c r="G658" s="116">
        <f>SUMIF('6. OPERATION'!$B$17:$B$149,$C654,'6. OPERATION'!AA$17:AA$149)</f>
        <v>0</v>
      </c>
      <c r="H658" s="116">
        <f>SUMIF('6. OPERATION'!$B$17:$B$149,$C654,'6. OPERATION'!AB$17:AB$149)</f>
        <v>0</v>
      </c>
      <c r="I658" s="116">
        <f>SUMIF('6. OPERATION'!$B$17:$B$149,$C654,'6. OPERATION'!AC$17:AC$149)</f>
        <v>0</v>
      </c>
      <c r="J658" s="116">
        <f>SUMIF('6. OPERATION'!$B$17:$B$149,$C654,'6. OPERATION'!AD$17:AD$149)</f>
        <v>0</v>
      </c>
      <c r="K658" s="116">
        <f>SUMIF('6. OPERATION'!$B$17:$B$149,$C654,'6. OPERATION'!AE$17:AE$149)</f>
        <v>0</v>
      </c>
      <c r="L658" s="116">
        <f>SUMIF('6. OPERATION'!$B$17:$B$149,$C654,'6. OPERATION'!AF$17:AF$149)</f>
        <v>0</v>
      </c>
      <c r="M658" s="117">
        <f t="shared" si="133"/>
        <v>0</v>
      </c>
    </row>
    <row r="659" spans="2:15" s="3" customFormat="1" ht="13.2" x14ac:dyDescent="0.25">
      <c r="B659" s="725" t="str">
        <f>IF('1. INTRO'!I$2="English","Equipment","Utrustning")</f>
        <v>Equipment</v>
      </c>
      <c r="C659" s="726">
        <f>SUMIF('7. INVEST'!$B$17:$B$49,$C654,'7. INVEST'!W$17:W$49)</f>
        <v>0</v>
      </c>
      <c r="D659" s="726">
        <f>SUMIF('7. INVEST'!$B$17:$B$49,$C654,'7. INVEST'!X$17:X$49)</f>
        <v>0</v>
      </c>
      <c r="E659" s="726">
        <f>SUMIF('7. INVEST'!$B$17:$B$49,$C654,'7. INVEST'!Y$17:Y$49)</f>
        <v>0</v>
      </c>
      <c r="F659" s="726">
        <f>SUMIF('7. INVEST'!$B$17:$B$49,$C654,'7. INVEST'!Z$17:Z$49)</f>
        <v>0</v>
      </c>
      <c r="G659" s="726">
        <f>SUMIF('7. INVEST'!$B$17:$B$49,$C654,'7. INVEST'!AA$17:AA$49)</f>
        <v>0</v>
      </c>
      <c r="H659" s="726">
        <f>SUMIF('7. INVEST'!$B$17:$B$49,$C654,'7. INVEST'!AB$17:AB$49)</f>
        <v>0</v>
      </c>
      <c r="I659" s="726">
        <f>SUMIF('7. INVEST'!$B$17:$B$49,$C654,'7. INVEST'!AC$17:AC$49)</f>
        <v>0</v>
      </c>
      <c r="J659" s="726">
        <f>SUMIF('7. INVEST'!$B$17:$B$49,$C654,'7. INVEST'!AD$17:AD$49)</f>
        <v>0</v>
      </c>
      <c r="K659" s="726">
        <f>SUMIF('7. INVEST'!$B$17:$B$49,$C654,'7. INVEST'!AE$17:AE$49)</f>
        <v>0</v>
      </c>
      <c r="L659" s="726">
        <f>SUMIF('7. INVEST'!$B$17:$B$49,$C654,'7. INVEST'!AF$17:AF$49)</f>
        <v>0</v>
      </c>
      <c r="M659" s="727">
        <f t="shared" si="133"/>
        <v>0</v>
      </c>
    </row>
    <row r="660" spans="2:15" s="3" customFormat="1" ht="13.2" x14ac:dyDescent="0.25">
      <c r="B660" s="121" t="str">
        <f>IF('1. INTRO'!I$2="English",(IF('2. START'!C$11="NO","Facility accepted as direct cost by funding body","Facility")),IF('2. START'!C$11="NO","Lokal accepterad som direkt kostnad av finansiär","Lokal"))</f>
        <v>Facility</v>
      </c>
      <c r="C660" s="116">
        <f>IF('2. START'!$C$11="NO",SUMIF('8. FACILIT'!$B$18:$B$50,$C654,'8. FACILIT'!T$18:T$50),SUMIF('5. PERSON'!$B$17:$B$192,$C654,'5. PERSON'!CP$17:CP$192)+SUMIF('6. OPERATION'!$B$17:$B$149,$C654,'6. OPERATION'!BS$17:BS$149)+SUMIF('8. FACILIT'!$B$18:$B$50,$C654,'8. FACILIT'!T$18:T$50))</f>
        <v>0</v>
      </c>
      <c r="D660" s="116">
        <f>IF('2. START'!$C$11="NO",SUMIF('8. FACILIT'!$B$18:$B$50,$C654,'8. FACILIT'!U$18:U$50),SUMIF('5. PERSON'!$B$17:$B$192,$C654,'5. PERSON'!CQ$17:CQ$192)+SUMIF('6. OPERATION'!$B$17:$B$149,$C654,'6. OPERATION'!BT$17:BT$149)+SUMIF('8. FACILIT'!$B$18:$B$50,$C654,'8. FACILIT'!U$18:U$50))</f>
        <v>0</v>
      </c>
      <c r="E660" s="116">
        <f>IF('2. START'!$C$11="NO",SUMIF('8. FACILIT'!$B$18:$B$50,$C654,'8. FACILIT'!V$18:V$50),SUMIF('5. PERSON'!$B$17:$B$192,$C654,'5. PERSON'!CR$17:CR$192)+SUMIF('6. OPERATION'!$B$17:$B$149,$C654,'6. OPERATION'!BU$17:BU$149)+SUMIF('8. FACILIT'!$B$18:$B$50,$C654,'8. FACILIT'!V$18:V$50))</f>
        <v>0</v>
      </c>
      <c r="F660" s="116">
        <f>IF('2. START'!$C$11="NO",SUMIF('8. FACILIT'!$B$18:$B$50,$C654,'8. FACILIT'!W$18:W$50),SUMIF('5. PERSON'!$B$17:$B$192,$C654,'5. PERSON'!CS$17:CS$192)+SUMIF('6. OPERATION'!$B$17:$B$149,$C654,'6. OPERATION'!BV$17:BV$149)+SUMIF('8. FACILIT'!$B$18:$B$50,$C654,'8. FACILIT'!W$18:W$50))</f>
        <v>0</v>
      </c>
      <c r="G660" s="116">
        <f>IF('2. START'!$C$11="NO",SUMIF('8. FACILIT'!$B$18:$B$50,$C654,'8. FACILIT'!X$18:X$50),SUMIF('5. PERSON'!$B$17:$B$192,$C654,'5. PERSON'!CT$17:CT$192)+SUMIF('6. OPERATION'!$B$17:$B$149,$C654,'6. OPERATION'!BW$17:BW$149)+SUMIF('8. FACILIT'!$B$18:$B$50,$C654,'8. FACILIT'!X$18:X$50))</f>
        <v>0</v>
      </c>
      <c r="H660" s="116">
        <f>IF('2. START'!$C$11="NO",SUMIF('8. FACILIT'!$B$18:$B$50,$C654,'8. FACILIT'!Y$18:Y$50),SUMIF('5. PERSON'!$B$17:$B$192,$C654,'5. PERSON'!CU$17:CU$192)+SUMIF('6. OPERATION'!$B$17:$B$149,$C654,'6. OPERATION'!BX$17:BX$149)+SUMIF('8. FACILIT'!$B$18:$B$50,$C654,'8. FACILIT'!Y$18:Y$50))</f>
        <v>0</v>
      </c>
      <c r="I660" s="116">
        <f>IF('2. START'!$C$11="NO",SUMIF('8. FACILIT'!$B$18:$B$50,$C654,'8. FACILIT'!Z$18:Z$50),SUMIF('5. PERSON'!$B$17:$B$192,$C654,'5. PERSON'!CV$17:CV$192)+SUMIF('6. OPERATION'!$B$17:$B$149,$C654,'6. OPERATION'!BY$17:BY$149)+SUMIF('8. FACILIT'!$B$18:$B$50,$C654,'8. FACILIT'!Z$18:Z$50))</f>
        <v>0</v>
      </c>
      <c r="J660" s="116">
        <f>IF('2. START'!$C$11="NO",SUMIF('8. FACILIT'!$B$18:$B$50,$C654,'8. FACILIT'!AA$18:AA$50),SUMIF('5. PERSON'!$B$17:$B$192,$C654,'5. PERSON'!CW$17:CW$192)+SUMIF('6. OPERATION'!$B$17:$B$149,$C654,'6. OPERATION'!BZ$17:BZ$149)+SUMIF('8. FACILIT'!$B$18:$B$50,$C654,'8. FACILIT'!AA$18:AA$50))</f>
        <v>0</v>
      </c>
      <c r="K660" s="116">
        <f>IF('2. START'!$C$11="NO",SUMIF('8. FACILIT'!$B$18:$B$50,$C654,'8. FACILIT'!AB$18:AB$50),SUMIF('5. PERSON'!$B$17:$B$192,$C654,'5. PERSON'!CX$17:CX$192)+SUMIF('6. OPERATION'!$B$17:$B$149,$C654,'6. OPERATION'!CA$17:CA$149)+SUMIF('8. FACILIT'!$B$18:$B$50,$C654,'8. FACILIT'!AB$18:AB$50))</f>
        <v>0</v>
      </c>
      <c r="L660" s="116">
        <f>IF('2. START'!$C$11="NO",SUMIF('8. FACILIT'!$B$18:$B$50,$C654,'8. FACILIT'!AC$18:AC$50),SUMIF('5. PERSON'!$B$17:$B$192,$C654,'5. PERSON'!CY$17:CY$192)+SUMIF('6. OPERATION'!$B$17:$B$149,$C654,'6. OPERATION'!CB$17:CB$149)+SUMIF('8. FACILIT'!$B$18:$B$50,$C654,'8. FACILIT'!AC$18:AC$50))</f>
        <v>0</v>
      </c>
      <c r="M660" s="117">
        <f t="shared" si="133"/>
        <v>0</v>
      </c>
    </row>
    <row r="661" spans="2:15" s="3" customFormat="1" ht="13.2" x14ac:dyDescent="0.25">
      <c r="B661" s="728" t="str">
        <f>IF('1. INTRO'!I$2="English",(IF('2. START'!C$11="NO","Indirect and facility charge accepted as OH by funding body","Indirect")),IF('2. START'!C$11="NO","Indirekt och lokalpåslag accepterade som OH av finansiär","Indirekt"))</f>
        <v>Indirect</v>
      </c>
      <c r="C661" s="729">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729">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729">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729">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729">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729">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729">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729">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729">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729">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727">
        <f t="shared" si="133"/>
        <v>0</v>
      </c>
    </row>
    <row r="662" spans="2:15" s="3" customFormat="1" ht="13.2" x14ac:dyDescent="0.25">
      <c r="B662" s="124" t="s">
        <v>113</v>
      </c>
      <c r="C662" s="102">
        <f>SUM(C657:C661)</f>
        <v>0</v>
      </c>
      <c r="D662" s="102">
        <f t="shared" ref="D662:L662" si="134">SUM(D657:D661)</f>
        <v>0</v>
      </c>
      <c r="E662" s="102">
        <f t="shared" si="134"/>
        <v>0</v>
      </c>
      <c r="F662" s="102">
        <f t="shared" si="134"/>
        <v>0</v>
      </c>
      <c r="G662" s="102">
        <f t="shared" si="134"/>
        <v>0</v>
      </c>
      <c r="H662" s="102">
        <f t="shared" si="134"/>
        <v>0</v>
      </c>
      <c r="I662" s="102">
        <f t="shared" si="134"/>
        <v>0</v>
      </c>
      <c r="J662" s="102">
        <f t="shared" si="134"/>
        <v>0</v>
      </c>
      <c r="K662" s="102">
        <f t="shared" si="134"/>
        <v>0</v>
      </c>
      <c r="L662" s="102">
        <f t="shared" si="134"/>
        <v>0</v>
      </c>
      <c r="M662" s="125">
        <f t="shared" si="133"/>
        <v>0</v>
      </c>
    </row>
    <row r="663" spans="2:15" s="3" customFormat="1" ht="6" customHeight="1" x14ac:dyDescent="0.25">
      <c r="B663" s="126"/>
      <c r="C663" s="127"/>
      <c r="D663" s="127"/>
      <c r="E663" s="127"/>
      <c r="F663" s="127"/>
      <c r="G663" s="127"/>
      <c r="H663" s="127"/>
      <c r="I663" s="127"/>
      <c r="J663" s="127"/>
      <c r="K663" s="127"/>
      <c r="L663" s="127"/>
      <c r="M663" s="128"/>
    </row>
    <row r="664" spans="2:15" s="3" customFormat="1" ht="13.2" x14ac:dyDescent="0.25">
      <c r="B664" s="129" t="str">
        <f>IF('1. INTRO'!I$2="English","Costs to be co-funded","Kostnader att medfinansiera")</f>
        <v>Costs to be co-funded</v>
      </c>
      <c r="C664" s="86"/>
      <c r="D664" s="86"/>
      <c r="E664" s="86"/>
      <c r="F664" s="86"/>
      <c r="G664" s="86"/>
      <c r="H664" s="86"/>
      <c r="I664" s="86"/>
      <c r="J664" s="86"/>
      <c r="K664" s="86"/>
      <c r="L664" s="86"/>
      <c r="M664" s="130"/>
    </row>
    <row r="665" spans="2:15" s="3" customFormat="1" ht="13.2" x14ac:dyDescent="0.25">
      <c r="B665" s="730" t="str">
        <f>IF('1. INTRO'!I$2="English",(IF('2. START'!C$11="NO","Indirect and facility charge not accepted as OH by funding body","")),IF('2. START'!C$11="NO","Indirekt och lokalpåslag inte accepterade som OH av finansiär",""))</f>
        <v/>
      </c>
      <c r="C665" s="731">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731">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731">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731">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731">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731">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731">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731">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731">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731">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724">
        <f t="shared" ref="M665:M671" si="135">SUM(C665:L665)</f>
        <v>0</v>
      </c>
    </row>
    <row r="666" spans="2:15" s="3" customFormat="1" ht="12.75" customHeight="1" x14ac:dyDescent="0.25">
      <c r="B666" s="132" t="str">
        <f>IF('1. INTRO'!I$2="English",(IF('2. START'!C$14&gt;0,"Social costs (LKP) not accepted by funding body","")),IF('2. START'!C$14&gt;0,"LKP som inte accepteras av finansiär",""))</f>
        <v/>
      </c>
      <c r="C666" s="133">
        <f>IF('2. START'!$C$14&gt;0,SUMIF('5. PERSON'!$B$17:$B$192,$C654,'5. PERSON'!AT$17:AT$192)-SUMIF('5. PERSON'!$B$17:$B$192,$C654,'5. PERSON'!DN$17:DN$192),0)</f>
        <v>0</v>
      </c>
      <c r="D666" s="133">
        <f>IF('2. START'!$C$14&gt;0,SUMIF('5. PERSON'!$B$17:$B$192,$C654,'5. PERSON'!AU$17:AU$192)-SUMIF('5. PERSON'!$B$17:$B$192,$C654,'5. PERSON'!DO$17:DO$192),0)</f>
        <v>0</v>
      </c>
      <c r="E666" s="133">
        <f>IF('2. START'!$C$14&gt;0,SUMIF('5. PERSON'!$B$17:$B$192,$C654,'5. PERSON'!AV$17:AV$192)-SUMIF('5. PERSON'!$B$17:$B$192,$C654,'5. PERSON'!DP$17:DP$192),0)</f>
        <v>0</v>
      </c>
      <c r="F666" s="133">
        <f>IF('2. START'!$C$14&gt;0,SUMIF('5. PERSON'!$B$17:$B$192,$C654,'5. PERSON'!AW$17:AW$192)-SUMIF('5. PERSON'!$B$17:$B$192,$C654,'5. PERSON'!DQ$17:DQ$192),0)</f>
        <v>0</v>
      </c>
      <c r="G666" s="133">
        <f>IF('2. START'!$C$14&gt;0,SUMIF('5. PERSON'!$B$17:$B$192,$C654,'5. PERSON'!AX$17:AX$192)-SUMIF('5. PERSON'!$B$17:$B$192,$C654,'5. PERSON'!DR$17:DR$192),0)</f>
        <v>0</v>
      </c>
      <c r="H666" s="133">
        <f>IF('2. START'!$C$14&gt;0,SUMIF('5. PERSON'!$B$17:$B$192,$C654,'5. PERSON'!AY$17:AY$192)-SUMIF('5. PERSON'!$B$17:$B$192,$C654,'5. PERSON'!DS$17:DS$192),0)</f>
        <v>0</v>
      </c>
      <c r="I666" s="133">
        <f>IF('2. START'!$C$14&gt;0,SUMIF('5. PERSON'!$B$17:$B$192,$C654,'5. PERSON'!AZ$17:AZ$192)-SUMIF('5. PERSON'!$B$17:$B$192,$C654,'5. PERSON'!DT$17:DT$192),0)</f>
        <v>0</v>
      </c>
      <c r="J666" s="133">
        <f>IF('2. START'!$C$14&gt;0,SUMIF('5. PERSON'!$B$17:$B$192,$C654,'5. PERSON'!BA$17:BA$192)-SUMIF('5. PERSON'!$B$17:$B$192,$C654,'5. PERSON'!DU$17:DU$192),0)</f>
        <v>0</v>
      </c>
      <c r="K666" s="133">
        <f>IF('2. START'!$C$14&gt;0,SUMIF('5. PERSON'!$B$17:$B$192,$C654,'5. PERSON'!BB$17:BB$192)-SUMIF('5. PERSON'!$B$17:$B$192,$C654,'5. PERSON'!DV$17:DV$192),0)</f>
        <v>0</v>
      </c>
      <c r="L666" s="133">
        <f>IF('2. START'!$C$14&gt;0,SUMIF('5. PERSON'!$B$17:$B$192,$C654,'5. PERSON'!BC$17:BC$192)-SUMIF('5. PERSON'!$B$17:$B$192,$C654,'5. PERSON'!DW$17:DW$192),0)</f>
        <v>0</v>
      </c>
      <c r="M666" s="117">
        <f t="shared" si="135"/>
        <v>0</v>
      </c>
    </row>
    <row r="667" spans="2:15" s="3" customFormat="1" ht="12.75" customHeight="1" x14ac:dyDescent="0.25">
      <c r="B667" s="725" t="str">
        <f>IF('1. INTRO'!I$2="English",(IF('5. PERSON'!BP$193&gt;0,"Salary including social costs (LKP)","")),IF('5. PERSON'!BP$193&gt;0,"Lön inklusive LKP",""))</f>
        <v/>
      </c>
      <c r="C667" s="732">
        <f>SUMIF('5. PERSON'!$B$17:$B$192,$C654,'5. PERSON'!BF$17:BF$192)</f>
        <v>0</v>
      </c>
      <c r="D667" s="732">
        <f>SUMIF('5. PERSON'!$B$17:$B$192,$C654,'5. PERSON'!BG$17:BG$192)</f>
        <v>0</v>
      </c>
      <c r="E667" s="732">
        <f>SUMIF('5. PERSON'!$B$17:$B$192,$C654,'5. PERSON'!BH$17:BH$192)</f>
        <v>0</v>
      </c>
      <c r="F667" s="732">
        <f>SUMIF('5. PERSON'!$B$17:$B$192,$C654,'5. PERSON'!BI$17:BI$192)</f>
        <v>0</v>
      </c>
      <c r="G667" s="732">
        <f>SUMIF('5. PERSON'!$B$17:$B$192,$C654,'5. PERSON'!BJ$17:BJ$192)</f>
        <v>0</v>
      </c>
      <c r="H667" s="732">
        <f>SUMIF('5. PERSON'!$B$17:$B$192,$C654,'5. PERSON'!BK$17:BK$192)</f>
        <v>0</v>
      </c>
      <c r="I667" s="732">
        <f>SUMIF('5. PERSON'!$B$17:$B$192,$C654,'5. PERSON'!BL$17:BL$192)</f>
        <v>0</v>
      </c>
      <c r="J667" s="732">
        <f>SUMIF('5. PERSON'!$B$17:$B$192,$C654,'5. PERSON'!BM$17:BM$192)</f>
        <v>0</v>
      </c>
      <c r="K667" s="732">
        <f>SUMIF('5. PERSON'!$B$17:$B$192,$C654,'5. PERSON'!BN$17:BN$192)</f>
        <v>0</v>
      </c>
      <c r="L667" s="732">
        <f>SUMIF('5. PERSON'!$B$17:$B$192,$C654,'5. PERSON'!BO$17:BO$192)</f>
        <v>0</v>
      </c>
      <c r="M667" s="727">
        <f t="shared" si="135"/>
        <v>0</v>
      </c>
    </row>
    <row r="668" spans="2:15" s="3" customFormat="1" ht="13.2" x14ac:dyDescent="0.25">
      <c r="B668" s="80" t="str">
        <f>IF('1. INTRO'!I$2="English",(IF('6. OPERATION'!AS$150&gt;0,"Operating","")),IF('6. OPERATION'!AS$150&gt;0,"Drift",""))</f>
        <v/>
      </c>
      <c r="C668" s="135">
        <f>SUMIF('6. OPERATION'!$B$17:$B$149,$C654,'6. OPERATION'!AI$17:AI$149)</f>
        <v>0</v>
      </c>
      <c r="D668" s="135">
        <f>SUMIF('6. OPERATION'!$B$17:$B$149,$C654,'6. OPERATION'!AJ$17:AJ$149)</f>
        <v>0</v>
      </c>
      <c r="E668" s="135">
        <f>SUMIF('6. OPERATION'!$B$17:$B$149,$C654,'6. OPERATION'!AK$17:AK$149)</f>
        <v>0</v>
      </c>
      <c r="F668" s="135">
        <f>SUMIF('6. OPERATION'!$B$17:$B$149,$C654,'6. OPERATION'!AL$17:AL$149)</f>
        <v>0</v>
      </c>
      <c r="G668" s="135">
        <f>SUMIF('6. OPERATION'!$B$17:$B$149,$C654,'6. OPERATION'!AM$17:AM$149)</f>
        <v>0</v>
      </c>
      <c r="H668" s="135">
        <f>SUMIF('6. OPERATION'!$B$17:$B$149,$C654,'6. OPERATION'!AN$17:AN$149)</f>
        <v>0</v>
      </c>
      <c r="I668" s="135">
        <f>SUMIF('6. OPERATION'!$B$17:$B$149,$C654,'6. OPERATION'!AO$17:AO$149)</f>
        <v>0</v>
      </c>
      <c r="J668" s="135">
        <f>SUMIF('6. OPERATION'!$B$17:$B$149,$C654,'6. OPERATION'!AP$17:AP$149)</f>
        <v>0</v>
      </c>
      <c r="K668" s="135">
        <f>SUMIF('6. OPERATION'!$B$17:$B$149,$C654,'6. OPERATION'!AQ$17:AQ$149)</f>
        <v>0</v>
      </c>
      <c r="L668" s="135">
        <f>SUMIF('6. OPERATION'!$B$17:$B$149,$C654,'6. OPERATION'!AR$17:AR$149)</f>
        <v>0</v>
      </c>
      <c r="M668" s="117">
        <f t="shared" si="135"/>
        <v>0</v>
      </c>
    </row>
    <row r="669" spans="2:15" s="3" customFormat="1" ht="13.2" x14ac:dyDescent="0.25">
      <c r="B669" s="725" t="str">
        <f>IF('1. INTRO'!I$2="English",(IF('7. INVEST'!AS$50&gt;0,"Equipment","")),IF('7. INVEST'!AS$50&gt;0,"Utrustning",""))</f>
        <v/>
      </c>
      <c r="C669" s="732">
        <f>SUMIF('7. INVEST'!$B$17:$B$49,$C654,'7. INVEST'!AI$17:AI$49)</f>
        <v>0</v>
      </c>
      <c r="D669" s="732">
        <f>SUMIF('7. INVEST'!$B$17:$B$49,$C654,'7. INVEST'!AJ$17:AJ$49)</f>
        <v>0</v>
      </c>
      <c r="E669" s="732">
        <f>SUMIF('7. INVEST'!$B$17:$B$49,$C654,'7. INVEST'!AK$17:AK$49)</f>
        <v>0</v>
      </c>
      <c r="F669" s="732">
        <f>SUMIF('7. INVEST'!$B$17:$B$49,$C654,'7. INVEST'!AL$17:AL$49)</f>
        <v>0</v>
      </c>
      <c r="G669" s="732">
        <f>SUMIF('7. INVEST'!$B$17:$B$49,$C654,'7. INVEST'!AM$17:AM$49)</f>
        <v>0</v>
      </c>
      <c r="H669" s="732">
        <f>SUMIF('7. INVEST'!$B$17:$B$49,$C654,'7. INVEST'!AN$17:AN$49)</f>
        <v>0</v>
      </c>
      <c r="I669" s="732">
        <f>SUMIF('7. INVEST'!$B$17:$B$49,$C654,'7. INVEST'!AO$17:AO$49)</f>
        <v>0</v>
      </c>
      <c r="J669" s="732">
        <f>SUMIF('7. INVEST'!$B$17:$B$49,$C654,'7. INVEST'!AP$17:AP$49)</f>
        <v>0</v>
      </c>
      <c r="K669" s="732">
        <f>SUMIF('7. INVEST'!$B$17:$B$49,$C654,'7. INVEST'!AQ$17:AQ$49)</f>
        <v>0</v>
      </c>
      <c r="L669" s="732">
        <f>SUMIF('7. INVEST'!$B$17:$B$49,$C654,'7. INVEST'!AR$17:AR$49)</f>
        <v>0</v>
      </c>
      <c r="M669" s="727">
        <f t="shared" si="135"/>
        <v>0</v>
      </c>
    </row>
    <row r="670" spans="2:15" s="3" customFormat="1" ht="13.2" x14ac:dyDescent="0.25">
      <c r="B670" s="121" t="str">
        <f>IF('1. INTRO'!I$2="English",(IF('8. FACILIT'!AP$51&gt;0,"Facility","")),IF('8. FACILIT'!AP$51&gt;0,"Lokal",""))</f>
        <v/>
      </c>
      <c r="C670" s="135">
        <f>SUMIF('5. PERSON'!$B$17:$B$192,$C654,'5. PERSON'!DB$17:DB$192)+SUMIF('6. OPERATION'!$B$17:$B$149,$C654,'6. OPERATION'!CE$17:CE$149)+SUMIF('8. FACILIT'!$B$18:$B$50,$C654,'8. FACILIT'!AF$18:AF$50)</f>
        <v>0</v>
      </c>
      <c r="D670" s="135">
        <f>SUMIF('5. PERSON'!$B$17:$B$192,$C654,'5. PERSON'!DC$17:DC$192)+SUMIF('6. OPERATION'!$B$17:$B$149,$C654,'6. OPERATION'!CF$17:CF$149)+SUMIF('8. FACILIT'!$B$18:$B$50,$C654,'8. FACILIT'!AG$18:AG$50)</f>
        <v>0</v>
      </c>
      <c r="E670" s="135">
        <f>SUMIF('5. PERSON'!$B$17:$B$192,$C654,'5. PERSON'!DD$17:DD$192)+SUMIF('6. OPERATION'!$B$17:$B$149,$C654,'6. OPERATION'!CG$17:CG$149)+SUMIF('8. FACILIT'!$B$18:$B$50,$C654,'8. FACILIT'!AH$18:AH$50)</f>
        <v>0</v>
      </c>
      <c r="F670" s="135">
        <f>SUMIF('5. PERSON'!$B$17:$B$192,$C654,'5. PERSON'!DE$17:DE$192)+SUMIF('6. OPERATION'!$B$17:$B$149,$C654,'6. OPERATION'!CH$17:CH$149)+SUMIF('8. FACILIT'!$B$18:$B$50,$C654,'8. FACILIT'!AI$18:AI$50)</f>
        <v>0</v>
      </c>
      <c r="G670" s="135">
        <f>SUMIF('5. PERSON'!$B$17:$B$192,$C654,'5. PERSON'!DF$17:DF$192)+SUMIF('6. OPERATION'!$B$17:$B$149,$C654,'6. OPERATION'!CI$17:CI$149)+SUMIF('8. FACILIT'!$B$18:$B$50,$C654,'8. FACILIT'!AJ$18:AJ$50)</f>
        <v>0</v>
      </c>
      <c r="H670" s="135">
        <f>SUMIF('5. PERSON'!$B$17:$B$192,$C654,'5. PERSON'!DG$17:DG$192)+SUMIF('6. OPERATION'!$B$17:$B$149,$C654,'6. OPERATION'!CJ$17:CJ$149)+SUMIF('8. FACILIT'!$B$18:$B$50,$C654,'8. FACILIT'!AK$18:AK$50)</f>
        <v>0</v>
      </c>
      <c r="I670" s="135">
        <f>SUMIF('5. PERSON'!$B$17:$B$192,$C654,'5. PERSON'!DH$17:DH$192)+SUMIF('6. OPERATION'!$B$17:$B$149,$C654,'6. OPERATION'!CK$17:CK$149)+SUMIF('8. FACILIT'!$B$18:$B$50,$C654,'8. FACILIT'!AL$18:AL$50)</f>
        <v>0</v>
      </c>
      <c r="J670" s="135">
        <f>SUMIF('5. PERSON'!$B$17:$B$192,$C654,'5. PERSON'!DI$17:DI$192)+SUMIF('6. OPERATION'!$B$17:$B$149,$C654,'6. OPERATION'!CL$17:CL$149)+SUMIF('8. FACILIT'!$B$18:$B$50,$C654,'8. FACILIT'!AM$18:AM$50)</f>
        <v>0</v>
      </c>
      <c r="K670" s="135">
        <f>SUMIF('5. PERSON'!$B$17:$B$192,$C654,'5. PERSON'!DJ$17:DJ$192)+SUMIF('6. OPERATION'!$B$17:$B$149,$C654,'6. OPERATION'!CM$17:CM$149)+SUMIF('8. FACILIT'!$B$18:$B$50,$C654,'8. FACILIT'!AN$18:AN$50)</f>
        <v>0</v>
      </c>
      <c r="L670" s="135">
        <f>SUMIF('5. PERSON'!$B$17:$B$192,$C654,'5. PERSON'!DK$17:DK$192)+SUMIF('6. OPERATION'!$B$17:$B$149,$C654,'6. OPERATION'!CN$17:CN$149)+SUMIF('8. FACILIT'!$B$18:$B$50,$C654,'8. FACILIT'!AO$18:AO$50)</f>
        <v>0</v>
      </c>
      <c r="M670" s="117">
        <f t="shared" si="135"/>
        <v>0</v>
      </c>
    </row>
    <row r="671" spans="2:15" s="1" customFormat="1" ht="13.2" x14ac:dyDescent="0.25">
      <c r="B671" s="728" t="str">
        <f>IF('1. INTRO'!I$2="English",(IF(('5. PERSON'!CN$193+'6. OPERATION'!BQ$150)&gt;0,"Indirect","")),IF(('5. PERSON'!CN$193+'6. OPERATION'!BQ$150)&gt;0,"Indirekt",""))</f>
        <v/>
      </c>
      <c r="C671" s="729">
        <f>SUMIF('5. PERSON'!$B$17:$B$192,$C654,'5. PERSON'!CD$17:CD$192)+SUMIF('6. OPERATION'!$B$17:$B$149,$C654,'6. OPERATION'!BG$17:BG$149)</f>
        <v>0</v>
      </c>
      <c r="D671" s="729">
        <f>SUMIF('5. PERSON'!$B$17:$B$192,$C654,'5. PERSON'!CE$17:CE$192)+SUMIF('6. OPERATION'!$B$17:$B$149,$C654,'6. OPERATION'!BH$17:BH$149)</f>
        <v>0</v>
      </c>
      <c r="E671" s="729">
        <f>SUMIF('5. PERSON'!$B$17:$B$192,$C654,'5. PERSON'!CF$17:CF$192)+SUMIF('6. OPERATION'!$B$17:$B$149,$C654,'6. OPERATION'!BI$17:BI$149)</f>
        <v>0</v>
      </c>
      <c r="F671" s="729">
        <f>SUMIF('5. PERSON'!$B$17:$B$192,$C654,'5. PERSON'!CG$17:CG$192)+SUMIF('6. OPERATION'!$B$17:$B$149,$C654,'6. OPERATION'!BJ$17:BJ$149)</f>
        <v>0</v>
      </c>
      <c r="G671" s="729">
        <f>SUMIF('5. PERSON'!$B$17:$B$192,$C654,'5. PERSON'!CH$17:CH$192)+SUMIF('6. OPERATION'!$B$17:$B$149,$C654,'6. OPERATION'!BK$17:BK$149)</f>
        <v>0</v>
      </c>
      <c r="H671" s="729">
        <f>SUMIF('5. PERSON'!$B$17:$B$192,$C654,'5. PERSON'!CI$17:CI$192)+SUMIF('6. OPERATION'!$B$17:$B$149,$C654,'6. OPERATION'!BL$17:BL$149)</f>
        <v>0</v>
      </c>
      <c r="I671" s="729">
        <f>SUMIF('5. PERSON'!$B$17:$B$192,$C654,'5. PERSON'!CJ$17:CJ$192)+SUMIF('6. OPERATION'!$B$17:$B$149,$C654,'6. OPERATION'!BM$17:BM$149)</f>
        <v>0</v>
      </c>
      <c r="J671" s="729">
        <f>SUMIF('5. PERSON'!$B$17:$B$192,$C654,'5. PERSON'!CK$17:CK$192)+SUMIF('6. OPERATION'!$B$17:$B$149,$C654,'6. OPERATION'!BN$17:BN$149)</f>
        <v>0</v>
      </c>
      <c r="K671" s="729">
        <f>SUMIF('5. PERSON'!$B$17:$B$192,$C654,'5. PERSON'!CL$17:CL$192)+SUMIF('6. OPERATION'!$B$17:$B$149,$C654,'6. OPERATION'!BO$17:BO$149)</f>
        <v>0</v>
      </c>
      <c r="L671" s="729">
        <f>SUMIF('5. PERSON'!$B$17:$B$192,$C654,'5. PERSON'!CM$17:CM$192)+SUMIF('6. OPERATION'!$B$17:$B$149,$C654,'6. OPERATION'!BP$17:BP$149)</f>
        <v>0</v>
      </c>
      <c r="M671" s="733">
        <f t="shared" si="135"/>
        <v>0</v>
      </c>
    </row>
    <row r="672" spans="2:15" s="3" customFormat="1" ht="13.2" x14ac:dyDescent="0.25">
      <c r="B672" s="124" t="s">
        <v>113</v>
      </c>
      <c r="C672" s="102">
        <f>SUM(C665:C671)</f>
        <v>0</v>
      </c>
      <c r="D672" s="102">
        <f t="shared" ref="D672:M672" si="136">SUM(D665:D671)</f>
        <v>0</v>
      </c>
      <c r="E672" s="102">
        <f t="shared" si="136"/>
        <v>0</v>
      </c>
      <c r="F672" s="102">
        <f t="shared" si="136"/>
        <v>0</v>
      </c>
      <c r="G672" s="102">
        <f t="shared" si="136"/>
        <v>0</v>
      </c>
      <c r="H672" s="102">
        <f t="shared" si="136"/>
        <v>0</v>
      </c>
      <c r="I672" s="102">
        <f t="shared" si="136"/>
        <v>0</v>
      </c>
      <c r="J672" s="102">
        <f t="shared" si="136"/>
        <v>0</v>
      </c>
      <c r="K672" s="102">
        <f t="shared" si="136"/>
        <v>0</v>
      </c>
      <c r="L672" s="102">
        <f t="shared" si="136"/>
        <v>0</v>
      </c>
      <c r="M672" s="125">
        <f t="shared" si="136"/>
        <v>0</v>
      </c>
      <c r="N672" s="23"/>
      <c r="O672" s="23"/>
    </row>
    <row r="673" spans="2:13" s="3" customFormat="1" ht="6" customHeight="1" x14ac:dyDescent="0.25">
      <c r="B673" s="136"/>
      <c r="C673" s="127"/>
      <c r="D673" s="127"/>
      <c r="E673" s="127"/>
      <c r="F673" s="127"/>
      <c r="G673" s="127"/>
      <c r="H673" s="127"/>
      <c r="I673" s="127"/>
      <c r="J673" s="127"/>
      <c r="K673" s="127"/>
      <c r="L673" s="127"/>
      <c r="M673" s="137"/>
    </row>
    <row r="674" spans="2:13" s="3" customFormat="1" ht="13.2" x14ac:dyDescent="0.25">
      <c r="B674" s="129" t="str">
        <f>IF('1. INTRO'!I$2="English","Full cost","Full kostnad")</f>
        <v>Full cost</v>
      </c>
      <c r="C674" s="127"/>
      <c r="D674" s="127"/>
      <c r="E674" s="127"/>
      <c r="F674" s="127"/>
      <c r="G674" s="127"/>
      <c r="H674" s="127"/>
      <c r="I674" s="127"/>
      <c r="J674" s="127"/>
      <c r="K674" s="127"/>
      <c r="L674" s="127"/>
      <c r="M674" s="137"/>
    </row>
    <row r="675" spans="2:13" s="3" customFormat="1" ht="13.2" x14ac:dyDescent="0.25">
      <c r="B675" s="722" t="str">
        <f>IF('1. INTRO'!I$2="English","Salary including social costs (LKP)","Lön inklusive LKP")</f>
        <v>Salary including social costs (LKP)</v>
      </c>
      <c r="C675" s="734">
        <f>C657+C666+C667</f>
        <v>0</v>
      </c>
      <c r="D675" s="734">
        <f t="shared" ref="D675:L675" si="137">D657+D666+D667</f>
        <v>0</v>
      </c>
      <c r="E675" s="734">
        <f t="shared" si="137"/>
        <v>0</v>
      </c>
      <c r="F675" s="734">
        <f t="shared" si="137"/>
        <v>0</v>
      </c>
      <c r="G675" s="734">
        <f t="shared" si="137"/>
        <v>0</v>
      </c>
      <c r="H675" s="734">
        <f t="shared" si="137"/>
        <v>0</v>
      </c>
      <c r="I675" s="734">
        <f t="shared" si="137"/>
        <v>0</v>
      </c>
      <c r="J675" s="734">
        <f t="shared" si="137"/>
        <v>0</v>
      </c>
      <c r="K675" s="734">
        <f t="shared" si="137"/>
        <v>0</v>
      </c>
      <c r="L675" s="734">
        <f t="shared" si="137"/>
        <v>0</v>
      </c>
      <c r="M675" s="724">
        <f>SUM(C675:L675)</f>
        <v>0</v>
      </c>
    </row>
    <row r="676" spans="2:13" s="3" customFormat="1" ht="13.2" x14ac:dyDescent="0.25">
      <c r="B676" s="80" t="str">
        <f>IF('1. INTRO'!I$2="English","Operating","Drift")</f>
        <v>Operating</v>
      </c>
      <c r="C676" s="139">
        <f>C658+C668</f>
        <v>0</v>
      </c>
      <c r="D676" s="139">
        <f t="shared" ref="D676:L676" si="138">D658+D668</f>
        <v>0</v>
      </c>
      <c r="E676" s="139">
        <f t="shared" si="138"/>
        <v>0</v>
      </c>
      <c r="F676" s="139">
        <f t="shared" si="138"/>
        <v>0</v>
      </c>
      <c r="G676" s="139">
        <f t="shared" si="138"/>
        <v>0</v>
      </c>
      <c r="H676" s="139">
        <f t="shared" si="138"/>
        <v>0</v>
      </c>
      <c r="I676" s="139">
        <f t="shared" si="138"/>
        <v>0</v>
      </c>
      <c r="J676" s="139">
        <f t="shared" si="138"/>
        <v>0</v>
      </c>
      <c r="K676" s="139">
        <f t="shared" si="138"/>
        <v>0</v>
      </c>
      <c r="L676" s="139">
        <f t="shared" si="138"/>
        <v>0</v>
      </c>
      <c r="M676" s="117">
        <f>SUM(C676:L676)</f>
        <v>0</v>
      </c>
    </row>
    <row r="677" spans="2:13" s="3" customFormat="1" ht="13.2" x14ac:dyDescent="0.25">
      <c r="B677" s="725" t="str">
        <f>IF('1. INTRO'!I$2="English","Equipment","Utrustning")</f>
        <v>Equipment</v>
      </c>
      <c r="C677" s="735">
        <f>C659+C669</f>
        <v>0</v>
      </c>
      <c r="D677" s="735">
        <f t="shared" ref="D677:L677" si="139">D659+D669</f>
        <v>0</v>
      </c>
      <c r="E677" s="735">
        <f t="shared" si="139"/>
        <v>0</v>
      </c>
      <c r="F677" s="735">
        <f t="shared" si="139"/>
        <v>0</v>
      </c>
      <c r="G677" s="735">
        <f t="shared" si="139"/>
        <v>0</v>
      </c>
      <c r="H677" s="735">
        <f t="shared" si="139"/>
        <v>0</v>
      </c>
      <c r="I677" s="735">
        <f t="shared" si="139"/>
        <v>0</v>
      </c>
      <c r="J677" s="735">
        <f t="shared" si="139"/>
        <v>0</v>
      </c>
      <c r="K677" s="735">
        <f t="shared" si="139"/>
        <v>0</v>
      </c>
      <c r="L677" s="735">
        <f t="shared" si="139"/>
        <v>0</v>
      </c>
      <c r="M677" s="727">
        <f>SUM(C677:L677)</f>
        <v>0</v>
      </c>
    </row>
    <row r="678" spans="2:13" s="3" customFormat="1" ht="13.2" x14ac:dyDescent="0.25">
      <c r="B678" s="80" t="str">
        <f>IF('1. INTRO'!I$2="English","Facility","Lokal")</f>
        <v>Facility</v>
      </c>
      <c r="C678" s="139">
        <f>SUMIF('5. PERSON'!$B$17:$B$192,$C654,'5. PERSON'!CP$17:CP$192)+SUMIF('5. PERSON'!$B$17:$B$192,$C654,'5. PERSON'!DB$17:DB$192)+SUMIF('6. OPERATION'!$B$17:$B$149,$C654,'6. OPERATION'!BS$17:BS$149)+SUMIF('6. OPERATION'!$B$17:$B$149,$C654,'6. OPERATION'!CE$17:CE$149)+SUMIF('8. FACILIT'!$B$18:$B$50,$C654,'8. FACILIT'!T$18:T$50)+SUMIF('8. FACILIT'!$B$18:$B$50,$C654,'8. FACILIT'!AF$18:AF$50)</f>
        <v>0</v>
      </c>
      <c r="D678" s="139">
        <f>SUMIF('5. PERSON'!$B$17:$B$192,$C654,'5. PERSON'!CQ$17:CQ$192)+SUMIF('5. PERSON'!$B$17:$B$192,$C654,'5. PERSON'!DC$17:DC$192)+SUMIF('6. OPERATION'!$B$17:$B$149,$C654,'6. OPERATION'!BT$17:BT$149)+SUMIF('6. OPERATION'!$B$17:$B$149,$C654,'6. OPERATION'!CF$17:CF$149)+SUMIF('8. FACILIT'!$B$18:$B$50,$C654,'8. FACILIT'!U$18:U$50)+SUMIF('8. FACILIT'!$B$18:$B$50,$C654,'8. FACILIT'!AG$18:AG$50)</f>
        <v>0</v>
      </c>
      <c r="E678" s="139">
        <f>SUMIF('5. PERSON'!$B$17:$B$192,$C654,'5. PERSON'!CR$17:CR$192)+SUMIF('5. PERSON'!$B$17:$B$192,$C654,'5. PERSON'!DD$17:DD$192)+SUMIF('6. OPERATION'!$B$17:$B$149,$C654,'6. OPERATION'!BU$17:BU$149)+SUMIF('6. OPERATION'!$B$17:$B$149,$C654,'6. OPERATION'!CG$17:CG$149)+SUMIF('8. FACILIT'!$B$18:$B$50,$C654,'8. FACILIT'!V$18:V$50)+SUMIF('8. FACILIT'!$B$18:$B$50,$C654,'8. FACILIT'!AH$18:AH$50)</f>
        <v>0</v>
      </c>
      <c r="F678" s="139">
        <f>SUMIF('5. PERSON'!$B$17:$B$192,$C654,'5. PERSON'!CS$17:CS$192)+SUMIF('5. PERSON'!$B$17:$B$192,$C654,'5. PERSON'!DE$17:DE$192)+SUMIF('6. OPERATION'!$B$17:$B$149,$C654,'6. OPERATION'!BV$17:BV$149)+SUMIF('6. OPERATION'!$B$17:$B$149,$C654,'6. OPERATION'!CH$17:CH$149)+SUMIF('8. FACILIT'!$B$18:$B$50,$C654,'8. FACILIT'!W$18:W$50)+SUMIF('8. FACILIT'!$B$18:$B$50,$C654,'8. FACILIT'!AI$18:AI$50)</f>
        <v>0</v>
      </c>
      <c r="G678" s="139">
        <f>SUMIF('5. PERSON'!$B$17:$B$192,$C654,'5. PERSON'!CT$17:CT$192)+SUMIF('5. PERSON'!$B$17:$B$192,$C654,'5. PERSON'!DF$17:DF$192)+SUMIF('6. OPERATION'!$B$17:$B$149,$C654,'6. OPERATION'!BW$17:BW$149)+SUMIF('6. OPERATION'!$B$17:$B$149,$C654,'6. OPERATION'!CI$17:CI$149)+SUMIF('8. FACILIT'!$B$18:$B$50,$C654,'8. FACILIT'!X$18:X$50)+SUMIF('8. FACILIT'!$B$18:$B$50,$C654,'8. FACILIT'!AJ$18:AJ$50)</f>
        <v>0</v>
      </c>
      <c r="H678" s="139">
        <f>SUMIF('5. PERSON'!$B$17:$B$192,$C654,'5. PERSON'!CU$17:CU$192)+SUMIF('5. PERSON'!$B$17:$B$192,$C654,'5. PERSON'!DG$17:DG$192)+SUMIF('6. OPERATION'!$B$17:$B$149,$C654,'6. OPERATION'!BX$17:BX$149)+SUMIF('6. OPERATION'!$B$17:$B$149,$C654,'6. OPERATION'!CJ$17:CJ$149)+SUMIF('8. FACILIT'!$B$18:$B$50,$C654,'8. FACILIT'!Y$18:Y$50)+SUMIF('8. FACILIT'!$B$18:$B$50,$C654,'8. FACILIT'!AK$18:AK$50)</f>
        <v>0</v>
      </c>
      <c r="I678" s="139">
        <f>SUMIF('5. PERSON'!$B$17:$B$192,$C654,'5. PERSON'!CV$17:CV$192)+SUMIF('5. PERSON'!$B$17:$B$192,$C654,'5. PERSON'!DH$17:DH$192)+SUMIF('6. OPERATION'!$B$17:$B$149,$C654,'6. OPERATION'!BY$17:BY$149)+SUMIF('6. OPERATION'!$B$17:$B$149,$C654,'6. OPERATION'!CK$17:CK$149)+SUMIF('8. FACILIT'!$B$18:$B$50,$C654,'8. FACILIT'!Z$18:Z$50)+SUMIF('8. FACILIT'!$B$18:$B$50,$C654,'8. FACILIT'!AL$18:AL$50)</f>
        <v>0</v>
      </c>
      <c r="J678" s="139">
        <f>SUMIF('5. PERSON'!$B$17:$B$192,$C654,'5. PERSON'!CW$17:CW$192)+SUMIF('5. PERSON'!$B$17:$B$192,$C654,'5. PERSON'!DI$17:DI$192)+SUMIF('6. OPERATION'!$B$17:$B$149,$C654,'6. OPERATION'!BZ$17:BZ$149)+SUMIF('6. OPERATION'!$B$17:$B$149,$C654,'6. OPERATION'!CL$17:CL$149)+SUMIF('8. FACILIT'!$B$18:$B$50,$C654,'8. FACILIT'!AA$18:AA$50)+SUMIF('8. FACILIT'!$B$18:$B$50,$C654,'8. FACILIT'!AM$18:AM$50)</f>
        <v>0</v>
      </c>
      <c r="K678" s="139">
        <f>SUMIF('5. PERSON'!$B$17:$B$192,$C654,'5. PERSON'!CX$17:CX$192)+SUMIF('5. PERSON'!$B$17:$B$192,$C654,'5. PERSON'!DJ$17:DJ$192)+SUMIF('6. OPERATION'!$B$17:$B$149,$C654,'6. OPERATION'!CA$17:CA$149)+SUMIF('6. OPERATION'!$B$17:$B$149,$C654,'6. OPERATION'!CM$17:CM$149)+SUMIF('8. FACILIT'!$B$18:$B$50,$C654,'8. FACILIT'!AB$18:AB$50)+SUMIF('8. FACILIT'!$B$18:$B$50,$C654,'8. FACILIT'!AN$18:AN$50)</f>
        <v>0</v>
      </c>
      <c r="L678" s="139">
        <f>SUMIF('5. PERSON'!$B$17:$B$192,$C654,'5. PERSON'!CY$17:CY$192)+SUMIF('5. PERSON'!$B$17:$B$192,$C654,'5. PERSON'!DK$17:DK$192)+SUMIF('6. OPERATION'!$B$17:$B$149,$C654,'6. OPERATION'!CB$17:CB$149)+SUMIF('6. OPERATION'!$B$17:$B$149,$C654,'6. OPERATION'!CN$17:CN$149)+SUMIF('8. FACILIT'!$B$18:$B$50,$C654,'8. FACILIT'!AC$18:AC$50)+SUMIF('8. FACILIT'!$B$18:$B$50,$C654,'8. FACILIT'!AO$18:AO$50)</f>
        <v>0</v>
      </c>
      <c r="M678" s="117">
        <f>SUM(C678:L678)</f>
        <v>0</v>
      </c>
    </row>
    <row r="679" spans="2:13" s="3" customFormat="1" ht="13.2" x14ac:dyDescent="0.25">
      <c r="B679" s="736" t="str">
        <f>IF('1. INTRO'!I$2="English","Indirect","Indirekt")</f>
        <v>Indirect</v>
      </c>
      <c r="C679" s="737">
        <f>SUMIF('5. PERSON'!$B$17:$B$192,$C654,'5. PERSON'!BR$17:BR$192)+SUMIF('5. PERSON'!$B$17:$B$192,$C654,'5. PERSON'!CD$17:CD$192)+SUMIF('6. OPERATION'!$B$17:$B$149,$C654,'6. OPERATION'!AU$17:AU$149)+SUMIF('6. OPERATION'!$B$17:$B$149,$C654,'6. OPERATION'!BG$17:BG$149)</f>
        <v>0</v>
      </c>
      <c r="D679" s="737">
        <f>SUMIF('5. PERSON'!$B$17:$B$192,$C654,'5. PERSON'!BS$17:BS$192)+SUMIF('5. PERSON'!$B$17:$B$192,$C654,'5. PERSON'!CE$17:CE$192)+SUMIF('6. OPERATION'!$B$17:$B$149,$C654,'6. OPERATION'!AV$17:AV$149)+SUMIF('6. OPERATION'!$B$17:$B$149,$C654,'6. OPERATION'!BH$17:BH$149)</f>
        <v>0</v>
      </c>
      <c r="E679" s="737">
        <f>SUMIF('5. PERSON'!$B$17:$B$192,$C654,'5. PERSON'!BT$17:BT$192)+SUMIF('5. PERSON'!$B$17:$B$192,$C654,'5. PERSON'!CF$17:CF$192)+SUMIF('6. OPERATION'!$B$17:$B$149,$C654,'6. OPERATION'!AW$17:AW$149)+SUMIF('6. OPERATION'!$B$17:$B$149,$C654,'6. OPERATION'!BI$17:BI$149)</f>
        <v>0</v>
      </c>
      <c r="F679" s="737">
        <f>SUMIF('5. PERSON'!$B$17:$B$192,$C654,'5. PERSON'!BU$17:BU$192)+SUMIF('5. PERSON'!$B$17:$B$192,$C654,'5. PERSON'!CG$17:CG$192)+SUMIF('6. OPERATION'!$B$17:$B$149,$C654,'6. OPERATION'!AX$17:AX$149)+SUMIF('6. OPERATION'!$B$17:$B$149,$C654,'6. OPERATION'!BJ$17:BJ$149)</f>
        <v>0</v>
      </c>
      <c r="G679" s="737">
        <f>SUMIF('5. PERSON'!$B$17:$B$192,$C654,'5. PERSON'!BV$17:BV$192)+SUMIF('5. PERSON'!$B$17:$B$192,$C654,'5. PERSON'!CH$17:CH$192)+SUMIF('6. OPERATION'!$B$17:$B$149,$C654,'6. OPERATION'!AY$17:AY$149)+SUMIF('6. OPERATION'!$B$17:$B$149,$C654,'6. OPERATION'!BK$17:BK$149)</f>
        <v>0</v>
      </c>
      <c r="H679" s="737">
        <f>SUMIF('5. PERSON'!$B$17:$B$192,$C654,'5. PERSON'!BW$17:BW$192)+SUMIF('5. PERSON'!$B$17:$B$192,$C654,'5. PERSON'!CI$17:CI$192)+SUMIF('6. OPERATION'!$B$17:$B$149,$C654,'6. OPERATION'!AZ$17:AZ$149)+SUMIF('6. OPERATION'!$B$17:$B$149,$C654,'6. OPERATION'!BL$17:BL$149)</f>
        <v>0</v>
      </c>
      <c r="I679" s="737">
        <f>SUMIF('5. PERSON'!$B$17:$B$192,$C654,'5. PERSON'!BX$17:BX$192)+SUMIF('5. PERSON'!$B$17:$B$192,$C654,'5. PERSON'!CJ$17:CJ$192)+SUMIF('6. OPERATION'!$B$17:$B$149,$C654,'6. OPERATION'!BA$17:BA$149)+SUMIF('6. OPERATION'!$B$17:$B$149,$C654,'6. OPERATION'!BM$17:BM$149)</f>
        <v>0</v>
      </c>
      <c r="J679" s="737">
        <f>SUMIF('5. PERSON'!$B$17:$B$192,$C654,'5. PERSON'!BY$17:BY$192)+SUMIF('5. PERSON'!$B$17:$B$192,$C654,'5. PERSON'!CK$17:CK$192)+SUMIF('6. OPERATION'!$B$17:$B$149,$C654,'6. OPERATION'!BB$17:BB$149)+SUMIF('6. OPERATION'!$B$17:$B$149,$C654,'6. OPERATION'!BN$17:BN$149)</f>
        <v>0</v>
      </c>
      <c r="K679" s="737">
        <f>SUMIF('5. PERSON'!$B$17:$B$192,$C654,'5. PERSON'!BZ$17:BZ$192)+SUMIF('5. PERSON'!$B$17:$B$192,$C654,'5. PERSON'!CL$17:CL$192)+SUMIF('6. OPERATION'!$B$17:$B$149,$C654,'6. OPERATION'!BC$17:BC$149)+SUMIF('6. OPERATION'!$B$17:$B$149,$C654,'6. OPERATION'!BO$17:BO$149)</f>
        <v>0</v>
      </c>
      <c r="L679" s="737">
        <f>SUMIF('5. PERSON'!$B$17:$B$192,$C654,'5. PERSON'!CA$17:CA$192)+SUMIF('5. PERSON'!$B$17:$B$192,$C654,'5. PERSON'!CM$17:CM$192)+SUMIF('6. OPERATION'!$B$17:$B$149,$C654,'6. OPERATION'!BD$17:BD$149)+SUMIF('6. OPERATION'!$B$17:$B$149,$C654,'6. OPERATION'!BP$17:BP$149)</f>
        <v>0</v>
      </c>
      <c r="M679" s="733">
        <f>SUM(C679:L679)</f>
        <v>0</v>
      </c>
    </row>
    <row r="680" spans="2:13" s="3" customFormat="1" ht="13.2" x14ac:dyDescent="0.25">
      <c r="B680" s="124" t="s">
        <v>113</v>
      </c>
      <c r="C680" s="88">
        <f>SUM(C675:C679)</f>
        <v>0</v>
      </c>
      <c r="D680" s="88">
        <f t="shared" ref="D680:M680" si="140">SUM(D675:D679)</f>
        <v>0</v>
      </c>
      <c r="E680" s="88">
        <f t="shared" si="140"/>
        <v>0</v>
      </c>
      <c r="F680" s="88">
        <f t="shared" si="140"/>
        <v>0</v>
      </c>
      <c r="G680" s="88">
        <f t="shared" si="140"/>
        <v>0</v>
      </c>
      <c r="H680" s="88">
        <f t="shared" si="140"/>
        <v>0</v>
      </c>
      <c r="I680" s="88">
        <f t="shared" si="140"/>
        <v>0</v>
      </c>
      <c r="J680" s="88">
        <f t="shared" si="140"/>
        <v>0</v>
      </c>
      <c r="K680" s="88">
        <f t="shared" si="140"/>
        <v>0</v>
      </c>
      <c r="L680" s="88">
        <f t="shared" si="140"/>
        <v>0</v>
      </c>
      <c r="M680" s="142">
        <f t="shared" si="140"/>
        <v>0</v>
      </c>
    </row>
    <row r="681" spans="2:13" s="3" customFormat="1" ht="13.2" x14ac:dyDescent="0.25">
      <c r="B681" s="287"/>
      <c r="C681" s="37"/>
      <c r="D681" s="37"/>
      <c r="E681" s="37"/>
      <c r="F681" s="37"/>
      <c r="G681" s="37"/>
      <c r="H681" s="37"/>
      <c r="I681" s="37"/>
      <c r="J681" s="37"/>
      <c r="K681" s="37"/>
      <c r="L681" s="37"/>
      <c r="M681" s="37"/>
    </row>
    <row r="682" spans="2:13" s="3" customFormat="1" ht="12.75" customHeight="1" x14ac:dyDescent="0.25">
      <c r="B682" s="656" t="str">
        <f>IF('1. INTRO'!I$2="English","Co-funding share in full cost ","Medfinansieringsandel i full kostnad ")</f>
        <v xml:space="preserve">Co-funding share in full cost </v>
      </c>
      <c r="C682" s="143" t="str">
        <f t="shared" ref="C682:M682" si="141">IF(C680&gt;0,C672/C680,"")</f>
        <v/>
      </c>
      <c r="D682" s="143" t="str">
        <f t="shared" si="141"/>
        <v/>
      </c>
      <c r="E682" s="143" t="str">
        <f t="shared" si="141"/>
        <v/>
      </c>
      <c r="F682" s="143" t="str">
        <f t="shared" si="141"/>
        <v/>
      </c>
      <c r="G682" s="143" t="str">
        <f t="shared" si="141"/>
        <v/>
      </c>
      <c r="H682" s="143" t="str">
        <f t="shared" si="141"/>
        <v/>
      </c>
      <c r="I682" s="143" t="str">
        <f t="shared" si="141"/>
        <v/>
      </c>
      <c r="J682" s="143" t="str">
        <f t="shared" si="141"/>
        <v/>
      </c>
      <c r="K682" s="143" t="str">
        <f t="shared" si="141"/>
        <v/>
      </c>
      <c r="L682" s="143" t="str">
        <f t="shared" si="141"/>
        <v/>
      </c>
      <c r="M682" s="143" t="str">
        <f t="shared" si="141"/>
        <v/>
      </c>
    </row>
    <row r="683" spans="2:13" ht="12.75" customHeight="1" x14ac:dyDescent="0.2"/>
    <row r="684" spans="2:13" ht="12.75" customHeight="1" x14ac:dyDescent="0.25">
      <c r="D684" s="656" t="str">
        <f>IF('1. INTRO'!I$2="English","Co-funding need in average per year: ","Medfinansieringsbehov i genomsnitt per år: ")</f>
        <v xml:space="preserve">Co-funding need in average per year: </v>
      </c>
      <c r="E684" s="92" t="str">
        <f>IF(M672=0,"",M672/(DATEDIF('2. START'!C$18,'2. START'!C$19,"d")/365))</f>
        <v/>
      </c>
      <c r="H684" s="656" t="str">
        <f>IF('1. INTRO'!I$2="English","Co-funding need 1/3 of total: ","Medfinansieringsbehov 1/3 av totalt: ")</f>
        <v xml:space="preserve">Co-funding need 1/3 of total: </v>
      </c>
      <c r="I684" s="92">
        <f>M672/3</f>
        <v>0</v>
      </c>
      <c r="L684" s="287" t="str">
        <f>IF('1. INTRO'!I$2="English","Co-funding need total: ","Medfinansieringsbehov totalt: ")</f>
        <v xml:space="preserve">Co-funding need total: </v>
      </c>
      <c r="M684" s="92">
        <f>M672</f>
        <v>0</v>
      </c>
    </row>
    <row r="685" spans="2:13" ht="12.75" customHeight="1" x14ac:dyDescent="0.25">
      <c r="B685" s="53" t="str">
        <f>IF('1. INTRO'!I$2="English","Co-funding sources","Medfinansieringskällor")</f>
        <v>Co-funding sources</v>
      </c>
    </row>
    <row r="686" spans="2:13" ht="12.75" customHeight="1" x14ac:dyDescent="0.25">
      <c r="B686" s="225"/>
      <c r="C686" s="226"/>
      <c r="D686" s="226"/>
      <c r="E686" s="226"/>
      <c r="F686" s="226"/>
      <c r="G686" s="226"/>
      <c r="H686" s="226"/>
      <c r="I686" s="226"/>
      <c r="J686" s="226"/>
      <c r="K686" s="226"/>
      <c r="L686" s="227"/>
      <c r="M686" s="168">
        <f>SUM(C686:L686)</f>
        <v>0</v>
      </c>
    </row>
    <row r="687" spans="2:13" ht="12.75" customHeight="1" x14ac:dyDescent="0.25">
      <c r="B687" s="228"/>
      <c r="C687" s="229"/>
      <c r="D687" s="229"/>
      <c r="E687" s="229"/>
      <c r="F687" s="229"/>
      <c r="G687" s="229"/>
      <c r="H687" s="229"/>
      <c r="I687" s="229"/>
      <c r="J687" s="229"/>
      <c r="K687" s="229"/>
      <c r="L687" s="230"/>
      <c r="M687" s="727">
        <f t="shared" ref="M687:M690" si="142">SUM(C687:L687)</f>
        <v>0</v>
      </c>
    </row>
    <row r="688" spans="2:13" ht="12.75" customHeight="1" x14ac:dyDescent="0.25">
      <c r="B688" s="231"/>
      <c r="C688" s="232"/>
      <c r="D688" s="232"/>
      <c r="E688" s="232"/>
      <c r="F688" s="232"/>
      <c r="G688" s="232"/>
      <c r="H688" s="232"/>
      <c r="I688" s="232"/>
      <c r="J688" s="232"/>
      <c r="K688" s="232"/>
      <c r="L688" s="233"/>
      <c r="M688" s="117">
        <f t="shared" si="142"/>
        <v>0</v>
      </c>
    </row>
    <row r="689" spans="2:13" ht="12.75" customHeight="1" x14ac:dyDescent="0.25">
      <c r="B689" s="228"/>
      <c r="C689" s="229"/>
      <c r="D689" s="229"/>
      <c r="E689" s="229"/>
      <c r="F689" s="229"/>
      <c r="G689" s="229"/>
      <c r="H689" s="229"/>
      <c r="I689" s="229"/>
      <c r="J689" s="229"/>
      <c r="K689" s="229"/>
      <c r="L689" s="230"/>
      <c r="M689" s="727">
        <f t="shared" si="142"/>
        <v>0</v>
      </c>
    </row>
    <row r="690" spans="2:13" ht="12.75" customHeight="1" x14ac:dyDescent="0.25">
      <c r="B690" s="93"/>
      <c r="C690" s="232"/>
      <c r="D690" s="232"/>
      <c r="E690" s="232"/>
      <c r="F690" s="232"/>
      <c r="G690" s="232"/>
      <c r="H690" s="232"/>
      <c r="I690" s="232"/>
      <c r="J690" s="232"/>
      <c r="K690" s="232"/>
      <c r="L690" s="233"/>
      <c r="M690" s="117">
        <f t="shared" si="142"/>
        <v>0</v>
      </c>
    </row>
    <row r="691" spans="2:13" ht="12.75" customHeight="1" x14ac:dyDescent="0.25">
      <c r="B691" s="84" t="str">
        <f>IF('1. INTRO'!I$2="English","Total co-funding ","Total medfinansiering ")</f>
        <v xml:space="preserve">Total co-funding </v>
      </c>
      <c r="C691" s="87">
        <f t="shared" ref="C691:M691" si="143">SUM(C686:C690)</f>
        <v>0</v>
      </c>
      <c r="D691" s="87">
        <f t="shared" si="143"/>
        <v>0</v>
      </c>
      <c r="E691" s="87">
        <f t="shared" si="143"/>
        <v>0</v>
      </c>
      <c r="F691" s="87">
        <f t="shared" si="143"/>
        <v>0</v>
      </c>
      <c r="G691" s="87">
        <f t="shared" si="143"/>
        <v>0</v>
      </c>
      <c r="H691" s="87">
        <f t="shared" si="143"/>
        <v>0</v>
      </c>
      <c r="I691" s="87">
        <f t="shared" si="143"/>
        <v>0</v>
      </c>
      <c r="J691" s="87">
        <f t="shared" si="143"/>
        <v>0</v>
      </c>
      <c r="K691" s="87">
        <f t="shared" si="143"/>
        <v>0</v>
      </c>
      <c r="L691" s="87">
        <f t="shared" si="143"/>
        <v>0</v>
      </c>
      <c r="M691" s="142">
        <f t="shared" si="143"/>
        <v>0</v>
      </c>
    </row>
    <row r="692" spans="2:13" ht="12.75" customHeight="1" x14ac:dyDescent="0.2"/>
    <row r="693" spans="2:13" ht="12.75" customHeight="1" x14ac:dyDescent="0.2">
      <c r="B693" s="667" t="str">
        <f>IF('1. INTRO'!I$2="English","Calculation comments","Kalkylkommentarer")</f>
        <v>Calculation comments</v>
      </c>
    </row>
    <row r="694" spans="2:13" ht="12.75" customHeight="1" x14ac:dyDescent="0.2">
      <c r="B694" s="1142"/>
      <c r="C694" s="1143"/>
      <c r="D694" s="1143"/>
      <c r="E694" s="1143"/>
      <c r="F694" s="1143"/>
      <c r="G694" s="1143"/>
      <c r="H694" s="1143"/>
      <c r="I694" s="1143"/>
      <c r="J694" s="1143"/>
      <c r="K694" s="1143"/>
      <c r="L694" s="1143"/>
      <c r="M694" s="1144"/>
    </row>
    <row r="695" spans="2:13" ht="12.75" customHeight="1" x14ac:dyDescent="0.2">
      <c r="B695" s="1145"/>
      <c r="C695" s="1226"/>
      <c r="D695" s="1226"/>
      <c r="E695" s="1226"/>
      <c r="F695" s="1226"/>
      <c r="G695" s="1226"/>
      <c r="H695" s="1226"/>
      <c r="I695" s="1226"/>
      <c r="J695" s="1226"/>
      <c r="K695" s="1226"/>
      <c r="L695" s="1226"/>
      <c r="M695" s="1147"/>
    </row>
    <row r="696" spans="2:13" ht="12.75" customHeight="1" x14ac:dyDescent="0.2">
      <c r="B696" s="1145"/>
      <c r="C696" s="1226"/>
      <c r="D696" s="1226"/>
      <c r="E696" s="1226"/>
      <c r="F696" s="1226"/>
      <c r="G696" s="1226"/>
      <c r="H696" s="1226"/>
      <c r="I696" s="1226"/>
      <c r="J696" s="1226"/>
      <c r="K696" s="1226"/>
      <c r="L696" s="1226"/>
      <c r="M696" s="1147"/>
    </row>
    <row r="697" spans="2:13" ht="12.75" customHeight="1" x14ac:dyDescent="0.2">
      <c r="B697" s="1145"/>
      <c r="C697" s="1226"/>
      <c r="D697" s="1226"/>
      <c r="E697" s="1226"/>
      <c r="F697" s="1226"/>
      <c r="G697" s="1226"/>
      <c r="H697" s="1226"/>
      <c r="I697" s="1226"/>
      <c r="J697" s="1226"/>
      <c r="K697" s="1226"/>
      <c r="L697" s="1226"/>
      <c r="M697" s="1147"/>
    </row>
    <row r="698" spans="2:13" ht="12.75" customHeight="1" x14ac:dyDescent="0.2">
      <c r="B698" s="1148"/>
      <c r="C698" s="1149"/>
      <c r="D698" s="1149"/>
      <c r="E698" s="1149"/>
      <c r="F698" s="1149"/>
      <c r="G698" s="1149"/>
      <c r="H698" s="1149"/>
      <c r="I698" s="1149"/>
      <c r="J698" s="1149"/>
      <c r="K698" s="1149"/>
      <c r="L698" s="1149"/>
      <c r="M698" s="1150"/>
    </row>
    <row r="700" spans="2:13" s="3" customFormat="1" ht="12.75" customHeight="1" x14ac:dyDescent="0.25">
      <c r="B700" s="313" t="str">
        <f>'3. PARTNER'!C$4</f>
        <v xml:space="preserve">Project: </v>
      </c>
      <c r="C700" s="1062" t="str">
        <f>'3. PARTNER'!D$4</f>
        <v/>
      </c>
      <c r="D700" s="1001"/>
      <c r="E700" s="1001"/>
      <c r="F700" s="1001"/>
      <c r="G700" s="1001"/>
      <c r="H700" s="1001"/>
      <c r="I700" s="1001"/>
      <c r="J700" s="1001"/>
      <c r="K700" s="1001"/>
      <c r="L700" s="1001"/>
      <c r="M700" s="1001"/>
    </row>
    <row r="701" spans="2:13" s="3" customFormat="1" ht="13.2" x14ac:dyDescent="0.25">
      <c r="B701" s="313" t="str">
        <f>'3. PARTNER'!C$5</f>
        <v xml:space="preserve">Calculation for: </v>
      </c>
      <c r="C701" s="1062" t="str">
        <f>'3. PARTNER'!D$5</f>
        <v>APPLICATION</v>
      </c>
      <c r="D701" s="1001"/>
      <c r="E701" s="268"/>
      <c r="F701" s="268"/>
      <c r="G701" s="268"/>
      <c r="H701" s="268"/>
      <c r="I701" s="268"/>
      <c r="J701" s="268"/>
      <c r="K701" s="268"/>
      <c r="L701" s="268"/>
      <c r="M701" s="268"/>
    </row>
    <row r="702" spans="2:13" s="3" customFormat="1" ht="13.2" x14ac:dyDescent="0.25">
      <c r="B702" s="35" t="str">
        <f>'3. PARTNER'!C$6</f>
        <v xml:space="preserve">Project leader: </v>
      </c>
      <c r="C702" s="1062" t="str">
        <f>'3. PARTNER'!D$6</f>
        <v/>
      </c>
      <c r="D702" s="1001"/>
      <c r="E702" s="1001"/>
      <c r="F702" s="1001"/>
      <c r="G702" s="1001"/>
      <c r="H702" s="1001"/>
      <c r="I702" s="1001"/>
      <c r="J702" s="1001"/>
      <c r="K702" s="1001"/>
      <c r="L702" s="1001"/>
      <c r="M702" s="1001"/>
    </row>
    <row r="703" spans="2:13" s="3" customFormat="1" ht="13.2" x14ac:dyDescent="0.25">
      <c r="B703" s="313" t="str">
        <f>'5. PERSON'!B$7</f>
        <v xml:space="preserve">Amounts in: </v>
      </c>
      <c r="C703" s="655" t="str">
        <f>'5. PERSON'!C$7</f>
        <v>SEK</v>
      </c>
      <c r="D703" s="268"/>
      <c r="E703" s="268"/>
      <c r="F703" s="268"/>
      <c r="G703" s="234"/>
      <c r="H703" s="234"/>
      <c r="I703" s="270"/>
      <c r="J703" s="270"/>
      <c r="K703" s="270"/>
      <c r="L703" s="270"/>
      <c r="M703" s="270"/>
    </row>
    <row r="704" spans="2:13" s="3" customFormat="1" ht="13.2" x14ac:dyDescent="0.25">
      <c r="B704" s="313"/>
      <c r="C704" s="1053" t="str">
        <f>'3. PARTNER'!D$7</f>
        <v>Other basic data about the project is in sheet 2.</v>
      </c>
      <c r="D704" s="1001"/>
      <c r="E704" s="1001"/>
      <c r="F704" s="1001"/>
      <c r="G704" s="234"/>
      <c r="H704" s="234"/>
      <c r="I704" s="270"/>
      <c r="J704" s="270"/>
      <c r="K704" s="270"/>
      <c r="L704" s="251" t="s">
        <v>4</v>
      </c>
      <c r="M704" s="270"/>
    </row>
    <row r="705" spans="2:15" ht="12.75" customHeight="1" x14ac:dyDescent="0.2">
      <c r="J705" s="252" t="s">
        <v>322</v>
      </c>
      <c r="K705" s="252" t="s">
        <v>323</v>
      </c>
      <c r="L705" s="252" t="str">
        <f>IF('1. INTRO'!I$2="English","months","månader")</f>
        <v>months</v>
      </c>
    </row>
    <row r="706" spans="2:15" s="3" customFormat="1" ht="13.8" x14ac:dyDescent="0.25">
      <c r="B706" s="157" t="str">
        <f>IF('1. INTRO'!I$2="English","Project costs","Projektkostnader")</f>
        <v>Project costs</v>
      </c>
      <c r="C706" s="668" t="str">
        <f>A27</f>
        <v>415NJ</v>
      </c>
      <c r="D706" s="1227" t="str">
        <f>B27</f>
        <v>Ecology NJ</v>
      </c>
      <c r="E706" s="1004"/>
      <c r="G706" s="37"/>
      <c r="H706" s="37"/>
      <c r="I706" s="37"/>
      <c r="J706" s="643"/>
      <c r="K706" s="643"/>
      <c r="L706" s="642">
        <f>SUMIF('5. PERSON'!$B$17:$B$192,$C706,'5. PERSON'!AE$17:AE$192)</f>
        <v>0</v>
      </c>
      <c r="M706" s="680" t="s">
        <v>330</v>
      </c>
    </row>
    <row r="707" spans="2:15" s="3" customFormat="1" ht="6" customHeight="1" x14ac:dyDescent="0.25">
      <c r="B707" s="57"/>
      <c r="C707" s="37"/>
      <c r="D707" s="37"/>
      <c r="E707" s="37"/>
      <c r="F707" s="37"/>
      <c r="G707" s="37"/>
      <c r="H707" s="37"/>
      <c r="I707" s="37"/>
      <c r="J707" s="37"/>
      <c r="K707" s="37"/>
      <c r="L707" s="37"/>
      <c r="M707" s="37"/>
    </row>
    <row r="708" spans="2:15" s="3" customFormat="1" ht="13.2" x14ac:dyDescent="0.25">
      <c r="B708" s="110" t="str">
        <f>IF('1. INTRO'!I$2="English","Costs to be covered by funding body","Kostnader att täckas av finansiär")</f>
        <v>Costs to be covered by funding body</v>
      </c>
      <c r="C708" s="111">
        <f>'5. PERSON'!G$15</f>
        <v>1900</v>
      </c>
      <c r="D708" s="111" t="str">
        <f>'5. PERSON'!H$15</f>
        <v/>
      </c>
      <c r="E708" s="111" t="str">
        <f>'5. PERSON'!I$15</f>
        <v/>
      </c>
      <c r="F708" s="111" t="str">
        <f>'5. PERSON'!J$15</f>
        <v/>
      </c>
      <c r="G708" s="111" t="str">
        <f>'5. PERSON'!K$15</f>
        <v/>
      </c>
      <c r="H708" s="111" t="str">
        <f>'5. PERSON'!L$15</f>
        <v/>
      </c>
      <c r="I708" s="111" t="str">
        <f>'5. PERSON'!M$15</f>
        <v/>
      </c>
      <c r="J708" s="111" t="str">
        <f>'5. PERSON'!N$15</f>
        <v/>
      </c>
      <c r="K708" s="111" t="str">
        <f>'5. PERSON'!O$15</f>
        <v/>
      </c>
      <c r="L708" s="111" t="str">
        <f>'5. PERSON'!P$15</f>
        <v/>
      </c>
      <c r="M708" s="112" t="s">
        <v>2</v>
      </c>
    </row>
    <row r="709" spans="2:15" s="3" customFormat="1" ht="12.75" customHeight="1" x14ac:dyDescent="0.25">
      <c r="B709" s="722" t="str">
        <f>IF('1. INTRO'!I$2="English","Salary including social costs (LKP)","Lön inklusive LKP")</f>
        <v>Salary including social costs (LKP)</v>
      </c>
      <c r="C709" s="723">
        <f>IF('2. START'!$C$14&gt;0,SUMIF('5. PERSON'!$B$17:$B$192,$C706,'5. PERSON'!DN$17:DN$192),SUMIF('5. PERSON'!$B$17:$B$192,$C706,'5. PERSON'!AT$17:AT$192))</f>
        <v>0</v>
      </c>
      <c r="D709" s="723">
        <f>IF('2. START'!$C$14&gt;0,SUMIF('5. PERSON'!$B$17:$B$192,$C706,'5. PERSON'!DO$17:DO$192),SUMIF('5. PERSON'!$B$17:$B$192,$C706,'5. PERSON'!AU$17:AU$192))</f>
        <v>0</v>
      </c>
      <c r="E709" s="723">
        <f>IF('2. START'!$C$14&gt;0,SUMIF('5. PERSON'!$B$17:$B$192,$C706,'5. PERSON'!DP$17:DP$192),SUMIF('5. PERSON'!$B$17:$B$192,$C706,'5. PERSON'!AV$17:AV$192))</f>
        <v>0</v>
      </c>
      <c r="F709" s="723">
        <f>IF('2. START'!$C$14&gt;0,SUMIF('5. PERSON'!$B$17:$B$192,$C706,'5. PERSON'!DQ$17:DQ$192),SUMIF('5. PERSON'!$B$17:$B$192,$C706,'5. PERSON'!AW$17:AW$192))</f>
        <v>0</v>
      </c>
      <c r="G709" s="723">
        <f>IF('2. START'!$C$14&gt;0,SUMIF('5. PERSON'!$B$17:$B$192,$C706,'5. PERSON'!DR$17:DR$192),SUMIF('5. PERSON'!$B$17:$B$192,$C706,'5. PERSON'!AX$17:AX$192))</f>
        <v>0</v>
      </c>
      <c r="H709" s="723">
        <f>IF('2. START'!$C$14&gt;0,SUMIF('5. PERSON'!$B$17:$B$192,$C706,'5. PERSON'!DS$17:DS$192),SUMIF('5. PERSON'!$B$17:$B$192,$C706,'5. PERSON'!AY$17:AY$192))</f>
        <v>0</v>
      </c>
      <c r="I709" s="723">
        <f>IF('2. START'!$C$14&gt;0,SUMIF('5. PERSON'!$B$17:$B$192,$C706,'5. PERSON'!DT$17:DT$192),SUMIF('5. PERSON'!$B$17:$B$192,$C706,'5. PERSON'!AZ$17:AZ$192))</f>
        <v>0</v>
      </c>
      <c r="J709" s="723">
        <f>IF('2. START'!$C$14&gt;0,SUMIF('5. PERSON'!$B$17:$B$192,$C706,'5. PERSON'!DU$17:DU$192),SUMIF('5. PERSON'!$B$17:$B$192,$C706,'5. PERSON'!BA$17:BA$192))</f>
        <v>0</v>
      </c>
      <c r="K709" s="723">
        <f>IF('2. START'!$C$14&gt;0,SUMIF('5. PERSON'!$B$17:$B$192,$C706,'5. PERSON'!DV$17:DV$192),SUMIF('5. PERSON'!$B$17:$B$192,$C706,'5. PERSON'!BB$17:BB$192))</f>
        <v>0</v>
      </c>
      <c r="L709" s="723">
        <f>IF('2. START'!$C$14&gt;0,SUMIF('5. PERSON'!$B$17:$B$192,$C706,'5. PERSON'!DW$17:DW$192),SUMIF('5. PERSON'!$B$17:$B$192,$C706,'5. PERSON'!BC$17:BC$192))</f>
        <v>0</v>
      </c>
      <c r="M709" s="724">
        <f t="shared" ref="M709:M714" si="144">SUM(C709:L709)</f>
        <v>0</v>
      </c>
      <c r="O709" s="4"/>
    </row>
    <row r="710" spans="2:15" s="3" customFormat="1" ht="12.75" customHeight="1" x14ac:dyDescent="0.25">
      <c r="B710" s="80" t="str">
        <f>IF('1. INTRO'!I$2="English","Operating","Drift")</f>
        <v>Operating</v>
      </c>
      <c r="C710" s="116">
        <f>SUMIF('6. OPERATION'!$B$17:$B$149,$C706,'6. OPERATION'!W$17:W$149)</f>
        <v>0</v>
      </c>
      <c r="D710" s="116">
        <f>SUMIF('6. OPERATION'!$B$17:$B$149,$C706,'6. OPERATION'!X$17:X$149)</f>
        <v>0</v>
      </c>
      <c r="E710" s="116">
        <f>SUMIF('6. OPERATION'!$B$17:$B$149,$C706,'6. OPERATION'!Y$17:Y$149)</f>
        <v>0</v>
      </c>
      <c r="F710" s="116">
        <f>SUMIF('6. OPERATION'!$B$17:$B$149,$C706,'6. OPERATION'!Z$17:Z$149)</f>
        <v>0</v>
      </c>
      <c r="G710" s="116">
        <f>SUMIF('6. OPERATION'!$B$17:$B$149,$C706,'6. OPERATION'!AA$17:AA$149)</f>
        <v>0</v>
      </c>
      <c r="H710" s="116">
        <f>SUMIF('6. OPERATION'!$B$17:$B$149,$C706,'6. OPERATION'!AB$17:AB$149)</f>
        <v>0</v>
      </c>
      <c r="I710" s="116">
        <f>SUMIF('6. OPERATION'!$B$17:$B$149,$C706,'6. OPERATION'!AC$17:AC$149)</f>
        <v>0</v>
      </c>
      <c r="J710" s="116">
        <f>SUMIF('6. OPERATION'!$B$17:$B$149,$C706,'6. OPERATION'!AD$17:AD$149)</f>
        <v>0</v>
      </c>
      <c r="K710" s="116">
        <f>SUMIF('6. OPERATION'!$B$17:$B$149,$C706,'6. OPERATION'!AE$17:AE$149)</f>
        <v>0</v>
      </c>
      <c r="L710" s="116">
        <f>SUMIF('6. OPERATION'!$B$17:$B$149,$C706,'6. OPERATION'!AF$17:AF$149)</f>
        <v>0</v>
      </c>
      <c r="M710" s="117">
        <f t="shared" si="144"/>
        <v>0</v>
      </c>
    </row>
    <row r="711" spans="2:15" s="3" customFormat="1" ht="13.2" x14ac:dyDescent="0.25">
      <c r="B711" s="725" t="str">
        <f>IF('1. INTRO'!I$2="English","Equipment","Utrustning")</f>
        <v>Equipment</v>
      </c>
      <c r="C711" s="726">
        <f>SUMIF('7. INVEST'!$B$17:$B$49,$C706,'7. INVEST'!W$17:W$49)</f>
        <v>0</v>
      </c>
      <c r="D711" s="726">
        <f>SUMIF('7. INVEST'!$B$17:$B$49,$C706,'7. INVEST'!X$17:X$49)</f>
        <v>0</v>
      </c>
      <c r="E711" s="726">
        <f>SUMIF('7. INVEST'!$B$17:$B$49,$C706,'7. INVEST'!Y$17:Y$49)</f>
        <v>0</v>
      </c>
      <c r="F711" s="726">
        <f>SUMIF('7. INVEST'!$B$17:$B$49,$C706,'7. INVEST'!Z$17:Z$49)</f>
        <v>0</v>
      </c>
      <c r="G711" s="726">
        <f>SUMIF('7. INVEST'!$B$17:$B$49,$C706,'7. INVEST'!AA$17:AA$49)</f>
        <v>0</v>
      </c>
      <c r="H711" s="726">
        <f>SUMIF('7. INVEST'!$B$17:$B$49,$C706,'7. INVEST'!AB$17:AB$49)</f>
        <v>0</v>
      </c>
      <c r="I711" s="726">
        <f>SUMIF('7. INVEST'!$B$17:$B$49,$C706,'7. INVEST'!AC$17:AC$49)</f>
        <v>0</v>
      </c>
      <c r="J711" s="726">
        <f>SUMIF('7. INVEST'!$B$17:$B$49,$C706,'7. INVEST'!AD$17:AD$49)</f>
        <v>0</v>
      </c>
      <c r="K711" s="726">
        <f>SUMIF('7. INVEST'!$B$17:$B$49,$C706,'7. INVEST'!AE$17:AE$49)</f>
        <v>0</v>
      </c>
      <c r="L711" s="726">
        <f>SUMIF('7. INVEST'!$B$17:$B$49,$C706,'7. INVEST'!AF$17:AF$49)</f>
        <v>0</v>
      </c>
      <c r="M711" s="727">
        <f t="shared" si="144"/>
        <v>0</v>
      </c>
    </row>
    <row r="712" spans="2:15" s="3" customFormat="1" ht="13.2" x14ac:dyDescent="0.25">
      <c r="B712" s="121" t="str">
        <f>IF('1. INTRO'!I$2="English",(IF('2. START'!C$11="NO","Facility accepted as direct cost by funding body","Facility")),IF('2. START'!C$11="NO","Lokal accepterad som direkt kostnad av finansiär","Lokal"))</f>
        <v>Facility</v>
      </c>
      <c r="C712" s="116">
        <f>IF('2. START'!$C$11="NO",SUMIF('8. FACILIT'!$B$18:$B$50,$C706,'8. FACILIT'!T$18:T$50),SUMIF('5. PERSON'!$B$17:$B$192,$C706,'5. PERSON'!CP$17:CP$192)+SUMIF('6. OPERATION'!$B$17:$B$149,$C706,'6. OPERATION'!BS$17:BS$149)+SUMIF('8. FACILIT'!$B$18:$B$50,$C706,'8. FACILIT'!T$18:T$50))</f>
        <v>0</v>
      </c>
      <c r="D712" s="116">
        <f>IF('2. START'!$C$11="NO",SUMIF('8. FACILIT'!$B$18:$B$50,$C706,'8. FACILIT'!U$18:U$50),SUMIF('5. PERSON'!$B$17:$B$192,$C706,'5. PERSON'!CQ$17:CQ$192)+SUMIF('6. OPERATION'!$B$17:$B$149,$C706,'6. OPERATION'!BT$17:BT$149)+SUMIF('8. FACILIT'!$B$18:$B$50,$C706,'8. FACILIT'!U$18:U$50))</f>
        <v>0</v>
      </c>
      <c r="E712" s="116">
        <f>IF('2. START'!$C$11="NO",SUMIF('8. FACILIT'!$B$18:$B$50,$C706,'8. FACILIT'!V$18:V$50),SUMIF('5. PERSON'!$B$17:$B$192,$C706,'5. PERSON'!CR$17:CR$192)+SUMIF('6. OPERATION'!$B$17:$B$149,$C706,'6. OPERATION'!BU$17:BU$149)+SUMIF('8. FACILIT'!$B$18:$B$50,$C706,'8. FACILIT'!V$18:V$50))</f>
        <v>0</v>
      </c>
      <c r="F712" s="116">
        <f>IF('2. START'!$C$11="NO",SUMIF('8. FACILIT'!$B$18:$B$50,$C706,'8. FACILIT'!W$18:W$50),SUMIF('5. PERSON'!$B$17:$B$192,$C706,'5. PERSON'!CS$17:CS$192)+SUMIF('6. OPERATION'!$B$17:$B$149,$C706,'6. OPERATION'!BV$17:BV$149)+SUMIF('8. FACILIT'!$B$18:$B$50,$C706,'8. FACILIT'!W$18:W$50))</f>
        <v>0</v>
      </c>
      <c r="G712" s="116">
        <f>IF('2. START'!$C$11="NO",SUMIF('8. FACILIT'!$B$18:$B$50,$C706,'8. FACILIT'!X$18:X$50),SUMIF('5. PERSON'!$B$17:$B$192,$C706,'5. PERSON'!CT$17:CT$192)+SUMIF('6. OPERATION'!$B$17:$B$149,$C706,'6. OPERATION'!BW$17:BW$149)+SUMIF('8. FACILIT'!$B$18:$B$50,$C706,'8. FACILIT'!X$18:X$50))</f>
        <v>0</v>
      </c>
      <c r="H712" s="116">
        <f>IF('2. START'!$C$11="NO",SUMIF('8. FACILIT'!$B$18:$B$50,$C706,'8. FACILIT'!Y$18:Y$50),SUMIF('5. PERSON'!$B$17:$B$192,$C706,'5. PERSON'!CU$17:CU$192)+SUMIF('6. OPERATION'!$B$17:$B$149,$C706,'6. OPERATION'!BX$17:BX$149)+SUMIF('8. FACILIT'!$B$18:$B$50,$C706,'8. FACILIT'!Y$18:Y$50))</f>
        <v>0</v>
      </c>
      <c r="I712" s="116">
        <f>IF('2. START'!$C$11="NO",SUMIF('8. FACILIT'!$B$18:$B$50,$C706,'8. FACILIT'!Z$18:Z$50),SUMIF('5. PERSON'!$B$17:$B$192,$C706,'5. PERSON'!CV$17:CV$192)+SUMIF('6. OPERATION'!$B$17:$B$149,$C706,'6. OPERATION'!BY$17:BY$149)+SUMIF('8. FACILIT'!$B$18:$B$50,$C706,'8. FACILIT'!Z$18:Z$50))</f>
        <v>0</v>
      </c>
      <c r="J712" s="116">
        <f>IF('2. START'!$C$11="NO",SUMIF('8. FACILIT'!$B$18:$B$50,$C706,'8. FACILIT'!AA$18:AA$50),SUMIF('5. PERSON'!$B$17:$B$192,$C706,'5. PERSON'!CW$17:CW$192)+SUMIF('6. OPERATION'!$B$17:$B$149,$C706,'6. OPERATION'!BZ$17:BZ$149)+SUMIF('8. FACILIT'!$B$18:$B$50,$C706,'8. FACILIT'!AA$18:AA$50))</f>
        <v>0</v>
      </c>
      <c r="K712" s="116">
        <f>IF('2. START'!$C$11="NO",SUMIF('8. FACILIT'!$B$18:$B$50,$C706,'8. FACILIT'!AB$18:AB$50),SUMIF('5. PERSON'!$B$17:$B$192,$C706,'5. PERSON'!CX$17:CX$192)+SUMIF('6. OPERATION'!$B$17:$B$149,$C706,'6. OPERATION'!CA$17:CA$149)+SUMIF('8. FACILIT'!$B$18:$B$50,$C706,'8. FACILIT'!AB$18:AB$50))</f>
        <v>0</v>
      </c>
      <c r="L712" s="116">
        <f>IF('2. START'!$C$11="NO",SUMIF('8. FACILIT'!$B$18:$B$50,$C706,'8. FACILIT'!AC$18:AC$50),SUMIF('5. PERSON'!$B$17:$B$192,$C706,'5. PERSON'!CY$17:CY$192)+SUMIF('6. OPERATION'!$B$17:$B$149,$C706,'6. OPERATION'!CB$17:CB$149)+SUMIF('8. FACILIT'!$B$18:$B$50,$C706,'8. FACILIT'!AC$18:AC$50))</f>
        <v>0</v>
      </c>
      <c r="M712" s="117">
        <f t="shared" si="144"/>
        <v>0</v>
      </c>
    </row>
    <row r="713" spans="2:15" s="3" customFormat="1" ht="13.2" x14ac:dyDescent="0.25">
      <c r="B713" s="728" t="str">
        <f>IF('1. INTRO'!I$2="English",(IF('2. START'!C$11="NO","Indirect and facility charge accepted as OH by funding body","Indirect")),IF('2. START'!C$11="NO","Indirekt och lokalpåslag accepterade som OH av finansiär","Indirekt"))</f>
        <v>Indirect</v>
      </c>
      <c r="C713" s="729">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729">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729">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729">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729">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729">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729">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729">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729">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729">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727">
        <f t="shared" si="144"/>
        <v>0</v>
      </c>
    </row>
    <row r="714" spans="2:15" s="3" customFormat="1" ht="13.2" x14ac:dyDescent="0.25">
      <c r="B714" s="124" t="s">
        <v>113</v>
      </c>
      <c r="C714" s="102">
        <f>SUM(C709:C713)</f>
        <v>0</v>
      </c>
      <c r="D714" s="102">
        <f t="shared" ref="D714:L714" si="145">SUM(D709:D713)</f>
        <v>0</v>
      </c>
      <c r="E714" s="102">
        <f t="shared" si="145"/>
        <v>0</v>
      </c>
      <c r="F714" s="102">
        <f t="shared" si="145"/>
        <v>0</v>
      </c>
      <c r="G714" s="102">
        <f t="shared" si="145"/>
        <v>0</v>
      </c>
      <c r="H714" s="102">
        <f t="shared" si="145"/>
        <v>0</v>
      </c>
      <c r="I714" s="102">
        <f t="shared" si="145"/>
        <v>0</v>
      </c>
      <c r="J714" s="102">
        <f t="shared" si="145"/>
        <v>0</v>
      </c>
      <c r="K714" s="102">
        <f t="shared" si="145"/>
        <v>0</v>
      </c>
      <c r="L714" s="102">
        <f t="shared" si="145"/>
        <v>0</v>
      </c>
      <c r="M714" s="125">
        <f t="shared" si="144"/>
        <v>0</v>
      </c>
    </row>
    <row r="715" spans="2:15" s="3" customFormat="1" ht="6" customHeight="1" x14ac:dyDescent="0.25">
      <c r="B715" s="126"/>
      <c r="C715" s="127"/>
      <c r="D715" s="127"/>
      <c r="E715" s="127"/>
      <c r="F715" s="127"/>
      <c r="G715" s="127"/>
      <c r="H715" s="127"/>
      <c r="I715" s="127"/>
      <c r="J715" s="127"/>
      <c r="K715" s="127"/>
      <c r="L715" s="127"/>
      <c r="M715" s="128"/>
    </row>
    <row r="716" spans="2:15" s="3" customFormat="1" ht="13.2" x14ac:dyDescent="0.25">
      <c r="B716" s="129" t="str">
        <f>IF('1. INTRO'!I$2="English","Costs to be co-funded","Kostnader att medfinansiera")</f>
        <v>Costs to be co-funded</v>
      </c>
      <c r="C716" s="86"/>
      <c r="D716" s="86"/>
      <c r="E716" s="86"/>
      <c r="F716" s="86"/>
      <c r="G716" s="86"/>
      <c r="H716" s="86"/>
      <c r="I716" s="86"/>
      <c r="J716" s="86"/>
      <c r="K716" s="86"/>
      <c r="L716" s="86"/>
      <c r="M716" s="130"/>
    </row>
    <row r="717" spans="2:15" s="3" customFormat="1" ht="13.2" x14ac:dyDescent="0.25">
      <c r="B717" s="730" t="str">
        <f>IF('1. INTRO'!I$2="English",(IF('2. START'!C$11="NO","Indirect and facility charge not accepted as OH by funding body","")),IF('2. START'!C$11="NO","Indirekt och lokalpåslag inte accepterade som OH av finansiär",""))</f>
        <v/>
      </c>
      <c r="C717" s="731">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731">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731">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731">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731">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731">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731">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731">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731">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731">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724">
        <f t="shared" ref="M717:M723" si="146">SUM(C717:L717)</f>
        <v>0</v>
      </c>
    </row>
    <row r="718" spans="2:15" s="3" customFormat="1" ht="12.75" customHeight="1" x14ac:dyDescent="0.25">
      <c r="B718" s="132" t="str">
        <f>IF('1. INTRO'!I$2="English",(IF('2. START'!C$14&gt;0,"Social costs (LKP) not accepted by funding body","")),IF('2. START'!C$14&gt;0,"LKP som inte accepteras av finansiär",""))</f>
        <v/>
      </c>
      <c r="C718" s="133">
        <f>IF('2. START'!$C$14&gt;0,SUMIF('5. PERSON'!$B$17:$B$192,$C706,'5. PERSON'!AT$17:AT$192)-SUMIF('5. PERSON'!$B$17:$B$192,$C706,'5. PERSON'!DN$17:DN$192),0)</f>
        <v>0</v>
      </c>
      <c r="D718" s="133">
        <f>IF('2. START'!$C$14&gt;0,SUMIF('5. PERSON'!$B$17:$B$192,$C706,'5. PERSON'!AU$17:AU$192)-SUMIF('5. PERSON'!$B$17:$B$192,$C706,'5. PERSON'!DO$17:DO$192),0)</f>
        <v>0</v>
      </c>
      <c r="E718" s="133">
        <f>IF('2. START'!$C$14&gt;0,SUMIF('5. PERSON'!$B$17:$B$192,$C706,'5. PERSON'!AV$17:AV$192)-SUMIF('5. PERSON'!$B$17:$B$192,$C706,'5. PERSON'!DP$17:DP$192),0)</f>
        <v>0</v>
      </c>
      <c r="F718" s="133">
        <f>IF('2. START'!$C$14&gt;0,SUMIF('5. PERSON'!$B$17:$B$192,$C706,'5. PERSON'!AW$17:AW$192)-SUMIF('5. PERSON'!$B$17:$B$192,$C706,'5. PERSON'!DQ$17:DQ$192),0)</f>
        <v>0</v>
      </c>
      <c r="G718" s="133">
        <f>IF('2. START'!$C$14&gt;0,SUMIF('5. PERSON'!$B$17:$B$192,$C706,'5. PERSON'!AX$17:AX$192)-SUMIF('5. PERSON'!$B$17:$B$192,$C706,'5. PERSON'!DR$17:DR$192),0)</f>
        <v>0</v>
      </c>
      <c r="H718" s="133">
        <f>IF('2. START'!$C$14&gt;0,SUMIF('5. PERSON'!$B$17:$B$192,$C706,'5. PERSON'!AY$17:AY$192)-SUMIF('5. PERSON'!$B$17:$B$192,$C706,'5. PERSON'!DS$17:DS$192),0)</f>
        <v>0</v>
      </c>
      <c r="I718" s="133">
        <f>IF('2. START'!$C$14&gt;0,SUMIF('5. PERSON'!$B$17:$B$192,$C706,'5. PERSON'!AZ$17:AZ$192)-SUMIF('5. PERSON'!$B$17:$B$192,$C706,'5. PERSON'!DT$17:DT$192),0)</f>
        <v>0</v>
      </c>
      <c r="J718" s="133">
        <f>IF('2. START'!$C$14&gt;0,SUMIF('5. PERSON'!$B$17:$B$192,$C706,'5. PERSON'!BA$17:BA$192)-SUMIF('5. PERSON'!$B$17:$B$192,$C706,'5. PERSON'!DU$17:DU$192),0)</f>
        <v>0</v>
      </c>
      <c r="K718" s="133">
        <f>IF('2. START'!$C$14&gt;0,SUMIF('5. PERSON'!$B$17:$B$192,$C706,'5. PERSON'!BB$17:BB$192)-SUMIF('5. PERSON'!$B$17:$B$192,$C706,'5. PERSON'!DV$17:DV$192),0)</f>
        <v>0</v>
      </c>
      <c r="L718" s="133">
        <f>IF('2. START'!$C$14&gt;0,SUMIF('5. PERSON'!$B$17:$B$192,$C706,'5. PERSON'!BC$17:BC$192)-SUMIF('5. PERSON'!$B$17:$B$192,$C706,'5. PERSON'!DW$17:DW$192),0)</f>
        <v>0</v>
      </c>
      <c r="M718" s="117">
        <f t="shared" si="146"/>
        <v>0</v>
      </c>
    </row>
    <row r="719" spans="2:15" s="3" customFormat="1" ht="12.75" customHeight="1" x14ac:dyDescent="0.25">
      <c r="B719" s="725" t="str">
        <f>IF('1. INTRO'!I$2="English",(IF('5. PERSON'!BP$193&gt;0,"Salary including social costs (LKP)","")),IF('5. PERSON'!BP$193&gt;0,"Lön inklusive LKP",""))</f>
        <v/>
      </c>
      <c r="C719" s="732">
        <f>SUMIF('5. PERSON'!$B$17:$B$192,$C706,'5. PERSON'!BF$17:BF$192)</f>
        <v>0</v>
      </c>
      <c r="D719" s="732">
        <f>SUMIF('5. PERSON'!$B$17:$B$192,$C706,'5. PERSON'!BG$17:BG$192)</f>
        <v>0</v>
      </c>
      <c r="E719" s="732">
        <f>SUMIF('5. PERSON'!$B$17:$B$192,$C706,'5. PERSON'!BH$17:BH$192)</f>
        <v>0</v>
      </c>
      <c r="F719" s="732">
        <f>SUMIF('5. PERSON'!$B$17:$B$192,$C706,'5. PERSON'!BI$17:BI$192)</f>
        <v>0</v>
      </c>
      <c r="G719" s="732">
        <f>SUMIF('5. PERSON'!$B$17:$B$192,$C706,'5. PERSON'!BJ$17:BJ$192)</f>
        <v>0</v>
      </c>
      <c r="H719" s="732">
        <f>SUMIF('5. PERSON'!$B$17:$B$192,$C706,'5. PERSON'!BK$17:BK$192)</f>
        <v>0</v>
      </c>
      <c r="I719" s="732">
        <f>SUMIF('5. PERSON'!$B$17:$B$192,$C706,'5. PERSON'!BL$17:BL$192)</f>
        <v>0</v>
      </c>
      <c r="J719" s="732">
        <f>SUMIF('5. PERSON'!$B$17:$B$192,$C706,'5. PERSON'!BM$17:BM$192)</f>
        <v>0</v>
      </c>
      <c r="K719" s="732">
        <f>SUMIF('5. PERSON'!$B$17:$B$192,$C706,'5. PERSON'!BN$17:BN$192)</f>
        <v>0</v>
      </c>
      <c r="L719" s="732">
        <f>SUMIF('5. PERSON'!$B$17:$B$192,$C706,'5. PERSON'!BO$17:BO$192)</f>
        <v>0</v>
      </c>
      <c r="M719" s="727">
        <f t="shared" si="146"/>
        <v>0</v>
      </c>
    </row>
    <row r="720" spans="2:15" s="3" customFormat="1" ht="13.2" x14ac:dyDescent="0.25">
      <c r="B720" s="80" t="str">
        <f>IF('1. INTRO'!I$2="English",(IF('6. OPERATION'!AS$150&gt;0,"Operating","")),IF('6. OPERATION'!AS$150&gt;0,"Drift",""))</f>
        <v/>
      </c>
      <c r="C720" s="135">
        <f>SUMIF('6. OPERATION'!$B$17:$B$149,$C706,'6. OPERATION'!AI$17:AI$149)</f>
        <v>0</v>
      </c>
      <c r="D720" s="135">
        <f>SUMIF('6. OPERATION'!$B$17:$B$149,$C706,'6. OPERATION'!AJ$17:AJ$149)</f>
        <v>0</v>
      </c>
      <c r="E720" s="135">
        <f>SUMIF('6. OPERATION'!$B$17:$B$149,$C706,'6. OPERATION'!AK$17:AK$149)</f>
        <v>0</v>
      </c>
      <c r="F720" s="135">
        <f>SUMIF('6. OPERATION'!$B$17:$B$149,$C706,'6. OPERATION'!AL$17:AL$149)</f>
        <v>0</v>
      </c>
      <c r="G720" s="135">
        <f>SUMIF('6. OPERATION'!$B$17:$B$149,$C706,'6. OPERATION'!AM$17:AM$149)</f>
        <v>0</v>
      </c>
      <c r="H720" s="135">
        <f>SUMIF('6. OPERATION'!$B$17:$B$149,$C706,'6. OPERATION'!AN$17:AN$149)</f>
        <v>0</v>
      </c>
      <c r="I720" s="135">
        <f>SUMIF('6. OPERATION'!$B$17:$B$149,$C706,'6. OPERATION'!AO$17:AO$149)</f>
        <v>0</v>
      </c>
      <c r="J720" s="135">
        <f>SUMIF('6. OPERATION'!$B$17:$B$149,$C706,'6. OPERATION'!AP$17:AP$149)</f>
        <v>0</v>
      </c>
      <c r="K720" s="135">
        <f>SUMIF('6. OPERATION'!$B$17:$B$149,$C706,'6. OPERATION'!AQ$17:AQ$149)</f>
        <v>0</v>
      </c>
      <c r="L720" s="135">
        <f>SUMIF('6. OPERATION'!$B$17:$B$149,$C706,'6. OPERATION'!AR$17:AR$149)</f>
        <v>0</v>
      </c>
      <c r="M720" s="117">
        <f t="shared" si="146"/>
        <v>0</v>
      </c>
    </row>
    <row r="721" spans="2:15" s="3" customFormat="1" ht="13.2" x14ac:dyDescent="0.25">
      <c r="B721" s="725" t="str">
        <f>IF('1. INTRO'!I$2="English",(IF('7. INVEST'!AS$50&gt;0,"Equipment","")),IF('7. INVEST'!AS$50&gt;0,"Utrustning",""))</f>
        <v/>
      </c>
      <c r="C721" s="732">
        <f>SUMIF('7. INVEST'!$B$17:$B$49,$C706,'7. INVEST'!AI$17:AI$49)</f>
        <v>0</v>
      </c>
      <c r="D721" s="732">
        <f>SUMIF('7. INVEST'!$B$17:$B$49,$C706,'7. INVEST'!AJ$17:AJ$49)</f>
        <v>0</v>
      </c>
      <c r="E721" s="732">
        <f>SUMIF('7. INVEST'!$B$17:$B$49,$C706,'7. INVEST'!AK$17:AK$49)</f>
        <v>0</v>
      </c>
      <c r="F721" s="732">
        <f>SUMIF('7. INVEST'!$B$17:$B$49,$C706,'7. INVEST'!AL$17:AL$49)</f>
        <v>0</v>
      </c>
      <c r="G721" s="732">
        <f>SUMIF('7. INVEST'!$B$17:$B$49,$C706,'7. INVEST'!AM$17:AM$49)</f>
        <v>0</v>
      </c>
      <c r="H721" s="732">
        <f>SUMIF('7. INVEST'!$B$17:$B$49,$C706,'7. INVEST'!AN$17:AN$49)</f>
        <v>0</v>
      </c>
      <c r="I721" s="732">
        <f>SUMIF('7. INVEST'!$B$17:$B$49,$C706,'7. INVEST'!AO$17:AO$49)</f>
        <v>0</v>
      </c>
      <c r="J721" s="732">
        <f>SUMIF('7. INVEST'!$B$17:$B$49,$C706,'7. INVEST'!AP$17:AP$49)</f>
        <v>0</v>
      </c>
      <c r="K721" s="732">
        <f>SUMIF('7. INVEST'!$B$17:$B$49,$C706,'7. INVEST'!AQ$17:AQ$49)</f>
        <v>0</v>
      </c>
      <c r="L721" s="732">
        <f>SUMIF('7. INVEST'!$B$17:$B$49,$C706,'7. INVEST'!AR$17:AR$49)</f>
        <v>0</v>
      </c>
      <c r="M721" s="727">
        <f t="shared" si="146"/>
        <v>0</v>
      </c>
    </row>
    <row r="722" spans="2:15" s="3" customFormat="1" ht="13.2" x14ac:dyDescent="0.25">
      <c r="B722" s="121" t="str">
        <f>IF('1. INTRO'!I$2="English",(IF('8. FACILIT'!AP$51&gt;0,"Facility","")),IF('8. FACILIT'!AP$51&gt;0,"Lokal",""))</f>
        <v/>
      </c>
      <c r="C722" s="135">
        <f>SUMIF('5. PERSON'!$B$17:$B$192,$C706,'5. PERSON'!DB$17:DB$192)+SUMIF('6. OPERATION'!$B$17:$B$149,$C706,'6. OPERATION'!CE$17:CE$149)+SUMIF('8. FACILIT'!$B$18:$B$50,$C706,'8. FACILIT'!AF$18:AF$50)</f>
        <v>0</v>
      </c>
      <c r="D722" s="135">
        <f>SUMIF('5. PERSON'!$B$17:$B$192,$C706,'5. PERSON'!DC$17:DC$192)+SUMIF('6. OPERATION'!$B$17:$B$149,$C706,'6. OPERATION'!CF$17:CF$149)+SUMIF('8. FACILIT'!$B$18:$B$50,$C706,'8. FACILIT'!AG$18:AG$50)</f>
        <v>0</v>
      </c>
      <c r="E722" s="135">
        <f>SUMIF('5. PERSON'!$B$17:$B$192,$C706,'5. PERSON'!DD$17:DD$192)+SUMIF('6. OPERATION'!$B$17:$B$149,$C706,'6. OPERATION'!CG$17:CG$149)+SUMIF('8. FACILIT'!$B$18:$B$50,$C706,'8. FACILIT'!AH$18:AH$50)</f>
        <v>0</v>
      </c>
      <c r="F722" s="135">
        <f>SUMIF('5. PERSON'!$B$17:$B$192,$C706,'5. PERSON'!DE$17:DE$192)+SUMIF('6. OPERATION'!$B$17:$B$149,$C706,'6. OPERATION'!CH$17:CH$149)+SUMIF('8. FACILIT'!$B$18:$B$50,$C706,'8. FACILIT'!AI$18:AI$50)</f>
        <v>0</v>
      </c>
      <c r="G722" s="135">
        <f>SUMIF('5. PERSON'!$B$17:$B$192,$C706,'5. PERSON'!DF$17:DF$192)+SUMIF('6. OPERATION'!$B$17:$B$149,$C706,'6. OPERATION'!CI$17:CI$149)+SUMIF('8. FACILIT'!$B$18:$B$50,$C706,'8. FACILIT'!AJ$18:AJ$50)</f>
        <v>0</v>
      </c>
      <c r="H722" s="135">
        <f>SUMIF('5. PERSON'!$B$17:$B$192,$C706,'5. PERSON'!DG$17:DG$192)+SUMIF('6. OPERATION'!$B$17:$B$149,$C706,'6. OPERATION'!CJ$17:CJ$149)+SUMIF('8. FACILIT'!$B$18:$B$50,$C706,'8. FACILIT'!AK$18:AK$50)</f>
        <v>0</v>
      </c>
      <c r="I722" s="135">
        <f>SUMIF('5. PERSON'!$B$17:$B$192,$C706,'5. PERSON'!DH$17:DH$192)+SUMIF('6. OPERATION'!$B$17:$B$149,$C706,'6. OPERATION'!CK$17:CK$149)+SUMIF('8. FACILIT'!$B$18:$B$50,$C706,'8. FACILIT'!AL$18:AL$50)</f>
        <v>0</v>
      </c>
      <c r="J722" s="135">
        <f>SUMIF('5. PERSON'!$B$17:$B$192,$C706,'5. PERSON'!DI$17:DI$192)+SUMIF('6. OPERATION'!$B$17:$B$149,$C706,'6. OPERATION'!CL$17:CL$149)+SUMIF('8. FACILIT'!$B$18:$B$50,$C706,'8. FACILIT'!AM$18:AM$50)</f>
        <v>0</v>
      </c>
      <c r="K722" s="135">
        <f>SUMIF('5. PERSON'!$B$17:$B$192,$C706,'5. PERSON'!DJ$17:DJ$192)+SUMIF('6. OPERATION'!$B$17:$B$149,$C706,'6. OPERATION'!CM$17:CM$149)+SUMIF('8. FACILIT'!$B$18:$B$50,$C706,'8. FACILIT'!AN$18:AN$50)</f>
        <v>0</v>
      </c>
      <c r="L722" s="135">
        <f>SUMIF('5. PERSON'!$B$17:$B$192,$C706,'5. PERSON'!DK$17:DK$192)+SUMIF('6. OPERATION'!$B$17:$B$149,$C706,'6. OPERATION'!CN$17:CN$149)+SUMIF('8. FACILIT'!$B$18:$B$50,$C706,'8. FACILIT'!AO$18:AO$50)</f>
        <v>0</v>
      </c>
      <c r="M722" s="117">
        <f t="shared" si="146"/>
        <v>0</v>
      </c>
    </row>
    <row r="723" spans="2:15" s="1" customFormat="1" ht="13.2" x14ac:dyDescent="0.25">
      <c r="B723" s="728" t="str">
        <f>IF('1. INTRO'!I$2="English",(IF(('5. PERSON'!CN$193+'6. OPERATION'!BQ$150)&gt;0,"Indirect","")),IF(('5. PERSON'!CN$193+'6. OPERATION'!BQ$150)&gt;0,"Indirekt",""))</f>
        <v/>
      </c>
      <c r="C723" s="729">
        <f>SUMIF('5. PERSON'!$B$17:$B$192,$C706,'5. PERSON'!CD$17:CD$192)+SUMIF('6. OPERATION'!$B$17:$B$149,$C706,'6. OPERATION'!BG$17:BG$149)</f>
        <v>0</v>
      </c>
      <c r="D723" s="729">
        <f>SUMIF('5. PERSON'!$B$17:$B$192,$C706,'5. PERSON'!CE$17:CE$192)+SUMIF('6. OPERATION'!$B$17:$B$149,$C706,'6. OPERATION'!BH$17:BH$149)</f>
        <v>0</v>
      </c>
      <c r="E723" s="729">
        <f>SUMIF('5. PERSON'!$B$17:$B$192,$C706,'5. PERSON'!CF$17:CF$192)+SUMIF('6. OPERATION'!$B$17:$B$149,$C706,'6. OPERATION'!BI$17:BI$149)</f>
        <v>0</v>
      </c>
      <c r="F723" s="729">
        <f>SUMIF('5. PERSON'!$B$17:$B$192,$C706,'5. PERSON'!CG$17:CG$192)+SUMIF('6. OPERATION'!$B$17:$B$149,$C706,'6. OPERATION'!BJ$17:BJ$149)</f>
        <v>0</v>
      </c>
      <c r="G723" s="729">
        <f>SUMIF('5. PERSON'!$B$17:$B$192,$C706,'5. PERSON'!CH$17:CH$192)+SUMIF('6. OPERATION'!$B$17:$B$149,$C706,'6. OPERATION'!BK$17:BK$149)</f>
        <v>0</v>
      </c>
      <c r="H723" s="729">
        <f>SUMIF('5. PERSON'!$B$17:$B$192,$C706,'5. PERSON'!CI$17:CI$192)+SUMIF('6. OPERATION'!$B$17:$B$149,$C706,'6. OPERATION'!BL$17:BL$149)</f>
        <v>0</v>
      </c>
      <c r="I723" s="729">
        <f>SUMIF('5. PERSON'!$B$17:$B$192,$C706,'5. PERSON'!CJ$17:CJ$192)+SUMIF('6. OPERATION'!$B$17:$B$149,$C706,'6. OPERATION'!BM$17:BM$149)</f>
        <v>0</v>
      </c>
      <c r="J723" s="729">
        <f>SUMIF('5. PERSON'!$B$17:$B$192,$C706,'5. PERSON'!CK$17:CK$192)+SUMIF('6. OPERATION'!$B$17:$B$149,$C706,'6. OPERATION'!BN$17:BN$149)</f>
        <v>0</v>
      </c>
      <c r="K723" s="729">
        <f>SUMIF('5. PERSON'!$B$17:$B$192,$C706,'5. PERSON'!CL$17:CL$192)+SUMIF('6. OPERATION'!$B$17:$B$149,$C706,'6. OPERATION'!BO$17:BO$149)</f>
        <v>0</v>
      </c>
      <c r="L723" s="729">
        <f>SUMIF('5. PERSON'!$B$17:$B$192,$C706,'5. PERSON'!CM$17:CM$192)+SUMIF('6. OPERATION'!$B$17:$B$149,$C706,'6. OPERATION'!BP$17:BP$149)</f>
        <v>0</v>
      </c>
      <c r="M723" s="733">
        <f t="shared" si="146"/>
        <v>0</v>
      </c>
    </row>
    <row r="724" spans="2:15" s="3" customFormat="1" ht="13.2" x14ac:dyDescent="0.25">
      <c r="B724" s="124" t="s">
        <v>113</v>
      </c>
      <c r="C724" s="102">
        <f>SUM(C717:C723)</f>
        <v>0</v>
      </c>
      <c r="D724" s="102">
        <f t="shared" ref="D724:M724" si="147">SUM(D717:D723)</f>
        <v>0</v>
      </c>
      <c r="E724" s="102">
        <f t="shared" si="147"/>
        <v>0</v>
      </c>
      <c r="F724" s="102">
        <f t="shared" si="147"/>
        <v>0</v>
      </c>
      <c r="G724" s="102">
        <f t="shared" si="147"/>
        <v>0</v>
      </c>
      <c r="H724" s="102">
        <f t="shared" si="147"/>
        <v>0</v>
      </c>
      <c r="I724" s="102">
        <f t="shared" si="147"/>
        <v>0</v>
      </c>
      <c r="J724" s="102">
        <f t="shared" si="147"/>
        <v>0</v>
      </c>
      <c r="K724" s="102">
        <f t="shared" si="147"/>
        <v>0</v>
      </c>
      <c r="L724" s="102">
        <f t="shared" si="147"/>
        <v>0</v>
      </c>
      <c r="M724" s="125">
        <f t="shared" si="147"/>
        <v>0</v>
      </c>
      <c r="N724" s="23"/>
      <c r="O724" s="23"/>
    </row>
    <row r="725" spans="2:15" s="3" customFormat="1" ht="6" customHeight="1" x14ac:dyDescent="0.25">
      <c r="B725" s="136"/>
      <c r="C725" s="127"/>
      <c r="D725" s="127"/>
      <c r="E725" s="127"/>
      <c r="F725" s="127"/>
      <c r="G725" s="127"/>
      <c r="H725" s="127"/>
      <c r="I725" s="127"/>
      <c r="J725" s="127"/>
      <c r="K725" s="127"/>
      <c r="L725" s="127"/>
      <c r="M725" s="137"/>
    </row>
    <row r="726" spans="2:15" s="3" customFormat="1" ht="13.2" x14ac:dyDescent="0.25">
      <c r="B726" s="129" t="str">
        <f>IF('1. INTRO'!I$2="English","Full cost","Full kostnad")</f>
        <v>Full cost</v>
      </c>
      <c r="C726" s="127"/>
      <c r="D726" s="127"/>
      <c r="E726" s="127"/>
      <c r="F726" s="127"/>
      <c r="G726" s="127"/>
      <c r="H726" s="127"/>
      <c r="I726" s="127"/>
      <c r="J726" s="127"/>
      <c r="K726" s="127"/>
      <c r="L726" s="127"/>
      <c r="M726" s="137"/>
    </row>
    <row r="727" spans="2:15" s="3" customFormat="1" ht="13.2" x14ac:dyDescent="0.25">
      <c r="B727" s="722" t="str">
        <f>IF('1. INTRO'!I$2="English","Salary including social costs (LKP)","Lön inklusive LKP")</f>
        <v>Salary including social costs (LKP)</v>
      </c>
      <c r="C727" s="734">
        <f>C709+C718+C719</f>
        <v>0</v>
      </c>
      <c r="D727" s="734">
        <f t="shared" ref="D727:L727" si="148">D709+D718+D719</f>
        <v>0</v>
      </c>
      <c r="E727" s="734">
        <f t="shared" si="148"/>
        <v>0</v>
      </c>
      <c r="F727" s="734">
        <f t="shared" si="148"/>
        <v>0</v>
      </c>
      <c r="G727" s="734">
        <f t="shared" si="148"/>
        <v>0</v>
      </c>
      <c r="H727" s="734">
        <f t="shared" si="148"/>
        <v>0</v>
      </c>
      <c r="I727" s="734">
        <f t="shared" si="148"/>
        <v>0</v>
      </c>
      <c r="J727" s="734">
        <f t="shared" si="148"/>
        <v>0</v>
      </c>
      <c r="K727" s="734">
        <f t="shared" si="148"/>
        <v>0</v>
      </c>
      <c r="L727" s="734">
        <f t="shared" si="148"/>
        <v>0</v>
      </c>
      <c r="M727" s="724">
        <f>SUM(C727:L727)</f>
        <v>0</v>
      </c>
    </row>
    <row r="728" spans="2:15" s="3" customFormat="1" ht="13.2" x14ac:dyDescent="0.25">
      <c r="B728" s="80" t="str">
        <f>IF('1. INTRO'!I$2="English","Operating","Drift")</f>
        <v>Operating</v>
      </c>
      <c r="C728" s="139">
        <f>C710+C720</f>
        <v>0</v>
      </c>
      <c r="D728" s="139">
        <f t="shared" ref="D728:L728" si="149">D710+D720</f>
        <v>0</v>
      </c>
      <c r="E728" s="139">
        <f t="shared" si="149"/>
        <v>0</v>
      </c>
      <c r="F728" s="139">
        <f t="shared" si="149"/>
        <v>0</v>
      </c>
      <c r="G728" s="139">
        <f t="shared" si="149"/>
        <v>0</v>
      </c>
      <c r="H728" s="139">
        <f t="shared" si="149"/>
        <v>0</v>
      </c>
      <c r="I728" s="139">
        <f t="shared" si="149"/>
        <v>0</v>
      </c>
      <c r="J728" s="139">
        <f t="shared" si="149"/>
        <v>0</v>
      </c>
      <c r="K728" s="139">
        <f t="shared" si="149"/>
        <v>0</v>
      </c>
      <c r="L728" s="139">
        <f t="shared" si="149"/>
        <v>0</v>
      </c>
      <c r="M728" s="117">
        <f>SUM(C728:L728)</f>
        <v>0</v>
      </c>
    </row>
    <row r="729" spans="2:15" s="3" customFormat="1" ht="13.2" x14ac:dyDescent="0.25">
      <c r="B729" s="725" t="str">
        <f>IF('1. INTRO'!I$2="English","Equipment","Utrustning")</f>
        <v>Equipment</v>
      </c>
      <c r="C729" s="735">
        <f>C711+C721</f>
        <v>0</v>
      </c>
      <c r="D729" s="735">
        <f t="shared" ref="D729:L729" si="150">D711+D721</f>
        <v>0</v>
      </c>
      <c r="E729" s="735">
        <f t="shared" si="150"/>
        <v>0</v>
      </c>
      <c r="F729" s="735">
        <f t="shared" si="150"/>
        <v>0</v>
      </c>
      <c r="G729" s="735">
        <f t="shared" si="150"/>
        <v>0</v>
      </c>
      <c r="H729" s="735">
        <f t="shared" si="150"/>
        <v>0</v>
      </c>
      <c r="I729" s="735">
        <f t="shared" si="150"/>
        <v>0</v>
      </c>
      <c r="J729" s="735">
        <f t="shared" si="150"/>
        <v>0</v>
      </c>
      <c r="K729" s="735">
        <f t="shared" si="150"/>
        <v>0</v>
      </c>
      <c r="L729" s="735">
        <f t="shared" si="150"/>
        <v>0</v>
      </c>
      <c r="M729" s="727">
        <f>SUM(C729:L729)</f>
        <v>0</v>
      </c>
    </row>
    <row r="730" spans="2:15" s="3" customFormat="1" ht="13.2" x14ac:dyDescent="0.25">
      <c r="B730" s="80" t="str">
        <f>IF('1. INTRO'!I$2="English","Facility","Lokal")</f>
        <v>Facility</v>
      </c>
      <c r="C730" s="139">
        <f>SUMIF('5. PERSON'!$B$17:$B$192,$C706,'5. PERSON'!CP$17:CP$192)+SUMIF('5. PERSON'!$B$17:$B$192,$C706,'5. PERSON'!DB$17:DB$192)+SUMIF('6. OPERATION'!$B$17:$B$149,$C706,'6. OPERATION'!BS$17:BS$149)+SUMIF('6. OPERATION'!$B$17:$B$149,$C706,'6. OPERATION'!CE$17:CE$149)+SUMIF('8. FACILIT'!$B$18:$B$50,$C706,'8. FACILIT'!T$18:T$50)+SUMIF('8. FACILIT'!$B$18:$B$50,$C706,'8. FACILIT'!AF$18:AF$50)</f>
        <v>0</v>
      </c>
      <c r="D730" s="139">
        <f>SUMIF('5. PERSON'!$B$17:$B$192,$C706,'5. PERSON'!CQ$17:CQ$192)+SUMIF('5. PERSON'!$B$17:$B$192,$C706,'5. PERSON'!DC$17:DC$192)+SUMIF('6. OPERATION'!$B$17:$B$149,$C706,'6. OPERATION'!BT$17:BT$149)+SUMIF('6. OPERATION'!$B$17:$B$149,$C706,'6. OPERATION'!CF$17:CF$149)+SUMIF('8. FACILIT'!$B$18:$B$50,$C706,'8. FACILIT'!U$18:U$50)+SUMIF('8. FACILIT'!$B$18:$B$50,$C706,'8. FACILIT'!AG$18:AG$50)</f>
        <v>0</v>
      </c>
      <c r="E730" s="139">
        <f>SUMIF('5. PERSON'!$B$17:$B$192,$C706,'5. PERSON'!CR$17:CR$192)+SUMIF('5. PERSON'!$B$17:$B$192,$C706,'5. PERSON'!DD$17:DD$192)+SUMIF('6. OPERATION'!$B$17:$B$149,$C706,'6. OPERATION'!BU$17:BU$149)+SUMIF('6. OPERATION'!$B$17:$B$149,$C706,'6. OPERATION'!CG$17:CG$149)+SUMIF('8. FACILIT'!$B$18:$B$50,$C706,'8. FACILIT'!V$18:V$50)+SUMIF('8. FACILIT'!$B$18:$B$50,$C706,'8. FACILIT'!AH$18:AH$50)</f>
        <v>0</v>
      </c>
      <c r="F730" s="139">
        <f>SUMIF('5. PERSON'!$B$17:$B$192,$C706,'5. PERSON'!CS$17:CS$192)+SUMIF('5. PERSON'!$B$17:$B$192,$C706,'5. PERSON'!DE$17:DE$192)+SUMIF('6. OPERATION'!$B$17:$B$149,$C706,'6. OPERATION'!BV$17:BV$149)+SUMIF('6. OPERATION'!$B$17:$B$149,$C706,'6. OPERATION'!CH$17:CH$149)+SUMIF('8. FACILIT'!$B$18:$B$50,$C706,'8. FACILIT'!W$18:W$50)+SUMIF('8. FACILIT'!$B$18:$B$50,$C706,'8. FACILIT'!AI$18:AI$50)</f>
        <v>0</v>
      </c>
      <c r="G730" s="139">
        <f>SUMIF('5. PERSON'!$B$17:$B$192,$C706,'5. PERSON'!CT$17:CT$192)+SUMIF('5. PERSON'!$B$17:$B$192,$C706,'5. PERSON'!DF$17:DF$192)+SUMIF('6. OPERATION'!$B$17:$B$149,$C706,'6. OPERATION'!BW$17:BW$149)+SUMIF('6. OPERATION'!$B$17:$B$149,$C706,'6. OPERATION'!CI$17:CI$149)+SUMIF('8. FACILIT'!$B$18:$B$50,$C706,'8. FACILIT'!X$18:X$50)+SUMIF('8. FACILIT'!$B$18:$B$50,$C706,'8. FACILIT'!AJ$18:AJ$50)</f>
        <v>0</v>
      </c>
      <c r="H730" s="139">
        <f>SUMIF('5. PERSON'!$B$17:$B$192,$C706,'5. PERSON'!CU$17:CU$192)+SUMIF('5. PERSON'!$B$17:$B$192,$C706,'5. PERSON'!DG$17:DG$192)+SUMIF('6. OPERATION'!$B$17:$B$149,$C706,'6. OPERATION'!BX$17:BX$149)+SUMIF('6. OPERATION'!$B$17:$B$149,$C706,'6. OPERATION'!CJ$17:CJ$149)+SUMIF('8. FACILIT'!$B$18:$B$50,$C706,'8. FACILIT'!Y$18:Y$50)+SUMIF('8. FACILIT'!$B$18:$B$50,$C706,'8. FACILIT'!AK$18:AK$50)</f>
        <v>0</v>
      </c>
      <c r="I730" s="139">
        <f>SUMIF('5. PERSON'!$B$17:$B$192,$C706,'5. PERSON'!CV$17:CV$192)+SUMIF('5. PERSON'!$B$17:$B$192,$C706,'5. PERSON'!DH$17:DH$192)+SUMIF('6. OPERATION'!$B$17:$B$149,$C706,'6. OPERATION'!BY$17:BY$149)+SUMIF('6. OPERATION'!$B$17:$B$149,$C706,'6. OPERATION'!CK$17:CK$149)+SUMIF('8. FACILIT'!$B$18:$B$50,$C706,'8. FACILIT'!Z$18:Z$50)+SUMIF('8. FACILIT'!$B$18:$B$50,$C706,'8. FACILIT'!AL$18:AL$50)</f>
        <v>0</v>
      </c>
      <c r="J730" s="139">
        <f>SUMIF('5. PERSON'!$B$17:$B$192,$C706,'5. PERSON'!CW$17:CW$192)+SUMIF('5. PERSON'!$B$17:$B$192,$C706,'5. PERSON'!DI$17:DI$192)+SUMIF('6. OPERATION'!$B$17:$B$149,$C706,'6. OPERATION'!BZ$17:BZ$149)+SUMIF('6. OPERATION'!$B$17:$B$149,$C706,'6. OPERATION'!CL$17:CL$149)+SUMIF('8. FACILIT'!$B$18:$B$50,$C706,'8. FACILIT'!AA$18:AA$50)+SUMIF('8. FACILIT'!$B$18:$B$50,$C706,'8. FACILIT'!AM$18:AM$50)</f>
        <v>0</v>
      </c>
      <c r="K730" s="139">
        <f>SUMIF('5. PERSON'!$B$17:$B$192,$C706,'5. PERSON'!CX$17:CX$192)+SUMIF('5. PERSON'!$B$17:$B$192,$C706,'5. PERSON'!DJ$17:DJ$192)+SUMIF('6. OPERATION'!$B$17:$B$149,$C706,'6. OPERATION'!CA$17:CA$149)+SUMIF('6. OPERATION'!$B$17:$B$149,$C706,'6. OPERATION'!CM$17:CM$149)+SUMIF('8. FACILIT'!$B$18:$B$50,$C706,'8. FACILIT'!AB$18:AB$50)+SUMIF('8. FACILIT'!$B$18:$B$50,$C706,'8. FACILIT'!AN$18:AN$50)</f>
        <v>0</v>
      </c>
      <c r="L730" s="139">
        <f>SUMIF('5. PERSON'!$B$17:$B$192,$C706,'5. PERSON'!CY$17:CY$192)+SUMIF('5. PERSON'!$B$17:$B$192,$C706,'5. PERSON'!DK$17:DK$192)+SUMIF('6. OPERATION'!$B$17:$B$149,$C706,'6. OPERATION'!CB$17:CB$149)+SUMIF('6. OPERATION'!$B$17:$B$149,$C706,'6. OPERATION'!CN$17:CN$149)+SUMIF('8. FACILIT'!$B$18:$B$50,$C706,'8. FACILIT'!AC$18:AC$50)+SUMIF('8. FACILIT'!$B$18:$B$50,$C706,'8. FACILIT'!AO$18:AO$50)</f>
        <v>0</v>
      </c>
      <c r="M730" s="117">
        <f>SUM(C730:L730)</f>
        <v>0</v>
      </c>
    </row>
    <row r="731" spans="2:15" s="3" customFormat="1" ht="13.2" x14ac:dyDescent="0.25">
      <c r="B731" s="736" t="str">
        <f>IF('1. INTRO'!I$2="English","Indirect","Indirekt")</f>
        <v>Indirect</v>
      </c>
      <c r="C731" s="737">
        <f>SUMIF('5. PERSON'!$B$17:$B$192,$C706,'5. PERSON'!BR$17:BR$192)+SUMIF('5. PERSON'!$B$17:$B$192,$C706,'5. PERSON'!CD$17:CD$192)+SUMIF('6. OPERATION'!$B$17:$B$149,$C706,'6. OPERATION'!AU$17:AU$149)+SUMIF('6. OPERATION'!$B$17:$B$149,$C706,'6. OPERATION'!BG$17:BG$149)</f>
        <v>0</v>
      </c>
      <c r="D731" s="737">
        <f>SUMIF('5. PERSON'!$B$17:$B$192,$C706,'5. PERSON'!BS$17:BS$192)+SUMIF('5. PERSON'!$B$17:$B$192,$C706,'5. PERSON'!CE$17:CE$192)+SUMIF('6. OPERATION'!$B$17:$B$149,$C706,'6. OPERATION'!AV$17:AV$149)+SUMIF('6. OPERATION'!$B$17:$B$149,$C706,'6. OPERATION'!BH$17:BH$149)</f>
        <v>0</v>
      </c>
      <c r="E731" s="737">
        <f>SUMIF('5. PERSON'!$B$17:$B$192,$C706,'5. PERSON'!BT$17:BT$192)+SUMIF('5. PERSON'!$B$17:$B$192,$C706,'5. PERSON'!CF$17:CF$192)+SUMIF('6. OPERATION'!$B$17:$B$149,$C706,'6. OPERATION'!AW$17:AW$149)+SUMIF('6. OPERATION'!$B$17:$B$149,$C706,'6. OPERATION'!BI$17:BI$149)</f>
        <v>0</v>
      </c>
      <c r="F731" s="737">
        <f>SUMIF('5. PERSON'!$B$17:$B$192,$C706,'5. PERSON'!BU$17:BU$192)+SUMIF('5. PERSON'!$B$17:$B$192,$C706,'5. PERSON'!CG$17:CG$192)+SUMIF('6. OPERATION'!$B$17:$B$149,$C706,'6. OPERATION'!AX$17:AX$149)+SUMIF('6. OPERATION'!$B$17:$B$149,$C706,'6. OPERATION'!BJ$17:BJ$149)</f>
        <v>0</v>
      </c>
      <c r="G731" s="737">
        <f>SUMIF('5. PERSON'!$B$17:$B$192,$C706,'5. PERSON'!BV$17:BV$192)+SUMIF('5. PERSON'!$B$17:$B$192,$C706,'5. PERSON'!CH$17:CH$192)+SUMIF('6. OPERATION'!$B$17:$B$149,$C706,'6. OPERATION'!AY$17:AY$149)+SUMIF('6. OPERATION'!$B$17:$B$149,$C706,'6. OPERATION'!BK$17:BK$149)</f>
        <v>0</v>
      </c>
      <c r="H731" s="737">
        <f>SUMIF('5. PERSON'!$B$17:$B$192,$C706,'5. PERSON'!BW$17:BW$192)+SUMIF('5. PERSON'!$B$17:$B$192,$C706,'5. PERSON'!CI$17:CI$192)+SUMIF('6. OPERATION'!$B$17:$B$149,$C706,'6. OPERATION'!AZ$17:AZ$149)+SUMIF('6. OPERATION'!$B$17:$B$149,$C706,'6. OPERATION'!BL$17:BL$149)</f>
        <v>0</v>
      </c>
      <c r="I731" s="737">
        <f>SUMIF('5. PERSON'!$B$17:$B$192,$C706,'5. PERSON'!BX$17:BX$192)+SUMIF('5. PERSON'!$B$17:$B$192,$C706,'5. PERSON'!CJ$17:CJ$192)+SUMIF('6. OPERATION'!$B$17:$B$149,$C706,'6. OPERATION'!BA$17:BA$149)+SUMIF('6. OPERATION'!$B$17:$B$149,$C706,'6. OPERATION'!BM$17:BM$149)</f>
        <v>0</v>
      </c>
      <c r="J731" s="737">
        <f>SUMIF('5. PERSON'!$B$17:$B$192,$C706,'5. PERSON'!BY$17:BY$192)+SUMIF('5. PERSON'!$B$17:$B$192,$C706,'5. PERSON'!CK$17:CK$192)+SUMIF('6. OPERATION'!$B$17:$B$149,$C706,'6. OPERATION'!BB$17:BB$149)+SUMIF('6. OPERATION'!$B$17:$B$149,$C706,'6. OPERATION'!BN$17:BN$149)</f>
        <v>0</v>
      </c>
      <c r="K731" s="737">
        <f>SUMIF('5. PERSON'!$B$17:$B$192,$C706,'5. PERSON'!BZ$17:BZ$192)+SUMIF('5. PERSON'!$B$17:$B$192,$C706,'5. PERSON'!CL$17:CL$192)+SUMIF('6. OPERATION'!$B$17:$B$149,$C706,'6. OPERATION'!BC$17:BC$149)+SUMIF('6. OPERATION'!$B$17:$B$149,$C706,'6. OPERATION'!BO$17:BO$149)</f>
        <v>0</v>
      </c>
      <c r="L731" s="737">
        <f>SUMIF('5. PERSON'!$B$17:$B$192,$C706,'5. PERSON'!CA$17:CA$192)+SUMIF('5. PERSON'!$B$17:$B$192,$C706,'5. PERSON'!CM$17:CM$192)+SUMIF('6. OPERATION'!$B$17:$B$149,$C706,'6. OPERATION'!BD$17:BD$149)+SUMIF('6. OPERATION'!$B$17:$B$149,$C706,'6. OPERATION'!BP$17:BP$149)</f>
        <v>0</v>
      </c>
      <c r="M731" s="733">
        <f>SUM(C731:L731)</f>
        <v>0</v>
      </c>
    </row>
    <row r="732" spans="2:15" s="3" customFormat="1" ht="13.2" x14ac:dyDescent="0.25">
      <c r="B732" s="124" t="s">
        <v>113</v>
      </c>
      <c r="C732" s="88">
        <f>SUM(C727:C731)</f>
        <v>0</v>
      </c>
      <c r="D732" s="88">
        <f t="shared" ref="D732:M732" si="151">SUM(D727:D731)</f>
        <v>0</v>
      </c>
      <c r="E732" s="88">
        <f t="shared" si="151"/>
        <v>0</v>
      </c>
      <c r="F732" s="88">
        <f t="shared" si="151"/>
        <v>0</v>
      </c>
      <c r="G732" s="88">
        <f t="shared" si="151"/>
        <v>0</v>
      </c>
      <c r="H732" s="88">
        <f t="shared" si="151"/>
        <v>0</v>
      </c>
      <c r="I732" s="88">
        <f t="shared" si="151"/>
        <v>0</v>
      </c>
      <c r="J732" s="88">
        <f t="shared" si="151"/>
        <v>0</v>
      </c>
      <c r="K732" s="88">
        <f t="shared" si="151"/>
        <v>0</v>
      </c>
      <c r="L732" s="88">
        <f t="shared" si="151"/>
        <v>0</v>
      </c>
      <c r="M732" s="142">
        <f t="shared" si="151"/>
        <v>0</v>
      </c>
    </row>
    <row r="733" spans="2:15" s="3" customFormat="1" ht="13.2" x14ac:dyDescent="0.25">
      <c r="B733" s="287"/>
      <c r="C733" s="37"/>
      <c r="D733" s="37"/>
      <c r="E733" s="37"/>
      <c r="F733" s="37"/>
      <c r="G733" s="37"/>
      <c r="H733" s="37"/>
      <c r="I733" s="37"/>
      <c r="J733" s="37"/>
      <c r="K733" s="37"/>
      <c r="L733" s="37"/>
      <c r="M733" s="37"/>
    </row>
    <row r="734" spans="2:15" s="3" customFormat="1" ht="12.75" customHeight="1" x14ac:dyDescent="0.25">
      <c r="B734" s="656" t="str">
        <f>IF('1. INTRO'!I$2="English","Co-funding share in full cost ","Medfinansieringsandel i full kostnad ")</f>
        <v xml:space="preserve">Co-funding share in full cost </v>
      </c>
      <c r="C734" s="143" t="str">
        <f t="shared" ref="C734:M734" si="152">IF(C732&gt;0,C724/C732,"")</f>
        <v/>
      </c>
      <c r="D734" s="143" t="str">
        <f t="shared" si="152"/>
        <v/>
      </c>
      <c r="E734" s="143" t="str">
        <f t="shared" si="152"/>
        <v/>
      </c>
      <c r="F734" s="143" t="str">
        <f t="shared" si="152"/>
        <v/>
      </c>
      <c r="G734" s="143" t="str">
        <f t="shared" si="152"/>
        <v/>
      </c>
      <c r="H734" s="143" t="str">
        <f t="shared" si="152"/>
        <v/>
      </c>
      <c r="I734" s="143" t="str">
        <f t="shared" si="152"/>
        <v/>
      </c>
      <c r="J734" s="143" t="str">
        <f t="shared" si="152"/>
        <v/>
      </c>
      <c r="K734" s="143" t="str">
        <f t="shared" si="152"/>
        <v/>
      </c>
      <c r="L734" s="143" t="str">
        <f t="shared" si="152"/>
        <v/>
      </c>
      <c r="M734" s="143" t="str">
        <f t="shared" si="152"/>
        <v/>
      </c>
    </row>
    <row r="735" spans="2:15" ht="12.75" customHeight="1" x14ac:dyDescent="0.2"/>
    <row r="736" spans="2:15" ht="12.75" customHeight="1" x14ac:dyDescent="0.25">
      <c r="D736" s="656" t="str">
        <f>IF('1. INTRO'!I$2="English","Co-funding need in average per year: ","Medfinansieringsbehov i genomsnitt per år: ")</f>
        <v xml:space="preserve">Co-funding need in average per year: </v>
      </c>
      <c r="E736" s="92" t="str">
        <f>IF(M724=0,"",M724/(DATEDIF('2. START'!C$18,'2. START'!C$19,"d")/365))</f>
        <v/>
      </c>
      <c r="H736" s="656" t="str">
        <f>IF('1. INTRO'!I$2="English","Co-funding need 1/3 of total: ","Medfinansieringsbehov 1/3 av totalt: ")</f>
        <v xml:space="preserve">Co-funding need 1/3 of total: </v>
      </c>
      <c r="I736" s="92">
        <f>M724/3</f>
        <v>0</v>
      </c>
      <c r="L736" s="287" t="str">
        <f>IF('1. INTRO'!I$2="English","Co-funding need total: ","Medfinansieringsbehov totalt: ")</f>
        <v xml:space="preserve">Co-funding need total: </v>
      </c>
      <c r="M736" s="92">
        <f>M724</f>
        <v>0</v>
      </c>
    </row>
    <row r="737" spans="2:13" ht="12.75" customHeight="1" x14ac:dyDescent="0.25">
      <c r="B737" s="53" t="str">
        <f>IF('1. INTRO'!I$2="English","Co-funding sources","Medfinansieringskällor")</f>
        <v>Co-funding sources</v>
      </c>
    </row>
    <row r="738" spans="2:13" ht="12.75" customHeight="1" x14ac:dyDescent="0.25">
      <c r="B738" s="225"/>
      <c r="C738" s="226"/>
      <c r="D738" s="226"/>
      <c r="E738" s="226"/>
      <c r="F738" s="226"/>
      <c r="G738" s="226"/>
      <c r="H738" s="226"/>
      <c r="I738" s="226"/>
      <c r="J738" s="226"/>
      <c r="K738" s="226"/>
      <c r="L738" s="227"/>
      <c r="M738" s="168">
        <f>SUM(C738:L738)</f>
        <v>0</v>
      </c>
    </row>
    <row r="739" spans="2:13" ht="12.75" customHeight="1" x14ac:dyDescent="0.25">
      <c r="B739" s="228"/>
      <c r="C739" s="229"/>
      <c r="D739" s="229"/>
      <c r="E739" s="229"/>
      <c r="F739" s="229"/>
      <c r="G739" s="229"/>
      <c r="H739" s="229"/>
      <c r="I739" s="229"/>
      <c r="J739" s="229"/>
      <c r="K739" s="229"/>
      <c r="L739" s="230"/>
      <c r="M739" s="727">
        <f t="shared" ref="M739:M742" si="153">SUM(C739:L739)</f>
        <v>0</v>
      </c>
    </row>
    <row r="740" spans="2:13" ht="12.75" customHeight="1" x14ac:dyDescent="0.25">
      <c r="B740" s="231"/>
      <c r="C740" s="232"/>
      <c r="D740" s="232"/>
      <c r="E740" s="232"/>
      <c r="F740" s="232"/>
      <c r="G740" s="232"/>
      <c r="H740" s="232"/>
      <c r="I740" s="232"/>
      <c r="J740" s="232"/>
      <c r="K740" s="232"/>
      <c r="L740" s="233"/>
      <c r="M740" s="117">
        <f t="shared" si="153"/>
        <v>0</v>
      </c>
    </row>
    <row r="741" spans="2:13" ht="12.75" customHeight="1" x14ac:dyDescent="0.25">
      <c r="B741" s="228"/>
      <c r="C741" s="229"/>
      <c r="D741" s="229"/>
      <c r="E741" s="229"/>
      <c r="F741" s="229"/>
      <c r="G741" s="229"/>
      <c r="H741" s="229"/>
      <c r="I741" s="229"/>
      <c r="J741" s="229"/>
      <c r="K741" s="229"/>
      <c r="L741" s="230"/>
      <c r="M741" s="727">
        <f t="shared" si="153"/>
        <v>0</v>
      </c>
    </row>
    <row r="742" spans="2:13" ht="12.75" customHeight="1" x14ac:dyDescent="0.25">
      <c r="B742" s="93"/>
      <c r="C742" s="232"/>
      <c r="D742" s="232"/>
      <c r="E742" s="232"/>
      <c r="F742" s="232"/>
      <c r="G742" s="232"/>
      <c r="H742" s="232"/>
      <c r="I742" s="232"/>
      <c r="J742" s="232"/>
      <c r="K742" s="232"/>
      <c r="L742" s="233"/>
      <c r="M742" s="117">
        <f t="shared" si="153"/>
        <v>0</v>
      </c>
    </row>
    <row r="743" spans="2:13" ht="12.75" customHeight="1" x14ac:dyDescent="0.25">
      <c r="B743" s="84" t="str">
        <f>IF('1. INTRO'!I$2="English","Total co-funding ","Total medfinansiering ")</f>
        <v xml:space="preserve">Total co-funding </v>
      </c>
      <c r="C743" s="87">
        <f t="shared" ref="C743:M743" si="154">SUM(C738:C742)</f>
        <v>0</v>
      </c>
      <c r="D743" s="87">
        <f t="shared" si="154"/>
        <v>0</v>
      </c>
      <c r="E743" s="87">
        <f t="shared" si="154"/>
        <v>0</v>
      </c>
      <c r="F743" s="87">
        <f t="shared" si="154"/>
        <v>0</v>
      </c>
      <c r="G743" s="87">
        <f t="shared" si="154"/>
        <v>0</v>
      </c>
      <c r="H743" s="87">
        <f t="shared" si="154"/>
        <v>0</v>
      </c>
      <c r="I743" s="87">
        <f t="shared" si="154"/>
        <v>0</v>
      </c>
      <c r="J743" s="87">
        <f t="shared" si="154"/>
        <v>0</v>
      </c>
      <c r="K743" s="87">
        <f t="shared" si="154"/>
        <v>0</v>
      </c>
      <c r="L743" s="87">
        <f t="shared" si="154"/>
        <v>0</v>
      </c>
      <c r="M743" s="142">
        <f t="shared" si="154"/>
        <v>0</v>
      </c>
    </row>
    <row r="744" spans="2:13" ht="12.75" customHeight="1" x14ac:dyDescent="0.2"/>
    <row r="745" spans="2:13" ht="12.75" customHeight="1" x14ac:dyDescent="0.2">
      <c r="B745" s="667" t="str">
        <f>IF('1. INTRO'!I$2="English","Calculation comments","Kalkylkommentarer")</f>
        <v>Calculation comments</v>
      </c>
    </row>
    <row r="746" spans="2:13" ht="12.75" customHeight="1" x14ac:dyDescent="0.2">
      <c r="B746" s="1142"/>
      <c r="C746" s="1143"/>
      <c r="D746" s="1143"/>
      <c r="E746" s="1143"/>
      <c r="F746" s="1143"/>
      <c r="G746" s="1143"/>
      <c r="H746" s="1143"/>
      <c r="I746" s="1143"/>
      <c r="J746" s="1143"/>
      <c r="K746" s="1143"/>
      <c r="L746" s="1143"/>
      <c r="M746" s="1144"/>
    </row>
    <row r="747" spans="2:13" ht="12.75" customHeight="1" x14ac:dyDescent="0.2">
      <c r="B747" s="1145"/>
      <c r="C747" s="1226"/>
      <c r="D747" s="1226"/>
      <c r="E747" s="1226"/>
      <c r="F747" s="1226"/>
      <c r="G747" s="1226"/>
      <c r="H747" s="1226"/>
      <c r="I747" s="1226"/>
      <c r="J747" s="1226"/>
      <c r="K747" s="1226"/>
      <c r="L747" s="1226"/>
      <c r="M747" s="1147"/>
    </row>
    <row r="748" spans="2:13" ht="12.75" customHeight="1" x14ac:dyDescent="0.2">
      <c r="B748" s="1145"/>
      <c r="C748" s="1226"/>
      <c r="D748" s="1226"/>
      <c r="E748" s="1226"/>
      <c r="F748" s="1226"/>
      <c r="G748" s="1226"/>
      <c r="H748" s="1226"/>
      <c r="I748" s="1226"/>
      <c r="J748" s="1226"/>
      <c r="K748" s="1226"/>
      <c r="L748" s="1226"/>
      <c r="M748" s="1147"/>
    </row>
    <row r="749" spans="2:13" ht="12.75" customHeight="1" x14ac:dyDescent="0.2">
      <c r="B749" s="1145"/>
      <c r="C749" s="1226"/>
      <c r="D749" s="1226"/>
      <c r="E749" s="1226"/>
      <c r="F749" s="1226"/>
      <c r="G749" s="1226"/>
      <c r="H749" s="1226"/>
      <c r="I749" s="1226"/>
      <c r="J749" s="1226"/>
      <c r="K749" s="1226"/>
      <c r="L749" s="1226"/>
      <c r="M749" s="1147"/>
    </row>
    <row r="750" spans="2:13" ht="12.75" customHeight="1" x14ac:dyDescent="0.2">
      <c r="B750" s="1148"/>
      <c r="C750" s="1149"/>
      <c r="D750" s="1149"/>
      <c r="E750" s="1149"/>
      <c r="F750" s="1149"/>
      <c r="G750" s="1149"/>
      <c r="H750" s="1149"/>
      <c r="I750" s="1149"/>
      <c r="J750" s="1149"/>
      <c r="K750" s="1149"/>
      <c r="L750" s="1149"/>
      <c r="M750" s="1150"/>
    </row>
    <row r="752" spans="2:13" s="3" customFormat="1" ht="12.75" customHeight="1" x14ac:dyDescent="0.25">
      <c r="B752" s="313" t="str">
        <f>'3. PARTNER'!C$4</f>
        <v xml:space="preserve">Project: </v>
      </c>
      <c r="C752" s="1062" t="str">
        <f>'3. PARTNER'!D$4</f>
        <v/>
      </c>
      <c r="D752" s="1001"/>
      <c r="E752" s="1001"/>
      <c r="F752" s="1001"/>
      <c r="G752" s="1001"/>
      <c r="H752" s="1001"/>
      <c r="I752" s="1001"/>
      <c r="J752" s="1001"/>
      <c r="K752" s="1001"/>
      <c r="L752" s="1001"/>
      <c r="M752" s="1001"/>
    </row>
    <row r="753" spans="2:15" s="3" customFormat="1" ht="13.2" x14ac:dyDescent="0.25">
      <c r="B753" s="313" t="str">
        <f>'3. PARTNER'!C$5</f>
        <v xml:space="preserve">Calculation for: </v>
      </c>
      <c r="C753" s="1062" t="str">
        <f>'3. PARTNER'!D$5</f>
        <v>APPLICATION</v>
      </c>
      <c r="D753" s="1001"/>
      <c r="E753" s="268"/>
      <c r="F753" s="268"/>
      <c r="G753" s="268"/>
      <c r="H753" s="268"/>
      <c r="I753" s="268"/>
      <c r="J753" s="268"/>
      <c r="K753" s="268"/>
      <c r="L753" s="268"/>
      <c r="M753" s="268"/>
    </row>
    <row r="754" spans="2:15" s="3" customFormat="1" ht="13.2" x14ac:dyDescent="0.25">
      <c r="B754" s="35" t="str">
        <f>'3. PARTNER'!C$6</f>
        <v xml:space="preserve">Project leader: </v>
      </c>
      <c r="C754" s="1062" t="str">
        <f>'3. PARTNER'!D$6</f>
        <v/>
      </c>
      <c r="D754" s="1001"/>
      <c r="E754" s="1001"/>
      <c r="F754" s="1001"/>
      <c r="G754" s="1001"/>
      <c r="H754" s="1001"/>
      <c r="I754" s="1001"/>
      <c r="J754" s="1001"/>
      <c r="K754" s="1001"/>
      <c r="L754" s="1001"/>
      <c r="M754" s="1001"/>
    </row>
    <row r="755" spans="2:15" s="3" customFormat="1" ht="13.2" x14ac:dyDescent="0.25">
      <c r="B755" s="313" t="str">
        <f>'5. PERSON'!B$7</f>
        <v xml:space="preserve">Amounts in: </v>
      </c>
      <c r="C755" s="655" t="str">
        <f>'5. PERSON'!C$7</f>
        <v>SEK</v>
      </c>
      <c r="D755" s="268"/>
      <c r="E755" s="268"/>
      <c r="F755" s="268"/>
      <c r="G755" s="234"/>
      <c r="H755" s="234"/>
      <c r="I755" s="270"/>
      <c r="J755" s="270"/>
      <c r="K755" s="270"/>
      <c r="L755" s="270"/>
      <c r="M755" s="270"/>
    </row>
    <row r="756" spans="2:15" s="3" customFormat="1" ht="13.2" x14ac:dyDescent="0.25">
      <c r="B756" s="313"/>
      <c r="C756" s="1053" t="str">
        <f>'3. PARTNER'!D$7</f>
        <v>Other basic data about the project is in sheet 2.</v>
      </c>
      <c r="D756" s="1001"/>
      <c r="E756" s="1001"/>
      <c r="F756" s="1001"/>
      <c r="G756" s="234"/>
      <c r="H756" s="234"/>
      <c r="I756" s="270"/>
      <c r="J756" s="270"/>
      <c r="K756" s="270"/>
      <c r="L756" s="251" t="s">
        <v>4</v>
      </c>
      <c r="M756" s="270"/>
    </row>
    <row r="757" spans="2:15" ht="12.75" customHeight="1" x14ac:dyDescent="0.2">
      <c r="J757" s="252" t="s">
        <v>322</v>
      </c>
      <c r="K757" s="252" t="s">
        <v>323</v>
      </c>
      <c r="L757" s="252" t="str">
        <f>IF('1. INTRO'!I$2="English","months","månader")</f>
        <v>months</v>
      </c>
    </row>
    <row r="758" spans="2:15" s="3" customFormat="1" ht="13.8" x14ac:dyDescent="0.25">
      <c r="B758" s="157" t="str">
        <f>IF('1. INTRO'!I$2="English","Project costs","Projektkostnader")</f>
        <v>Project costs</v>
      </c>
      <c r="C758" s="668" t="str">
        <f>A28</f>
        <v>425NJ</v>
      </c>
      <c r="D758" s="1227" t="str">
        <f>B28</f>
        <v>Molecular sciences</v>
      </c>
      <c r="E758" s="1001"/>
      <c r="F758" s="1001"/>
      <c r="G758" s="37"/>
      <c r="H758" s="37"/>
      <c r="I758" s="37"/>
      <c r="J758" s="643"/>
      <c r="K758" s="643"/>
      <c r="L758" s="642">
        <f>SUMIF('5. PERSON'!$B$17:$B$192,$C758,'5. PERSON'!AE$17:AE$192)</f>
        <v>0</v>
      </c>
      <c r="M758" s="680" t="s">
        <v>330</v>
      </c>
    </row>
    <row r="759" spans="2:15" s="3" customFormat="1" ht="6" customHeight="1" x14ac:dyDescent="0.25">
      <c r="B759" s="57"/>
      <c r="C759" s="37"/>
      <c r="D759" s="37"/>
      <c r="E759" s="37"/>
      <c r="F759" s="37"/>
      <c r="G759" s="37"/>
      <c r="H759" s="37"/>
      <c r="I759" s="37"/>
      <c r="J759" s="37"/>
      <c r="K759" s="37"/>
      <c r="L759" s="37"/>
      <c r="M759" s="37"/>
    </row>
    <row r="760" spans="2:15" s="3" customFormat="1" ht="13.2" x14ac:dyDescent="0.25">
      <c r="B760" s="110" t="str">
        <f>IF('1. INTRO'!I$2="English","Costs to be covered by funding body","Kostnader att täckas av finansiär")</f>
        <v>Costs to be covered by funding body</v>
      </c>
      <c r="C760" s="111">
        <f>'5. PERSON'!G$15</f>
        <v>1900</v>
      </c>
      <c r="D760" s="111" t="str">
        <f>'5. PERSON'!H$15</f>
        <v/>
      </c>
      <c r="E760" s="111" t="str">
        <f>'5. PERSON'!I$15</f>
        <v/>
      </c>
      <c r="F760" s="111" t="str">
        <f>'5. PERSON'!J$15</f>
        <v/>
      </c>
      <c r="G760" s="111" t="str">
        <f>'5. PERSON'!K$15</f>
        <v/>
      </c>
      <c r="H760" s="111" t="str">
        <f>'5. PERSON'!L$15</f>
        <v/>
      </c>
      <c r="I760" s="111" t="str">
        <f>'5. PERSON'!M$15</f>
        <v/>
      </c>
      <c r="J760" s="111" t="str">
        <f>'5. PERSON'!N$15</f>
        <v/>
      </c>
      <c r="K760" s="111" t="str">
        <f>'5. PERSON'!O$15</f>
        <v/>
      </c>
      <c r="L760" s="111" t="str">
        <f>'5. PERSON'!P$15</f>
        <v/>
      </c>
      <c r="M760" s="112" t="s">
        <v>2</v>
      </c>
    </row>
    <row r="761" spans="2:15" s="3" customFormat="1" ht="12.75" customHeight="1" x14ac:dyDescent="0.25">
      <c r="B761" s="722" t="str">
        <f>IF('1. INTRO'!I$2="English","Salary including social costs (LKP)","Lön inklusive LKP")</f>
        <v>Salary including social costs (LKP)</v>
      </c>
      <c r="C761" s="723">
        <f>IF('2. START'!$C$14&gt;0,SUMIF('5. PERSON'!$B$17:$B$192,$C758,'5. PERSON'!DN$17:DN$192),SUMIF('5. PERSON'!$B$17:$B$192,$C758,'5. PERSON'!AT$17:AT$192))</f>
        <v>0</v>
      </c>
      <c r="D761" s="723">
        <f>IF('2. START'!$C$14&gt;0,SUMIF('5. PERSON'!$B$17:$B$192,$C758,'5. PERSON'!DO$17:DO$192),SUMIF('5. PERSON'!$B$17:$B$192,$C758,'5. PERSON'!AU$17:AU$192))</f>
        <v>0</v>
      </c>
      <c r="E761" s="723">
        <f>IF('2. START'!$C$14&gt;0,SUMIF('5. PERSON'!$B$17:$B$192,$C758,'5. PERSON'!DP$17:DP$192),SUMIF('5. PERSON'!$B$17:$B$192,$C758,'5. PERSON'!AV$17:AV$192))</f>
        <v>0</v>
      </c>
      <c r="F761" s="723">
        <f>IF('2. START'!$C$14&gt;0,SUMIF('5. PERSON'!$B$17:$B$192,$C758,'5. PERSON'!DQ$17:DQ$192),SUMIF('5. PERSON'!$B$17:$B$192,$C758,'5. PERSON'!AW$17:AW$192))</f>
        <v>0</v>
      </c>
      <c r="G761" s="723">
        <f>IF('2. START'!$C$14&gt;0,SUMIF('5. PERSON'!$B$17:$B$192,$C758,'5. PERSON'!DR$17:DR$192),SUMIF('5. PERSON'!$B$17:$B$192,$C758,'5. PERSON'!AX$17:AX$192))</f>
        <v>0</v>
      </c>
      <c r="H761" s="723">
        <f>IF('2. START'!$C$14&gt;0,SUMIF('5. PERSON'!$B$17:$B$192,$C758,'5. PERSON'!DS$17:DS$192),SUMIF('5. PERSON'!$B$17:$B$192,$C758,'5. PERSON'!AY$17:AY$192))</f>
        <v>0</v>
      </c>
      <c r="I761" s="723">
        <f>IF('2. START'!$C$14&gt;0,SUMIF('5. PERSON'!$B$17:$B$192,$C758,'5. PERSON'!DT$17:DT$192),SUMIF('5. PERSON'!$B$17:$B$192,$C758,'5. PERSON'!AZ$17:AZ$192))</f>
        <v>0</v>
      </c>
      <c r="J761" s="723">
        <f>IF('2. START'!$C$14&gt;0,SUMIF('5. PERSON'!$B$17:$B$192,$C758,'5. PERSON'!DU$17:DU$192),SUMIF('5. PERSON'!$B$17:$B$192,$C758,'5. PERSON'!BA$17:BA$192))</f>
        <v>0</v>
      </c>
      <c r="K761" s="723">
        <f>IF('2. START'!$C$14&gt;0,SUMIF('5. PERSON'!$B$17:$B$192,$C758,'5. PERSON'!DV$17:DV$192),SUMIF('5. PERSON'!$B$17:$B$192,$C758,'5. PERSON'!BB$17:BB$192))</f>
        <v>0</v>
      </c>
      <c r="L761" s="723">
        <f>IF('2. START'!$C$14&gt;0,SUMIF('5. PERSON'!$B$17:$B$192,$C758,'5. PERSON'!DW$17:DW$192),SUMIF('5. PERSON'!$B$17:$B$192,$C758,'5. PERSON'!BC$17:BC$192))</f>
        <v>0</v>
      </c>
      <c r="M761" s="724">
        <f t="shared" ref="M761:M766" si="155">SUM(C761:L761)</f>
        <v>0</v>
      </c>
      <c r="O761" s="4"/>
    </row>
    <row r="762" spans="2:15" s="3" customFormat="1" ht="12.75" customHeight="1" x14ac:dyDescent="0.25">
      <c r="B762" s="80" t="str">
        <f>IF('1. INTRO'!I$2="English","Operating","Drift")</f>
        <v>Operating</v>
      </c>
      <c r="C762" s="116">
        <f>SUMIF('6. OPERATION'!$B$17:$B$149,$C758,'6. OPERATION'!W$17:W$149)</f>
        <v>0</v>
      </c>
      <c r="D762" s="116">
        <f>SUMIF('6. OPERATION'!$B$17:$B$149,$C758,'6. OPERATION'!X$17:X$149)</f>
        <v>0</v>
      </c>
      <c r="E762" s="116">
        <f>SUMIF('6. OPERATION'!$B$17:$B$149,$C758,'6. OPERATION'!Y$17:Y$149)</f>
        <v>0</v>
      </c>
      <c r="F762" s="116">
        <f>SUMIF('6. OPERATION'!$B$17:$B$149,$C758,'6. OPERATION'!Z$17:Z$149)</f>
        <v>0</v>
      </c>
      <c r="G762" s="116">
        <f>SUMIF('6. OPERATION'!$B$17:$B$149,$C758,'6. OPERATION'!AA$17:AA$149)</f>
        <v>0</v>
      </c>
      <c r="H762" s="116">
        <f>SUMIF('6. OPERATION'!$B$17:$B$149,$C758,'6. OPERATION'!AB$17:AB$149)</f>
        <v>0</v>
      </c>
      <c r="I762" s="116">
        <f>SUMIF('6. OPERATION'!$B$17:$B$149,$C758,'6. OPERATION'!AC$17:AC$149)</f>
        <v>0</v>
      </c>
      <c r="J762" s="116">
        <f>SUMIF('6. OPERATION'!$B$17:$B$149,$C758,'6. OPERATION'!AD$17:AD$149)</f>
        <v>0</v>
      </c>
      <c r="K762" s="116">
        <f>SUMIF('6. OPERATION'!$B$17:$B$149,$C758,'6. OPERATION'!AE$17:AE$149)</f>
        <v>0</v>
      </c>
      <c r="L762" s="116">
        <f>SUMIF('6. OPERATION'!$B$17:$B$149,$C758,'6. OPERATION'!AF$17:AF$149)</f>
        <v>0</v>
      </c>
      <c r="M762" s="117">
        <f t="shared" si="155"/>
        <v>0</v>
      </c>
    </row>
    <row r="763" spans="2:15" s="3" customFormat="1" ht="13.2" x14ac:dyDescent="0.25">
      <c r="B763" s="725" t="str">
        <f>IF('1. INTRO'!I$2="English","Equipment","Utrustning")</f>
        <v>Equipment</v>
      </c>
      <c r="C763" s="726">
        <f>SUMIF('7. INVEST'!$B$17:$B$49,$C758,'7. INVEST'!W$17:W$49)</f>
        <v>0</v>
      </c>
      <c r="D763" s="726">
        <f>SUMIF('7. INVEST'!$B$17:$B$49,$C758,'7. INVEST'!X$17:X$49)</f>
        <v>0</v>
      </c>
      <c r="E763" s="726">
        <f>SUMIF('7. INVEST'!$B$17:$B$49,$C758,'7. INVEST'!Y$17:Y$49)</f>
        <v>0</v>
      </c>
      <c r="F763" s="726">
        <f>SUMIF('7. INVEST'!$B$17:$B$49,$C758,'7. INVEST'!Z$17:Z$49)</f>
        <v>0</v>
      </c>
      <c r="G763" s="726">
        <f>SUMIF('7. INVEST'!$B$17:$B$49,$C758,'7. INVEST'!AA$17:AA$49)</f>
        <v>0</v>
      </c>
      <c r="H763" s="726">
        <f>SUMIF('7. INVEST'!$B$17:$B$49,$C758,'7. INVEST'!AB$17:AB$49)</f>
        <v>0</v>
      </c>
      <c r="I763" s="726">
        <f>SUMIF('7. INVEST'!$B$17:$B$49,$C758,'7. INVEST'!AC$17:AC$49)</f>
        <v>0</v>
      </c>
      <c r="J763" s="726">
        <f>SUMIF('7. INVEST'!$B$17:$B$49,$C758,'7. INVEST'!AD$17:AD$49)</f>
        <v>0</v>
      </c>
      <c r="K763" s="726">
        <f>SUMIF('7. INVEST'!$B$17:$B$49,$C758,'7. INVEST'!AE$17:AE$49)</f>
        <v>0</v>
      </c>
      <c r="L763" s="726">
        <f>SUMIF('7. INVEST'!$B$17:$B$49,$C758,'7. INVEST'!AF$17:AF$49)</f>
        <v>0</v>
      </c>
      <c r="M763" s="727">
        <f t="shared" si="155"/>
        <v>0</v>
      </c>
    </row>
    <row r="764" spans="2:15" s="3" customFormat="1" ht="13.2" x14ac:dyDescent="0.25">
      <c r="B764" s="121" t="str">
        <f>IF('1. INTRO'!I$2="English",(IF('2. START'!C$11="NO","Facility accepted as direct cost by funding body","Facility")),IF('2. START'!C$11="NO","Lokal accepterad som direkt kostnad av finansiär","Lokal"))</f>
        <v>Facility</v>
      </c>
      <c r="C764" s="116">
        <f>IF('2. START'!$C$11="NO",SUMIF('8. FACILIT'!$B$18:$B$50,$C758,'8. FACILIT'!T$18:T$50),SUMIF('5. PERSON'!$B$17:$B$192,$C758,'5. PERSON'!CP$17:CP$192)+SUMIF('6. OPERATION'!$B$17:$B$149,$C758,'6. OPERATION'!BS$17:BS$149)+SUMIF('8. FACILIT'!$B$18:$B$50,$C758,'8. FACILIT'!T$18:T$50))</f>
        <v>0</v>
      </c>
      <c r="D764" s="116">
        <f>IF('2. START'!$C$11="NO",SUMIF('8. FACILIT'!$B$18:$B$50,$C758,'8. FACILIT'!U$18:U$50),SUMIF('5. PERSON'!$B$17:$B$192,$C758,'5. PERSON'!CQ$17:CQ$192)+SUMIF('6. OPERATION'!$B$17:$B$149,$C758,'6. OPERATION'!BT$17:BT$149)+SUMIF('8. FACILIT'!$B$18:$B$50,$C758,'8. FACILIT'!U$18:U$50))</f>
        <v>0</v>
      </c>
      <c r="E764" s="116">
        <f>IF('2. START'!$C$11="NO",SUMIF('8. FACILIT'!$B$18:$B$50,$C758,'8. FACILIT'!V$18:V$50),SUMIF('5. PERSON'!$B$17:$B$192,$C758,'5. PERSON'!CR$17:CR$192)+SUMIF('6. OPERATION'!$B$17:$B$149,$C758,'6. OPERATION'!BU$17:BU$149)+SUMIF('8. FACILIT'!$B$18:$B$50,$C758,'8. FACILIT'!V$18:V$50))</f>
        <v>0</v>
      </c>
      <c r="F764" s="116">
        <f>IF('2. START'!$C$11="NO",SUMIF('8. FACILIT'!$B$18:$B$50,$C758,'8. FACILIT'!W$18:W$50),SUMIF('5. PERSON'!$B$17:$B$192,$C758,'5. PERSON'!CS$17:CS$192)+SUMIF('6. OPERATION'!$B$17:$B$149,$C758,'6. OPERATION'!BV$17:BV$149)+SUMIF('8. FACILIT'!$B$18:$B$50,$C758,'8. FACILIT'!W$18:W$50))</f>
        <v>0</v>
      </c>
      <c r="G764" s="116">
        <f>IF('2. START'!$C$11="NO",SUMIF('8. FACILIT'!$B$18:$B$50,$C758,'8. FACILIT'!X$18:X$50),SUMIF('5. PERSON'!$B$17:$B$192,$C758,'5. PERSON'!CT$17:CT$192)+SUMIF('6. OPERATION'!$B$17:$B$149,$C758,'6. OPERATION'!BW$17:BW$149)+SUMIF('8. FACILIT'!$B$18:$B$50,$C758,'8. FACILIT'!X$18:X$50))</f>
        <v>0</v>
      </c>
      <c r="H764" s="116">
        <f>IF('2. START'!$C$11="NO",SUMIF('8. FACILIT'!$B$18:$B$50,$C758,'8. FACILIT'!Y$18:Y$50),SUMIF('5. PERSON'!$B$17:$B$192,$C758,'5. PERSON'!CU$17:CU$192)+SUMIF('6. OPERATION'!$B$17:$B$149,$C758,'6. OPERATION'!BX$17:BX$149)+SUMIF('8. FACILIT'!$B$18:$B$50,$C758,'8. FACILIT'!Y$18:Y$50))</f>
        <v>0</v>
      </c>
      <c r="I764" s="116">
        <f>IF('2. START'!$C$11="NO",SUMIF('8. FACILIT'!$B$18:$B$50,$C758,'8. FACILIT'!Z$18:Z$50),SUMIF('5. PERSON'!$B$17:$B$192,$C758,'5. PERSON'!CV$17:CV$192)+SUMIF('6. OPERATION'!$B$17:$B$149,$C758,'6. OPERATION'!BY$17:BY$149)+SUMIF('8. FACILIT'!$B$18:$B$50,$C758,'8. FACILIT'!Z$18:Z$50))</f>
        <v>0</v>
      </c>
      <c r="J764" s="116">
        <f>IF('2. START'!$C$11="NO",SUMIF('8. FACILIT'!$B$18:$B$50,$C758,'8. FACILIT'!AA$18:AA$50),SUMIF('5. PERSON'!$B$17:$B$192,$C758,'5. PERSON'!CW$17:CW$192)+SUMIF('6. OPERATION'!$B$17:$B$149,$C758,'6. OPERATION'!BZ$17:BZ$149)+SUMIF('8. FACILIT'!$B$18:$B$50,$C758,'8. FACILIT'!AA$18:AA$50))</f>
        <v>0</v>
      </c>
      <c r="K764" s="116">
        <f>IF('2. START'!$C$11="NO",SUMIF('8. FACILIT'!$B$18:$B$50,$C758,'8. FACILIT'!AB$18:AB$50),SUMIF('5. PERSON'!$B$17:$B$192,$C758,'5. PERSON'!CX$17:CX$192)+SUMIF('6. OPERATION'!$B$17:$B$149,$C758,'6. OPERATION'!CA$17:CA$149)+SUMIF('8. FACILIT'!$B$18:$B$50,$C758,'8. FACILIT'!AB$18:AB$50))</f>
        <v>0</v>
      </c>
      <c r="L764" s="116">
        <f>IF('2. START'!$C$11="NO",SUMIF('8. FACILIT'!$B$18:$B$50,$C758,'8. FACILIT'!AC$18:AC$50),SUMIF('5. PERSON'!$B$17:$B$192,$C758,'5. PERSON'!CY$17:CY$192)+SUMIF('6. OPERATION'!$B$17:$B$149,$C758,'6. OPERATION'!CB$17:CB$149)+SUMIF('8. FACILIT'!$B$18:$B$50,$C758,'8. FACILIT'!AC$18:AC$50))</f>
        <v>0</v>
      </c>
      <c r="M764" s="117">
        <f t="shared" si="155"/>
        <v>0</v>
      </c>
    </row>
    <row r="765" spans="2:15" s="3" customFormat="1" ht="13.2" x14ac:dyDescent="0.25">
      <c r="B765" s="728" t="str">
        <f>IF('1. INTRO'!I$2="English",(IF('2. START'!C$11="NO","Indirect and facility charge accepted as OH by funding body","Indirect")),IF('2. START'!C$11="NO","Indirekt och lokalpåslag accepterade som OH av finansiär","Indirekt"))</f>
        <v>Indirect</v>
      </c>
      <c r="C765" s="729">
        <f>IF('2. START'!$C$11="NO",SUMIF('5. PERSON'!$B$17:$B$192,$C758,'5. PERSON'!DZ$17:DZ$192)+SUMIF('6. OPERATION'!$B$17:$B$149,$C758,'6. OPERATION'!CQ$17:CQ$149)+SUMIF('7. INVEST'!$B$17:$B$49,$C758,'7. INVEST'!AU$17:AU$49)+SUMIF('8. FACILIT'!$B$18:$B$50,$C758,'8. FACILIT'!AR$18:AR$50),SUMIF('5. PERSON'!$B$17:$B$192,$C758,'5. PERSON'!BR$17:BR$192)+SUMIF('6. OPERATION'!$B$17:$B$149,$C758,'6. OPERATION'!AU$17:AU$149))</f>
        <v>0</v>
      </c>
      <c r="D765" s="729">
        <f>IF('2. START'!$C$11="NO",SUMIF('5. PERSON'!$B$17:$B$192,$C758,'5. PERSON'!EA$17:EA$192)+SUMIF('6. OPERATION'!$B$17:$B$149,$C758,'6. OPERATION'!CR$17:CR$149)+SUMIF('7. INVEST'!$B$17:$B$49,$C758,'7. INVEST'!AV$17:AV$49)+SUMIF('8. FACILIT'!$B$18:$B$50,$C758,'8. FACILIT'!AS$18:AS$50),SUMIF('5. PERSON'!$B$17:$B$192,$C758,'5. PERSON'!BS$17:BS$192)+SUMIF('6. OPERATION'!$B$17:$B$149,$C758,'6. OPERATION'!AV$17:AV$149))</f>
        <v>0</v>
      </c>
      <c r="E765" s="729">
        <f>IF('2. START'!$C$11="NO",SUMIF('5. PERSON'!$B$17:$B$192,$C758,'5. PERSON'!EB$17:EB$192)+SUMIF('6. OPERATION'!$B$17:$B$149,$C758,'6. OPERATION'!CS$17:CS$149)+SUMIF('7. INVEST'!$B$17:$B$49,$C758,'7. INVEST'!AW$17:AW$49)+SUMIF('8. FACILIT'!$B$18:$B$50,$C758,'8. FACILIT'!AT$18:AT$50),SUMIF('5. PERSON'!$B$17:$B$192,$C758,'5. PERSON'!BT$17:BT$192)+SUMIF('6. OPERATION'!$B$17:$B$149,$C758,'6. OPERATION'!AW$17:AW$149))</f>
        <v>0</v>
      </c>
      <c r="F765" s="729">
        <f>IF('2. START'!$C$11="NO",SUMIF('5. PERSON'!$B$17:$B$192,$C758,'5. PERSON'!EC$17:EC$192)+SUMIF('6. OPERATION'!$B$17:$B$149,$C758,'6. OPERATION'!CT$17:CT$149)+SUMIF('7. INVEST'!$B$17:$B$49,$C758,'7. INVEST'!AX$17:AX$49)+SUMIF('8. FACILIT'!$B$18:$B$50,$C758,'8. FACILIT'!AU$18:AU$50),SUMIF('5. PERSON'!$B$17:$B$192,$C758,'5. PERSON'!BU$17:BU$192)+SUMIF('6. OPERATION'!$B$17:$B$149,$C758,'6. OPERATION'!AX$17:AX$149))</f>
        <v>0</v>
      </c>
      <c r="G765" s="729">
        <f>IF('2. START'!$C$11="NO",SUMIF('5. PERSON'!$B$17:$B$192,$C758,'5. PERSON'!ED$17:ED$192)+SUMIF('6. OPERATION'!$B$17:$B$149,$C758,'6. OPERATION'!CU$17:CU$149)+SUMIF('7. INVEST'!$B$17:$B$49,$C758,'7. INVEST'!AY$17:AY$49)+SUMIF('8. FACILIT'!$B$18:$B$50,$C758,'8. FACILIT'!AV$18:AV$50),SUMIF('5. PERSON'!$B$17:$B$192,$C758,'5. PERSON'!BV$17:BV$192)+SUMIF('6. OPERATION'!$B$17:$B$149,$C758,'6. OPERATION'!AY$17:AY$149))</f>
        <v>0</v>
      </c>
      <c r="H765" s="729">
        <f>IF('2. START'!$C$11="NO",SUMIF('5. PERSON'!$B$17:$B$192,$C758,'5. PERSON'!EE$17:EE$192)+SUMIF('6. OPERATION'!$B$17:$B$149,$C758,'6. OPERATION'!CV$17:CV$149)+SUMIF('7. INVEST'!$B$17:$B$49,$C758,'7. INVEST'!AZ$17:AZ$49)+SUMIF('8. FACILIT'!$B$18:$B$50,$C758,'8. FACILIT'!AW$18:AW$50),SUMIF('5. PERSON'!$B$17:$B$192,$C758,'5. PERSON'!BW$17:BW$192)+SUMIF('6. OPERATION'!$B$17:$B$149,$C758,'6. OPERATION'!AZ$17:AZ$149))</f>
        <v>0</v>
      </c>
      <c r="I765" s="729">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729">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729">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729">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727">
        <f t="shared" si="155"/>
        <v>0</v>
      </c>
    </row>
    <row r="766" spans="2:15" s="3" customFormat="1" ht="13.2" x14ac:dyDescent="0.25">
      <c r="B766" s="124" t="s">
        <v>113</v>
      </c>
      <c r="C766" s="102">
        <f>SUM(C761:C765)</f>
        <v>0</v>
      </c>
      <c r="D766" s="102">
        <f t="shared" ref="D766:L766" si="156">SUM(D761:D765)</f>
        <v>0</v>
      </c>
      <c r="E766" s="102">
        <f t="shared" si="156"/>
        <v>0</v>
      </c>
      <c r="F766" s="102">
        <f t="shared" si="156"/>
        <v>0</v>
      </c>
      <c r="G766" s="102">
        <f t="shared" si="156"/>
        <v>0</v>
      </c>
      <c r="H766" s="102">
        <f t="shared" si="156"/>
        <v>0</v>
      </c>
      <c r="I766" s="102">
        <f t="shared" si="156"/>
        <v>0</v>
      </c>
      <c r="J766" s="102">
        <f t="shared" si="156"/>
        <v>0</v>
      </c>
      <c r="K766" s="102">
        <f t="shared" si="156"/>
        <v>0</v>
      </c>
      <c r="L766" s="102">
        <f t="shared" si="156"/>
        <v>0</v>
      </c>
      <c r="M766" s="125">
        <f t="shared" si="155"/>
        <v>0</v>
      </c>
    </row>
    <row r="767" spans="2:15" s="3" customFormat="1" ht="6" customHeight="1" x14ac:dyDescent="0.25">
      <c r="B767" s="126"/>
      <c r="C767" s="127"/>
      <c r="D767" s="127"/>
      <c r="E767" s="127"/>
      <c r="F767" s="127"/>
      <c r="G767" s="127"/>
      <c r="H767" s="127"/>
      <c r="I767" s="127"/>
      <c r="J767" s="127"/>
      <c r="K767" s="127"/>
      <c r="L767" s="127"/>
      <c r="M767" s="128"/>
    </row>
    <row r="768" spans="2:15" s="3" customFormat="1" ht="13.2" x14ac:dyDescent="0.25">
      <c r="B768" s="129" t="str">
        <f>IF('1. INTRO'!I$2="English","Costs to be co-funded","Kostnader att medfinansiera")</f>
        <v>Costs to be co-funded</v>
      </c>
      <c r="C768" s="86"/>
      <c r="D768" s="86"/>
      <c r="E768" s="86"/>
      <c r="F768" s="86"/>
      <c r="G768" s="86"/>
      <c r="H768" s="86"/>
      <c r="I768" s="86"/>
      <c r="J768" s="86"/>
      <c r="K768" s="86"/>
      <c r="L768" s="86"/>
      <c r="M768" s="130"/>
    </row>
    <row r="769" spans="2:15" s="3" customFormat="1" ht="13.2" x14ac:dyDescent="0.25">
      <c r="B769" s="730" t="str">
        <f>IF('1. INTRO'!I$2="English",(IF('2. START'!C$11="NO","Indirect and facility charge not accepted as OH by funding body","")),IF('2. START'!C$11="NO","Indirekt och lokalpåslag inte accepterade som OH av finansiär",""))</f>
        <v/>
      </c>
      <c r="C769" s="731">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0</v>
      </c>
      <c r="D769" s="731">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0</v>
      </c>
      <c r="E769" s="731">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0</v>
      </c>
      <c r="F769" s="731">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0</v>
      </c>
      <c r="G769" s="731">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0</v>
      </c>
      <c r="H769" s="731">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0</v>
      </c>
      <c r="I769" s="731">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731">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731">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731">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724">
        <f t="shared" ref="M769:M775" si="157">SUM(C769:L769)</f>
        <v>0</v>
      </c>
    </row>
    <row r="770" spans="2:15" s="3" customFormat="1" ht="12.75" customHeight="1" x14ac:dyDescent="0.25">
      <c r="B770" s="132" t="str">
        <f>IF('1. INTRO'!I$2="English",(IF('2. START'!C$14&gt;0,"Social costs (LKP) not accepted by funding body","")),IF('2. START'!C$14&gt;0,"LKP som inte accepteras av finansiär",""))</f>
        <v/>
      </c>
      <c r="C770" s="133">
        <f>IF('2. START'!$C$14&gt;0,SUMIF('5. PERSON'!$B$17:$B$192,$C758,'5. PERSON'!AT$17:AT$192)-SUMIF('5. PERSON'!$B$17:$B$192,$C758,'5. PERSON'!DN$17:DN$192),0)</f>
        <v>0</v>
      </c>
      <c r="D770" s="133">
        <f>IF('2. START'!$C$14&gt;0,SUMIF('5. PERSON'!$B$17:$B$192,$C758,'5. PERSON'!AU$17:AU$192)-SUMIF('5. PERSON'!$B$17:$B$192,$C758,'5. PERSON'!DO$17:DO$192),0)</f>
        <v>0</v>
      </c>
      <c r="E770" s="133">
        <f>IF('2. START'!$C$14&gt;0,SUMIF('5. PERSON'!$B$17:$B$192,$C758,'5. PERSON'!AV$17:AV$192)-SUMIF('5. PERSON'!$B$17:$B$192,$C758,'5. PERSON'!DP$17:DP$192),0)</f>
        <v>0</v>
      </c>
      <c r="F770" s="133">
        <f>IF('2. START'!$C$14&gt;0,SUMIF('5. PERSON'!$B$17:$B$192,$C758,'5. PERSON'!AW$17:AW$192)-SUMIF('5. PERSON'!$B$17:$B$192,$C758,'5. PERSON'!DQ$17:DQ$192),0)</f>
        <v>0</v>
      </c>
      <c r="G770" s="133">
        <f>IF('2. START'!$C$14&gt;0,SUMIF('5. PERSON'!$B$17:$B$192,$C758,'5. PERSON'!AX$17:AX$192)-SUMIF('5. PERSON'!$B$17:$B$192,$C758,'5. PERSON'!DR$17:DR$192),0)</f>
        <v>0</v>
      </c>
      <c r="H770" s="133">
        <f>IF('2. START'!$C$14&gt;0,SUMIF('5. PERSON'!$B$17:$B$192,$C758,'5. PERSON'!AY$17:AY$192)-SUMIF('5. PERSON'!$B$17:$B$192,$C758,'5. PERSON'!DS$17:DS$192),0)</f>
        <v>0</v>
      </c>
      <c r="I770" s="133">
        <f>IF('2. START'!$C$14&gt;0,SUMIF('5. PERSON'!$B$17:$B$192,$C758,'5. PERSON'!AZ$17:AZ$192)-SUMIF('5. PERSON'!$B$17:$B$192,$C758,'5. PERSON'!DT$17:DT$192),0)</f>
        <v>0</v>
      </c>
      <c r="J770" s="133">
        <f>IF('2. START'!$C$14&gt;0,SUMIF('5. PERSON'!$B$17:$B$192,$C758,'5. PERSON'!BA$17:BA$192)-SUMIF('5. PERSON'!$B$17:$B$192,$C758,'5. PERSON'!DU$17:DU$192),0)</f>
        <v>0</v>
      </c>
      <c r="K770" s="133">
        <f>IF('2. START'!$C$14&gt;0,SUMIF('5. PERSON'!$B$17:$B$192,$C758,'5. PERSON'!BB$17:BB$192)-SUMIF('5. PERSON'!$B$17:$B$192,$C758,'5. PERSON'!DV$17:DV$192),0)</f>
        <v>0</v>
      </c>
      <c r="L770" s="133">
        <f>IF('2. START'!$C$14&gt;0,SUMIF('5. PERSON'!$B$17:$B$192,$C758,'5. PERSON'!BC$17:BC$192)-SUMIF('5. PERSON'!$B$17:$B$192,$C758,'5. PERSON'!DW$17:DW$192),0)</f>
        <v>0</v>
      </c>
      <c r="M770" s="117">
        <f t="shared" si="157"/>
        <v>0</v>
      </c>
    </row>
    <row r="771" spans="2:15" s="3" customFormat="1" ht="12.75" customHeight="1" x14ac:dyDescent="0.25">
      <c r="B771" s="725" t="str">
        <f>IF('1. INTRO'!I$2="English",(IF('5. PERSON'!BP$193&gt;0,"Salary including social costs (LKP)","")),IF('5. PERSON'!BP$193&gt;0,"Lön inklusive LKP",""))</f>
        <v/>
      </c>
      <c r="C771" s="732">
        <f>SUMIF('5. PERSON'!$B$17:$B$192,$C758,'5. PERSON'!BF$17:BF$192)</f>
        <v>0</v>
      </c>
      <c r="D771" s="732">
        <f>SUMIF('5. PERSON'!$B$17:$B$192,$C758,'5. PERSON'!BG$17:BG$192)</f>
        <v>0</v>
      </c>
      <c r="E771" s="732">
        <f>SUMIF('5. PERSON'!$B$17:$B$192,$C758,'5. PERSON'!BH$17:BH$192)</f>
        <v>0</v>
      </c>
      <c r="F771" s="732">
        <f>SUMIF('5. PERSON'!$B$17:$B$192,$C758,'5. PERSON'!BI$17:BI$192)</f>
        <v>0</v>
      </c>
      <c r="G771" s="732">
        <f>SUMIF('5. PERSON'!$B$17:$B$192,$C758,'5. PERSON'!BJ$17:BJ$192)</f>
        <v>0</v>
      </c>
      <c r="H771" s="732">
        <f>SUMIF('5. PERSON'!$B$17:$B$192,$C758,'5. PERSON'!BK$17:BK$192)</f>
        <v>0</v>
      </c>
      <c r="I771" s="732">
        <f>SUMIF('5. PERSON'!$B$17:$B$192,$C758,'5. PERSON'!BL$17:BL$192)</f>
        <v>0</v>
      </c>
      <c r="J771" s="732">
        <f>SUMIF('5. PERSON'!$B$17:$B$192,$C758,'5. PERSON'!BM$17:BM$192)</f>
        <v>0</v>
      </c>
      <c r="K771" s="732">
        <f>SUMIF('5. PERSON'!$B$17:$B$192,$C758,'5. PERSON'!BN$17:BN$192)</f>
        <v>0</v>
      </c>
      <c r="L771" s="732">
        <f>SUMIF('5. PERSON'!$B$17:$B$192,$C758,'5. PERSON'!BO$17:BO$192)</f>
        <v>0</v>
      </c>
      <c r="M771" s="727">
        <f t="shared" si="157"/>
        <v>0</v>
      </c>
    </row>
    <row r="772" spans="2:15" s="3" customFormat="1" ht="13.2" x14ac:dyDescent="0.25">
      <c r="B772" s="80" t="str">
        <f>IF('1. INTRO'!I$2="English",(IF('6. OPERATION'!AS$150&gt;0,"Operating","")),IF('6. OPERATION'!AS$150&gt;0,"Drift",""))</f>
        <v/>
      </c>
      <c r="C772" s="135">
        <f>SUMIF('6. OPERATION'!$B$17:$B$149,$C758,'6. OPERATION'!AI$17:AI$149)</f>
        <v>0</v>
      </c>
      <c r="D772" s="135">
        <f>SUMIF('6. OPERATION'!$B$17:$B$149,$C758,'6. OPERATION'!AJ$17:AJ$149)</f>
        <v>0</v>
      </c>
      <c r="E772" s="135">
        <f>SUMIF('6. OPERATION'!$B$17:$B$149,$C758,'6. OPERATION'!AK$17:AK$149)</f>
        <v>0</v>
      </c>
      <c r="F772" s="135">
        <f>SUMIF('6. OPERATION'!$B$17:$B$149,$C758,'6. OPERATION'!AL$17:AL$149)</f>
        <v>0</v>
      </c>
      <c r="G772" s="135">
        <f>SUMIF('6. OPERATION'!$B$17:$B$149,$C758,'6. OPERATION'!AM$17:AM$149)</f>
        <v>0</v>
      </c>
      <c r="H772" s="135">
        <f>SUMIF('6. OPERATION'!$B$17:$B$149,$C758,'6. OPERATION'!AN$17:AN$149)</f>
        <v>0</v>
      </c>
      <c r="I772" s="135">
        <f>SUMIF('6. OPERATION'!$B$17:$B$149,$C758,'6. OPERATION'!AO$17:AO$149)</f>
        <v>0</v>
      </c>
      <c r="J772" s="135">
        <f>SUMIF('6. OPERATION'!$B$17:$B$149,$C758,'6. OPERATION'!AP$17:AP$149)</f>
        <v>0</v>
      </c>
      <c r="K772" s="135">
        <f>SUMIF('6. OPERATION'!$B$17:$B$149,$C758,'6. OPERATION'!AQ$17:AQ$149)</f>
        <v>0</v>
      </c>
      <c r="L772" s="135">
        <f>SUMIF('6. OPERATION'!$B$17:$B$149,$C758,'6. OPERATION'!AR$17:AR$149)</f>
        <v>0</v>
      </c>
      <c r="M772" s="117">
        <f t="shared" si="157"/>
        <v>0</v>
      </c>
    </row>
    <row r="773" spans="2:15" s="3" customFormat="1" ht="13.2" x14ac:dyDescent="0.25">
      <c r="B773" s="725" t="str">
        <f>IF('1. INTRO'!I$2="English",(IF('7. INVEST'!AS$50&gt;0,"Equipment","")),IF('7. INVEST'!AS$50&gt;0,"Utrustning",""))</f>
        <v/>
      </c>
      <c r="C773" s="732">
        <f>SUMIF('7. INVEST'!$B$17:$B$49,$C758,'7. INVEST'!AI$17:AI$49)</f>
        <v>0</v>
      </c>
      <c r="D773" s="732">
        <f>SUMIF('7. INVEST'!$B$17:$B$49,$C758,'7. INVEST'!AJ$17:AJ$49)</f>
        <v>0</v>
      </c>
      <c r="E773" s="732">
        <f>SUMIF('7. INVEST'!$B$17:$B$49,$C758,'7. INVEST'!AK$17:AK$49)</f>
        <v>0</v>
      </c>
      <c r="F773" s="732">
        <f>SUMIF('7. INVEST'!$B$17:$B$49,$C758,'7. INVEST'!AL$17:AL$49)</f>
        <v>0</v>
      </c>
      <c r="G773" s="732">
        <f>SUMIF('7. INVEST'!$B$17:$B$49,$C758,'7. INVEST'!AM$17:AM$49)</f>
        <v>0</v>
      </c>
      <c r="H773" s="732">
        <f>SUMIF('7. INVEST'!$B$17:$B$49,$C758,'7. INVEST'!AN$17:AN$49)</f>
        <v>0</v>
      </c>
      <c r="I773" s="732">
        <f>SUMIF('7. INVEST'!$B$17:$B$49,$C758,'7. INVEST'!AO$17:AO$49)</f>
        <v>0</v>
      </c>
      <c r="J773" s="732">
        <f>SUMIF('7. INVEST'!$B$17:$B$49,$C758,'7. INVEST'!AP$17:AP$49)</f>
        <v>0</v>
      </c>
      <c r="K773" s="732">
        <f>SUMIF('7. INVEST'!$B$17:$B$49,$C758,'7. INVEST'!AQ$17:AQ$49)</f>
        <v>0</v>
      </c>
      <c r="L773" s="732">
        <f>SUMIF('7. INVEST'!$B$17:$B$49,$C758,'7. INVEST'!AR$17:AR$49)</f>
        <v>0</v>
      </c>
      <c r="M773" s="727">
        <f t="shared" si="157"/>
        <v>0</v>
      </c>
    </row>
    <row r="774" spans="2:15" s="3" customFormat="1" ht="13.2" x14ac:dyDescent="0.25">
      <c r="B774" s="121" t="str">
        <f>IF('1. INTRO'!I$2="English",(IF('8. FACILIT'!AP$51&gt;0,"Facility","")),IF('8. FACILIT'!AP$51&gt;0,"Lokal",""))</f>
        <v/>
      </c>
      <c r="C774" s="135">
        <f>SUMIF('5. PERSON'!$B$17:$B$192,$C758,'5. PERSON'!DB$17:DB$192)+SUMIF('6. OPERATION'!$B$17:$B$149,$C758,'6. OPERATION'!CE$17:CE$149)+SUMIF('8. FACILIT'!$B$18:$B$50,$C758,'8. FACILIT'!AF$18:AF$50)</f>
        <v>0</v>
      </c>
      <c r="D774" s="135">
        <f>SUMIF('5. PERSON'!$B$17:$B$192,$C758,'5. PERSON'!DC$17:DC$192)+SUMIF('6. OPERATION'!$B$17:$B$149,$C758,'6. OPERATION'!CF$17:CF$149)+SUMIF('8. FACILIT'!$B$18:$B$50,$C758,'8. FACILIT'!AG$18:AG$50)</f>
        <v>0</v>
      </c>
      <c r="E774" s="135">
        <f>SUMIF('5. PERSON'!$B$17:$B$192,$C758,'5. PERSON'!DD$17:DD$192)+SUMIF('6. OPERATION'!$B$17:$B$149,$C758,'6. OPERATION'!CG$17:CG$149)+SUMIF('8. FACILIT'!$B$18:$B$50,$C758,'8. FACILIT'!AH$18:AH$50)</f>
        <v>0</v>
      </c>
      <c r="F774" s="135">
        <f>SUMIF('5. PERSON'!$B$17:$B$192,$C758,'5. PERSON'!DE$17:DE$192)+SUMIF('6. OPERATION'!$B$17:$B$149,$C758,'6. OPERATION'!CH$17:CH$149)+SUMIF('8. FACILIT'!$B$18:$B$50,$C758,'8. FACILIT'!AI$18:AI$50)</f>
        <v>0</v>
      </c>
      <c r="G774" s="135">
        <f>SUMIF('5. PERSON'!$B$17:$B$192,$C758,'5. PERSON'!DF$17:DF$192)+SUMIF('6. OPERATION'!$B$17:$B$149,$C758,'6. OPERATION'!CI$17:CI$149)+SUMIF('8. FACILIT'!$B$18:$B$50,$C758,'8. FACILIT'!AJ$18:AJ$50)</f>
        <v>0</v>
      </c>
      <c r="H774" s="135">
        <f>SUMIF('5. PERSON'!$B$17:$B$192,$C758,'5. PERSON'!DG$17:DG$192)+SUMIF('6. OPERATION'!$B$17:$B$149,$C758,'6. OPERATION'!CJ$17:CJ$149)+SUMIF('8. FACILIT'!$B$18:$B$50,$C758,'8. FACILIT'!AK$18:AK$50)</f>
        <v>0</v>
      </c>
      <c r="I774" s="135">
        <f>SUMIF('5. PERSON'!$B$17:$B$192,$C758,'5. PERSON'!DH$17:DH$192)+SUMIF('6. OPERATION'!$B$17:$B$149,$C758,'6. OPERATION'!CK$17:CK$149)+SUMIF('8. FACILIT'!$B$18:$B$50,$C758,'8. FACILIT'!AL$18:AL$50)</f>
        <v>0</v>
      </c>
      <c r="J774" s="135">
        <f>SUMIF('5. PERSON'!$B$17:$B$192,$C758,'5. PERSON'!DI$17:DI$192)+SUMIF('6. OPERATION'!$B$17:$B$149,$C758,'6. OPERATION'!CL$17:CL$149)+SUMIF('8. FACILIT'!$B$18:$B$50,$C758,'8. FACILIT'!AM$18:AM$50)</f>
        <v>0</v>
      </c>
      <c r="K774" s="135">
        <f>SUMIF('5. PERSON'!$B$17:$B$192,$C758,'5. PERSON'!DJ$17:DJ$192)+SUMIF('6. OPERATION'!$B$17:$B$149,$C758,'6. OPERATION'!CM$17:CM$149)+SUMIF('8. FACILIT'!$B$18:$B$50,$C758,'8. FACILIT'!AN$18:AN$50)</f>
        <v>0</v>
      </c>
      <c r="L774" s="135">
        <f>SUMIF('5. PERSON'!$B$17:$B$192,$C758,'5. PERSON'!DK$17:DK$192)+SUMIF('6. OPERATION'!$B$17:$B$149,$C758,'6. OPERATION'!CN$17:CN$149)+SUMIF('8. FACILIT'!$B$18:$B$50,$C758,'8. FACILIT'!AO$18:AO$50)</f>
        <v>0</v>
      </c>
      <c r="M774" s="117">
        <f t="shared" si="157"/>
        <v>0</v>
      </c>
    </row>
    <row r="775" spans="2:15" s="1" customFormat="1" ht="13.2" x14ac:dyDescent="0.25">
      <c r="B775" s="728" t="str">
        <f>IF('1. INTRO'!I$2="English",(IF(('5. PERSON'!CN$193+'6. OPERATION'!BQ$150)&gt;0,"Indirect","")),IF(('5. PERSON'!CN$193+'6. OPERATION'!BQ$150)&gt;0,"Indirekt",""))</f>
        <v/>
      </c>
      <c r="C775" s="729">
        <f>SUMIF('5. PERSON'!$B$17:$B$192,$C758,'5. PERSON'!CD$17:CD$192)+SUMIF('6. OPERATION'!$B$17:$B$149,$C758,'6. OPERATION'!BG$17:BG$149)</f>
        <v>0</v>
      </c>
      <c r="D775" s="729">
        <f>SUMIF('5. PERSON'!$B$17:$B$192,$C758,'5. PERSON'!CE$17:CE$192)+SUMIF('6. OPERATION'!$B$17:$B$149,$C758,'6. OPERATION'!BH$17:BH$149)</f>
        <v>0</v>
      </c>
      <c r="E775" s="729">
        <f>SUMIF('5. PERSON'!$B$17:$B$192,$C758,'5. PERSON'!CF$17:CF$192)+SUMIF('6. OPERATION'!$B$17:$B$149,$C758,'6. OPERATION'!BI$17:BI$149)</f>
        <v>0</v>
      </c>
      <c r="F775" s="729">
        <f>SUMIF('5. PERSON'!$B$17:$B$192,$C758,'5. PERSON'!CG$17:CG$192)+SUMIF('6. OPERATION'!$B$17:$B$149,$C758,'6. OPERATION'!BJ$17:BJ$149)</f>
        <v>0</v>
      </c>
      <c r="G775" s="729">
        <f>SUMIF('5. PERSON'!$B$17:$B$192,$C758,'5. PERSON'!CH$17:CH$192)+SUMIF('6. OPERATION'!$B$17:$B$149,$C758,'6. OPERATION'!BK$17:BK$149)</f>
        <v>0</v>
      </c>
      <c r="H775" s="729">
        <f>SUMIF('5. PERSON'!$B$17:$B$192,$C758,'5. PERSON'!CI$17:CI$192)+SUMIF('6. OPERATION'!$B$17:$B$149,$C758,'6. OPERATION'!BL$17:BL$149)</f>
        <v>0</v>
      </c>
      <c r="I775" s="729">
        <f>SUMIF('5. PERSON'!$B$17:$B$192,$C758,'5. PERSON'!CJ$17:CJ$192)+SUMIF('6. OPERATION'!$B$17:$B$149,$C758,'6. OPERATION'!BM$17:BM$149)</f>
        <v>0</v>
      </c>
      <c r="J775" s="729">
        <f>SUMIF('5. PERSON'!$B$17:$B$192,$C758,'5. PERSON'!CK$17:CK$192)+SUMIF('6. OPERATION'!$B$17:$B$149,$C758,'6. OPERATION'!BN$17:BN$149)</f>
        <v>0</v>
      </c>
      <c r="K775" s="729">
        <f>SUMIF('5. PERSON'!$B$17:$B$192,$C758,'5. PERSON'!CL$17:CL$192)+SUMIF('6. OPERATION'!$B$17:$B$149,$C758,'6. OPERATION'!BO$17:BO$149)</f>
        <v>0</v>
      </c>
      <c r="L775" s="729">
        <f>SUMIF('5. PERSON'!$B$17:$B$192,$C758,'5. PERSON'!CM$17:CM$192)+SUMIF('6. OPERATION'!$B$17:$B$149,$C758,'6. OPERATION'!BP$17:BP$149)</f>
        <v>0</v>
      </c>
      <c r="M775" s="733">
        <f t="shared" si="157"/>
        <v>0</v>
      </c>
    </row>
    <row r="776" spans="2:15" s="3" customFormat="1" ht="13.2" x14ac:dyDescent="0.25">
      <c r="B776" s="124" t="s">
        <v>113</v>
      </c>
      <c r="C776" s="102">
        <f>SUM(C769:C775)</f>
        <v>0</v>
      </c>
      <c r="D776" s="102">
        <f t="shared" ref="D776:M776" si="158">SUM(D769:D775)</f>
        <v>0</v>
      </c>
      <c r="E776" s="102">
        <f t="shared" si="158"/>
        <v>0</v>
      </c>
      <c r="F776" s="102">
        <f t="shared" si="158"/>
        <v>0</v>
      </c>
      <c r="G776" s="102">
        <f t="shared" si="158"/>
        <v>0</v>
      </c>
      <c r="H776" s="102">
        <f t="shared" si="158"/>
        <v>0</v>
      </c>
      <c r="I776" s="102">
        <f t="shared" si="158"/>
        <v>0</v>
      </c>
      <c r="J776" s="102">
        <f t="shared" si="158"/>
        <v>0</v>
      </c>
      <c r="K776" s="102">
        <f t="shared" si="158"/>
        <v>0</v>
      </c>
      <c r="L776" s="102">
        <f t="shared" si="158"/>
        <v>0</v>
      </c>
      <c r="M776" s="125">
        <f t="shared" si="158"/>
        <v>0</v>
      </c>
      <c r="N776" s="23"/>
      <c r="O776" s="23"/>
    </row>
    <row r="777" spans="2:15" s="3" customFormat="1" ht="6" customHeight="1" x14ac:dyDescent="0.25">
      <c r="B777" s="136"/>
      <c r="C777" s="127"/>
      <c r="D777" s="127"/>
      <c r="E777" s="127"/>
      <c r="F777" s="127"/>
      <c r="G777" s="127"/>
      <c r="H777" s="127"/>
      <c r="I777" s="127"/>
      <c r="J777" s="127"/>
      <c r="K777" s="127"/>
      <c r="L777" s="127"/>
      <c r="M777" s="137"/>
    </row>
    <row r="778" spans="2:15" s="3" customFormat="1" ht="13.2" x14ac:dyDescent="0.25">
      <c r="B778" s="129" t="str">
        <f>IF('1. INTRO'!I$2="English","Full cost","Full kostnad")</f>
        <v>Full cost</v>
      </c>
      <c r="C778" s="127"/>
      <c r="D778" s="127"/>
      <c r="E778" s="127"/>
      <c r="F778" s="127"/>
      <c r="G778" s="127"/>
      <c r="H778" s="127"/>
      <c r="I778" s="127"/>
      <c r="J778" s="127"/>
      <c r="K778" s="127"/>
      <c r="L778" s="127"/>
      <c r="M778" s="137"/>
    </row>
    <row r="779" spans="2:15" s="3" customFormat="1" ht="13.2" x14ac:dyDescent="0.25">
      <c r="B779" s="722" t="str">
        <f>IF('1. INTRO'!I$2="English","Salary including social costs (LKP)","Lön inklusive LKP")</f>
        <v>Salary including social costs (LKP)</v>
      </c>
      <c r="C779" s="734">
        <f>C761+C770+C771</f>
        <v>0</v>
      </c>
      <c r="D779" s="734">
        <f t="shared" ref="D779:L779" si="159">D761+D770+D771</f>
        <v>0</v>
      </c>
      <c r="E779" s="734">
        <f t="shared" si="159"/>
        <v>0</v>
      </c>
      <c r="F779" s="734">
        <f t="shared" si="159"/>
        <v>0</v>
      </c>
      <c r="G779" s="734">
        <f t="shared" si="159"/>
        <v>0</v>
      </c>
      <c r="H779" s="734">
        <f t="shared" si="159"/>
        <v>0</v>
      </c>
      <c r="I779" s="734">
        <f t="shared" si="159"/>
        <v>0</v>
      </c>
      <c r="J779" s="734">
        <f t="shared" si="159"/>
        <v>0</v>
      </c>
      <c r="K779" s="734">
        <f t="shared" si="159"/>
        <v>0</v>
      </c>
      <c r="L779" s="734">
        <f t="shared" si="159"/>
        <v>0</v>
      </c>
      <c r="M779" s="724">
        <f>SUM(C779:L779)</f>
        <v>0</v>
      </c>
    </row>
    <row r="780" spans="2:15" s="3" customFormat="1" ht="13.2" x14ac:dyDescent="0.25">
      <c r="B780" s="80" t="str">
        <f>IF('1. INTRO'!I$2="English","Operating","Drift")</f>
        <v>Operating</v>
      </c>
      <c r="C780" s="139">
        <f>C762+C772</f>
        <v>0</v>
      </c>
      <c r="D780" s="139">
        <f t="shared" ref="D780:L780" si="160">D762+D772</f>
        <v>0</v>
      </c>
      <c r="E780" s="139">
        <f t="shared" si="160"/>
        <v>0</v>
      </c>
      <c r="F780" s="139">
        <f t="shared" si="160"/>
        <v>0</v>
      </c>
      <c r="G780" s="139">
        <f t="shared" si="160"/>
        <v>0</v>
      </c>
      <c r="H780" s="139">
        <f t="shared" si="160"/>
        <v>0</v>
      </c>
      <c r="I780" s="139">
        <f t="shared" si="160"/>
        <v>0</v>
      </c>
      <c r="J780" s="139">
        <f t="shared" si="160"/>
        <v>0</v>
      </c>
      <c r="K780" s="139">
        <f t="shared" si="160"/>
        <v>0</v>
      </c>
      <c r="L780" s="139">
        <f t="shared" si="160"/>
        <v>0</v>
      </c>
      <c r="M780" s="117">
        <f>SUM(C780:L780)</f>
        <v>0</v>
      </c>
    </row>
    <row r="781" spans="2:15" s="3" customFormat="1" ht="13.2" x14ac:dyDescent="0.25">
      <c r="B781" s="725" t="str">
        <f>IF('1. INTRO'!I$2="English","Equipment","Utrustning")</f>
        <v>Equipment</v>
      </c>
      <c r="C781" s="735">
        <f>C763+C773</f>
        <v>0</v>
      </c>
      <c r="D781" s="735">
        <f t="shared" ref="D781:L781" si="161">D763+D773</f>
        <v>0</v>
      </c>
      <c r="E781" s="735">
        <f t="shared" si="161"/>
        <v>0</v>
      </c>
      <c r="F781" s="735">
        <f t="shared" si="161"/>
        <v>0</v>
      </c>
      <c r="G781" s="735">
        <f t="shared" si="161"/>
        <v>0</v>
      </c>
      <c r="H781" s="735">
        <f t="shared" si="161"/>
        <v>0</v>
      </c>
      <c r="I781" s="735">
        <f t="shared" si="161"/>
        <v>0</v>
      </c>
      <c r="J781" s="735">
        <f t="shared" si="161"/>
        <v>0</v>
      </c>
      <c r="K781" s="735">
        <f t="shared" si="161"/>
        <v>0</v>
      </c>
      <c r="L781" s="735">
        <f t="shared" si="161"/>
        <v>0</v>
      </c>
      <c r="M781" s="727">
        <f>SUM(C781:L781)</f>
        <v>0</v>
      </c>
    </row>
    <row r="782" spans="2:15" s="3" customFormat="1" ht="13.2" x14ac:dyDescent="0.25">
      <c r="B782" s="80" t="str">
        <f>IF('1. INTRO'!I$2="English","Facility","Lokal")</f>
        <v>Facility</v>
      </c>
      <c r="C782" s="139">
        <f>SUMIF('5. PERSON'!$B$17:$B$192,$C758,'5. PERSON'!CP$17:CP$192)+SUMIF('5. PERSON'!$B$17:$B$192,$C758,'5. PERSON'!DB$17:DB$192)+SUMIF('6. OPERATION'!$B$17:$B$149,$C758,'6. OPERATION'!BS$17:BS$149)+SUMIF('6. OPERATION'!$B$17:$B$149,$C758,'6. OPERATION'!CE$17:CE$149)+SUMIF('8. FACILIT'!$B$18:$B$50,$C758,'8. FACILIT'!T$18:T$50)+SUMIF('8. FACILIT'!$B$18:$B$50,$C758,'8. FACILIT'!AF$18:AF$50)</f>
        <v>0</v>
      </c>
      <c r="D782" s="139">
        <f>SUMIF('5. PERSON'!$B$17:$B$192,$C758,'5. PERSON'!CQ$17:CQ$192)+SUMIF('5. PERSON'!$B$17:$B$192,$C758,'5. PERSON'!DC$17:DC$192)+SUMIF('6. OPERATION'!$B$17:$B$149,$C758,'6. OPERATION'!BT$17:BT$149)+SUMIF('6. OPERATION'!$B$17:$B$149,$C758,'6. OPERATION'!CF$17:CF$149)+SUMIF('8. FACILIT'!$B$18:$B$50,$C758,'8. FACILIT'!U$18:U$50)+SUMIF('8. FACILIT'!$B$18:$B$50,$C758,'8. FACILIT'!AG$18:AG$50)</f>
        <v>0</v>
      </c>
      <c r="E782" s="139">
        <f>SUMIF('5. PERSON'!$B$17:$B$192,$C758,'5. PERSON'!CR$17:CR$192)+SUMIF('5. PERSON'!$B$17:$B$192,$C758,'5. PERSON'!DD$17:DD$192)+SUMIF('6. OPERATION'!$B$17:$B$149,$C758,'6. OPERATION'!BU$17:BU$149)+SUMIF('6. OPERATION'!$B$17:$B$149,$C758,'6. OPERATION'!CG$17:CG$149)+SUMIF('8. FACILIT'!$B$18:$B$50,$C758,'8. FACILIT'!V$18:V$50)+SUMIF('8. FACILIT'!$B$18:$B$50,$C758,'8. FACILIT'!AH$18:AH$50)</f>
        <v>0</v>
      </c>
      <c r="F782" s="139">
        <f>SUMIF('5. PERSON'!$B$17:$B$192,$C758,'5. PERSON'!CS$17:CS$192)+SUMIF('5. PERSON'!$B$17:$B$192,$C758,'5. PERSON'!DE$17:DE$192)+SUMIF('6. OPERATION'!$B$17:$B$149,$C758,'6. OPERATION'!BV$17:BV$149)+SUMIF('6. OPERATION'!$B$17:$B$149,$C758,'6. OPERATION'!CH$17:CH$149)+SUMIF('8. FACILIT'!$B$18:$B$50,$C758,'8. FACILIT'!W$18:W$50)+SUMIF('8. FACILIT'!$B$18:$B$50,$C758,'8. FACILIT'!AI$18:AI$50)</f>
        <v>0</v>
      </c>
      <c r="G782" s="139">
        <f>SUMIF('5. PERSON'!$B$17:$B$192,$C758,'5. PERSON'!CT$17:CT$192)+SUMIF('5. PERSON'!$B$17:$B$192,$C758,'5. PERSON'!DF$17:DF$192)+SUMIF('6. OPERATION'!$B$17:$B$149,$C758,'6. OPERATION'!BW$17:BW$149)+SUMIF('6. OPERATION'!$B$17:$B$149,$C758,'6. OPERATION'!CI$17:CI$149)+SUMIF('8. FACILIT'!$B$18:$B$50,$C758,'8. FACILIT'!X$18:X$50)+SUMIF('8. FACILIT'!$B$18:$B$50,$C758,'8. FACILIT'!AJ$18:AJ$50)</f>
        <v>0</v>
      </c>
      <c r="H782" s="139">
        <f>SUMIF('5. PERSON'!$B$17:$B$192,$C758,'5. PERSON'!CU$17:CU$192)+SUMIF('5. PERSON'!$B$17:$B$192,$C758,'5. PERSON'!DG$17:DG$192)+SUMIF('6. OPERATION'!$B$17:$B$149,$C758,'6. OPERATION'!BX$17:BX$149)+SUMIF('6. OPERATION'!$B$17:$B$149,$C758,'6. OPERATION'!CJ$17:CJ$149)+SUMIF('8. FACILIT'!$B$18:$B$50,$C758,'8. FACILIT'!Y$18:Y$50)+SUMIF('8. FACILIT'!$B$18:$B$50,$C758,'8. FACILIT'!AK$18:AK$50)</f>
        <v>0</v>
      </c>
      <c r="I782" s="139">
        <f>SUMIF('5. PERSON'!$B$17:$B$192,$C758,'5. PERSON'!CV$17:CV$192)+SUMIF('5. PERSON'!$B$17:$B$192,$C758,'5. PERSON'!DH$17:DH$192)+SUMIF('6. OPERATION'!$B$17:$B$149,$C758,'6. OPERATION'!BY$17:BY$149)+SUMIF('6. OPERATION'!$B$17:$B$149,$C758,'6. OPERATION'!CK$17:CK$149)+SUMIF('8. FACILIT'!$B$18:$B$50,$C758,'8. FACILIT'!Z$18:Z$50)+SUMIF('8. FACILIT'!$B$18:$B$50,$C758,'8. FACILIT'!AL$18:AL$50)</f>
        <v>0</v>
      </c>
      <c r="J782" s="139">
        <f>SUMIF('5. PERSON'!$B$17:$B$192,$C758,'5. PERSON'!CW$17:CW$192)+SUMIF('5. PERSON'!$B$17:$B$192,$C758,'5. PERSON'!DI$17:DI$192)+SUMIF('6. OPERATION'!$B$17:$B$149,$C758,'6. OPERATION'!BZ$17:BZ$149)+SUMIF('6. OPERATION'!$B$17:$B$149,$C758,'6. OPERATION'!CL$17:CL$149)+SUMIF('8. FACILIT'!$B$18:$B$50,$C758,'8. FACILIT'!AA$18:AA$50)+SUMIF('8. FACILIT'!$B$18:$B$50,$C758,'8. FACILIT'!AM$18:AM$50)</f>
        <v>0</v>
      </c>
      <c r="K782" s="139">
        <f>SUMIF('5. PERSON'!$B$17:$B$192,$C758,'5. PERSON'!CX$17:CX$192)+SUMIF('5. PERSON'!$B$17:$B$192,$C758,'5. PERSON'!DJ$17:DJ$192)+SUMIF('6. OPERATION'!$B$17:$B$149,$C758,'6. OPERATION'!CA$17:CA$149)+SUMIF('6. OPERATION'!$B$17:$B$149,$C758,'6. OPERATION'!CM$17:CM$149)+SUMIF('8. FACILIT'!$B$18:$B$50,$C758,'8. FACILIT'!AB$18:AB$50)+SUMIF('8. FACILIT'!$B$18:$B$50,$C758,'8. FACILIT'!AN$18:AN$50)</f>
        <v>0</v>
      </c>
      <c r="L782" s="139">
        <f>SUMIF('5. PERSON'!$B$17:$B$192,$C758,'5. PERSON'!CY$17:CY$192)+SUMIF('5. PERSON'!$B$17:$B$192,$C758,'5. PERSON'!DK$17:DK$192)+SUMIF('6. OPERATION'!$B$17:$B$149,$C758,'6. OPERATION'!CB$17:CB$149)+SUMIF('6. OPERATION'!$B$17:$B$149,$C758,'6. OPERATION'!CN$17:CN$149)+SUMIF('8. FACILIT'!$B$18:$B$50,$C758,'8. FACILIT'!AC$18:AC$50)+SUMIF('8. FACILIT'!$B$18:$B$50,$C758,'8. FACILIT'!AO$18:AO$50)</f>
        <v>0</v>
      </c>
      <c r="M782" s="117">
        <f>SUM(C782:L782)</f>
        <v>0</v>
      </c>
    </row>
    <row r="783" spans="2:15" s="3" customFormat="1" ht="13.2" x14ac:dyDescent="0.25">
      <c r="B783" s="736" t="str">
        <f>IF('1. INTRO'!I$2="English","Indirect","Indirekt")</f>
        <v>Indirect</v>
      </c>
      <c r="C783" s="737">
        <f>SUMIF('5. PERSON'!$B$17:$B$192,$C758,'5. PERSON'!BR$17:BR$192)+SUMIF('5. PERSON'!$B$17:$B$192,$C758,'5. PERSON'!CD$17:CD$192)+SUMIF('6. OPERATION'!$B$17:$B$149,$C758,'6. OPERATION'!AU$17:AU$149)+SUMIF('6. OPERATION'!$B$17:$B$149,$C758,'6. OPERATION'!BG$17:BG$149)</f>
        <v>0</v>
      </c>
      <c r="D783" s="737">
        <f>SUMIF('5. PERSON'!$B$17:$B$192,$C758,'5. PERSON'!BS$17:BS$192)+SUMIF('5. PERSON'!$B$17:$B$192,$C758,'5. PERSON'!CE$17:CE$192)+SUMIF('6. OPERATION'!$B$17:$B$149,$C758,'6. OPERATION'!AV$17:AV$149)+SUMIF('6. OPERATION'!$B$17:$B$149,$C758,'6. OPERATION'!BH$17:BH$149)</f>
        <v>0</v>
      </c>
      <c r="E783" s="737">
        <f>SUMIF('5. PERSON'!$B$17:$B$192,$C758,'5. PERSON'!BT$17:BT$192)+SUMIF('5. PERSON'!$B$17:$B$192,$C758,'5. PERSON'!CF$17:CF$192)+SUMIF('6. OPERATION'!$B$17:$B$149,$C758,'6. OPERATION'!AW$17:AW$149)+SUMIF('6. OPERATION'!$B$17:$B$149,$C758,'6. OPERATION'!BI$17:BI$149)</f>
        <v>0</v>
      </c>
      <c r="F783" s="737">
        <f>SUMIF('5. PERSON'!$B$17:$B$192,$C758,'5. PERSON'!BU$17:BU$192)+SUMIF('5. PERSON'!$B$17:$B$192,$C758,'5. PERSON'!CG$17:CG$192)+SUMIF('6. OPERATION'!$B$17:$B$149,$C758,'6. OPERATION'!AX$17:AX$149)+SUMIF('6. OPERATION'!$B$17:$B$149,$C758,'6. OPERATION'!BJ$17:BJ$149)</f>
        <v>0</v>
      </c>
      <c r="G783" s="737">
        <f>SUMIF('5. PERSON'!$B$17:$B$192,$C758,'5. PERSON'!BV$17:BV$192)+SUMIF('5. PERSON'!$B$17:$B$192,$C758,'5. PERSON'!CH$17:CH$192)+SUMIF('6. OPERATION'!$B$17:$B$149,$C758,'6. OPERATION'!AY$17:AY$149)+SUMIF('6. OPERATION'!$B$17:$B$149,$C758,'6. OPERATION'!BK$17:BK$149)</f>
        <v>0</v>
      </c>
      <c r="H783" s="737">
        <f>SUMIF('5. PERSON'!$B$17:$B$192,$C758,'5. PERSON'!BW$17:BW$192)+SUMIF('5. PERSON'!$B$17:$B$192,$C758,'5. PERSON'!CI$17:CI$192)+SUMIF('6. OPERATION'!$B$17:$B$149,$C758,'6. OPERATION'!AZ$17:AZ$149)+SUMIF('6. OPERATION'!$B$17:$B$149,$C758,'6. OPERATION'!BL$17:BL$149)</f>
        <v>0</v>
      </c>
      <c r="I783" s="737">
        <f>SUMIF('5. PERSON'!$B$17:$B$192,$C758,'5. PERSON'!BX$17:BX$192)+SUMIF('5. PERSON'!$B$17:$B$192,$C758,'5. PERSON'!CJ$17:CJ$192)+SUMIF('6. OPERATION'!$B$17:$B$149,$C758,'6. OPERATION'!BA$17:BA$149)+SUMIF('6. OPERATION'!$B$17:$B$149,$C758,'6. OPERATION'!BM$17:BM$149)</f>
        <v>0</v>
      </c>
      <c r="J783" s="737">
        <f>SUMIF('5. PERSON'!$B$17:$B$192,$C758,'5. PERSON'!BY$17:BY$192)+SUMIF('5. PERSON'!$B$17:$B$192,$C758,'5. PERSON'!CK$17:CK$192)+SUMIF('6. OPERATION'!$B$17:$B$149,$C758,'6. OPERATION'!BB$17:BB$149)+SUMIF('6. OPERATION'!$B$17:$B$149,$C758,'6. OPERATION'!BN$17:BN$149)</f>
        <v>0</v>
      </c>
      <c r="K783" s="737">
        <f>SUMIF('5. PERSON'!$B$17:$B$192,$C758,'5. PERSON'!BZ$17:BZ$192)+SUMIF('5. PERSON'!$B$17:$B$192,$C758,'5. PERSON'!CL$17:CL$192)+SUMIF('6. OPERATION'!$B$17:$B$149,$C758,'6. OPERATION'!BC$17:BC$149)+SUMIF('6. OPERATION'!$B$17:$B$149,$C758,'6. OPERATION'!BO$17:BO$149)</f>
        <v>0</v>
      </c>
      <c r="L783" s="737">
        <f>SUMIF('5. PERSON'!$B$17:$B$192,$C758,'5. PERSON'!CA$17:CA$192)+SUMIF('5. PERSON'!$B$17:$B$192,$C758,'5. PERSON'!CM$17:CM$192)+SUMIF('6. OPERATION'!$B$17:$B$149,$C758,'6. OPERATION'!BD$17:BD$149)+SUMIF('6. OPERATION'!$B$17:$B$149,$C758,'6. OPERATION'!BP$17:BP$149)</f>
        <v>0</v>
      </c>
      <c r="M783" s="733">
        <f>SUM(C783:L783)</f>
        <v>0</v>
      </c>
    </row>
    <row r="784" spans="2:15" s="3" customFormat="1" ht="13.2" x14ac:dyDescent="0.25">
      <c r="B784" s="124" t="s">
        <v>113</v>
      </c>
      <c r="C784" s="88">
        <f>SUM(C779:C783)</f>
        <v>0</v>
      </c>
      <c r="D784" s="88">
        <f t="shared" ref="D784:M784" si="162">SUM(D779:D783)</f>
        <v>0</v>
      </c>
      <c r="E784" s="88">
        <f t="shared" si="162"/>
        <v>0</v>
      </c>
      <c r="F784" s="88">
        <f t="shared" si="162"/>
        <v>0</v>
      </c>
      <c r="G784" s="88">
        <f t="shared" si="162"/>
        <v>0</v>
      </c>
      <c r="H784" s="88">
        <f t="shared" si="162"/>
        <v>0</v>
      </c>
      <c r="I784" s="88">
        <f t="shared" si="162"/>
        <v>0</v>
      </c>
      <c r="J784" s="88">
        <f t="shared" si="162"/>
        <v>0</v>
      </c>
      <c r="K784" s="88">
        <f t="shared" si="162"/>
        <v>0</v>
      </c>
      <c r="L784" s="88">
        <f t="shared" si="162"/>
        <v>0</v>
      </c>
      <c r="M784" s="142">
        <f t="shared" si="162"/>
        <v>0</v>
      </c>
    </row>
    <row r="785" spans="2:13" s="3" customFormat="1" ht="13.2" x14ac:dyDescent="0.25">
      <c r="B785" s="287"/>
      <c r="C785" s="37"/>
      <c r="D785" s="37"/>
      <c r="E785" s="37"/>
      <c r="F785" s="37"/>
      <c r="G785" s="37"/>
      <c r="H785" s="37"/>
      <c r="I785" s="37"/>
      <c r="J785" s="37"/>
      <c r="K785" s="37"/>
      <c r="L785" s="37"/>
      <c r="M785" s="37"/>
    </row>
    <row r="786" spans="2:13" s="3" customFormat="1" ht="12.75" customHeight="1" x14ac:dyDescent="0.25">
      <c r="B786" s="656" t="str">
        <f>IF('1. INTRO'!I$2="English","Co-funding share in full cost ","Medfinansieringsandel i full kostnad ")</f>
        <v xml:space="preserve">Co-funding share in full cost </v>
      </c>
      <c r="C786" s="143" t="str">
        <f t="shared" ref="C786:M786" si="163">IF(C784&gt;0,C776/C784,"")</f>
        <v/>
      </c>
      <c r="D786" s="143" t="str">
        <f t="shared" si="163"/>
        <v/>
      </c>
      <c r="E786" s="143" t="str">
        <f t="shared" si="163"/>
        <v/>
      </c>
      <c r="F786" s="143" t="str">
        <f t="shared" si="163"/>
        <v/>
      </c>
      <c r="G786" s="143" t="str">
        <f t="shared" si="163"/>
        <v/>
      </c>
      <c r="H786" s="143" t="str">
        <f t="shared" si="163"/>
        <v/>
      </c>
      <c r="I786" s="143" t="str">
        <f t="shared" si="163"/>
        <v/>
      </c>
      <c r="J786" s="143" t="str">
        <f t="shared" si="163"/>
        <v/>
      </c>
      <c r="K786" s="143" t="str">
        <f t="shared" si="163"/>
        <v/>
      </c>
      <c r="L786" s="143" t="str">
        <f t="shared" si="163"/>
        <v/>
      </c>
      <c r="M786" s="143" t="str">
        <f t="shared" si="163"/>
        <v/>
      </c>
    </row>
    <row r="787" spans="2:13" ht="12.75" customHeight="1" x14ac:dyDescent="0.2"/>
    <row r="788" spans="2:13" ht="12.75" customHeight="1" x14ac:dyDescent="0.25">
      <c r="D788" s="656" t="str">
        <f>IF('1. INTRO'!I$2="English","Co-funding need in average per year: ","Medfinansieringsbehov i genomsnitt per år: ")</f>
        <v xml:space="preserve">Co-funding need in average per year: </v>
      </c>
      <c r="E788" s="92" t="str">
        <f>IF(M776=0,"",M776/(DATEDIF('2. START'!C$18,'2. START'!C$19,"d")/365))</f>
        <v/>
      </c>
      <c r="H788" s="656" t="str">
        <f>IF('1. INTRO'!I$2="English","Co-funding need 1/3 of total: ","Medfinansieringsbehov 1/3 av totalt: ")</f>
        <v xml:space="preserve">Co-funding need 1/3 of total: </v>
      </c>
      <c r="I788" s="92">
        <f>M776/3</f>
        <v>0</v>
      </c>
      <c r="L788" s="287" t="str">
        <f>IF('1. INTRO'!I$2="English","Co-funding need total: ","Medfinansieringsbehov totalt: ")</f>
        <v xml:space="preserve">Co-funding need total: </v>
      </c>
      <c r="M788" s="92">
        <f>M776</f>
        <v>0</v>
      </c>
    </row>
    <row r="789" spans="2:13" ht="12.75" customHeight="1" x14ac:dyDescent="0.25">
      <c r="B789" s="53" t="str">
        <f>IF('1. INTRO'!I$2="English","Co-funding sources","Medfinansieringskällor")</f>
        <v>Co-funding sources</v>
      </c>
    </row>
    <row r="790" spans="2:13" ht="12.75" customHeight="1" x14ac:dyDescent="0.25">
      <c r="B790" s="225"/>
      <c r="C790" s="226"/>
      <c r="D790" s="226"/>
      <c r="E790" s="226"/>
      <c r="F790" s="226"/>
      <c r="G790" s="226"/>
      <c r="H790" s="226"/>
      <c r="I790" s="226"/>
      <c r="J790" s="226"/>
      <c r="K790" s="226"/>
      <c r="L790" s="227"/>
      <c r="M790" s="168">
        <f>SUM(C790:L790)</f>
        <v>0</v>
      </c>
    </row>
    <row r="791" spans="2:13" ht="12.75" customHeight="1" x14ac:dyDescent="0.25">
      <c r="B791" s="228"/>
      <c r="C791" s="229"/>
      <c r="D791" s="229"/>
      <c r="E791" s="229"/>
      <c r="F791" s="229"/>
      <c r="G791" s="229"/>
      <c r="H791" s="229"/>
      <c r="I791" s="229"/>
      <c r="J791" s="229"/>
      <c r="K791" s="229"/>
      <c r="L791" s="230"/>
      <c r="M791" s="727">
        <f t="shared" ref="M791:M794" si="164">SUM(C791:L791)</f>
        <v>0</v>
      </c>
    </row>
    <row r="792" spans="2:13" ht="12.75" customHeight="1" x14ac:dyDescent="0.25">
      <c r="B792" s="231"/>
      <c r="C792" s="232"/>
      <c r="D792" s="232"/>
      <c r="E792" s="232"/>
      <c r="F792" s="232"/>
      <c r="G792" s="232"/>
      <c r="H792" s="232"/>
      <c r="I792" s="232"/>
      <c r="J792" s="232"/>
      <c r="K792" s="232"/>
      <c r="L792" s="233"/>
      <c r="M792" s="117">
        <f t="shared" si="164"/>
        <v>0</v>
      </c>
    </row>
    <row r="793" spans="2:13" ht="12.75" customHeight="1" x14ac:dyDescent="0.25">
      <c r="B793" s="228"/>
      <c r="C793" s="229"/>
      <c r="D793" s="229"/>
      <c r="E793" s="229"/>
      <c r="F793" s="229"/>
      <c r="G793" s="229"/>
      <c r="H793" s="229"/>
      <c r="I793" s="229"/>
      <c r="J793" s="229"/>
      <c r="K793" s="229"/>
      <c r="L793" s="230"/>
      <c r="M793" s="727">
        <f t="shared" si="164"/>
        <v>0</v>
      </c>
    </row>
    <row r="794" spans="2:13" ht="12.75" customHeight="1" x14ac:dyDescent="0.25">
      <c r="B794" s="93"/>
      <c r="C794" s="232"/>
      <c r="D794" s="232"/>
      <c r="E794" s="232"/>
      <c r="F794" s="232"/>
      <c r="G794" s="232"/>
      <c r="H794" s="232"/>
      <c r="I794" s="232"/>
      <c r="J794" s="232"/>
      <c r="K794" s="232"/>
      <c r="L794" s="233"/>
      <c r="M794" s="117">
        <f t="shared" si="164"/>
        <v>0</v>
      </c>
    </row>
    <row r="795" spans="2:13" ht="12.75" customHeight="1" x14ac:dyDescent="0.25">
      <c r="B795" s="84" t="str">
        <f>IF('1. INTRO'!I$2="English","Total co-funding ","Total medfinansiering ")</f>
        <v xml:space="preserve">Total co-funding </v>
      </c>
      <c r="C795" s="87">
        <f t="shared" ref="C795:M795" si="165">SUM(C790:C794)</f>
        <v>0</v>
      </c>
      <c r="D795" s="87">
        <f t="shared" si="165"/>
        <v>0</v>
      </c>
      <c r="E795" s="87">
        <f t="shared" si="165"/>
        <v>0</v>
      </c>
      <c r="F795" s="87">
        <f t="shared" si="165"/>
        <v>0</v>
      </c>
      <c r="G795" s="87">
        <f t="shared" si="165"/>
        <v>0</v>
      </c>
      <c r="H795" s="87">
        <f t="shared" si="165"/>
        <v>0</v>
      </c>
      <c r="I795" s="87">
        <f t="shared" si="165"/>
        <v>0</v>
      </c>
      <c r="J795" s="87">
        <f t="shared" si="165"/>
        <v>0</v>
      </c>
      <c r="K795" s="87">
        <f t="shared" si="165"/>
        <v>0</v>
      </c>
      <c r="L795" s="87">
        <f t="shared" si="165"/>
        <v>0</v>
      </c>
      <c r="M795" s="142">
        <f t="shared" si="165"/>
        <v>0</v>
      </c>
    </row>
    <row r="796" spans="2:13" ht="12.75" customHeight="1" x14ac:dyDescent="0.2"/>
    <row r="797" spans="2:13" ht="12.75" customHeight="1" x14ac:dyDescent="0.2">
      <c r="B797" s="667" t="str">
        <f>IF('1. INTRO'!I$2="English","Calculation comments","Kalkylkommentarer")</f>
        <v>Calculation comments</v>
      </c>
    </row>
    <row r="798" spans="2:13" ht="12.75" customHeight="1" x14ac:dyDescent="0.2">
      <c r="B798" s="1142"/>
      <c r="C798" s="1143"/>
      <c r="D798" s="1143"/>
      <c r="E798" s="1143"/>
      <c r="F798" s="1143"/>
      <c r="G798" s="1143"/>
      <c r="H798" s="1143"/>
      <c r="I798" s="1143"/>
      <c r="J798" s="1143"/>
      <c r="K798" s="1143"/>
      <c r="L798" s="1143"/>
      <c r="M798" s="1144"/>
    </row>
    <row r="799" spans="2:13" ht="12.75" customHeight="1" x14ac:dyDescent="0.2">
      <c r="B799" s="1145"/>
      <c r="C799" s="1226"/>
      <c r="D799" s="1226"/>
      <c r="E799" s="1226"/>
      <c r="F799" s="1226"/>
      <c r="G799" s="1226"/>
      <c r="H799" s="1226"/>
      <c r="I799" s="1226"/>
      <c r="J799" s="1226"/>
      <c r="K799" s="1226"/>
      <c r="L799" s="1226"/>
      <c r="M799" s="1147"/>
    </row>
    <row r="800" spans="2:13" ht="12.75" customHeight="1" x14ac:dyDescent="0.2">
      <c r="B800" s="1145"/>
      <c r="C800" s="1226"/>
      <c r="D800" s="1226"/>
      <c r="E800" s="1226"/>
      <c r="F800" s="1226"/>
      <c r="G800" s="1226"/>
      <c r="H800" s="1226"/>
      <c r="I800" s="1226"/>
      <c r="J800" s="1226"/>
      <c r="K800" s="1226"/>
      <c r="L800" s="1226"/>
      <c r="M800" s="1147"/>
    </row>
    <row r="801" spans="2:15" ht="12.75" customHeight="1" x14ac:dyDescent="0.2">
      <c r="B801" s="1145"/>
      <c r="C801" s="1226"/>
      <c r="D801" s="1226"/>
      <c r="E801" s="1226"/>
      <c r="F801" s="1226"/>
      <c r="G801" s="1226"/>
      <c r="H801" s="1226"/>
      <c r="I801" s="1226"/>
      <c r="J801" s="1226"/>
      <c r="K801" s="1226"/>
      <c r="L801" s="1226"/>
      <c r="M801" s="1147"/>
    </row>
    <row r="802" spans="2:15" ht="12.75" customHeight="1" x14ac:dyDescent="0.2">
      <c r="B802" s="1148"/>
      <c r="C802" s="1149"/>
      <c r="D802" s="1149"/>
      <c r="E802" s="1149"/>
      <c r="F802" s="1149"/>
      <c r="G802" s="1149"/>
      <c r="H802" s="1149"/>
      <c r="I802" s="1149"/>
      <c r="J802" s="1149"/>
      <c r="K802" s="1149"/>
      <c r="L802" s="1149"/>
      <c r="M802" s="1150"/>
    </row>
    <row r="804" spans="2:15" s="3" customFormat="1" ht="12.75" customHeight="1" x14ac:dyDescent="0.25">
      <c r="B804" s="313" t="str">
        <f>'3. PARTNER'!C$4</f>
        <v xml:space="preserve">Project: </v>
      </c>
      <c r="C804" s="1062" t="str">
        <f>'3. PARTNER'!D$4</f>
        <v/>
      </c>
      <c r="D804" s="1001"/>
      <c r="E804" s="1001"/>
      <c r="F804" s="1001"/>
      <c r="G804" s="1001"/>
      <c r="H804" s="1001"/>
      <c r="I804" s="1001"/>
      <c r="J804" s="1001"/>
      <c r="K804" s="1001"/>
      <c r="L804" s="1001"/>
      <c r="M804" s="1001"/>
    </row>
    <row r="805" spans="2:15" s="3" customFormat="1" ht="13.2" x14ac:dyDescent="0.25">
      <c r="B805" s="313" t="str">
        <f>'3. PARTNER'!C$5</f>
        <v xml:space="preserve">Calculation for: </v>
      </c>
      <c r="C805" s="1062" t="str">
        <f>'3. PARTNER'!D$5</f>
        <v>APPLICATION</v>
      </c>
      <c r="D805" s="1001"/>
      <c r="E805" s="268"/>
      <c r="F805" s="268"/>
      <c r="G805" s="268"/>
      <c r="H805" s="268"/>
      <c r="I805" s="268"/>
      <c r="J805" s="268"/>
      <c r="K805" s="268"/>
      <c r="L805" s="268"/>
      <c r="M805" s="268"/>
    </row>
    <row r="806" spans="2:15" s="3" customFormat="1" ht="13.2" x14ac:dyDescent="0.25">
      <c r="B806" s="35" t="str">
        <f>'3. PARTNER'!C$6</f>
        <v xml:space="preserve">Project leader: </v>
      </c>
      <c r="C806" s="1062" t="str">
        <f>'3. PARTNER'!D$6</f>
        <v/>
      </c>
      <c r="D806" s="1001"/>
      <c r="E806" s="1001"/>
      <c r="F806" s="1001"/>
      <c r="G806" s="1001"/>
      <c r="H806" s="1001"/>
      <c r="I806" s="1001"/>
      <c r="J806" s="1001"/>
      <c r="K806" s="1001"/>
      <c r="L806" s="1001"/>
      <c r="M806" s="1001"/>
    </row>
    <row r="807" spans="2:15" s="3" customFormat="1" ht="13.2" x14ac:dyDescent="0.25">
      <c r="B807" s="313" t="str">
        <f>'5. PERSON'!B$7</f>
        <v xml:space="preserve">Amounts in: </v>
      </c>
      <c r="C807" s="655" t="str">
        <f>'5. PERSON'!C$7</f>
        <v>SEK</v>
      </c>
      <c r="D807" s="268"/>
      <c r="E807" s="268"/>
      <c r="F807" s="268"/>
      <c r="G807" s="234"/>
      <c r="H807" s="234"/>
      <c r="I807" s="270"/>
      <c r="J807" s="270"/>
      <c r="K807" s="270"/>
      <c r="L807" s="270"/>
      <c r="M807" s="270"/>
    </row>
    <row r="808" spans="2:15" s="3" customFormat="1" ht="13.2" x14ac:dyDescent="0.25">
      <c r="B808" s="313"/>
      <c r="C808" s="1053" t="str">
        <f>'3. PARTNER'!D$7</f>
        <v>Other basic data about the project is in sheet 2.</v>
      </c>
      <c r="D808" s="1001"/>
      <c r="E808" s="1001"/>
      <c r="F808" s="1001"/>
      <c r="G808" s="234"/>
      <c r="H808" s="234"/>
      <c r="I808" s="270"/>
      <c r="J808" s="270"/>
      <c r="K808" s="270"/>
      <c r="L808" s="251" t="s">
        <v>4</v>
      </c>
      <c r="M808" s="270"/>
    </row>
    <row r="809" spans="2:15" ht="12.75" customHeight="1" x14ac:dyDescent="0.2">
      <c r="J809" s="252" t="s">
        <v>322</v>
      </c>
      <c r="K809" s="252" t="s">
        <v>323</v>
      </c>
      <c r="L809" s="252" t="str">
        <f>IF('1. INTRO'!I$2="English","months","månader")</f>
        <v>months</v>
      </c>
    </row>
    <row r="810" spans="2:15" s="3" customFormat="1" ht="13.8" x14ac:dyDescent="0.25">
      <c r="B810" s="157" t="str">
        <f>IF('1. INTRO'!I$2="English","Project costs","Projektkostnader")</f>
        <v>Project costs</v>
      </c>
      <c r="C810" s="668" t="str">
        <f>A29</f>
        <v>435NJ</v>
      </c>
      <c r="D810" s="1227" t="str">
        <f>B29</f>
        <v>Soil and Environment NJ</v>
      </c>
      <c r="E810" s="1001"/>
      <c r="G810" s="37"/>
      <c r="H810" s="37"/>
      <c r="I810" s="37"/>
      <c r="J810" s="643"/>
      <c r="K810" s="643"/>
      <c r="L810" s="642">
        <f>SUMIF('5. PERSON'!$B$17:$B$192,$C810,'5. PERSON'!AE$17:AE$192)</f>
        <v>0</v>
      </c>
      <c r="M810" s="680" t="s">
        <v>330</v>
      </c>
    </row>
    <row r="811" spans="2:15" s="3" customFormat="1" ht="6" customHeight="1" x14ac:dyDescent="0.25">
      <c r="B811" s="57"/>
      <c r="C811" s="37"/>
      <c r="D811" s="37"/>
      <c r="E811" s="37"/>
      <c r="F811" s="37"/>
      <c r="G811" s="37"/>
      <c r="H811" s="37"/>
      <c r="I811" s="37"/>
      <c r="J811" s="37"/>
      <c r="K811" s="37"/>
      <c r="L811" s="37"/>
      <c r="M811" s="37"/>
    </row>
    <row r="812" spans="2:15" s="3" customFormat="1" ht="13.2" x14ac:dyDescent="0.25">
      <c r="B812" s="110" t="str">
        <f>IF('1. INTRO'!I$2="English","Costs to be covered by funding body","Kostnader att täckas av finansiär")</f>
        <v>Costs to be covered by funding body</v>
      </c>
      <c r="C812" s="111">
        <f>'5. PERSON'!G$15</f>
        <v>1900</v>
      </c>
      <c r="D812" s="111" t="str">
        <f>'5. PERSON'!H$15</f>
        <v/>
      </c>
      <c r="E812" s="111" t="str">
        <f>'5. PERSON'!I$15</f>
        <v/>
      </c>
      <c r="F812" s="111" t="str">
        <f>'5. PERSON'!J$15</f>
        <v/>
      </c>
      <c r="G812" s="111" t="str">
        <f>'5. PERSON'!K$15</f>
        <v/>
      </c>
      <c r="H812" s="111" t="str">
        <f>'5. PERSON'!L$15</f>
        <v/>
      </c>
      <c r="I812" s="111" t="str">
        <f>'5. PERSON'!M$15</f>
        <v/>
      </c>
      <c r="J812" s="111" t="str">
        <f>'5. PERSON'!N$15</f>
        <v/>
      </c>
      <c r="K812" s="111" t="str">
        <f>'5. PERSON'!O$15</f>
        <v/>
      </c>
      <c r="L812" s="111" t="str">
        <f>'5. PERSON'!P$15</f>
        <v/>
      </c>
      <c r="M812" s="112" t="s">
        <v>2</v>
      </c>
    </row>
    <row r="813" spans="2:15" s="3" customFormat="1" ht="12.75" customHeight="1" x14ac:dyDescent="0.25">
      <c r="B813" s="722" t="str">
        <f>IF('1. INTRO'!I$2="English","Salary including social costs (LKP)","Lön inklusive LKP")</f>
        <v>Salary including social costs (LKP)</v>
      </c>
      <c r="C813" s="723">
        <f>IF('2. START'!$C$14&gt;0,SUMIF('5. PERSON'!$B$17:$B$192,$C810,'5. PERSON'!DN$17:DN$192),SUMIF('5. PERSON'!$B$17:$B$192,$C810,'5. PERSON'!AT$17:AT$192))</f>
        <v>0</v>
      </c>
      <c r="D813" s="723">
        <f>IF('2. START'!$C$14&gt;0,SUMIF('5. PERSON'!$B$17:$B$192,$C810,'5. PERSON'!DO$17:DO$192),SUMIF('5. PERSON'!$B$17:$B$192,$C810,'5. PERSON'!AU$17:AU$192))</f>
        <v>0</v>
      </c>
      <c r="E813" s="723">
        <f>IF('2. START'!$C$14&gt;0,SUMIF('5. PERSON'!$B$17:$B$192,$C810,'5. PERSON'!DP$17:DP$192),SUMIF('5. PERSON'!$B$17:$B$192,$C810,'5. PERSON'!AV$17:AV$192))</f>
        <v>0</v>
      </c>
      <c r="F813" s="723">
        <f>IF('2. START'!$C$14&gt;0,SUMIF('5. PERSON'!$B$17:$B$192,$C810,'5. PERSON'!DQ$17:DQ$192),SUMIF('5. PERSON'!$B$17:$B$192,$C810,'5. PERSON'!AW$17:AW$192))</f>
        <v>0</v>
      </c>
      <c r="G813" s="723">
        <f>IF('2. START'!$C$14&gt;0,SUMIF('5. PERSON'!$B$17:$B$192,$C810,'5. PERSON'!DR$17:DR$192),SUMIF('5. PERSON'!$B$17:$B$192,$C810,'5. PERSON'!AX$17:AX$192))</f>
        <v>0</v>
      </c>
      <c r="H813" s="723">
        <f>IF('2. START'!$C$14&gt;0,SUMIF('5. PERSON'!$B$17:$B$192,$C810,'5. PERSON'!DS$17:DS$192),SUMIF('5. PERSON'!$B$17:$B$192,$C810,'5. PERSON'!AY$17:AY$192))</f>
        <v>0</v>
      </c>
      <c r="I813" s="723">
        <f>IF('2. START'!$C$14&gt;0,SUMIF('5. PERSON'!$B$17:$B$192,$C810,'5. PERSON'!DT$17:DT$192),SUMIF('5. PERSON'!$B$17:$B$192,$C810,'5. PERSON'!AZ$17:AZ$192))</f>
        <v>0</v>
      </c>
      <c r="J813" s="723">
        <f>IF('2. START'!$C$14&gt;0,SUMIF('5. PERSON'!$B$17:$B$192,$C810,'5. PERSON'!DU$17:DU$192),SUMIF('5. PERSON'!$B$17:$B$192,$C810,'5. PERSON'!BA$17:BA$192))</f>
        <v>0</v>
      </c>
      <c r="K813" s="723">
        <f>IF('2. START'!$C$14&gt;0,SUMIF('5. PERSON'!$B$17:$B$192,$C810,'5. PERSON'!DV$17:DV$192),SUMIF('5. PERSON'!$B$17:$B$192,$C810,'5. PERSON'!BB$17:BB$192))</f>
        <v>0</v>
      </c>
      <c r="L813" s="723">
        <f>IF('2. START'!$C$14&gt;0,SUMIF('5. PERSON'!$B$17:$B$192,$C810,'5. PERSON'!DW$17:DW$192),SUMIF('5. PERSON'!$B$17:$B$192,$C810,'5. PERSON'!BC$17:BC$192))</f>
        <v>0</v>
      </c>
      <c r="M813" s="724">
        <f t="shared" ref="M813:M818" si="166">SUM(C813:L813)</f>
        <v>0</v>
      </c>
      <c r="O813" s="4"/>
    </row>
    <row r="814" spans="2:15" s="3" customFormat="1" ht="12.75" customHeight="1" x14ac:dyDescent="0.25">
      <c r="B814" s="80" t="str">
        <f>IF('1. INTRO'!I$2="English","Operating","Drift")</f>
        <v>Operating</v>
      </c>
      <c r="C814" s="116">
        <f>SUMIF('6. OPERATION'!$B$17:$B$149,$C810,'6. OPERATION'!W$17:W$149)</f>
        <v>0</v>
      </c>
      <c r="D814" s="116">
        <f>SUMIF('6. OPERATION'!$B$17:$B$149,$C810,'6. OPERATION'!X$17:X$149)</f>
        <v>0</v>
      </c>
      <c r="E814" s="116">
        <f>SUMIF('6. OPERATION'!$B$17:$B$149,$C810,'6. OPERATION'!Y$17:Y$149)</f>
        <v>0</v>
      </c>
      <c r="F814" s="116">
        <f>SUMIF('6. OPERATION'!$B$17:$B$149,$C810,'6. OPERATION'!Z$17:Z$149)</f>
        <v>0</v>
      </c>
      <c r="G814" s="116">
        <f>SUMIF('6. OPERATION'!$B$17:$B$149,$C810,'6. OPERATION'!AA$17:AA$149)</f>
        <v>0</v>
      </c>
      <c r="H814" s="116">
        <f>SUMIF('6. OPERATION'!$B$17:$B$149,$C810,'6. OPERATION'!AB$17:AB$149)</f>
        <v>0</v>
      </c>
      <c r="I814" s="116">
        <f>SUMIF('6. OPERATION'!$B$17:$B$149,$C810,'6. OPERATION'!AC$17:AC$149)</f>
        <v>0</v>
      </c>
      <c r="J814" s="116">
        <f>SUMIF('6. OPERATION'!$B$17:$B$149,$C810,'6. OPERATION'!AD$17:AD$149)</f>
        <v>0</v>
      </c>
      <c r="K814" s="116">
        <f>SUMIF('6. OPERATION'!$B$17:$B$149,$C810,'6. OPERATION'!AE$17:AE$149)</f>
        <v>0</v>
      </c>
      <c r="L814" s="116">
        <f>SUMIF('6. OPERATION'!$B$17:$B$149,$C810,'6. OPERATION'!AF$17:AF$149)</f>
        <v>0</v>
      </c>
      <c r="M814" s="117">
        <f t="shared" si="166"/>
        <v>0</v>
      </c>
    </row>
    <row r="815" spans="2:15" s="3" customFormat="1" ht="13.2" x14ac:dyDescent="0.25">
      <c r="B815" s="725" t="str">
        <f>IF('1. INTRO'!I$2="English","Equipment","Utrustning")</f>
        <v>Equipment</v>
      </c>
      <c r="C815" s="726">
        <f>SUMIF('7. INVEST'!$B$17:$B$49,$C810,'7. INVEST'!W$17:W$49)</f>
        <v>0</v>
      </c>
      <c r="D815" s="726">
        <f>SUMIF('7. INVEST'!$B$17:$B$49,$C810,'7. INVEST'!X$17:X$49)</f>
        <v>0</v>
      </c>
      <c r="E815" s="726">
        <f>SUMIF('7. INVEST'!$B$17:$B$49,$C810,'7. INVEST'!Y$17:Y$49)</f>
        <v>0</v>
      </c>
      <c r="F815" s="726">
        <f>SUMIF('7. INVEST'!$B$17:$B$49,$C810,'7. INVEST'!Z$17:Z$49)</f>
        <v>0</v>
      </c>
      <c r="G815" s="726">
        <f>SUMIF('7. INVEST'!$B$17:$B$49,$C810,'7. INVEST'!AA$17:AA$49)</f>
        <v>0</v>
      </c>
      <c r="H815" s="726">
        <f>SUMIF('7. INVEST'!$B$17:$B$49,$C810,'7. INVEST'!AB$17:AB$49)</f>
        <v>0</v>
      </c>
      <c r="I815" s="726">
        <f>SUMIF('7. INVEST'!$B$17:$B$49,$C810,'7. INVEST'!AC$17:AC$49)</f>
        <v>0</v>
      </c>
      <c r="J815" s="726">
        <f>SUMIF('7. INVEST'!$B$17:$B$49,$C810,'7. INVEST'!AD$17:AD$49)</f>
        <v>0</v>
      </c>
      <c r="K815" s="726">
        <f>SUMIF('7. INVEST'!$B$17:$B$49,$C810,'7. INVEST'!AE$17:AE$49)</f>
        <v>0</v>
      </c>
      <c r="L815" s="726">
        <f>SUMIF('7. INVEST'!$B$17:$B$49,$C810,'7. INVEST'!AF$17:AF$49)</f>
        <v>0</v>
      </c>
      <c r="M815" s="727">
        <f t="shared" si="166"/>
        <v>0</v>
      </c>
    </row>
    <row r="816" spans="2:15" s="3" customFormat="1" ht="13.2" x14ac:dyDescent="0.25">
      <c r="B816" s="121" t="str">
        <f>IF('1. INTRO'!I$2="English",(IF('2. START'!C$11="NO","Facility accepted as direct cost by funding body","Facility")),IF('2. START'!C$11="NO","Lokal accepterad som direkt kostnad av finansiär","Lokal"))</f>
        <v>Facility</v>
      </c>
      <c r="C816" s="116">
        <f>IF('2. START'!$C$11="NO",SUMIF('8. FACILIT'!$B$18:$B$50,$C810,'8. FACILIT'!T$18:T$50),SUMIF('5. PERSON'!$B$17:$B$192,$C810,'5. PERSON'!CP$17:CP$192)+SUMIF('6. OPERATION'!$B$17:$B$149,$C810,'6. OPERATION'!BS$17:BS$149)+SUMIF('8. FACILIT'!$B$18:$B$50,$C810,'8. FACILIT'!T$18:T$50))</f>
        <v>0</v>
      </c>
      <c r="D816" s="116">
        <f>IF('2. START'!$C$11="NO",SUMIF('8. FACILIT'!$B$18:$B$50,$C810,'8. FACILIT'!U$18:U$50),SUMIF('5. PERSON'!$B$17:$B$192,$C810,'5. PERSON'!CQ$17:CQ$192)+SUMIF('6. OPERATION'!$B$17:$B$149,$C810,'6. OPERATION'!BT$17:BT$149)+SUMIF('8. FACILIT'!$B$18:$B$50,$C810,'8. FACILIT'!U$18:U$50))</f>
        <v>0</v>
      </c>
      <c r="E816" s="116">
        <f>IF('2. START'!$C$11="NO",SUMIF('8. FACILIT'!$B$18:$B$50,$C810,'8. FACILIT'!V$18:V$50),SUMIF('5. PERSON'!$B$17:$B$192,$C810,'5. PERSON'!CR$17:CR$192)+SUMIF('6. OPERATION'!$B$17:$B$149,$C810,'6. OPERATION'!BU$17:BU$149)+SUMIF('8. FACILIT'!$B$18:$B$50,$C810,'8. FACILIT'!V$18:V$50))</f>
        <v>0</v>
      </c>
      <c r="F816" s="116">
        <f>IF('2. START'!$C$11="NO",SUMIF('8. FACILIT'!$B$18:$B$50,$C810,'8. FACILIT'!W$18:W$50),SUMIF('5. PERSON'!$B$17:$B$192,$C810,'5. PERSON'!CS$17:CS$192)+SUMIF('6. OPERATION'!$B$17:$B$149,$C810,'6. OPERATION'!BV$17:BV$149)+SUMIF('8. FACILIT'!$B$18:$B$50,$C810,'8. FACILIT'!W$18:W$50))</f>
        <v>0</v>
      </c>
      <c r="G816" s="116">
        <f>IF('2. START'!$C$11="NO",SUMIF('8. FACILIT'!$B$18:$B$50,$C810,'8. FACILIT'!X$18:X$50),SUMIF('5. PERSON'!$B$17:$B$192,$C810,'5. PERSON'!CT$17:CT$192)+SUMIF('6. OPERATION'!$B$17:$B$149,$C810,'6. OPERATION'!BW$17:BW$149)+SUMIF('8. FACILIT'!$B$18:$B$50,$C810,'8. FACILIT'!X$18:X$50))</f>
        <v>0</v>
      </c>
      <c r="H816" s="116">
        <f>IF('2. START'!$C$11="NO",SUMIF('8. FACILIT'!$B$18:$B$50,$C810,'8. FACILIT'!Y$18:Y$50),SUMIF('5. PERSON'!$B$17:$B$192,$C810,'5. PERSON'!CU$17:CU$192)+SUMIF('6. OPERATION'!$B$17:$B$149,$C810,'6. OPERATION'!BX$17:BX$149)+SUMIF('8. FACILIT'!$B$18:$B$50,$C810,'8. FACILIT'!Y$18:Y$50))</f>
        <v>0</v>
      </c>
      <c r="I816" s="116">
        <f>IF('2. START'!$C$11="NO",SUMIF('8. FACILIT'!$B$18:$B$50,$C810,'8. FACILIT'!Z$18:Z$50),SUMIF('5. PERSON'!$B$17:$B$192,$C810,'5. PERSON'!CV$17:CV$192)+SUMIF('6. OPERATION'!$B$17:$B$149,$C810,'6. OPERATION'!BY$17:BY$149)+SUMIF('8. FACILIT'!$B$18:$B$50,$C810,'8. FACILIT'!Z$18:Z$50))</f>
        <v>0</v>
      </c>
      <c r="J816" s="116">
        <f>IF('2. START'!$C$11="NO",SUMIF('8. FACILIT'!$B$18:$B$50,$C810,'8. FACILIT'!AA$18:AA$50),SUMIF('5. PERSON'!$B$17:$B$192,$C810,'5. PERSON'!CW$17:CW$192)+SUMIF('6. OPERATION'!$B$17:$B$149,$C810,'6. OPERATION'!BZ$17:BZ$149)+SUMIF('8. FACILIT'!$B$18:$B$50,$C810,'8. FACILIT'!AA$18:AA$50))</f>
        <v>0</v>
      </c>
      <c r="K816" s="116">
        <f>IF('2. START'!$C$11="NO",SUMIF('8. FACILIT'!$B$18:$B$50,$C810,'8. FACILIT'!AB$18:AB$50),SUMIF('5. PERSON'!$B$17:$B$192,$C810,'5. PERSON'!CX$17:CX$192)+SUMIF('6. OPERATION'!$B$17:$B$149,$C810,'6. OPERATION'!CA$17:CA$149)+SUMIF('8. FACILIT'!$B$18:$B$50,$C810,'8. FACILIT'!AB$18:AB$50))</f>
        <v>0</v>
      </c>
      <c r="L816" s="116">
        <f>IF('2. START'!$C$11="NO",SUMIF('8. FACILIT'!$B$18:$B$50,$C810,'8. FACILIT'!AC$18:AC$50),SUMIF('5. PERSON'!$B$17:$B$192,$C810,'5. PERSON'!CY$17:CY$192)+SUMIF('6. OPERATION'!$B$17:$B$149,$C810,'6. OPERATION'!CB$17:CB$149)+SUMIF('8. FACILIT'!$B$18:$B$50,$C810,'8. FACILIT'!AC$18:AC$50))</f>
        <v>0</v>
      </c>
      <c r="M816" s="117">
        <f t="shared" si="166"/>
        <v>0</v>
      </c>
    </row>
    <row r="817" spans="2:15" s="3" customFormat="1" ht="13.2" x14ac:dyDescent="0.25">
      <c r="B817" s="728" t="str">
        <f>IF('1. INTRO'!I$2="English",(IF('2. START'!C$11="NO","Indirect and facility charge accepted as OH by funding body","Indirect")),IF('2. START'!C$11="NO","Indirekt och lokalpåslag accepterade som OH av finansiär","Indirekt"))</f>
        <v>Indirect</v>
      </c>
      <c r="C817" s="729">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729">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729">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729">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729">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729">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729">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729">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729">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729">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727">
        <f t="shared" si="166"/>
        <v>0</v>
      </c>
    </row>
    <row r="818" spans="2:15" s="3" customFormat="1" ht="13.2" x14ac:dyDescent="0.25">
      <c r="B818" s="124" t="s">
        <v>113</v>
      </c>
      <c r="C818" s="102">
        <f>SUM(C813:C817)</f>
        <v>0</v>
      </c>
      <c r="D818" s="102">
        <f t="shared" ref="D818:L818" si="167">SUM(D813:D817)</f>
        <v>0</v>
      </c>
      <c r="E818" s="102">
        <f t="shared" si="167"/>
        <v>0</v>
      </c>
      <c r="F818" s="102">
        <f t="shared" si="167"/>
        <v>0</v>
      </c>
      <c r="G818" s="102">
        <f t="shared" si="167"/>
        <v>0</v>
      </c>
      <c r="H818" s="102">
        <f t="shared" si="167"/>
        <v>0</v>
      </c>
      <c r="I818" s="102">
        <f t="shared" si="167"/>
        <v>0</v>
      </c>
      <c r="J818" s="102">
        <f t="shared" si="167"/>
        <v>0</v>
      </c>
      <c r="K818" s="102">
        <f t="shared" si="167"/>
        <v>0</v>
      </c>
      <c r="L818" s="102">
        <f t="shared" si="167"/>
        <v>0</v>
      </c>
      <c r="M818" s="125">
        <f t="shared" si="166"/>
        <v>0</v>
      </c>
    </row>
    <row r="819" spans="2:15" s="3" customFormat="1" ht="6" customHeight="1" x14ac:dyDescent="0.25">
      <c r="B819" s="126"/>
      <c r="C819" s="127"/>
      <c r="D819" s="127"/>
      <c r="E819" s="127"/>
      <c r="F819" s="127"/>
      <c r="G819" s="127"/>
      <c r="H819" s="127"/>
      <c r="I819" s="127"/>
      <c r="J819" s="127"/>
      <c r="K819" s="127"/>
      <c r="L819" s="127"/>
      <c r="M819" s="128"/>
    </row>
    <row r="820" spans="2:15" s="3" customFormat="1" ht="13.2" x14ac:dyDescent="0.25">
      <c r="B820" s="129" t="str">
        <f>IF('1. INTRO'!I$2="English","Costs to be co-funded","Kostnader att medfinansiera")</f>
        <v>Costs to be co-funded</v>
      </c>
      <c r="C820" s="86"/>
      <c r="D820" s="86"/>
      <c r="E820" s="86"/>
      <c r="F820" s="86"/>
      <c r="G820" s="86"/>
      <c r="H820" s="86"/>
      <c r="I820" s="86"/>
      <c r="J820" s="86"/>
      <c r="K820" s="86"/>
      <c r="L820" s="86"/>
      <c r="M820" s="130"/>
    </row>
    <row r="821" spans="2:15" s="3" customFormat="1" ht="13.2" x14ac:dyDescent="0.25">
      <c r="B821" s="730" t="str">
        <f>IF('1. INTRO'!I$2="English",(IF('2. START'!C$11="NO","Indirect and facility charge not accepted as OH by funding body","")),IF('2. START'!C$11="NO","Indirekt och lokalpåslag inte accepterade som OH av finansiär",""))</f>
        <v/>
      </c>
      <c r="C821" s="731">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731">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731">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731">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731">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731">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731">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731">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731">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731">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724">
        <f t="shared" ref="M821:M827" si="168">SUM(C821:L821)</f>
        <v>0</v>
      </c>
    </row>
    <row r="822" spans="2:15" s="3" customFormat="1" ht="12.75" customHeight="1" x14ac:dyDescent="0.25">
      <c r="B822" s="132" t="str">
        <f>IF('1. INTRO'!I$2="English",(IF('2. START'!C$14&gt;0,"Social costs (LKP) not accepted by funding body","")),IF('2. START'!C$14&gt;0,"LKP som inte accepteras av finansiär",""))</f>
        <v/>
      </c>
      <c r="C822" s="133">
        <f>IF('2. START'!$C$14&gt;0,SUMIF('5. PERSON'!$B$17:$B$192,$C810,'5. PERSON'!AT$17:AT$192)-SUMIF('5. PERSON'!$B$17:$B$192,$C810,'5. PERSON'!DN$17:DN$192),0)</f>
        <v>0</v>
      </c>
      <c r="D822" s="133">
        <f>IF('2. START'!$C$14&gt;0,SUMIF('5. PERSON'!$B$17:$B$192,$C810,'5. PERSON'!AU$17:AU$192)-SUMIF('5. PERSON'!$B$17:$B$192,$C810,'5. PERSON'!DO$17:DO$192),0)</f>
        <v>0</v>
      </c>
      <c r="E822" s="133">
        <f>IF('2. START'!$C$14&gt;0,SUMIF('5. PERSON'!$B$17:$B$192,$C810,'5. PERSON'!AV$17:AV$192)-SUMIF('5. PERSON'!$B$17:$B$192,$C810,'5. PERSON'!DP$17:DP$192),0)</f>
        <v>0</v>
      </c>
      <c r="F822" s="133">
        <f>IF('2. START'!$C$14&gt;0,SUMIF('5. PERSON'!$B$17:$B$192,$C810,'5. PERSON'!AW$17:AW$192)-SUMIF('5. PERSON'!$B$17:$B$192,$C810,'5. PERSON'!DQ$17:DQ$192),0)</f>
        <v>0</v>
      </c>
      <c r="G822" s="133">
        <f>IF('2. START'!$C$14&gt;0,SUMIF('5. PERSON'!$B$17:$B$192,$C810,'5. PERSON'!AX$17:AX$192)-SUMIF('5. PERSON'!$B$17:$B$192,$C810,'5. PERSON'!DR$17:DR$192),0)</f>
        <v>0</v>
      </c>
      <c r="H822" s="133">
        <f>IF('2. START'!$C$14&gt;0,SUMIF('5. PERSON'!$B$17:$B$192,$C810,'5. PERSON'!AY$17:AY$192)-SUMIF('5. PERSON'!$B$17:$B$192,$C810,'5. PERSON'!DS$17:DS$192),0)</f>
        <v>0</v>
      </c>
      <c r="I822" s="133">
        <f>IF('2. START'!$C$14&gt;0,SUMIF('5. PERSON'!$B$17:$B$192,$C810,'5. PERSON'!AZ$17:AZ$192)-SUMIF('5. PERSON'!$B$17:$B$192,$C810,'5. PERSON'!DT$17:DT$192),0)</f>
        <v>0</v>
      </c>
      <c r="J822" s="133">
        <f>IF('2. START'!$C$14&gt;0,SUMIF('5. PERSON'!$B$17:$B$192,$C810,'5. PERSON'!BA$17:BA$192)-SUMIF('5. PERSON'!$B$17:$B$192,$C810,'5. PERSON'!DU$17:DU$192),0)</f>
        <v>0</v>
      </c>
      <c r="K822" s="133">
        <f>IF('2. START'!$C$14&gt;0,SUMIF('5. PERSON'!$B$17:$B$192,$C810,'5. PERSON'!BB$17:BB$192)-SUMIF('5. PERSON'!$B$17:$B$192,$C810,'5. PERSON'!DV$17:DV$192),0)</f>
        <v>0</v>
      </c>
      <c r="L822" s="133">
        <f>IF('2. START'!$C$14&gt;0,SUMIF('5. PERSON'!$B$17:$B$192,$C810,'5. PERSON'!BC$17:BC$192)-SUMIF('5. PERSON'!$B$17:$B$192,$C810,'5. PERSON'!DW$17:DW$192),0)</f>
        <v>0</v>
      </c>
      <c r="M822" s="117">
        <f t="shared" si="168"/>
        <v>0</v>
      </c>
    </row>
    <row r="823" spans="2:15" s="3" customFormat="1" ht="12.75" customHeight="1" x14ac:dyDescent="0.25">
      <c r="B823" s="725" t="str">
        <f>IF('1. INTRO'!I$2="English",(IF('5. PERSON'!BP$193&gt;0,"Salary including social costs (LKP)","")),IF('5. PERSON'!BP$193&gt;0,"Lön inklusive LKP",""))</f>
        <v/>
      </c>
      <c r="C823" s="732">
        <f>SUMIF('5. PERSON'!$B$17:$B$192,$C810,'5. PERSON'!BF$17:BF$192)</f>
        <v>0</v>
      </c>
      <c r="D823" s="732">
        <f>SUMIF('5. PERSON'!$B$17:$B$192,$C810,'5. PERSON'!BG$17:BG$192)</f>
        <v>0</v>
      </c>
      <c r="E823" s="732">
        <f>SUMIF('5. PERSON'!$B$17:$B$192,$C810,'5. PERSON'!BH$17:BH$192)</f>
        <v>0</v>
      </c>
      <c r="F823" s="732">
        <f>SUMIF('5. PERSON'!$B$17:$B$192,$C810,'5. PERSON'!BI$17:BI$192)</f>
        <v>0</v>
      </c>
      <c r="G823" s="732">
        <f>SUMIF('5. PERSON'!$B$17:$B$192,$C810,'5. PERSON'!BJ$17:BJ$192)</f>
        <v>0</v>
      </c>
      <c r="H823" s="732">
        <f>SUMIF('5. PERSON'!$B$17:$B$192,$C810,'5. PERSON'!BK$17:BK$192)</f>
        <v>0</v>
      </c>
      <c r="I823" s="732">
        <f>SUMIF('5. PERSON'!$B$17:$B$192,$C810,'5. PERSON'!BL$17:BL$192)</f>
        <v>0</v>
      </c>
      <c r="J823" s="732">
        <f>SUMIF('5. PERSON'!$B$17:$B$192,$C810,'5. PERSON'!BM$17:BM$192)</f>
        <v>0</v>
      </c>
      <c r="K823" s="732">
        <f>SUMIF('5. PERSON'!$B$17:$B$192,$C810,'5. PERSON'!BN$17:BN$192)</f>
        <v>0</v>
      </c>
      <c r="L823" s="732">
        <f>SUMIF('5. PERSON'!$B$17:$B$192,$C810,'5. PERSON'!BO$17:BO$192)</f>
        <v>0</v>
      </c>
      <c r="M823" s="727">
        <f t="shared" si="168"/>
        <v>0</v>
      </c>
    </row>
    <row r="824" spans="2:15" s="3" customFormat="1" ht="13.2" x14ac:dyDescent="0.25">
      <c r="B824" s="80" t="str">
        <f>IF('1. INTRO'!I$2="English",(IF('6. OPERATION'!AS$150&gt;0,"Operating","")),IF('6. OPERATION'!AS$150&gt;0,"Drift",""))</f>
        <v/>
      </c>
      <c r="C824" s="135">
        <f>SUMIF('6. OPERATION'!$B$17:$B$149,$C810,'6. OPERATION'!AI$17:AI$149)</f>
        <v>0</v>
      </c>
      <c r="D824" s="135">
        <f>SUMIF('6. OPERATION'!$B$17:$B$149,$C810,'6. OPERATION'!AJ$17:AJ$149)</f>
        <v>0</v>
      </c>
      <c r="E824" s="135">
        <f>SUMIF('6. OPERATION'!$B$17:$B$149,$C810,'6. OPERATION'!AK$17:AK$149)</f>
        <v>0</v>
      </c>
      <c r="F824" s="135">
        <f>SUMIF('6. OPERATION'!$B$17:$B$149,$C810,'6. OPERATION'!AL$17:AL$149)</f>
        <v>0</v>
      </c>
      <c r="G824" s="135">
        <f>SUMIF('6. OPERATION'!$B$17:$B$149,$C810,'6. OPERATION'!AM$17:AM$149)</f>
        <v>0</v>
      </c>
      <c r="H824" s="135">
        <f>SUMIF('6. OPERATION'!$B$17:$B$149,$C810,'6. OPERATION'!AN$17:AN$149)</f>
        <v>0</v>
      </c>
      <c r="I824" s="135">
        <f>SUMIF('6. OPERATION'!$B$17:$B$149,$C810,'6. OPERATION'!AO$17:AO$149)</f>
        <v>0</v>
      </c>
      <c r="J824" s="135">
        <f>SUMIF('6. OPERATION'!$B$17:$B$149,$C810,'6. OPERATION'!AP$17:AP$149)</f>
        <v>0</v>
      </c>
      <c r="K824" s="135">
        <f>SUMIF('6. OPERATION'!$B$17:$B$149,$C810,'6. OPERATION'!AQ$17:AQ$149)</f>
        <v>0</v>
      </c>
      <c r="L824" s="135">
        <f>SUMIF('6. OPERATION'!$B$17:$B$149,$C810,'6. OPERATION'!AR$17:AR$149)</f>
        <v>0</v>
      </c>
      <c r="M824" s="117">
        <f t="shared" si="168"/>
        <v>0</v>
      </c>
    </row>
    <row r="825" spans="2:15" s="3" customFormat="1" ht="13.2" x14ac:dyDescent="0.25">
      <c r="B825" s="725" t="str">
        <f>IF('1. INTRO'!I$2="English",(IF('7. INVEST'!AS$50&gt;0,"Equipment","")),IF('7. INVEST'!AS$50&gt;0,"Utrustning",""))</f>
        <v/>
      </c>
      <c r="C825" s="732">
        <f>SUMIF('7. INVEST'!$B$17:$B$49,$C810,'7. INVEST'!AI$17:AI$49)</f>
        <v>0</v>
      </c>
      <c r="D825" s="732">
        <f>SUMIF('7. INVEST'!$B$17:$B$49,$C810,'7. INVEST'!AJ$17:AJ$49)</f>
        <v>0</v>
      </c>
      <c r="E825" s="732">
        <f>SUMIF('7. INVEST'!$B$17:$B$49,$C810,'7. INVEST'!AK$17:AK$49)</f>
        <v>0</v>
      </c>
      <c r="F825" s="732">
        <f>SUMIF('7. INVEST'!$B$17:$B$49,$C810,'7. INVEST'!AL$17:AL$49)</f>
        <v>0</v>
      </c>
      <c r="G825" s="732">
        <f>SUMIF('7. INVEST'!$B$17:$B$49,$C810,'7. INVEST'!AM$17:AM$49)</f>
        <v>0</v>
      </c>
      <c r="H825" s="732">
        <f>SUMIF('7. INVEST'!$B$17:$B$49,$C810,'7. INVEST'!AN$17:AN$49)</f>
        <v>0</v>
      </c>
      <c r="I825" s="732">
        <f>SUMIF('7. INVEST'!$B$17:$B$49,$C810,'7. INVEST'!AO$17:AO$49)</f>
        <v>0</v>
      </c>
      <c r="J825" s="732">
        <f>SUMIF('7. INVEST'!$B$17:$B$49,$C810,'7. INVEST'!AP$17:AP$49)</f>
        <v>0</v>
      </c>
      <c r="K825" s="732">
        <f>SUMIF('7. INVEST'!$B$17:$B$49,$C810,'7. INVEST'!AQ$17:AQ$49)</f>
        <v>0</v>
      </c>
      <c r="L825" s="732">
        <f>SUMIF('7. INVEST'!$B$17:$B$49,$C810,'7. INVEST'!AR$17:AR$49)</f>
        <v>0</v>
      </c>
      <c r="M825" s="727">
        <f t="shared" si="168"/>
        <v>0</v>
      </c>
    </row>
    <row r="826" spans="2:15" s="3" customFormat="1" ht="13.2" x14ac:dyDescent="0.25">
      <c r="B826" s="121" t="str">
        <f>IF('1. INTRO'!I$2="English",(IF('8. FACILIT'!AP$51&gt;0,"Facility","")),IF('8. FACILIT'!AP$51&gt;0,"Lokal",""))</f>
        <v/>
      </c>
      <c r="C826" s="135">
        <f>SUMIF('5. PERSON'!$B$17:$B$192,$C810,'5. PERSON'!DB$17:DB$192)+SUMIF('6. OPERATION'!$B$17:$B$149,$C810,'6. OPERATION'!CE$17:CE$149)+SUMIF('8. FACILIT'!$B$18:$B$50,$C810,'8. FACILIT'!AF$18:AF$50)</f>
        <v>0</v>
      </c>
      <c r="D826" s="135">
        <f>SUMIF('5. PERSON'!$B$17:$B$192,$C810,'5. PERSON'!DC$17:DC$192)+SUMIF('6. OPERATION'!$B$17:$B$149,$C810,'6. OPERATION'!CF$17:CF$149)+SUMIF('8. FACILIT'!$B$18:$B$50,$C810,'8. FACILIT'!AG$18:AG$50)</f>
        <v>0</v>
      </c>
      <c r="E826" s="135">
        <f>SUMIF('5. PERSON'!$B$17:$B$192,$C810,'5. PERSON'!DD$17:DD$192)+SUMIF('6. OPERATION'!$B$17:$B$149,$C810,'6. OPERATION'!CG$17:CG$149)+SUMIF('8. FACILIT'!$B$18:$B$50,$C810,'8. FACILIT'!AH$18:AH$50)</f>
        <v>0</v>
      </c>
      <c r="F826" s="135">
        <f>SUMIF('5. PERSON'!$B$17:$B$192,$C810,'5. PERSON'!DE$17:DE$192)+SUMIF('6. OPERATION'!$B$17:$B$149,$C810,'6. OPERATION'!CH$17:CH$149)+SUMIF('8. FACILIT'!$B$18:$B$50,$C810,'8. FACILIT'!AI$18:AI$50)</f>
        <v>0</v>
      </c>
      <c r="G826" s="135">
        <f>SUMIF('5. PERSON'!$B$17:$B$192,$C810,'5. PERSON'!DF$17:DF$192)+SUMIF('6. OPERATION'!$B$17:$B$149,$C810,'6. OPERATION'!CI$17:CI$149)+SUMIF('8. FACILIT'!$B$18:$B$50,$C810,'8. FACILIT'!AJ$18:AJ$50)</f>
        <v>0</v>
      </c>
      <c r="H826" s="135">
        <f>SUMIF('5. PERSON'!$B$17:$B$192,$C810,'5. PERSON'!DG$17:DG$192)+SUMIF('6. OPERATION'!$B$17:$B$149,$C810,'6. OPERATION'!CJ$17:CJ$149)+SUMIF('8. FACILIT'!$B$18:$B$50,$C810,'8. FACILIT'!AK$18:AK$50)</f>
        <v>0</v>
      </c>
      <c r="I826" s="135">
        <f>SUMIF('5. PERSON'!$B$17:$B$192,$C810,'5. PERSON'!DH$17:DH$192)+SUMIF('6. OPERATION'!$B$17:$B$149,$C810,'6. OPERATION'!CK$17:CK$149)+SUMIF('8. FACILIT'!$B$18:$B$50,$C810,'8. FACILIT'!AL$18:AL$50)</f>
        <v>0</v>
      </c>
      <c r="J826" s="135">
        <f>SUMIF('5. PERSON'!$B$17:$B$192,$C810,'5. PERSON'!DI$17:DI$192)+SUMIF('6. OPERATION'!$B$17:$B$149,$C810,'6. OPERATION'!CL$17:CL$149)+SUMIF('8. FACILIT'!$B$18:$B$50,$C810,'8. FACILIT'!AM$18:AM$50)</f>
        <v>0</v>
      </c>
      <c r="K826" s="135">
        <f>SUMIF('5. PERSON'!$B$17:$B$192,$C810,'5. PERSON'!DJ$17:DJ$192)+SUMIF('6. OPERATION'!$B$17:$B$149,$C810,'6. OPERATION'!CM$17:CM$149)+SUMIF('8. FACILIT'!$B$18:$B$50,$C810,'8. FACILIT'!AN$18:AN$50)</f>
        <v>0</v>
      </c>
      <c r="L826" s="135">
        <f>SUMIF('5. PERSON'!$B$17:$B$192,$C810,'5. PERSON'!DK$17:DK$192)+SUMIF('6. OPERATION'!$B$17:$B$149,$C810,'6. OPERATION'!CN$17:CN$149)+SUMIF('8. FACILIT'!$B$18:$B$50,$C810,'8. FACILIT'!AO$18:AO$50)</f>
        <v>0</v>
      </c>
      <c r="M826" s="117">
        <f t="shared" si="168"/>
        <v>0</v>
      </c>
    </row>
    <row r="827" spans="2:15" s="1" customFormat="1" ht="13.2" x14ac:dyDescent="0.25">
      <c r="B827" s="728" t="str">
        <f>IF('1. INTRO'!I$2="English",(IF(('5. PERSON'!CN$193+'6. OPERATION'!BQ$150)&gt;0,"Indirect","")),IF(('5. PERSON'!CN$193+'6. OPERATION'!BQ$150)&gt;0,"Indirekt",""))</f>
        <v/>
      </c>
      <c r="C827" s="729">
        <f>SUMIF('5. PERSON'!$B$17:$B$192,$C810,'5. PERSON'!CD$17:CD$192)+SUMIF('6. OPERATION'!$B$17:$B$149,$C810,'6. OPERATION'!BG$17:BG$149)</f>
        <v>0</v>
      </c>
      <c r="D827" s="729">
        <f>SUMIF('5. PERSON'!$B$17:$B$192,$C810,'5. PERSON'!CE$17:CE$192)+SUMIF('6. OPERATION'!$B$17:$B$149,$C810,'6. OPERATION'!BH$17:BH$149)</f>
        <v>0</v>
      </c>
      <c r="E827" s="729">
        <f>SUMIF('5. PERSON'!$B$17:$B$192,$C810,'5. PERSON'!CF$17:CF$192)+SUMIF('6. OPERATION'!$B$17:$B$149,$C810,'6. OPERATION'!BI$17:BI$149)</f>
        <v>0</v>
      </c>
      <c r="F827" s="729">
        <f>SUMIF('5. PERSON'!$B$17:$B$192,$C810,'5. PERSON'!CG$17:CG$192)+SUMIF('6. OPERATION'!$B$17:$B$149,$C810,'6. OPERATION'!BJ$17:BJ$149)</f>
        <v>0</v>
      </c>
      <c r="G827" s="729">
        <f>SUMIF('5. PERSON'!$B$17:$B$192,$C810,'5. PERSON'!CH$17:CH$192)+SUMIF('6. OPERATION'!$B$17:$B$149,$C810,'6. OPERATION'!BK$17:BK$149)</f>
        <v>0</v>
      </c>
      <c r="H827" s="729">
        <f>SUMIF('5. PERSON'!$B$17:$B$192,$C810,'5. PERSON'!CI$17:CI$192)+SUMIF('6. OPERATION'!$B$17:$B$149,$C810,'6. OPERATION'!BL$17:BL$149)</f>
        <v>0</v>
      </c>
      <c r="I827" s="729">
        <f>SUMIF('5. PERSON'!$B$17:$B$192,$C810,'5. PERSON'!CJ$17:CJ$192)+SUMIF('6. OPERATION'!$B$17:$B$149,$C810,'6. OPERATION'!BM$17:BM$149)</f>
        <v>0</v>
      </c>
      <c r="J827" s="729">
        <f>SUMIF('5. PERSON'!$B$17:$B$192,$C810,'5. PERSON'!CK$17:CK$192)+SUMIF('6. OPERATION'!$B$17:$B$149,$C810,'6. OPERATION'!BN$17:BN$149)</f>
        <v>0</v>
      </c>
      <c r="K827" s="729">
        <f>SUMIF('5. PERSON'!$B$17:$B$192,$C810,'5. PERSON'!CL$17:CL$192)+SUMIF('6. OPERATION'!$B$17:$B$149,$C810,'6. OPERATION'!BO$17:BO$149)</f>
        <v>0</v>
      </c>
      <c r="L827" s="729">
        <f>SUMIF('5. PERSON'!$B$17:$B$192,$C810,'5. PERSON'!CM$17:CM$192)+SUMIF('6. OPERATION'!$B$17:$B$149,$C810,'6. OPERATION'!BP$17:BP$149)</f>
        <v>0</v>
      </c>
      <c r="M827" s="733">
        <f t="shared" si="168"/>
        <v>0</v>
      </c>
    </row>
    <row r="828" spans="2:15" s="3" customFormat="1" ht="13.2" x14ac:dyDescent="0.25">
      <c r="B828" s="124" t="s">
        <v>113</v>
      </c>
      <c r="C828" s="102">
        <f>SUM(C821:C827)</f>
        <v>0</v>
      </c>
      <c r="D828" s="102">
        <f t="shared" ref="D828:M828" si="169">SUM(D821:D827)</f>
        <v>0</v>
      </c>
      <c r="E828" s="102">
        <f t="shared" si="169"/>
        <v>0</v>
      </c>
      <c r="F828" s="102">
        <f t="shared" si="169"/>
        <v>0</v>
      </c>
      <c r="G828" s="102">
        <f t="shared" si="169"/>
        <v>0</v>
      </c>
      <c r="H828" s="102">
        <f t="shared" si="169"/>
        <v>0</v>
      </c>
      <c r="I828" s="102">
        <f t="shared" si="169"/>
        <v>0</v>
      </c>
      <c r="J828" s="102">
        <f t="shared" si="169"/>
        <v>0</v>
      </c>
      <c r="K828" s="102">
        <f t="shared" si="169"/>
        <v>0</v>
      </c>
      <c r="L828" s="102">
        <f t="shared" si="169"/>
        <v>0</v>
      </c>
      <c r="M828" s="125">
        <f t="shared" si="169"/>
        <v>0</v>
      </c>
      <c r="N828" s="23"/>
      <c r="O828" s="23"/>
    </row>
    <row r="829" spans="2:15" s="3" customFormat="1" ht="6" customHeight="1" x14ac:dyDescent="0.25">
      <c r="B829" s="136"/>
      <c r="C829" s="127"/>
      <c r="D829" s="127"/>
      <c r="E829" s="127"/>
      <c r="F829" s="127"/>
      <c r="G829" s="127"/>
      <c r="H829" s="127"/>
      <c r="I829" s="127"/>
      <c r="J829" s="127"/>
      <c r="K829" s="127"/>
      <c r="L829" s="127"/>
      <c r="M829" s="137"/>
    </row>
    <row r="830" spans="2:15" s="3" customFormat="1" ht="13.2" x14ac:dyDescent="0.25">
      <c r="B830" s="129" t="str">
        <f>IF('1. INTRO'!I$2="English","Full cost","Full kostnad")</f>
        <v>Full cost</v>
      </c>
      <c r="C830" s="127"/>
      <c r="D830" s="127"/>
      <c r="E830" s="127"/>
      <c r="F830" s="127"/>
      <c r="G830" s="127"/>
      <c r="H830" s="127"/>
      <c r="I830" s="127"/>
      <c r="J830" s="127"/>
      <c r="K830" s="127"/>
      <c r="L830" s="127"/>
      <c r="M830" s="137"/>
    </row>
    <row r="831" spans="2:15" s="3" customFormat="1" ht="13.2" x14ac:dyDescent="0.25">
      <c r="B831" s="722" t="str">
        <f>IF('1. INTRO'!I$2="English","Salary including social costs (LKP)","Lön inklusive LKP")</f>
        <v>Salary including social costs (LKP)</v>
      </c>
      <c r="C831" s="734">
        <f>C813+C822+C823</f>
        <v>0</v>
      </c>
      <c r="D831" s="734">
        <f t="shared" ref="D831:L831" si="170">D813+D822+D823</f>
        <v>0</v>
      </c>
      <c r="E831" s="734">
        <f t="shared" si="170"/>
        <v>0</v>
      </c>
      <c r="F831" s="734">
        <f t="shared" si="170"/>
        <v>0</v>
      </c>
      <c r="G831" s="734">
        <f t="shared" si="170"/>
        <v>0</v>
      </c>
      <c r="H831" s="734">
        <f t="shared" si="170"/>
        <v>0</v>
      </c>
      <c r="I831" s="734">
        <f t="shared" si="170"/>
        <v>0</v>
      </c>
      <c r="J831" s="734">
        <f t="shared" si="170"/>
        <v>0</v>
      </c>
      <c r="K831" s="734">
        <f t="shared" si="170"/>
        <v>0</v>
      </c>
      <c r="L831" s="734">
        <f t="shared" si="170"/>
        <v>0</v>
      </c>
      <c r="M831" s="724">
        <f>SUM(C831:L831)</f>
        <v>0</v>
      </c>
    </row>
    <row r="832" spans="2:15" s="3" customFormat="1" ht="13.2" x14ac:dyDescent="0.25">
      <c r="B832" s="80" t="str">
        <f>IF('1. INTRO'!I$2="English","Operating","Drift")</f>
        <v>Operating</v>
      </c>
      <c r="C832" s="139">
        <f>C814+C824</f>
        <v>0</v>
      </c>
      <c r="D832" s="139">
        <f t="shared" ref="D832:L832" si="171">D814+D824</f>
        <v>0</v>
      </c>
      <c r="E832" s="139">
        <f t="shared" si="171"/>
        <v>0</v>
      </c>
      <c r="F832" s="139">
        <f t="shared" si="171"/>
        <v>0</v>
      </c>
      <c r="G832" s="139">
        <f t="shared" si="171"/>
        <v>0</v>
      </c>
      <c r="H832" s="139">
        <f t="shared" si="171"/>
        <v>0</v>
      </c>
      <c r="I832" s="139">
        <f t="shared" si="171"/>
        <v>0</v>
      </c>
      <c r="J832" s="139">
        <f t="shared" si="171"/>
        <v>0</v>
      </c>
      <c r="K832" s="139">
        <f t="shared" si="171"/>
        <v>0</v>
      </c>
      <c r="L832" s="139">
        <f t="shared" si="171"/>
        <v>0</v>
      </c>
      <c r="M832" s="117">
        <f>SUM(C832:L832)</f>
        <v>0</v>
      </c>
    </row>
    <row r="833" spans="2:13" s="3" customFormat="1" ht="13.2" x14ac:dyDescent="0.25">
      <c r="B833" s="725" t="str">
        <f>IF('1. INTRO'!I$2="English","Equipment","Utrustning")</f>
        <v>Equipment</v>
      </c>
      <c r="C833" s="735">
        <f>C815+C825</f>
        <v>0</v>
      </c>
      <c r="D833" s="735">
        <f t="shared" ref="D833:L833" si="172">D815+D825</f>
        <v>0</v>
      </c>
      <c r="E833" s="735">
        <f t="shared" si="172"/>
        <v>0</v>
      </c>
      <c r="F833" s="735">
        <f t="shared" si="172"/>
        <v>0</v>
      </c>
      <c r="G833" s="735">
        <f t="shared" si="172"/>
        <v>0</v>
      </c>
      <c r="H833" s="735">
        <f t="shared" si="172"/>
        <v>0</v>
      </c>
      <c r="I833" s="735">
        <f t="shared" si="172"/>
        <v>0</v>
      </c>
      <c r="J833" s="735">
        <f t="shared" si="172"/>
        <v>0</v>
      </c>
      <c r="K833" s="735">
        <f t="shared" si="172"/>
        <v>0</v>
      </c>
      <c r="L833" s="735">
        <f t="shared" si="172"/>
        <v>0</v>
      </c>
      <c r="M833" s="727">
        <f>SUM(C833:L833)</f>
        <v>0</v>
      </c>
    </row>
    <row r="834" spans="2:13" s="3" customFormat="1" ht="13.2" x14ac:dyDescent="0.25">
      <c r="B834" s="80" t="str">
        <f>IF('1. INTRO'!I$2="English","Facility","Lokal")</f>
        <v>Facility</v>
      </c>
      <c r="C834" s="139">
        <f>SUMIF('5. PERSON'!$B$17:$B$192,$C810,'5. PERSON'!CP$17:CP$192)+SUMIF('5. PERSON'!$B$17:$B$192,$C810,'5. PERSON'!DB$17:DB$192)+SUMIF('6. OPERATION'!$B$17:$B$149,$C810,'6. OPERATION'!BS$17:BS$149)+SUMIF('6. OPERATION'!$B$17:$B$149,$C810,'6. OPERATION'!CE$17:CE$149)+SUMIF('8. FACILIT'!$B$18:$B$50,$C810,'8. FACILIT'!T$18:T$50)+SUMIF('8. FACILIT'!$B$18:$B$50,$C810,'8. FACILIT'!AF$18:AF$50)</f>
        <v>0</v>
      </c>
      <c r="D834" s="139">
        <f>SUMIF('5. PERSON'!$B$17:$B$192,$C810,'5. PERSON'!CQ$17:CQ$192)+SUMIF('5. PERSON'!$B$17:$B$192,$C810,'5. PERSON'!DC$17:DC$192)+SUMIF('6. OPERATION'!$B$17:$B$149,$C810,'6. OPERATION'!BT$17:BT$149)+SUMIF('6. OPERATION'!$B$17:$B$149,$C810,'6. OPERATION'!CF$17:CF$149)+SUMIF('8. FACILIT'!$B$18:$B$50,$C810,'8. FACILIT'!U$18:U$50)+SUMIF('8. FACILIT'!$B$18:$B$50,$C810,'8. FACILIT'!AG$18:AG$50)</f>
        <v>0</v>
      </c>
      <c r="E834" s="139">
        <f>SUMIF('5. PERSON'!$B$17:$B$192,$C810,'5. PERSON'!CR$17:CR$192)+SUMIF('5. PERSON'!$B$17:$B$192,$C810,'5. PERSON'!DD$17:DD$192)+SUMIF('6. OPERATION'!$B$17:$B$149,$C810,'6. OPERATION'!BU$17:BU$149)+SUMIF('6. OPERATION'!$B$17:$B$149,$C810,'6. OPERATION'!CG$17:CG$149)+SUMIF('8. FACILIT'!$B$18:$B$50,$C810,'8. FACILIT'!V$18:V$50)+SUMIF('8. FACILIT'!$B$18:$B$50,$C810,'8. FACILIT'!AH$18:AH$50)</f>
        <v>0</v>
      </c>
      <c r="F834" s="139">
        <f>SUMIF('5. PERSON'!$B$17:$B$192,$C810,'5. PERSON'!CS$17:CS$192)+SUMIF('5. PERSON'!$B$17:$B$192,$C810,'5. PERSON'!DE$17:DE$192)+SUMIF('6. OPERATION'!$B$17:$B$149,$C810,'6. OPERATION'!BV$17:BV$149)+SUMIF('6. OPERATION'!$B$17:$B$149,$C810,'6. OPERATION'!CH$17:CH$149)+SUMIF('8. FACILIT'!$B$18:$B$50,$C810,'8. FACILIT'!W$18:W$50)+SUMIF('8. FACILIT'!$B$18:$B$50,$C810,'8. FACILIT'!AI$18:AI$50)</f>
        <v>0</v>
      </c>
      <c r="G834" s="139">
        <f>SUMIF('5. PERSON'!$B$17:$B$192,$C810,'5. PERSON'!CT$17:CT$192)+SUMIF('5. PERSON'!$B$17:$B$192,$C810,'5. PERSON'!DF$17:DF$192)+SUMIF('6. OPERATION'!$B$17:$B$149,$C810,'6. OPERATION'!BW$17:BW$149)+SUMIF('6. OPERATION'!$B$17:$B$149,$C810,'6. OPERATION'!CI$17:CI$149)+SUMIF('8. FACILIT'!$B$18:$B$50,$C810,'8. FACILIT'!X$18:X$50)+SUMIF('8. FACILIT'!$B$18:$B$50,$C810,'8. FACILIT'!AJ$18:AJ$50)</f>
        <v>0</v>
      </c>
      <c r="H834" s="139">
        <f>SUMIF('5. PERSON'!$B$17:$B$192,$C810,'5. PERSON'!CU$17:CU$192)+SUMIF('5. PERSON'!$B$17:$B$192,$C810,'5. PERSON'!DG$17:DG$192)+SUMIF('6. OPERATION'!$B$17:$B$149,$C810,'6. OPERATION'!BX$17:BX$149)+SUMIF('6. OPERATION'!$B$17:$B$149,$C810,'6. OPERATION'!CJ$17:CJ$149)+SUMIF('8. FACILIT'!$B$18:$B$50,$C810,'8. FACILIT'!Y$18:Y$50)+SUMIF('8. FACILIT'!$B$18:$B$50,$C810,'8. FACILIT'!AK$18:AK$50)</f>
        <v>0</v>
      </c>
      <c r="I834" s="139">
        <f>SUMIF('5. PERSON'!$B$17:$B$192,$C810,'5. PERSON'!CV$17:CV$192)+SUMIF('5. PERSON'!$B$17:$B$192,$C810,'5. PERSON'!DH$17:DH$192)+SUMIF('6. OPERATION'!$B$17:$B$149,$C810,'6. OPERATION'!BY$17:BY$149)+SUMIF('6. OPERATION'!$B$17:$B$149,$C810,'6. OPERATION'!CK$17:CK$149)+SUMIF('8. FACILIT'!$B$18:$B$50,$C810,'8. FACILIT'!Z$18:Z$50)+SUMIF('8. FACILIT'!$B$18:$B$50,$C810,'8. FACILIT'!AL$18:AL$50)</f>
        <v>0</v>
      </c>
      <c r="J834" s="139">
        <f>SUMIF('5. PERSON'!$B$17:$B$192,$C810,'5. PERSON'!CW$17:CW$192)+SUMIF('5. PERSON'!$B$17:$B$192,$C810,'5. PERSON'!DI$17:DI$192)+SUMIF('6. OPERATION'!$B$17:$B$149,$C810,'6. OPERATION'!BZ$17:BZ$149)+SUMIF('6. OPERATION'!$B$17:$B$149,$C810,'6. OPERATION'!CL$17:CL$149)+SUMIF('8. FACILIT'!$B$18:$B$50,$C810,'8. FACILIT'!AA$18:AA$50)+SUMIF('8. FACILIT'!$B$18:$B$50,$C810,'8. FACILIT'!AM$18:AM$50)</f>
        <v>0</v>
      </c>
      <c r="K834" s="139">
        <f>SUMIF('5. PERSON'!$B$17:$B$192,$C810,'5. PERSON'!CX$17:CX$192)+SUMIF('5. PERSON'!$B$17:$B$192,$C810,'5. PERSON'!DJ$17:DJ$192)+SUMIF('6. OPERATION'!$B$17:$B$149,$C810,'6. OPERATION'!CA$17:CA$149)+SUMIF('6. OPERATION'!$B$17:$B$149,$C810,'6. OPERATION'!CM$17:CM$149)+SUMIF('8. FACILIT'!$B$18:$B$50,$C810,'8. FACILIT'!AB$18:AB$50)+SUMIF('8. FACILIT'!$B$18:$B$50,$C810,'8. FACILIT'!AN$18:AN$50)</f>
        <v>0</v>
      </c>
      <c r="L834" s="139">
        <f>SUMIF('5. PERSON'!$B$17:$B$192,$C810,'5. PERSON'!CY$17:CY$192)+SUMIF('5. PERSON'!$B$17:$B$192,$C810,'5. PERSON'!DK$17:DK$192)+SUMIF('6. OPERATION'!$B$17:$B$149,$C810,'6. OPERATION'!CB$17:CB$149)+SUMIF('6. OPERATION'!$B$17:$B$149,$C810,'6. OPERATION'!CN$17:CN$149)+SUMIF('8. FACILIT'!$B$18:$B$50,$C810,'8. FACILIT'!AC$18:AC$50)+SUMIF('8. FACILIT'!$B$18:$B$50,$C810,'8. FACILIT'!AO$18:AO$50)</f>
        <v>0</v>
      </c>
      <c r="M834" s="117">
        <f>SUM(C834:L834)</f>
        <v>0</v>
      </c>
    </row>
    <row r="835" spans="2:13" s="3" customFormat="1" ht="13.2" x14ac:dyDescent="0.25">
      <c r="B835" s="736" t="str">
        <f>IF('1. INTRO'!I$2="English","Indirect","Indirekt")</f>
        <v>Indirect</v>
      </c>
      <c r="C835" s="737">
        <f>SUMIF('5. PERSON'!$B$17:$B$192,$C810,'5. PERSON'!BR$17:BR$192)+SUMIF('5. PERSON'!$B$17:$B$192,$C810,'5. PERSON'!CD$17:CD$192)+SUMIF('6. OPERATION'!$B$17:$B$149,$C810,'6. OPERATION'!AU$17:AU$149)+SUMIF('6. OPERATION'!$B$17:$B$149,$C810,'6. OPERATION'!BG$17:BG$149)</f>
        <v>0</v>
      </c>
      <c r="D835" s="737">
        <f>SUMIF('5. PERSON'!$B$17:$B$192,$C810,'5. PERSON'!BS$17:BS$192)+SUMIF('5. PERSON'!$B$17:$B$192,$C810,'5. PERSON'!CE$17:CE$192)+SUMIF('6. OPERATION'!$B$17:$B$149,$C810,'6. OPERATION'!AV$17:AV$149)+SUMIF('6. OPERATION'!$B$17:$B$149,$C810,'6. OPERATION'!BH$17:BH$149)</f>
        <v>0</v>
      </c>
      <c r="E835" s="737">
        <f>SUMIF('5. PERSON'!$B$17:$B$192,$C810,'5. PERSON'!BT$17:BT$192)+SUMIF('5. PERSON'!$B$17:$B$192,$C810,'5. PERSON'!CF$17:CF$192)+SUMIF('6. OPERATION'!$B$17:$B$149,$C810,'6. OPERATION'!AW$17:AW$149)+SUMIF('6. OPERATION'!$B$17:$B$149,$C810,'6. OPERATION'!BI$17:BI$149)</f>
        <v>0</v>
      </c>
      <c r="F835" s="737">
        <f>SUMIF('5. PERSON'!$B$17:$B$192,$C810,'5. PERSON'!BU$17:BU$192)+SUMIF('5. PERSON'!$B$17:$B$192,$C810,'5. PERSON'!CG$17:CG$192)+SUMIF('6. OPERATION'!$B$17:$B$149,$C810,'6. OPERATION'!AX$17:AX$149)+SUMIF('6. OPERATION'!$B$17:$B$149,$C810,'6. OPERATION'!BJ$17:BJ$149)</f>
        <v>0</v>
      </c>
      <c r="G835" s="737">
        <f>SUMIF('5. PERSON'!$B$17:$B$192,$C810,'5. PERSON'!BV$17:BV$192)+SUMIF('5. PERSON'!$B$17:$B$192,$C810,'5. PERSON'!CH$17:CH$192)+SUMIF('6. OPERATION'!$B$17:$B$149,$C810,'6. OPERATION'!AY$17:AY$149)+SUMIF('6. OPERATION'!$B$17:$B$149,$C810,'6. OPERATION'!BK$17:BK$149)</f>
        <v>0</v>
      </c>
      <c r="H835" s="737">
        <f>SUMIF('5. PERSON'!$B$17:$B$192,$C810,'5. PERSON'!BW$17:BW$192)+SUMIF('5. PERSON'!$B$17:$B$192,$C810,'5. PERSON'!CI$17:CI$192)+SUMIF('6. OPERATION'!$B$17:$B$149,$C810,'6. OPERATION'!AZ$17:AZ$149)+SUMIF('6. OPERATION'!$B$17:$B$149,$C810,'6. OPERATION'!BL$17:BL$149)</f>
        <v>0</v>
      </c>
      <c r="I835" s="737">
        <f>SUMIF('5. PERSON'!$B$17:$B$192,$C810,'5. PERSON'!BX$17:BX$192)+SUMIF('5. PERSON'!$B$17:$B$192,$C810,'5. PERSON'!CJ$17:CJ$192)+SUMIF('6. OPERATION'!$B$17:$B$149,$C810,'6. OPERATION'!BA$17:BA$149)+SUMIF('6. OPERATION'!$B$17:$B$149,$C810,'6. OPERATION'!BM$17:BM$149)</f>
        <v>0</v>
      </c>
      <c r="J835" s="737">
        <f>SUMIF('5. PERSON'!$B$17:$B$192,$C810,'5. PERSON'!BY$17:BY$192)+SUMIF('5. PERSON'!$B$17:$B$192,$C810,'5. PERSON'!CK$17:CK$192)+SUMIF('6. OPERATION'!$B$17:$B$149,$C810,'6. OPERATION'!BB$17:BB$149)+SUMIF('6. OPERATION'!$B$17:$B$149,$C810,'6. OPERATION'!BN$17:BN$149)</f>
        <v>0</v>
      </c>
      <c r="K835" s="737">
        <f>SUMIF('5. PERSON'!$B$17:$B$192,$C810,'5. PERSON'!BZ$17:BZ$192)+SUMIF('5. PERSON'!$B$17:$B$192,$C810,'5. PERSON'!CL$17:CL$192)+SUMIF('6. OPERATION'!$B$17:$B$149,$C810,'6. OPERATION'!BC$17:BC$149)+SUMIF('6. OPERATION'!$B$17:$B$149,$C810,'6. OPERATION'!BO$17:BO$149)</f>
        <v>0</v>
      </c>
      <c r="L835" s="737">
        <f>SUMIF('5. PERSON'!$B$17:$B$192,$C810,'5. PERSON'!CA$17:CA$192)+SUMIF('5. PERSON'!$B$17:$B$192,$C810,'5. PERSON'!CM$17:CM$192)+SUMIF('6. OPERATION'!$B$17:$B$149,$C810,'6. OPERATION'!BD$17:BD$149)+SUMIF('6. OPERATION'!$B$17:$B$149,$C810,'6. OPERATION'!BP$17:BP$149)</f>
        <v>0</v>
      </c>
      <c r="M835" s="733">
        <f>SUM(C835:L835)</f>
        <v>0</v>
      </c>
    </row>
    <row r="836" spans="2:13" s="3" customFormat="1" ht="13.2" x14ac:dyDescent="0.25">
      <c r="B836" s="124" t="s">
        <v>113</v>
      </c>
      <c r="C836" s="88">
        <f>SUM(C831:C835)</f>
        <v>0</v>
      </c>
      <c r="D836" s="88">
        <f t="shared" ref="D836:M836" si="173">SUM(D831:D835)</f>
        <v>0</v>
      </c>
      <c r="E836" s="88">
        <f t="shared" si="173"/>
        <v>0</v>
      </c>
      <c r="F836" s="88">
        <f t="shared" si="173"/>
        <v>0</v>
      </c>
      <c r="G836" s="88">
        <f t="shared" si="173"/>
        <v>0</v>
      </c>
      <c r="H836" s="88">
        <f t="shared" si="173"/>
        <v>0</v>
      </c>
      <c r="I836" s="88">
        <f t="shared" si="173"/>
        <v>0</v>
      </c>
      <c r="J836" s="88">
        <f t="shared" si="173"/>
        <v>0</v>
      </c>
      <c r="K836" s="88">
        <f t="shared" si="173"/>
        <v>0</v>
      </c>
      <c r="L836" s="88">
        <f t="shared" si="173"/>
        <v>0</v>
      </c>
      <c r="M836" s="142">
        <f t="shared" si="173"/>
        <v>0</v>
      </c>
    </row>
    <row r="837" spans="2:13" s="3" customFormat="1" ht="13.2" x14ac:dyDescent="0.25">
      <c r="B837" s="287"/>
      <c r="C837" s="37"/>
      <c r="D837" s="37"/>
      <c r="E837" s="37"/>
      <c r="F837" s="37"/>
      <c r="G837" s="37"/>
      <c r="H837" s="37"/>
      <c r="I837" s="37"/>
      <c r="J837" s="37"/>
      <c r="K837" s="37"/>
      <c r="L837" s="37"/>
      <c r="M837" s="37"/>
    </row>
    <row r="838" spans="2:13" s="3" customFormat="1" ht="12.75" customHeight="1" x14ac:dyDescent="0.25">
      <c r="B838" s="656" t="str">
        <f>IF('1. INTRO'!I$2="English","Co-funding share in full cost ","Medfinansieringsandel i full kostnad ")</f>
        <v xml:space="preserve">Co-funding share in full cost </v>
      </c>
      <c r="C838" s="143" t="str">
        <f t="shared" ref="C838:M838" si="174">IF(C836&gt;0,C828/C836,"")</f>
        <v/>
      </c>
      <c r="D838" s="143" t="str">
        <f t="shared" si="174"/>
        <v/>
      </c>
      <c r="E838" s="143" t="str">
        <f t="shared" si="174"/>
        <v/>
      </c>
      <c r="F838" s="143" t="str">
        <f t="shared" si="174"/>
        <v/>
      </c>
      <c r="G838" s="143" t="str">
        <f t="shared" si="174"/>
        <v/>
      </c>
      <c r="H838" s="143" t="str">
        <f t="shared" si="174"/>
        <v/>
      </c>
      <c r="I838" s="143" t="str">
        <f t="shared" si="174"/>
        <v/>
      </c>
      <c r="J838" s="143" t="str">
        <f t="shared" si="174"/>
        <v/>
      </c>
      <c r="K838" s="143" t="str">
        <f t="shared" si="174"/>
        <v/>
      </c>
      <c r="L838" s="143" t="str">
        <f t="shared" si="174"/>
        <v/>
      </c>
      <c r="M838" s="143" t="str">
        <f t="shared" si="174"/>
        <v/>
      </c>
    </row>
    <row r="839" spans="2:13" ht="12.75" customHeight="1" x14ac:dyDescent="0.2"/>
    <row r="840" spans="2:13" ht="12.75" customHeight="1" x14ac:dyDescent="0.25">
      <c r="D840" s="656" t="str">
        <f>IF('1. INTRO'!I$2="English","Co-funding need in average per year: ","Medfinansieringsbehov i genomsnitt per år: ")</f>
        <v xml:space="preserve">Co-funding need in average per year: </v>
      </c>
      <c r="E840" s="92" t="str">
        <f>IF(M828=0,"",M828/(DATEDIF('2. START'!C$18,'2. START'!C$19,"d")/365))</f>
        <v/>
      </c>
      <c r="H840" s="656" t="str">
        <f>IF('1. INTRO'!I$2="English","Co-funding need 1/3 of total: ","Medfinansieringsbehov 1/3 av totalt: ")</f>
        <v xml:space="preserve">Co-funding need 1/3 of total: </v>
      </c>
      <c r="I840" s="92">
        <f>M828/3</f>
        <v>0</v>
      </c>
      <c r="L840" s="287" t="str">
        <f>IF('1. INTRO'!I$2="English","Co-funding need total: ","Medfinansieringsbehov totalt: ")</f>
        <v xml:space="preserve">Co-funding need total: </v>
      </c>
      <c r="M840" s="92">
        <f>M828</f>
        <v>0</v>
      </c>
    </row>
    <row r="841" spans="2:13" ht="12.75" customHeight="1" x14ac:dyDescent="0.25">
      <c r="B841" s="53" t="str">
        <f>IF('1. INTRO'!I$2="English","Co-funding sources","Medfinansieringskällor")</f>
        <v>Co-funding sources</v>
      </c>
    </row>
    <row r="842" spans="2:13" ht="12.75" customHeight="1" x14ac:dyDescent="0.25">
      <c r="B842" s="225"/>
      <c r="C842" s="226"/>
      <c r="D842" s="226"/>
      <c r="E842" s="226"/>
      <c r="F842" s="226"/>
      <c r="G842" s="226"/>
      <c r="H842" s="226"/>
      <c r="I842" s="226"/>
      <c r="J842" s="226"/>
      <c r="K842" s="226"/>
      <c r="L842" s="227"/>
      <c r="M842" s="168">
        <f>SUM(C842:L842)</f>
        <v>0</v>
      </c>
    </row>
    <row r="843" spans="2:13" ht="12.75" customHeight="1" x14ac:dyDescent="0.25">
      <c r="B843" s="228"/>
      <c r="C843" s="229"/>
      <c r="D843" s="229"/>
      <c r="E843" s="229"/>
      <c r="F843" s="229"/>
      <c r="G843" s="229"/>
      <c r="H843" s="229"/>
      <c r="I843" s="229"/>
      <c r="J843" s="229"/>
      <c r="K843" s="229"/>
      <c r="L843" s="230"/>
      <c r="M843" s="727">
        <f t="shared" ref="M843:M846" si="175">SUM(C843:L843)</f>
        <v>0</v>
      </c>
    </row>
    <row r="844" spans="2:13" ht="12.75" customHeight="1" x14ac:dyDescent="0.25">
      <c r="B844" s="231"/>
      <c r="C844" s="232"/>
      <c r="D844" s="232"/>
      <c r="E844" s="232"/>
      <c r="F844" s="232"/>
      <c r="G844" s="232"/>
      <c r="H844" s="232"/>
      <c r="I844" s="232"/>
      <c r="J844" s="232"/>
      <c r="K844" s="232"/>
      <c r="L844" s="233"/>
      <c r="M844" s="117">
        <f t="shared" si="175"/>
        <v>0</v>
      </c>
    </row>
    <row r="845" spans="2:13" ht="12.75" customHeight="1" x14ac:dyDescent="0.25">
      <c r="B845" s="228"/>
      <c r="C845" s="229"/>
      <c r="D845" s="229"/>
      <c r="E845" s="229"/>
      <c r="F845" s="229"/>
      <c r="G845" s="229"/>
      <c r="H845" s="229"/>
      <c r="I845" s="229"/>
      <c r="J845" s="229"/>
      <c r="K845" s="229"/>
      <c r="L845" s="230"/>
      <c r="M845" s="727">
        <f t="shared" si="175"/>
        <v>0</v>
      </c>
    </row>
    <row r="846" spans="2:13" ht="12.75" customHeight="1" x14ac:dyDescent="0.25">
      <c r="B846" s="93"/>
      <c r="C846" s="232"/>
      <c r="D846" s="232"/>
      <c r="E846" s="232"/>
      <c r="F846" s="232"/>
      <c r="G846" s="232"/>
      <c r="H846" s="232"/>
      <c r="I846" s="232"/>
      <c r="J846" s="232"/>
      <c r="K846" s="232"/>
      <c r="L846" s="233"/>
      <c r="M846" s="117">
        <f t="shared" si="175"/>
        <v>0</v>
      </c>
    </row>
    <row r="847" spans="2:13" ht="12.75" customHeight="1" x14ac:dyDescent="0.25">
      <c r="B847" s="84" t="str">
        <f>IF('1. INTRO'!I$2="English","Total co-funding ","Total medfinansiering ")</f>
        <v xml:space="preserve">Total co-funding </v>
      </c>
      <c r="C847" s="87">
        <f t="shared" ref="C847:M847" si="176">SUM(C842:C846)</f>
        <v>0</v>
      </c>
      <c r="D847" s="87">
        <f t="shared" si="176"/>
        <v>0</v>
      </c>
      <c r="E847" s="87">
        <f t="shared" si="176"/>
        <v>0</v>
      </c>
      <c r="F847" s="87">
        <f t="shared" si="176"/>
        <v>0</v>
      </c>
      <c r="G847" s="87">
        <f t="shared" si="176"/>
        <v>0</v>
      </c>
      <c r="H847" s="87">
        <f t="shared" si="176"/>
        <v>0</v>
      </c>
      <c r="I847" s="87">
        <f t="shared" si="176"/>
        <v>0</v>
      </c>
      <c r="J847" s="87">
        <f t="shared" si="176"/>
        <v>0</v>
      </c>
      <c r="K847" s="87">
        <f t="shared" si="176"/>
        <v>0</v>
      </c>
      <c r="L847" s="87">
        <f t="shared" si="176"/>
        <v>0</v>
      </c>
      <c r="M847" s="142">
        <f t="shared" si="176"/>
        <v>0</v>
      </c>
    </row>
    <row r="848" spans="2:13" ht="12.75" customHeight="1" x14ac:dyDescent="0.2"/>
    <row r="849" spans="2:13" ht="12.75" customHeight="1" x14ac:dyDescent="0.2">
      <c r="B849" s="667" t="str">
        <f>IF('1. INTRO'!I$2="English","Calculation comments","Kalkylkommentarer")</f>
        <v>Calculation comments</v>
      </c>
    </row>
    <row r="850" spans="2:13" ht="12.75" customHeight="1" x14ac:dyDescent="0.2">
      <c r="B850" s="1142"/>
      <c r="C850" s="1143"/>
      <c r="D850" s="1143"/>
      <c r="E850" s="1143"/>
      <c r="F850" s="1143"/>
      <c r="G850" s="1143"/>
      <c r="H850" s="1143"/>
      <c r="I850" s="1143"/>
      <c r="J850" s="1143"/>
      <c r="K850" s="1143"/>
      <c r="L850" s="1143"/>
      <c r="M850" s="1144"/>
    </row>
    <row r="851" spans="2:13" ht="12.75" customHeight="1" x14ac:dyDescent="0.2">
      <c r="B851" s="1145"/>
      <c r="C851" s="1226"/>
      <c r="D851" s="1226"/>
      <c r="E851" s="1226"/>
      <c r="F851" s="1226"/>
      <c r="G851" s="1226"/>
      <c r="H851" s="1226"/>
      <c r="I851" s="1226"/>
      <c r="J851" s="1226"/>
      <c r="K851" s="1226"/>
      <c r="L851" s="1226"/>
      <c r="M851" s="1147"/>
    </row>
    <row r="852" spans="2:13" ht="12.75" customHeight="1" x14ac:dyDescent="0.2">
      <c r="B852" s="1145"/>
      <c r="C852" s="1226"/>
      <c r="D852" s="1226"/>
      <c r="E852" s="1226"/>
      <c r="F852" s="1226"/>
      <c r="G852" s="1226"/>
      <c r="H852" s="1226"/>
      <c r="I852" s="1226"/>
      <c r="J852" s="1226"/>
      <c r="K852" s="1226"/>
      <c r="L852" s="1226"/>
      <c r="M852" s="1147"/>
    </row>
    <row r="853" spans="2:13" ht="12.75" customHeight="1" x14ac:dyDescent="0.2">
      <c r="B853" s="1145"/>
      <c r="C853" s="1226"/>
      <c r="D853" s="1226"/>
      <c r="E853" s="1226"/>
      <c r="F853" s="1226"/>
      <c r="G853" s="1226"/>
      <c r="H853" s="1226"/>
      <c r="I853" s="1226"/>
      <c r="J853" s="1226"/>
      <c r="K853" s="1226"/>
      <c r="L853" s="1226"/>
      <c r="M853" s="1147"/>
    </row>
    <row r="854" spans="2:13" ht="12.75" customHeight="1" x14ac:dyDescent="0.2">
      <c r="B854" s="1148"/>
      <c r="C854" s="1149"/>
      <c r="D854" s="1149"/>
      <c r="E854" s="1149"/>
      <c r="F854" s="1149"/>
      <c r="G854" s="1149"/>
      <c r="H854" s="1149"/>
      <c r="I854" s="1149"/>
      <c r="J854" s="1149"/>
      <c r="K854" s="1149"/>
      <c r="L854" s="1149"/>
      <c r="M854" s="1150"/>
    </row>
    <row r="856" spans="2:13" s="3" customFormat="1" ht="12.75" customHeight="1" x14ac:dyDescent="0.25">
      <c r="B856" s="313" t="str">
        <f>'3. PARTNER'!C$4</f>
        <v xml:space="preserve">Project: </v>
      </c>
      <c r="C856" s="1062" t="str">
        <f>'3. PARTNER'!D$4</f>
        <v/>
      </c>
      <c r="D856" s="1001"/>
      <c r="E856" s="1001"/>
      <c r="F856" s="1001"/>
      <c r="G856" s="1001"/>
      <c r="H856" s="1001"/>
      <c r="I856" s="1001"/>
      <c r="J856" s="1001"/>
      <c r="K856" s="1001"/>
      <c r="L856" s="1001"/>
      <c r="M856" s="1001"/>
    </row>
    <row r="857" spans="2:13" s="3" customFormat="1" ht="13.2" x14ac:dyDescent="0.25">
      <c r="B857" s="313" t="str">
        <f>'3. PARTNER'!C$5</f>
        <v xml:space="preserve">Calculation for: </v>
      </c>
      <c r="C857" s="1062" t="str">
        <f>'3. PARTNER'!D$5</f>
        <v>APPLICATION</v>
      </c>
      <c r="D857" s="1001"/>
      <c r="E857" s="268"/>
      <c r="F857" s="268"/>
      <c r="G857" s="268"/>
      <c r="H857" s="268"/>
      <c r="I857" s="268"/>
      <c r="J857" s="268"/>
      <c r="K857" s="268"/>
      <c r="L857" s="268"/>
      <c r="M857" s="268"/>
    </row>
    <row r="858" spans="2:13" s="3" customFormat="1" ht="13.2" x14ac:dyDescent="0.25">
      <c r="B858" s="35" t="str">
        <f>'3. PARTNER'!C$6</f>
        <v xml:space="preserve">Project leader: </v>
      </c>
      <c r="C858" s="1062" t="str">
        <f>'3. PARTNER'!D$6</f>
        <v/>
      </c>
      <c r="D858" s="1001"/>
      <c r="E858" s="1001"/>
      <c r="F858" s="1001"/>
      <c r="G858" s="1001"/>
      <c r="H858" s="1001"/>
      <c r="I858" s="1001"/>
      <c r="J858" s="1001"/>
      <c r="K858" s="1001"/>
      <c r="L858" s="1001"/>
      <c r="M858" s="1001"/>
    </row>
    <row r="859" spans="2:13" s="3" customFormat="1" ht="13.2" x14ac:dyDescent="0.25">
      <c r="B859" s="313" t="str">
        <f>'5. PERSON'!B$7</f>
        <v xml:space="preserve">Amounts in: </v>
      </c>
      <c r="C859" s="655" t="str">
        <f>'5. PERSON'!C$7</f>
        <v>SEK</v>
      </c>
      <c r="D859" s="268"/>
      <c r="E859" s="268"/>
      <c r="F859" s="268"/>
      <c r="G859" s="234"/>
      <c r="H859" s="234"/>
      <c r="I859" s="270"/>
      <c r="J859" s="270"/>
      <c r="K859" s="270"/>
      <c r="L859" s="270"/>
      <c r="M859" s="270"/>
    </row>
    <row r="860" spans="2:13" s="3" customFormat="1" ht="13.2" x14ac:dyDescent="0.25">
      <c r="B860" s="313"/>
      <c r="C860" s="1053" t="str">
        <f>'3. PARTNER'!D$7</f>
        <v>Other basic data about the project is in sheet 2.</v>
      </c>
      <c r="D860" s="1001"/>
      <c r="E860" s="1001"/>
      <c r="F860" s="1001"/>
      <c r="G860" s="234"/>
      <c r="H860" s="234"/>
      <c r="I860" s="270"/>
      <c r="J860" s="270"/>
      <c r="K860" s="270"/>
      <c r="L860" s="251" t="s">
        <v>4</v>
      </c>
      <c r="M860" s="270"/>
    </row>
    <row r="861" spans="2:13" ht="12.75" customHeight="1" x14ac:dyDescent="0.2">
      <c r="J861" s="252" t="s">
        <v>322</v>
      </c>
      <c r="K861" s="252" t="s">
        <v>323</v>
      </c>
      <c r="L861" s="252" t="str">
        <f>IF('1. INTRO'!I$2="English","months","månader")</f>
        <v>months</v>
      </c>
    </row>
    <row r="862" spans="2:13" s="3" customFormat="1" ht="13.8" x14ac:dyDescent="0.25">
      <c r="B862" s="157" t="str">
        <f>IF('1. INTRO'!I$2="English","Project costs","Projektkostnader")</f>
        <v>Project costs</v>
      </c>
      <c r="C862" s="668" t="str">
        <f>A30</f>
        <v>480NJ</v>
      </c>
      <c r="D862" s="1227" t="str">
        <f>B30</f>
        <v>Plant Biology</v>
      </c>
      <c r="E862" s="1001"/>
      <c r="G862" s="37"/>
      <c r="H862" s="37"/>
      <c r="I862" s="37"/>
      <c r="J862" s="643"/>
      <c r="K862" s="643"/>
      <c r="L862" s="642">
        <f>SUMIF('5. PERSON'!$B$17:$B$192,$C862,'5. PERSON'!AE$17:AE$192)</f>
        <v>0</v>
      </c>
      <c r="M862" s="680" t="s">
        <v>330</v>
      </c>
    </row>
    <row r="863" spans="2:13" s="3" customFormat="1" ht="6" customHeight="1" x14ac:dyDescent="0.25">
      <c r="B863" s="57"/>
      <c r="C863" s="37"/>
      <c r="D863" s="37"/>
      <c r="E863" s="37"/>
      <c r="F863" s="37"/>
      <c r="G863" s="37"/>
      <c r="H863" s="37"/>
      <c r="I863" s="37"/>
      <c r="J863" s="37"/>
      <c r="K863" s="37"/>
      <c r="L863" s="37"/>
      <c r="M863" s="37"/>
    </row>
    <row r="864" spans="2:13" s="3" customFormat="1" ht="13.2" x14ac:dyDescent="0.25">
      <c r="B864" s="110" t="str">
        <f>IF('1. INTRO'!I$2="English","Costs to be covered by funding body","Kostnader att täckas av finansiär")</f>
        <v>Costs to be covered by funding body</v>
      </c>
      <c r="C864" s="111">
        <f>'5. PERSON'!G$15</f>
        <v>1900</v>
      </c>
      <c r="D864" s="111" t="str">
        <f>'5. PERSON'!H$15</f>
        <v/>
      </c>
      <c r="E864" s="111" t="str">
        <f>'5. PERSON'!I$15</f>
        <v/>
      </c>
      <c r="F864" s="111" t="str">
        <f>'5. PERSON'!J$15</f>
        <v/>
      </c>
      <c r="G864" s="111" t="str">
        <f>'5. PERSON'!K$15</f>
        <v/>
      </c>
      <c r="H864" s="111" t="str">
        <f>'5. PERSON'!L$15</f>
        <v/>
      </c>
      <c r="I864" s="111" t="str">
        <f>'5. PERSON'!M$15</f>
        <v/>
      </c>
      <c r="J864" s="111" t="str">
        <f>'5. PERSON'!N$15</f>
        <v/>
      </c>
      <c r="K864" s="111" t="str">
        <f>'5. PERSON'!O$15</f>
        <v/>
      </c>
      <c r="L864" s="111" t="str">
        <f>'5. PERSON'!P$15</f>
        <v/>
      </c>
      <c r="M864" s="112" t="s">
        <v>2</v>
      </c>
    </row>
    <row r="865" spans="2:15" s="3" customFormat="1" ht="12.75" customHeight="1" x14ac:dyDescent="0.25">
      <c r="B865" s="722" t="str">
        <f>IF('1. INTRO'!I$2="English","Salary including social costs (LKP)","Lön inklusive LKP")</f>
        <v>Salary including social costs (LKP)</v>
      </c>
      <c r="C865" s="723">
        <f>IF('2. START'!$C$14&gt;0,SUMIF('5. PERSON'!$B$17:$B$192,$C862,'5. PERSON'!DN$17:DN$192),SUMIF('5. PERSON'!$B$17:$B$192,$C862,'5. PERSON'!AT$17:AT$192))</f>
        <v>0</v>
      </c>
      <c r="D865" s="723">
        <f>IF('2. START'!$C$14&gt;0,SUMIF('5. PERSON'!$B$17:$B$192,$C862,'5. PERSON'!DO$17:DO$192),SUMIF('5. PERSON'!$B$17:$B$192,$C862,'5. PERSON'!AU$17:AU$192))</f>
        <v>0</v>
      </c>
      <c r="E865" s="723">
        <f>IF('2. START'!$C$14&gt;0,SUMIF('5. PERSON'!$B$17:$B$192,$C862,'5. PERSON'!DP$17:DP$192),SUMIF('5. PERSON'!$B$17:$B$192,$C862,'5. PERSON'!AV$17:AV$192))</f>
        <v>0</v>
      </c>
      <c r="F865" s="723">
        <f>IF('2. START'!$C$14&gt;0,SUMIF('5. PERSON'!$B$17:$B$192,$C862,'5. PERSON'!DQ$17:DQ$192),SUMIF('5. PERSON'!$B$17:$B$192,$C862,'5. PERSON'!AW$17:AW$192))</f>
        <v>0</v>
      </c>
      <c r="G865" s="723">
        <f>IF('2. START'!$C$14&gt;0,SUMIF('5. PERSON'!$B$17:$B$192,$C862,'5. PERSON'!DR$17:DR$192),SUMIF('5. PERSON'!$B$17:$B$192,$C862,'5. PERSON'!AX$17:AX$192))</f>
        <v>0</v>
      </c>
      <c r="H865" s="723">
        <f>IF('2. START'!$C$14&gt;0,SUMIF('5. PERSON'!$B$17:$B$192,$C862,'5. PERSON'!DS$17:DS$192),SUMIF('5. PERSON'!$B$17:$B$192,$C862,'5. PERSON'!AY$17:AY$192))</f>
        <v>0</v>
      </c>
      <c r="I865" s="723">
        <f>IF('2. START'!$C$14&gt;0,SUMIF('5. PERSON'!$B$17:$B$192,$C862,'5. PERSON'!DT$17:DT$192),SUMIF('5. PERSON'!$B$17:$B$192,$C862,'5. PERSON'!AZ$17:AZ$192))</f>
        <v>0</v>
      </c>
      <c r="J865" s="723">
        <f>IF('2. START'!$C$14&gt;0,SUMIF('5. PERSON'!$B$17:$B$192,$C862,'5. PERSON'!DU$17:DU$192),SUMIF('5. PERSON'!$B$17:$B$192,$C862,'5. PERSON'!BA$17:BA$192))</f>
        <v>0</v>
      </c>
      <c r="K865" s="723">
        <f>IF('2. START'!$C$14&gt;0,SUMIF('5. PERSON'!$B$17:$B$192,$C862,'5. PERSON'!DV$17:DV$192),SUMIF('5. PERSON'!$B$17:$B$192,$C862,'5. PERSON'!BB$17:BB$192))</f>
        <v>0</v>
      </c>
      <c r="L865" s="723">
        <f>IF('2. START'!$C$14&gt;0,SUMIF('5. PERSON'!$B$17:$B$192,$C862,'5. PERSON'!DW$17:DW$192),SUMIF('5. PERSON'!$B$17:$B$192,$C862,'5. PERSON'!BC$17:BC$192))</f>
        <v>0</v>
      </c>
      <c r="M865" s="724">
        <f t="shared" ref="M865:M870" si="177">SUM(C865:L865)</f>
        <v>0</v>
      </c>
      <c r="O865" s="4"/>
    </row>
    <row r="866" spans="2:15" s="3" customFormat="1" ht="12.75" customHeight="1" x14ac:dyDescent="0.25">
      <c r="B866" s="80" t="str">
        <f>IF('1. INTRO'!I$2="English","Operating","Drift")</f>
        <v>Operating</v>
      </c>
      <c r="C866" s="116">
        <f>SUMIF('6. OPERATION'!$B$17:$B$149,$C862,'6. OPERATION'!W$17:W$149)</f>
        <v>0</v>
      </c>
      <c r="D866" s="116">
        <f>SUMIF('6. OPERATION'!$B$17:$B$149,$C862,'6. OPERATION'!X$17:X$149)</f>
        <v>0</v>
      </c>
      <c r="E866" s="116">
        <f>SUMIF('6. OPERATION'!$B$17:$B$149,$C862,'6. OPERATION'!Y$17:Y$149)</f>
        <v>0</v>
      </c>
      <c r="F866" s="116">
        <f>SUMIF('6. OPERATION'!$B$17:$B$149,$C862,'6. OPERATION'!Z$17:Z$149)</f>
        <v>0</v>
      </c>
      <c r="G866" s="116">
        <f>SUMIF('6. OPERATION'!$B$17:$B$149,$C862,'6. OPERATION'!AA$17:AA$149)</f>
        <v>0</v>
      </c>
      <c r="H866" s="116">
        <f>SUMIF('6. OPERATION'!$B$17:$B$149,$C862,'6. OPERATION'!AB$17:AB$149)</f>
        <v>0</v>
      </c>
      <c r="I866" s="116">
        <f>SUMIF('6. OPERATION'!$B$17:$B$149,$C862,'6. OPERATION'!AC$17:AC$149)</f>
        <v>0</v>
      </c>
      <c r="J866" s="116">
        <f>SUMIF('6. OPERATION'!$B$17:$B$149,$C862,'6. OPERATION'!AD$17:AD$149)</f>
        <v>0</v>
      </c>
      <c r="K866" s="116">
        <f>SUMIF('6. OPERATION'!$B$17:$B$149,$C862,'6. OPERATION'!AE$17:AE$149)</f>
        <v>0</v>
      </c>
      <c r="L866" s="116">
        <f>SUMIF('6. OPERATION'!$B$17:$B$149,$C862,'6. OPERATION'!AF$17:AF$149)</f>
        <v>0</v>
      </c>
      <c r="M866" s="117">
        <f t="shared" si="177"/>
        <v>0</v>
      </c>
    </row>
    <row r="867" spans="2:15" s="3" customFormat="1" ht="13.2" x14ac:dyDescent="0.25">
      <c r="B867" s="725" t="str">
        <f>IF('1. INTRO'!I$2="English","Equipment","Utrustning")</f>
        <v>Equipment</v>
      </c>
      <c r="C867" s="726">
        <f>SUMIF('7. INVEST'!$B$17:$B$49,$C862,'7. INVEST'!W$17:W$49)</f>
        <v>0</v>
      </c>
      <c r="D867" s="726">
        <f>SUMIF('7. INVEST'!$B$17:$B$49,$C862,'7. INVEST'!X$17:X$49)</f>
        <v>0</v>
      </c>
      <c r="E867" s="726">
        <f>SUMIF('7. INVEST'!$B$17:$B$49,$C862,'7. INVEST'!Y$17:Y$49)</f>
        <v>0</v>
      </c>
      <c r="F867" s="726">
        <f>SUMIF('7. INVEST'!$B$17:$B$49,$C862,'7. INVEST'!Z$17:Z$49)</f>
        <v>0</v>
      </c>
      <c r="G867" s="726">
        <f>SUMIF('7. INVEST'!$B$17:$B$49,$C862,'7. INVEST'!AA$17:AA$49)</f>
        <v>0</v>
      </c>
      <c r="H867" s="726">
        <f>SUMIF('7. INVEST'!$B$17:$B$49,$C862,'7. INVEST'!AB$17:AB$49)</f>
        <v>0</v>
      </c>
      <c r="I867" s="726">
        <f>SUMIF('7. INVEST'!$B$17:$B$49,$C862,'7. INVEST'!AC$17:AC$49)</f>
        <v>0</v>
      </c>
      <c r="J867" s="726">
        <f>SUMIF('7. INVEST'!$B$17:$B$49,$C862,'7. INVEST'!AD$17:AD$49)</f>
        <v>0</v>
      </c>
      <c r="K867" s="726">
        <f>SUMIF('7. INVEST'!$B$17:$B$49,$C862,'7. INVEST'!AE$17:AE$49)</f>
        <v>0</v>
      </c>
      <c r="L867" s="726">
        <f>SUMIF('7. INVEST'!$B$17:$B$49,$C862,'7. INVEST'!AF$17:AF$49)</f>
        <v>0</v>
      </c>
      <c r="M867" s="727">
        <f t="shared" si="177"/>
        <v>0</v>
      </c>
    </row>
    <row r="868" spans="2:15" s="3" customFormat="1" ht="13.2" x14ac:dyDescent="0.25">
      <c r="B868" s="121" t="str">
        <f>IF('1. INTRO'!I$2="English",(IF('2. START'!C$11="NO","Facility accepted as direct cost by funding body","Facility")),IF('2. START'!C$11="NO","Lokal accepterad som direkt kostnad av finansiär","Lokal"))</f>
        <v>Facility</v>
      </c>
      <c r="C868" s="116">
        <f>IF('2. START'!$C$11="NO",SUMIF('8. FACILIT'!$B$18:$B$50,$C862,'8. FACILIT'!T$18:T$50),SUMIF('5. PERSON'!$B$17:$B$192,$C862,'5. PERSON'!CP$17:CP$192)+SUMIF('6. OPERATION'!$B$17:$B$149,$C862,'6. OPERATION'!BS$17:BS$149)+SUMIF('8. FACILIT'!$B$18:$B$50,$C862,'8. FACILIT'!T$18:T$50))</f>
        <v>0</v>
      </c>
      <c r="D868" s="116">
        <f>IF('2. START'!$C$11="NO",SUMIF('8. FACILIT'!$B$18:$B$50,$C862,'8. FACILIT'!U$18:U$50),SUMIF('5. PERSON'!$B$17:$B$192,$C862,'5. PERSON'!CQ$17:CQ$192)+SUMIF('6. OPERATION'!$B$17:$B$149,$C862,'6. OPERATION'!BT$17:BT$149)+SUMIF('8. FACILIT'!$B$18:$B$50,$C862,'8. FACILIT'!U$18:U$50))</f>
        <v>0</v>
      </c>
      <c r="E868" s="116">
        <f>IF('2. START'!$C$11="NO",SUMIF('8. FACILIT'!$B$18:$B$50,$C862,'8. FACILIT'!V$18:V$50),SUMIF('5. PERSON'!$B$17:$B$192,$C862,'5. PERSON'!CR$17:CR$192)+SUMIF('6. OPERATION'!$B$17:$B$149,$C862,'6. OPERATION'!BU$17:BU$149)+SUMIF('8. FACILIT'!$B$18:$B$50,$C862,'8. FACILIT'!V$18:V$50))</f>
        <v>0</v>
      </c>
      <c r="F868" s="116">
        <f>IF('2. START'!$C$11="NO",SUMIF('8. FACILIT'!$B$18:$B$50,$C862,'8. FACILIT'!W$18:W$50),SUMIF('5. PERSON'!$B$17:$B$192,$C862,'5. PERSON'!CS$17:CS$192)+SUMIF('6. OPERATION'!$B$17:$B$149,$C862,'6. OPERATION'!BV$17:BV$149)+SUMIF('8. FACILIT'!$B$18:$B$50,$C862,'8. FACILIT'!W$18:W$50))</f>
        <v>0</v>
      </c>
      <c r="G868" s="116">
        <f>IF('2. START'!$C$11="NO",SUMIF('8. FACILIT'!$B$18:$B$50,$C862,'8. FACILIT'!X$18:X$50),SUMIF('5. PERSON'!$B$17:$B$192,$C862,'5. PERSON'!CT$17:CT$192)+SUMIF('6. OPERATION'!$B$17:$B$149,$C862,'6. OPERATION'!BW$17:BW$149)+SUMIF('8. FACILIT'!$B$18:$B$50,$C862,'8. FACILIT'!X$18:X$50))</f>
        <v>0</v>
      </c>
      <c r="H868" s="116">
        <f>IF('2. START'!$C$11="NO",SUMIF('8. FACILIT'!$B$18:$B$50,$C862,'8. FACILIT'!Y$18:Y$50),SUMIF('5. PERSON'!$B$17:$B$192,$C862,'5. PERSON'!CU$17:CU$192)+SUMIF('6. OPERATION'!$B$17:$B$149,$C862,'6. OPERATION'!BX$17:BX$149)+SUMIF('8. FACILIT'!$B$18:$B$50,$C862,'8. FACILIT'!Y$18:Y$50))</f>
        <v>0</v>
      </c>
      <c r="I868" s="116">
        <f>IF('2. START'!$C$11="NO",SUMIF('8. FACILIT'!$B$18:$B$50,$C862,'8. FACILIT'!Z$18:Z$50),SUMIF('5. PERSON'!$B$17:$B$192,$C862,'5. PERSON'!CV$17:CV$192)+SUMIF('6. OPERATION'!$B$17:$B$149,$C862,'6. OPERATION'!BY$17:BY$149)+SUMIF('8. FACILIT'!$B$18:$B$50,$C862,'8. FACILIT'!Z$18:Z$50))</f>
        <v>0</v>
      </c>
      <c r="J868" s="116">
        <f>IF('2. START'!$C$11="NO",SUMIF('8. FACILIT'!$B$18:$B$50,$C862,'8. FACILIT'!AA$18:AA$50),SUMIF('5. PERSON'!$B$17:$B$192,$C862,'5. PERSON'!CW$17:CW$192)+SUMIF('6. OPERATION'!$B$17:$B$149,$C862,'6. OPERATION'!BZ$17:BZ$149)+SUMIF('8. FACILIT'!$B$18:$B$50,$C862,'8. FACILIT'!AA$18:AA$50))</f>
        <v>0</v>
      </c>
      <c r="K868" s="116">
        <f>IF('2. START'!$C$11="NO",SUMIF('8. FACILIT'!$B$18:$B$50,$C862,'8. FACILIT'!AB$18:AB$50),SUMIF('5. PERSON'!$B$17:$B$192,$C862,'5. PERSON'!CX$17:CX$192)+SUMIF('6. OPERATION'!$B$17:$B$149,$C862,'6. OPERATION'!CA$17:CA$149)+SUMIF('8. FACILIT'!$B$18:$B$50,$C862,'8. FACILIT'!AB$18:AB$50))</f>
        <v>0</v>
      </c>
      <c r="L868" s="116">
        <f>IF('2. START'!$C$11="NO",SUMIF('8. FACILIT'!$B$18:$B$50,$C862,'8. FACILIT'!AC$18:AC$50),SUMIF('5. PERSON'!$B$17:$B$192,$C862,'5. PERSON'!CY$17:CY$192)+SUMIF('6. OPERATION'!$B$17:$B$149,$C862,'6. OPERATION'!CB$17:CB$149)+SUMIF('8. FACILIT'!$B$18:$B$50,$C862,'8. FACILIT'!AC$18:AC$50))</f>
        <v>0</v>
      </c>
      <c r="M868" s="117">
        <f t="shared" si="177"/>
        <v>0</v>
      </c>
    </row>
    <row r="869" spans="2:15" s="3" customFormat="1" ht="13.2" x14ac:dyDescent="0.25">
      <c r="B869" s="728" t="str">
        <f>IF('1. INTRO'!I$2="English",(IF('2. START'!C$11="NO","Indirect and facility charge accepted as OH by funding body","Indirect")),IF('2. START'!C$11="NO","Indirekt och lokalpåslag accepterade som OH av finansiär","Indirekt"))</f>
        <v>Indirect</v>
      </c>
      <c r="C869" s="729">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729">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729">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729">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729">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729">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729">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729">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729">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729">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727">
        <f t="shared" si="177"/>
        <v>0</v>
      </c>
    </row>
    <row r="870" spans="2:15" s="3" customFormat="1" ht="13.2" x14ac:dyDescent="0.25">
      <c r="B870" s="124" t="s">
        <v>113</v>
      </c>
      <c r="C870" s="102">
        <f>SUM(C865:C869)</f>
        <v>0</v>
      </c>
      <c r="D870" s="102">
        <f t="shared" ref="D870:L870" si="178">SUM(D865:D869)</f>
        <v>0</v>
      </c>
      <c r="E870" s="102">
        <f t="shared" si="178"/>
        <v>0</v>
      </c>
      <c r="F870" s="102">
        <f t="shared" si="178"/>
        <v>0</v>
      </c>
      <c r="G870" s="102">
        <f t="shared" si="178"/>
        <v>0</v>
      </c>
      <c r="H870" s="102">
        <f t="shared" si="178"/>
        <v>0</v>
      </c>
      <c r="I870" s="102">
        <f t="shared" si="178"/>
        <v>0</v>
      </c>
      <c r="J870" s="102">
        <f t="shared" si="178"/>
        <v>0</v>
      </c>
      <c r="K870" s="102">
        <f t="shared" si="178"/>
        <v>0</v>
      </c>
      <c r="L870" s="102">
        <f t="shared" si="178"/>
        <v>0</v>
      </c>
      <c r="M870" s="125">
        <f t="shared" si="177"/>
        <v>0</v>
      </c>
    </row>
    <row r="871" spans="2:15" s="3" customFormat="1" ht="6" customHeight="1" x14ac:dyDescent="0.25">
      <c r="B871" s="126"/>
      <c r="C871" s="127"/>
      <c r="D871" s="127"/>
      <c r="E871" s="127"/>
      <c r="F871" s="127"/>
      <c r="G871" s="127"/>
      <c r="H871" s="127"/>
      <c r="I871" s="127"/>
      <c r="J871" s="127"/>
      <c r="K871" s="127"/>
      <c r="L871" s="127"/>
      <c r="M871" s="128"/>
    </row>
    <row r="872" spans="2:15" s="3" customFormat="1" ht="13.2" x14ac:dyDescent="0.25">
      <c r="B872" s="129" t="str">
        <f>IF('1. INTRO'!I$2="English","Costs to be co-funded","Kostnader att medfinansiera")</f>
        <v>Costs to be co-funded</v>
      </c>
      <c r="C872" s="86"/>
      <c r="D872" s="86"/>
      <c r="E872" s="86"/>
      <c r="F872" s="86"/>
      <c r="G872" s="86"/>
      <c r="H872" s="86"/>
      <c r="I872" s="86"/>
      <c r="J872" s="86"/>
      <c r="K872" s="86"/>
      <c r="L872" s="86"/>
      <c r="M872" s="130"/>
    </row>
    <row r="873" spans="2:15" s="3" customFormat="1" ht="13.2" x14ac:dyDescent="0.25">
      <c r="B873" s="730" t="str">
        <f>IF('1. INTRO'!I$2="English",(IF('2. START'!C$11="NO","Indirect and facility charge not accepted as OH by funding body","")),IF('2. START'!C$11="NO","Indirekt och lokalpåslag inte accepterade som OH av finansiär",""))</f>
        <v/>
      </c>
      <c r="C873" s="731">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731">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731">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731">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731">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731">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731">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731">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731">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731">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724">
        <f t="shared" ref="M873:M879" si="179">SUM(C873:L873)</f>
        <v>0</v>
      </c>
    </row>
    <row r="874" spans="2:15" s="3" customFormat="1" ht="12.75" customHeight="1" x14ac:dyDescent="0.25">
      <c r="B874" s="132" t="str">
        <f>IF('1. INTRO'!I$2="English",(IF('2. START'!C$14&gt;0,"Social costs (LKP) not accepted by funding body","")),IF('2. START'!C$14&gt;0,"LKP som inte accepteras av finansiär",""))</f>
        <v/>
      </c>
      <c r="C874" s="133">
        <f>IF('2. START'!$C$14&gt;0,SUMIF('5. PERSON'!$B$17:$B$192,$C862,'5. PERSON'!AT$17:AT$192)-SUMIF('5. PERSON'!$B$17:$B$192,$C862,'5. PERSON'!DN$17:DN$192),0)</f>
        <v>0</v>
      </c>
      <c r="D874" s="133">
        <f>IF('2. START'!$C$14&gt;0,SUMIF('5. PERSON'!$B$17:$B$192,$C862,'5. PERSON'!AU$17:AU$192)-SUMIF('5. PERSON'!$B$17:$B$192,$C862,'5. PERSON'!DO$17:DO$192),0)</f>
        <v>0</v>
      </c>
      <c r="E874" s="133">
        <f>IF('2. START'!$C$14&gt;0,SUMIF('5. PERSON'!$B$17:$B$192,$C862,'5. PERSON'!AV$17:AV$192)-SUMIF('5. PERSON'!$B$17:$B$192,$C862,'5. PERSON'!DP$17:DP$192),0)</f>
        <v>0</v>
      </c>
      <c r="F874" s="133">
        <f>IF('2. START'!$C$14&gt;0,SUMIF('5. PERSON'!$B$17:$B$192,$C862,'5. PERSON'!AW$17:AW$192)-SUMIF('5. PERSON'!$B$17:$B$192,$C862,'5. PERSON'!DQ$17:DQ$192),0)</f>
        <v>0</v>
      </c>
      <c r="G874" s="133">
        <f>IF('2. START'!$C$14&gt;0,SUMIF('5. PERSON'!$B$17:$B$192,$C862,'5. PERSON'!AX$17:AX$192)-SUMIF('5. PERSON'!$B$17:$B$192,$C862,'5. PERSON'!DR$17:DR$192),0)</f>
        <v>0</v>
      </c>
      <c r="H874" s="133">
        <f>IF('2. START'!$C$14&gt;0,SUMIF('5. PERSON'!$B$17:$B$192,$C862,'5. PERSON'!AY$17:AY$192)-SUMIF('5. PERSON'!$B$17:$B$192,$C862,'5. PERSON'!DS$17:DS$192),0)</f>
        <v>0</v>
      </c>
      <c r="I874" s="133">
        <f>IF('2. START'!$C$14&gt;0,SUMIF('5. PERSON'!$B$17:$B$192,$C862,'5. PERSON'!AZ$17:AZ$192)-SUMIF('5. PERSON'!$B$17:$B$192,$C862,'5. PERSON'!DT$17:DT$192),0)</f>
        <v>0</v>
      </c>
      <c r="J874" s="133">
        <f>IF('2. START'!$C$14&gt;0,SUMIF('5. PERSON'!$B$17:$B$192,$C862,'5. PERSON'!BA$17:BA$192)-SUMIF('5. PERSON'!$B$17:$B$192,$C862,'5. PERSON'!DU$17:DU$192),0)</f>
        <v>0</v>
      </c>
      <c r="K874" s="133">
        <f>IF('2. START'!$C$14&gt;0,SUMIF('5. PERSON'!$B$17:$B$192,$C862,'5. PERSON'!BB$17:BB$192)-SUMIF('5. PERSON'!$B$17:$B$192,$C862,'5. PERSON'!DV$17:DV$192),0)</f>
        <v>0</v>
      </c>
      <c r="L874" s="133">
        <f>IF('2. START'!$C$14&gt;0,SUMIF('5. PERSON'!$B$17:$B$192,$C862,'5. PERSON'!BC$17:BC$192)-SUMIF('5. PERSON'!$B$17:$B$192,$C862,'5. PERSON'!DW$17:DW$192),0)</f>
        <v>0</v>
      </c>
      <c r="M874" s="117">
        <f t="shared" si="179"/>
        <v>0</v>
      </c>
    </row>
    <row r="875" spans="2:15" s="3" customFormat="1" ht="12.75" customHeight="1" x14ac:dyDescent="0.25">
      <c r="B875" s="725" t="str">
        <f>IF('1. INTRO'!I$2="English",(IF('5. PERSON'!BP$193&gt;0,"Salary including social costs (LKP)","")),IF('5. PERSON'!BP$193&gt;0,"Lön inklusive LKP",""))</f>
        <v/>
      </c>
      <c r="C875" s="732">
        <f>SUMIF('5. PERSON'!$B$17:$B$192,$C862,'5. PERSON'!BF$17:BF$192)</f>
        <v>0</v>
      </c>
      <c r="D875" s="732">
        <f>SUMIF('5. PERSON'!$B$17:$B$192,$C862,'5. PERSON'!BG$17:BG$192)</f>
        <v>0</v>
      </c>
      <c r="E875" s="732">
        <f>SUMIF('5. PERSON'!$B$17:$B$192,$C862,'5. PERSON'!BH$17:BH$192)</f>
        <v>0</v>
      </c>
      <c r="F875" s="732">
        <f>SUMIF('5. PERSON'!$B$17:$B$192,$C862,'5. PERSON'!BI$17:BI$192)</f>
        <v>0</v>
      </c>
      <c r="G875" s="732">
        <f>SUMIF('5. PERSON'!$B$17:$B$192,$C862,'5. PERSON'!BJ$17:BJ$192)</f>
        <v>0</v>
      </c>
      <c r="H875" s="732">
        <f>SUMIF('5. PERSON'!$B$17:$B$192,$C862,'5. PERSON'!BK$17:BK$192)</f>
        <v>0</v>
      </c>
      <c r="I875" s="732">
        <f>SUMIF('5. PERSON'!$B$17:$B$192,$C862,'5. PERSON'!BL$17:BL$192)</f>
        <v>0</v>
      </c>
      <c r="J875" s="732">
        <f>SUMIF('5. PERSON'!$B$17:$B$192,$C862,'5. PERSON'!BM$17:BM$192)</f>
        <v>0</v>
      </c>
      <c r="K875" s="732">
        <f>SUMIF('5. PERSON'!$B$17:$B$192,$C862,'5. PERSON'!BN$17:BN$192)</f>
        <v>0</v>
      </c>
      <c r="L875" s="732">
        <f>SUMIF('5. PERSON'!$B$17:$B$192,$C862,'5. PERSON'!BO$17:BO$192)</f>
        <v>0</v>
      </c>
      <c r="M875" s="727">
        <f t="shared" si="179"/>
        <v>0</v>
      </c>
    </row>
    <row r="876" spans="2:15" s="3" customFormat="1" ht="13.2" x14ac:dyDescent="0.25">
      <c r="B876" s="80" t="str">
        <f>IF('1. INTRO'!I$2="English",(IF('6. OPERATION'!AS$150&gt;0,"Operating","")),IF('6. OPERATION'!AS$150&gt;0,"Drift",""))</f>
        <v/>
      </c>
      <c r="C876" s="135">
        <f>SUMIF('6. OPERATION'!$B$17:$B$149,$C862,'6. OPERATION'!AI$17:AI$149)</f>
        <v>0</v>
      </c>
      <c r="D876" s="135">
        <f>SUMIF('6. OPERATION'!$B$17:$B$149,$C862,'6. OPERATION'!AJ$17:AJ$149)</f>
        <v>0</v>
      </c>
      <c r="E876" s="135">
        <f>SUMIF('6. OPERATION'!$B$17:$B$149,$C862,'6. OPERATION'!AK$17:AK$149)</f>
        <v>0</v>
      </c>
      <c r="F876" s="135">
        <f>SUMIF('6. OPERATION'!$B$17:$B$149,$C862,'6. OPERATION'!AL$17:AL$149)</f>
        <v>0</v>
      </c>
      <c r="G876" s="135">
        <f>SUMIF('6. OPERATION'!$B$17:$B$149,$C862,'6. OPERATION'!AM$17:AM$149)</f>
        <v>0</v>
      </c>
      <c r="H876" s="135">
        <f>SUMIF('6. OPERATION'!$B$17:$B$149,$C862,'6. OPERATION'!AN$17:AN$149)</f>
        <v>0</v>
      </c>
      <c r="I876" s="135">
        <f>SUMIF('6. OPERATION'!$B$17:$B$149,$C862,'6. OPERATION'!AO$17:AO$149)</f>
        <v>0</v>
      </c>
      <c r="J876" s="135">
        <f>SUMIF('6. OPERATION'!$B$17:$B$149,$C862,'6. OPERATION'!AP$17:AP$149)</f>
        <v>0</v>
      </c>
      <c r="K876" s="135">
        <f>SUMIF('6. OPERATION'!$B$17:$B$149,$C862,'6. OPERATION'!AQ$17:AQ$149)</f>
        <v>0</v>
      </c>
      <c r="L876" s="135">
        <f>SUMIF('6. OPERATION'!$B$17:$B$149,$C862,'6. OPERATION'!AR$17:AR$149)</f>
        <v>0</v>
      </c>
      <c r="M876" s="117">
        <f t="shared" si="179"/>
        <v>0</v>
      </c>
    </row>
    <row r="877" spans="2:15" s="3" customFormat="1" ht="13.2" x14ac:dyDescent="0.25">
      <c r="B877" s="725" t="str">
        <f>IF('1. INTRO'!I$2="English",(IF('7. INVEST'!AS$50&gt;0,"Equipment","")),IF('7. INVEST'!AS$50&gt;0,"Utrustning",""))</f>
        <v/>
      </c>
      <c r="C877" s="732">
        <f>SUMIF('7. INVEST'!$B$17:$B$49,$C862,'7. INVEST'!AI$17:AI$49)</f>
        <v>0</v>
      </c>
      <c r="D877" s="732">
        <f>SUMIF('7. INVEST'!$B$17:$B$49,$C862,'7. INVEST'!AJ$17:AJ$49)</f>
        <v>0</v>
      </c>
      <c r="E877" s="732">
        <f>SUMIF('7. INVEST'!$B$17:$B$49,$C862,'7. INVEST'!AK$17:AK$49)</f>
        <v>0</v>
      </c>
      <c r="F877" s="732">
        <f>SUMIF('7. INVEST'!$B$17:$B$49,$C862,'7. INVEST'!AL$17:AL$49)</f>
        <v>0</v>
      </c>
      <c r="G877" s="732">
        <f>SUMIF('7. INVEST'!$B$17:$B$49,$C862,'7. INVEST'!AM$17:AM$49)</f>
        <v>0</v>
      </c>
      <c r="H877" s="732">
        <f>SUMIF('7. INVEST'!$B$17:$B$49,$C862,'7. INVEST'!AN$17:AN$49)</f>
        <v>0</v>
      </c>
      <c r="I877" s="732">
        <f>SUMIF('7. INVEST'!$B$17:$B$49,$C862,'7. INVEST'!AO$17:AO$49)</f>
        <v>0</v>
      </c>
      <c r="J877" s="732">
        <f>SUMIF('7. INVEST'!$B$17:$B$49,$C862,'7. INVEST'!AP$17:AP$49)</f>
        <v>0</v>
      </c>
      <c r="K877" s="732">
        <f>SUMIF('7. INVEST'!$B$17:$B$49,$C862,'7. INVEST'!AQ$17:AQ$49)</f>
        <v>0</v>
      </c>
      <c r="L877" s="732">
        <f>SUMIF('7. INVEST'!$B$17:$B$49,$C862,'7. INVEST'!AR$17:AR$49)</f>
        <v>0</v>
      </c>
      <c r="M877" s="727">
        <f t="shared" si="179"/>
        <v>0</v>
      </c>
    </row>
    <row r="878" spans="2:15" s="3" customFormat="1" ht="13.2" x14ac:dyDescent="0.25">
      <c r="B878" s="121" t="str">
        <f>IF('1. INTRO'!I$2="English",(IF('8. FACILIT'!AP$51&gt;0,"Facility","")),IF('8. FACILIT'!AP$51&gt;0,"Lokal",""))</f>
        <v/>
      </c>
      <c r="C878" s="135">
        <f>SUMIF('5. PERSON'!$B$17:$B$192,$C862,'5. PERSON'!DB$17:DB$192)+SUMIF('6. OPERATION'!$B$17:$B$149,$C862,'6. OPERATION'!CE$17:CE$149)+SUMIF('8. FACILIT'!$B$18:$B$50,$C862,'8. FACILIT'!AF$18:AF$50)</f>
        <v>0</v>
      </c>
      <c r="D878" s="135">
        <f>SUMIF('5. PERSON'!$B$17:$B$192,$C862,'5. PERSON'!DC$17:DC$192)+SUMIF('6. OPERATION'!$B$17:$B$149,$C862,'6. OPERATION'!CF$17:CF$149)+SUMIF('8. FACILIT'!$B$18:$B$50,$C862,'8. FACILIT'!AG$18:AG$50)</f>
        <v>0</v>
      </c>
      <c r="E878" s="135">
        <f>SUMIF('5. PERSON'!$B$17:$B$192,$C862,'5. PERSON'!DD$17:DD$192)+SUMIF('6. OPERATION'!$B$17:$B$149,$C862,'6. OPERATION'!CG$17:CG$149)+SUMIF('8. FACILIT'!$B$18:$B$50,$C862,'8. FACILIT'!AH$18:AH$50)</f>
        <v>0</v>
      </c>
      <c r="F878" s="135">
        <f>SUMIF('5. PERSON'!$B$17:$B$192,$C862,'5. PERSON'!DE$17:DE$192)+SUMIF('6. OPERATION'!$B$17:$B$149,$C862,'6. OPERATION'!CH$17:CH$149)+SUMIF('8. FACILIT'!$B$18:$B$50,$C862,'8. FACILIT'!AI$18:AI$50)</f>
        <v>0</v>
      </c>
      <c r="G878" s="135">
        <f>SUMIF('5. PERSON'!$B$17:$B$192,$C862,'5. PERSON'!DF$17:DF$192)+SUMIF('6. OPERATION'!$B$17:$B$149,$C862,'6. OPERATION'!CI$17:CI$149)+SUMIF('8. FACILIT'!$B$18:$B$50,$C862,'8. FACILIT'!AJ$18:AJ$50)</f>
        <v>0</v>
      </c>
      <c r="H878" s="135">
        <f>SUMIF('5. PERSON'!$B$17:$B$192,$C862,'5. PERSON'!DG$17:DG$192)+SUMIF('6. OPERATION'!$B$17:$B$149,$C862,'6. OPERATION'!CJ$17:CJ$149)+SUMIF('8. FACILIT'!$B$18:$B$50,$C862,'8. FACILIT'!AK$18:AK$50)</f>
        <v>0</v>
      </c>
      <c r="I878" s="135">
        <f>SUMIF('5. PERSON'!$B$17:$B$192,$C862,'5. PERSON'!DH$17:DH$192)+SUMIF('6. OPERATION'!$B$17:$B$149,$C862,'6. OPERATION'!CK$17:CK$149)+SUMIF('8. FACILIT'!$B$18:$B$50,$C862,'8. FACILIT'!AL$18:AL$50)</f>
        <v>0</v>
      </c>
      <c r="J878" s="135">
        <f>SUMIF('5. PERSON'!$B$17:$B$192,$C862,'5. PERSON'!DI$17:DI$192)+SUMIF('6. OPERATION'!$B$17:$B$149,$C862,'6. OPERATION'!CL$17:CL$149)+SUMIF('8. FACILIT'!$B$18:$B$50,$C862,'8. FACILIT'!AM$18:AM$50)</f>
        <v>0</v>
      </c>
      <c r="K878" s="135">
        <f>SUMIF('5. PERSON'!$B$17:$B$192,$C862,'5. PERSON'!DJ$17:DJ$192)+SUMIF('6. OPERATION'!$B$17:$B$149,$C862,'6. OPERATION'!CM$17:CM$149)+SUMIF('8. FACILIT'!$B$18:$B$50,$C862,'8. FACILIT'!AN$18:AN$50)</f>
        <v>0</v>
      </c>
      <c r="L878" s="135">
        <f>SUMIF('5. PERSON'!$B$17:$B$192,$C862,'5. PERSON'!DK$17:DK$192)+SUMIF('6. OPERATION'!$B$17:$B$149,$C862,'6. OPERATION'!CN$17:CN$149)+SUMIF('8. FACILIT'!$B$18:$B$50,$C862,'8. FACILIT'!AO$18:AO$50)</f>
        <v>0</v>
      </c>
      <c r="M878" s="117">
        <f t="shared" si="179"/>
        <v>0</v>
      </c>
    </row>
    <row r="879" spans="2:15" s="1" customFormat="1" ht="13.2" x14ac:dyDescent="0.25">
      <c r="B879" s="728" t="str">
        <f>IF('1. INTRO'!I$2="English",(IF(('5. PERSON'!CN$193+'6. OPERATION'!BQ$150)&gt;0,"Indirect","")),IF(('5. PERSON'!CN$193+'6. OPERATION'!BQ$150)&gt;0,"Indirekt",""))</f>
        <v/>
      </c>
      <c r="C879" s="729">
        <f>SUMIF('5. PERSON'!$B$17:$B$192,$C862,'5. PERSON'!CD$17:CD$192)+SUMIF('6. OPERATION'!$B$17:$B$149,$C862,'6. OPERATION'!BG$17:BG$149)</f>
        <v>0</v>
      </c>
      <c r="D879" s="729">
        <f>SUMIF('5. PERSON'!$B$17:$B$192,$C862,'5. PERSON'!CE$17:CE$192)+SUMIF('6. OPERATION'!$B$17:$B$149,$C862,'6. OPERATION'!BH$17:BH$149)</f>
        <v>0</v>
      </c>
      <c r="E879" s="729">
        <f>SUMIF('5. PERSON'!$B$17:$B$192,$C862,'5. PERSON'!CF$17:CF$192)+SUMIF('6. OPERATION'!$B$17:$B$149,$C862,'6. OPERATION'!BI$17:BI$149)</f>
        <v>0</v>
      </c>
      <c r="F879" s="729">
        <f>SUMIF('5. PERSON'!$B$17:$B$192,$C862,'5. PERSON'!CG$17:CG$192)+SUMIF('6. OPERATION'!$B$17:$B$149,$C862,'6. OPERATION'!BJ$17:BJ$149)</f>
        <v>0</v>
      </c>
      <c r="G879" s="729">
        <f>SUMIF('5. PERSON'!$B$17:$B$192,$C862,'5. PERSON'!CH$17:CH$192)+SUMIF('6. OPERATION'!$B$17:$B$149,$C862,'6. OPERATION'!BK$17:BK$149)</f>
        <v>0</v>
      </c>
      <c r="H879" s="729">
        <f>SUMIF('5. PERSON'!$B$17:$B$192,$C862,'5. PERSON'!CI$17:CI$192)+SUMIF('6. OPERATION'!$B$17:$B$149,$C862,'6. OPERATION'!BL$17:BL$149)</f>
        <v>0</v>
      </c>
      <c r="I879" s="729">
        <f>SUMIF('5. PERSON'!$B$17:$B$192,$C862,'5. PERSON'!CJ$17:CJ$192)+SUMIF('6. OPERATION'!$B$17:$B$149,$C862,'6. OPERATION'!BM$17:BM$149)</f>
        <v>0</v>
      </c>
      <c r="J879" s="729">
        <f>SUMIF('5. PERSON'!$B$17:$B$192,$C862,'5. PERSON'!CK$17:CK$192)+SUMIF('6. OPERATION'!$B$17:$B$149,$C862,'6. OPERATION'!BN$17:BN$149)</f>
        <v>0</v>
      </c>
      <c r="K879" s="729">
        <f>SUMIF('5. PERSON'!$B$17:$B$192,$C862,'5. PERSON'!CL$17:CL$192)+SUMIF('6. OPERATION'!$B$17:$B$149,$C862,'6. OPERATION'!BO$17:BO$149)</f>
        <v>0</v>
      </c>
      <c r="L879" s="729">
        <f>SUMIF('5. PERSON'!$B$17:$B$192,$C862,'5. PERSON'!CM$17:CM$192)+SUMIF('6. OPERATION'!$B$17:$B$149,$C862,'6. OPERATION'!BP$17:BP$149)</f>
        <v>0</v>
      </c>
      <c r="M879" s="733">
        <f t="shared" si="179"/>
        <v>0</v>
      </c>
    </row>
    <row r="880" spans="2:15" s="3" customFormat="1" ht="13.2" x14ac:dyDescent="0.25">
      <c r="B880" s="124" t="s">
        <v>113</v>
      </c>
      <c r="C880" s="102">
        <f>SUM(C873:C879)</f>
        <v>0</v>
      </c>
      <c r="D880" s="102">
        <f t="shared" ref="D880:M880" si="180">SUM(D873:D879)</f>
        <v>0</v>
      </c>
      <c r="E880" s="102">
        <f t="shared" si="180"/>
        <v>0</v>
      </c>
      <c r="F880" s="102">
        <f t="shared" si="180"/>
        <v>0</v>
      </c>
      <c r="G880" s="102">
        <f t="shared" si="180"/>
        <v>0</v>
      </c>
      <c r="H880" s="102">
        <f t="shared" si="180"/>
        <v>0</v>
      </c>
      <c r="I880" s="102">
        <f t="shared" si="180"/>
        <v>0</v>
      </c>
      <c r="J880" s="102">
        <f t="shared" si="180"/>
        <v>0</v>
      </c>
      <c r="K880" s="102">
        <f t="shared" si="180"/>
        <v>0</v>
      </c>
      <c r="L880" s="102">
        <f t="shared" si="180"/>
        <v>0</v>
      </c>
      <c r="M880" s="125">
        <f t="shared" si="180"/>
        <v>0</v>
      </c>
      <c r="N880" s="23"/>
      <c r="O880" s="23"/>
    </row>
    <row r="881" spans="2:13" s="3" customFormat="1" ht="6" customHeight="1" x14ac:dyDescent="0.25">
      <c r="B881" s="136"/>
      <c r="C881" s="127"/>
      <c r="D881" s="127"/>
      <c r="E881" s="127"/>
      <c r="F881" s="127"/>
      <c r="G881" s="127"/>
      <c r="H881" s="127"/>
      <c r="I881" s="127"/>
      <c r="J881" s="127"/>
      <c r="K881" s="127"/>
      <c r="L881" s="127"/>
      <c r="M881" s="137"/>
    </row>
    <row r="882" spans="2:13" s="3" customFormat="1" ht="13.2" x14ac:dyDescent="0.25">
      <c r="B882" s="129" t="str">
        <f>IF('1. INTRO'!I$2="English","Full cost","Full kostnad")</f>
        <v>Full cost</v>
      </c>
      <c r="C882" s="127"/>
      <c r="D882" s="127"/>
      <c r="E882" s="127"/>
      <c r="F882" s="127"/>
      <c r="G882" s="127"/>
      <c r="H882" s="127"/>
      <c r="I882" s="127"/>
      <c r="J882" s="127"/>
      <c r="K882" s="127"/>
      <c r="L882" s="127"/>
      <c r="M882" s="137"/>
    </row>
    <row r="883" spans="2:13" s="3" customFormat="1" ht="13.2" x14ac:dyDescent="0.25">
      <c r="B883" s="722" t="str">
        <f>IF('1. INTRO'!I$2="English","Salary including social costs (LKP)","Lön inklusive LKP")</f>
        <v>Salary including social costs (LKP)</v>
      </c>
      <c r="C883" s="734">
        <f>C865+C874+C875</f>
        <v>0</v>
      </c>
      <c r="D883" s="734">
        <f t="shared" ref="D883:L883" si="181">D865+D874+D875</f>
        <v>0</v>
      </c>
      <c r="E883" s="734">
        <f t="shared" si="181"/>
        <v>0</v>
      </c>
      <c r="F883" s="734">
        <f t="shared" si="181"/>
        <v>0</v>
      </c>
      <c r="G883" s="734">
        <f t="shared" si="181"/>
        <v>0</v>
      </c>
      <c r="H883" s="734">
        <f t="shared" si="181"/>
        <v>0</v>
      </c>
      <c r="I883" s="734">
        <f t="shared" si="181"/>
        <v>0</v>
      </c>
      <c r="J883" s="734">
        <f t="shared" si="181"/>
        <v>0</v>
      </c>
      <c r="K883" s="734">
        <f t="shared" si="181"/>
        <v>0</v>
      </c>
      <c r="L883" s="734">
        <f t="shared" si="181"/>
        <v>0</v>
      </c>
      <c r="M883" s="724">
        <f>SUM(C883:L883)</f>
        <v>0</v>
      </c>
    </row>
    <row r="884" spans="2:13" s="3" customFormat="1" ht="13.2" x14ac:dyDescent="0.25">
      <c r="B884" s="80" t="str">
        <f>IF('1. INTRO'!I$2="English","Operating","Drift")</f>
        <v>Operating</v>
      </c>
      <c r="C884" s="139">
        <f>C866+C876</f>
        <v>0</v>
      </c>
      <c r="D884" s="139">
        <f t="shared" ref="D884:L884" si="182">D866+D876</f>
        <v>0</v>
      </c>
      <c r="E884" s="139">
        <f t="shared" si="182"/>
        <v>0</v>
      </c>
      <c r="F884" s="139">
        <f t="shared" si="182"/>
        <v>0</v>
      </c>
      <c r="G884" s="139">
        <f t="shared" si="182"/>
        <v>0</v>
      </c>
      <c r="H884" s="139">
        <f t="shared" si="182"/>
        <v>0</v>
      </c>
      <c r="I884" s="139">
        <f t="shared" si="182"/>
        <v>0</v>
      </c>
      <c r="J884" s="139">
        <f t="shared" si="182"/>
        <v>0</v>
      </c>
      <c r="K884" s="139">
        <f t="shared" si="182"/>
        <v>0</v>
      </c>
      <c r="L884" s="139">
        <f t="shared" si="182"/>
        <v>0</v>
      </c>
      <c r="M884" s="117">
        <f>SUM(C884:L884)</f>
        <v>0</v>
      </c>
    </row>
    <row r="885" spans="2:13" s="3" customFormat="1" ht="13.2" x14ac:dyDescent="0.25">
      <c r="B885" s="725" t="str">
        <f>IF('1. INTRO'!I$2="English","Equipment","Utrustning")</f>
        <v>Equipment</v>
      </c>
      <c r="C885" s="735">
        <f>C867+C877</f>
        <v>0</v>
      </c>
      <c r="D885" s="735">
        <f t="shared" ref="D885:L885" si="183">D867+D877</f>
        <v>0</v>
      </c>
      <c r="E885" s="735">
        <f t="shared" si="183"/>
        <v>0</v>
      </c>
      <c r="F885" s="735">
        <f t="shared" si="183"/>
        <v>0</v>
      </c>
      <c r="G885" s="735">
        <f t="shared" si="183"/>
        <v>0</v>
      </c>
      <c r="H885" s="735">
        <f t="shared" si="183"/>
        <v>0</v>
      </c>
      <c r="I885" s="735">
        <f t="shared" si="183"/>
        <v>0</v>
      </c>
      <c r="J885" s="735">
        <f t="shared" si="183"/>
        <v>0</v>
      </c>
      <c r="K885" s="735">
        <f t="shared" si="183"/>
        <v>0</v>
      </c>
      <c r="L885" s="735">
        <f t="shared" si="183"/>
        <v>0</v>
      </c>
      <c r="M885" s="727">
        <f>SUM(C885:L885)</f>
        <v>0</v>
      </c>
    </row>
    <row r="886" spans="2:13" s="3" customFormat="1" ht="13.2" x14ac:dyDescent="0.25">
      <c r="B886" s="80" t="str">
        <f>IF('1. INTRO'!I$2="English","Facility","Lokal")</f>
        <v>Facility</v>
      </c>
      <c r="C886" s="139">
        <f>SUMIF('5. PERSON'!$B$17:$B$192,$C862,'5. PERSON'!CP$17:CP$192)+SUMIF('5. PERSON'!$B$17:$B$192,$C862,'5. PERSON'!DB$17:DB$192)+SUMIF('6. OPERATION'!$B$17:$B$149,$C862,'6. OPERATION'!BS$17:BS$149)+SUMIF('6. OPERATION'!$B$17:$B$149,$C862,'6. OPERATION'!CE$17:CE$149)+SUMIF('8. FACILIT'!$B$18:$B$50,$C862,'8. FACILIT'!T$18:T$50)+SUMIF('8. FACILIT'!$B$18:$B$50,$C862,'8. FACILIT'!AF$18:AF$50)</f>
        <v>0</v>
      </c>
      <c r="D886" s="139">
        <f>SUMIF('5. PERSON'!$B$17:$B$192,$C862,'5. PERSON'!CQ$17:CQ$192)+SUMIF('5. PERSON'!$B$17:$B$192,$C862,'5. PERSON'!DC$17:DC$192)+SUMIF('6. OPERATION'!$B$17:$B$149,$C862,'6. OPERATION'!BT$17:BT$149)+SUMIF('6. OPERATION'!$B$17:$B$149,$C862,'6. OPERATION'!CF$17:CF$149)+SUMIF('8. FACILIT'!$B$18:$B$50,$C862,'8. FACILIT'!U$18:U$50)+SUMIF('8. FACILIT'!$B$18:$B$50,$C862,'8. FACILIT'!AG$18:AG$50)</f>
        <v>0</v>
      </c>
      <c r="E886" s="139">
        <f>SUMIF('5. PERSON'!$B$17:$B$192,$C862,'5. PERSON'!CR$17:CR$192)+SUMIF('5. PERSON'!$B$17:$B$192,$C862,'5. PERSON'!DD$17:DD$192)+SUMIF('6. OPERATION'!$B$17:$B$149,$C862,'6. OPERATION'!BU$17:BU$149)+SUMIF('6. OPERATION'!$B$17:$B$149,$C862,'6. OPERATION'!CG$17:CG$149)+SUMIF('8. FACILIT'!$B$18:$B$50,$C862,'8. FACILIT'!V$18:V$50)+SUMIF('8. FACILIT'!$B$18:$B$50,$C862,'8. FACILIT'!AH$18:AH$50)</f>
        <v>0</v>
      </c>
      <c r="F886" s="139">
        <f>SUMIF('5. PERSON'!$B$17:$B$192,$C862,'5. PERSON'!CS$17:CS$192)+SUMIF('5. PERSON'!$B$17:$B$192,$C862,'5. PERSON'!DE$17:DE$192)+SUMIF('6. OPERATION'!$B$17:$B$149,$C862,'6. OPERATION'!BV$17:BV$149)+SUMIF('6. OPERATION'!$B$17:$B$149,$C862,'6. OPERATION'!CH$17:CH$149)+SUMIF('8. FACILIT'!$B$18:$B$50,$C862,'8. FACILIT'!W$18:W$50)+SUMIF('8. FACILIT'!$B$18:$B$50,$C862,'8. FACILIT'!AI$18:AI$50)</f>
        <v>0</v>
      </c>
      <c r="G886" s="139">
        <f>SUMIF('5. PERSON'!$B$17:$B$192,$C862,'5. PERSON'!CT$17:CT$192)+SUMIF('5. PERSON'!$B$17:$B$192,$C862,'5. PERSON'!DF$17:DF$192)+SUMIF('6. OPERATION'!$B$17:$B$149,$C862,'6. OPERATION'!BW$17:BW$149)+SUMIF('6. OPERATION'!$B$17:$B$149,$C862,'6. OPERATION'!CI$17:CI$149)+SUMIF('8. FACILIT'!$B$18:$B$50,$C862,'8. FACILIT'!X$18:X$50)+SUMIF('8. FACILIT'!$B$18:$B$50,$C862,'8. FACILIT'!AJ$18:AJ$50)</f>
        <v>0</v>
      </c>
      <c r="H886" s="139">
        <f>SUMIF('5. PERSON'!$B$17:$B$192,$C862,'5. PERSON'!CU$17:CU$192)+SUMIF('5. PERSON'!$B$17:$B$192,$C862,'5. PERSON'!DG$17:DG$192)+SUMIF('6. OPERATION'!$B$17:$B$149,$C862,'6. OPERATION'!BX$17:BX$149)+SUMIF('6. OPERATION'!$B$17:$B$149,$C862,'6. OPERATION'!CJ$17:CJ$149)+SUMIF('8. FACILIT'!$B$18:$B$50,$C862,'8. FACILIT'!Y$18:Y$50)+SUMIF('8. FACILIT'!$B$18:$B$50,$C862,'8. FACILIT'!AK$18:AK$50)</f>
        <v>0</v>
      </c>
      <c r="I886" s="139">
        <f>SUMIF('5. PERSON'!$B$17:$B$192,$C862,'5. PERSON'!CV$17:CV$192)+SUMIF('5. PERSON'!$B$17:$B$192,$C862,'5. PERSON'!DH$17:DH$192)+SUMIF('6. OPERATION'!$B$17:$B$149,$C862,'6. OPERATION'!BY$17:BY$149)+SUMIF('6. OPERATION'!$B$17:$B$149,$C862,'6. OPERATION'!CK$17:CK$149)+SUMIF('8. FACILIT'!$B$18:$B$50,$C862,'8. FACILIT'!Z$18:Z$50)+SUMIF('8. FACILIT'!$B$18:$B$50,$C862,'8. FACILIT'!AL$18:AL$50)</f>
        <v>0</v>
      </c>
      <c r="J886" s="139">
        <f>SUMIF('5. PERSON'!$B$17:$B$192,$C862,'5. PERSON'!CW$17:CW$192)+SUMIF('5. PERSON'!$B$17:$B$192,$C862,'5. PERSON'!DI$17:DI$192)+SUMIF('6. OPERATION'!$B$17:$B$149,$C862,'6. OPERATION'!BZ$17:BZ$149)+SUMIF('6. OPERATION'!$B$17:$B$149,$C862,'6. OPERATION'!CL$17:CL$149)+SUMIF('8. FACILIT'!$B$18:$B$50,$C862,'8. FACILIT'!AA$18:AA$50)+SUMIF('8. FACILIT'!$B$18:$B$50,$C862,'8. FACILIT'!AM$18:AM$50)</f>
        <v>0</v>
      </c>
      <c r="K886" s="139">
        <f>SUMIF('5. PERSON'!$B$17:$B$192,$C862,'5. PERSON'!CX$17:CX$192)+SUMIF('5. PERSON'!$B$17:$B$192,$C862,'5. PERSON'!DJ$17:DJ$192)+SUMIF('6. OPERATION'!$B$17:$B$149,$C862,'6. OPERATION'!CA$17:CA$149)+SUMIF('6. OPERATION'!$B$17:$B$149,$C862,'6. OPERATION'!CM$17:CM$149)+SUMIF('8. FACILIT'!$B$18:$B$50,$C862,'8. FACILIT'!AB$18:AB$50)+SUMIF('8. FACILIT'!$B$18:$B$50,$C862,'8. FACILIT'!AN$18:AN$50)</f>
        <v>0</v>
      </c>
      <c r="L886" s="139">
        <f>SUMIF('5. PERSON'!$B$17:$B$192,$C862,'5. PERSON'!CY$17:CY$192)+SUMIF('5. PERSON'!$B$17:$B$192,$C862,'5. PERSON'!DK$17:DK$192)+SUMIF('6. OPERATION'!$B$17:$B$149,$C862,'6. OPERATION'!CB$17:CB$149)+SUMIF('6. OPERATION'!$B$17:$B$149,$C862,'6. OPERATION'!CN$17:CN$149)+SUMIF('8. FACILIT'!$B$18:$B$50,$C862,'8. FACILIT'!AC$18:AC$50)+SUMIF('8. FACILIT'!$B$18:$B$50,$C862,'8. FACILIT'!AO$18:AO$50)</f>
        <v>0</v>
      </c>
      <c r="M886" s="117">
        <f>SUM(C886:L886)</f>
        <v>0</v>
      </c>
    </row>
    <row r="887" spans="2:13" s="3" customFormat="1" ht="13.2" x14ac:dyDescent="0.25">
      <c r="B887" s="736" t="str">
        <f>IF('1. INTRO'!I$2="English","Indirect","Indirekt")</f>
        <v>Indirect</v>
      </c>
      <c r="C887" s="737">
        <f>SUMIF('5. PERSON'!$B$17:$B$192,$C862,'5. PERSON'!BR$17:BR$192)+SUMIF('5. PERSON'!$B$17:$B$192,$C862,'5. PERSON'!CD$17:CD$192)+SUMIF('6. OPERATION'!$B$17:$B$149,$C862,'6. OPERATION'!AU$17:AU$149)+SUMIF('6. OPERATION'!$B$17:$B$149,$C862,'6. OPERATION'!BG$17:BG$149)</f>
        <v>0</v>
      </c>
      <c r="D887" s="737">
        <f>SUMIF('5. PERSON'!$B$17:$B$192,$C862,'5. PERSON'!BS$17:BS$192)+SUMIF('5. PERSON'!$B$17:$B$192,$C862,'5. PERSON'!CE$17:CE$192)+SUMIF('6. OPERATION'!$B$17:$B$149,$C862,'6. OPERATION'!AV$17:AV$149)+SUMIF('6. OPERATION'!$B$17:$B$149,$C862,'6. OPERATION'!BH$17:BH$149)</f>
        <v>0</v>
      </c>
      <c r="E887" s="737">
        <f>SUMIF('5. PERSON'!$B$17:$B$192,$C862,'5. PERSON'!BT$17:BT$192)+SUMIF('5. PERSON'!$B$17:$B$192,$C862,'5. PERSON'!CF$17:CF$192)+SUMIF('6. OPERATION'!$B$17:$B$149,$C862,'6. OPERATION'!AW$17:AW$149)+SUMIF('6. OPERATION'!$B$17:$B$149,$C862,'6. OPERATION'!BI$17:BI$149)</f>
        <v>0</v>
      </c>
      <c r="F887" s="737">
        <f>SUMIF('5. PERSON'!$B$17:$B$192,$C862,'5. PERSON'!BU$17:BU$192)+SUMIF('5. PERSON'!$B$17:$B$192,$C862,'5. PERSON'!CG$17:CG$192)+SUMIF('6. OPERATION'!$B$17:$B$149,$C862,'6. OPERATION'!AX$17:AX$149)+SUMIF('6. OPERATION'!$B$17:$B$149,$C862,'6. OPERATION'!BJ$17:BJ$149)</f>
        <v>0</v>
      </c>
      <c r="G887" s="737">
        <f>SUMIF('5. PERSON'!$B$17:$B$192,$C862,'5. PERSON'!BV$17:BV$192)+SUMIF('5. PERSON'!$B$17:$B$192,$C862,'5. PERSON'!CH$17:CH$192)+SUMIF('6. OPERATION'!$B$17:$B$149,$C862,'6. OPERATION'!AY$17:AY$149)+SUMIF('6. OPERATION'!$B$17:$B$149,$C862,'6. OPERATION'!BK$17:BK$149)</f>
        <v>0</v>
      </c>
      <c r="H887" s="737">
        <f>SUMIF('5. PERSON'!$B$17:$B$192,$C862,'5. PERSON'!BW$17:BW$192)+SUMIF('5. PERSON'!$B$17:$B$192,$C862,'5. PERSON'!CI$17:CI$192)+SUMIF('6. OPERATION'!$B$17:$B$149,$C862,'6. OPERATION'!AZ$17:AZ$149)+SUMIF('6. OPERATION'!$B$17:$B$149,$C862,'6. OPERATION'!BL$17:BL$149)</f>
        <v>0</v>
      </c>
      <c r="I887" s="737">
        <f>SUMIF('5. PERSON'!$B$17:$B$192,$C862,'5. PERSON'!BX$17:BX$192)+SUMIF('5. PERSON'!$B$17:$B$192,$C862,'5. PERSON'!CJ$17:CJ$192)+SUMIF('6. OPERATION'!$B$17:$B$149,$C862,'6. OPERATION'!BA$17:BA$149)+SUMIF('6. OPERATION'!$B$17:$B$149,$C862,'6. OPERATION'!BM$17:BM$149)</f>
        <v>0</v>
      </c>
      <c r="J887" s="737">
        <f>SUMIF('5. PERSON'!$B$17:$B$192,$C862,'5. PERSON'!BY$17:BY$192)+SUMIF('5. PERSON'!$B$17:$B$192,$C862,'5. PERSON'!CK$17:CK$192)+SUMIF('6. OPERATION'!$B$17:$B$149,$C862,'6. OPERATION'!BB$17:BB$149)+SUMIF('6. OPERATION'!$B$17:$B$149,$C862,'6. OPERATION'!BN$17:BN$149)</f>
        <v>0</v>
      </c>
      <c r="K887" s="737">
        <f>SUMIF('5. PERSON'!$B$17:$B$192,$C862,'5. PERSON'!BZ$17:BZ$192)+SUMIF('5. PERSON'!$B$17:$B$192,$C862,'5. PERSON'!CL$17:CL$192)+SUMIF('6. OPERATION'!$B$17:$B$149,$C862,'6. OPERATION'!BC$17:BC$149)+SUMIF('6. OPERATION'!$B$17:$B$149,$C862,'6. OPERATION'!BO$17:BO$149)</f>
        <v>0</v>
      </c>
      <c r="L887" s="737">
        <f>SUMIF('5. PERSON'!$B$17:$B$192,$C862,'5. PERSON'!CA$17:CA$192)+SUMIF('5. PERSON'!$B$17:$B$192,$C862,'5. PERSON'!CM$17:CM$192)+SUMIF('6. OPERATION'!$B$17:$B$149,$C862,'6. OPERATION'!BD$17:BD$149)+SUMIF('6. OPERATION'!$B$17:$B$149,$C862,'6. OPERATION'!BP$17:BP$149)</f>
        <v>0</v>
      </c>
      <c r="M887" s="733">
        <f>SUM(C887:L887)</f>
        <v>0</v>
      </c>
    </row>
    <row r="888" spans="2:13" s="3" customFormat="1" ht="13.2" x14ac:dyDescent="0.25">
      <c r="B888" s="124" t="s">
        <v>113</v>
      </c>
      <c r="C888" s="88">
        <f>SUM(C883:C887)</f>
        <v>0</v>
      </c>
      <c r="D888" s="88">
        <f t="shared" ref="D888:M888" si="184">SUM(D883:D887)</f>
        <v>0</v>
      </c>
      <c r="E888" s="88">
        <f t="shared" si="184"/>
        <v>0</v>
      </c>
      <c r="F888" s="88">
        <f t="shared" si="184"/>
        <v>0</v>
      </c>
      <c r="G888" s="88">
        <f t="shared" si="184"/>
        <v>0</v>
      </c>
      <c r="H888" s="88">
        <f t="shared" si="184"/>
        <v>0</v>
      </c>
      <c r="I888" s="88">
        <f t="shared" si="184"/>
        <v>0</v>
      </c>
      <c r="J888" s="88">
        <f t="shared" si="184"/>
        <v>0</v>
      </c>
      <c r="K888" s="88">
        <f t="shared" si="184"/>
        <v>0</v>
      </c>
      <c r="L888" s="88">
        <f t="shared" si="184"/>
        <v>0</v>
      </c>
      <c r="M888" s="142">
        <f t="shared" si="184"/>
        <v>0</v>
      </c>
    </row>
    <row r="889" spans="2:13" s="3" customFormat="1" ht="13.2" x14ac:dyDescent="0.25">
      <c r="B889" s="287"/>
      <c r="C889" s="37"/>
      <c r="D889" s="37"/>
      <c r="E889" s="37"/>
      <c r="F889" s="37"/>
      <c r="G889" s="37"/>
      <c r="H889" s="37"/>
      <c r="I889" s="37"/>
      <c r="J889" s="37"/>
      <c r="K889" s="37"/>
      <c r="L889" s="37"/>
      <c r="M889" s="37"/>
    </row>
    <row r="890" spans="2:13" s="3" customFormat="1" ht="12.75" customHeight="1" x14ac:dyDescent="0.25">
      <c r="B890" s="656" t="str">
        <f>IF('1. INTRO'!I$2="English","Co-funding share in full cost ","Medfinansieringsandel i full kostnad ")</f>
        <v xml:space="preserve">Co-funding share in full cost </v>
      </c>
      <c r="C890" s="143" t="str">
        <f t="shared" ref="C890:M890" si="185">IF(C888&gt;0,C880/C888,"")</f>
        <v/>
      </c>
      <c r="D890" s="143" t="str">
        <f t="shared" si="185"/>
        <v/>
      </c>
      <c r="E890" s="143" t="str">
        <f t="shared" si="185"/>
        <v/>
      </c>
      <c r="F890" s="143" t="str">
        <f t="shared" si="185"/>
        <v/>
      </c>
      <c r="G890" s="143" t="str">
        <f t="shared" si="185"/>
        <v/>
      </c>
      <c r="H890" s="143" t="str">
        <f t="shared" si="185"/>
        <v/>
      </c>
      <c r="I890" s="143" t="str">
        <f t="shared" si="185"/>
        <v/>
      </c>
      <c r="J890" s="143" t="str">
        <f t="shared" si="185"/>
        <v/>
      </c>
      <c r="K890" s="143" t="str">
        <f t="shared" si="185"/>
        <v/>
      </c>
      <c r="L890" s="143" t="str">
        <f t="shared" si="185"/>
        <v/>
      </c>
      <c r="M890" s="143" t="str">
        <f t="shared" si="185"/>
        <v/>
      </c>
    </row>
    <row r="891" spans="2:13" ht="12.75" customHeight="1" x14ac:dyDescent="0.2"/>
    <row r="892" spans="2:13" ht="12.75" customHeight="1" x14ac:dyDescent="0.25">
      <c r="D892" s="656" t="str">
        <f>IF('1. INTRO'!I$2="English","Co-funding need in average per year: ","Medfinansieringsbehov i genomsnitt per år: ")</f>
        <v xml:space="preserve">Co-funding need in average per year: </v>
      </c>
      <c r="E892" s="92" t="str">
        <f>IF(M880=0,"",M880/(DATEDIF('2. START'!C$18,'2. START'!C$19,"d")/365))</f>
        <v/>
      </c>
      <c r="H892" s="656" t="str">
        <f>IF('1. INTRO'!I$2="English","Co-funding need 1/3 of total: ","Medfinansieringsbehov 1/3 av totalt: ")</f>
        <v xml:space="preserve">Co-funding need 1/3 of total: </v>
      </c>
      <c r="I892" s="92">
        <f>M880/3</f>
        <v>0</v>
      </c>
      <c r="L892" s="287" t="str">
        <f>IF('1. INTRO'!I$2="English","Co-funding need total: ","Medfinansieringsbehov totalt: ")</f>
        <v xml:space="preserve">Co-funding need total: </v>
      </c>
      <c r="M892" s="92">
        <f>M880</f>
        <v>0</v>
      </c>
    </row>
    <row r="893" spans="2:13" ht="12.75" customHeight="1" x14ac:dyDescent="0.25">
      <c r="B893" s="53" t="str">
        <f>IF('1. INTRO'!I$2="English","Co-funding sources","Medfinansieringskällor")</f>
        <v>Co-funding sources</v>
      </c>
    </row>
    <row r="894" spans="2:13" ht="12.75" customHeight="1" x14ac:dyDescent="0.25">
      <c r="B894" s="225"/>
      <c r="C894" s="226"/>
      <c r="D894" s="226"/>
      <c r="E894" s="226"/>
      <c r="F894" s="226"/>
      <c r="G894" s="226"/>
      <c r="H894" s="226"/>
      <c r="I894" s="226"/>
      <c r="J894" s="226"/>
      <c r="K894" s="226"/>
      <c r="L894" s="227"/>
      <c r="M894" s="168">
        <f>SUM(C894:L894)</f>
        <v>0</v>
      </c>
    </row>
    <row r="895" spans="2:13" ht="12.75" customHeight="1" x14ac:dyDescent="0.25">
      <c r="B895" s="228"/>
      <c r="C895" s="229"/>
      <c r="D895" s="229"/>
      <c r="E895" s="229"/>
      <c r="F895" s="229"/>
      <c r="G895" s="229"/>
      <c r="H895" s="229"/>
      <c r="I895" s="229"/>
      <c r="J895" s="229"/>
      <c r="K895" s="229"/>
      <c r="L895" s="230"/>
      <c r="M895" s="727">
        <f t="shared" ref="M895:M898" si="186">SUM(C895:L895)</f>
        <v>0</v>
      </c>
    </row>
    <row r="896" spans="2:13" ht="12.75" customHeight="1" x14ac:dyDescent="0.25">
      <c r="B896" s="231"/>
      <c r="C896" s="232"/>
      <c r="D896" s="232"/>
      <c r="E896" s="232"/>
      <c r="F896" s="232"/>
      <c r="G896" s="232"/>
      <c r="H896" s="232"/>
      <c r="I896" s="232"/>
      <c r="J896" s="232"/>
      <c r="K896" s="232"/>
      <c r="L896" s="233"/>
      <c r="M896" s="117">
        <f t="shared" si="186"/>
        <v>0</v>
      </c>
    </row>
    <row r="897" spans="2:13" ht="12.75" customHeight="1" x14ac:dyDescent="0.25">
      <c r="B897" s="228"/>
      <c r="C897" s="229"/>
      <c r="D897" s="229"/>
      <c r="E897" s="229"/>
      <c r="F897" s="229"/>
      <c r="G897" s="229"/>
      <c r="H897" s="229"/>
      <c r="I897" s="229"/>
      <c r="J897" s="229"/>
      <c r="K897" s="229"/>
      <c r="L897" s="230"/>
      <c r="M897" s="727">
        <f t="shared" si="186"/>
        <v>0</v>
      </c>
    </row>
    <row r="898" spans="2:13" ht="12.75" customHeight="1" x14ac:dyDescent="0.25">
      <c r="B898" s="93"/>
      <c r="C898" s="232"/>
      <c r="D898" s="232"/>
      <c r="E898" s="232"/>
      <c r="F898" s="232"/>
      <c r="G898" s="232"/>
      <c r="H898" s="232"/>
      <c r="I898" s="232"/>
      <c r="J898" s="232"/>
      <c r="K898" s="232"/>
      <c r="L898" s="233"/>
      <c r="M898" s="117">
        <f t="shared" si="186"/>
        <v>0</v>
      </c>
    </row>
    <row r="899" spans="2:13" ht="12.75" customHeight="1" x14ac:dyDescent="0.25">
      <c r="B899" s="84" t="str">
        <f>IF('1. INTRO'!I$2="English","Total co-funding ","Total medfinansiering ")</f>
        <v xml:space="preserve">Total co-funding </v>
      </c>
      <c r="C899" s="87">
        <f t="shared" ref="C899:M899" si="187">SUM(C894:C898)</f>
        <v>0</v>
      </c>
      <c r="D899" s="87">
        <f t="shared" si="187"/>
        <v>0</v>
      </c>
      <c r="E899" s="87">
        <f t="shared" si="187"/>
        <v>0</v>
      </c>
      <c r="F899" s="87">
        <f t="shared" si="187"/>
        <v>0</v>
      </c>
      <c r="G899" s="87">
        <f t="shared" si="187"/>
        <v>0</v>
      </c>
      <c r="H899" s="87">
        <f t="shared" si="187"/>
        <v>0</v>
      </c>
      <c r="I899" s="87">
        <f t="shared" si="187"/>
        <v>0</v>
      </c>
      <c r="J899" s="87">
        <f t="shared" si="187"/>
        <v>0</v>
      </c>
      <c r="K899" s="87">
        <f t="shared" si="187"/>
        <v>0</v>
      </c>
      <c r="L899" s="87">
        <f t="shared" si="187"/>
        <v>0</v>
      </c>
      <c r="M899" s="142">
        <f t="shared" si="187"/>
        <v>0</v>
      </c>
    </row>
    <row r="900" spans="2:13" ht="12.75" customHeight="1" x14ac:dyDescent="0.2"/>
    <row r="901" spans="2:13" ht="12.75" customHeight="1" x14ac:dyDescent="0.2">
      <c r="B901" s="667" t="str">
        <f>IF('1. INTRO'!I$2="English","Calculation comments","Kalkylkommentarer")</f>
        <v>Calculation comments</v>
      </c>
    </row>
    <row r="902" spans="2:13" ht="12.75" customHeight="1" x14ac:dyDescent="0.2">
      <c r="B902" s="1142"/>
      <c r="C902" s="1143"/>
      <c r="D902" s="1143"/>
      <c r="E902" s="1143"/>
      <c r="F902" s="1143"/>
      <c r="G902" s="1143"/>
      <c r="H902" s="1143"/>
      <c r="I902" s="1143"/>
      <c r="J902" s="1143"/>
      <c r="K902" s="1143"/>
      <c r="L902" s="1143"/>
      <c r="M902" s="1144"/>
    </row>
    <row r="903" spans="2:13" ht="12.75" customHeight="1" x14ac:dyDescent="0.2">
      <c r="B903" s="1145"/>
      <c r="C903" s="1226"/>
      <c r="D903" s="1226"/>
      <c r="E903" s="1226"/>
      <c r="F903" s="1226"/>
      <c r="G903" s="1226"/>
      <c r="H903" s="1226"/>
      <c r="I903" s="1226"/>
      <c r="J903" s="1226"/>
      <c r="K903" s="1226"/>
      <c r="L903" s="1226"/>
      <c r="M903" s="1147"/>
    </row>
    <row r="904" spans="2:13" ht="12.75" customHeight="1" x14ac:dyDescent="0.2">
      <c r="B904" s="1145"/>
      <c r="C904" s="1226"/>
      <c r="D904" s="1226"/>
      <c r="E904" s="1226"/>
      <c r="F904" s="1226"/>
      <c r="G904" s="1226"/>
      <c r="H904" s="1226"/>
      <c r="I904" s="1226"/>
      <c r="J904" s="1226"/>
      <c r="K904" s="1226"/>
      <c r="L904" s="1226"/>
      <c r="M904" s="1147"/>
    </row>
    <row r="905" spans="2:13" ht="12.75" customHeight="1" x14ac:dyDescent="0.2">
      <c r="B905" s="1145"/>
      <c r="C905" s="1226"/>
      <c r="D905" s="1226"/>
      <c r="E905" s="1226"/>
      <c r="F905" s="1226"/>
      <c r="G905" s="1226"/>
      <c r="H905" s="1226"/>
      <c r="I905" s="1226"/>
      <c r="J905" s="1226"/>
      <c r="K905" s="1226"/>
      <c r="L905" s="1226"/>
      <c r="M905" s="1147"/>
    </row>
    <row r="906" spans="2:13" ht="12.75" customHeight="1" x14ac:dyDescent="0.2">
      <c r="B906" s="1148"/>
      <c r="C906" s="1149"/>
      <c r="D906" s="1149"/>
      <c r="E906" s="1149"/>
      <c r="F906" s="1149"/>
      <c r="G906" s="1149"/>
      <c r="H906" s="1149"/>
      <c r="I906" s="1149"/>
      <c r="J906" s="1149"/>
      <c r="K906" s="1149"/>
      <c r="L906" s="1149"/>
      <c r="M906" s="1150"/>
    </row>
    <row r="908" spans="2:13" s="3" customFormat="1" ht="12.75" customHeight="1" x14ac:dyDescent="0.25">
      <c r="B908" s="313" t="str">
        <f>'3. PARTNER'!C$4</f>
        <v xml:space="preserve">Project: </v>
      </c>
      <c r="C908" s="1062" t="str">
        <f>'3. PARTNER'!D$4</f>
        <v/>
      </c>
      <c r="D908" s="1001"/>
      <c r="E908" s="1001"/>
      <c r="F908" s="1001"/>
      <c r="G908" s="1001"/>
      <c r="H908" s="1001"/>
      <c r="I908" s="1001"/>
      <c r="J908" s="1001"/>
      <c r="K908" s="1001"/>
      <c r="L908" s="1001"/>
      <c r="M908" s="1001"/>
    </row>
    <row r="909" spans="2:13" s="3" customFormat="1" ht="13.2" x14ac:dyDescent="0.25">
      <c r="B909" s="313" t="str">
        <f>'3. PARTNER'!C$5</f>
        <v xml:space="preserve">Calculation for: </v>
      </c>
      <c r="C909" s="1062" t="str">
        <f>'3. PARTNER'!D$5</f>
        <v>APPLICATION</v>
      </c>
      <c r="D909" s="1001"/>
      <c r="E909" s="268"/>
      <c r="F909" s="268"/>
      <c r="G909" s="268"/>
      <c r="H909" s="268"/>
      <c r="I909" s="268"/>
      <c r="J909" s="268"/>
      <c r="K909" s="268"/>
      <c r="L909" s="268"/>
      <c r="M909" s="268"/>
    </row>
    <row r="910" spans="2:13" s="3" customFormat="1" ht="13.2" x14ac:dyDescent="0.25">
      <c r="B910" s="35" t="str">
        <f>'3. PARTNER'!C$6</f>
        <v xml:space="preserve">Project leader: </v>
      </c>
      <c r="C910" s="1062" t="str">
        <f>'3. PARTNER'!D$6</f>
        <v/>
      </c>
      <c r="D910" s="1001"/>
      <c r="E910" s="1001"/>
      <c r="F910" s="1001"/>
      <c r="G910" s="1001"/>
      <c r="H910" s="1001"/>
      <c r="I910" s="1001"/>
      <c r="J910" s="1001"/>
      <c r="K910" s="1001"/>
      <c r="L910" s="1001"/>
      <c r="M910" s="1001"/>
    </row>
    <row r="911" spans="2:13" s="3" customFormat="1" ht="13.2" x14ac:dyDescent="0.25">
      <c r="B911" s="313" t="str">
        <f>'5. PERSON'!B$7</f>
        <v xml:space="preserve">Amounts in: </v>
      </c>
      <c r="C911" s="655" t="str">
        <f>'5. PERSON'!C$7</f>
        <v>SEK</v>
      </c>
      <c r="D911" s="268"/>
      <c r="E911" s="268"/>
      <c r="F911" s="268"/>
      <c r="G911" s="234"/>
      <c r="H911" s="234"/>
      <c r="I911" s="270"/>
      <c r="J911" s="270"/>
      <c r="K911" s="270"/>
      <c r="L911" s="270"/>
      <c r="M911" s="270"/>
    </row>
    <row r="912" spans="2:13" s="3" customFormat="1" ht="13.2" x14ac:dyDescent="0.25">
      <c r="B912" s="313"/>
      <c r="C912" s="1053" t="str">
        <f>'3. PARTNER'!D$7</f>
        <v>Other basic data about the project is in sheet 2.</v>
      </c>
      <c r="D912" s="1001"/>
      <c r="E912" s="1001"/>
      <c r="F912" s="1001"/>
      <c r="G912" s="234"/>
      <c r="H912" s="234"/>
      <c r="I912" s="270"/>
      <c r="J912" s="270"/>
      <c r="K912" s="270"/>
      <c r="L912" s="251" t="s">
        <v>4</v>
      </c>
      <c r="M912" s="270"/>
    </row>
    <row r="913" spans="2:15" ht="12.75" customHeight="1" x14ac:dyDescent="0.2">
      <c r="J913" s="252" t="s">
        <v>322</v>
      </c>
      <c r="K913" s="252" t="s">
        <v>323</v>
      </c>
      <c r="L913" s="252" t="str">
        <f>IF('1. INTRO'!I$2="English","months","månader")</f>
        <v>months</v>
      </c>
    </row>
    <row r="914" spans="2:15" s="3" customFormat="1" ht="13.8" x14ac:dyDescent="0.25">
      <c r="B914" s="157" t="str">
        <f>IF('1. INTRO'!I$2="English","Project costs","Projektkostnader")</f>
        <v>Project costs</v>
      </c>
      <c r="C914" s="668" t="str">
        <f>A31</f>
        <v>500NJ</v>
      </c>
      <c r="D914" s="1227" t="str">
        <f>B31</f>
        <v>Crop Production Ecology</v>
      </c>
      <c r="E914" s="1001"/>
      <c r="F914" s="1001"/>
      <c r="G914" s="37"/>
      <c r="H914" s="37"/>
      <c r="I914" s="37"/>
      <c r="J914" s="643"/>
      <c r="K914" s="643"/>
      <c r="L914" s="642">
        <f>SUMIF('5. PERSON'!$B$17:$B$192,$C914,'5. PERSON'!AE$17:AE$192)</f>
        <v>0</v>
      </c>
      <c r="M914" s="680" t="s">
        <v>330</v>
      </c>
    </row>
    <row r="915" spans="2:15" s="3" customFormat="1" ht="6" customHeight="1" x14ac:dyDescent="0.25">
      <c r="B915" s="57"/>
      <c r="C915" s="37"/>
      <c r="D915" s="37"/>
      <c r="E915" s="37"/>
      <c r="F915" s="37"/>
      <c r="G915" s="37"/>
      <c r="H915" s="37"/>
      <c r="I915" s="37"/>
      <c r="J915" s="37"/>
      <c r="K915" s="37"/>
      <c r="L915" s="37"/>
      <c r="M915" s="37"/>
    </row>
    <row r="916" spans="2:15" s="3" customFormat="1" ht="13.2" x14ac:dyDescent="0.25">
      <c r="B916" s="110" t="str">
        <f>IF('1. INTRO'!I$2="English","Costs to be covered by funding body","Kostnader att täckas av finansiär")</f>
        <v>Costs to be covered by funding body</v>
      </c>
      <c r="C916" s="111">
        <f>'5. PERSON'!G$15</f>
        <v>1900</v>
      </c>
      <c r="D916" s="111" t="str">
        <f>'5. PERSON'!H$15</f>
        <v/>
      </c>
      <c r="E916" s="111" t="str">
        <f>'5. PERSON'!I$15</f>
        <v/>
      </c>
      <c r="F916" s="111" t="str">
        <f>'5. PERSON'!J$15</f>
        <v/>
      </c>
      <c r="G916" s="111" t="str">
        <f>'5. PERSON'!K$15</f>
        <v/>
      </c>
      <c r="H916" s="111" t="str">
        <f>'5. PERSON'!L$15</f>
        <v/>
      </c>
      <c r="I916" s="111" t="str">
        <f>'5. PERSON'!M$15</f>
        <v/>
      </c>
      <c r="J916" s="111" t="str">
        <f>'5. PERSON'!N$15</f>
        <v/>
      </c>
      <c r="K916" s="111" t="str">
        <f>'5. PERSON'!O$15</f>
        <v/>
      </c>
      <c r="L916" s="111" t="str">
        <f>'5. PERSON'!P$15</f>
        <v/>
      </c>
      <c r="M916" s="112" t="s">
        <v>2</v>
      </c>
    </row>
    <row r="917" spans="2:15" s="3" customFormat="1" ht="12.75" customHeight="1" x14ac:dyDescent="0.25">
      <c r="B917" s="722" t="str">
        <f>IF('1. INTRO'!I$2="English","Salary including social costs (LKP)","Lön inklusive LKP")</f>
        <v>Salary including social costs (LKP)</v>
      </c>
      <c r="C917" s="723">
        <f>IF('2. START'!$C$14&gt;0,SUMIF('5. PERSON'!$B$17:$B$192,$C914,'5. PERSON'!DN$17:DN$192),SUMIF('5. PERSON'!$B$17:$B$192,$C914,'5. PERSON'!AT$17:AT$192))</f>
        <v>0</v>
      </c>
      <c r="D917" s="723">
        <f>IF('2. START'!$C$14&gt;0,SUMIF('5. PERSON'!$B$17:$B$192,$C914,'5. PERSON'!DO$17:DO$192),SUMIF('5. PERSON'!$B$17:$B$192,$C914,'5. PERSON'!AU$17:AU$192))</f>
        <v>0</v>
      </c>
      <c r="E917" s="723">
        <f>IF('2. START'!$C$14&gt;0,SUMIF('5. PERSON'!$B$17:$B$192,$C914,'5. PERSON'!DP$17:DP$192),SUMIF('5. PERSON'!$B$17:$B$192,$C914,'5. PERSON'!AV$17:AV$192))</f>
        <v>0</v>
      </c>
      <c r="F917" s="723">
        <f>IF('2. START'!$C$14&gt;0,SUMIF('5. PERSON'!$B$17:$B$192,$C914,'5. PERSON'!DQ$17:DQ$192),SUMIF('5. PERSON'!$B$17:$B$192,$C914,'5. PERSON'!AW$17:AW$192))</f>
        <v>0</v>
      </c>
      <c r="G917" s="723">
        <f>IF('2. START'!$C$14&gt;0,SUMIF('5. PERSON'!$B$17:$B$192,$C914,'5. PERSON'!DR$17:DR$192),SUMIF('5. PERSON'!$B$17:$B$192,$C914,'5. PERSON'!AX$17:AX$192))</f>
        <v>0</v>
      </c>
      <c r="H917" s="723">
        <f>IF('2. START'!$C$14&gt;0,SUMIF('5. PERSON'!$B$17:$B$192,$C914,'5. PERSON'!DS$17:DS$192),SUMIF('5. PERSON'!$B$17:$B$192,$C914,'5. PERSON'!AY$17:AY$192))</f>
        <v>0</v>
      </c>
      <c r="I917" s="723">
        <f>IF('2. START'!$C$14&gt;0,SUMIF('5. PERSON'!$B$17:$B$192,$C914,'5. PERSON'!DT$17:DT$192),SUMIF('5. PERSON'!$B$17:$B$192,$C914,'5. PERSON'!AZ$17:AZ$192))</f>
        <v>0</v>
      </c>
      <c r="J917" s="723">
        <f>IF('2. START'!$C$14&gt;0,SUMIF('5. PERSON'!$B$17:$B$192,$C914,'5. PERSON'!DU$17:DU$192),SUMIF('5. PERSON'!$B$17:$B$192,$C914,'5. PERSON'!BA$17:BA$192))</f>
        <v>0</v>
      </c>
      <c r="K917" s="723">
        <f>IF('2. START'!$C$14&gt;0,SUMIF('5. PERSON'!$B$17:$B$192,$C914,'5. PERSON'!DV$17:DV$192),SUMIF('5. PERSON'!$B$17:$B$192,$C914,'5. PERSON'!BB$17:BB$192))</f>
        <v>0</v>
      </c>
      <c r="L917" s="723">
        <f>IF('2. START'!$C$14&gt;0,SUMIF('5. PERSON'!$B$17:$B$192,$C914,'5. PERSON'!DW$17:DW$192),SUMIF('5. PERSON'!$B$17:$B$192,$C914,'5. PERSON'!BC$17:BC$192))</f>
        <v>0</v>
      </c>
      <c r="M917" s="724">
        <f t="shared" ref="M917:M922" si="188">SUM(C917:L917)</f>
        <v>0</v>
      </c>
      <c r="O917" s="4"/>
    </row>
    <row r="918" spans="2:15" s="3" customFormat="1" ht="12.75" customHeight="1" x14ac:dyDescent="0.25">
      <c r="B918" s="80" t="str">
        <f>IF('1. INTRO'!I$2="English","Operating","Drift")</f>
        <v>Operating</v>
      </c>
      <c r="C918" s="116">
        <f>SUMIF('6. OPERATION'!$B$17:$B$149,$C914,'6. OPERATION'!W$17:W$149)</f>
        <v>0</v>
      </c>
      <c r="D918" s="116">
        <f>SUMIF('6. OPERATION'!$B$17:$B$149,$C914,'6. OPERATION'!X$17:X$149)</f>
        <v>0</v>
      </c>
      <c r="E918" s="116">
        <f>SUMIF('6. OPERATION'!$B$17:$B$149,$C914,'6. OPERATION'!Y$17:Y$149)</f>
        <v>0</v>
      </c>
      <c r="F918" s="116">
        <f>SUMIF('6. OPERATION'!$B$17:$B$149,$C914,'6. OPERATION'!Z$17:Z$149)</f>
        <v>0</v>
      </c>
      <c r="G918" s="116">
        <f>SUMIF('6. OPERATION'!$B$17:$B$149,$C914,'6. OPERATION'!AA$17:AA$149)</f>
        <v>0</v>
      </c>
      <c r="H918" s="116">
        <f>SUMIF('6. OPERATION'!$B$17:$B$149,$C914,'6. OPERATION'!AB$17:AB$149)</f>
        <v>0</v>
      </c>
      <c r="I918" s="116">
        <f>SUMIF('6. OPERATION'!$B$17:$B$149,$C914,'6. OPERATION'!AC$17:AC$149)</f>
        <v>0</v>
      </c>
      <c r="J918" s="116">
        <f>SUMIF('6. OPERATION'!$B$17:$B$149,$C914,'6. OPERATION'!AD$17:AD$149)</f>
        <v>0</v>
      </c>
      <c r="K918" s="116">
        <f>SUMIF('6. OPERATION'!$B$17:$B$149,$C914,'6. OPERATION'!AE$17:AE$149)</f>
        <v>0</v>
      </c>
      <c r="L918" s="116">
        <f>SUMIF('6. OPERATION'!$B$17:$B$149,$C914,'6. OPERATION'!AF$17:AF$149)</f>
        <v>0</v>
      </c>
      <c r="M918" s="117">
        <f t="shared" si="188"/>
        <v>0</v>
      </c>
    </row>
    <row r="919" spans="2:15" s="3" customFormat="1" ht="13.2" x14ac:dyDescent="0.25">
      <c r="B919" s="725" t="str">
        <f>IF('1. INTRO'!I$2="English","Equipment","Utrustning")</f>
        <v>Equipment</v>
      </c>
      <c r="C919" s="726">
        <f>SUMIF('7. INVEST'!$B$17:$B$49,$C914,'7. INVEST'!W$17:W$49)</f>
        <v>0</v>
      </c>
      <c r="D919" s="726">
        <f>SUMIF('7. INVEST'!$B$17:$B$49,$C914,'7. INVEST'!X$17:X$49)</f>
        <v>0</v>
      </c>
      <c r="E919" s="726">
        <f>SUMIF('7. INVEST'!$B$17:$B$49,$C914,'7. INVEST'!Y$17:Y$49)</f>
        <v>0</v>
      </c>
      <c r="F919" s="726">
        <f>SUMIF('7. INVEST'!$B$17:$B$49,$C914,'7. INVEST'!Z$17:Z$49)</f>
        <v>0</v>
      </c>
      <c r="G919" s="726">
        <f>SUMIF('7. INVEST'!$B$17:$B$49,$C914,'7. INVEST'!AA$17:AA$49)</f>
        <v>0</v>
      </c>
      <c r="H919" s="726">
        <f>SUMIF('7. INVEST'!$B$17:$B$49,$C914,'7. INVEST'!AB$17:AB$49)</f>
        <v>0</v>
      </c>
      <c r="I919" s="726">
        <f>SUMIF('7. INVEST'!$B$17:$B$49,$C914,'7. INVEST'!AC$17:AC$49)</f>
        <v>0</v>
      </c>
      <c r="J919" s="726">
        <f>SUMIF('7. INVEST'!$B$17:$B$49,$C914,'7. INVEST'!AD$17:AD$49)</f>
        <v>0</v>
      </c>
      <c r="K919" s="726">
        <f>SUMIF('7. INVEST'!$B$17:$B$49,$C914,'7. INVEST'!AE$17:AE$49)</f>
        <v>0</v>
      </c>
      <c r="L919" s="726">
        <f>SUMIF('7. INVEST'!$B$17:$B$49,$C914,'7. INVEST'!AF$17:AF$49)</f>
        <v>0</v>
      </c>
      <c r="M919" s="727">
        <f t="shared" si="188"/>
        <v>0</v>
      </c>
    </row>
    <row r="920" spans="2:15" s="3" customFormat="1" ht="13.2" x14ac:dyDescent="0.25">
      <c r="B920" s="121" t="str">
        <f>IF('1. INTRO'!I$2="English",(IF('2. START'!C$11="NO","Facility accepted as direct cost by funding body","Facility")),IF('2. START'!C$11="NO","Lokal accepterad som direkt kostnad av finansiär","Lokal"))</f>
        <v>Facility</v>
      </c>
      <c r="C920" s="116">
        <f>IF('2. START'!$C$11="NO",SUMIF('8. FACILIT'!$B$18:$B$50,$C914,'8. FACILIT'!T$18:T$50),SUMIF('5. PERSON'!$B$17:$B$192,$C914,'5. PERSON'!CP$17:CP$192)+SUMIF('6. OPERATION'!$B$17:$B$149,$C914,'6. OPERATION'!BS$17:BS$149)+SUMIF('8. FACILIT'!$B$18:$B$50,$C914,'8. FACILIT'!T$18:T$50))</f>
        <v>0</v>
      </c>
      <c r="D920" s="116">
        <f>IF('2. START'!$C$11="NO",SUMIF('8. FACILIT'!$B$18:$B$50,$C914,'8. FACILIT'!U$18:U$50),SUMIF('5. PERSON'!$B$17:$B$192,$C914,'5. PERSON'!CQ$17:CQ$192)+SUMIF('6. OPERATION'!$B$17:$B$149,$C914,'6. OPERATION'!BT$17:BT$149)+SUMIF('8. FACILIT'!$B$18:$B$50,$C914,'8. FACILIT'!U$18:U$50))</f>
        <v>0</v>
      </c>
      <c r="E920" s="116">
        <f>IF('2. START'!$C$11="NO",SUMIF('8. FACILIT'!$B$18:$B$50,$C914,'8. FACILIT'!V$18:V$50),SUMIF('5. PERSON'!$B$17:$B$192,$C914,'5. PERSON'!CR$17:CR$192)+SUMIF('6. OPERATION'!$B$17:$B$149,$C914,'6. OPERATION'!BU$17:BU$149)+SUMIF('8. FACILIT'!$B$18:$B$50,$C914,'8. FACILIT'!V$18:V$50))</f>
        <v>0</v>
      </c>
      <c r="F920" s="116">
        <f>IF('2. START'!$C$11="NO",SUMIF('8. FACILIT'!$B$18:$B$50,$C914,'8. FACILIT'!W$18:W$50),SUMIF('5. PERSON'!$B$17:$B$192,$C914,'5. PERSON'!CS$17:CS$192)+SUMIF('6. OPERATION'!$B$17:$B$149,$C914,'6. OPERATION'!BV$17:BV$149)+SUMIF('8. FACILIT'!$B$18:$B$50,$C914,'8. FACILIT'!W$18:W$50))</f>
        <v>0</v>
      </c>
      <c r="G920" s="116">
        <f>IF('2. START'!$C$11="NO",SUMIF('8. FACILIT'!$B$18:$B$50,$C914,'8. FACILIT'!X$18:X$50),SUMIF('5. PERSON'!$B$17:$B$192,$C914,'5. PERSON'!CT$17:CT$192)+SUMIF('6. OPERATION'!$B$17:$B$149,$C914,'6. OPERATION'!BW$17:BW$149)+SUMIF('8. FACILIT'!$B$18:$B$50,$C914,'8. FACILIT'!X$18:X$50))</f>
        <v>0</v>
      </c>
      <c r="H920" s="116">
        <f>IF('2. START'!$C$11="NO",SUMIF('8. FACILIT'!$B$18:$B$50,$C914,'8. FACILIT'!Y$18:Y$50),SUMIF('5. PERSON'!$B$17:$B$192,$C914,'5. PERSON'!CU$17:CU$192)+SUMIF('6. OPERATION'!$B$17:$B$149,$C914,'6. OPERATION'!BX$17:BX$149)+SUMIF('8. FACILIT'!$B$18:$B$50,$C914,'8. FACILIT'!Y$18:Y$50))</f>
        <v>0</v>
      </c>
      <c r="I920" s="116">
        <f>IF('2. START'!$C$11="NO",SUMIF('8. FACILIT'!$B$18:$B$50,$C914,'8. FACILIT'!Z$18:Z$50),SUMIF('5. PERSON'!$B$17:$B$192,$C914,'5. PERSON'!CV$17:CV$192)+SUMIF('6. OPERATION'!$B$17:$B$149,$C914,'6. OPERATION'!BY$17:BY$149)+SUMIF('8. FACILIT'!$B$18:$B$50,$C914,'8. FACILIT'!Z$18:Z$50))</f>
        <v>0</v>
      </c>
      <c r="J920" s="116">
        <f>IF('2. START'!$C$11="NO",SUMIF('8. FACILIT'!$B$18:$B$50,$C914,'8. FACILIT'!AA$18:AA$50),SUMIF('5. PERSON'!$B$17:$B$192,$C914,'5. PERSON'!CW$17:CW$192)+SUMIF('6. OPERATION'!$B$17:$B$149,$C914,'6. OPERATION'!BZ$17:BZ$149)+SUMIF('8. FACILIT'!$B$18:$B$50,$C914,'8. FACILIT'!AA$18:AA$50))</f>
        <v>0</v>
      </c>
      <c r="K920" s="116">
        <f>IF('2. START'!$C$11="NO",SUMIF('8. FACILIT'!$B$18:$B$50,$C914,'8. FACILIT'!AB$18:AB$50),SUMIF('5. PERSON'!$B$17:$B$192,$C914,'5. PERSON'!CX$17:CX$192)+SUMIF('6. OPERATION'!$B$17:$B$149,$C914,'6. OPERATION'!CA$17:CA$149)+SUMIF('8. FACILIT'!$B$18:$B$50,$C914,'8. FACILIT'!AB$18:AB$50))</f>
        <v>0</v>
      </c>
      <c r="L920" s="116">
        <f>IF('2. START'!$C$11="NO",SUMIF('8. FACILIT'!$B$18:$B$50,$C914,'8. FACILIT'!AC$18:AC$50),SUMIF('5. PERSON'!$B$17:$B$192,$C914,'5. PERSON'!CY$17:CY$192)+SUMIF('6. OPERATION'!$B$17:$B$149,$C914,'6. OPERATION'!CB$17:CB$149)+SUMIF('8. FACILIT'!$B$18:$B$50,$C914,'8. FACILIT'!AC$18:AC$50))</f>
        <v>0</v>
      </c>
      <c r="M920" s="117">
        <f t="shared" si="188"/>
        <v>0</v>
      </c>
    </row>
    <row r="921" spans="2:15" s="3" customFormat="1" ht="13.2" x14ac:dyDescent="0.25">
      <c r="B921" s="728" t="str">
        <f>IF('1. INTRO'!I$2="English",(IF('2. START'!C$11="NO","Indirect and facility charge accepted as OH by funding body","Indirect")),IF('2. START'!C$11="NO","Indirekt och lokalpåslag accepterade som OH av finansiär","Indirekt"))</f>
        <v>Indirect</v>
      </c>
      <c r="C921" s="729">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729">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729">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729">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729">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729">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729">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729">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729">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729">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727">
        <f t="shared" si="188"/>
        <v>0</v>
      </c>
    </row>
    <row r="922" spans="2:15" s="3" customFormat="1" ht="13.2" x14ac:dyDescent="0.25">
      <c r="B922" s="124" t="s">
        <v>113</v>
      </c>
      <c r="C922" s="102">
        <f>SUM(C917:C921)</f>
        <v>0</v>
      </c>
      <c r="D922" s="102">
        <f t="shared" ref="D922:L922" si="189">SUM(D917:D921)</f>
        <v>0</v>
      </c>
      <c r="E922" s="102">
        <f t="shared" si="189"/>
        <v>0</v>
      </c>
      <c r="F922" s="102">
        <f t="shared" si="189"/>
        <v>0</v>
      </c>
      <c r="G922" s="102">
        <f t="shared" si="189"/>
        <v>0</v>
      </c>
      <c r="H922" s="102">
        <f t="shared" si="189"/>
        <v>0</v>
      </c>
      <c r="I922" s="102">
        <f t="shared" si="189"/>
        <v>0</v>
      </c>
      <c r="J922" s="102">
        <f t="shared" si="189"/>
        <v>0</v>
      </c>
      <c r="K922" s="102">
        <f t="shared" si="189"/>
        <v>0</v>
      </c>
      <c r="L922" s="102">
        <f t="shared" si="189"/>
        <v>0</v>
      </c>
      <c r="M922" s="125">
        <f t="shared" si="188"/>
        <v>0</v>
      </c>
    </row>
    <row r="923" spans="2:15" s="3" customFormat="1" ht="6" customHeight="1" x14ac:dyDescent="0.25">
      <c r="B923" s="126"/>
      <c r="C923" s="127"/>
      <c r="D923" s="127"/>
      <c r="E923" s="127"/>
      <c r="F923" s="127"/>
      <c r="G923" s="127"/>
      <c r="H923" s="127"/>
      <c r="I923" s="127"/>
      <c r="J923" s="127"/>
      <c r="K923" s="127"/>
      <c r="L923" s="127"/>
      <c r="M923" s="128"/>
    </row>
    <row r="924" spans="2:15" s="3" customFormat="1" ht="13.2" x14ac:dyDescent="0.25">
      <c r="B924" s="129" t="str">
        <f>IF('1. INTRO'!I$2="English","Costs to be co-funded","Kostnader att medfinansiera")</f>
        <v>Costs to be co-funded</v>
      </c>
      <c r="C924" s="86"/>
      <c r="D924" s="86"/>
      <c r="E924" s="86"/>
      <c r="F924" s="86"/>
      <c r="G924" s="86"/>
      <c r="H924" s="86"/>
      <c r="I924" s="86"/>
      <c r="J924" s="86"/>
      <c r="K924" s="86"/>
      <c r="L924" s="86"/>
      <c r="M924" s="130"/>
    </row>
    <row r="925" spans="2:15" s="3" customFormat="1" ht="13.2" x14ac:dyDescent="0.25">
      <c r="B925" s="730" t="str">
        <f>IF('1. INTRO'!I$2="English",(IF('2. START'!C$11="NO","Indirect and facility charge not accepted as OH by funding body","")),IF('2. START'!C$11="NO","Indirekt och lokalpåslag inte accepterade som OH av finansiär",""))</f>
        <v/>
      </c>
      <c r="C925" s="731">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731">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731">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731">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731">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731">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731">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731">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731">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731">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724">
        <f t="shared" ref="M925:M931" si="190">SUM(C925:L925)</f>
        <v>0</v>
      </c>
    </row>
    <row r="926" spans="2:15" s="3" customFormat="1" ht="12.75" customHeight="1" x14ac:dyDescent="0.25">
      <c r="B926" s="132" t="str">
        <f>IF('1. INTRO'!I$2="English",(IF('2. START'!C$14&gt;0,"Social costs (LKP) not accepted by funding body","")),IF('2. START'!C$14&gt;0,"LKP som inte accepteras av finansiär",""))</f>
        <v/>
      </c>
      <c r="C926" s="133">
        <f>IF('2. START'!$C$14&gt;0,SUMIF('5. PERSON'!$B$17:$B$192,$C914,'5. PERSON'!AT$17:AT$192)-SUMIF('5. PERSON'!$B$17:$B$192,$C914,'5. PERSON'!DN$17:DN$192),0)</f>
        <v>0</v>
      </c>
      <c r="D926" s="133">
        <f>IF('2. START'!$C$14&gt;0,SUMIF('5. PERSON'!$B$17:$B$192,$C914,'5. PERSON'!AU$17:AU$192)-SUMIF('5. PERSON'!$B$17:$B$192,$C914,'5. PERSON'!DO$17:DO$192),0)</f>
        <v>0</v>
      </c>
      <c r="E926" s="133">
        <f>IF('2. START'!$C$14&gt;0,SUMIF('5. PERSON'!$B$17:$B$192,$C914,'5. PERSON'!AV$17:AV$192)-SUMIF('5. PERSON'!$B$17:$B$192,$C914,'5. PERSON'!DP$17:DP$192),0)</f>
        <v>0</v>
      </c>
      <c r="F926" s="133">
        <f>IF('2. START'!$C$14&gt;0,SUMIF('5. PERSON'!$B$17:$B$192,$C914,'5. PERSON'!AW$17:AW$192)-SUMIF('5. PERSON'!$B$17:$B$192,$C914,'5. PERSON'!DQ$17:DQ$192),0)</f>
        <v>0</v>
      </c>
      <c r="G926" s="133">
        <f>IF('2. START'!$C$14&gt;0,SUMIF('5. PERSON'!$B$17:$B$192,$C914,'5. PERSON'!AX$17:AX$192)-SUMIF('5. PERSON'!$B$17:$B$192,$C914,'5. PERSON'!DR$17:DR$192),0)</f>
        <v>0</v>
      </c>
      <c r="H926" s="133">
        <f>IF('2. START'!$C$14&gt;0,SUMIF('5. PERSON'!$B$17:$B$192,$C914,'5. PERSON'!AY$17:AY$192)-SUMIF('5. PERSON'!$B$17:$B$192,$C914,'5. PERSON'!DS$17:DS$192),0)</f>
        <v>0</v>
      </c>
      <c r="I926" s="133">
        <f>IF('2. START'!$C$14&gt;0,SUMIF('5. PERSON'!$B$17:$B$192,$C914,'5. PERSON'!AZ$17:AZ$192)-SUMIF('5. PERSON'!$B$17:$B$192,$C914,'5. PERSON'!DT$17:DT$192),0)</f>
        <v>0</v>
      </c>
      <c r="J926" s="133">
        <f>IF('2. START'!$C$14&gt;0,SUMIF('5. PERSON'!$B$17:$B$192,$C914,'5. PERSON'!BA$17:BA$192)-SUMIF('5. PERSON'!$B$17:$B$192,$C914,'5. PERSON'!DU$17:DU$192),0)</f>
        <v>0</v>
      </c>
      <c r="K926" s="133">
        <f>IF('2. START'!$C$14&gt;0,SUMIF('5. PERSON'!$B$17:$B$192,$C914,'5. PERSON'!BB$17:BB$192)-SUMIF('5. PERSON'!$B$17:$B$192,$C914,'5. PERSON'!DV$17:DV$192),0)</f>
        <v>0</v>
      </c>
      <c r="L926" s="133">
        <f>IF('2. START'!$C$14&gt;0,SUMIF('5. PERSON'!$B$17:$B$192,$C914,'5. PERSON'!BC$17:BC$192)-SUMIF('5. PERSON'!$B$17:$B$192,$C914,'5. PERSON'!DW$17:DW$192),0)</f>
        <v>0</v>
      </c>
      <c r="M926" s="117">
        <f t="shared" si="190"/>
        <v>0</v>
      </c>
    </row>
    <row r="927" spans="2:15" s="3" customFormat="1" ht="12.75" customHeight="1" x14ac:dyDescent="0.25">
      <c r="B927" s="725" t="str">
        <f>IF('1. INTRO'!I$2="English",(IF('5. PERSON'!BP$193&gt;0,"Salary including social costs (LKP)","")),IF('5. PERSON'!BP$193&gt;0,"Lön inklusive LKP",""))</f>
        <v/>
      </c>
      <c r="C927" s="732">
        <f>SUMIF('5. PERSON'!$B$17:$B$192,$C914,'5. PERSON'!BF$17:BF$192)</f>
        <v>0</v>
      </c>
      <c r="D927" s="732">
        <f>SUMIF('5. PERSON'!$B$17:$B$192,$C914,'5. PERSON'!BG$17:BG$192)</f>
        <v>0</v>
      </c>
      <c r="E927" s="732">
        <f>SUMIF('5. PERSON'!$B$17:$B$192,$C914,'5. PERSON'!BH$17:BH$192)</f>
        <v>0</v>
      </c>
      <c r="F927" s="732">
        <f>SUMIF('5. PERSON'!$B$17:$B$192,$C914,'5. PERSON'!BI$17:BI$192)</f>
        <v>0</v>
      </c>
      <c r="G927" s="732">
        <f>SUMIF('5. PERSON'!$B$17:$B$192,$C914,'5. PERSON'!BJ$17:BJ$192)</f>
        <v>0</v>
      </c>
      <c r="H927" s="732">
        <f>SUMIF('5. PERSON'!$B$17:$B$192,$C914,'5. PERSON'!BK$17:BK$192)</f>
        <v>0</v>
      </c>
      <c r="I927" s="732">
        <f>SUMIF('5. PERSON'!$B$17:$B$192,$C914,'5. PERSON'!BL$17:BL$192)</f>
        <v>0</v>
      </c>
      <c r="J927" s="732">
        <f>SUMIF('5. PERSON'!$B$17:$B$192,$C914,'5. PERSON'!BM$17:BM$192)</f>
        <v>0</v>
      </c>
      <c r="K927" s="732">
        <f>SUMIF('5. PERSON'!$B$17:$B$192,$C914,'5. PERSON'!BN$17:BN$192)</f>
        <v>0</v>
      </c>
      <c r="L927" s="732">
        <f>SUMIF('5. PERSON'!$B$17:$B$192,$C914,'5. PERSON'!BO$17:BO$192)</f>
        <v>0</v>
      </c>
      <c r="M927" s="727">
        <f t="shared" si="190"/>
        <v>0</v>
      </c>
    </row>
    <row r="928" spans="2:15" s="3" customFormat="1" ht="13.2" x14ac:dyDescent="0.25">
      <c r="B928" s="80" t="str">
        <f>IF('1. INTRO'!I$2="English",(IF('6. OPERATION'!AS$150&gt;0,"Operating","")),IF('6. OPERATION'!AS$150&gt;0,"Drift",""))</f>
        <v/>
      </c>
      <c r="C928" s="135">
        <f>SUMIF('6. OPERATION'!$B$17:$B$149,$C914,'6. OPERATION'!AI$17:AI$149)</f>
        <v>0</v>
      </c>
      <c r="D928" s="135">
        <f>SUMIF('6. OPERATION'!$B$17:$B$149,$C914,'6. OPERATION'!AJ$17:AJ$149)</f>
        <v>0</v>
      </c>
      <c r="E928" s="135">
        <f>SUMIF('6. OPERATION'!$B$17:$B$149,$C914,'6. OPERATION'!AK$17:AK$149)</f>
        <v>0</v>
      </c>
      <c r="F928" s="135">
        <f>SUMIF('6. OPERATION'!$B$17:$B$149,$C914,'6. OPERATION'!AL$17:AL$149)</f>
        <v>0</v>
      </c>
      <c r="G928" s="135">
        <f>SUMIF('6. OPERATION'!$B$17:$B$149,$C914,'6. OPERATION'!AM$17:AM$149)</f>
        <v>0</v>
      </c>
      <c r="H928" s="135">
        <f>SUMIF('6. OPERATION'!$B$17:$B$149,$C914,'6. OPERATION'!AN$17:AN$149)</f>
        <v>0</v>
      </c>
      <c r="I928" s="135">
        <f>SUMIF('6. OPERATION'!$B$17:$B$149,$C914,'6. OPERATION'!AO$17:AO$149)</f>
        <v>0</v>
      </c>
      <c r="J928" s="135">
        <f>SUMIF('6. OPERATION'!$B$17:$B$149,$C914,'6. OPERATION'!AP$17:AP$149)</f>
        <v>0</v>
      </c>
      <c r="K928" s="135">
        <f>SUMIF('6. OPERATION'!$B$17:$B$149,$C914,'6. OPERATION'!AQ$17:AQ$149)</f>
        <v>0</v>
      </c>
      <c r="L928" s="135">
        <f>SUMIF('6. OPERATION'!$B$17:$B$149,$C914,'6. OPERATION'!AR$17:AR$149)</f>
        <v>0</v>
      </c>
      <c r="M928" s="117">
        <f t="shared" si="190"/>
        <v>0</v>
      </c>
    </row>
    <row r="929" spans="2:15" s="3" customFormat="1" ht="13.2" x14ac:dyDescent="0.25">
      <c r="B929" s="725" t="str">
        <f>IF('1. INTRO'!I$2="English",(IF('7. INVEST'!AS$50&gt;0,"Equipment","")),IF('7. INVEST'!AS$50&gt;0,"Utrustning",""))</f>
        <v/>
      </c>
      <c r="C929" s="732">
        <f>SUMIF('7. INVEST'!$B$17:$B$49,$C914,'7. INVEST'!AI$17:AI$49)</f>
        <v>0</v>
      </c>
      <c r="D929" s="732">
        <f>SUMIF('7. INVEST'!$B$17:$B$49,$C914,'7. INVEST'!AJ$17:AJ$49)</f>
        <v>0</v>
      </c>
      <c r="E929" s="732">
        <f>SUMIF('7. INVEST'!$B$17:$B$49,$C914,'7. INVEST'!AK$17:AK$49)</f>
        <v>0</v>
      </c>
      <c r="F929" s="732">
        <f>SUMIF('7. INVEST'!$B$17:$B$49,$C914,'7. INVEST'!AL$17:AL$49)</f>
        <v>0</v>
      </c>
      <c r="G929" s="732">
        <f>SUMIF('7. INVEST'!$B$17:$B$49,$C914,'7. INVEST'!AM$17:AM$49)</f>
        <v>0</v>
      </c>
      <c r="H929" s="732">
        <f>SUMIF('7. INVEST'!$B$17:$B$49,$C914,'7. INVEST'!AN$17:AN$49)</f>
        <v>0</v>
      </c>
      <c r="I929" s="732">
        <f>SUMIF('7. INVEST'!$B$17:$B$49,$C914,'7. INVEST'!AO$17:AO$49)</f>
        <v>0</v>
      </c>
      <c r="J929" s="732">
        <f>SUMIF('7. INVEST'!$B$17:$B$49,$C914,'7. INVEST'!AP$17:AP$49)</f>
        <v>0</v>
      </c>
      <c r="K929" s="732">
        <f>SUMIF('7. INVEST'!$B$17:$B$49,$C914,'7. INVEST'!AQ$17:AQ$49)</f>
        <v>0</v>
      </c>
      <c r="L929" s="732">
        <f>SUMIF('7. INVEST'!$B$17:$B$49,$C914,'7. INVEST'!AR$17:AR$49)</f>
        <v>0</v>
      </c>
      <c r="M929" s="727">
        <f t="shared" si="190"/>
        <v>0</v>
      </c>
    </row>
    <row r="930" spans="2:15" s="3" customFormat="1" ht="13.2" x14ac:dyDescent="0.25">
      <c r="B930" s="121" t="str">
        <f>IF('1. INTRO'!I$2="English",(IF('8. FACILIT'!AP$51&gt;0,"Facility","")),IF('8. FACILIT'!AP$51&gt;0,"Lokal",""))</f>
        <v/>
      </c>
      <c r="C930" s="135">
        <f>SUMIF('5. PERSON'!$B$17:$B$192,$C914,'5. PERSON'!DB$17:DB$192)+SUMIF('6. OPERATION'!$B$17:$B$149,$C914,'6. OPERATION'!CE$17:CE$149)+SUMIF('8. FACILIT'!$B$18:$B$50,$C914,'8. FACILIT'!AF$18:AF$50)</f>
        <v>0</v>
      </c>
      <c r="D930" s="135">
        <f>SUMIF('5. PERSON'!$B$17:$B$192,$C914,'5. PERSON'!DC$17:DC$192)+SUMIF('6. OPERATION'!$B$17:$B$149,$C914,'6. OPERATION'!CF$17:CF$149)+SUMIF('8. FACILIT'!$B$18:$B$50,$C914,'8. FACILIT'!AG$18:AG$50)</f>
        <v>0</v>
      </c>
      <c r="E930" s="135">
        <f>SUMIF('5. PERSON'!$B$17:$B$192,$C914,'5. PERSON'!DD$17:DD$192)+SUMIF('6. OPERATION'!$B$17:$B$149,$C914,'6. OPERATION'!CG$17:CG$149)+SUMIF('8. FACILIT'!$B$18:$B$50,$C914,'8. FACILIT'!AH$18:AH$50)</f>
        <v>0</v>
      </c>
      <c r="F930" s="135">
        <f>SUMIF('5. PERSON'!$B$17:$B$192,$C914,'5. PERSON'!DE$17:DE$192)+SUMIF('6. OPERATION'!$B$17:$B$149,$C914,'6. OPERATION'!CH$17:CH$149)+SUMIF('8. FACILIT'!$B$18:$B$50,$C914,'8. FACILIT'!AI$18:AI$50)</f>
        <v>0</v>
      </c>
      <c r="G930" s="135">
        <f>SUMIF('5. PERSON'!$B$17:$B$192,$C914,'5. PERSON'!DF$17:DF$192)+SUMIF('6. OPERATION'!$B$17:$B$149,$C914,'6. OPERATION'!CI$17:CI$149)+SUMIF('8. FACILIT'!$B$18:$B$50,$C914,'8. FACILIT'!AJ$18:AJ$50)</f>
        <v>0</v>
      </c>
      <c r="H930" s="135">
        <f>SUMIF('5. PERSON'!$B$17:$B$192,$C914,'5. PERSON'!DG$17:DG$192)+SUMIF('6. OPERATION'!$B$17:$B$149,$C914,'6. OPERATION'!CJ$17:CJ$149)+SUMIF('8. FACILIT'!$B$18:$B$50,$C914,'8. FACILIT'!AK$18:AK$50)</f>
        <v>0</v>
      </c>
      <c r="I930" s="135">
        <f>SUMIF('5. PERSON'!$B$17:$B$192,$C914,'5. PERSON'!DH$17:DH$192)+SUMIF('6. OPERATION'!$B$17:$B$149,$C914,'6. OPERATION'!CK$17:CK$149)+SUMIF('8. FACILIT'!$B$18:$B$50,$C914,'8. FACILIT'!AL$18:AL$50)</f>
        <v>0</v>
      </c>
      <c r="J930" s="135">
        <f>SUMIF('5. PERSON'!$B$17:$B$192,$C914,'5. PERSON'!DI$17:DI$192)+SUMIF('6. OPERATION'!$B$17:$B$149,$C914,'6. OPERATION'!CL$17:CL$149)+SUMIF('8. FACILIT'!$B$18:$B$50,$C914,'8. FACILIT'!AM$18:AM$50)</f>
        <v>0</v>
      </c>
      <c r="K930" s="135">
        <f>SUMIF('5. PERSON'!$B$17:$B$192,$C914,'5. PERSON'!DJ$17:DJ$192)+SUMIF('6. OPERATION'!$B$17:$B$149,$C914,'6. OPERATION'!CM$17:CM$149)+SUMIF('8. FACILIT'!$B$18:$B$50,$C914,'8. FACILIT'!AN$18:AN$50)</f>
        <v>0</v>
      </c>
      <c r="L930" s="135">
        <f>SUMIF('5. PERSON'!$B$17:$B$192,$C914,'5. PERSON'!DK$17:DK$192)+SUMIF('6. OPERATION'!$B$17:$B$149,$C914,'6. OPERATION'!CN$17:CN$149)+SUMIF('8. FACILIT'!$B$18:$B$50,$C914,'8. FACILIT'!AO$18:AO$50)</f>
        <v>0</v>
      </c>
      <c r="M930" s="117">
        <f t="shared" si="190"/>
        <v>0</v>
      </c>
    </row>
    <row r="931" spans="2:15" s="1" customFormat="1" ht="13.2" x14ac:dyDescent="0.25">
      <c r="B931" s="728" t="str">
        <f>IF('1. INTRO'!I$2="English",(IF(('5. PERSON'!CN$193+'6. OPERATION'!BQ$150)&gt;0,"Indirect","")),IF(('5. PERSON'!CN$193+'6. OPERATION'!BQ$150)&gt;0,"Indirekt",""))</f>
        <v/>
      </c>
      <c r="C931" s="729">
        <f>SUMIF('5. PERSON'!$B$17:$B$192,$C914,'5. PERSON'!CD$17:CD$192)+SUMIF('6. OPERATION'!$B$17:$B$149,$C914,'6. OPERATION'!BG$17:BG$149)</f>
        <v>0</v>
      </c>
      <c r="D931" s="729">
        <f>SUMIF('5. PERSON'!$B$17:$B$192,$C914,'5. PERSON'!CE$17:CE$192)+SUMIF('6. OPERATION'!$B$17:$B$149,$C914,'6. OPERATION'!BH$17:BH$149)</f>
        <v>0</v>
      </c>
      <c r="E931" s="729">
        <f>SUMIF('5. PERSON'!$B$17:$B$192,$C914,'5. PERSON'!CF$17:CF$192)+SUMIF('6. OPERATION'!$B$17:$B$149,$C914,'6. OPERATION'!BI$17:BI$149)</f>
        <v>0</v>
      </c>
      <c r="F931" s="729">
        <f>SUMIF('5. PERSON'!$B$17:$B$192,$C914,'5. PERSON'!CG$17:CG$192)+SUMIF('6. OPERATION'!$B$17:$B$149,$C914,'6. OPERATION'!BJ$17:BJ$149)</f>
        <v>0</v>
      </c>
      <c r="G931" s="729">
        <f>SUMIF('5. PERSON'!$B$17:$B$192,$C914,'5. PERSON'!CH$17:CH$192)+SUMIF('6. OPERATION'!$B$17:$B$149,$C914,'6. OPERATION'!BK$17:BK$149)</f>
        <v>0</v>
      </c>
      <c r="H931" s="729">
        <f>SUMIF('5. PERSON'!$B$17:$B$192,$C914,'5. PERSON'!CI$17:CI$192)+SUMIF('6. OPERATION'!$B$17:$B$149,$C914,'6. OPERATION'!BL$17:BL$149)</f>
        <v>0</v>
      </c>
      <c r="I931" s="729">
        <f>SUMIF('5. PERSON'!$B$17:$B$192,$C914,'5. PERSON'!CJ$17:CJ$192)+SUMIF('6. OPERATION'!$B$17:$B$149,$C914,'6. OPERATION'!BM$17:BM$149)</f>
        <v>0</v>
      </c>
      <c r="J931" s="729">
        <f>SUMIF('5. PERSON'!$B$17:$B$192,$C914,'5. PERSON'!CK$17:CK$192)+SUMIF('6. OPERATION'!$B$17:$B$149,$C914,'6. OPERATION'!BN$17:BN$149)</f>
        <v>0</v>
      </c>
      <c r="K931" s="729">
        <f>SUMIF('5. PERSON'!$B$17:$B$192,$C914,'5. PERSON'!CL$17:CL$192)+SUMIF('6. OPERATION'!$B$17:$B$149,$C914,'6. OPERATION'!BO$17:BO$149)</f>
        <v>0</v>
      </c>
      <c r="L931" s="729">
        <f>SUMIF('5. PERSON'!$B$17:$B$192,$C914,'5. PERSON'!CM$17:CM$192)+SUMIF('6. OPERATION'!$B$17:$B$149,$C914,'6. OPERATION'!BP$17:BP$149)</f>
        <v>0</v>
      </c>
      <c r="M931" s="733">
        <f t="shared" si="190"/>
        <v>0</v>
      </c>
    </row>
    <row r="932" spans="2:15" s="3" customFormat="1" ht="13.2" x14ac:dyDescent="0.25">
      <c r="B932" s="124" t="s">
        <v>113</v>
      </c>
      <c r="C932" s="102">
        <f>SUM(C925:C931)</f>
        <v>0</v>
      </c>
      <c r="D932" s="102">
        <f t="shared" ref="D932:M932" si="191">SUM(D925:D931)</f>
        <v>0</v>
      </c>
      <c r="E932" s="102">
        <f t="shared" si="191"/>
        <v>0</v>
      </c>
      <c r="F932" s="102">
        <f t="shared" si="191"/>
        <v>0</v>
      </c>
      <c r="G932" s="102">
        <f t="shared" si="191"/>
        <v>0</v>
      </c>
      <c r="H932" s="102">
        <f t="shared" si="191"/>
        <v>0</v>
      </c>
      <c r="I932" s="102">
        <f t="shared" si="191"/>
        <v>0</v>
      </c>
      <c r="J932" s="102">
        <f t="shared" si="191"/>
        <v>0</v>
      </c>
      <c r="K932" s="102">
        <f t="shared" si="191"/>
        <v>0</v>
      </c>
      <c r="L932" s="102">
        <f t="shared" si="191"/>
        <v>0</v>
      </c>
      <c r="M932" s="125">
        <f t="shared" si="191"/>
        <v>0</v>
      </c>
      <c r="N932" s="23"/>
      <c r="O932" s="23"/>
    </row>
    <row r="933" spans="2:15" s="3" customFormat="1" ht="6" customHeight="1" x14ac:dyDescent="0.25">
      <c r="B933" s="136"/>
      <c r="C933" s="127"/>
      <c r="D933" s="127"/>
      <c r="E933" s="127"/>
      <c r="F933" s="127"/>
      <c r="G933" s="127"/>
      <c r="H933" s="127"/>
      <c r="I933" s="127"/>
      <c r="J933" s="127"/>
      <c r="K933" s="127"/>
      <c r="L933" s="127"/>
      <c r="M933" s="137"/>
    </row>
    <row r="934" spans="2:15" s="3" customFormat="1" ht="13.2" x14ac:dyDescent="0.25">
      <c r="B934" s="129" t="str">
        <f>IF('1. INTRO'!I$2="English","Full cost","Full kostnad")</f>
        <v>Full cost</v>
      </c>
      <c r="C934" s="127"/>
      <c r="D934" s="127"/>
      <c r="E934" s="127"/>
      <c r="F934" s="127"/>
      <c r="G934" s="127"/>
      <c r="H934" s="127"/>
      <c r="I934" s="127"/>
      <c r="J934" s="127"/>
      <c r="K934" s="127"/>
      <c r="L934" s="127"/>
      <c r="M934" s="137"/>
    </row>
    <row r="935" spans="2:15" s="3" customFormat="1" ht="13.2" x14ac:dyDescent="0.25">
      <c r="B935" s="722" t="str">
        <f>IF('1. INTRO'!I$2="English","Salary including social costs (LKP)","Lön inklusive LKP")</f>
        <v>Salary including social costs (LKP)</v>
      </c>
      <c r="C935" s="734">
        <f>C917+C926+C927</f>
        <v>0</v>
      </c>
      <c r="D935" s="734">
        <f t="shared" ref="D935:L935" si="192">D917+D926+D927</f>
        <v>0</v>
      </c>
      <c r="E935" s="734">
        <f t="shared" si="192"/>
        <v>0</v>
      </c>
      <c r="F935" s="734">
        <f t="shared" si="192"/>
        <v>0</v>
      </c>
      <c r="G935" s="734">
        <f t="shared" si="192"/>
        <v>0</v>
      </c>
      <c r="H935" s="734">
        <f t="shared" si="192"/>
        <v>0</v>
      </c>
      <c r="I935" s="734">
        <f t="shared" si="192"/>
        <v>0</v>
      </c>
      <c r="J935" s="734">
        <f t="shared" si="192"/>
        <v>0</v>
      </c>
      <c r="K935" s="734">
        <f t="shared" si="192"/>
        <v>0</v>
      </c>
      <c r="L935" s="734">
        <f t="shared" si="192"/>
        <v>0</v>
      </c>
      <c r="M935" s="724">
        <f>SUM(C935:L935)</f>
        <v>0</v>
      </c>
    </row>
    <row r="936" spans="2:15" s="3" customFormat="1" ht="13.2" x14ac:dyDescent="0.25">
      <c r="B936" s="80" t="str">
        <f>IF('1. INTRO'!I$2="English","Operating","Drift")</f>
        <v>Operating</v>
      </c>
      <c r="C936" s="139">
        <f>C918+C928</f>
        <v>0</v>
      </c>
      <c r="D936" s="139">
        <f t="shared" ref="D936:L936" si="193">D918+D928</f>
        <v>0</v>
      </c>
      <c r="E936" s="139">
        <f t="shared" si="193"/>
        <v>0</v>
      </c>
      <c r="F936" s="139">
        <f t="shared" si="193"/>
        <v>0</v>
      </c>
      <c r="G936" s="139">
        <f t="shared" si="193"/>
        <v>0</v>
      </c>
      <c r="H936" s="139">
        <f t="shared" si="193"/>
        <v>0</v>
      </c>
      <c r="I936" s="139">
        <f t="shared" si="193"/>
        <v>0</v>
      </c>
      <c r="J936" s="139">
        <f t="shared" si="193"/>
        <v>0</v>
      </c>
      <c r="K936" s="139">
        <f t="shared" si="193"/>
        <v>0</v>
      </c>
      <c r="L936" s="139">
        <f t="shared" si="193"/>
        <v>0</v>
      </c>
      <c r="M936" s="117">
        <f>SUM(C936:L936)</f>
        <v>0</v>
      </c>
    </row>
    <row r="937" spans="2:15" s="3" customFormat="1" ht="13.2" x14ac:dyDescent="0.25">
      <c r="B937" s="725" t="str">
        <f>IF('1. INTRO'!I$2="English","Equipment","Utrustning")</f>
        <v>Equipment</v>
      </c>
      <c r="C937" s="735">
        <f>C919+C929</f>
        <v>0</v>
      </c>
      <c r="D937" s="735">
        <f t="shared" ref="D937:L937" si="194">D919+D929</f>
        <v>0</v>
      </c>
      <c r="E937" s="735">
        <f t="shared" si="194"/>
        <v>0</v>
      </c>
      <c r="F937" s="735">
        <f t="shared" si="194"/>
        <v>0</v>
      </c>
      <c r="G937" s="735">
        <f t="shared" si="194"/>
        <v>0</v>
      </c>
      <c r="H937" s="735">
        <f t="shared" si="194"/>
        <v>0</v>
      </c>
      <c r="I937" s="735">
        <f t="shared" si="194"/>
        <v>0</v>
      </c>
      <c r="J937" s="735">
        <f t="shared" si="194"/>
        <v>0</v>
      </c>
      <c r="K937" s="735">
        <f t="shared" si="194"/>
        <v>0</v>
      </c>
      <c r="L937" s="735">
        <f t="shared" si="194"/>
        <v>0</v>
      </c>
      <c r="M937" s="727">
        <f>SUM(C937:L937)</f>
        <v>0</v>
      </c>
    </row>
    <row r="938" spans="2:15" s="3" customFormat="1" ht="13.2" x14ac:dyDescent="0.25">
      <c r="B938" s="80" t="str">
        <f>IF('1. INTRO'!I$2="English","Facility","Lokal")</f>
        <v>Facility</v>
      </c>
      <c r="C938" s="139">
        <f>SUMIF('5. PERSON'!$B$17:$B$192,$C914,'5. PERSON'!CP$17:CP$192)+SUMIF('5. PERSON'!$B$17:$B$192,$C914,'5. PERSON'!DB$17:DB$192)+SUMIF('6. OPERATION'!$B$17:$B$149,$C914,'6. OPERATION'!BS$17:BS$149)+SUMIF('6. OPERATION'!$B$17:$B$149,$C914,'6. OPERATION'!CE$17:CE$149)+SUMIF('8. FACILIT'!$B$18:$B$50,$C914,'8. FACILIT'!T$18:T$50)+SUMIF('8. FACILIT'!$B$18:$B$50,$C914,'8. FACILIT'!AF$18:AF$50)</f>
        <v>0</v>
      </c>
      <c r="D938" s="139">
        <f>SUMIF('5. PERSON'!$B$17:$B$192,$C914,'5. PERSON'!CQ$17:CQ$192)+SUMIF('5. PERSON'!$B$17:$B$192,$C914,'5. PERSON'!DC$17:DC$192)+SUMIF('6. OPERATION'!$B$17:$B$149,$C914,'6. OPERATION'!BT$17:BT$149)+SUMIF('6. OPERATION'!$B$17:$B$149,$C914,'6. OPERATION'!CF$17:CF$149)+SUMIF('8. FACILIT'!$B$18:$B$50,$C914,'8. FACILIT'!U$18:U$50)+SUMIF('8. FACILIT'!$B$18:$B$50,$C914,'8. FACILIT'!AG$18:AG$50)</f>
        <v>0</v>
      </c>
      <c r="E938" s="139">
        <f>SUMIF('5. PERSON'!$B$17:$B$192,$C914,'5. PERSON'!CR$17:CR$192)+SUMIF('5. PERSON'!$B$17:$B$192,$C914,'5. PERSON'!DD$17:DD$192)+SUMIF('6. OPERATION'!$B$17:$B$149,$C914,'6. OPERATION'!BU$17:BU$149)+SUMIF('6. OPERATION'!$B$17:$B$149,$C914,'6. OPERATION'!CG$17:CG$149)+SUMIF('8. FACILIT'!$B$18:$B$50,$C914,'8. FACILIT'!V$18:V$50)+SUMIF('8. FACILIT'!$B$18:$B$50,$C914,'8. FACILIT'!AH$18:AH$50)</f>
        <v>0</v>
      </c>
      <c r="F938" s="139">
        <f>SUMIF('5. PERSON'!$B$17:$B$192,$C914,'5. PERSON'!CS$17:CS$192)+SUMIF('5. PERSON'!$B$17:$B$192,$C914,'5. PERSON'!DE$17:DE$192)+SUMIF('6. OPERATION'!$B$17:$B$149,$C914,'6. OPERATION'!BV$17:BV$149)+SUMIF('6. OPERATION'!$B$17:$B$149,$C914,'6. OPERATION'!CH$17:CH$149)+SUMIF('8. FACILIT'!$B$18:$B$50,$C914,'8. FACILIT'!W$18:W$50)+SUMIF('8. FACILIT'!$B$18:$B$50,$C914,'8. FACILIT'!AI$18:AI$50)</f>
        <v>0</v>
      </c>
      <c r="G938" s="139">
        <f>SUMIF('5. PERSON'!$B$17:$B$192,$C914,'5. PERSON'!CT$17:CT$192)+SUMIF('5. PERSON'!$B$17:$B$192,$C914,'5. PERSON'!DF$17:DF$192)+SUMIF('6. OPERATION'!$B$17:$B$149,$C914,'6. OPERATION'!BW$17:BW$149)+SUMIF('6. OPERATION'!$B$17:$B$149,$C914,'6. OPERATION'!CI$17:CI$149)+SUMIF('8. FACILIT'!$B$18:$B$50,$C914,'8. FACILIT'!X$18:X$50)+SUMIF('8. FACILIT'!$B$18:$B$50,$C914,'8. FACILIT'!AJ$18:AJ$50)</f>
        <v>0</v>
      </c>
      <c r="H938" s="139">
        <f>SUMIF('5. PERSON'!$B$17:$B$192,$C914,'5. PERSON'!CU$17:CU$192)+SUMIF('5. PERSON'!$B$17:$B$192,$C914,'5. PERSON'!DG$17:DG$192)+SUMIF('6. OPERATION'!$B$17:$B$149,$C914,'6. OPERATION'!BX$17:BX$149)+SUMIF('6. OPERATION'!$B$17:$B$149,$C914,'6. OPERATION'!CJ$17:CJ$149)+SUMIF('8. FACILIT'!$B$18:$B$50,$C914,'8. FACILIT'!Y$18:Y$50)+SUMIF('8. FACILIT'!$B$18:$B$50,$C914,'8. FACILIT'!AK$18:AK$50)</f>
        <v>0</v>
      </c>
      <c r="I938" s="139">
        <f>SUMIF('5. PERSON'!$B$17:$B$192,$C914,'5. PERSON'!CV$17:CV$192)+SUMIF('5. PERSON'!$B$17:$B$192,$C914,'5. PERSON'!DH$17:DH$192)+SUMIF('6. OPERATION'!$B$17:$B$149,$C914,'6. OPERATION'!BY$17:BY$149)+SUMIF('6. OPERATION'!$B$17:$B$149,$C914,'6. OPERATION'!CK$17:CK$149)+SUMIF('8. FACILIT'!$B$18:$B$50,$C914,'8. FACILIT'!Z$18:Z$50)+SUMIF('8. FACILIT'!$B$18:$B$50,$C914,'8. FACILIT'!AL$18:AL$50)</f>
        <v>0</v>
      </c>
      <c r="J938" s="139">
        <f>SUMIF('5. PERSON'!$B$17:$B$192,$C914,'5. PERSON'!CW$17:CW$192)+SUMIF('5. PERSON'!$B$17:$B$192,$C914,'5. PERSON'!DI$17:DI$192)+SUMIF('6. OPERATION'!$B$17:$B$149,$C914,'6. OPERATION'!BZ$17:BZ$149)+SUMIF('6. OPERATION'!$B$17:$B$149,$C914,'6. OPERATION'!CL$17:CL$149)+SUMIF('8. FACILIT'!$B$18:$B$50,$C914,'8. FACILIT'!AA$18:AA$50)+SUMIF('8. FACILIT'!$B$18:$B$50,$C914,'8. FACILIT'!AM$18:AM$50)</f>
        <v>0</v>
      </c>
      <c r="K938" s="139">
        <f>SUMIF('5. PERSON'!$B$17:$B$192,$C914,'5. PERSON'!CX$17:CX$192)+SUMIF('5. PERSON'!$B$17:$B$192,$C914,'5. PERSON'!DJ$17:DJ$192)+SUMIF('6. OPERATION'!$B$17:$B$149,$C914,'6. OPERATION'!CA$17:CA$149)+SUMIF('6. OPERATION'!$B$17:$B$149,$C914,'6. OPERATION'!CM$17:CM$149)+SUMIF('8. FACILIT'!$B$18:$B$50,$C914,'8. FACILIT'!AB$18:AB$50)+SUMIF('8. FACILIT'!$B$18:$B$50,$C914,'8. FACILIT'!AN$18:AN$50)</f>
        <v>0</v>
      </c>
      <c r="L938" s="139">
        <f>SUMIF('5. PERSON'!$B$17:$B$192,$C914,'5. PERSON'!CY$17:CY$192)+SUMIF('5. PERSON'!$B$17:$B$192,$C914,'5. PERSON'!DK$17:DK$192)+SUMIF('6. OPERATION'!$B$17:$B$149,$C914,'6. OPERATION'!CB$17:CB$149)+SUMIF('6. OPERATION'!$B$17:$B$149,$C914,'6. OPERATION'!CN$17:CN$149)+SUMIF('8. FACILIT'!$B$18:$B$50,$C914,'8. FACILIT'!AC$18:AC$50)+SUMIF('8. FACILIT'!$B$18:$B$50,$C914,'8. FACILIT'!AO$18:AO$50)</f>
        <v>0</v>
      </c>
      <c r="M938" s="117">
        <f>SUM(C938:L938)</f>
        <v>0</v>
      </c>
    </row>
    <row r="939" spans="2:15" s="3" customFormat="1" ht="13.2" x14ac:dyDescent="0.25">
      <c r="B939" s="736" t="str">
        <f>IF('1. INTRO'!I$2="English","Indirect","Indirekt")</f>
        <v>Indirect</v>
      </c>
      <c r="C939" s="737">
        <f>SUMIF('5. PERSON'!$B$17:$B$192,$C914,'5. PERSON'!BR$17:BR$192)+SUMIF('5. PERSON'!$B$17:$B$192,$C914,'5. PERSON'!CD$17:CD$192)+SUMIF('6. OPERATION'!$B$17:$B$149,$C914,'6. OPERATION'!AU$17:AU$149)+SUMIF('6. OPERATION'!$B$17:$B$149,$C914,'6. OPERATION'!BG$17:BG$149)</f>
        <v>0</v>
      </c>
      <c r="D939" s="737">
        <f>SUMIF('5. PERSON'!$B$17:$B$192,$C914,'5. PERSON'!BS$17:BS$192)+SUMIF('5. PERSON'!$B$17:$B$192,$C914,'5. PERSON'!CE$17:CE$192)+SUMIF('6. OPERATION'!$B$17:$B$149,$C914,'6. OPERATION'!AV$17:AV$149)+SUMIF('6. OPERATION'!$B$17:$B$149,$C914,'6. OPERATION'!BH$17:BH$149)</f>
        <v>0</v>
      </c>
      <c r="E939" s="737">
        <f>SUMIF('5. PERSON'!$B$17:$B$192,$C914,'5. PERSON'!BT$17:BT$192)+SUMIF('5. PERSON'!$B$17:$B$192,$C914,'5. PERSON'!CF$17:CF$192)+SUMIF('6. OPERATION'!$B$17:$B$149,$C914,'6. OPERATION'!AW$17:AW$149)+SUMIF('6. OPERATION'!$B$17:$B$149,$C914,'6. OPERATION'!BI$17:BI$149)</f>
        <v>0</v>
      </c>
      <c r="F939" s="737">
        <f>SUMIF('5. PERSON'!$B$17:$B$192,$C914,'5. PERSON'!BU$17:BU$192)+SUMIF('5. PERSON'!$B$17:$B$192,$C914,'5. PERSON'!CG$17:CG$192)+SUMIF('6. OPERATION'!$B$17:$B$149,$C914,'6. OPERATION'!AX$17:AX$149)+SUMIF('6. OPERATION'!$B$17:$B$149,$C914,'6. OPERATION'!BJ$17:BJ$149)</f>
        <v>0</v>
      </c>
      <c r="G939" s="737">
        <f>SUMIF('5. PERSON'!$B$17:$B$192,$C914,'5. PERSON'!BV$17:BV$192)+SUMIF('5. PERSON'!$B$17:$B$192,$C914,'5. PERSON'!CH$17:CH$192)+SUMIF('6. OPERATION'!$B$17:$B$149,$C914,'6. OPERATION'!AY$17:AY$149)+SUMIF('6. OPERATION'!$B$17:$B$149,$C914,'6. OPERATION'!BK$17:BK$149)</f>
        <v>0</v>
      </c>
      <c r="H939" s="737">
        <f>SUMIF('5. PERSON'!$B$17:$B$192,$C914,'5. PERSON'!BW$17:BW$192)+SUMIF('5. PERSON'!$B$17:$B$192,$C914,'5. PERSON'!CI$17:CI$192)+SUMIF('6. OPERATION'!$B$17:$B$149,$C914,'6. OPERATION'!AZ$17:AZ$149)+SUMIF('6. OPERATION'!$B$17:$B$149,$C914,'6. OPERATION'!BL$17:BL$149)</f>
        <v>0</v>
      </c>
      <c r="I939" s="737">
        <f>SUMIF('5. PERSON'!$B$17:$B$192,$C914,'5. PERSON'!BX$17:BX$192)+SUMIF('5. PERSON'!$B$17:$B$192,$C914,'5. PERSON'!CJ$17:CJ$192)+SUMIF('6. OPERATION'!$B$17:$B$149,$C914,'6. OPERATION'!BA$17:BA$149)+SUMIF('6. OPERATION'!$B$17:$B$149,$C914,'6. OPERATION'!BM$17:BM$149)</f>
        <v>0</v>
      </c>
      <c r="J939" s="737">
        <f>SUMIF('5. PERSON'!$B$17:$B$192,$C914,'5. PERSON'!BY$17:BY$192)+SUMIF('5. PERSON'!$B$17:$B$192,$C914,'5. PERSON'!CK$17:CK$192)+SUMIF('6. OPERATION'!$B$17:$B$149,$C914,'6. OPERATION'!BB$17:BB$149)+SUMIF('6. OPERATION'!$B$17:$B$149,$C914,'6. OPERATION'!BN$17:BN$149)</f>
        <v>0</v>
      </c>
      <c r="K939" s="737">
        <f>SUMIF('5. PERSON'!$B$17:$B$192,$C914,'5. PERSON'!BZ$17:BZ$192)+SUMIF('5. PERSON'!$B$17:$B$192,$C914,'5. PERSON'!CL$17:CL$192)+SUMIF('6. OPERATION'!$B$17:$B$149,$C914,'6. OPERATION'!BC$17:BC$149)+SUMIF('6. OPERATION'!$B$17:$B$149,$C914,'6. OPERATION'!BO$17:BO$149)</f>
        <v>0</v>
      </c>
      <c r="L939" s="737">
        <f>SUMIF('5. PERSON'!$B$17:$B$192,$C914,'5. PERSON'!CA$17:CA$192)+SUMIF('5. PERSON'!$B$17:$B$192,$C914,'5. PERSON'!CM$17:CM$192)+SUMIF('6. OPERATION'!$B$17:$B$149,$C914,'6. OPERATION'!BD$17:BD$149)+SUMIF('6. OPERATION'!$B$17:$B$149,$C914,'6. OPERATION'!BP$17:BP$149)</f>
        <v>0</v>
      </c>
      <c r="M939" s="733">
        <f>SUM(C939:L939)</f>
        <v>0</v>
      </c>
    </row>
    <row r="940" spans="2:15" s="3" customFormat="1" ht="13.2" x14ac:dyDescent="0.25">
      <c r="B940" s="124" t="s">
        <v>113</v>
      </c>
      <c r="C940" s="88">
        <f>SUM(C935:C939)</f>
        <v>0</v>
      </c>
      <c r="D940" s="88">
        <f t="shared" ref="D940:M940" si="195">SUM(D935:D939)</f>
        <v>0</v>
      </c>
      <c r="E940" s="88">
        <f t="shared" si="195"/>
        <v>0</v>
      </c>
      <c r="F940" s="88">
        <f t="shared" si="195"/>
        <v>0</v>
      </c>
      <c r="G940" s="88">
        <f t="shared" si="195"/>
        <v>0</v>
      </c>
      <c r="H940" s="88">
        <f t="shared" si="195"/>
        <v>0</v>
      </c>
      <c r="I940" s="88">
        <f t="shared" si="195"/>
        <v>0</v>
      </c>
      <c r="J940" s="88">
        <f t="shared" si="195"/>
        <v>0</v>
      </c>
      <c r="K940" s="88">
        <f t="shared" si="195"/>
        <v>0</v>
      </c>
      <c r="L940" s="88">
        <f t="shared" si="195"/>
        <v>0</v>
      </c>
      <c r="M940" s="142">
        <f t="shared" si="195"/>
        <v>0</v>
      </c>
    </row>
    <row r="941" spans="2:15" s="3" customFormat="1" ht="13.2" x14ac:dyDescent="0.25">
      <c r="B941" s="287"/>
      <c r="C941" s="37"/>
      <c r="D941" s="37"/>
      <c r="E941" s="37"/>
      <c r="F941" s="37"/>
      <c r="G941" s="37"/>
      <c r="H941" s="37"/>
      <c r="I941" s="37"/>
      <c r="J941" s="37"/>
      <c r="K941" s="37"/>
      <c r="L941" s="37"/>
      <c r="M941" s="37"/>
    </row>
    <row r="942" spans="2:15" s="3" customFormat="1" ht="12.75" customHeight="1" x14ac:dyDescent="0.25">
      <c r="B942" s="656" t="str">
        <f>IF('1. INTRO'!I$2="English","Co-funding share in full cost ","Medfinansieringsandel i full kostnad ")</f>
        <v xml:space="preserve">Co-funding share in full cost </v>
      </c>
      <c r="C942" s="143" t="str">
        <f t="shared" ref="C942:M942" si="196">IF(C940&gt;0,C932/C940,"")</f>
        <v/>
      </c>
      <c r="D942" s="143" t="str">
        <f t="shared" si="196"/>
        <v/>
      </c>
      <c r="E942" s="143" t="str">
        <f t="shared" si="196"/>
        <v/>
      </c>
      <c r="F942" s="143" t="str">
        <f t="shared" si="196"/>
        <v/>
      </c>
      <c r="G942" s="143" t="str">
        <f t="shared" si="196"/>
        <v/>
      </c>
      <c r="H942" s="143" t="str">
        <f t="shared" si="196"/>
        <v/>
      </c>
      <c r="I942" s="143" t="str">
        <f t="shared" si="196"/>
        <v/>
      </c>
      <c r="J942" s="143" t="str">
        <f t="shared" si="196"/>
        <v/>
      </c>
      <c r="K942" s="143" t="str">
        <f t="shared" si="196"/>
        <v/>
      </c>
      <c r="L942" s="143" t="str">
        <f t="shared" si="196"/>
        <v/>
      </c>
      <c r="M942" s="143" t="str">
        <f t="shared" si="196"/>
        <v/>
      </c>
    </row>
    <row r="943" spans="2:15" ht="12.75" customHeight="1" x14ac:dyDescent="0.2"/>
    <row r="944" spans="2:15" ht="12.75" customHeight="1" x14ac:dyDescent="0.25">
      <c r="D944" s="656" t="str">
        <f>IF('1. INTRO'!I$2="English","Co-funding need in average per year: ","Medfinansieringsbehov i genomsnitt per år: ")</f>
        <v xml:space="preserve">Co-funding need in average per year: </v>
      </c>
      <c r="E944" s="92" t="str">
        <f>IF(M932=0,"",M932/(DATEDIF('2. START'!C$18,'2. START'!C$19,"d")/365))</f>
        <v/>
      </c>
      <c r="H944" s="656" t="str">
        <f>IF('1. INTRO'!I$2="English","Co-funding need 1/3 of total: ","Medfinansieringsbehov 1/3 av totalt: ")</f>
        <v xml:space="preserve">Co-funding need 1/3 of total: </v>
      </c>
      <c r="I944" s="92">
        <f>M932/3</f>
        <v>0</v>
      </c>
      <c r="L944" s="287" t="str">
        <f>IF('1. INTRO'!I$2="English","Co-funding need total: ","Medfinansieringsbehov totalt: ")</f>
        <v xml:space="preserve">Co-funding need total: </v>
      </c>
      <c r="M944" s="92">
        <f>M932</f>
        <v>0</v>
      </c>
    </row>
    <row r="945" spans="2:13" ht="12.75" customHeight="1" x14ac:dyDescent="0.25">
      <c r="B945" s="53" t="str">
        <f>IF('1. INTRO'!I$2="English","Co-funding sources","Medfinansieringskällor")</f>
        <v>Co-funding sources</v>
      </c>
    </row>
    <row r="946" spans="2:13" ht="12.75" customHeight="1" x14ac:dyDescent="0.25">
      <c r="B946" s="225"/>
      <c r="C946" s="226"/>
      <c r="D946" s="226"/>
      <c r="E946" s="226"/>
      <c r="F946" s="226"/>
      <c r="G946" s="226"/>
      <c r="H946" s="226"/>
      <c r="I946" s="226"/>
      <c r="J946" s="226"/>
      <c r="K946" s="226"/>
      <c r="L946" s="227"/>
      <c r="M946" s="168">
        <f>SUM(C946:L946)</f>
        <v>0</v>
      </c>
    </row>
    <row r="947" spans="2:13" ht="12.75" customHeight="1" x14ac:dyDescent="0.25">
      <c r="B947" s="228"/>
      <c r="C947" s="229"/>
      <c r="D947" s="229"/>
      <c r="E947" s="229"/>
      <c r="F947" s="229"/>
      <c r="G947" s="229"/>
      <c r="H947" s="229"/>
      <c r="I947" s="229"/>
      <c r="J947" s="229"/>
      <c r="K947" s="229"/>
      <c r="L947" s="230"/>
      <c r="M947" s="727">
        <f t="shared" ref="M947:M950" si="197">SUM(C947:L947)</f>
        <v>0</v>
      </c>
    </row>
    <row r="948" spans="2:13" ht="12.75" customHeight="1" x14ac:dyDescent="0.25">
      <c r="B948" s="231"/>
      <c r="C948" s="232"/>
      <c r="D948" s="232"/>
      <c r="E948" s="232"/>
      <c r="F948" s="232"/>
      <c r="G948" s="232"/>
      <c r="H948" s="232"/>
      <c r="I948" s="232"/>
      <c r="J948" s="232"/>
      <c r="K948" s="232"/>
      <c r="L948" s="233"/>
      <c r="M948" s="117">
        <f t="shared" si="197"/>
        <v>0</v>
      </c>
    </row>
    <row r="949" spans="2:13" ht="12.75" customHeight="1" x14ac:dyDescent="0.25">
      <c r="B949" s="228"/>
      <c r="C949" s="229"/>
      <c r="D949" s="229"/>
      <c r="E949" s="229"/>
      <c r="F949" s="229"/>
      <c r="G949" s="229"/>
      <c r="H949" s="229"/>
      <c r="I949" s="229"/>
      <c r="J949" s="229"/>
      <c r="K949" s="229"/>
      <c r="L949" s="230"/>
      <c r="M949" s="727">
        <f t="shared" si="197"/>
        <v>0</v>
      </c>
    </row>
    <row r="950" spans="2:13" ht="12.75" customHeight="1" x14ac:dyDescent="0.25">
      <c r="B950" s="93"/>
      <c r="C950" s="232"/>
      <c r="D950" s="232"/>
      <c r="E950" s="232"/>
      <c r="F950" s="232"/>
      <c r="G950" s="232"/>
      <c r="H950" s="232"/>
      <c r="I950" s="232"/>
      <c r="J950" s="232"/>
      <c r="K950" s="232"/>
      <c r="L950" s="233"/>
      <c r="M950" s="117">
        <f t="shared" si="197"/>
        <v>0</v>
      </c>
    </row>
    <row r="951" spans="2:13" ht="12.75" customHeight="1" x14ac:dyDescent="0.25">
      <c r="B951" s="84" t="str">
        <f>IF('1. INTRO'!I$2="English","Total co-funding ","Total medfinansiering ")</f>
        <v xml:space="preserve">Total co-funding </v>
      </c>
      <c r="C951" s="87">
        <f t="shared" ref="C951:M951" si="198">SUM(C946:C950)</f>
        <v>0</v>
      </c>
      <c r="D951" s="87">
        <f t="shared" si="198"/>
        <v>0</v>
      </c>
      <c r="E951" s="87">
        <f t="shared" si="198"/>
        <v>0</v>
      </c>
      <c r="F951" s="87">
        <f t="shared" si="198"/>
        <v>0</v>
      </c>
      <c r="G951" s="87">
        <f t="shared" si="198"/>
        <v>0</v>
      </c>
      <c r="H951" s="87">
        <f t="shared" si="198"/>
        <v>0</v>
      </c>
      <c r="I951" s="87">
        <f t="shared" si="198"/>
        <v>0</v>
      </c>
      <c r="J951" s="87">
        <f t="shared" si="198"/>
        <v>0</v>
      </c>
      <c r="K951" s="87">
        <f t="shared" si="198"/>
        <v>0</v>
      </c>
      <c r="L951" s="87">
        <f t="shared" si="198"/>
        <v>0</v>
      </c>
      <c r="M951" s="142">
        <f t="shared" si="198"/>
        <v>0</v>
      </c>
    </row>
    <row r="952" spans="2:13" ht="12.75" customHeight="1" x14ac:dyDescent="0.2"/>
    <row r="953" spans="2:13" ht="12.75" customHeight="1" x14ac:dyDescent="0.2">
      <c r="B953" s="667" t="str">
        <f>IF('1. INTRO'!I$2="English","Calculation comments","Kalkylkommentarer")</f>
        <v>Calculation comments</v>
      </c>
    </row>
    <row r="954" spans="2:13" ht="12.75" customHeight="1" x14ac:dyDescent="0.2">
      <c r="B954" s="1142"/>
      <c r="C954" s="1143"/>
      <c r="D954" s="1143"/>
      <c r="E954" s="1143"/>
      <c r="F954" s="1143"/>
      <c r="G954" s="1143"/>
      <c r="H954" s="1143"/>
      <c r="I954" s="1143"/>
      <c r="J954" s="1143"/>
      <c r="K954" s="1143"/>
      <c r="L954" s="1143"/>
      <c r="M954" s="1144"/>
    </row>
    <row r="955" spans="2:13" ht="12.75" customHeight="1" x14ac:dyDescent="0.2">
      <c r="B955" s="1145"/>
      <c r="C955" s="1226"/>
      <c r="D955" s="1226"/>
      <c r="E955" s="1226"/>
      <c r="F955" s="1226"/>
      <c r="G955" s="1226"/>
      <c r="H955" s="1226"/>
      <c r="I955" s="1226"/>
      <c r="J955" s="1226"/>
      <c r="K955" s="1226"/>
      <c r="L955" s="1226"/>
      <c r="M955" s="1147"/>
    </row>
    <row r="956" spans="2:13" ht="12.75" customHeight="1" x14ac:dyDescent="0.2">
      <c r="B956" s="1145"/>
      <c r="C956" s="1226"/>
      <c r="D956" s="1226"/>
      <c r="E956" s="1226"/>
      <c r="F956" s="1226"/>
      <c r="G956" s="1226"/>
      <c r="H956" s="1226"/>
      <c r="I956" s="1226"/>
      <c r="J956" s="1226"/>
      <c r="K956" s="1226"/>
      <c r="L956" s="1226"/>
      <c r="M956" s="1147"/>
    </row>
    <row r="957" spans="2:13" ht="12.75" customHeight="1" x14ac:dyDescent="0.2">
      <c r="B957" s="1145"/>
      <c r="C957" s="1226"/>
      <c r="D957" s="1226"/>
      <c r="E957" s="1226"/>
      <c r="F957" s="1226"/>
      <c r="G957" s="1226"/>
      <c r="H957" s="1226"/>
      <c r="I957" s="1226"/>
      <c r="J957" s="1226"/>
      <c r="K957" s="1226"/>
      <c r="L957" s="1226"/>
      <c r="M957" s="1147"/>
    </row>
    <row r="958" spans="2:13" ht="12.75" customHeight="1" x14ac:dyDescent="0.2">
      <c r="B958" s="1148"/>
      <c r="C958" s="1149"/>
      <c r="D958" s="1149"/>
      <c r="E958" s="1149"/>
      <c r="F958" s="1149"/>
      <c r="G958" s="1149"/>
      <c r="H958" s="1149"/>
      <c r="I958" s="1149"/>
      <c r="J958" s="1149"/>
      <c r="K958" s="1149"/>
      <c r="L958" s="1149"/>
      <c r="M958" s="1150"/>
    </row>
    <row r="960" spans="2:13" s="3" customFormat="1" ht="12.75" customHeight="1" x14ac:dyDescent="0.25">
      <c r="B960" s="313" t="str">
        <f>'3. PARTNER'!C$4</f>
        <v xml:space="preserve">Project: </v>
      </c>
      <c r="C960" s="1062" t="str">
        <f>'3. PARTNER'!D$4</f>
        <v/>
      </c>
      <c r="D960" s="1001"/>
      <c r="E960" s="1001"/>
      <c r="F960" s="1001"/>
      <c r="G960" s="1001"/>
      <c r="H960" s="1001"/>
      <c r="I960" s="1001"/>
      <c r="J960" s="1001"/>
      <c r="K960" s="1001"/>
      <c r="L960" s="1001"/>
      <c r="M960" s="1001"/>
    </row>
    <row r="961" spans="2:15" s="3" customFormat="1" ht="13.2" x14ac:dyDescent="0.25">
      <c r="B961" s="313" t="str">
        <f>'3. PARTNER'!C$5</f>
        <v xml:space="preserve">Calculation for: </v>
      </c>
      <c r="C961" s="1062" t="str">
        <f>'3. PARTNER'!D$5</f>
        <v>APPLICATION</v>
      </c>
      <c r="D961" s="1001"/>
      <c r="E961" s="268"/>
      <c r="F961" s="268"/>
      <c r="G961" s="268"/>
      <c r="H961" s="268"/>
      <c r="I961" s="268"/>
      <c r="J961" s="268"/>
      <c r="K961" s="268"/>
      <c r="L961" s="268"/>
      <c r="M961" s="268"/>
    </row>
    <row r="962" spans="2:15" s="3" customFormat="1" ht="13.2" x14ac:dyDescent="0.25">
      <c r="B962" s="35" t="str">
        <f>'3. PARTNER'!C$6</f>
        <v xml:space="preserve">Project leader: </v>
      </c>
      <c r="C962" s="1062" t="str">
        <f>'3. PARTNER'!D$6</f>
        <v/>
      </c>
      <c r="D962" s="1001"/>
      <c r="E962" s="1001"/>
      <c r="F962" s="1001"/>
      <c r="G962" s="1001"/>
      <c r="H962" s="1001"/>
      <c r="I962" s="1001"/>
      <c r="J962" s="1001"/>
      <c r="K962" s="1001"/>
      <c r="L962" s="1001"/>
      <c r="M962" s="1001"/>
    </row>
    <row r="963" spans="2:15" s="3" customFormat="1" ht="13.2" x14ac:dyDescent="0.25">
      <c r="B963" s="313" t="str">
        <f>'5. PERSON'!B$7</f>
        <v xml:space="preserve">Amounts in: </v>
      </c>
      <c r="C963" s="655" t="str">
        <f>'5. PERSON'!C$7</f>
        <v>SEK</v>
      </c>
      <c r="D963" s="268"/>
      <c r="E963" s="268"/>
      <c r="F963" s="268"/>
      <c r="G963" s="234"/>
      <c r="H963" s="234"/>
      <c r="I963" s="270"/>
      <c r="J963" s="270"/>
      <c r="K963" s="270"/>
      <c r="L963" s="270"/>
      <c r="M963" s="270"/>
    </row>
    <row r="964" spans="2:15" s="3" customFormat="1" ht="13.2" x14ac:dyDescent="0.25">
      <c r="B964" s="313"/>
      <c r="C964" s="1053" t="str">
        <f>'3. PARTNER'!D$7</f>
        <v>Other basic data about the project is in sheet 2.</v>
      </c>
      <c r="D964" s="1001"/>
      <c r="E964" s="1001"/>
      <c r="F964" s="1001"/>
      <c r="G964" s="234"/>
      <c r="H964" s="234"/>
      <c r="I964" s="270"/>
      <c r="J964" s="270"/>
      <c r="K964" s="270"/>
      <c r="L964" s="251" t="s">
        <v>4</v>
      </c>
      <c r="M964" s="270"/>
    </row>
    <row r="965" spans="2:15" ht="12.75" customHeight="1" x14ac:dyDescent="0.2">
      <c r="J965" s="252" t="s">
        <v>322</v>
      </c>
      <c r="K965" s="252" t="s">
        <v>323</v>
      </c>
      <c r="L965" s="252" t="str">
        <f>IF('1. INTRO'!I$2="English","months","månader")</f>
        <v>months</v>
      </c>
    </row>
    <row r="966" spans="2:15" s="3" customFormat="1" ht="13.8" x14ac:dyDescent="0.25">
      <c r="B966" s="157" t="str">
        <f>IF('1. INTRO'!I$2="English","Project costs","Projektkostnader")</f>
        <v>Project costs</v>
      </c>
      <c r="C966" s="668" t="str">
        <f>A32</f>
        <v>510NJ</v>
      </c>
      <c r="D966" s="1227" t="str">
        <f>B32</f>
        <v>Economics</v>
      </c>
      <c r="E966" s="1004"/>
      <c r="G966" s="37"/>
      <c r="H966" s="37"/>
      <c r="I966" s="37"/>
      <c r="J966" s="643"/>
      <c r="K966" s="643"/>
      <c r="L966" s="642">
        <f>SUMIF('5. PERSON'!$B$17:$B$192,$C966,'5. PERSON'!AE$17:AE$192)</f>
        <v>0</v>
      </c>
      <c r="M966" s="680" t="s">
        <v>330</v>
      </c>
    </row>
    <row r="967" spans="2:15" s="3" customFormat="1" ht="6" customHeight="1" x14ac:dyDescent="0.25">
      <c r="B967" s="57"/>
      <c r="C967" s="37"/>
      <c r="D967" s="37"/>
      <c r="E967" s="37"/>
      <c r="F967" s="37"/>
      <c r="G967" s="37"/>
      <c r="H967" s="37"/>
      <c r="I967" s="37"/>
      <c r="J967" s="37"/>
      <c r="K967" s="37"/>
      <c r="L967" s="37"/>
      <c r="M967" s="37"/>
    </row>
    <row r="968" spans="2:15" s="3" customFormat="1" ht="13.2" x14ac:dyDescent="0.25">
      <c r="B968" s="110" t="str">
        <f>IF('1. INTRO'!I$2="English","Costs to be covered by funding body","Kostnader att täckas av finansiär")</f>
        <v>Costs to be covered by funding body</v>
      </c>
      <c r="C968" s="111">
        <f>'5. PERSON'!G$15</f>
        <v>1900</v>
      </c>
      <c r="D968" s="111" t="str">
        <f>'5. PERSON'!H$15</f>
        <v/>
      </c>
      <c r="E968" s="111" t="str">
        <f>'5. PERSON'!I$15</f>
        <v/>
      </c>
      <c r="F968" s="111" t="str">
        <f>'5. PERSON'!J$15</f>
        <v/>
      </c>
      <c r="G968" s="111" t="str">
        <f>'5. PERSON'!K$15</f>
        <v/>
      </c>
      <c r="H968" s="111" t="str">
        <f>'5. PERSON'!L$15</f>
        <v/>
      </c>
      <c r="I968" s="111" t="str">
        <f>'5. PERSON'!M$15</f>
        <v/>
      </c>
      <c r="J968" s="111" t="str">
        <f>'5. PERSON'!N$15</f>
        <v/>
      </c>
      <c r="K968" s="111" t="str">
        <f>'5. PERSON'!O$15</f>
        <v/>
      </c>
      <c r="L968" s="111" t="str">
        <f>'5. PERSON'!P$15</f>
        <v/>
      </c>
      <c r="M968" s="112" t="s">
        <v>2</v>
      </c>
    </row>
    <row r="969" spans="2:15" s="3" customFormat="1" ht="12.75" customHeight="1" x14ac:dyDescent="0.25">
      <c r="B969" s="722" t="str">
        <f>IF('1. INTRO'!I$2="English","Salary including social costs (LKP)","Lön inklusive LKP")</f>
        <v>Salary including social costs (LKP)</v>
      </c>
      <c r="C969" s="723">
        <f>IF('2. START'!$C$14&gt;0,SUMIF('5. PERSON'!$B$17:$B$192,$C966,'5. PERSON'!DN$17:DN$192),SUMIF('5. PERSON'!$B$17:$B$192,$C966,'5. PERSON'!AT$17:AT$192))</f>
        <v>0</v>
      </c>
      <c r="D969" s="723">
        <f>IF('2. START'!$C$14&gt;0,SUMIF('5. PERSON'!$B$17:$B$192,$C966,'5. PERSON'!DO$17:DO$192),SUMIF('5. PERSON'!$B$17:$B$192,$C966,'5. PERSON'!AU$17:AU$192))</f>
        <v>0</v>
      </c>
      <c r="E969" s="723">
        <f>IF('2. START'!$C$14&gt;0,SUMIF('5. PERSON'!$B$17:$B$192,$C966,'5. PERSON'!DP$17:DP$192),SUMIF('5. PERSON'!$B$17:$B$192,$C966,'5. PERSON'!AV$17:AV$192))</f>
        <v>0</v>
      </c>
      <c r="F969" s="723">
        <f>IF('2. START'!$C$14&gt;0,SUMIF('5. PERSON'!$B$17:$B$192,$C966,'5. PERSON'!DQ$17:DQ$192),SUMIF('5. PERSON'!$B$17:$B$192,$C966,'5. PERSON'!AW$17:AW$192))</f>
        <v>0</v>
      </c>
      <c r="G969" s="723">
        <f>IF('2. START'!$C$14&gt;0,SUMIF('5. PERSON'!$B$17:$B$192,$C966,'5. PERSON'!DR$17:DR$192),SUMIF('5. PERSON'!$B$17:$B$192,$C966,'5. PERSON'!AX$17:AX$192))</f>
        <v>0</v>
      </c>
      <c r="H969" s="723">
        <f>IF('2. START'!$C$14&gt;0,SUMIF('5. PERSON'!$B$17:$B$192,$C966,'5. PERSON'!DS$17:DS$192),SUMIF('5. PERSON'!$B$17:$B$192,$C966,'5. PERSON'!AY$17:AY$192))</f>
        <v>0</v>
      </c>
      <c r="I969" s="723">
        <f>IF('2. START'!$C$14&gt;0,SUMIF('5. PERSON'!$B$17:$B$192,$C966,'5. PERSON'!DT$17:DT$192),SUMIF('5. PERSON'!$B$17:$B$192,$C966,'5. PERSON'!AZ$17:AZ$192))</f>
        <v>0</v>
      </c>
      <c r="J969" s="723">
        <f>IF('2. START'!$C$14&gt;0,SUMIF('5. PERSON'!$B$17:$B$192,$C966,'5. PERSON'!DU$17:DU$192),SUMIF('5. PERSON'!$B$17:$B$192,$C966,'5. PERSON'!BA$17:BA$192))</f>
        <v>0</v>
      </c>
      <c r="K969" s="723">
        <f>IF('2. START'!$C$14&gt;0,SUMIF('5. PERSON'!$B$17:$B$192,$C966,'5. PERSON'!DV$17:DV$192),SUMIF('5. PERSON'!$B$17:$B$192,$C966,'5. PERSON'!BB$17:BB$192))</f>
        <v>0</v>
      </c>
      <c r="L969" s="723">
        <f>IF('2. START'!$C$14&gt;0,SUMIF('5. PERSON'!$B$17:$B$192,$C966,'5. PERSON'!DW$17:DW$192),SUMIF('5. PERSON'!$B$17:$B$192,$C966,'5. PERSON'!BC$17:BC$192))</f>
        <v>0</v>
      </c>
      <c r="M969" s="724">
        <f t="shared" ref="M969:M974" si="199">SUM(C969:L969)</f>
        <v>0</v>
      </c>
      <c r="O969" s="4"/>
    </row>
    <row r="970" spans="2:15" s="3" customFormat="1" ht="12.75" customHeight="1" x14ac:dyDescent="0.25">
      <c r="B970" s="80" t="str">
        <f>IF('1. INTRO'!I$2="English","Operating","Drift")</f>
        <v>Operating</v>
      </c>
      <c r="C970" s="116">
        <f>SUMIF('6. OPERATION'!$B$17:$B$149,$C966,'6. OPERATION'!W$17:W$149)</f>
        <v>0</v>
      </c>
      <c r="D970" s="116">
        <f>SUMIF('6. OPERATION'!$B$17:$B$149,$C966,'6. OPERATION'!X$17:X$149)</f>
        <v>0</v>
      </c>
      <c r="E970" s="116">
        <f>SUMIF('6. OPERATION'!$B$17:$B$149,$C966,'6. OPERATION'!Y$17:Y$149)</f>
        <v>0</v>
      </c>
      <c r="F970" s="116">
        <f>SUMIF('6. OPERATION'!$B$17:$B$149,$C966,'6. OPERATION'!Z$17:Z$149)</f>
        <v>0</v>
      </c>
      <c r="G970" s="116">
        <f>SUMIF('6. OPERATION'!$B$17:$B$149,$C966,'6. OPERATION'!AA$17:AA$149)</f>
        <v>0</v>
      </c>
      <c r="H970" s="116">
        <f>SUMIF('6. OPERATION'!$B$17:$B$149,$C966,'6. OPERATION'!AB$17:AB$149)</f>
        <v>0</v>
      </c>
      <c r="I970" s="116">
        <f>SUMIF('6. OPERATION'!$B$17:$B$149,$C966,'6. OPERATION'!AC$17:AC$149)</f>
        <v>0</v>
      </c>
      <c r="J970" s="116">
        <f>SUMIF('6. OPERATION'!$B$17:$B$149,$C966,'6. OPERATION'!AD$17:AD$149)</f>
        <v>0</v>
      </c>
      <c r="K970" s="116">
        <f>SUMIF('6. OPERATION'!$B$17:$B$149,$C966,'6. OPERATION'!AE$17:AE$149)</f>
        <v>0</v>
      </c>
      <c r="L970" s="116">
        <f>SUMIF('6. OPERATION'!$B$17:$B$149,$C966,'6. OPERATION'!AF$17:AF$149)</f>
        <v>0</v>
      </c>
      <c r="M970" s="117">
        <f t="shared" si="199"/>
        <v>0</v>
      </c>
    </row>
    <row r="971" spans="2:15" s="3" customFormat="1" ht="13.2" x14ac:dyDescent="0.25">
      <c r="B971" s="725" t="str">
        <f>IF('1. INTRO'!I$2="English","Equipment","Utrustning")</f>
        <v>Equipment</v>
      </c>
      <c r="C971" s="726">
        <f>SUMIF('7. INVEST'!$B$17:$B$49,$C966,'7. INVEST'!W$17:W$49)</f>
        <v>0</v>
      </c>
      <c r="D971" s="726">
        <f>SUMIF('7. INVEST'!$B$17:$B$49,$C966,'7. INVEST'!X$17:X$49)</f>
        <v>0</v>
      </c>
      <c r="E971" s="726">
        <f>SUMIF('7. INVEST'!$B$17:$B$49,$C966,'7. INVEST'!Y$17:Y$49)</f>
        <v>0</v>
      </c>
      <c r="F971" s="726">
        <f>SUMIF('7. INVEST'!$B$17:$B$49,$C966,'7. INVEST'!Z$17:Z$49)</f>
        <v>0</v>
      </c>
      <c r="G971" s="726">
        <f>SUMIF('7. INVEST'!$B$17:$B$49,$C966,'7. INVEST'!AA$17:AA$49)</f>
        <v>0</v>
      </c>
      <c r="H971" s="726">
        <f>SUMIF('7. INVEST'!$B$17:$B$49,$C966,'7. INVEST'!AB$17:AB$49)</f>
        <v>0</v>
      </c>
      <c r="I971" s="726">
        <f>SUMIF('7. INVEST'!$B$17:$B$49,$C966,'7. INVEST'!AC$17:AC$49)</f>
        <v>0</v>
      </c>
      <c r="J971" s="726">
        <f>SUMIF('7. INVEST'!$B$17:$B$49,$C966,'7. INVEST'!AD$17:AD$49)</f>
        <v>0</v>
      </c>
      <c r="K971" s="726">
        <f>SUMIF('7. INVEST'!$B$17:$B$49,$C966,'7. INVEST'!AE$17:AE$49)</f>
        <v>0</v>
      </c>
      <c r="L971" s="726">
        <f>SUMIF('7. INVEST'!$B$17:$B$49,$C966,'7. INVEST'!AF$17:AF$49)</f>
        <v>0</v>
      </c>
      <c r="M971" s="727">
        <f t="shared" si="199"/>
        <v>0</v>
      </c>
    </row>
    <row r="972" spans="2:15" s="3" customFormat="1" ht="13.2" x14ac:dyDescent="0.25">
      <c r="B972" s="121" t="str">
        <f>IF('1. INTRO'!I$2="English",(IF('2. START'!C$11="NO","Facility accepted as direct cost by funding body","Facility")),IF('2. START'!C$11="NO","Lokal accepterad som direkt kostnad av finansiär","Lokal"))</f>
        <v>Facility</v>
      </c>
      <c r="C972" s="116">
        <f>IF('2. START'!$C$11="NO",SUMIF('8. FACILIT'!$B$18:$B$50,$C966,'8. FACILIT'!T$18:T$50),SUMIF('5. PERSON'!$B$17:$B$192,$C966,'5. PERSON'!CP$17:CP$192)+SUMIF('6. OPERATION'!$B$17:$B$149,$C966,'6. OPERATION'!BS$17:BS$149)+SUMIF('8. FACILIT'!$B$18:$B$50,$C966,'8. FACILIT'!T$18:T$50))</f>
        <v>0</v>
      </c>
      <c r="D972" s="116">
        <f>IF('2. START'!$C$11="NO",SUMIF('8. FACILIT'!$B$18:$B$50,$C966,'8. FACILIT'!U$18:U$50),SUMIF('5. PERSON'!$B$17:$B$192,$C966,'5. PERSON'!CQ$17:CQ$192)+SUMIF('6. OPERATION'!$B$17:$B$149,$C966,'6. OPERATION'!BT$17:BT$149)+SUMIF('8. FACILIT'!$B$18:$B$50,$C966,'8. FACILIT'!U$18:U$50))</f>
        <v>0</v>
      </c>
      <c r="E972" s="116">
        <f>IF('2. START'!$C$11="NO",SUMIF('8. FACILIT'!$B$18:$B$50,$C966,'8. FACILIT'!V$18:V$50),SUMIF('5. PERSON'!$B$17:$B$192,$C966,'5. PERSON'!CR$17:CR$192)+SUMIF('6. OPERATION'!$B$17:$B$149,$C966,'6. OPERATION'!BU$17:BU$149)+SUMIF('8. FACILIT'!$B$18:$B$50,$C966,'8. FACILIT'!V$18:V$50))</f>
        <v>0</v>
      </c>
      <c r="F972" s="116">
        <f>IF('2. START'!$C$11="NO",SUMIF('8. FACILIT'!$B$18:$B$50,$C966,'8. FACILIT'!W$18:W$50),SUMIF('5. PERSON'!$B$17:$B$192,$C966,'5. PERSON'!CS$17:CS$192)+SUMIF('6. OPERATION'!$B$17:$B$149,$C966,'6. OPERATION'!BV$17:BV$149)+SUMIF('8. FACILIT'!$B$18:$B$50,$C966,'8. FACILIT'!W$18:W$50))</f>
        <v>0</v>
      </c>
      <c r="G972" s="116">
        <f>IF('2. START'!$C$11="NO",SUMIF('8. FACILIT'!$B$18:$B$50,$C966,'8. FACILIT'!X$18:X$50),SUMIF('5. PERSON'!$B$17:$B$192,$C966,'5. PERSON'!CT$17:CT$192)+SUMIF('6. OPERATION'!$B$17:$B$149,$C966,'6. OPERATION'!BW$17:BW$149)+SUMIF('8. FACILIT'!$B$18:$B$50,$C966,'8. FACILIT'!X$18:X$50))</f>
        <v>0</v>
      </c>
      <c r="H972" s="116">
        <f>IF('2. START'!$C$11="NO",SUMIF('8. FACILIT'!$B$18:$B$50,$C966,'8. FACILIT'!Y$18:Y$50),SUMIF('5. PERSON'!$B$17:$B$192,$C966,'5. PERSON'!CU$17:CU$192)+SUMIF('6. OPERATION'!$B$17:$B$149,$C966,'6. OPERATION'!BX$17:BX$149)+SUMIF('8. FACILIT'!$B$18:$B$50,$C966,'8. FACILIT'!Y$18:Y$50))</f>
        <v>0</v>
      </c>
      <c r="I972" s="116">
        <f>IF('2. START'!$C$11="NO",SUMIF('8. FACILIT'!$B$18:$B$50,$C966,'8. FACILIT'!Z$18:Z$50),SUMIF('5. PERSON'!$B$17:$B$192,$C966,'5. PERSON'!CV$17:CV$192)+SUMIF('6. OPERATION'!$B$17:$B$149,$C966,'6. OPERATION'!BY$17:BY$149)+SUMIF('8. FACILIT'!$B$18:$B$50,$C966,'8. FACILIT'!Z$18:Z$50))</f>
        <v>0</v>
      </c>
      <c r="J972" s="116">
        <f>IF('2. START'!$C$11="NO",SUMIF('8. FACILIT'!$B$18:$B$50,$C966,'8. FACILIT'!AA$18:AA$50),SUMIF('5. PERSON'!$B$17:$B$192,$C966,'5. PERSON'!CW$17:CW$192)+SUMIF('6. OPERATION'!$B$17:$B$149,$C966,'6. OPERATION'!BZ$17:BZ$149)+SUMIF('8. FACILIT'!$B$18:$B$50,$C966,'8. FACILIT'!AA$18:AA$50))</f>
        <v>0</v>
      </c>
      <c r="K972" s="116">
        <f>IF('2. START'!$C$11="NO",SUMIF('8. FACILIT'!$B$18:$B$50,$C966,'8. FACILIT'!AB$18:AB$50),SUMIF('5. PERSON'!$B$17:$B$192,$C966,'5. PERSON'!CX$17:CX$192)+SUMIF('6. OPERATION'!$B$17:$B$149,$C966,'6. OPERATION'!CA$17:CA$149)+SUMIF('8. FACILIT'!$B$18:$B$50,$C966,'8. FACILIT'!AB$18:AB$50))</f>
        <v>0</v>
      </c>
      <c r="L972" s="116">
        <f>IF('2. START'!$C$11="NO",SUMIF('8. FACILIT'!$B$18:$B$50,$C966,'8. FACILIT'!AC$18:AC$50),SUMIF('5. PERSON'!$B$17:$B$192,$C966,'5. PERSON'!CY$17:CY$192)+SUMIF('6. OPERATION'!$B$17:$B$149,$C966,'6. OPERATION'!CB$17:CB$149)+SUMIF('8. FACILIT'!$B$18:$B$50,$C966,'8. FACILIT'!AC$18:AC$50))</f>
        <v>0</v>
      </c>
      <c r="M972" s="117">
        <f t="shared" si="199"/>
        <v>0</v>
      </c>
    </row>
    <row r="973" spans="2:15" s="3" customFormat="1" ht="13.2" x14ac:dyDescent="0.25">
      <c r="B973" s="728" t="str">
        <f>IF('1. INTRO'!I$2="English",(IF('2. START'!C$11="NO","Indirect and facility charge accepted as OH by funding body","Indirect")),IF('2. START'!C$11="NO","Indirekt och lokalpåslag accepterade som OH av finansiär","Indirekt"))</f>
        <v>Indirect</v>
      </c>
      <c r="C973" s="729">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729">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729">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729">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729">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729">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729">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729">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729">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729">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727">
        <f t="shared" si="199"/>
        <v>0</v>
      </c>
    </row>
    <row r="974" spans="2:15" s="3" customFormat="1" ht="13.2" x14ac:dyDescent="0.25">
      <c r="B974" s="124" t="s">
        <v>113</v>
      </c>
      <c r="C974" s="102">
        <f>SUM(C969:C973)</f>
        <v>0</v>
      </c>
      <c r="D974" s="102">
        <f t="shared" ref="D974:L974" si="200">SUM(D969:D973)</f>
        <v>0</v>
      </c>
      <c r="E974" s="102">
        <f t="shared" si="200"/>
        <v>0</v>
      </c>
      <c r="F974" s="102">
        <f t="shared" si="200"/>
        <v>0</v>
      </c>
      <c r="G974" s="102">
        <f t="shared" si="200"/>
        <v>0</v>
      </c>
      <c r="H974" s="102">
        <f t="shared" si="200"/>
        <v>0</v>
      </c>
      <c r="I974" s="102">
        <f t="shared" si="200"/>
        <v>0</v>
      </c>
      <c r="J974" s="102">
        <f t="shared" si="200"/>
        <v>0</v>
      </c>
      <c r="K974" s="102">
        <f t="shared" si="200"/>
        <v>0</v>
      </c>
      <c r="L974" s="102">
        <f t="shared" si="200"/>
        <v>0</v>
      </c>
      <c r="M974" s="125">
        <f t="shared" si="199"/>
        <v>0</v>
      </c>
    </row>
    <row r="975" spans="2:15" s="3" customFormat="1" ht="6" customHeight="1" x14ac:dyDescent="0.25">
      <c r="B975" s="126"/>
      <c r="C975" s="127"/>
      <c r="D975" s="127"/>
      <c r="E975" s="127"/>
      <c r="F975" s="127"/>
      <c r="G975" s="127"/>
      <c r="H975" s="127"/>
      <c r="I975" s="127"/>
      <c r="J975" s="127"/>
      <c r="K975" s="127"/>
      <c r="L975" s="127"/>
      <c r="M975" s="128"/>
    </row>
    <row r="976" spans="2:15" s="3" customFormat="1" ht="13.2" x14ac:dyDescent="0.25">
      <c r="B976" s="129" t="str">
        <f>IF('1. INTRO'!I$2="English","Costs to be co-funded","Kostnader att medfinansiera")</f>
        <v>Costs to be co-funded</v>
      </c>
      <c r="C976" s="86"/>
      <c r="D976" s="86"/>
      <c r="E976" s="86"/>
      <c r="F976" s="86"/>
      <c r="G976" s="86"/>
      <c r="H976" s="86"/>
      <c r="I976" s="86"/>
      <c r="J976" s="86"/>
      <c r="K976" s="86"/>
      <c r="L976" s="86"/>
      <c r="M976" s="130"/>
    </row>
    <row r="977" spans="2:15" s="3" customFormat="1" ht="13.2" x14ac:dyDescent="0.25">
      <c r="B977" s="730" t="str">
        <f>IF('1. INTRO'!I$2="English",(IF('2. START'!C$11="NO","Indirect and facility charge not accepted as OH by funding body","")),IF('2. START'!C$11="NO","Indirekt och lokalpåslag inte accepterade som OH av finansiär",""))</f>
        <v/>
      </c>
      <c r="C977" s="731">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731">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731">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731">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731">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731">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731">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731">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731">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731">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724">
        <f t="shared" ref="M977:M983" si="201">SUM(C977:L977)</f>
        <v>0</v>
      </c>
    </row>
    <row r="978" spans="2:15" s="3" customFormat="1" ht="12.75" customHeight="1" x14ac:dyDescent="0.25">
      <c r="B978" s="132" t="str">
        <f>IF('1. INTRO'!I$2="English",(IF('2. START'!C$14&gt;0,"Social costs (LKP) not accepted by funding body","")),IF('2. START'!C$14&gt;0,"LKP som inte accepteras av finansiär",""))</f>
        <v/>
      </c>
      <c r="C978" s="133">
        <f>IF('2. START'!$C$14&gt;0,SUMIF('5. PERSON'!$B$17:$B$192,$C966,'5. PERSON'!AT$17:AT$192)-SUMIF('5. PERSON'!$B$17:$B$192,$C966,'5. PERSON'!DN$17:DN$192),0)</f>
        <v>0</v>
      </c>
      <c r="D978" s="133">
        <f>IF('2. START'!$C$14&gt;0,SUMIF('5. PERSON'!$B$17:$B$192,$C966,'5. PERSON'!AU$17:AU$192)-SUMIF('5. PERSON'!$B$17:$B$192,$C966,'5. PERSON'!DO$17:DO$192),0)</f>
        <v>0</v>
      </c>
      <c r="E978" s="133">
        <f>IF('2. START'!$C$14&gt;0,SUMIF('5. PERSON'!$B$17:$B$192,$C966,'5. PERSON'!AV$17:AV$192)-SUMIF('5. PERSON'!$B$17:$B$192,$C966,'5. PERSON'!DP$17:DP$192),0)</f>
        <v>0</v>
      </c>
      <c r="F978" s="133">
        <f>IF('2. START'!$C$14&gt;0,SUMIF('5. PERSON'!$B$17:$B$192,$C966,'5. PERSON'!AW$17:AW$192)-SUMIF('5. PERSON'!$B$17:$B$192,$C966,'5. PERSON'!DQ$17:DQ$192),0)</f>
        <v>0</v>
      </c>
      <c r="G978" s="133">
        <f>IF('2. START'!$C$14&gt;0,SUMIF('5. PERSON'!$B$17:$B$192,$C966,'5. PERSON'!AX$17:AX$192)-SUMIF('5. PERSON'!$B$17:$B$192,$C966,'5. PERSON'!DR$17:DR$192),0)</f>
        <v>0</v>
      </c>
      <c r="H978" s="133">
        <f>IF('2. START'!$C$14&gt;0,SUMIF('5. PERSON'!$B$17:$B$192,$C966,'5. PERSON'!AY$17:AY$192)-SUMIF('5. PERSON'!$B$17:$B$192,$C966,'5. PERSON'!DS$17:DS$192),0)</f>
        <v>0</v>
      </c>
      <c r="I978" s="133">
        <f>IF('2. START'!$C$14&gt;0,SUMIF('5. PERSON'!$B$17:$B$192,$C966,'5. PERSON'!AZ$17:AZ$192)-SUMIF('5. PERSON'!$B$17:$B$192,$C966,'5. PERSON'!DT$17:DT$192),0)</f>
        <v>0</v>
      </c>
      <c r="J978" s="133">
        <f>IF('2. START'!$C$14&gt;0,SUMIF('5. PERSON'!$B$17:$B$192,$C966,'5. PERSON'!BA$17:BA$192)-SUMIF('5. PERSON'!$B$17:$B$192,$C966,'5. PERSON'!DU$17:DU$192),0)</f>
        <v>0</v>
      </c>
      <c r="K978" s="133">
        <f>IF('2. START'!$C$14&gt;0,SUMIF('5. PERSON'!$B$17:$B$192,$C966,'5. PERSON'!BB$17:BB$192)-SUMIF('5. PERSON'!$B$17:$B$192,$C966,'5. PERSON'!DV$17:DV$192),0)</f>
        <v>0</v>
      </c>
      <c r="L978" s="133">
        <f>IF('2. START'!$C$14&gt;0,SUMIF('5. PERSON'!$B$17:$B$192,$C966,'5. PERSON'!BC$17:BC$192)-SUMIF('5. PERSON'!$B$17:$B$192,$C966,'5. PERSON'!DW$17:DW$192),0)</f>
        <v>0</v>
      </c>
      <c r="M978" s="117">
        <f t="shared" si="201"/>
        <v>0</v>
      </c>
    </row>
    <row r="979" spans="2:15" s="3" customFormat="1" ht="12.75" customHeight="1" x14ac:dyDescent="0.25">
      <c r="B979" s="725" t="str">
        <f>IF('1. INTRO'!I$2="English",(IF('5. PERSON'!BP$193&gt;0,"Salary including social costs (LKP)","")),IF('5. PERSON'!BP$193&gt;0,"Lön inklusive LKP",""))</f>
        <v/>
      </c>
      <c r="C979" s="732">
        <f>SUMIF('5. PERSON'!$B$17:$B$192,$C966,'5. PERSON'!BF$17:BF$192)</f>
        <v>0</v>
      </c>
      <c r="D979" s="732">
        <f>SUMIF('5. PERSON'!$B$17:$B$192,$C966,'5. PERSON'!BG$17:BG$192)</f>
        <v>0</v>
      </c>
      <c r="E979" s="732">
        <f>SUMIF('5. PERSON'!$B$17:$B$192,$C966,'5. PERSON'!BH$17:BH$192)</f>
        <v>0</v>
      </c>
      <c r="F979" s="732">
        <f>SUMIF('5. PERSON'!$B$17:$B$192,$C966,'5. PERSON'!BI$17:BI$192)</f>
        <v>0</v>
      </c>
      <c r="G979" s="732">
        <f>SUMIF('5. PERSON'!$B$17:$B$192,$C966,'5. PERSON'!BJ$17:BJ$192)</f>
        <v>0</v>
      </c>
      <c r="H979" s="732">
        <f>SUMIF('5. PERSON'!$B$17:$B$192,$C966,'5. PERSON'!BK$17:BK$192)</f>
        <v>0</v>
      </c>
      <c r="I979" s="732">
        <f>SUMIF('5. PERSON'!$B$17:$B$192,$C966,'5. PERSON'!BL$17:BL$192)</f>
        <v>0</v>
      </c>
      <c r="J979" s="732">
        <f>SUMIF('5. PERSON'!$B$17:$B$192,$C966,'5. PERSON'!BM$17:BM$192)</f>
        <v>0</v>
      </c>
      <c r="K979" s="732">
        <f>SUMIF('5. PERSON'!$B$17:$B$192,$C966,'5. PERSON'!BN$17:BN$192)</f>
        <v>0</v>
      </c>
      <c r="L979" s="732">
        <f>SUMIF('5. PERSON'!$B$17:$B$192,$C966,'5. PERSON'!BO$17:BO$192)</f>
        <v>0</v>
      </c>
      <c r="M979" s="727">
        <f t="shared" si="201"/>
        <v>0</v>
      </c>
    </row>
    <row r="980" spans="2:15" s="3" customFormat="1" ht="13.2" x14ac:dyDescent="0.25">
      <c r="B980" s="80" t="str">
        <f>IF('1. INTRO'!I$2="English",(IF('6. OPERATION'!AS$150&gt;0,"Operating","")),IF('6. OPERATION'!AS$150&gt;0,"Drift",""))</f>
        <v/>
      </c>
      <c r="C980" s="135">
        <f>SUMIF('6. OPERATION'!$B$17:$B$149,$C966,'6. OPERATION'!AI$17:AI$149)</f>
        <v>0</v>
      </c>
      <c r="D980" s="135">
        <f>SUMIF('6. OPERATION'!$B$17:$B$149,$C966,'6. OPERATION'!AJ$17:AJ$149)</f>
        <v>0</v>
      </c>
      <c r="E980" s="135">
        <f>SUMIF('6. OPERATION'!$B$17:$B$149,$C966,'6. OPERATION'!AK$17:AK$149)</f>
        <v>0</v>
      </c>
      <c r="F980" s="135">
        <f>SUMIF('6. OPERATION'!$B$17:$B$149,$C966,'6. OPERATION'!AL$17:AL$149)</f>
        <v>0</v>
      </c>
      <c r="G980" s="135">
        <f>SUMIF('6. OPERATION'!$B$17:$B$149,$C966,'6. OPERATION'!AM$17:AM$149)</f>
        <v>0</v>
      </c>
      <c r="H980" s="135">
        <f>SUMIF('6. OPERATION'!$B$17:$B$149,$C966,'6. OPERATION'!AN$17:AN$149)</f>
        <v>0</v>
      </c>
      <c r="I980" s="135">
        <f>SUMIF('6. OPERATION'!$B$17:$B$149,$C966,'6. OPERATION'!AO$17:AO$149)</f>
        <v>0</v>
      </c>
      <c r="J980" s="135">
        <f>SUMIF('6. OPERATION'!$B$17:$B$149,$C966,'6. OPERATION'!AP$17:AP$149)</f>
        <v>0</v>
      </c>
      <c r="K980" s="135">
        <f>SUMIF('6. OPERATION'!$B$17:$B$149,$C966,'6. OPERATION'!AQ$17:AQ$149)</f>
        <v>0</v>
      </c>
      <c r="L980" s="135">
        <f>SUMIF('6. OPERATION'!$B$17:$B$149,$C966,'6. OPERATION'!AR$17:AR$149)</f>
        <v>0</v>
      </c>
      <c r="M980" s="117">
        <f t="shared" si="201"/>
        <v>0</v>
      </c>
    </row>
    <row r="981" spans="2:15" s="3" customFormat="1" ht="13.2" x14ac:dyDescent="0.25">
      <c r="B981" s="725" t="str">
        <f>IF('1. INTRO'!I$2="English",(IF('7. INVEST'!AS$50&gt;0,"Equipment","")),IF('7. INVEST'!AS$50&gt;0,"Utrustning",""))</f>
        <v/>
      </c>
      <c r="C981" s="732">
        <f>SUMIF('7. INVEST'!$B$17:$B$49,$C966,'7. INVEST'!AI$17:AI$49)</f>
        <v>0</v>
      </c>
      <c r="D981" s="732">
        <f>SUMIF('7. INVEST'!$B$17:$B$49,$C966,'7. INVEST'!AJ$17:AJ$49)</f>
        <v>0</v>
      </c>
      <c r="E981" s="732">
        <f>SUMIF('7. INVEST'!$B$17:$B$49,$C966,'7. INVEST'!AK$17:AK$49)</f>
        <v>0</v>
      </c>
      <c r="F981" s="732">
        <f>SUMIF('7. INVEST'!$B$17:$B$49,$C966,'7. INVEST'!AL$17:AL$49)</f>
        <v>0</v>
      </c>
      <c r="G981" s="732">
        <f>SUMIF('7. INVEST'!$B$17:$B$49,$C966,'7. INVEST'!AM$17:AM$49)</f>
        <v>0</v>
      </c>
      <c r="H981" s="732">
        <f>SUMIF('7. INVEST'!$B$17:$B$49,$C966,'7. INVEST'!AN$17:AN$49)</f>
        <v>0</v>
      </c>
      <c r="I981" s="732">
        <f>SUMIF('7. INVEST'!$B$17:$B$49,$C966,'7. INVEST'!AO$17:AO$49)</f>
        <v>0</v>
      </c>
      <c r="J981" s="732">
        <f>SUMIF('7. INVEST'!$B$17:$B$49,$C966,'7. INVEST'!AP$17:AP$49)</f>
        <v>0</v>
      </c>
      <c r="K981" s="732">
        <f>SUMIF('7. INVEST'!$B$17:$B$49,$C966,'7. INVEST'!AQ$17:AQ$49)</f>
        <v>0</v>
      </c>
      <c r="L981" s="732">
        <f>SUMIF('7. INVEST'!$B$17:$B$49,$C966,'7. INVEST'!AR$17:AR$49)</f>
        <v>0</v>
      </c>
      <c r="M981" s="727">
        <f t="shared" si="201"/>
        <v>0</v>
      </c>
    </row>
    <row r="982" spans="2:15" s="3" customFormat="1" ht="13.2" x14ac:dyDescent="0.25">
      <c r="B982" s="121" t="str">
        <f>IF('1. INTRO'!I$2="English",(IF('8. FACILIT'!AP$51&gt;0,"Facility","")),IF('8. FACILIT'!AP$51&gt;0,"Lokal",""))</f>
        <v/>
      </c>
      <c r="C982" s="135">
        <f>SUMIF('5. PERSON'!$B$17:$B$192,$C966,'5. PERSON'!DB$17:DB$192)+SUMIF('6. OPERATION'!$B$17:$B$149,$C966,'6. OPERATION'!CE$17:CE$149)+SUMIF('8. FACILIT'!$B$18:$B$50,$C966,'8. FACILIT'!AF$18:AF$50)</f>
        <v>0</v>
      </c>
      <c r="D982" s="135">
        <f>SUMIF('5. PERSON'!$B$17:$B$192,$C966,'5. PERSON'!DC$17:DC$192)+SUMIF('6. OPERATION'!$B$17:$B$149,$C966,'6. OPERATION'!CF$17:CF$149)+SUMIF('8. FACILIT'!$B$18:$B$50,$C966,'8. FACILIT'!AG$18:AG$50)</f>
        <v>0</v>
      </c>
      <c r="E982" s="135">
        <f>SUMIF('5. PERSON'!$B$17:$B$192,$C966,'5. PERSON'!DD$17:DD$192)+SUMIF('6. OPERATION'!$B$17:$B$149,$C966,'6. OPERATION'!CG$17:CG$149)+SUMIF('8. FACILIT'!$B$18:$B$50,$C966,'8. FACILIT'!AH$18:AH$50)</f>
        <v>0</v>
      </c>
      <c r="F982" s="135">
        <f>SUMIF('5. PERSON'!$B$17:$B$192,$C966,'5. PERSON'!DE$17:DE$192)+SUMIF('6. OPERATION'!$B$17:$B$149,$C966,'6. OPERATION'!CH$17:CH$149)+SUMIF('8. FACILIT'!$B$18:$B$50,$C966,'8. FACILIT'!AI$18:AI$50)</f>
        <v>0</v>
      </c>
      <c r="G982" s="135">
        <f>SUMIF('5. PERSON'!$B$17:$B$192,$C966,'5. PERSON'!DF$17:DF$192)+SUMIF('6. OPERATION'!$B$17:$B$149,$C966,'6. OPERATION'!CI$17:CI$149)+SUMIF('8. FACILIT'!$B$18:$B$50,$C966,'8. FACILIT'!AJ$18:AJ$50)</f>
        <v>0</v>
      </c>
      <c r="H982" s="135">
        <f>SUMIF('5. PERSON'!$B$17:$B$192,$C966,'5. PERSON'!DG$17:DG$192)+SUMIF('6. OPERATION'!$B$17:$B$149,$C966,'6. OPERATION'!CJ$17:CJ$149)+SUMIF('8. FACILIT'!$B$18:$B$50,$C966,'8. FACILIT'!AK$18:AK$50)</f>
        <v>0</v>
      </c>
      <c r="I982" s="135">
        <f>SUMIF('5. PERSON'!$B$17:$B$192,$C966,'5. PERSON'!DH$17:DH$192)+SUMIF('6. OPERATION'!$B$17:$B$149,$C966,'6. OPERATION'!CK$17:CK$149)+SUMIF('8. FACILIT'!$B$18:$B$50,$C966,'8. FACILIT'!AL$18:AL$50)</f>
        <v>0</v>
      </c>
      <c r="J982" s="135">
        <f>SUMIF('5. PERSON'!$B$17:$B$192,$C966,'5. PERSON'!DI$17:DI$192)+SUMIF('6. OPERATION'!$B$17:$B$149,$C966,'6. OPERATION'!CL$17:CL$149)+SUMIF('8. FACILIT'!$B$18:$B$50,$C966,'8. FACILIT'!AM$18:AM$50)</f>
        <v>0</v>
      </c>
      <c r="K982" s="135">
        <f>SUMIF('5. PERSON'!$B$17:$B$192,$C966,'5. PERSON'!DJ$17:DJ$192)+SUMIF('6. OPERATION'!$B$17:$B$149,$C966,'6. OPERATION'!CM$17:CM$149)+SUMIF('8. FACILIT'!$B$18:$B$50,$C966,'8. FACILIT'!AN$18:AN$50)</f>
        <v>0</v>
      </c>
      <c r="L982" s="135">
        <f>SUMIF('5. PERSON'!$B$17:$B$192,$C966,'5. PERSON'!DK$17:DK$192)+SUMIF('6. OPERATION'!$B$17:$B$149,$C966,'6. OPERATION'!CN$17:CN$149)+SUMIF('8. FACILIT'!$B$18:$B$50,$C966,'8. FACILIT'!AO$18:AO$50)</f>
        <v>0</v>
      </c>
      <c r="M982" s="117">
        <f t="shared" si="201"/>
        <v>0</v>
      </c>
    </row>
    <row r="983" spans="2:15" s="1" customFormat="1" ht="13.2" x14ac:dyDescent="0.25">
      <c r="B983" s="728" t="str">
        <f>IF('1. INTRO'!I$2="English",(IF(('5. PERSON'!CN$193+'6. OPERATION'!BQ$150)&gt;0,"Indirect","")),IF(('5. PERSON'!CN$193+'6. OPERATION'!BQ$150)&gt;0,"Indirekt",""))</f>
        <v/>
      </c>
      <c r="C983" s="729">
        <f>SUMIF('5. PERSON'!$B$17:$B$192,$C966,'5. PERSON'!CD$17:CD$192)+SUMIF('6. OPERATION'!$B$17:$B$149,$C966,'6. OPERATION'!BG$17:BG$149)</f>
        <v>0</v>
      </c>
      <c r="D983" s="729">
        <f>SUMIF('5. PERSON'!$B$17:$B$192,$C966,'5. PERSON'!CE$17:CE$192)+SUMIF('6. OPERATION'!$B$17:$B$149,$C966,'6. OPERATION'!BH$17:BH$149)</f>
        <v>0</v>
      </c>
      <c r="E983" s="729">
        <f>SUMIF('5. PERSON'!$B$17:$B$192,$C966,'5. PERSON'!CF$17:CF$192)+SUMIF('6. OPERATION'!$B$17:$B$149,$C966,'6. OPERATION'!BI$17:BI$149)</f>
        <v>0</v>
      </c>
      <c r="F983" s="729">
        <f>SUMIF('5. PERSON'!$B$17:$B$192,$C966,'5. PERSON'!CG$17:CG$192)+SUMIF('6. OPERATION'!$B$17:$B$149,$C966,'6. OPERATION'!BJ$17:BJ$149)</f>
        <v>0</v>
      </c>
      <c r="G983" s="729">
        <f>SUMIF('5. PERSON'!$B$17:$B$192,$C966,'5. PERSON'!CH$17:CH$192)+SUMIF('6. OPERATION'!$B$17:$B$149,$C966,'6. OPERATION'!BK$17:BK$149)</f>
        <v>0</v>
      </c>
      <c r="H983" s="729">
        <f>SUMIF('5. PERSON'!$B$17:$B$192,$C966,'5. PERSON'!CI$17:CI$192)+SUMIF('6. OPERATION'!$B$17:$B$149,$C966,'6. OPERATION'!BL$17:BL$149)</f>
        <v>0</v>
      </c>
      <c r="I983" s="729">
        <f>SUMIF('5. PERSON'!$B$17:$B$192,$C966,'5. PERSON'!CJ$17:CJ$192)+SUMIF('6. OPERATION'!$B$17:$B$149,$C966,'6. OPERATION'!BM$17:BM$149)</f>
        <v>0</v>
      </c>
      <c r="J983" s="729">
        <f>SUMIF('5. PERSON'!$B$17:$B$192,$C966,'5. PERSON'!CK$17:CK$192)+SUMIF('6. OPERATION'!$B$17:$B$149,$C966,'6. OPERATION'!BN$17:BN$149)</f>
        <v>0</v>
      </c>
      <c r="K983" s="729">
        <f>SUMIF('5. PERSON'!$B$17:$B$192,$C966,'5. PERSON'!CL$17:CL$192)+SUMIF('6. OPERATION'!$B$17:$B$149,$C966,'6. OPERATION'!BO$17:BO$149)</f>
        <v>0</v>
      </c>
      <c r="L983" s="729">
        <f>SUMIF('5. PERSON'!$B$17:$B$192,$C966,'5. PERSON'!CM$17:CM$192)+SUMIF('6. OPERATION'!$B$17:$B$149,$C966,'6. OPERATION'!BP$17:BP$149)</f>
        <v>0</v>
      </c>
      <c r="M983" s="733">
        <f t="shared" si="201"/>
        <v>0</v>
      </c>
    </row>
    <row r="984" spans="2:15" s="3" customFormat="1" ht="13.2" x14ac:dyDescent="0.25">
      <c r="B984" s="124" t="s">
        <v>113</v>
      </c>
      <c r="C984" s="102">
        <f>SUM(C977:C983)</f>
        <v>0</v>
      </c>
      <c r="D984" s="102">
        <f t="shared" ref="D984:M984" si="202">SUM(D977:D983)</f>
        <v>0</v>
      </c>
      <c r="E984" s="102">
        <f t="shared" si="202"/>
        <v>0</v>
      </c>
      <c r="F984" s="102">
        <f t="shared" si="202"/>
        <v>0</v>
      </c>
      <c r="G984" s="102">
        <f t="shared" si="202"/>
        <v>0</v>
      </c>
      <c r="H984" s="102">
        <f t="shared" si="202"/>
        <v>0</v>
      </c>
      <c r="I984" s="102">
        <f t="shared" si="202"/>
        <v>0</v>
      </c>
      <c r="J984" s="102">
        <f t="shared" si="202"/>
        <v>0</v>
      </c>
      <c r="K984" s="102">
        <f t="shared" si="202"/>
        <v>0</v>
      </c>
      <c r="L984" s="102">
        <f t="shared" si="202"/>
        <v>0</v>
      </c>
      <c r="M984" s="125">
        <f t="shared" si="202"/>
        <v>0</v>
      </c>
      <c r="N984" s="23"/>
      <c r="O984" s="23"/>
    </row>
    <row r="985" spans="2:15" s="3" customFormat="1" ht="6" customHeight="1" x14ac:dyDescent="0.25">
      <c r="B985" s="136"/>
      <c r="C985" s="127"/>
      <c r="D985" s="127"/>
      <c r="E985" s="127"/>
      <c r="F985" s="127"/>
      <c r="G985" s="127"/>
      <c r="H985" s="127"/>
      <c r="I985" s="127"/>
      <c r="J985" s="127"/>
      <c r="K985" s="127"/>
      <c r="L985" s="127"/>
      <c r="M985" s="137"/>
    </row>
    <row r="986" spans="2:15" s="3" customFormat="1" ht="13.2" x14ac:dyDescent="0.25">
      <c r="B986" s="129" t="str">
        <f>IF('1. INTRO'!I$2="English","Full cost","Full kostnad")</f>
        <v>Full cost</v>
      </c>
      <c r="C986" s="127"/>
      <c r="D986" s="127"/>
      <c r="E986" s="127"/>
      <c r="F986" s="127"/>
      <c r="G986" s="127"/>
      <c r="H986" s="127"/>
      <c r="I986" s="127"/>
      <c r="J986" s="127"/>
      <c r="K986" s="127"/>
      <c r="L986" s="127"/>
      <c r="M986" s="137"/>
    </row>
    <row r="987" spans="2:15" s="3" customFormat="1" ht="13.2" x14ac:dyDescent="0.25">
      <c r="B987" s="722" t="str">
        <f>IF('1. INTRO'!I$2="English","Salary including social costs (LKP)","Lön inklusive LKP")</f>
        <v>Salary including social costs (LKP)</v>
      </c>
      <c r="C987" s="734">
        <f>C969+C978+C979</f>
        <v>0</v>
      </c>
      <c r="D987" s="734">
        <f t="shared" ref="D987:L987" si="203">D969+D978+D979</f>
        <v>0</v>
      </c>
      <c r="E987" s="734">
        <f t="shared" si="203"/>
        <v>0</v>
      </c>
      <c r="F987" s="734">
        <f t="shared" si="203"/>
        <v>0</v>
      </c>
      <c r="G987" s="734">
        <f t="shared" si="203"/>
        <v>0</v>
      </c>
      <c r="H987" s="734">
        <f t="shared" si="203"/>
        <v>0</v>
      </c>
      <c r="I987" s="734">
        <f t="shared" si="203"/>
        <v>0</v>
      </c>
      <c r="J987" s="734">
        <f t="shared" si="203"/>
        <v>0</v>
      </c>
      <c r="K987" s="734">
        <f t="shared" si="203"/>
        <v>0</v>
      </c>
      <c r="L987" s="734">
        <f t="shared" si="203"/>
        <v>0</v>
      </c>
      <c r="M987" s="724">
        <f>SUM(C987:L987)</f>
        <v>0</v>
      </c>
    </row>
    <row r="988" spans="2:15" s="3" customFormat="1" ht="13.2" x14ac:dyDescent="0.25">
      <c r="B988" s="80" t="str">
        <f>IF('1. INTRO'!I$2="English","Operating","Drift")</f>
        <v>Operating</v>
      </c>
      <c r="C988" s="139">
        <f>C970+C980</f>
        <v>0</v>
      </c>
      <c r="D988" s="139">
        <f t="shared" ref="D988:L988" si="204">D970+D980</f>
        <v>0</v>
      </c>
      <c r="E988" s="139">
        <f t="shared" si="204"/>
        <v>0</v>
      </c>
      <c r="F988" s="139">
        <f t="shared" si="204"/>
        <v>0</v>
      </c>
      <c r="G988" s="139">
        <f t="shared" si="204"/>
        <v>0</v>
      </c>
      <c r="H988" s="139">
        <f t="shared" si="204"/>
        <v>0</v>
      </c>
      <c r="I988" s="139">
        <f t="shared" si="204"/>
        <v>0</v>
      </c>
      <c r="J988" s="139">
        <f t="shared" si="204"/>
        <v>0</v>
      </c>
      <c r="K988" s="139">
        <f t="shared" si="204"/>
        <v>0</v>
      </c>
      <c r="L988" s="139">
        <f t="shared" si="204"/>
        <v>0</v>
      </c>
      <c r="M988" s="117">
        <f>SUM(C988:L988)</f>
        <v>0</v>
      </c>
    </row>
    <row r="989" spans="2:15" s="3" customFormat="1" ht="13.2" x14ac:dyDescent="0.25">
      <c r="B989" s="725" t="str">
        <f>IF('1. INTRO'!I$2="English","Equipment","Utrustning")</f>
        <v>Equipment</v>
      </c>
      <c r="C989" s="735">
        <f>C971+C981</f>
        <v>0</v>
      </c>
      <c r="D989" s="735">
        <f t="shared" ref="D989:L989" si="205">D971+D981</f>
        <v>0</v>
      </c>
      <c r="E989" s="735">
        <f t="shared" si="205"/>
        <v>0</v>
      </c>
      <c r="F989" s="735">
        <f t="shared" si="205"/>
        <v>0</v>
      </c>
      <c r="G989" s="735">
        <f t="shared" si="205"/>
        <v>0</v>
      </c>
      <c r="H989" s="735">
        <f t="shared" si="205"/>
        <v>0</v>
      </c>
      <c r="I989" s="735">
        <f t="shared" si="205"/>
        <v>0</v>
      </c>
      <c r="J989" s="735">
        <f t="shared" si="205"/>
        <v>0</v>
      </c>
      <c r="K989" s="735">
        <f t="shared" si="205"/>
        <v>0</v>
      </c>
      <c r="L989" s="735">
        <f t="shared" si="205"/>
        <v>0</v>
      </c>
      <c r="M989" s="727">
        <f>SUM(C989:L989)</f>
        <v>0</v>
      </c>
    </row>
    <row r="990" spans="2:15" s="3" customFormat="1" ht="13.2" x14ac:dyDescent="0.25">
      <c r="B990" s="80" t="str">
        <f>IF('1. INTRO'!I$2="English","Facility","Lokal")</f>
        <v>Facility</v>
      </c>
      <c r="C990" s="139">
        <f>SUMIF('5. PERSON'!$B$17:$B$192,$C966,'5. PERSON'!CP$17:CP$192)+SUMIF('5. PERSON'!$B$17:$B$192,$C966,'5. PERSON'!DB$17:DB$192)+SUMIF('6. OPERATION'!$B$17:$B$149,$C966,'6. OPERATION'!BS$17:BS$149)+SUMIF('6. OPERATION'!$B$17:$B$149,$C966,'6. OPERATION'!CE$17:CE$149)+SUMIF('8. FACILIT'!$B$18:$B$50,$C966,'8. FACILIT'!T$18:T$50)+SUMIF('8. FACILIT'!$B$18:$B$50,$C966,'8. FACILIT'!AF$18:AF$50)</f>
        <v>0</v>
      </c>
      <c r="D990" s="139">
        <f>SUMIF('5. PERSON'!$B$17:$B$192,$C966,'5. PERSON'!CQ$17:CQ$192)+SUMIF('5. PERSON'!$B$17:$B$192,$C966,'5. PERSON'!DC$17:DC$192)+SUMIF('6. OPERATION'!$B$17:$B$149,$C966,'6. OPERATION'!BT$17:BT$149)+SUMIF('6. OPERATION'!$B$17:$B$149,$C966,'6. OPERATION'!CF$17:CF$149)+SUMIF('8. FACILIT'!$B$18:$B$50,$C966,'8. FACILIT'!U$18:U$50)+SUMIF('8. FACILIT'!$B$18:$B$50,$C966,'8. FACILIT'!AG$18:AG$50)</f>
        <v>0</v>
      </c>
      <c r="E990" s="139">
        <f>SUMIF('5. PERSON'!$B$17:$B$192,$C966,'5. PERSON'!CR$17:CR$192)+SUMIF('5. PERSON'!$B$17:$B$192,$C966,'5. PERSON'!DD$17:DD$192)+SUMIF('6. OPERATION'!$B$17:$B$149,$C966,'6. OPERATION'!BU$17:BU$149)+SUMIF('6. OPERATION'!$B$17:$B$149,$C966,'6. OPERATION'!CG$17:CG$149)+SUMIF('8. FACILIT'!$B$18:$B$50,$C966,'8. FACILIT'!V$18:V$50)+SUMIF('8. FACILIT'!$B$18:$B$50,$C966,'8. FACILIT'!AH$18:AH$50)</f>
        <v>0</v>
      </c>
      <c r="F990" s="139">
        <f>SUMIF('5. PERSON'!$B$17:$B$192,$C966,'5. PERSON'!CS$17:CS$192)+SUMIF('5. PERSON'!$B$17:$B$192,$C966,'5. PERSON'!DE$17:DE$192)+SUMIF('6. OPERATION'!$B$17:$B$149,$C966,'6. OPERATION'!BV$17:BV$149)+SUMIF('6. OPERATION'!$B$17:$B$149,$C966,'6. OPERATION'!CH$17:CH$149)+SUMIF('8. FACILIT'!$B$18:$B$50,$C966,'8. FACILIT'!W$18:W$50)+SUMIF('8. FACILIT'!$B$18:$B$50,$C966,'8. FACILIT'!AI$18:AI$50)</f>
        <v>0</v>
      </c>
      <c r="G990" s="139">
        <f>SUMIF('5. PERSON'!$B$17:$B$192,$C966,'5. PERSON'!CT$17:CT$192)+SUMIF('5. PERSON'!$B$17:$B$192,$C966,'5. PERSON'!DF$17:DF$192)+SUMIF('6. OPERATION'!$B$17:$B$149,$C966,'6. OPERATION'!BW$17:BW$149)+SUMIF('6. OPERATION'!$B$17:$B$149,$C966,'6. OPERATION'!CI$17:CI$149)+SUMIF('8. FACILIT'!$B$18:$B$50,$C966,'8. FACILIT'!X$18:X$50)+SUMIF('8. FACILIT'!$B$18:$B$50,$C966,'8. FACILIT'!AJ$18:AJ$50)</f>
        <v>0</v>
      </c>
      <c r="H990" s="139">
        <f>SUMIF('5. PERSON'!$B$17:$B$192,$C966,'5. PERSON'!CU$17:CU$192)+SUMIF('5. PERSON'!$B$17:$B$192,$C966,'5. PERSON'!DG$17:DG$192)+SUMIF('6. OPERATION'!$B$17:$B$149,$C966,'6. OPERATION'!BX$17:BX$149)+SUMIF('6. OPERATION'!$B$17:$B$149,$C966,'6. OPERATION'!CJ$17:CJ$149)+SUMIF('8. FACILIT'!$B$18:$B$50,$C966,'8. FACILIT'!Y$18:Y$50)+SUMIF('8. FACILIT'!$B$18:$B$50,$C966,'8. FACILIT'!AK$18:AK$50)</f>
        <v>0</v>
      </c>
      <c r="I990" s="139">
        <f>SUMIF('5. PERSON'!$B$17:$B$192,$C966,'5. PERSON'!CV$17:CV$192)+SUMIF('5. PERSON'!$B$17:$B$192,$C966,'5. PERSON'!DH$17:DH$192)+SUMIF('6. OPERATION'!$B$17:$B$149,$C966,'6. OPERATION'!BY$17:BY$149)+SUMIF('6. OPERATION'!$B$17:$B$149,$C966,'6. OPERATION'!CK$17:CK$149)+SUMIF('8. FACILIT'!$B$18:$B$50,$C966,'8. FACILIT'!Z$18:Z$50)+SUMIF('8. FACILIT'!$B$18:$B$50,$C966,'8. FACILIT'!AL$18:AL$50)</f>
        <v>0</v>
      </c>
      <c r="J990" s="139">
        <f>SUMIF('5. PERSON'!$B$17:$B$192,$C966,'5. PERSON'!CW$17:CW$192)+SUMIF('5. PERSON'!$B$17:$B$192,$C966,'5. PERSON'!DI$17:DI$192)+SUMIF('6. OPERATION'!$B$17:$B$149,$C966,'6. OPERATION'!BZ$17:BZ$149)+SUMIF('6. OPERATION'!$B$17:$B$149,$C966,'6. OPERATION'!CL$17:CL$149)+SUMIF('8. FACILIT'!$B$18:$B$50,$C966,'8. FACILIT'!AA$18:AA$50)+SUMIF('8. FACILIT'!$B$18:$B$50,$C966,'8. FACILIT'!AM$18:AM$50)</f>
        <v>0</v>
      </c>
      <c r="K990" s="139">
        <f>SUMIF('5. PERSON'!$B$17:$B$192,$C966,'5. PERSON'!CX$17:CX$192)+SUMIF('5. PERSON'!$B$17:$B$192,$C966,'5. PERSON'!DJ$17:DJ$192)+SUMIF('6. OPERATION'!$B$17:$B$149,$C966,'6. OPERATION'!CA$17:CA$149)+SUMIF('6. OPERATION'!$B$17:$B$149,$C966,'6. OPERATION'!CM$17:CM$149)+SUMIF('8. FACILIT'!$B$18:$B$50,$C966,'8. FACILIT'!AB$18:AB$50)+SUMIF('8. FACILIT'!$B$18:$B$50,$C966,'8. FACILIT'!AN$18:AN$50)</f>
        <v>0</v>
      </c>
      <c r="L990" s="139">
        <f>SUMIF('5. PERSON'!$B$17:$B$192,$C966,'5. PERSON'!CY$17:CY$192)+SUMIF('5. PERSON'!$B$17:$B$192,$C966,'5. PERSON'!DK$17:DK$192)+SUMIF('6. OPERATION'!$B$17:$B$149,$C966,'6. OPERATION'!CB$17:CB$149)+SUMIF('6. OPERATION'!$B$17:$B$149,$C966,'6. OPERATION'!CN$17:CN$149)+SUMIF('8. FACILIT'!$B$18:$B$50,$C966,'8. FACILIT'!AC$18:AC$50)+SUMIF('8. FACILIT'!$B$18:$B$50,$C966,'8. FACILIT'!AO$18:AO$50)</f>
        <v>0</v>
      </c>
      <c r="M990" s="117">
        <f>SUM(C990:L990)</f>
        <v>0</v>
      </c>
    </row>
    <row r="991" spans="2:15" s="3" customFormat="1" ht="13.2" x14ac:dyDescent="0.25">
      <c r="B991" s="736" t="str">
        <f>IF('1. INTRO'!I$2="English","Indirect","Indirekt")</f>
        <v>Indirect</v>
      </c>
      <c r="C991" s="737">
        <f>SUMIF('5. PERSON'!$B$17:$B$192,$C966,'5. PERSON'!BR$17:BR$192)+SUMIF('5. PERSON'!$B$17:$B$192,$C966,'5. PERSON'!CD$17:CD$192)+SUMIF('6. OPERATION'!$B$17:$B$149,$C966,'6. OPERATION'!AU$17:AU$149)+SUMIF('6. OPERATION'!$B$17:$B$149,$C966,'6. OPERATION'!BG$17:BG$149)</f>
        <v>0</v>
      </c>
      <c r="D991" s="737">
        <f>SUMIF('5. PERSON'!$B$17:$B$192,$C966,'5. PERSON'!BS$17:BS$192)+SUMIF('5. PERSON'!$B$17:$B$192,$C966,'5. PERSON'!CE$17:CE$192)+SUMIF('6. OPERATION'!$B$17:$B$149,$C966,'6. OPERATION'!AV$17:AV$149)+SUMIF('6. OPERATION'!$B$17:$B$149,$C966,'6. OPERATION'!BH$17:BH$149)</f>
        <v>0</v>
      </c>
      <c r="E991" s="737">
        <f>SUMIF('5. PERSON'!$B$17:$B$192,$C966,'5. PERSON'!BT$17:BT$192)+SUMIF('5. PERSON'!$B$17:$B$192,$C966,'5. PERSON'!CF$17:CF$192)+SUMIF('6. OPERATION'!$B$17:$B$149,$C966,'6. OPERATION'!AW$17:AW$149)+SUMIF('6. OPERATION'!$B$17:$B$149,$C966,'6. OPERATION'!BI$17:BI$149)</f>
        <v>0</v>
      </c>
      <c r="F991" s="737">
        <f>SUMIF('5. PERSON'!$B$17:$B$192,$C966,'5. PERSON'!BU$17:BU$192)+SUMIF('5. PERSON'!$B$17:$B$192,$C966,'5. PERSON'!CG$17:CG$192)+SUMIF('6. OPERATION'!$B$17:$B$149,$C966,'6. OPERATION'!AX$17:AX$149)+SUMIF('6. OPERATION'!$B$17:$B$149,$C966,'6. OPERATION'!BJ$17:BJ$149)</f>
        <v>0</v>
      </c>
      <c r="G991" s="737">
        <f>SUMIF('5. PERSON'!$B$17:$B$192,$C966,'5. PERSON'!BV$17:BV$192)+SUMIF('5. PERSON'!$B$17:$B$192,$C966,'5. PERSON'!CH$17:CH$192)+SUMIF('6. OPERATION'!$B$17:$B$149,$C966,'6. OPERATION'!AY$17:AY$149)+SUMIF('6. OPERATION'!$B$17:$B$149,$C966,'6. OPERATION'!BK$17:BK$149)</f>
        <v>0</v>
      </c>
      <c r="H991" s="737">
        <f>SUMIF('5. PERSON'!$B$17:$B$192,$C966,'5. PERSON'!BW$17:BW$192)+SUMIF('5. PERSON'!$B$17:$B$192,$C966,'5. PERSON'!CI$17:CI$192)+SUMIF('6. OPERATION'!$B$17:$B$149,$C966,'6. OPERATION'!AZ$17:AZ$149)+SUMIF('6. OPERATION'!$B$17:$B$149,$C966,'6. OPERATION'!BL$17:BL$149)</f>
        <v>0</v>
      </c>
      <c r="I991" s="737">
        <f>SUMIF('5. PERSON'!$B$17:$B$192,$C966,'5. PERSON'!BX$17:BX$192)+SUMIF('5. PERSON'!$B$17:$B$192,$C966,'5. PERSON'!CJ$17:CJ$192)+SUMIF('6. OPERATION'!$B$17:$B$149,$C966,'6. OPERATION'!BA$17:BA$149)+SUMIF('6. OPERATION'!$B$17:$B$149,$C966,'6. OPERATION'!BM$17:BM$149)</f>
        <v>0</v>
      </c>
      <c r="J991" s="737">
        <f>SUMIF('5. PERSON'!$B$17:$B$192,$C966,'5. PERSON'!BY$17:BY$192)+SUMIF('5. PERSON'!$B$17:$B$192,$C966,'5. PERSON'!CK$17:CK$192)+SUMIF('6. OPERATION'!$B$17:$B$149,$C966,'6. OPERATION'!BB$17:BB$149)+SUMIF('6. OPERATION'!$B$17:$B$149,$C966,'6. OPERATION'!BN$17:BN$149)</f>
        <v>0</v>
      </c>
      <c r="K991" s="737">
        <f>SUMIF('5. PERSON'!$B$17:$B$192,$C966,'5. PERSON'!BZ$17:BZ$192)+SUMIF('5. PERSON'!$B$17:$B$192,$C966,'5. PERSON'!CL$17:CL$192)+SUMIF('6. OPERATION'!$B$17:$B$149,$C966,'6. OPERATION'!BC$17:BC$149)+SUMIF('6. OPERATION'!$B$17:$B$149,$C966,'6. OPERATION'!BO$17:BO$149)</f>
        <v>0</v>
      </c>
      <c r="L991" s="737">
        <f>SUMIF('5. PERSON'!$B$17:$B$192,$C966,'5. PERSON'!CA$17:CA$192)+SUMIF('5. PERSON'!$B$17:$B$192,$C966,'5. PERSON'!CM$17:CM$192)+SUMIF('6. OPERATION'!$B$17:$B$149,$C966,'6. OPERATION'!BD$17:BD$149)+SUMIF('6. OPERATION'!$B$17:$B$149,$C966,'6. OPERATION'!BP$17:BP$149)</f>
        <v>0</v>
      </c>
      <c r="M991" s="733">
        <f>SUM(C991:L991)</f>
        <v>0</v>
      </c>
    </row>
    <row r="992" spans="2:15" s="3" customFormat="1" ht="13.2" x14ac:dyDescent="0.25">
      <c r="B992" s="124" t="s">
        <v>113</v>
      </c>
      <c r="C992" s="88">
        <f>SUM(C987:C991)</f>
        <v>0</v>
      </c>
      <c r="D992" s="88">
        <f t="shared" ref="D992:M992" si="206">SUM(D987:D991)</f>
        <v>0</v>
      </c>
      <c r="E992" s="88">
        <f t="shared" si="206"/>
        <v>0</v>
      </c>
      <c r="F992" s="88">
        <f t="shared" si="206"/>
        <v>0</v>
      </c>
      <c r="G992" s="88">
        <f t="shared" si="206"/>
        <v>0</v>
      </c>
      <c r="H992" s="88">
        <f t="shared" si="206"/>
        <v>0</v>
      </c>
      <c r="I992" s="88">
        <f t="shared" si="206"/>
        <v>0</v>
      </c>
      <c r="J992" s="88">
        <f t="shared" si="206"/>
        <v>0</v>
      </c>
      <c r="K992" s="88">
        <f t="shared" si="206"/>
        <v>0</v>
      </c>
      <c r="L992" s="88">
        <f t="shared" si="206"/>
        <v>0</v>
      </c>
      <c r="M992" s="142">
        <f t="shared" si="206"/>
        <v>0</v>
      </c>
    </row>
    <row r="993" spans="2:13" s="3" customFormat="1" ht="13.2" x14ac:dyDescent="0.25">
      <c r="B993" s="287"/>
      <c r="C993" s="37"/>
      <c r="D993" s="37"/>
      <c r="E993" s="37"/>
      <c r="F993" s="37"/>
      <c r="G993" s="37"/>
      <c r="H993" s="37"/>
      <c r="I993" s="37"/>
      <c r="J993" s="37"/>
      <c r="K993" s="37"/>
      <c r="L993" s="37"/>
      <c r="M993" s="37"/>
    </row>
    <row r="994" spans="2:13" s="3" customFormat="1" ht="12.75" customHeight="1" x14ac:dyDescent="0.25">
      <c r="B994" s="656" t="str">
        <f>IF('1. INTRO'!I$2="English","Co-funding share in full cost ","Medfinansieringsandel i full kostnad ")</f>
        <v xml:space="preserve">Co-funding share in full cost </v>
      </c>
      <c r="C994" s="143" t="str">
        <f t="shared" ref="C994:M994" si="207">IF(C992&gt;0,C984/C992,"")</f>
        <v/>
      </c>
      <c r="D994" s="143" t="str">
        <f t="shared" si="207"/>
        <v/>
      </c>
      <c r="E994" s="143" t="str">
        <f t="shared" si="207"/>
        <v/>
      </c>
      <c r="F994" s="143" t="str">
        <f t="shared" si="207"/>
        <v/>
      </c>
      <c r="G994" s="143" t="str">
        <f t="shared" si="207"/>
        <v/>
      </c>
      <c r="H994" s="143" t="str">
        <f t="shared" si="207"/>
        <v/>
      </c>
      <c r="I994" s="143" t="str">
        <f t="shared" si="207"/>
        <v/>
      </c>
      <c r="J994" s="143" t="str">
        <f t="shared" si="207"/>
        <v/>
      </c>
      <c r="K994" s="143" t="str">
        <f t="shared" si="207"/>
        <v/>
      </c>
      <c r="L994" s="143" t="str">
        <f t="shared" si="207"/>
        <v/>
      </c>
      <c r="M994" s="143" t="str">
        <f t="shared" si="207"/>
        <v/>
      </c>
    </row>
    <row r="995" spans="2:13" ht="12.75" customHeight="1" x14ac:dyDescent="0.2"/>
    <row r="996" spans="2:13" ht="12.75" customHeight="1" x14ac:dyDescent="0.25">
      <c r="D996" s="656" t="str">
        <f>IF('1. INTRO'!I$2="English","Co-funding need in average per year: ","Medfinansieringsbehov i genomsnitt per år: ")</f>
        <v xml:space="preserve">Co-funding need in average per year: </v>
      </c>
      <c r="E996" s="92" t="str">
        <f>IF(M984=0,"",M984/(DATEDIF('2. START'!C$18,'2. START'!C$19,"d")/365))</f>
        <v/>
      </c>
      <c r="H996" s="656" t="str">
        <f>IF('1. INTRO'!I$2="English","Co-funding need 1/3 of total: ","Medfinansieringsbehov 1/3 av totalt: ")</f>
        <v xml:space="preserve">Co-funding need 1/3 of total: </v>
      </c>
      <c r="I996" s="92">
        <f>M984/3</f>
        <v>0</v>
      </c>
      <c r="L996" s="287" t="str">
        <f>IF('1. INTRO'!I$2="English","Co-funding need total: ","Medfinansieringsbehov totalt: ")</f>
        <v xml:space="preserve">Co-funding need total: </v>
      </c>
      <c r="M996" s="92">
        <f>M984</f>
        <v>0</v>
      </c>
    </row>
    <row r="997" spans="2:13" ht="12.75" customHeight="1" x14ac:dyDescent="0.25">
      <c r="B997" s="53" t="str">
        <f>IF('1. INTRO'!I$2="English","Co-funding sources","Medfinansieringskällor")</f>
        <v>Co-funding sources</v>
      </c>
    </row>
    <row r="998" spans="2:13" ht="12.75" customHeight="1" x14ac:dyDescent="0.25">
      <c r="B998" s="225"/>
      <c r="C998" s="226"/>
      <c r="D998" s="226"/>
      <c r="E998" s="226"/>
      <c r="F998" s="226"/>
      <c r="G998" s="226"/>
      <c r="H998" s="226"/>
      <c r="I998" s="226"/>
      <c r="J998" s="226"/>
      <c r="K998" s="226"/>
      <c r="L998" s="227"/>
      <c r="M998" s="168">
        <f>SUM(C998:L998)</f>
        <v>0</v>
      </c>
    </row>
    <row r="999" spans="2:13" ht="12.75" customHeight="1" x14ac:dyDescent="0.25">
      <c r="B999" s="228"/>
      <c r="C999" s="229"/>
      <c r="D999" s="229"/>
      <c r="E999" s="229"/>
      <c r="F999" s="229"/>
      <c r="G999" s="229"/>
      <c r="H999" s="229"/>
      <c r="I999" s="229"/>
      <c r="J999" s="229"/>
      <c r="K999" s="229"/>
      <c r="L999" s="230"/>
      <c r="M999" s="727">
        <f t="shared" ref="M999:M1002" si="208">SUM(C999:L999)</f>
        <v>0</v>
      </c>
    </row>
    <row r="1000" spans="2:13" ht="12.75" customHeight="1" x14ac:dyDescent="0.25">
      <c r="B1000" s="231"/>
      <c r="C1000" s="232"/>
      <c r="D1000" s="232"/>
      <c r="E1000" s="232"/>
      <c r="F1000" s="232"/>
      <c r="G1000" s="232"/>
      <c r="H1000" s="232"/>
      <c r="I1000" s="232"/>
      <c r="J1000" s="232"/>
      <c r="K1000" s="232"/>
      <c r="L1000" s="233"/>
      <c r="M1000" s="117">
        <f t="shared" si="208"/>
        <v>0</v>
      </c>
    </row>
    <row r="1001" spans="2:13" ht="12.75" customHeight="1" x14ac:dyDescent="0.25">
      <c r="B1001" s="228"/>
      <c r="C1001" s="229"/>
      <c r="D1001" s="229"/>
      <c r="E1001" s="229"/>
      <c r="F1001" s="229"/>
      <c r="G1001" s="229"/>
      <c r="H1001" s="229"/>
      <c r="I1001" s="229"/>
      <c r="J1001" s="229"/>
      <c r="K1001" s="229"/>
      <c r="L1001" s="230"/>
      <c r="M1001" s="727">
        <f t="shared" si="208"/>
        <v>0</v>
      </c>
    </row>
    <row r="1002" spans="2:13" ht="12.75" customHeight="1" x14ac:dyDescent="0.25">
      <c r="B1002" s="93"/>
      <c r="C1002" s="232"/>
      <c r="D1002" s="232"/>
      <c r="E1002" s="232"/>
      <c r="F1002" s="232"/>
      <c r="G1002" s="232"/>
      <c r="H1002" s="232"/>
      <c r="I1002" s="232"/>
      <c r="J1002" s="232"/>
      <c r="K1002" s="232"/>
      <c r="L1002" s="233"/>
      <c r="M1002" s="117">
        <f t="shared" si="208"/>
        <v>0</v>
      </c>
    </row>
    <row r="1003" spans="2:13" ht="12.75" customHeight="1" x14ac:dyDescent="0.25">
      <c r="B1003" s="84" t="str">
        <f>IF('1. INTRO'!I$2="English","Total co-funding ","Total medfinansiering ")</f>
        <v xml:space="preserve">Total co-funding </v>
      </c>
      <c r="C1003" s="87">
        <f t="shared" ref="C1003:M1003" si="209">SUM(C998:C1002)</f>
        <v>0</v>
      </c>
      <c r="D1003" s="87">
        <f t="shared" si="209"/>
        <v>0</v>
      </c>
      <c r="E1003" s="87">
        <f t="shared" si="209"/>
        <v>0</v>
      </c>
      <c r="F1003" s="87">
        <f t="shared" si="209"/>
        <v>0</v>
      </c>
      <c r="G1003" s="87">
        <f t="shared" si="209"/>
        <v>0</v>
      </c>
      <c r="H1003" s="87">
        <f t="shared" si="209"/>
        <v>0</v>
      </c>
      <c r="I1003" s="87">
        <f t="shared" si="209"/>
        <v>0</v>
      </c>
      <c r="J1003" s="87">
        <f t="shared" si="209"/>
        <v>0</v>
      </c>
      <c r="K1003" s="87">
        <f t="shared" si="209"/>
        <v>0</v>
      </c>
      <c r="L1003" s="87">
        <f t="shared" si="209"/>
        <v>0</v>
      </c>
      <c r="M1003" s="142">
        <f t="shared" si="209"/>
        <v>0</v>
      </c>
    </row>
    <row r="1004" spans="2:13" ht="12.75" customHeight="1" x14ac:dyDescent="0.2"/>
    <row r="1005" spans="2:13" ht="12.75" customHeight="1" x14ac:dyDescent="0.2">
      <c r="B1005" s="667" t="str">
        <f>IF('1. INTRO'!I$2="English","Calculation comments","Kalkylkommentarer")</f>
        <v>Calculation comments</v>
      </c>
    </row>
    <row r="1006" spans="2:13" ht="12.75" customHeight="1" x14ac:dyDescent="0.2">
      <c r="B1006" s="1142"/>
      <c r="C1006" s="1143"/>
      <c r="D1006" s="1143"/>
      <c r="E1006" s="1143"/>
      <c r="F1006" s="1143"/>
      <c r="G1006" s="1143"/>
      <c r="H1006" s="1143"/>
      <c r="I1006" s="1143"/>
      <c r="J1006" s="1143"/>
      <c r="K1006" s="1143"/>
      <c r="L1006" s="1143"/>
      <c r="M1006" s="1144"/>
    </row>
    <row r="1007" spans="2:13" ht="12.75" customHeight="1" x14ac:dyDescent="0.2">
      <c r="B1007" s="1145"/>
      <c r="C1007" s="1226"/>
      <c r="D1007" s="1226"/>
      <c r="E1007" s="1226"/>
      <c r="F1007" s="1226"/>
      <c r="G1007" s="1226"/>
      <c r="H1007" s="1226"/>
      <c r="I1007" s="1226"/>
      <c r="J1007" s="1226"/>
      <c r="K1007" s="1226"/>
      <c r="L1007" s="1226"/>
      <c r="M1007" s="1147"/>
    </row>
    <row r="1008" spans="2:13" ht="12.75" customHeight="1" x14ac:dyDescent="0.2">
      <c r="B1008" s="1145"/>
      <c r="C1008" s="1226"/>
      <c r="D1008" s="1226"/>
      <c r="E1008" s="1226"/>
      <c r="F1008" s="1226"/>
      <c r="G1008" s="1226"/>
      <c r="H1008" s="1226"/>
      <c r="I1008" s="1226"/>
      <c r="J1008" s="1226"/>
      <c r="K1008" s="1226"/>
      <c r="L1008" s="1226"/>
      <c r="M1008" s="1147"/>
    </row>
    <row r="1009" spans="2:15" ht="12.75" customHeight="1" x14ac:dyDescent="0.2">
      <c r="B1009" s="1145"/>
      <c r="C1009" s="1226"/>
      <c r="D1009" s="1226"/>
      <c r="E1009" s="1226"/>
      <c r="F1009" s="1226"/>
      <c r="G1009" s="1226"/>
      <c r="H1009" s="1226"/>
      <c r="I1009" s="1226"/>
      <c r="J1009" s="1226"/>
      <c r="K1009" s="1226"/>
      <c r="L1009" s="1226"/>
      <c r="M1009" s="1147"/>
    </row>
    <row r="1010" spans="2:15" ht="12.75" customHeight="1" x14ac:dyDescent="0.2">
      <c r="B1010" s="1148"/>
      <c r="C1010" s="1149"/>
      <c r="D1010" s="1149"/>
      <c r="E1010" s="1149"/>
      <c r="F1010" s="1149"/>
      <c r="G1010" s="1149"/>
      <c r="H1010" s="1149"/>
      <c r="I1010" s="1149"/>
      <c r="J1010" s="1149"/>
      <c r="K1010" s="1149"/>
      <c r="L1010" s="1149"/>
      <c r="M1010" s="1150"/>
    </row>
    <row r="1012" spans="2:15" s="3" customFormat="1" ht="12.75" customHeight="1" x14ac:dyDescent="0.25">
      <c r="B1012" s="313" t="str">
        <f>'3. PARTNER'!C$4</f>
        <v xml:space="preserve">Project: </v>
      </c>
      <c r="C1012" s="1062" t="str">
        <f>'3. PARTNER'!D$4</f>
        <v/>
      </c>
      <c r="D1012" s="1001"/>
      <c r="E1012" s="1001"/>
      <c r="F1012" s="1001"/>
      <c r="G1012" s="1001"/>
      <c r="H1012" s="1001"/>
      <c r="I1012" s="1001"/>
      <c r="J1012" s="1001"/>
      <c r="K1012" s="1001"/>
      <c r="L1012" s="1001"/>
      <c r="M1012" s="1001"/>
    </row>
    <row r="1013" spans="2:15" s="3" customFormat="1" ht="13.2" x14ac:dyDescent="0.25">
      <c r="B1013" s="313" t="str">
        <f>'3. PARTNER'!C$5</f>
        <v xml:space="preserve">Calculation for: </v>
      </c>
      <c r="C1013" s="1062" t="str">
        <f>'3. PARTNER'!D$5</f>
        <v>APPLICATION</v>
      </c>
      <c r="D1013" s="1001"/>
      <c r="E1013" s="268"/>
      <c r="F1013" s="268"/>
      <c r="G1013" s="268"/>
      <c r="H1013" s="268"/>
      <c r="I1013" s="268"/>
      <c r="J1013" s="268"/>
      <c r="K1013" s="268"/>
      <c r="L1013" s="268"/>
      <c r="M1013" s="268"/>
    </row>
    <row r="1014" spans="2:15" s="3" customFormat="1" ht="13.2" x14ac:dyDescent="0.25">
      <c r="B1014" s="35" t="str">
        <f>'3. PARTNER'!C$6</f>
        <v xml:space="preserve">Project leader: </v>
      </c>
      <c r="C1014" s="1062" t="str">
        <f>'3. PARTNER'!D$6</f>
        <v/>
      </c>
      <c r="D1014" s="1001"/>
      <c r="E1014" s="1001"/>
      <c r="F1014" s="1001"/>
      <c r="G1014" s="1001"/>
      <c r="H1014" s="1001"/>
      <c r="I1014" s="1001"/>
      <c r="J1014" s="1001"/>
      <c r="K1014" s="1001"/>
      <c r="L1014" s="1001"/>
      <c r="M1014" s="1001"/>
    </row>
    <row r="1015" spans="2:15" s="3" customFormat="1" ht="13.2" x14ac:dyDescent="0.25">
      <c r="B1015" s="313" t="str">
        <f>'5. PERSON'!B$7</f>
        <v xml:space="preserve">Amounts in: </v>
      </c>
      <c r="C1015" s="655" t="str">
        <f>'5. PERSON'!C$7</f>
        <v>SEK</v>
      </c>
      <c r="D1015" s="268"/>
      <c r="E1015" s="268"/>
      <c r="F1015" s="268"/>
      <c r="G1015" s="234"/>
      <c r="H1015" s="234"/>
      <c r="I1015" s="270"/>
      <c r="J1015" s="270"/>
      <c r="K1015" s="270"/>
      <c r="L1015" s="270"/>
      <c r="M1015" s="270"/>
    </row>
    <row r="1016" spans="2:15" s="3" customFormat="1" ht="13.2" x14ac:dyDescent="0.25">
      <c r="B1016" s="313"/>
      <c r="C1016" s="1053" t="str">
        <f>'3. PARTNER'!D$7</f>
        <v>Other basic data about the project is in sheet 2.</v>
      </c>
      <c r="D1016" s="1001"/>
      <c r="E1016" s="1001"/>
      <c r="F1016" s="1001"/>
      <c r="G1016" s="234"/>
      <c r="H1016" s="234"/>
      <c r="I1016" s="270"/>
      <c r="J1016" s="270"/>
      <c r="K1016" s="270"/>
      <c r="L1016" s="251" t="s">
        <v>4</v>
      </c>
      <c r="M1016" s="270"/>
    </row>
    <row r="1017" spans="2:15" ht="12.75" customHeight="1" x14ac:dyDescent="0.2">
      <c r="J1017" s="252" t="s">
        <v>322</v>
      </c>
      <c r="K1017" s="252" t="s">
        <v>323</v>
      </c>
      <c r="L1017" s="252" t="str">
        <f>IF('1. INTRO'!I$2="English","months","månader")</f>
        <v>months</v>
      </c>
    </row>
    <row r="1018" spans="2:15" s="3" customFormat="1" ht="13.8" x14ac:dyDescent="0.25">
      <c r="B1018" s="157" t="str">
        <f>IF('1. INTRO'!I$2="English","Project costs","Projektkostnader")</f>
        <v>Project costs</v>
      </c>
      <c r="C1018" s="668" t="str">
        <f>A33</f>
        <v>565NJ</v>
      </c>
      <c r="D1018" s="1227" t="str">
        <f>B33</f>
        <v>Energy and Technology</v>
      </c>
      <c r="E1018" s="1001"/>
      <c r="F1018" s="1004"/>
      <c r="G1018" s="37"/>
      <c r="H1018" s="37"/>
      <c r="I1018" s="37"/>
      <c r="J1018" s="643"/>
      <c r="K1018" s="643"/>
      <c r="L1018" s="642">
        <f>SUMIF('5. PERSON'!$B$17:$B$192,$C1018,'5. PERSON'!AE$17:AE$192)</f>
        <v>0</v>
      </c>
      <c r="M1018" s="680" t="s">
        <v>330</v>
      </c>
    </row>
    <row r="1019" spans="2:15" s="3" customFormat="1" ht="6" customHeight="1" x14ac:dyDescent="0.25">
      <c r="B1019" s="57"/>
      <c r="C1019" s="37"/>
      <c r="D1019" s="37"/>
      <c r="E1019" s="37"/>
      <c r="F1019" s="37"/>
      <c r="G1019" s="37"/>
      <c r="H1019" s="37"/>
      <c r="I1019" s="37"/>
      <c r="J1019" s="37"/>
      <c r="K1019" s="37"/>
      <c r="L1019" s="37"/>
      <c r="M1019" s="37"/>
    </row>
    <row r="1020" spans="2:15" s="3" customFormat="1" ht="13.2" x14ac:dyDescent="0.25">
      <c r="B1020" s="110" t="str">
        <f>IF('1. INTRO'!I$2="English","Costs to be covered by funding body","Kostnader att täckas av finansiär")</f>
        <v>Costs to be covered by funding body</v>
      </c>
      <c r="C1020" s="111">
        <f>'5. PERSON'!G$15</f>
        <v>1900</v>
      </c>
      <c r="D1020" s="111" t="str">
        <f>'5. PERSON'!H$15</f>
        <v/>
      </c>
      <c r="E1020" s="111" t="str">
        <f>'5. PERSON'!I$15</f>
        <v/>
      </c>
      <c r="F1020" s="111" t="str">
        <f>'5. PERSON'!J$15</f>
        <v/>
      </c>
      <c r="G1020" s="111" t="str">
        <f>'5. PERSON'!K$15</f>
        <v/>
      </c>
      <c r="H1020" s="111" t="str">
        <f>'5. PERSON'!L$15</f>
        <v/>
      </c>
      <c r="I1020" s="111" t="str">
        <f>'5. PERSON'!M$15</f>
        <v/>
      </c>
      <c r="J1020" s="111" t="str">
        <f>'5. PERSON'!N$15</f>
        <v/>
      </c>
      <c r="K1020" s="111" t="str">
        <f>'5. PERSON'!O$15</f>
        <v/>
      </c>
      <c r="L1020" s="111" t="str">
        <f>'5. PERSON'!P$15</f>
        <v/>
      </c>
      <c r="M1020" s="112" t="s">
        <v>2</v>
      </c>
    </row>
    <row r="1021" spans="2:15" s="3" customFormat="1" ht="12.75" customHeight="1" x14ac:dyDescent="0.25">
      <c r="B1021" s="722" t="str">
        <f>IF('1. INTRO'!I$2="English","Salary including social costs (LKP)","Lön inklusive LKP")</f>
        <v>Salary including social costs (LKP)</v>
      </c>
      <c r="C1021" s="723">
        <f>IF('2. START'!$C$14&gt;0,SUMIF('5. PERSON'!$B$17:$B$192,$C1018,'5. PERSON'!DN$17:DN$192),SUMIF('5. PERSON'!$B$17:$B$192,$C1018,'5. PERSON'!AT$17:AT$192))</f>
        <v>0</v>
      </c>
      <c r="D1021" s="723">
        <f>IF('2. START'!$C$14&gt;0,SUMIF('5. PERSON'!$B$17:$B$192,$C1018,'5. PERSON'!DO$17:DO$192),SUMIF('5. PERSON'!$B$17:$B$192,$C1018,'5. PERSON'!AU$17:AU$192))</f>
        <v>0</v>
      </c>
      <c r="E1021" s="723">
        <f>IF('2. START'!$C$14&gt;0,SUMIF('5. PERSON'!$B$17:$B$192,$C1018,'5. PERSON'!DP$17:DP$192),SUMIF('5. PERSON'!$B$17:$B$192,$C1018,'5. PERSON'!AV$17:AV$192))</f>
        <v>0</v>
      </c>
      <c r="F1021" s="723">
        <f>IF('2. START'!$C$14&gt;0,SUMIF('5. PERSON'!$B$17:$B$192,$C1018,'5. PERSON'!DQ$17:DQ$192),SUMIF('5. PERSON'!$B$17:$B$192,$C1018,'5. PERSON'!AW$17:AW$192))</f>
        <v>0</v>
      </c>
      <c r="G1021" s="723">
        <f>IF('2. START'!$C$14&gt;0,SUMIF('5. PERSON'!$B$17:$B$192,$C1018,'5. PERSON'!DR$17:DR$192),SUMIF('5. PERSON'!$B$17:$B$192,$C1018,'5. PERSON'!AX$17:AX$192))</f>
        <v>0</v>
      </c>
      <c r="H1021" s="723">
        <f>IF('2. START'!$C$14&gt;0,SUMIF('5. PERSON'!$B$17:$B$192,$C1018,'5. PERSON'!DS$17:DS$192),SUMIF('5. PERSON'!$B$17:$B$192,$C1018,'5. PERSON'!AY$17:AY$192))</f>
        <v>0</v>
      </c>
      <c r="I1021" s="723">
        <f>IF('2. START'!$C$14&gt;0,SUMIF('5. PERSON'!$B$17:$B$192,$C1018,'5. PERSON'!DT$17:DT$192),SUMIF('5. PERSON'!$B$17:$B$192,$C1018,'5. PERSON'!AZ$17:AZ$192))</f>
        <v>0</v>
      </c>
      <c r="J1021" s="723">
        <f>IF('2. START'!$C$14&gt;0,SUMIF('5. PERSON'!$B$17:$B$192,$C1018,'5. PERSON'!DU$17:DU$192),SUMIF('5. PERSON'!$B$17:$B$192,$C1018,'5. PERSON'!BA$17:BA$192))</f>
        <v>0</v>
      </c>
      <c r="K1021" s="723">
        <f>IF('2. START'!$C$14&gt;0,SUMIF('5. PERSON'!$B$17:$B$192,$C1018,'5. PERSON'!DV$17:DV$192),SUMIF('5. PERSON'!$B$17:$B$192,$C1018,'5. PERSON'!BB$17:BB$192))</f>
        <v>0</v>
      </c>
      <c r="L1021" s="723">
        <f>IF('2. START'!$C$14&gt;0,SUMIF('5. PERSON'!$B$17:$B$192,$C1018,'5. PERSON'!DW$17:DW$192),SUMIF('5. PERSON'!$B$17:$B$192,$C1018,'5. PERSON'!BC$17:BC$192))</f>
        <v>0</v>
      </c>
      <c r="M1021" s="724">
        <f t="shared" ref="M1021:M1026" si="210">SUM(C1021:L1021)</f>
        <v>0</v>
      </c>
      <c r="O1021" s="4"/>
    </row>
    <row r="1022" spans="2:15" s="3" customFormat="1" ht="12.75" customHeight="1" x14ac:dyDescent="0.25">
      <c r="B1022" s="80" t="str">
        <f>IF('1. INTRO'!I$2="English","Operating","Drift")</f>
        <v>Operating</v>
      </c>
      <c r="C1022" s="116">
        <f>SUMIF('6. OPERATION'!$B$17:$B$149,$C1018,'6. OPERATION'!W$17:W$149)</f>
        <v>0</v>
      </c>
      <c r="D1022" s="116">
        <f>SUMIF('6. OPERATION'!$B$17:$B$149,$C1018,'6. OPERATION'!X$17:X$149)</f>
        <v>0</v>
      </c>
      <c r="E1022" s="116">
        <f>SUMIF('6. OPERATION'!$B$17:$B$149,$C1018,'6. OPERATION'!Y$17:Y$149)</f>
        <v>0</v>
      </c>
      <c r="F1022" s="116">
        <f>SUMIF('6. OPERATION'!$B$17:$B$149,$C1018,'6. OPERATION'!Z$17:Z$149)</f>
        <v>0</v>
      </c>
      <c r="G1022" s="116">
        <f>SUMIF('6. OPERATION'!$B$17:$B$149,$C1018,'6. OPERATION'!AA$17:AA$149)</f>
        <v>0</v>
      </c>
      <c r="H1022" s="116">
        <f>SUMIF('6. OPERATION'!$B$17:$B$149,$C1018,'6. OPERATION'!AB$17:AB$149)</f>
        <v>0</v>
      </c>
      <c r="I1022" s="116">
        <f>SUMIF('6. OPERATION'!$B$17:$B$149,$C1018,'6. OPERATION'!AC$17:AC$149)</f>
        <v>0</v>
      </c>
      <c r="J1022" s="116">
        <f>SUMIF('6. OPERATION'!$B$17:$B$149,$C1018,'6. OPERATION'!AD$17:AD$149)</f>
        <v>0</v>
      </c>
      <c r="K1022" s="116">
        <f>SUMIF('6. OPERATION'!$B$17:$B$149,$C1018,'6. OPERATION'!AE$17:AE$149)</f>
        <v>0</v>
      </c>
      <c r="L1022" s="116">
        <f>SUMIF('6. OPERATION'!$B$17:$B$149,$C1018,'6. OPERATION'!AF$17:AF$149)</f>
        <v>0</v>
      </c>
      <c r="M1022" s="117">
        <f t="shared" si="210"/>
        <v>0</v>
      </c>
    </row>
    <row r="1023" spans="2:15" s="3" customFormat="1" ht="13.2" x14ac:dyDescent="0.25">
      <c r="B1023" s="725" t="str">
        <f>IF('1. INTRO'!I$2="English","Equipment","Utrustning")</f>
        <v>Equipment</v>
      </c>
      <c r="C1023" s="726">
        <f>SUMIF('7. INVEST'!$B$17:$B$49,$C1018,'7. INVEST'!W$17:W$49)</f>
        <v>0</v>
      </c>
      <c r="D1023" s="726">
        <f>SUMIF('7. INVEST'!$B$17:$B$49,$C1018,'7. INVEST'!X$17:X$49)</f>
        <v>0</v>
      </c>
      <c r="E1023" s="726">
        <f>SUMIF('7. INVEST'!$B$17:$B$49,$C1018,'7. INVEST'!Y$17:Y$49)</f>
        <v>0</v>
      </c>
      <c r="F1023" s="726">
        <f>SUMIF('7. INVEST'!$B$17:$B$49,$C1018,'7. INVEST'!Z$17:Z$49)</f>
        <v>0</v>
      </c>
      <c r="G1023" s="726">
        <f>SUMIF('7. INVEST'!$B$17:$B$49,$C1018,'7. INVEST'!AA$17:AA$49)</f>
        <v>0</v>
      </c>
      <c r="H1023" s="726">
        <f>SUMIF('7. INVEST'!$B$17:$B$49,$C1018,'7. INVEST'!AB$17:AB$49)</f>
        <v>0</v>
      </c>
      <c r="I1023" s="726">
        <f>SUMIF('7. INVEST'!$B$17:$B$49,$C1018,'7. INVEST'!AC$17:AC$49)</f>
        <v>0</v>
      </c>
      <c r="J1023" s="726">
        <f>SUMIF('7. INVEST'!$B$17:$B$49,$C1018,'7. INVEST'!AD$17:AD$49)</f>
        <v>0</v>
      </c>
      <c r="K1023" s="726">
        <f>SUMIF('7. INVEST'!$B$17:$B$49,$C1018,'7. INVEST'!AE$17:AE$49)</f>
        <v>0</v>
      </c>
      <c r="L1023" s="726">
        <f>SUMIF('7. INVEST'!$B$17:$B$49,$C1018,'7. INVEST'!AF$17:AF$49)</f>
        <v>0</v>
      </c>
      <c r="M1023" s="727">
        <f t="shared" si="210"/>
        <v>0</v>
      </c>
    </row>
    <row r="1024" spans="2:15" s="3" customFormat="1" ht="13.2" x14ac:dyDescent="0.25">
      <c r="B1024" s="121" t="str">
        <f>IF('1. INTRO'!I$2="English",(IF('2. START'!C$11="NO","Facility accepted as direct cost by funding body","Facility")),IF('2. START'!C$11="NO","Lokal accepterad som direkt kostnad av finansiär","Lokal"))</f>
        <v>Facility</v>
      </c>
      <c r="C1024" s="116">
        <f>IF('2. START'!$C$11="NO",SUMIF('8. FACILIT'!$B$18:$B$50,$C1018,'8. FACILIT'!T$18:T$50),SUMIF('5. PERSON'!$B$17:$B$192,$C1018,'5. PERSON'!CP$17:CP$192)+SUMIF('6. OPERATION'!$B$17:$B$149,$C1018,'6. OPERATION'!BS$17:BS$149)+SUMIF('8. FACILIT'!$B$18:$B$50,$C1018,'8. FACILIT'!T$18:T$50))</f>
        <v>0</v>
      </c>
      <c r="D1024" s="116">
        <f>IF('2. START'!$C$11="NO",SUMIF('8. FACILIT'!$B$18:$B$50,$C1018,'8. FACILIT'!U$18:U$50),SUMIF('5. PERSON'!$B$17:$B$192,$C1018,'5. PERSON'!CQ$17:CQ$192)+SUMIF('6. OPERATION'!$B$17:$B$149,$C1018,'6. OPERATION'!BT$17:BT$149)+SUMIF('8. FACILIT'!$B$18:$B$50,$C1018,'8. FACILIT'!U$18:U$50))</f>
        <v>0</v>
      </c>
      <c r="E1024" s="116">
        <f>IF('2. START'!$C$11="NO",SUMIF('8. FACILIT'!$B$18:$B$50,$C1018,'8. FACILIT'!V$18:V$50),SUMIF('5. PERSON'!$B$17:$B$192,$C1018,'5. PERSON'!CR$17:CR$192)+SUMIF('6. OPERATION'!$B$17:$B$149,$C1018,'6. OPERATION'!BU$17:BU$149)+SUMIF('8. FACILIT'!$B$18:$B$50,$C1018,'8. FACILIT'!V$18:V$50))</f>
        <v>0</v>
      </c>
      <c r="F1024" s="116">
        <f>IF('2. START'!$C$11="NO",SUMIF('8. FACILIT'!$B$18:$B$50,$C1018,'8. FACILIT'!W$18:W$50),SUMIF('5. PERSON'!$B$17:$B$192,$C1018,'5. PERSON'!CS$17:CS$192)+SUMIF('6. OPERATION'!$B$17:$B$149,$C1018,'6. OPERATION'!BV$17:BV$149)+SUMIF('8. FACILIT'!$B$18:$B$50,$C1018,'8. FACILIT'!W$18:W$50))</f>
        <v>0</v>
      </c>
      <c r="G1024" s="116">
        <f>IF('2. START'!$C$11="NO",SUMIF('8. FACILIT'!$B$18:$B$50,$C1018,'8. FACILIT'!X$18:X$50),SUMIF('5. PERSON'!$B$17:$B$192,$C1018,'5. PERSON'!CT$17:CT$192)+SUMIF('6. OPERATION'!$B$17:$B$149,$C1018,'6. OPERATION'!BW$17:BW$149)+SUMIF('8. FACILIT'!$B$18:$B$50,$C1018,'8. FACILIT'!X$18:X$50))</f>
        <v>0</v>
      </c>
      <c r="H1024" s="116">
        <f>IF('2. START'!$C$11="NO",SUMIF('8. FACILIT'!$B$18:$B$50,$C1018,'8. FACILIT'!Y$18:Y$50),SUMIF('5. PERSON'!$B$17:$B$192,$C1018,'5. PERSON'!CU$17:CU$192)+SUMIF('6. OPERATION'!$B$17:$B$149,$C1018,'6. OPERATION'!BX$17:BX$149)+SUMIF('8. FACILIT'!$B$18:$B$50,$C1018,'8. FACILIT'!Y$18:Y$50))</f>
        <v>0</v>
      </c>
      <c r="I1024" s="116">
        <f>IF('2. START'!$C$11="NO",SUMIF('8. FACILIT'!$B$18:$B$50,$C1018,'8. FACILIT'!Z$18:Z$50),SUMIF('5. PERSON'!$B$17:$B$192,$C1018,'5. PERSON'!CV$17:CV$192)+SUMIF('6. OPERATION'!$B$17:$B$149,$C1018,'6. OPERATION'!BY$17:BY$149)+SUMIF('8. FACILIT'!$B$18:$B$50,$C1018,'8. FACILIT'!Z$18:Z$50))</f>
        <v>0</v>
      </c>
      <c r="J1024" s="116">
        <f>IF('2. START'!$C$11="NO",SUMIF('8. FACILIT'!$B$18:$B$50,$C1018,'8. FACILIT'!AA$18:AA$50),SUMIF('5. PERSON'!$B$17:$B$192,$C1018,'5. PERSON'!CW$17:CW$192)+SUMIF('6. OPERATION'!$B$17:$B$149,$C1018,'6. OPERATION'!BZ$17:BZ$149)+SUMIF('8. FACILIT'!$B$18:$B$50,$C1018,'8. FACILIT'!AA$18:AA$50))</f>
        <v>0</v>
      </c>
      <c r="K1024" s="116">
        <f>IF('2. START'!$C$11="NO",SUMIF('8. FACILIT'!$B$18:$B$50,$C1018,'8. FACILIT'!AB$18:AB$50),SUMIF('5. PERSON'!$B$17:$B$192,$C1018,'5. PERSON'!CX$17:CX$192)+SUMIF('6. OPERATION'!$B$17:$B$149,$C1018,'6. OPERATION'!CA$17:CA$149)+SUMIF('8. FACILIT'!$B$18:$B$50,$C1018,'8. FACILIT'!AB$18:AB$50))</f>
        <v>0</v>
      </c>
      <c r="L1024" s="116">
        <f>IF('2. START'!$C$11="NO",SUMIF('8. FACILIT'!$B$18:$B$50,$C1018,'8. FACILIT'!AC$18:AC$50),SUMIF('5. PERSON'!$B$17:$B$192,$C1018,'5. PERSON'!CY$17:CY$192)+SUMIF('6. OPERATION'!$B$17:$B$149,$C1018,'6. OPERATION'!CB$17:CB$149)+SUMIF('8. FACILIT'!$B$18:$B$50,$C1018,'8. FACILIT'!AC$18:AC$50))</f>
        <v>0</v>
      </c>
      <c r="M1024" s="117">
        <f t="shared" si="210"/>
        <v>0</v>
      </c>
    </row>
    <row r="1025" spans="2:15" s="3" customFormat="1" ht="13.2" x14ac:dyDescent="0.25">
      <c r="B1025" s="728" t="str">
        <f>IF('1. INTRO'!I$2="English",(IF('2. START'!C$11="NO","Indirect and facility charge accepted as OH by funding body","Indirect")),IF('2. START'!C$11="NO","Indirekt och lokalpåslag accepterade som OH av finansiär","Indirekt"))</f>
        <v>Indirect</v>
      </c>
      <c r="C1025" s="729">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729">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729">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729">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729">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729">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729">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729">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729">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729">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727">
        <f t="shared" si="210"/>
        <v>0</v>
      </c>
    </row>
    <row r="1026" spans="2:15" s="3" customFormat="1" ht="13.2" x14ac:dyDescent="0.25">
      <c r="B1026" s="124" t="s">
        <v>113</v>
      </c>
      <c r="C1026" s="102">
        <f>SUM(C1021:C1025)</f>
        <v>0</v>
      </c>
      <c r="D1026" s="102">
        <f t="shared" ref="D1026:L1026" si="211">SUM(D1021:D1025)</f>
        <v>0</v>
      </c>
      <c r="E1026" s="102">
        <f t="shared" si="211"/>
        <v>0</v>
      </c>
      <c r="F1026" s="102">
        <f t="shared" si="211"/>
        <v>0</v>
      </c>
      <c r="G1026" s="102">
        <f t="shared" si="211"/>
        <v>0</v>
      </c>
      <c r="H1026" s="102">
        <f t="shared" si="211"/>
        <v>0</v>
      </c>
      <c r="I1026" s="102">
        <f t="shared" si="211"/>
        <v>0</v>
      </c>
      <c r="J1026" s="102">
        <f t="shared" si="211"/>
        <v>0</v>
      </c>
      <c r="K1026" s="102">
        <f t="shared" si="211"/>
        <v>0</v>
      </c>
      <c r="L1026" s="102">
        <f t="shared" si="211"/>
        <v>0</v>
      </c>
      <c r="M1026" s="125">
        <f t="shared" si="210"/>
        <v>0</v>
      </c>
    </row>
    <row r="1027" spans="2:15" s="3" customFormat="1" ht="6" customHeight="1" x14ac:dyDescent="0.25">
      <c r="B1027" s="126"/>
      <c r="C1027" s="127"/>
      <c r="D1027" s="127"/>
      <c r="E1027" s="127"/>
      <c r="F1027" s="127"/>
      <c r="G1027" s="127"/>
      <c r="H1027" s="127"/>
      <c r="I1027" s="127"/>
      <c r="J1027" s="127"/>
      <c r="K1027" s="127"/>
      <c r="L1027" s="127"/>
      <c r="M1027" s="128"/>
    </row>
    <row r="1028" spans="2:15" s="3" customFormat="1" ht="13.2" x14ac:dyDescent="0.25">
      <c r="B1028" s="129" t="str">
        <f>IF('1. INTRO'!I$2="English","Costs to be co-funded","Kostnader att medfinansiera")</f>
        <v>Costs to be co-funded</v>
      </c>
      <c r="C1028" s="86"/>
      <c r="D1028" s="86"/>
      <c r="E1028" s="86"/>
      <c r="F1028" s="86"/>
      <c r="G1028" s="86"/>
      <c r="H1028" s="86"/>
      <c r="I1028" s="86"/>
      <c r="J1028" s="86"/>
      <c r="K1028" s="86"/>
      <c r="L1028" s="86"/>
      <c r="M1028" s="130"/>
    </row>
    <row r="1029" spans="2:15" s="3" customFormat="1" ht="13.2" x14ac:dyDescent="0.25">
      <c r="B1029" s="730" t="str">
        <f>IF('1. INTRO'!I$2="English",(IF('2. START'!C$11="NO","Indirect and facility charge not accepted as OH by funding body","")),IF('2. START'!C$11="NO","Indirekt och lokalpåslag inte accepterade som OH av finansiär",""))</f>
        <v/>
      </c>
      <c r="C1029" s="731">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731">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731">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731">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731">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731">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731">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731">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731">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731">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724">
        <f t="shared" ref="M1029:M1035" si="212">SUM(C1029:L1029)</f>
        <v>0</v>
      </c>
    </row>
    <row r="1030" spans="2:15" s="3" customFormat="1" ht="12.75" customHeight="1" x14ac:dyDescent="0.25">
      <c r="B1030" s="132" t="str">
        <f>IF('1. INTRO'!I$2="English",(IF('2. START'!C$14&gt;0,"Social costs (LKP) not accepted by funding body","")),IF('2. START'!C$14&gt;0,"LKP som inte accepteras av finansiär",""))</f>
        <v/>
      </c>
      <c r="C1030" s="133">
        <f>IF('2. START'!$C$14&gt;0,SUMIF('5. PERSON'!$B$17:$B$192,$C1018,'5. PERSON'!AT$17:AT$192)-SUMIF('5. PERSON'!$B$17:$B$192,$C1018,'5. PERSON'!DN$17:DN$192),0)</f>
        <v>0</v>
      </c>
      <c r="D1030" s="133">
        <f>IF('2. START'!$C$14&gt;0,SUMIF('5. PERSON'!$B$17:$B$192,$C1018,'5. PERSON'!AU$17:AU$192)-SUMIF('5. PERSON'!$B$17:$B$192,$C1018,'5. PERSON'!DO$17:DO$192),0)</f>
        <v>0</v>
      </c>
      <c r="E1030" s="133">
        <f>IF('2. START'!$C$14&gt;0,SUMIF('5. PERSON'!$B$17:$B$192,$C1018,'5. PERSON'!AV$17:AV$192)-SUMIF('5. PERSON'!$B$17:$B$192,$C1018,'5. PERSON'!DP$17:DP$192),0)</f>
        <v>0</v>
      </c>
      <c r="F1030" s="133">
        <f>IF('2. START'!$C$14&gt;0,SUMIF('5. PERSON'!$B$17:$B$192,$C1018,'5. PERSON'!AW$17:AW$192)-SUMIF('5. PERSON'!$B$17:$B$192,$C1018,'5. PERSON'!DQ$17:DQ$192),0)</f>
        <v>0</v>
      </c>
      <c r="G1030" s="133">
        <f>IF('2. START'!$C$14&gt;0,SUMIF('5. PERSON'!$B$17:$B$192,$C1018,'5. PERSON'!AX$17:AX$192)-SUMIF('5. PERSON'!$B$17:$B$192,$C1018,'5. PERSON'!DR$17:DR$192),0)</f>
        <v>0</v>
      </c>
      <c r="H1030" s="133">
        <f>IF('2. START'!$C$14&gt;0,SUMIF('5. PERSON'!$B$17:$B$192,$C1018,'5. PERSON'!AY$17:AY$192)-SUMIF('5. PERSON'!$B$17:$B$192,$C1018,'5. PERSON'!DS$17:DS$192),0)</f>
        <v>0</v>
      </c>
      <c r="I1030" s="133">
        <f>IF('2. START'!$C$14&gt;0,SUMIF('5. PERSON'!$B$17:$B$192,$C1018,'5. PERSON'!AZ$17:AZ$192)-SUMIF('5. PERSON'!$B$17:$B$192,$C1018,'5. PERSON'!DT$17:DT$192),0)</f>
        <v>0</v>
      </c>
      <c r="J1030" s="133">
        <f>IF('2. START'!$C$14&gt;0,SUMIF('5. PERSON'!$B$17:$B$192,$C1018,'5. PERSON'!BA$17:BA$192)-SUMIF('5. PERSON'!$B$17:$B$192,$C1018,'5. PERSON'!DU$17:DU$192),0)</f>
        <v>0</v>
      </c>
      <c r="K1030" s="133">
        <f>IF('2. START'!$C$14&gt;0,SUMIF('5. PERSON'!$B$17:$B$192,$C1018,'5. PERSON'!BB$17:BB$192)-SUMIF('5. PERSON'!$B$17:$B$192,$C1018,'5. PERSON'!DV$17:DV$192),0)</f>
        <v>0</v>
      </c>
      <c r="L1030" s="133">
        <f>IF('2. START'!$C$14&gt;0,SUMIF('5. PERSON'!$B$17:$B$192,$C1018,'5. PERSON'!BC$17:BC$192)-SUMIF('5. PERSON'!$B$17:$B$192,$C1018,'5. PERSON'!DW$17:DW$192),0)</f>
        <v>0</v>
      </c>
      <c r="M1030" s="117">
        <f t="shared" si="212"/>
        <v>0</v>
      </c>
    </row>
    <row r="1031" spans="2:15" s="3" customFormat="1" ht="12.75" customHeight="1" x14ac:dyDescent="0.25">
      <c r="B1031" s="725" t="str">
        <f>IF('1. INTRO'!I$2="English",(IF('5. PERSON'!BP$193&gt;0,"Salary including social costs (LKP)","")),IF('5. PERSON'!BP$193&gt;0,"Lön inklusive LKP",""))</f>
        <v/>
      </c>
      <c r="C1031" s="732">
        <f>SUMIF('5. PERSON'!$B$17:$B$192,$C1018,'5. PERSON'!BF$17:BF$192)</f>
        <v>0</v>
      </c>
      <c r="D1031" s="732">
        <f>SUMIF('5. PERSON'!$B$17:$B$192,$C1018,'5. PERSON'!BG$17:BG$192)</f>
        <v>0</v>
      </c>
      <c r="E1031" s="732">
        <f>SUMIF('5. PERSON'!$B$17:$B$192,$C1018,'5. PERSON'!BH$17:BH$192)</f>
        <v>0</v>
      </c>
      <c r="F1031" s="732">
        <f>SUMIF('5. PERSON'!$B$17:$B$192,$C1018,'5. PERSON'!BI$17:BI$192)</f>
        <v>0</v>
      </c>
      <c r="G1031" s="732">
        <f>SUMIF('5. PERSON'!$B$17:$B$192,$C1018,'5. PERSON'!BJ$17:BJ$192)</f>
        <v>0</v>
      </c>
      <c r="H1031" s="732">
        <f>SUMIF('5. PERSON'!$B$17:$B$192,$C1018,'5. PERSON'!BK$17:BK$192)</f>
        <v>0</v>
      </c>
      <c r="I1031" s="732">
        <f>SUMIF('5. PERSON'!$B$17:$B$192,$C1018,'5. PERSON'!BL$17:BL$192)</f>
        <v>0</v>
      </c>
      <c r="J1031" s="732">
        <f>SUMIF('5. PERSON'!$B$17:$B$192,$C1018,'5. PERSON'!BM$17:BM$192)</f>
        <v>0</v>
      </c>
      <c r="K1031" s="732">
        <f>SUMIF('5. PERSON'!$B$17:$B$192,$C1018,'5. PERSON'!BN$17:BN$192)</f>
        <v>0</v>
      </c>
      <c r="L1031" s="732">
        <f>SUMIF('5. PERSON'!$B$17:$B$192,$C1018,'5. PERSON'!BO$17:BO$192)</f>
        <v>0</v>
      </c>
      <c r="M1031" s="727">
        <f t="shared" si="212"/>
        <v>0</v>
      </c>
    </row>
    <row r="1032" spans="2:15" s="3" customFormat="1" ht="13.2" x14ac:dyDescent="0.25">
      <c r="B1032" s="80" t="str">
        <f>IF('1. INTRO'!I$2="English",(IF('6. OPERATION'!AS$150&gt;0,"Operating","")),IF('6. OPERATION'!AS$150&gt;0,"Drift",""))</f>
        <v/>
      </c>
      <c r="C1032" s="135">
        <f>SUMIF('6. OPERATION'!$B$17:$B$149,$C1018,'6. OPERATION'!AI$17:AI$149)</f>
        <v>0</v>
      </c>
      <c r="D1032" s="135">
        <f>SUMIF('6. OPERATION'!$B$17:$B$149,$C1018,'6. OPERATION'!AJ$17:AJ$149)</f>
        <v>0</v>
      </c>
      <c r="E1032" s="135">
        <f>SUMIF('6. OPERATION'!$B$17:$B$149,$C1018,'6. OPERATION'!AK$17:AK$149)</f>
        <v>0</v>
      </c>
      <c r="F1032" s="135">
        <f>SUMIF('6. OPERATION'!$B$17:$B$149,$C1018,'6. OPERATION'!AL$17:AL$149)</f>
        <v>0</v>
      </c>
      <c r="G1032" s="135">
        <f>SUMIF('6. OPERATION'!$B$17:$B$149,$C1018,'6. OPERATION'!AM$17:AM$149)</f>
        <v>0</v>
      </c>
      <c r="H1032" s="135">
        <f>SUMIF('6. OPERATION'!$B$17:$B$149,$C1018,'6. OPERATION'!AN$17:AN$149)</f>
        <v>0</v>
      </c>
      <c r="I1032" s="135">
        <f>SUMIF('6. OPERATION'!$B$17:$B$149,$C1018,'6. OPERATION'!AO$17:AO$149)</f>
        <v>0</v>
      </c>
      <c r="J1032" s="135">
        <f>SUMIF('6. OPERATION'!$B$17:$B$149,$C1018,'6. OPERATION'!AP$17:AP$149)</f>
        <v>0</v>
      </c>
      <c r="K1032" s="135">
        <f>SUMIF('6. OPERATION'!$B$17:$B$149,$C1018,'6. OPERATION'!AQ$17:AQ$149)</f>
        <v>0</v>
      </c>
      <c r="L1032" s="135">
        <f>SUMIF('6. OPERATION'!$B$17:$B$149,$C1018,'6. OPERATION'!AR$17:AR$149)</f>
        <v>0</v>
      </c>
      <c r="M1032" s="117">
        <f t="shared" si="212"/>
        <v>0</v>
      </c>
    </row>
    <row r="1033" spans="2:15" s="3" customFormat="1" ht="13.2" x14ac:dyDescent="0.25">
      <c r="B1033" s="725" t="str">
        <f>IF('1. INTRO'!I$2="English",(IF('7. INVEST'!AS$50&gt;0,"Equipment","")),IF('7. INVEST'!AS$50&gt;0,"Utrustning",""))</f>
        <v/>
      </c>
      <c r="C1033" s="732">
        <f>SUMIF('7. INVEST'!$B$17:$B$49,$C1018,'7. INVEST'!AI$17:AI$49)</f>
        <v>0</v>
      </c>
      <c r="D1033" s="732">
        <f>SUMIF('7. INVEST'!$B$17:$B$49,$C1018,'7. INVEST'!AJ$17:AJ$49)</f>
        <v>0</v>
      </c>
      <c r="E1033" s="732">
        <f>SUMIF('7. INVEST'!$B$17:$B$49,$C1018,'7. INVEST'!AK$17:AK$49)</f>
        <v>0</v>
      </c>
      <c r="F1033" s="732">
        <f>SUMIF('7. INVEST'!$B$17:$B$49,$C1018,'7. INVEST'!AL$17:AL$49)</f>
        <v>0</v>
      </c>
      <c r="G1033" s="732">
        <f>SUMIF('7. INVEST'!$B$17:$B$49,$C1018,'7. INVEST'!AM$17:AM$49)</f>
        <v>0</v>
      </c>
      <c r="H1033" s="732">
        <f>SUMIF('7. INVEST'!$B$17:$B$49,$C1018,'7. INVEST'!AN$17:AN$49)</f>
        <v>0</v>
      </c>
      <c r="I1033" s="732">
        <f>SUMIF('7. INVEST'!$B$17:$B$49,$C1018,'7. INVEST'!AO$17:AO$49)</f>
        <v>0</v>
      </c>
      <c r="J1033" s="732">
        <f>SUMIF('7. INVEST'!$B$17:$B$49,$C1018,'7. INVEST'!AP$17:AP$49)</f>
        <v>0</v>
      </c>
      <c r="K1033" s="732">
        <f>SUMIF('7. INVEST'!$B$17:$B$49,$C1018,'7. INVEST'!AQ$17:AQ$49)</f>
        <v>0</v>
      </c>
      <c r="L1033" s="732">
        <f>SUMIF('7. INVEST'!$B$17:$B$49,$C1018,'7. INVEST'!AR$17:AR$49)</f>
        <v>0</v>
      </c>
      <c r="M1033" s="727">
        <f t="shared" si="212"/>
        <v>0</v>
      </c>
    </row>
    <row r="1034" spans="2:15" s="3" customFormat="1" ht="13.2" x14ac:dyDescent="0.25">
      <c r="B1034" s="121" t="str">
        <f>IF('1. INTRO'!I$2="English",(IF('8. FACILIT'!AP$51&gt;0,"Facility","")),IF('8. FACILIT'!AP$51&gt;0,"Lokal",""))</f>
        <v/>
      </c>
      <c r="C1034" s="135">
        <f>SUMIF('5. PERSON'!$B$17:$B$192,$C1018,'5. PERSON'!DB$17:DB$192)+SUMIF('6. OPERATION'!$B$17:$B$149,$C1018,'6. OPERATION'!CE$17:CE$149)+SUMIF('8. FACILIT'!$B$18:$B$50,$C1018,'8. FACILIT'!AF$18:AF$50)</f>
        <v>0</v>
      </c>
      <c r="D1034" s="135">
        <f>SUMIF('5. PERSON'!$B$17:$B$192,$C1018,'5. PERSON'!DC$17:DC$192)+SUMIF('6. OPERATION'!$B$17:$B$149,$C1018,'6. OPERATION'!CF$17:CF$149)+SUMIF('8. FACILIT'!$B$18:$B$50,$C1018,'8. FACILIT'!AG$18:AG$50)</f>
        <v>0</v>
      </c>
      <c r="E1034" s="135">
        <f>SUMIF('5. PERSON'!$B$17:$B$192,$C1018,'5. PERSON'!DD$17:DD$192)+SUMIF('6. OPERATION'!$B$17:$B$149,$C1018,'6. OPERATION'!CG$17:CG$149)+SUMIF('8. FACILIT'!$B$18:$B$50,$C1018,'8. FACILIT'!AH$18:AH$50)</f>
        <v>0</v>
      </c>
      <c r="F1034" s="135">
        <f>SUMIF('5. PERSON'!$B$17:$B$192,$C1018,'5. PERSON'!DE$17:DE$192)+SUMIF('6. OPERATION'!$B$17:$B$149,$C1018,'6. OPERATION'!CH$17:CH$149)+SUMIF('8. FACILIT'!$B$18:$B$50,$C1018,'8. FACILIT'!AI$18:AI$50)</f>
        <v>0</v>
      </c>
      <c r="G1034" s="135">
        <f>SUMIF('5. PERSON'!$B$17:$B$192,$C1018,'5. PERSON'!DF$17:DF$192)+SUMIF('6. OPERATION'!$B$17:$B$149,$C1018,'6. OPERATION'!CI$17:CI$149)+SUMIF('8. FACILIT'!$B$18:$B$50,$C1018,'8. FACILIT'!AJ$18:AJ$50)</f>
        <v>0</v>
      </c>
      <c r="H1034" s="135">
        <f>SUMIF('5. PERSON'!$B$17:$B$192,$C1018,'5. PERSON'!DG$17:DG$192)+SUMIF('6. OPERATION'!$B$17:$B$149,$C1018,'6. OPERATION'!CJ$17:CJ$149)+SUMIF('8. FACILIT'!$B$18:$B$50,$C1018,'8. FACILIT'!AK$18:AK$50)</f>
        <v>0</v>
      </c>
      <c r="I1034" s="135">
        <f>SUMIF('5. PERSON'!$B$17:$B$192,$C1018,'5. PERSON'!DH$17:DH$192)+SUMIF('6. OPERATION'!$B$17:$B$149,$C1018,'6. OPERATION'!CK$17:CK$149)+SUMIF('8. FACILIT'!$B$18:$B$50,$C1018,'8. FACILIT'!AL$18:AL$50)</f>
        <v>0</v>
      </c>
      <c r="J1034" s="135">
        <f>SUMIF('5. PERSON'!$B$17:$B$192,$C1018,'5. PERSON'!DI$17:DI$192)+SUMIF('6. OPERATION'!$B$17:$B$149,$C1018,'6. OPERATION'!CL$17:CL$149)+SUMIF('8. FACILIT'!$B$18:$B$50,$C1018,'8. FACILIT'!AM$18:AM$50)</f>
        <v>0</v>
      </c>
      <c r="K1034" s="135">
        <f>SUMIF('5. PERSON'!$B$17:$B$192,$C1018,'5. PERSON'!DJ$17:DJ$192)+SUMIF('6. OPERATION'!$B$17:$B$149,$C1018,'6. OPERATION'!CM$17:CM$149)+SUMIF('8. FACILIT'!$B$18:$B$50,$C1018,'8. FACILIT'!AN$18:AN$50)</f>
        <v>0</v>
      </c>
      <c r="L1034" s="135">
        <f>SUMIF('5. PERSON'!$B$17:$B$192,$C1018,'5. PERSON'!DK$17:DK$192)+SUMIF('6. OPERATION'!$B$17:$B$149,$C1018,'6. OPERATION'!CN$17:CN$149)+SUMIF('8. FACILIT'!$B$18:$B$50,$C1018,'8. FACILIT'!AO$18:AO$50)</f>
        <v>0</v>
      </c>
      <c r="M1034" s="117">
        <f t="shared" si="212"/>
        <v>0</v>
      </c>
    </row>
    <row r="1035" spans="2:15" s="1" customFormat="1" ht="13.2" x14ac:dyDescent="0.25">
      <c r="B1035" s="728" t="str">
        <f>IF('1. INTRO'!I$2="English",(IF(('5. PERSON'!CN$193+'6. OPERATION'!BQ$150)&gt;0,"Indirect","")),IF(('5. PERSON'!CN$193+'6. OPERATION'!BQ$150)&gt;0,"Indirekt",""))</f>
        <v/>
      </c>
      <c r="C1035" s="729">
        <f>SUMIF('5. PERSON'!$B$17:$B$192,$C1018,'5. PERSON'!CD$17:CD$192)+SUMIF('6. OPERATION'!$B$17:$B$149,$C1018,'6. OPERATION'!BG$17:BG$149)</f>
        <v>0</v>
      </c>
      <c r="D1035" s="729">
        <f>SUMIF('5. PERSON'!$B$17:$B$192,$C1018,'5. PERSON'!CE$17:CE$192)+SUMIF('6. OPERATION'!$B$17:$B$149,$C1018,'6. OPERATION'!BH$17:BH$149)</f>
        <v>0</v>
      </c>
      <c r="E1035" s="729">
        <f>SUMIF('5. PERSON'!$B$17:$B$192,$C1018,'5. PERSON'!CF$17:CF$192)+SUMIF('6. OPERATION'!$B$17:$B$149,$C1018,'6. OPERATION'!BI$17:BI$149)</f>
        <v>0</v>
      </c>
      <c r="F1035" s="729">
        <f>SUMIF('5. PERSON'!$B$17:$B$192,$C1018,'5. PERSON'!CG$17:CG$192)+SUMIF('6. OPERATION'!$B$17:$B$149,$C1018,'6. OPERATION'!BJ$17:BJ$149)</f>
        <v>0</v>
      </c>
      <c r="G1035" s="729">
        <f>SUMIF('5. PERSON'!$B$17:$B$192,$C1018,'5. PERSON'!CH$17:CH$192)+SUMIF('6. OPERATION'!$B$17:$B$149,$C1018,'6. OPERATION'!BK$17:BK$149)</f>
        <v>0</v>
      </c>
      <c r="H1035" s="729">
        <f>SUMIF('5. PERSON'!$B$17:$B$192,$C1018,'5. PERSON'!CI$17:CI$192)+SUMIF('6. OPERATION'!$B$17:$B$149,$C1018,'6. OPERATION'!BL$17:BL$149)</f>
        <v>0</v>
      </c>
      <c r="I1035" s="729">
        <f>SUMIF('5. PERSON'!$B$17:$B$192,$C1018,'5. PERSON'!CJ$17:CJ$192)+SUMIF('6. OPERATION'!$B$17:$B$149,$C1018,'6. OPERATION'!BM$17:BM$149)</f>
        <v>0</v>
      </c>
      <c r="J1035" s="729">
        <f>SUMIF('5. PERSON'!$B$17:$B$192,$C1018,'5. PERSON'!CK$17:CK$192)+SUMIF('6. OPERATION'!$B$17:$B$149,$C1018,'6. OPERATION'!BN$17:BN$149)</f>
        <v>0</v>
      </c>
      <c r="K1035" s="729">
        <f>SUMIF('5. PERSON'!$B$17:$B$192,$C1018,'5. PERSON'!CL$17:CL$192)+SUMIF('6. OPERATION'!$B$17:$B$149,$C1018,'6. OPERATION'!BO$17:BO$149)</f>
        <v>0</v>
      </c>
      <c r="L1035" s="729">
        <f>SUMIF('5. PERSON'!$B$17:$B$192,$C1018,'5. PERSON'!CM$17:CM$192)+SUMIF('6. OPERATION'!$B$17:$B$149,$C1018,'6. OPERATION'!BP$17:BP$149)</f>
        <v>0</v>
      </c>
      <c r="M1035" s="733">
        <f t="shared" si="212"/>
        <v>0</v>
      </c>
    </row>
    <row r="1036" spans="2:15" s="3" customFormat="1" ht="13.2" x14ac:dyDescent="0.25">
      <c r="B1036" s="124" t="s">
        <v>113</v>
      </c>
      <c r="C1036" s="102">
        <f>SUM(C1029:C1035)</f>
        <v>0</v>
      </c>
      <c r="D1036" s="102">
        <f t="shared" ref="D1036:M1036" si="213">SUM(D1029:D1035)</f>
        <v>0</v>
      </c>
      <c r="E1036" s="102">
        <f t="shared" si="213"/>
        <v>0</v>
      </c>
      <c r="F1036" s="102">
        <f t="shared" si="213"/>
        <v>0</v>
      </c>
      <c r="G1036" s="102">
        <f t="shared" si="213"/>
        <v>0</v>
      </c>
      <c r="H1036" s="102">
        <f t="shared" si="213"/>
        <v>0</v>
      </c>
      <c r="I1036" s="102">
        <f t="shared" si="213"/>
        <v>0</v>
      </c>
      <c r="J1036" s="102">
        <f t="shared" si="213"/>
        <v>0</v>
      </c>
      <c r="K1036" s="102">
        <f t="shared" si="213"/>
        <v>0</v>
      </c>
      <c r="L1036" s="102">
        <f t="shared" si="213"/>
        <v>0</v>
      </c>
      <c r="M1036" s="125">
        <f t="shared" si="213"/>
        <v>0</v>
      </c>
      <c r="N1036" s="23"/>
      <c r="O1036" s="23"/>
    </row>
    <row r="1037" spans="2:15" s="3" customFormat="1" ht="6" customHeight="1" x14ac:dyDescent="0.25">
      <c r="B1037" s="136"/>
      <c r="C1037" s="127"/>
      <c r="D1037" s="127"/>
      <c r="E1037" s="127"/>
      <c r="F1037" s="127"/>
      <c r="G1037" s="127"/>
      <c r="H1037" s="127"/>
      <c r="I1037" s="127"/>
      <c r="J1037" s="127"/>
      <c r="K1037" s="127"/>
      <c r="L1037" s="127"/>
      <c r="M1037" s="137"/>
    </row>
    <row r="1038" spans="2:15" s="3" customFormat="1" ht="13.2" x14ac:dyDescent="0.25">
      <c r="B1038" s="129" t="str">
        <f>IF('1. INTRO'!I$2="English","Full cost","Full kostnad")</f>
        <v>Full cost</v>
      </c>
      <c r="C1038" s="127"/>
      <c r="D1038" s="127"/>
      <c r="E1038" s="127"/>
      <c r="F1038" s="127"/>
      <c r="G1038" s="127"/>
      <c r="H1038" s="127"/>
      <c r="I1038" s="127"/>
      <c r="J1038" s="127"/>
      <c r="K1038" s="127"/>
      <c r="L1038" s="127"/>
      <c r="M1038" s="137"/>
    </row>
    <row r="1039" spans="2:15" s="3" customFormat="1" ht="13.2" x14ac:dyDescent="0.25">
      <c r="B1039" s="722" t="str">
        <f>IF('1. INTRO'!I$2="English","Salary including social costs (LKP)","Lön inklusive LKP")</f>
        <v>Salary including social costs (LKP)</v>
      </c>
      <c r="C1039" s="734">
        <f>C1021+C1030+C1031</f>
        <v>0</v>
      </c>
      <c r="D1039" s="734">
        <f t="shared" ref="D1039:L1039" si="214">D1021+D1030+D1031</f>
        <v>0</v>
      </c>
      <c r="E1039" s="734">
        <f t="shared" si="214"/>
        <v>0</v>
      </c>
      <c r="F1039" s="734">
        <f t="shared" si="214"/>
        <v>0</v>
      </c>
      <c r="G1039" s="734">
        <f t="shared" si="214"/>
        <v>0</v>
      </c>
      <c r="H1039" s="734">
        <f t="shared" si="214"/>
        <v>0</v>
      </c>
      <c r="I1039" s="734">
        <f t="shared" si="214"/>
        <v>0</v>
      </c>
      <c r="J1039" s="734">
        <f t="shared" si="214"/>
        <v>0</v>
      </c>
      <c r="K1039" s="734">
        <f t="shared" si="214"/>
        <v>0</v>
      </c>
      <c r="L1039" s="734">
        <f t="shared" si="214"/>
        <v>0</v>
      </c>
      <c r="M1039" s="724">
        <f>SUM(C1039:L1039)</f>
        <v>0</v>
      </c>
    </row>
    <row r="1040" spans="2:15" s="3" customFormat="1" ht="13.2" x14ac:dyDescent="0.25">
      <c r="B1040" s="80" t="str">
        <f>IF('1. INTRO'!I$2="English","Operating","Drift")</f>
        <v>Operating</v>
      </c>
      <c r="C1040" s="139">
        <f>C1022+C1032</f>
        <v>0</v>
      </c>
      <c r="D1040" s="139">
        <f t="shared" ref="D1040:L1040" si="215">D1022+D1032</f>
        <v>0</v>
      </c>
      <c r="E1040" s="139">
        <f t="shared" si="215"/>
        <v>0</v>
      </c>
      <c r="F1040" s="139">
        <f t="shared" si="215"/>
        <v>0</v>
      </c>
      <c r="G1040" s="139">
        <f t="shared" si="215"/>
        <v>0</v>
      </c>
      <c r="H1040" s="139">
        <f t="shared" si="215"/>
        <v>0</v>
      </c>
      <c r="I1040" s="139">
        <f t="shared" si="215"/>
        <v>0</v>
      </c>
      <c r="J1040" s="139">
        <f t="shared" si="215"/>
        <v>0</v>
      </c>
      <c r="K1040" s="139">
        <f t="shared" si="215"/>
        <v>0</v>
      </c>
      <c r="L1040" s="139">
        <f t="shared" si="215"/>
        <v>0</v>
      </c>
      <c r="M1040" s="117">
        <f>SUM(C1040:L1040)</f>
        <v>0</v>
      </c>
    </row>
    <row r="1041" spans="2:13" s="3" customFormat="1" ht="13.2" x14ac:dyDescent="0.25">
      <c r="B1041" s="725" t="str">
        <f>IF('1. INTRO'!I$2="English","Equipment","Utrustning")</f>
        <v>Equipment</v>
      </c>
      <c r="C1041" s="735">
        <f>C1023+C1033</f>
        <v>0</v>
      </c>
      <c r="D1041" s="735">
        <f t="shared" ref="D1041:L1041" si="216">D1023+D1033</f>
        <v>0</v>
      </c>
      <c r="E1041" s="735">
        <f t="shared" si="216"/>
        <v>0</v>
      </c>
      <c r="F1041" s="735">
        <f t="shared" si="216"/>
        <v>0</v>
      </c>
      <c r="G1041" s="735">
        <f t="shared" si="216"/>
        <v>0</v>
      </c>
      <c r="H1041" s="735">
        <f t="shared" si="216"/>
        <v>0</v>
      </c>
      <c r="I1041" s="735">
        <f t="shared" si="216"/>
        <v>0</v>
      </c>
      <c r="J1041" s="735">
        <f t="shared" si="216"/>
        <v>0</v>
      </c>
      <c r="K1041" s="735">
        <f t="shared" si="216"/>
        <v>0</v>
      </c>
      <c r="L1041" s="735">
        <f t="shared" si="216"/>
        <v>0</v>
      </c>
      <c r="M1041" s="727">
        <f>SUM(C1041:L1041)</f>
        <v>0</v>
      </c>
    </row>
    <row r="1042" spans="2:13" s="3" customFormat="1" ht="13.2" x14ac:dyDescent="0.25">
      <c r="B1042" s="80" t="str">
        <f>IF('1. INTRO'!I$2="English","Facility","Lokal")</f>
        <v>Facility</v>
      </c>
      <c r="C1042" s="139">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39">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39">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39">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39">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39">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39">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39">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39">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39">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117">
        <f>SUM(C1042:L1042)</f>
        <v>0</v>
      </c>
    </row>
    <row r="1043" spans="2:13" s="3" customFormat="1" ht="13.2" x14ac:dyDescent="0.25">
      <c r="B1043" s="736" t="str">
        <f>IF('1. INTRO'!I$2="English","Indirect","Indirekt")</f>
        <v>Indirect</v>
      </c>
      <c r="C1043" s="737">
        <f>SUMIF('5. PERSON'!$B$17:$B$192,$C1018,'5. PERSON'!BR$17:BR$192)+SUMIF('5. PERSON'!$B$17:$B$192,$C1018,'5. PERSON'!CD$17:CD$192)+SUMIF('6. OPERATION'!$B$17:$B$149,$C1018,'6. OPERATION'!AU$17:AU$149)+SUMIF('6. OPERATION'!$B$17:$B$149,$C1018,'6. OPERATION'!BG$17:BG$149)</f>
        <v>0</v>
      </c>
      <c r="D1043" s="737">
        <f>SUMIF('5. PERSON'!$B$17:$B$192,$C1018,'5. PERSON'!BS$17:BS$192)+SUMIF('5. PERSON'!$B$17:$B$192,$C1018,'5. PERSON'!CE$17:CE$192)+SUMIF('6. OPERATION'!$B$17:$B$149,$C1018,'6. OPERATION'!AV$17:AV$149)+SUMIF('6. OPERATION'!$B$17:$B$149,$C1018,'6. OPERATION'!BH$17:BH$149)</f>
        <v>0</v>
      </c>
      <c r="E1043" s="737">
        <f>SUMIF('5. PERSON'!$B$17:$B$192,$C1018,'5. PERSON'!BT$17:BT$192)+SUMIF('5. PERSON'!$B$17:$B$192,$C1018,'5. PERSON'!CF$17:CF$192)+SUMIF('6. OPERATION'!$B$17:$B$149,$C1018,'6. OPERATION'!AW$17:AW$149)+SUMIF('6. OPERATION'!$B$17:$B$149,$C1018,'6. OPERATION'!BI$17:BI$149)</f>
        <v>0</v>
      </c>
      <c r="F1043" s="737">
        <f>SUMIF('5. PERSON'!$B$17:$B$192,$C1018,'5. PERSON'!BU$17:BU$192)+SUMIF('5. PERSON'!$B$17:$B$192,$C1018,'5. PERSON'!CG$17:CG$192)+SUMIF('6. OPERATION'!$B$17:$B$149,$C1018,'6. OPERATION'!AX$17:AX$149)+SUMIF('6. OPERATION'!$B$17:$B$149,$C1018,'6. OPERATION'!BJ$17:BJ$149)</f>
        <v>0</v>
      </c>
      <c r="G1043" s="737">
        <f>SUMIF('5. PERSON'!$B$17:$B$192,$C1018,'5. PERSON'!BV$17:BV$192)+SUMIF('5. PERSON'!$B$17:$B$192,$C1018,'5. PERSON'!CH$17:CH$192)+SUMIF('6. OPERATION'!$B$17:$B$149,$C1018,'6. OPERATION'!AY$17:AY$149)+SUMIF('6. OPERATION'!$B$17:$B$149,$C1018,'6. OPERATION'!BK$17:BK$149)</f>
        <v>0</v>
      </c>
      <c r="H1043" s="737">
        <f>SUMIF('5. PERSON'!$B$17:$B$192,$C1018,'5. PERSON'!BW$17:BW$192)+SUMIF('5. PERSON'!$B$17:$B$192,$C1018,'5. PERSON'!CI$17:CI$192)+SUMIF('6. OPERATION'!$B$17:$B$149,$C1018,'6. OPERATION'!AZ$17:AZ$149)+SUMIF('6. OPERATION'!$B$17:$B$149,$C1018,'6. OPERATION'!BL$17:BL$149)</f>
        <v>0</v>
      </c>
      <c r="I1043" s="737">
        <f>SUMIF('5. PERSON'!$B$17:$B$192,$C1018,'5. PERSON'!BX$17:BX$192)+SUMIF('5. PERSON'!$B$17:$B$192,$C1018,'5. PERSON'!CJ$17:CJ$192)+SUMIF('6. OPERATION'!$B$17:$B$149,$C1018,'6. OPERATION'!BA$17:BA$149)+SUMIF('6. OPERATION'!$B$17:$B$149,$C1018,'6. OPERATION'!BM$17:BM$149)</f>
        <v>0</v>
      </c>
      <c r="J1043" s="737">
        <f>SUMIF('5. PERSON'!$B$17:$B$192,$C1018,'5. PERSON'!BY$17:BY$192)+SUMIF('5. PERSON'!$B$17:$B$192,$C1018,'5. PERSON'!CK$17:CK$192)+SUMIF('6. OPERATION'!$B$17:$B$149,$C1018,'6. OPERATION'!BB$17:BB$149)+SUMIF('6. OPERATION'!$B$17:$B$149,$C1018,'6. OPERATION'!BN$17:BN$149)</f>
        <v>0</v>
      </c>
      <c r="K1043" s="737">
        <f>SUMIF('5. PERSON'!$B$17:$B$192,$C1018,'5. PERSON'!BZ$17:BZ$192)+SUMIF('5. PERSON'!$B$17:$B$192,$C1018,'5. PERSON'!CL$17:CL$192)+SUMIF('6. OPERATION'!$B$17:$B$149,$C1018,'6. OPERATION'!BC$17:BC$149)+SUMIF('6. OPERATION'!$B$17:$B$149,$C1018,'6. OPERATION'!BO$17:BO$149)</f>
        <v>0</v>
      </c>
      <c r="L1043" s="737">
        <f>SUMIF('5. PERSON'!$B$17:$B$192,$C1018,'5. PERSON'!CA$17:CA$192)+SUMIF('5. PERSON'!$B$17:$B$192,$C1018,'5. PERSON'!CM$17:CM$192)+SUMIF('6. OPERATION'!$B$17:$B$149,$C1018,'6. OPERATION'!BD$17:BD$149)+SUMIF('6. OPERATION'!$B$17:$B$149,$C1018,'6. OPERATION'!BP$17:BP$149)</f>
        <v>0</v>
      </c>
      <c r="M1043" s="733">
        <f>SUM(C1043:L1043)</f>
        <v>0</v>
      </c>
    </row>
    <row r="1044" spans="2:13" s="3" customFormat="1" ht="13.2" x14ac:dyDescent="0.25">
      <c r="B1044" s="124" t="s">
        <v>113</v>
      </c>
      <c r="C1044" s="88">
        <f>SUM(C1039:C1043)</f>
        <v>0</v>
      </c>
      <c r="D1044" s="88">
        <f t="shared" ref="D1044:M1044" si="217">SUM(D1039:D1043)</f>
        <v>0</v>
      </c>
      <c r="E1044" s="88">
        <f t="shared" si="217"/>
        <v>0</v>
      </c>
      <c r="F1044" s="88">
        <f t="shared" si="217"/>
        <v>0</v>
      </c>
      <c r="G1044" s="88">
        <f t="shared" si="217"/>
        <v>0</v>
      </c>
      <c r="H1044" s="88">
        <f t="shared" si="217"/>
        <v>0</v>
      </c>
      <c r="I1044" s="88">
        <f t="shared" si="217"/>
        <v>0</v>
      </c>
      <c r="J1044" s="88">
        <f t="shared" si="217"/>
        <v>0</v>
      </c>
      <c r="K1044" s="88">
        <f t="shared" si="217"/>
        <v>0</v>
      </c>
      <c r="L1044" s="88">
        <f t="shared" si="217"/>
        <v>0</v>
      </c>
      <c r="M1044" s="142">
        <f t="shared" si="217"/>
        <v>0</v>
      </c>
    </row>
    <row r="1045" spans="2:13" s="3" customFormat="1" ht="13.2" x14ac:dyDescent="0.25">
      <c r="B1045" s="287"/>
      <c r="C1045" s="37"/>
      <c r="D1045" s="37"/>
      <c r="E1045" s="37"/>
      <c r="F1045" s="37"/>
      <c r="G1045" s="37"/>
      <c r="H1045" s="37"/>
      <c r="I1045" s="37"/>
      <c r="J1045" s="37"/>
      <c r="K1045" s="37"/>
      <c r="L1045" s="37"/>
      <c r="M1045" s="37"/>
    </row>
    <row r="1046" spans="2:13" s="3" customFormat="1" ht="12.75" customHeight="1" x14ac:dyDescent="0.25">
      <c r="B1046" s="656" t="str">
        <f>IF('1. INTRO'!I$2="English","Co-funding share in full cost ","Medfinansieringsandel i full kostnad ")</f>
        <v xml:space="preserve">Co-funding share in full cost </v>
      </c>
      <c r="C1046" s="143" t="str">
        <f t="shared" ref="C1046:M1046" si="218">IF(C1044&gt;0,C1036/C1044,"")</f>
        <v/>
      </c>
      <c r="D1046" s="143" t="str">
        <f t="shared" si="218"/>
        <v/>
      </c>
      <c r="E1046" s="143" t="str">
        <f t="shared" si="218"/>
        <v/>
      </c>
      <c r="F1046" s="143" t="str">
        <f t="shared" si="218"/>
        <v/>
      </c>
      <c r="G1046" s="143" t="str">
        <f t="shared" si="218"/>
        <v/>
      </c>
      <c r="H1046" s="143" t="str">
        <f t="shared" si="218"/>
        <v/>
      </c>
      <c r="I1046" s="143" t="str">
        <f t="shared" si="218"/>
        <v/>
      </c>
      <c r="J1046" s="143" t="str">
        <f t="shared" si="218"/>
        <v/>
      </c>
      <c r="K1046" s="143" t="str">
        <f t="shared" si="218"/>
        <v/>
      </c>
      <c r="L1046" s="143" t="str">
        <f t="shared" si="218"/>
        <v/>
      </c>
      <c r="M1046" s="143" t="str">
        <f t="shared" si="218"/>
        <v/>
      </c>
    </row>
    <row r="1047" spans="2:13" ht="12.75" customHeight="1" x14ac:dyDescent="0.2"/>
    <row r="1048" spans="2:13" ht="12.75" customHeight="1" x14ac:dyDescent="0.25">
      <c r="D1048" s="656" t="str">
        <f>IF('1. INTRO'!I$2="English","Co-funding need in average per year: ","Medfinansieringsbehov i genomsnitt per år: ")</f>
        <v xml:space="preserve">Co-funding need in average per year: </v>
      </c>
      <c r="E1048" s="92" t="str">
        <f>IF(M1036=0,"",M1036/(DATEDIF('2. START'!C$18,'2. START'!C$19,"d")/365))</f>
        <v/>
      </c>
      <c r="H1048" s="656" t="str">
        <f>IF('1. INTRO'!I$2="English","Co-funding need 1/3 of total: ","Medfinansieringsbehov 1/3 av totalt: ")</f>
        <v xml:space="preserve">Co-funding need 1/3 of total: </v>
      </c>
      <c r="I1048" s="92">
        <f>M1036/3</f>
        <v>0</v>
      </c>
      <c r="L1048" s="287" t="str">
        <f>IF('1. INTRO'!I$2="English","Co-funding need total: ","Medfinansieringsbehov totalt: ")</f>
        <v xml:space="preserve">Co-funding need total: </v>
      </c>
      <c r="M1048" s="92">
        <f>M1036</f>
        <v>0</v>
      </c>
    </row>
    <row r="1049" spans="2:13" ht="12.75" customHeight="1" x14ac:dyDescent="0.25">
      <c r="B1049" s="53" t="str">
        <f>IF('1. INTRO'!I$2="English","Co-funding sources","Medfinansieringskällor")</f>
        <v>Co-funding sources</v>
      </c>
    </row>
    <row r="1050" spans="2:13" ht="12.75" customHeight="1" x14ac:dyDescent="0.25">
      <c r="B1050" s="225"/>
      <c r="C1050" s="226"/>
      <c r="D1050" s="226"/>
      <c r="E1050" s="226"/>
      <c r="F1050" s="226"/>
      <c r="G1050" s="226"/>
      <c r="H1050" s="226"/>
      <c r="I1050" s="226"/>
      <c r="J1050" s="226"/>
      <c r="K1050" s="226"/>
      <c r="L1050" s="227"/>
      <c r="M1050" s="168">
        <f>SUM(C1050:L1050)</f>
        <v>0</v>
      </c>
    </row>
    <row r="1051" spans="2:13" ht="12.75" customHeight="1" x14ac:dyDescent="0.25">
      <c r="B1051" s="228"/>
      <c r="C1051" s="229"/>
      <c r="D1051" s="229"/>
      <c r="E1051" s="229"/>
      <c r="F1051" s="229"/>
      <c r="G1051" s="229"/>
      <c r="H1051" s="229"/>
      <c r="I1051" s="229"/>
      <c r="J1051" s="229"/>
      <c r="K1051" s="229"/>
      <c r="L1051" s="230"/>
      <c r="M1051" s="727">
        <f t="shared" ref="M1051:M1054" si="219">SUM(C1051:L1051)</f>
        <v>0</v>
      </c>
    </row>
    <row r="1052" spans="2:13" ht="12.75" customHeight="1" x14ac:dyDescent="0.25">
      <c r="B1052" s="231"/>
      <c r="C1052" s="232"/>
      <c r="D1052" s="232"/>
      <c r="E1052" s="232"/>
      <c r="F1052" s="232"/>
      <c r="G1052" s="232"/>
      <c r="H1052" s="232"/>
      <c r="I1052" s="232"/>
      <c r="J1052" s="232"/>
      <c r="K1052" s="232"/>
      <c r="L1052" s="233"/>
      <c r="M1052" s="117">
        <f t="shared" si="219"/>
        <v>0</v>
      </c>
    </row>
    <row r="1053" spans="2:13" ht="12.75" customHeight="1" x14ac:dyDescent="0.25">
      <c r="B1053" s="228"/>
      <c r="C1053" s="229"/>
      <c r="D1053" s="229"/>
      <c r="E1053" s="229"/>
      <c r="F1053" s="229"/>
      <c r="G1053" s="229"/>
      <c r="H1053" s="229"/>
      <c r="I1053" s="229"/>
      <c r="J1053" s="229"/>
      <c r="K1053" s="229"/>
      <c r="L1053" s="230"/>
      <c r="M1053" s="727">
        <f t="shared" si="219"/>
        <v>0</v>
      </c>
    </row>
    <row r="1054" spans="2:13" ht="12.75" customHeight="1" x14ac:dyDescent="0.25">
      <c r="B1054" s="93"/>
      <c r="C1054" s="232"/>
      <c r="D1054" s="232"/>
      <c r="E1054" s="232"/>
      <c r="F1054" s="232"/>
      <c r="G1054" s="232"/>
      <c r="H1054" s="232"/>
      <c r="I1054" s="232"/>
      <c r="J1054" s="232"/>
      <c r="K1054" s="232"/>
      <c r="L1054" s="233"/>
      <c r="M1054" s="117">
        <f t="shared" si="219"/>
        <v>0</v>
      </c>
    </row>
    <row r="1055" spans="2:13" ht="12.75" customHeight="1" x14ac:dyDescent="0.25">
      <c r="B1055" s="84" t="str">
        <f>IF('1. INTRO'!I$2="English","Total co-funding ","Total medfinansiering ")</f>
        <v xml:space="preserve">Total co-funding </v>
      </c>
      <c r="C1055" s="87">
        <f t="shared" ref="C1055:M1055" si="220">SUM(C1050:C1054)</f>
        <v>0</v>
      </c>
      <c r="D1055" s="87">
        <f t="shared" si="220"/>
        <v>0</v>
      </c>
      <c r="E1055" s="87">
        <f t="shared" si="220"/>
        <v>0</v>
      </c>
      <c r="F1055" s="87">
        <f t="shared" si="220"/>
        <v>0</v>
      </c>
      <c r="G1055" s="87">
        <f t="shared" si="220"/>
        <v>0</v>
      </c>
      <c r="H1055" s="87">
        <f t="shared" si="220"/>
        <v>0</v>
      </c>
      <c r="I1055" s="87">
        <f t="shared" si="220"/>
        <v>0</v>
      </c>
      <c r="J1055" s="87">
        <f t="shared" si="220"/>
        <v>0</v>
      </c>
      <c r="K1055" s="87">
        <f t="shared" si="220"/>
        <v>0</v>
      </c>
      <c r="L1055" s="87">
        <f t="shared" si="220"/>
        <v>0</v>
      </c>
      <c r="M1055" s="142">
        <f t="shared" si="220"/>
        <v>0</v>
      </c>
    </row>
    <row r="1056" spans="2:13" ht="12.75" customHeight="1" x14ac:dyDescent="0.2"/>
    <row r="1057" spans="2:13" ht="12.75" customHeight="1" x14ac:dyDescent="0.2">
      <c r="B1057" s="667" t="str">
        <f>IF('1. INTRO'!I$2="English","Calculation comments","Kalkylkommentarer")</f>
        <v>Calculation comments</v>
      </c>
    </row>
    <row r="1058" spans="2:13" ht="12.75" customHeight="1" x14ac:dyDescent="0.2">
      <c r="B1058" s="1142"/>
      <c r="C1058" s="1143"/>
      <c r="D1058" s="1143"/>
      <c r="E1058" s="1143"/>
      <c r="F1058" s="1143"/>
      <c r="G1058" s="1143"/>
      <c r="H1058" s="1143"/>
      <c r="I1058" s="1143"/>
      <c r="J1058" s="1143"/>
      <c r="K1058" s="1143"/>
      <c r="L1058" s="1143"/>
      <c r="M1058" s="1144"/>
    </row>
    <row r="1059" spans="2:13" ht="12.75" customHeight="1" x14ac:dyDescent="0.2">
      <c r="B1059" s="1145"/>
      <c r="C1059" s="1226"/>
      <c r="D1059" s="1226"/>
      <c r="E1059" s="1226"/>
      <c r="F1059" s="1226"/>
      <c r="G1059" s="1226"/>
      <c r="H1059" s="1226"/>
      <c r="I1059" s="1226"/>
      <c r="J1059" s="1226"/>
      <c r="K1059" s="1226"/>
      <c r="L1059" s="1226"/>
      <c r="M1059" s="1147"/>
    </row>
    <row r="1060" spans="2:13" ht="12.75" customHeight="1" x14ac:dyDescent="0.2">
      <c r="B1060" s="1145"/>
      <c r="C1060" s="1226"/>
      <c r="D1060" s="1226"/>
      <c r="E1060" s="1226"/>
      <c r="F1060" s="1226"/>
      <c r="G1060" s="1226"/>
      <c r="H1060" s="1226"/>
      <c r="I1060" s="1226"/>
      <c r="J1060" s="1226"/>
      <c r="K1060" s="1226"/>
      <c r="L1060" s="1226"/>
      <c r="M1060" s="1147"/>
    </row>
    <row r="1061" spans="2:13" ht="12.75" customHeight="1" x14ac:dyDescent="0.2">
      <c r="B1061" s="1145"/>
      <c r="C1061" s="1226"/>
      <c r="D1061" s="1226"/>
      <c r="E1061" s="1226"/>
      <c r="F1061" s="1226"/>
      <c r="G1061" s="1226"/>
      <c r="H1061" s="1226"/>
      <c r="I1061" s="1226"/>
      <c r="J1061" s="1226"/>
      <c r="K1061" s="1226"/>
      <c r="L1061" s="1226"/>
      <c r="M1061" s="1147"/>
    </row>
    <row r="1062" spans="2:13" ht="12.75" customHeight="1" x14ac:dyDescent="0.2">
      <c r="B1062" s="1148"/>
      <c r="C1062" s="1149"/>
      <c r="D1062" s="1149"/>
      <c r="E1062" s="1149"/>
      <c r="F1062" s="1149"/>
      <c r="G1062" s="1149"/>
      <c r="H1062" s="1149"/>
      <c r="I1062" s="1149"/>
      <c r="J1062" s="1149"/>
      <c r="K1062" s="1149"/>
      <c r="L1062" s="1149"/>
      <c r="M1062" s="1150"/>
    </row>
    <row r="1064" spans="2:13" s="3" customFormat="1" ht="12.75" customHeight="1" x14ac:dyDescent="0.25">
      <c r="B1064" s="313" t="str">
        <f>'3. PARTNER'!C$4</f>
        <v xml:space="preserve">Project: </v>
      </c>
      <c r="C1064" s="1062" t="str">
        <f>'3. PARTNER'!D$4</f>
        <v/>
      </c>
      <c r="D1064" s="1001"/>
      <c r="E1064" s="1001"/>
      <c r="F1064" s="1001"/>
      <c r="G1064" s="1001"/>
      <c r="H1064" s="1001"/>
      <c r="I1064" s="1001"/>
      <c r="J1064" s="1001"/>
      <c r="K1064" s="1001"/>
      <c r="L1064" s="1001"/>
      <c r="M1064" s="1001"/>
    </row>
    <row r="1065" spans="2:13" s="3" customFormat="1" ht="13.2" x14ac:dyDescent="0.25">
      <c r="B1065" s="313" t="str">
        <f>'3. PARTNER'!C$5</f>
        <v xml:space="preserve">Calculation for: </v>
      </c>
      <c r="C1065" s="1062" t="str">
        <f>'3. PARTNER'!D$5</f>
        <v>APPLICATION</v>
      </c>
      <c r="D1065" s="1001"/>
      <c r="E1065" s="268"/>
      <c r="F1065" s="268"/>
      <c r="G1065" s="268"/>
      <c r="H1065" s="268"/>
      <c r="I1065" s="268"/>
      <c r="J1065" s="268"/>
      <c r="K1065" s="268"/>
      <c r="L1065" s="268"/>
      <c r="M1065" s="268"/>
    </row>
    <row r="1066" spans="2:13" s="3" customFormat="1" ht="13.2" x14ac:dyDescent="0.25">
      <c r="B1066" s="35" t="str">
        <f>'3. PARTNER'!C$6</f>
        <v xml:space="preserve">Project leader: </v>
      </c>
      <c r="C1066" s="1062" t="str">
        <f>'3. PARTNER'!D$6</f>
        <v/>
      </c>
      <c r="D1066" s="1001"/>
      <c r="E1066" s="1001"/>
      <c r="F1066" s="1001"/>
      <c r="G1066" s="1001"/>
      <c r="H1066" s="1001"/>
      <c r="I1066" s="1001"/>
      <c r="J1066" s="1001"/>
      <c r="K1066" s="1001"/>
      <c r="L1066" s="1001"/>
      <c r="M1066" s="1001"/>
    </row>
    <row r="1067" spans="2:13" s="3" customFormat="1" ht="13.2" x14ac:dyDescent="0.25">
      <c r="B1067" s="313" t="str">
        <f>'5. PERSON'!B$7</f>
        <v xml:space="preserve">Amounts in: </v>
      </c>
      <c r="C1067" s="655" t="str">
        <f>'5. PERSON'!C$7</f>
        <v>SEK</v>
      </c>
      <c r="D1067" s="268"/>
      <c r="E1067" s="268"/>
      <c r="F1067" s="268"/>
      <c r="G1067" s="234"/>
      <c r="H1067" s="234"/>
      <c r="I1067" s="270"/>
      <c r="J1067" s="270"/>
      <c r="K1067" s="270"/>
      <c r="L1067" s="270"/>
      <c r="M1067" s="270"/>
    </row>
    <row r="1068" spans="2:13" s="3" customFormat="1" ht="13.2" x14ac:dyDescent="0.25">
      <c r="B1068" s="313"/>
      <c r="C1068" s="1053" t="str">
        <f>'3. PARTNER'!D$7</f>
        <v>Other basic data about the project is in sheet 2.</v>
      </c>
      <c r="D1068" s="1001"/>
      <c r="E1068" s="1001"/>
      <c r="F1068" s="1001"/>
      <c r="G1068" s="234"/>
      <c r="H1068" s="234"/>
      <c r="I1068" s="270"/>
      <c r="J1068" s="270"/>
      <c r="K1068" s="270"/>
      <c r="L1068" s="251" t="s">
        <v>4</v>
      </c>
      <c r="M1068" s="270"/>
    </row>
    <row r="1069" spans="2:13" ht="12.75" customHeight="1" x14ac:dyDescent="0.2">
      <c r="J1069" s="252" t="s">
        <v>322</v>
      </c>
      <c r="K1069" s="252" t="s">
        <v>323</v>
      </c>
      <c r="L1069" s="252" t="str">
        <f>IF('1. INTRO'!I$2="English","months","månader")</f>
        <v>months</v>
      </c>
    </row>
    <row r="1070" spans="2:13" s="3" customFormat="1" ht="13.8" x14ac:dyDescent="0.25">
      <c r="B1070" s="157" t="str">
        <f>IF('1. INTRO'!I$2="English","Project costs","Projektkostnader")</f>
        <v>Project costs</v>
      </c>
      <c r="C1070" s="668" t="str">
        <f>A34</f>
        <v>595NJ</v>
      </c>
      <c r="D1070" s="1227" t="str">
        <f>B34</f>
        <v>Urban and Rural Development NJ</v>
      </c>
      <c r="E1070" s="1001"/>
      <c r="F1070" s="1004"/>
      <c r="G1070" s="1004"/>
      <c r="H1070" s="37"/>
      <c r="I1070" s="37"/>
      <c r="J1070" s="643"/>
      <c r="K1070" s="643"/>
      <c r="L1070" s="642">
        <f xml:space="preserve"> SUMIF('5. PERSON'!$B$17:$B$192,$C1070,'5. PERSON'!AE$17:AE$192)</f>
        <v>0</v>
      </c>
      <c r="M1070" s="680" t="s">
        <v>330</v>
      </c>
    </row>
    <row r="1071" spans="2:13" s="3" customFormat="1" ht="6" customHeight="1" x14ac:dyDescent="0.25">
      <c r="B1071" s="57"/>
      <c r="C1071" s="37"/>
      <c r="D1071" s="37"/>
      <c r="E1071" s="37"/>
      <c r="F1071" s="37"/>
      <c r="G1071" s="37"/>
      <c r="H1071" s="37"/>
      <c r="I1071" s="37"/>
      <c r="J1071" s="37"/>
      <c r="K1071" s="37"/>
      <c r="L1071" s="37"/>
      <c r="M1071" s="37"/>
    </row>
    <row r="1072" spans="2:13" s="3" customFormat="1" ht="13.2" x14ac:dyDescent="0.25">
      <c r="B1072" s="110" t="str">
        <f>IF('1. INTRO'!I$2="English","Costs to be covered by funding body","Kostnader att täckas av finansiär")</f>
        <v>Costs to be covered by funding body</v>
      </c>
      <c r="C1072" s="111">
        <f>'5. PERSON'!G$15</f>
        <v>1900</v>
      </c>
      <c r="D1072" s="111" t="str">
        <f>'5. PERSON'!H$15</f>
        <v/>
      </c>
      <c r="E1072" s="111" t="str">
        <f>'5. PERSON'!I$15</f>
        <v/>
      </c>
      <c r="F1072" s="111" t="str">
        <f>'5. PERSON'!J$15</f>
        <v/>
      </c>
      <c r="G1072" s="111" t="str">
        <f>'5. PERSON'!K$15</f>
        <v/>
      </c>
      <c r="H1072" s="111" t="str">
        <f>'5. PERSON'!L$15</f>
        <v/>
      </c>
      <c r="I1072" s="111" t="str">
        <f>'5. PERSON'!M$15</f>
        <v/>
      </c>
      <c r="J1072" s="111" t="str">
        <f>'5. PERSON'!N$15</f>
        <v/>
      </c>
      <c r="K1072" s="111" t="str">
        <f>'5. PERSON'!O$15</f>
        <v/>
      </c>
      <c r="L1072" s="111" t="str">
        <f>'5. PERSON'!P$15</f>
        <v/>
      </c>
      <c r="M1072" s="112" t="s">
        <v>2</v>
      </c>
    </row>
    <row r="1073" spans="2:15" s="3" customFormat="1" ht="12.75" customHeight="1" x14ac:dyDescent="0.25">
      <c r="B1073" s="722" t="str">
        <f>IF('1. INTRO'!I$2="English","Salary including social costs (LKP)","Lön inklusive LKP")</f>
        <v>Salary including social costs (LKP)</v>
      </c>
      <c r="C1073" s="723">
        <f>IF('2. START'!$C$14&gt;0,SUMIF('5. PERSON'!$B$17:$B$192,$C1070,'5. PERSON'!DN$17:DN$192),SUMIF('5. PERSON'!$B$17:$B$192,$C1070,'5. PERSON'!AT$17:AT$192))</f>
        <v>0</v>
      </c>
      <c r="D1073" s="723">
        <f>IF('2. START'!$C$14&gt;0,SUMIF('5. PERSON'!$B$17:$B$192,$C1070,'5. PERSON'!DO$17:DO$192),SUMIF('5. PERSON'!$B$17:$B$192,$C1070,'5. PERSON'!AU$17:AU$192))</f>
        <v>0</v>
      </c>
      <c r="E1073" s="723">
        <f>IF('2. START'!$C$14&gt;0,SUMIF('5. PERSON'!$B$17:$B$192,$C1070,'5. PERSON'!DP$17:DP$192),SUMIF('5. PERSON'!$B$17:$B$192,$C1070,'5. PERSON'!AV$17:AV$192))</f>
        <v>0</v>
      </c>
      <c r="F1073" s="723">
        <f>IF('2. START'!$C$14&gt;0,SUMIF('5. PERSON'!$B$17:$B$192,$C1070,'5. PERSON'!DQ$17:DQ$192),SUMIF('5. PERSON'!$B$17:$B$192,$C1070,'5. PERSON'!AW$17:AW$192))</f>
        <v>0</v>
      </c>
      <c r="G1073" s="723">
        <f>IF('2. START'!$C$14&gt;0,SUMIF('5. PERSON'!$B$17:$B$192,$C1070,'5. PERSON'!DR$17:DR$192),SUMIF('5. PERSON'!$B$17:$B$192,$C1070,'5. PERSON'!AX$17:AX$192))</f>
        <v>0</v>
      </c>
      <c r="H1073" s="723">
        <f>IF('2. START'!$C$14&gt;0,SUMIF('5. PERSON'!$B$17:$B$192,$C1070,'5. PERSON'!DS$17:DS$192),SUMIF('5. PERSON'!$B$17:$B$192,$C1070,'5. PERSON'!AY$17:AY$192))</f>
        <v>0</v>
      </c>
      <c r="I1073" s="723">
        <f>IF('2. START'!$C$14&gt;0,SUMIF('5. PERSON'!$B$17:$B$192,$C1070,'5. PERSON'!DT$17:DT$192),SUMIF('5. PERSON'!$B$17:$B$192,$C1070,'5. PERSON'!AZ$17:AZ$192))</f>
        <v>0</v>
      </c>
      <c r="J1073" s="723">
        <f>IF('2. START'!$C$14&gt;0,SUMIF('5. PERSON'!$B$17:$B$192,$C1070,'5. PERSON'!DU$17:DU$192),SUMIF('5. PERSON'!$B$17:$B$192,$C1070,'5. PERSON'!BA$17:BA$192))</f>
        <v>0</v>
      </c>
      <c r="K1073" s="723">
        <f>IF('2. START'!$C$14&gt;0,SUMIF('5. PERSON'!$B$17:$B$192,$C1070,'5. PERSON'!DV$17:DV$192),SUMIF('5. PERSON'!$B$17:$B$192,$C1070,'5. PERSON'!BB$17:BB$192))</f>
        <v>0</v>
      </c>
      <c r="L1073" s="723">
        <f>IF('2. START'!$C$14&gt;0,SUMIF('5. PERSON'!$B$17:$B$192,$C1070,'5. PERSON'!DW$17:DW$192),SUMIF('5. PERSON'!$B$17:$B$192,$C1070,'5. PERSON'!BC$17:BC$192))</f>
        <v>0</v>
      </c>
      <c r="M1073" s="724">
        <f t="shared" ref="M1073:M1078" si="221">SUM(C1073:L1073)</f>
        <v>0</v>
      </c>
      <c r="O1073" s="4"/>
    </row>
    <row r="1074" spans="2:15" s="3" customFormat="1" ht="12.75" customHeight="1" x14ac:dyDescent="0.25">
      <c r="B1074" s="80" t="str">
        <f>IF('1. INTRO'!I$2="English","Operating","Drift")</f>
        <v>Operating</v>
      </c>
      <c r="C1074" s="116">
        <f>SUMIF('6. OPERATION'!$B$17:$B$149,$C1070,'6. OPERATION'!W$17:W$149)</f>
        <v>0</v>
      </c>
      <c r="D1074" s="116">
        <f>SUMIF('6. OPERATION'!$B$17:$B$149,$C1070,'6. OPERATION'!X$17:X$149)</f>
        <v>0</v>
      </c>
      <c r="E1074" s="116">
        <f>SUMIF('6. OPERATION'!$B$17:$B$149,$C1070,'6. OPERATION'!Y$17:Y$149)</f>
        <v>0</v>
      </c>
      <c r="F1074" s="116">
        <f>SUMIF('6. OPERATION'!$B$17:$B$149,$C1070,'6. OPERATION'!Z$17:Z$149)</f>
        <v>0</v>
      </c>
      <c r="G1074" s="116">
        <f>SUMIF('6. OPERATION'!$B$17:$B$149,$C1070,'6. OPERATION'!AA$17:AA$149)</f>
        <v>0</v>
      </c>
      <c r="H1074" s="116">
        <f>SUMIF('6. OPERATION'!$B$17:$B$149,$C1070,'6. OPERATION'!AB$17:AB$149)</f>
        <v>0</v>
      </c>
      <c r="I1074" s="116">
        <f>SUMIF('6. OPERATION'!$B$17:$B$149,$C1070,'6. OPERATION'!AC$17:AC$149)</f>
        <v>0</v>
      </c>
      <c r="J1074" s="116">
        <f>SUMIF('6. OPERATION'!$B$17:$B$149,$C1070,'6. OPERATION'!AD$17:AD$149)</f>
        <v>0</v>
      </c>
      <c r="K1074" s="116">
        <f>SUMIF('6. OPERATION'!$B$17:$B$149,$C1070,'6. OPERATION'!AE$17:AE$149)</f>
        <v>0</v>
      </c>
      <c r="L1074" s="116">
        <f>SUMIF('6. OPERATION'!$B$17:$B$149,$C1070,'6. OPERATION'!AF$17:AF$149)</f>
        <v>0</v>
      </c>
      <c r="M1074" s="117">
        <f t="shared" si="221"/>
        <v>0</v>
      </c>
    </row>
    <row r="1075" spans="2:15" s="3" customFormat="1" ht="13.2" x14ac:dyDescent="0.25">
      <c r="B1075" s="725" t="str">
        <f>IF('1. INTRO'!I$2="English","Equipment","Utrustning")</f>
        <v>Equipment</v>
      </c>
      <c r="C1075" s="726">
        <f>SUMIF('7. INVEST'!$B$17:$B$49,$C1070,'7. INVEST'!W$17:W$49)</f>
        <v>0</v>
      </c>
      <c r="D1075" s="726">
        <f>SUMIF('7. INVEST'!$B$17:$B$49,$C1070,'7. INVEST'!X$17:X$49)</f>
        <v>0</v>
      </c>
      <c r="E1075" s="726">
        <f>SUMIF('7. INVEST'!$B$17:$B$49,$C1070,'7. INVEST'!Y$17:Y$49)</f>
        <v>0</v>
      </c>
      <c r="F1075" s="726">
        <f>SUMIF('7. INVEST'!$B$17:$B$49,$C1070,'7. INVEST'!Z$17:Z$49)</f>
        <v>0</v>
      </c>
      <c r="G1075" s="726">
        <f>SUMIF('7. INVEST'!$B$17:$B$49,$C1070,'7. INVEST'!AA$17:AA$49)</f>
        <v>0</v>
      </c>
      <c r="H1075" s="726">
        <f>SUMIF('7. INVEST'!$B$17:$B$49,$C1070,'7. INVEST'!AB$17:AB$49)</f>
        <v>0</v>
      </c>
      <c r="I1075" s="726">
        <f>SUMIF('7. INVEST'!$B$17:$B$49,$C1070,'7. INVEST'!AC$17:AC$49)</f>
        <v>0</v>
      </c>
      <c r="J1075" s="726">
        <f>SUMIF('7. INVEST'!$B$17:$B$49,$C1070,'7. INVEST'!AD$17:AD$49)</f>
        <v>0</v>
      </c>
      <c r="K1075" s="726">
        <f>SUMIF('7. INVEST'!$B$17:$B$49,$C1070,'7. INVEST'!AE$17:AE$49)</f>
        <v>0</v>
      </c>
      <c r="L1075" s="726">
        <f>SUMIF('7. INVEST'!$B$17:$B$49,$C1070,'7. INVEST'!AF$17:AF$49)</f>
        <v>0</v>
      </c>
      <c r="M1075" s="727">
        <f t="shared" si="221"/>
        <v>0</v>
      </c>
    </row>
    <row r="1076" spans="2:15" s="3" customFormat="1" ht="13.2" x14ac:dyDescent="0.25">
      <c r="B1076" s="121" t="str">
        <f>IF('1. INTRO'!I$2="English",(IF('2. START'!C$11="NO","Facility accepted as direct cost by funding body","Facility")),IF('2. START'!C$11="NO","Lokal accepterad som direkt kostnad av finansiär","Lokal"))</f>
        <v>Facility</v>
      </c>
      <c r="C1076" s="116">
        <f>IF('2. START'!$C$11="NO",SUMIF('8. FACILIT'!$B$18:$B$50,$C1070,'8. FACILIT'!T$18:T$50),SUMIF('5. PERSON'!$B$17:$B$192,$C1070,'5. PERSON'!CP$17:CP$192)+SUMIF('6. OPERATION'!$B$17:$B$149,$C1070,'6. OPERATION'!BS$17:BS$149)+SUMIF('8. FACILIT'!$B$18:$B$50,$C1070,'8. FACILIT'!T$18:T$50))</f>
        <v>0</v>
      </c>
      <c r="D1076" s="116">
        <f>IF('2. START'!$C$11="NO",SUMIF('8. FACILIT'!$B$18:$B$50,$C1070,'8. FACILIT'!U$18:U$50),SUMIF('5. PERSON'!$B$17:$B$192,$C1070,'5. PERSON'!CQ$17:CQ$192)+SUMIF('6. OPERATION'!$B$17:$B$149,$C1070,'6. OPERATION'!BT$17:BT$149)+SUMIF('8. FACILIT'!$B$18:$B$50,$C1070,'8. FACILIT'!U$18:U$50))</f>
        <v>0</v>
      </c>
      <c r="E1076" s="116">
        <f>IF('2. START'!$C$11="NO",SUMIF('8. FACILIT'!$B$18:$B$50,$C1070,'8. FACILIT'!V$18:V$50),SUMIF('5. PERSON'!$B$17:$B$192,$C1070,'5. PERSON'!CR$17:CR$192)+SUMIF('6. OPERATION'!$B$17:$B$149,$C1070,'6. OPERATION'!BU$17:BU$149)+SUMIF('8. FACILIT'!$B$18:$B$50,$C1070,'8. FACILIT'!V$18:V$50))</f>
        <v>0</v>
      </c>
      <c r="F1076" s="116">
        <f>IF('2. START'!$C$11="NO",SUMIF('8. FACILIT'!$B$18:$B$50,$C1070,'8. FACILIT'!W$18:W$50),SUMIF('5. PERSON'!$B$17:$B$192,$C1070,'5. PERSON'!CS$17:CS$192)+SUMIF('6. OPERATION'!$B$17:$B$149,$C1070,'6. OPERATION'!BV$17:BV$149)+SUMIF('8. FACILIT'!$B$18:$B$50,$C1070,'8. FACILIT'!W$18:W$50))</f>
        <v>0</v>
      </c>
      <c r="G1076" s="116">
        <f>IF('2. START'!$C$11="NO",SUMIF('8. FACILIT'!$B$18:$B$50,$C1070,'8. FACILIT'!X$18:X$50),SUMIF('5. PERSON'!$B$17:$B$192,$C1070,'5. PERSON'!CT$17:CT$192)+SUMIF('6. OPERATION'!$B$17:$B$149,$C1070,'6. OPERATION'!BW$17:BW$149)+SUMIF('8. FACILIT'!$B$18:$B$50,$C1070,'8. FACILIT'!X$18:X$50))</f>
        <v>0</v>
      </c>
      <c r="H1076" s="116">
        <f>IF('2. START'!$C$11="NO",SUMIF('8. FACILIT'!$B$18:$B$50,$C1070,'8. FACILIT'!Y$18:Y$50),SUMIF('5. PERSON'!$B$17:$B$192,$C1070,'5. PERSON'!CU$17:CU$192)+SUMIF('6. OPERATION'!$B$17:$B$149,$C1070,'6. OPERATION'!BX$17:BX$149)+SUMIF('8. FACILIT'!$B$18:$B$50,$C1070,'8. FACILIT'!Y$18:Y$50))</f>
        <v>0</v>
      </c>
      <c r="I1076" s="116">
        <f>IF('2. START'!$C$11="NO",SUMIF('8. FACILIT'!$B$18:$B$50,$C1070,'8. FACILIT'!Z$18:Z$50),SUMIF('5. PERSON'!$B$17:$B$192,$C1070,'5. PERSON'!CV$17:CV$192)+SUMIF('6. OPERATION'!$B$17:$B$149,$C1070,'6. OPERATION'!BY$17:BY$149)+SUMIF('8. FACILIT'!$B$18:$B$50,$C1070,'8. FACILIT'!Z$18:Z$50))</f>
        <v>0</v>
      </c>
      <c r="J1076" s="116">
        <f>IF('2. START'!$C$11="NO",SUMIF('8. FACILIT'!$B$18:$B$50,$C1070,'8. FACILIT'!AA$18:AA$50),SUMIF('5. PERSON'!$B$17:$B$192,$C1070,'5. PERSON'!CW$17:CW$192)+SUMIF('6. OPERATION'!$B$17:$B$149,$C1070,'6. OPERATION'!BZ$17:BZ$149)+SUMIF('8. FACILIT'!$B$18:$B$50,$C1070,'8. FACILIT'!AA$18:AA$50))</f>
        <v>0</v>
      </c>
      <c r="K1076" s="116">
        <f>IF('2. START'!$C$11="NO",SUMIF('8. FACILIT'!$B$18:$B$50,$C1070,'8. FACILIT'!AB$18:AB$50),SUMIF('5. PERSON'!$B$17:$B$192,$C1070,'5. PERSON'!CX$17:CX$192)+SUMIF('6. OPERATION'!$B$17:$B$149,$C1070,'6. OPERATION'!CA$17:CA$149)+SUMIF('8. FACILIT'!$B$18:$B$50,$C1070,'8. FACILIT'!AB$18:AB$50))</f>
        <v>0</v>
      </c>
      <c r="L1076" s="116">
        <f>IF('2. START'!$C$11="NO",SUMIF('8. FACILIT'!$B$18:$B$50,$C1070,'8. FACILIT'!AC$18:AC$50),SUMIF('5. PERSON'!$B$17:$B$192,$C1070,'5. PERSON'!CY$17:CY$192)+SUMIF('6. OPERATION'!$B$17:$B$149,$C1070,'6. OPERATION'!CB$17:CB$149)+SUMIF('8. FACILIT'!$B$18:$B$50,$C1070,'8. FACILIT'!AC$18:AC$50))</f>
        <v>0</v>
      </c>
      <c r="M1076" s="117">
        <f t="shared" si="221"/>
        <v>0</v>
      </c>
    </row>
    <row r="1077" spans="2:15" s="3" customFormat="1" ht="13.2" x14ac:dyDescent="0.25">
      <c r="B1077" s="728" t="str">
        <f>IF('1. INTRO'!I$2="English",(IF('2. START'!C$11="NO","Indirect and facility charge accepted as OH by funding body","Indirect")),IF('2. START'!C$11="NO","Indirekt och lokalpåslag accepterade som OH av finansiär","Indirekt"))</f>
        <v>Indirect</v>
      </c>
      <c r="C1077" s="729">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729">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729">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729">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729">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729">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729">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729">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729">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729">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727">
        <f t="shared" si="221"/>
        <v>0</v>
      </c>
    </row>
    <row r="1078" spans="2:15" s="3" customFormat="1" ht="13.2" x14ac:dyDescent="0.25">
      <c r="B1078" s="124" t="s">
        <v>113</v>
      </c>
      <c r="C1078" s="102">
        <f>SUM(C1073:C1077)</f>
        <v>0</v>
      </c>
      <c r="D1078" s="102">
        <f t="shared" ref="D1078:L1078" si="222">SUM(D1073:D1077)</f>
        <v>0</v>
      </c>
      <c r="E1078" s="102">
        <f t="shared" si="222"/>
        <v>0</v>
      </c>
      <c r="F1078" s="102">
        <f t="shared" si="222"/>
        <v>0</v>
      </c>
      <c r="G1078" s="102">
        <f t="shared" si="222"/>
        <v>0</v>
      </c>
      <c r="H1078" s="102">
        <f t="shared" si="222"/>
        <v>0</v>
      </c>
      <c r="I1078" s="102">
        <f t="shared" si="222"/>
        <v>0</v>
      </c>
      <c r="J1078" s="102">
        <f t="shared" si="222"/>
        <v>0</v>
      </c>
      <c r="K1078" s="102">
        <f t="shared" si="222"/>
        <v>0</v>
      </c>
      <c r="L1078" s="102">
        <f t="shared" si="222"/>
        <v>0</v>
      </c>
      <c r="M1078" s="125">
        <f t="shared" si="221"/>
        <v>0</v>
      </c>
    </row>
    <row r="1079" spans="2:15" s="3" customFormat="1" ht="6" customHeight="1" x14ac:dyDescent="0.25">
      <c r="B1079" s="126"/>
      <c r="C1079" s="127"/>
      <c r="D1079" s="127"/>
      <c r="E1079" s="127"/>
      <c r="F1079" s="127"/>
      <c r="G1079" s="127"/>
      <c r="H1079" s="127"/>
      <c r="I1079" s="127"/>
      <c r="J1079" s="127"/>
      <c r="K1079" s="127"/>
      <c r="L1079" s="127"/>
      <c r="M1079" s="128"/>
    </row>
    <row r="1080" spans="2:15" s="3" customFormat="1" ht="13.2" x14ac:dyDescent="0.25">
      <c r="B1080" s="129" t="str">
        <f>IF('1. INTRO'!I$2="English","Costs to be co-funded","Kostnader att medfinansiera")</f>
        <v>Costs to be co-funded</v>
      </c>
      <c r="C1080" s="86"/>
      <c r="D1080" s="86"/>
      <c r="E1080" s="86"/>
      <c r="F1080" s="86"/>
      <c r="G1080" s="86"/>
      <c r="H1080" s="86"/>
      <c r="I1080" s="86"/>
      <c r="J1080" s="86"/>
      <c r="K1080" s="86"/>
      <c r="L1080" s="86"/>
      <c r="M1080" s="130"/>
    </row>
    <row r="1081" spans="2:15" s="3" customFormat="1" ht="13.2" x14ac:dyDescent="0.25">
      <c r="B1081" s="730" t="str">
        <f>IF('1. INTRO'!I$2="English",(IF('2. START'!C$11="NO","Indirect and facility charge not accepted as OH by funding body","")),IF('2. START'!C$11="NO","Indirekt och lokalpåslag inte accepterade som OH av finansiär",""))</f>
        <v/>
      </c>
      <c r="C1081" s="731">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731">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731">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731">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731">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731">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731">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731">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731">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731">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724">
        <f t="shared" ref="M1081:M1087" si="223">SUM(C1081:L1081)</f>
        <v>0</v>
      </c>
    </row>
    <row r="1082" spans="2:15" s="3" customFormat="1" ht="12.75" customHeight="1" x14ac:dyDescent="0.25">
      <c r="B1082" s="132" t="str">
        <f>IF('1. INTRO'!I$2="English",(IF('2. START'!C$14&gt;0,"Social costs (LKP) not accepted by funding body","")),IF('2. START'!C$14&gt;0,"LKP som inte accepteras av finansiär",""))</f>
        <v/>
      </c>
      <c r="C1082" s="133">
        <f>IF('2. START'!$C$14&gt;0,SUMIF('5. PERSON'!$B$17:$B$192,$C1070,'5. PERSON'!AT$17:AT$192)-SUMIF('5. PERSON'!$B$17:$B$192,$C1070,'5. PERSON'!DN$17:DN$192),0)</f>
        <v>0</v>
      </c>
      <c r="D1082" s="133">
        <f>IF('2. START'!$C$14&gt;0,SUMIF('5. PERSON'!$B$17:$B$192,$C1070,'5. PERSON'!AU$17:AU$192)-SUMIF('5. PERSON'!$B$17:$B$192,$C1070,'5. PERSON'!DO$17:DO$192),0)</f>
        <v>0</v>
      </c>
      <c r="E1082" s="133">
        <f>IF('2. START'!$C$14&gt;0,SUMIF('5. PERSON'!$B$17:$B$192,$C1070,'5. PERSON'!AV$17:AV$192)-SUMIF('5. PERSON'!$B$17:$B$192,$C1070,'5. PERSON'!DP$17:DP$192),0)</f>
        <v>0</v>
      </c>
      <c r="F1082" s="133">
        <f>IF('2. START'!$C$14&gt;0,SUMIF('5. PERSON'!$B$17:$B$192,$C1070,'5. PERSON'!AW$17:AW$192)-SUMIF('5. PERSON'!$B$17:$B$192,$C1070,'5. PERSON'!DQ$17:DQ$192),0)</f>
        <v>0</v>
      </c>
      <c r="G1082" s="133">
        <f>IF('2. START'!$C$14&gt;0,SUMIF('5. PERSON'!$B$17:$B$192,$C1070,'5. PERSON'!AX$17:AX$192)-SUMIF('5. PERSON'!$B$17:$B$192,$C1070,'5. PERSON'!DR$17:DR$192),0)</f>
        <v>0</v>
      </c>
      <c r="H1082" s="133">
        <f>IF('2. START'!$C$14&gt;0,SUMIF('5. PERSON'!$B$17:$B$192,$C1070,'5. PERSON'!AY$17:AY$192)-SUMIF('5. PERSON'!$B$17:$B$192,$C1070,'5. PERSON'!DS$17:DS$192),0)</f>
        <v>0</v>
      </c>
      <c r="I1082" s="133">
        <f>IF('2. START'!$C$14&gt;0,SUMIF('5. PERSON'!$B$17:$B$192,$C1070,'5. PERSON'!AZ$17:AZ$192)-SUMIF('5. PERSON'!$B$17:$B$192,$C1070,'5. PERSON'!DT$17:DT$192),0)</f>
        <v>0</v>
      </c>
      <c r="J1082" s="133">
        <f>IF('2. START'!$C$14&gt;0,SUMIF('5. PERSON'!$B$17:$B$192,$C1070,'5. PERSON'!BA$17:BA$192)-SUMIF('5. PERSON'!$B$17:$B$192,$C1070,'5. PERSON'!DU$17:DU$192),0)</f>
        <v>0</v>
      </c>
      <c r="K1082" s="133">
        <f>IF('2. START'!$C$14&gt;0,SUMIF('5. PERSON'!$B$17:$B$192,$C1070,'5. PERSON'!BB$17:BB$192)-SUMIF('5. PERSON'!$B$17:$B$192,$C1070,'5. PERSON'!DV$17:DV$192),0)</f>
        <v>0</v>
      </c>
      <c r="L1082" s="133">
        <f>IF('2. START'!$C$14&gt;0,SUMIF('5. PERSON'!$B$17:$B$192,$C1070,'5. PERSON'!BC$17:BC$192)-SUMIF('5. PERSON'!$B$17:$B$192,$C1070,'5. PERSON'!DW$17:DW$192),0)</f>
        <v>0</v>
      </c>
      <c r="M1082" s="117">
        <f t="shared" si="223"/>
        <v>0</v>
      </c>
    </row>
    <row r="1083" spans="2:15" s="3" customFormat="1" ht="12.75" customHeight="1" x14ac:dyDescent="0.25">
      <c r="B1083" s="725" t="str">
        <f>IF('1. INTRO'!I$2="English",(IF('5. PERSON'!BP$193&gt;0,"Salary including social costs (LKP)","")),IF('5. PERSON'!BP$193&gt;0,"Lön inklusive LKP",""))</f>
        <v/>
      </c>
      <c r="C1083" s="732">
        <f>SUMIF('5. PERSON'!$B$17:$B$192,$C1070,'5. PERSON'!BF$17:BF$192)</f>
        <v>0</v>
      </c>
      <c r="D1083" s="732">
        <f>SUMIF('5. PERSON'!$B$17:$B$192,$C1070,'5. PERSON'!BG$17:BG$192)</f>
        <v>0</v>
      </c>
      <c r="E1083" s="732">
        <f>SUMIF('5. PERSON'!$B$17:$B$192,$C1070,'5. PERSON'!BH$17:BH$192)</f>
        <v>0</v>
      </c>
      <c r="F1083" s="732">
        <f>SUMIF('5. PERSON'!$B$17:$B$192,$C1070,'5. PERSON'!BI$17:BI$192)</f>
        <v>0</v>
      </c>
      <c r="G1083" s="732">
        <f>SUMIF('5. PERSON'!$B$17:$B$192,$C1070,'5. PERSON'!BJ$17:BJ$192)</f>
        <v>0</v>
      </c>
      <c r="H1083" s="732">
        <f>SUMIF('5. PERSON'!$B$17:$B$192,$C1070,'5. PERSON'!BK$17:BK$192)</f>
        <v>0</v>
      </c>
      <c r="I1083" s="732">
        <f>SUMIF('5. PERSON'!$B$17:$B$192,$C1070,'5. PERSON'!BL$17:BL$192)</f>
        <v>0</v>
      </c>
      <c r="J1083" s="732">
        <f>SUMIF('5. PERSON'!$B$17:$B$192,$C1070,'5. PERSON'!BM$17:BM$192)</f>
        <v>0</v>
      </c>
      <c r="K1083" s="732">
        <f>SUMIF('5. PERSON'!$B$17:$B$192,$C1070,'5. PERSON'!BN$17:BN$192)</f>
        <v>0</v>
      </c>
      <c r="L1083" s="732">
        <f>SUMIF('5. PERSON'!$B$17:$B$192,$C1070,'5. PERSON'!BO$17:BO$192)</f>
        <v>0</v>
      </c>
      <c r="M1083" s="727">
        <f t="shared" si="223"/>
        <v>0</v>
      </c>
    </row>
    <row r="1084" spans="2:15" s="3" customFormat="1" ht="13.2" x14ac:dyDescent="0.25">
      <c r="B1084" s="80" t="str">
        <f>IF('1. INTRO'!I$2="English",(IF('6. OPERATION'!AS$150&gt;0,"Operating","")),IF('6. OPERATION'!AS$150&gt;0,"Drift",""))</f>
        <v/>
      </c>
      <c r="C1084" s="135">
        <f>SUMIF('6. OPERATION'!$B$17:$B$149,$C1070,'6. OPERATION'!AI$17:AI$149)</f>
        <v>0</v>
      </c>
      <c r="D1084" s="135">
        <f>SUMIF('6. OPERATION'!$B$17:$B$149,$C1070,'6. OPERATION'!AJ$17:AJ$149)</f>
        <v>0</v>
      </c>
      <c r="E1084" s="135">
        <f>SUMIF('6. OPERATION'!$B$17:$B$149,$C1070,'6. OPERATION'!AK$17:AK$149)</f>
        <v>0</v>
      </c>
      <c r="F1084" s="135">
        <f>SUMIF('6. OPERATION'!$B$17:$B$149,$C1070,'6. OPERATION'!AL$17:AL$149)</f>
        <v>0</v>
      </c>
      <c r="G1084" s="135">
        <f>SUMIF('6. OPERATION'!$B$17:$B$149,$C1070,'6. OPERATION'!AM$17:AM$149)</f>
        <v>0</v>
      </c>
      <c r="H1084" s="135">
        <f>SUMIF('6. OPERATION'!$B$17:$B$149,$C1070,'6. OPERATION'!AN$17:AN$149)</f>
        <v>0</v>
      </c>
      <c r="I1084" s="135">
        <f>SUMIF('6. OPERATION'!$B$17:$B$149,$C1070,'6. OPERATION'!AO$17:AO$149)</f>
        <v>0</v>
      </c>
      <c r="J1084" s="135">
        <f>SUMIF('6. OPERATION'!$B$17:$B$149,$C1070,'6. OPERATION'!AP$17:AP$149)</f>
        <v>0</v>
      </c>
      <c r="K1084" s="135">
        <f>SUMIF('6. OPERATION'!$B$17:$B$149,$C1070,'6. OPERATION'!AQ$17:AQ$149)</f>
        <v>0</v>
      </c>
      <c r="L1084" s="135">
        <f>SUMIF('6. OPERATION'!$B$17:$B$149,$C1070,'6. OPERATION'!AR$17:AR$149)</f>
        <v>0</v>
      </c>
      <c r="M1084" s="117">
        <f t="shared" si="223"/>
        <v>0</v>
      </c>
    </row>
    <row r="1085" spans="2:15" s="3" customFormat="1" ht="13.2" x14ac:dyDescent="0.25">
      <c r="B1085" s="725" t="str">
        <f>IF('1. INTRO'!I$2="English",(IF('7. INVEST'!AS$50&gt;0,"Equipment","")),IF('7. INVEST'!AS$50&gt;0,"Utrustning",""))</f>
        <v/>
      </c>
      <c r="C1085" s="732">
        <f>SUMIF('7. INVEST'!$B$17:$B$49,$C1070,'7. INVEST'!AI$17:AI$49)</f>
        <v>0</v>
      </c>
      <c r="D1085" s="732">
        <f>SUMIF('7. INVEST'!$B$17:$B$49,$C1070,'7. INVEST'!AJ$17:AJ$49)</f>
        <v>0</v>
      </c>
      <c r="E1085" s="732">
        <f>SUMIF('7. INVEST'!$B$17:$B$49,$C1070,'7. INVEST'!AK$17:AK$49)</f>
        <v>0</v>
      </c>
      <c r="F1085" s="732">
        <f>SUMIF('7. INVEST'!$B$17:$B$49,$C1070,'7. INVEST'!AL$17:AL$49)</f>
        <v>0</v>
      </c>
      <c r="G1085" s="732">
        <f>SUMIF('7. INVEST'!$B$17:$B$49,$C1070,'7. INVEST'!AM$17:AM$49)</f>
        <v>0</v>
      </c>
      <c r="H1085" s="732">
        <f>SUMIF('7. INVEST'!$B$17:$B$49,$C1070,'7. INVEST'!AN$17:AN$49)</f>
        <v>0</v>
      </c>
      <c r="I1085" s="732">
        <f>SUMIF('7. INVEST'!$B$17:$B$49,$C1070,'7. INVEST'!AO$17:AO$49)</f>
        <v>0</v>
      </c>
      <c r="J1085" s="732">
        <f>SUMIF('7. INVEST'!$B$17:$B$49,$C1070,'7. INVEST'!AP$17:AP$49)</f>
        <v>0</v>
      </c>
      <c r="K1085" s="732">
        <f>SUMIF('7. INVEST'!$B$17:$B$49,$C1070,'7. INVEST'!AQ$17:AQ$49)</f>
        <v>0</v>
      </c>
      <c r="L1085" s="732">
        <f>SUMIF('7. INVEST'!$B$17:$B$49,$C1070,'7. INVEST'!AR$17:AR$49)</f>
        <v>0</v>
      </c>
      <c r="M1085" s="727">
        <f t="shared" si="223"/>
        <v>0</v>
      </c>
    </row>
    <row r="1086" spans="2:15" s="3" customFormat="1" ht="13.2" x14ac:dyDescent="0.25">
      <c r="B1086" s="121" t="str">
        <f>IF('1. INTRO'!I$2="English",(IF('8. FACILIT'!AP$51&gt;0,"Facility","")),IF('8. FACILIT'!AP$51&gt;0,"Lokal",""))</f>
        <v/>
      </c>
      <c r="C1086" s="135">
        <f>SUMIF('5. PERSON'!$B$17:$B$192,$C1070,'5. PERSON'!DB$17:DB$192)+SUMIF('6. OPERATION'!$B$17:$B$149,$C1070,'6. OPERATION'!CE$17:CE$149)+SUMIF('8. FACILIT'!$B$18:$B$50,$C1070,'8. FACILIT'!AF$18:AF$50)</f>
        <v>0</v>
      </c>
      <c r="D1086" s="135">
        <f>SUMIF('5. PERSON'!$B$17:$B$192,$C1070,'5. PERSON'!DC$17:DC$192)+SUMIF('6. OPERATION'!$B$17:$B$149,$C1070,'6. OPERATION'!CF$17:CF$149)+SUMIF('8. FACILIT'!$B$18:$B$50,$C1070,'8. FACILIT'!AG$18:AG$50)</f>
        <v>0</v>
      </c>
      <c r="E1086" s="135">
        <f>SUMIF('5. PERSON'!$B$17:$B$192,$C1070,'5. PERSON'!DD$17:DD$192)+SUMIF('6. OPERATION'!$B$17:$B$149,$C1070,'6. OPERATION'!CG$17:CG$149)+SUMIF('8. FACILIT'!$B$18:$B$50,$C1070,'8. FACILIT'!AH$18:AH$50)</f>
        <v>0</v>
      </c>
      <c r="F1086" s="135">
        <f>SUMIF('5. PERSON'!$B$17:$B$192,$C1070,'5. PERSON'!DE$17:DE$192)+SUMIF('6. OPERATION'!$B$17:$B$149,$C1070,'6. OPERATION'!CH$17:CH$149)+SUMIF('8. FACILIT'!$B$18:$B$50,$C1070,'8. FACILIT'!AI$18:AI$50)</f>
        <v>0</v>
      </c>
      <c r="G1086" s="135">
        <f>SUMIF('5. PERSON'!$B$17:$B$192,$C1070,'5. PERSON'!DF$17:DF$192)+SUMIF('6. OPERATION'!$B$17:$B$149,$C1070,'6. OPERATION'!CI$17:CI$149)+SUMIF('8. FACILIT'!$B$18:$B$50,$C1070,'8. FACILIT'!AJ$18:AJ$50)</f>
        <v>0</v>
      </c>
      <c r="H1086" s="135">
        <f>SUMIF('5. PERSON'!$B$17:$B$192,$C1070,'5. PERSON'!DG$17:DG$192)+SUMIF('6. OPERATION'!$B$17:$B$149,$C1070,'6. OPERATION'!CJ$17:CJ$149)+SUMIF('8. FACILIT'!$B$18:$B$50,$C1070,'8. FACILIT'!AK$18:AK$50)</f>
        <v>0</v>
      </c>
      <c r="I1086" s="135">
        <f>SUMIF('5. PERSON'!$B$17:$B$192,$C1070,'5. PERSON'!DH$17:DH$192)+SUMIF('6. OPERATION'!$B$17:$B$149,$C1070,'6. OPERATION'!CK$17:CK$149)+SUMIF('8. FACILIT'!$B$18:$B$50,$C1070,'8. FACILIT'!AL$18:AL$50)</f>
        <v>0</v>
      </c>
      <c r="J1086" s="135">
        <f>SUMIF('5. PERSON'!$B$17:$B$192,$C1070,'5. PERSON'!DI$17:DI$192)+SUMIF('6. OPERATION'!$B$17:$B$149,$C1070,'6. OPERATION'!CL$17:CL$149)+SUMIF('8. FACILIT'!$B$18:$B$50,$C1070,'8. FACILIT'!AM$18:AM$50)</f>
        <v>0</v>
      </c>
      <c r="K1086" s="135">
        <f>SUMIF('5. PERSON'!$B$17:$B$192,$C1070,'5. PERSON'!DJ$17:DJ$192)+SUMIF('6. OPERATION'!$B$17:$B$149,$C1070,'6. OPERATION'!CM$17:CM$149)+SUMIF('8. FACILIT'!$B$18:$B$50,$C1070,'8. FACILIT'!AN$18:AN$50)</f>
        <v>0</v>
      </c>
      <c r="L1086" s="135">
        <f>SUMIF('5. PERSON'!$B$17:$B$192,$C1070,'5. PERSON'!DK$17:DK$192)+SUMIF('6. OPERATION'!$B$17:$B$149,$C1070,'6. OPERATION'!CN$17:CN$149)+SUMIF('8. FACILIT'!$B$18:$B$50,$C1070,'8. FACILIT'!AO$18:AO$50)</f>
        <v>0</v>
      </c>
      <c r="M1086" s="117">
        <f t="shared" si="223"/>
        <v>0</v>
      </c>
    </row>
    <row r="1087" spans="2:15" s="1" customFormat="1" ht="13.2" x14ac:dyDescent="0.25">
      <c r="B1087" s="728" t="str">
        <f>IF('1. INTRO'!I$2="English",(IF(('5. PERSON'!CN$193+'6. OPERATION'!BQ$150)&gt;0,"Indirect","")),IF(('5. PERSON'!CN$193+'6. OPERATION'!BQ$150)&gt;0,"Indirekt",""))</f>
        <v/>
      </c>
      <c r="C1087" s="729">
        <f>SUMIF('5. PERSON'!$B$17:$B$192,$C1070,'5. PERSON'!CD$17:CD$192)+SUMIF('6. OPERATION'!$B$17:$B$149,$C1070,'6. OPERATION'!BG$17:BG$149)</f>
        <v>0</v>
      </c>
      <c r="D1087" s="729">
        <f>SUMIF('5. PERSON'!$B$17:$B$192,$C1070,'5. PERSON'!CE$17:CE$192)+SUMIF('6. OPERATION'!$B$17:$B$149,$C1070,'6. OPERATION'!BH$17:BH$149)</f>
        <v>0</v>
      </c>
      <c r="E1087" s="729">
        <f>SUMIF('5. PERSON'!$B$17:$B$192,$C1070,'5. PERSON'!CF$17:CF$192)+SUMIF('6. OPERATION'!$B$17:$B$149,$C1070,'6. OPERATION'!BI$17:BI$149)</f>
        <v>0</v>
      </c>
      <c r="F1087" s="729">
        <f>SUMIF('5. PERSON'!$B$17:$B$192,$C1070,'5. PERSON'!CG$17:CG$192)+SUMIF('6. OPERATION'!$B$17:$B$149,$C1070,'6. OPERATION'!BJ$17:BJ$149)</f>
        <v>0</v>
      </c>
      <c r="G1087" s="729">
        <f>SUMIF('5. PERSON'!$B$17:$B$192,$C1070,'5. PERSON'!CH$17:CH$192)+SUMIF('6. OPERATION'!$B$17:$B$149,$C1070,'6. OPERATION'!BK$17:BK$149)</f>
        <v>0</v>
      </c>
      <c r="H1087" s="729">
        <f>SUMIF('5. PERSON'!$B$17:$B$192,$C1070,'5. PERSON'!CI$17:CI$192)+SUMIF('6. OPERATION'!$B$17:$B$149,$C1070,'6. OPERATION'!BL$17:BL$149)</f>
        <v>0</v>
      </c>
      <c r="I1087" s="729">
        <f>SUMIF('5. PERSON'!$B$17:$B$192,$C1070,'5. PERSON'!CJ$17:CJ$192)+SUMIF('6. OPERATION'!$B$17:$B$149,$C1070,'6. OPERATION'!BM$17:BM$149)</f>
        <v>0</v>
      </c>
      <c r="J1087" s="729">
        <f>SUMIF('5. PERSON'!$B$17:$B$192,$C1070,'5. PERSON'!CK$17:CK$192)+SUMIF('6. OPERATION'!$B$17:$B$149,$C1070,'6. OPERATION'!BN$17:BN$149)</f>
        <v>0</v>
      </c>
      <c r="K1087" s="729">
        <f>SUMIF('5. PERSON'!$B$17:$B$192,$C1070,'5. PERSON'!CL$17:CL$192)+SUMIF('6. OPERATION'!$B$17:$B$149,$C1070,'6. OPERATION'!BO$17:BO$149)</f>
        <v>0</v>
      </c>
      <c r="L1087" s="729">
        <f>SUMIF('5. PERSON'!$B$17:$B$192,$C1070,'5. PERSON'!CM$17:CM$192)+SUMIF('6. OPERATION'!$B$17:$B$149,$C1070,'6. OPERATION'!BP$17:BP$149)</f>
        <v>0</v>
      </c>
      <c r="M1087" s="733">
        <f t="shared" si="223"/>
        <v>0</v>
      </c>
    </row>
    <row r="1088" spans="2:15" s="3" customFormat="1" ht="13.2" x14ac:dyDescent="0.25">
      <c r="B1088" s="124" t="s">
        <v>113</v>
      </c>
      <c r="C1088" s="102">
        <f>SUM(C1081:C1087)</f>
        <v>0</v>
      </c>
      <c r="D1088" s="102">
        <f t="shared" ref="D1088:M1088" si="224">SUM(D1081:D1087)</f>
        <v>0</v>
      </c>
      <c r="E1088" s="102">
        <f t="shared" si="224"/>
        <v>0</v>
      </c>
      <c r="F1088" s="102">
        <f t="shared" si="224"/>
        <v>0</v>
      </c>
      <c r="G1088" s="102">
        <f t="shared" si="224"/>
        <v>0</v>
      </c>
      <c r="H1088" s="102">
        <f t="shared" si="224"/>
        <v>0</v>
      </c>
      <c r="I1088" s="102">
        <f t="shared" si="224"/>
        <v>0</v>
      </c>
      <c r="J1088" s="102">
        <f t="shared" si="224"/>
        <v>0</v>
      </c>
      <c r="K1088" s="102">
        <f t="shared" si="224"/>
        <v>0</v>
      </c>
      <c r="L1088" s="102">
        <f t="shared" si="224"/>
        <v>0</v>
      </c>
      <c r="M1088" s="125">
        <f t="shared" si="224"/>
        <v>0</v>
      </c>
      <c r="N1088" s="23"/>
      <c r="O1088" s="23"/>
    </row>
    <row r="1089" spans="2:13" s="3" customFormat="1" ht="6" customHeight="1" x14ac:dyDescent="0.25">
      <c r="B1089" s="136"/>
      <c r="C1089" s="127"/>
      <c r="D1089" s="127"/>
      <c r="E1089" s="127"/>
      <c r="F1089" s="127"/>
      <c r="G1089" s="127"/>
      <c r="H1089" s="127"/>
      <c r="I1089" s="127"/>
      <c r="J1089" s="127"/>
      <c r="K1089" s="127"/>
      <c r="L1089" s="127"/>
      <c r="M1089" s="137"/>
    </row>
    <row r="1090" spans="2:13" s="3" customFormat="1" ht="13.2" x14ac:dyDescent="0.25">
      <c r="B1090" s="129" t="str">
        <f>IF('1. INTRO'!I$2="English","Full cost","Full kostnad")</f>
        <v>Full cost</v>
      </c>
      <c r="C1090" s="127"/>
      <c r="D1090" s="127"/>
      <c r="E1090" s="127"/>
      <c r="F1090" s="127"/>
      <c r="G1090" s="127"/>
      <c r="H1090" s="127"/>
      <c r="I1090" s="127"/>
      <c r="J1090" s="127"/>
      <c r="K1090" s="127"/>
      <c r="L1090" s="127"/>
      <c r="M1090" s="137"/>
    </row>
    <row r="1091" spans="2:13" s="3" customFormat="1" ht="13.2" x14ac:dyDescent="0.25">
      <c r="B1091" s="722" t="str">
        <f>IF('1. INTRO'!I$2="English","Salary including social costs (LKP)","Lön inklusive LKP")</f>
        <v>Salary including social costs (LKP)</v>
      </c>
      <c r="C1091" s="734">
        <f>C1073+C1082+C1083</f>
        <v>0</v>
      </c>
      <c r="D1091" s="734">
        <f t="shared" ref="D1091:L1091" si="225">D1073+D1082+D1083</f>
        <v>0</v>
      </c>
      <c r="E1091" s="734">
        <f t="shared" si="225"/>
        <v>0</v>
      </c>
      <c r="F1091" s="734">
        <f t="shared" si="225"/>
        <v>0</v>
      </c>
      <c r="G1091" s="734">
        <f t="shared" si="225"/>
        <v>0</v>
      </c>
      <c r="H1091" s="734">
        <f t="shared" si="225"/>
        <v>0</v>
      </c>
      <c r="I1091" s="734">
        <f t="shared" si="225"/>
        <v>0</v>
      </c>
      <c r="J1091" s="734">
        <f t="shared" si="225"/>
        <v>0</v>
      </c>
      <c r="K1091" s="734">
        <f t="shared" si="225"/>
        <v>0</v>
      </c>
      <c r="L1091" s="734">
        <f t="shared" si="225"/>
        <v>0</v>
      </c>
      <c r="M1091" s="724">
        <f>SUM(C1091:L1091)</f>
        <v>0</v>
      </c>
    </row>
    <row r="1092" spans="2:13" s="3" customFormat="1" ht="13.2" x14ac:dyDescent="0.25">
      <c r="B1092" s="80" t="str">
        <f>IF('1. INTRO'!I$2="English","Operating","Drift")</f>
        <v>Operating</v>
      </c>
      <c r="C1092" s="139">
        <f>C1074+C1084</f>
        <v>0</v>
      </c>
      <c r="D1092" s="139">
        <f t="shared" ref="D1092:L1092" si="226">D1074+D1084</f>
        <v>0</v>
      </c>
      <c r="E1092" s="139">
        <f t="shared" si="226"/>
        <v>0</v>
      </c>
      <c r="F1092" s="139">
        <f t="shared" si="226"/>
        <v>0</v>
      </c>
      <c r="G1092" s="139">
        <f t="shared" si="226"/>
        <v>0</v>
      </c>
      <c r="H1092" s="139">
        <f t="shared" si="226"/>
        <v>0</v>
      </c>
      <c r="I1092" s="139">
        <f t="shared" si="226"/>
        <v>0</v>
      </c>
      <c r="J1092" s="139">
        <f t="shared" si="226"/>
        <v>0</v>
      </c>
      <c r="K1092" s="139">
        <f t="shared" si="226"/>
        <v>0</v>
      </c>
      <c r="L1092" s="139">
        <f t="shared" si="226"/>
        <v>0</v>
      </c>
      <c r="M1092" s="117">
        <f>SUM(C1092:L1092)</f>
        <v>0</v>
      </c>
    </row>
    <row r="1093" spans="2:13" s="3" customFormat="1" ht="13.2" x14ac:dyDescent="0.25">
      <c r="B1093" s="725" t="str">
        <f>IF('1. INTRO'!I$2="English","Equipment","Utrustning")</f>
        <v>Equipment</v>
      </c>
      <c r="C1093" s="735">
        <f>C1075+C1085</f>
        <v>0</v>
      </c>
      <c r="D1093" s="735">
        <f t="shared" ref="D1093:L1093" si="227">D1075+D1085</f>
        <v>0</v>
      </c>
      <c r="E1093" s="735">
        <f t="shared" si="227"/>
        <v>0</v>
      </c>
      <c r="F1093" s="735">
        <f t="shared" si="227"/>
        <v>0</v>
      </c>
      <c r="G1093" s="735">
        <f t="shared" si="227"/>
        <v>0</v>
      </c>
      <c r="H1093" s="735">
        <f t="shared" si="227"/>
        <v>0</v>
      </c>
      <c r="I1093" s="735">
        <f t="shared" si="227"/>
        <v>0</v>
      </c>
      <c r="J1093" s="735">
        <f t="shared" si="227"/>
        <v>0</v>
      </c>
      <c r="K1093" s="735">
        <f t="shared" si="227"/>
        <v>0</v>
      </c>
      <c r="L1093" s="735">
        <f t="shared" si="227"/>
        <v>0</v>
      </c>
      <c r="M1093" s="727">
        <f>SUM(C1093:L1093)</f>
        <v>0</v>
      </c>
    </row>
    <row r="1094" spans="2:13" s="3" customFormat="1" ht="13.2" x14ac:dyDescent="0.25">
      <c r="B1094" s="80" t="str">
        <f>IF('1. INTRO'!I$2="English","Facility","Lokal")</f>
        <v>Facility</v>
      </c>
      <c r="C1094" s="139">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39">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39">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39">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39">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39">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39">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39">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39">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39">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117">
        <f>SUM(C1094:L1094)</f>
        <v>0</v>
      </c>
    </row>
    <row r="1095" spans="2:13" s="3" customFormat="1" ht="13.2" x14ac:dyDescent="0.25">
      <c r="B1095" s="736" t="str">
        <f>IF('1. INTRO'!I$2="English","Indirect","Indirekt")</f>
        <v>Indirect</v>
      </c>
      <c r="C1095" s="737">
        <f>SUMIF('5. PERSON'!$B$17:$B$192,$C1070,'5. PERSON'!BR$17:BR$192)+SUMIF('5. PERSON'!$B$17:$B$192,$C1070,'5. PERSON'!CD$17:CD$192)+SUMIF('6. OPERATION'!$B$17:$B$149,$C1070,'6. OPERATION'!AU$17:AU$149)+SUMIF('6. OPERATION'!$B$17:$B$149,$C1070,'6. OPERATION'!BG$17:BG$149)</f>
        <v>0</v>
      </c>
      <c r="D1095" s="737">
        <f>SUMIF('5. PERSON'!$B$17:$B$192,$C1070,'5. PERSON'!BS$17:BS$192)+SUMIF('5. PERSON'!$B$17:$B$192,$C1070,'5. PERSON'!CE$17:CE$192)+SUMIF('6. OPERATION'!$B$17:$B$149,$C1070,'6. OPERATION'!AV$17:AV$149)+SUMIF('6. OPERATION'!$B$17:$B$149,$C1070,'6. OPERATION'!BH$17:BH$149)</f>
        <v>0</v>
      </c>
      <c r="E1095" s="737">
        <f>SUMIF('5. PERSON'!$B$17:$B$192,$C1070,'5. PERSON'!BT$17:BT$192)+SUMIF('5. PERSON'!$B$17:$B$192,$C1070,'5. PERSON'!CF$17:CF$192)+SUMIF('6. OPERATION'!$B$17:$B$149,$C1070,'6. OPERATION'!AW$17:AW$149)+SUMIF('6. OPERATION'!$B$17:$B$149,$C1070,'6. OPERATION'!BI$17:BI$149)</f>
        <v>0</v>
      </c>
      <c r="F1095" s="737">
        <f>SUMIF('5. PERSON'!$B$17:$B$192,$C1070,'5. PERSON'!BU$17:BU$192)+SUMIF('5. PERSON'!$B$17:$B$192,$C1070,'5. PERSON'!CG$17:CG$192)+SUMIF('6. OPERATION'!$B$17:$B$149,$C1070,'6. OPERATION'!AX$17:AX$149)+SUMIF('6. OPERATION'!$B$17:$B$149,$C1070,'6. OPERATION'!BJ$17:BJ$149)</f>
        <v>0</v>
      </c>
      <c r="G1095" s="737">
        <f>SUMIF('5. PERSON'!$B$17:$B$192,$C1070,'5. PERSON'!BV$17:BV$192)+SUMIF('5. PERSON'!$B$17:$B$192,$C1070,'5. PERSON'!CH$17:CH$192)+SUMIF('6. OPERATION'!$B$17:$B$149,$C1070,'6. OPERATION'!AY$17:AY$149)+SUMIF('6. OPERATION'!$B$17:$B$149,$C1070,'6. OPERATION'!BK$17:BK$149)</f>
        <v>0</v>
      </c>
      <c r="H1095" s="737">
        <f>SUMIF('5. PERSON'!$B$17:$B$192,$C1070,'5. PERSON'!BW$17:BW$192)+SUMIF('5. PERSON'!$B$17:$B$192,$C1070,'5. PERSON'!CI$17:CI$192)+SUMIF('6. OPERATION'!$B$17:$B$149,$C1070,'6. OPERATION'!AZ$17:AZ$149)+SUMIF('6. OPERATION'!$B$17:$B$149,$C1070,'6. OPERATION'!BL$17:BL$149)</f>
        <v>0</v>
      </c>
      <c r="I1095" s="737">
        <f>SUMIF('5. PERSON'!$B$17:$B$192,$C1070,'5. PERSON'!BX$17:BX$192)+SUMIF('5. PERSON'!$B$17:$B$192,$C1070,'5. PERSON'!CJ$17:CJ$192)+SUMIF('6. OPERATION'!$B$17:$B$149,$C1070,'6. OPERATION'!BA$17:BA$149)+SUMIF('6. OPERATION'!$B$17:$B$149,$C1070,'6. OPERATION'!BM$17:BM$149)</f>
        <v>0</v>
      </c>
      <c r="J1095" s="737">
        <f>SUMIF('5. PERSON'!$B$17:$B$192,$C1070,'5. PERSON'!BY$17:BY$192)+SUMIF('5. PERSON'!$B$17:$B$192,$C1070,'5. PERSON'!CK$17:CK$192)+SUMIF('6. OPERATION'!$B$17:$B$149,$C1070,'6. OPERATION'!BB$17:BB$149)+SUMIF('6. OPERATION'!$B$17:$B$149,$C1070,'6. OPERATION'!BN$17:BN$149)</f>
        <v>0</v>
      </c>
      <c r="K1095" s="737">
        <f>SUMIF('5. PERSON'!$B$17:$B$192,$C1070,'5. PERSON'!BZ$17:BZ$192)+SUMIF('5. PERSON'!$B$17:$B$192,$C1070,'5. PERSON'!CL$17:CL$192)+SUMIF('6. OPERATION'!$B$17:$B$149,$C1070,'6. OPERATION'!BC$17:BC$149)+SUMIF('6. OPERATION'!$B$17:$B$149,$C1070,'6. OPERATION'!BO$17:BO$149)</f>
        <v>0</v>
      </c>
      <c r="L1095" s="737">
        <f>SUMIF('5. PERSON'!$B$17:$B$192,$C1070,'5. PERSON'!CA$17:CA$192)+SUMIF('5. PERSON'!$B$17:$B$192,$C1070,'5. PERSON'!CM$17:CM$192)+SUMIF('6. OPERATION'!$B$17:$B$149,$C1070,'6. OPERATION'!BD$17:BD$149)+SUMIF('6. OPERATION'!$B$17:$B$149,$C1070,'6. OPERATION'!BP$17:BP$149)</f>
        <v>0</v>
      </c>
      <c r="M1095" s="733">
        <f>SUM(C1095:L1095)</f>
        <v>0</v>
      </c>
    </row>
    <row r="1096" spans="2:13" s="3" customFormat="1" ht="13.2" x14ac:dyDescent="0.25">
      <c r="B1096" s="124" t="s">
        <v>113</v>
      </c>
      <c r="C1096" s="88">
        <f>SUM(C1091:C1095)</f>
        <v>0</v>
      </c>
      <c r="D1096" s="88">
        <f t="shared" ref="D1096:M1096" si="228">SUM(D1091:D1095)</f>
        <v>0</v>
      </c>
      <c r="E1096" s="88">
        <f t="shared" si="228"/>
        <v>0</v>
      </c>
      <c r="F1096" s="88">
        <f t="shared" si="228"/>
        <v>0</v>
      </c>
      <c r="G1096" s="88">
        <f t="shared" si="228"/>
        <v>0</v>
      </c>
      <c r="H1096" s="88">
        <f t="shared" si="228"/>
        <v>0</v>
      </c>
      <c r="I1096" s="88">
        <f t="shared" si="228"/>
        <v>0</v>
      </c>
      <c r="J1096" s="88">
        <f t="shared" si="228"/>
        <v>0</v>
      </c>
      <c r="K1096" s="88">
        <f t="shared" si="228"/>
        <v>0</v>
      </c>
      <c r="L1096" s="88">
        <f t="shared" si="228"/>
        <v>0</v>
      </c>
      <c r="M1096" s="142">
        <f t="shared" si="228"/>
        <v>0</v>
      </c>
    </row>
    <row r="1097" spans="2:13" s="3" customFormat="1" ht="13.2" x14ac:dyDescent="0.25">
      <c r="B1097" s="287"/>
      <c r="C1097" s="37"/>
      <c r="D1097" s="37"/>
      <c r="E1097" s="37"/>
      <c r="F1097" s="37"/>
      <c r="G1097" s="37"/>
      <c r="H1097" s="37"/>
      <c r="I1097" s="37"/>
      <c r="J1097" s="37"/>
      <c r="K1097" s="37"/>
      <c r="L1097" s="37"/>
      <c r="M1097" s="37"/>
    </row>
    <row r="1098" spans="2:13" s="3" customFormat="1" ht="12.75" customHeight="1" x14ac:dyDescent="0.25">
      <c r="B1098" s="656" t="str">
        <f>IF('1. INTRO'!I$2="English","Co-funding share in full cost ","Medfinansieringsandel i full kostnad ")</f>
        <v xml:space="preserve">Co-funding share in full cost </v>
      </c>
      <c r="C1098" s="143" t="str">
        <f t="shared" ref="C1098:M1098" si="229">IF(C1096&gt;0,C1088/C1096,"")</f>
        <v/>
      </c>
      <c r="D1098" s="143" t="str">
        <f t="shared" si="229"/>
        <v/>
      </c>
      <c r="E1098" s="143" t="str">
        <f t="shared" si="229"/>
        <v/>
      </c>
      <c r="F1098" s="143" t="str">
        <f t="shared" si="229"/>
        <v/>
      </c>
      <c r="G1098" s="143" t="str">
        <f t="shared" si="229"/>
        <v/>
      </c>
      <c r="H1098" s="143" t="str">
        <f t="shared" si="229"/>
        <v/>
      </c>
      <c r="I1098" s="143" t="str">
        <f t="shared" si="229"/>
        <v/>
      </c>
      <c r="J1098" s="143" t="str">
        <f t="shared" si="229"/>
        <v/>
      </c>
      <c r="K1098" s="143" t="str">
        <f t="shared" si="229"/>
        <v/>
      </c>
      <c r="L1098" s="143" t="str">
        <f t="shared" si="229"/>
        <v/>
      </c>
      <c r="M1098" s="143" t="str">
        <f t="shared" si="229"/>
        <v/>
      </c>
    </row>
    <row r="1099" spans="2:13" ht="12.75" customHeight="1" x14ac:dyDescent="0.2"/>
    <row r="1100" spans="2:13" ht="12.75" customHeight="1" x14ac:dyDescent="0.25">
      <c r="D1100" s="656" t="str">
        <f>IF('1. INTRO'!I$2="English","Co-funding need in average per year: ","Medfinansieringsbehov i genomsnitt per år: ")</f>
        <v xml:space="preserve">Co-funding need in average per year: </v>
      </c>
      <c r="E1100" s="92" t="str">
        <f>IF(M1088=0,"",M1088/(DATEDIF('2. START'!C$18,'2. START'!C$19,"d")/365))</f>
        <v/>
      </c>
      <c r="H1100" s="656" t="str">
        <f>IF('1. INTRO'!I$2="English","Co-funding need 1/3 of total: ","Medfinansieringsbehov 1/3 av totalt: ")</f>
        <v xml:space="preserve">Co-funding need 1/3 of total: </v>
      </c>
      <c r="I1100" s="92">
        <f>M1088/3</f>
        <v>0</v>
      </c>
      <c r="L1100" s="287" t="str">
        <f>IF('1. INTRO'!I$2="English","Co-funding need total: ","Medfinansieringsbehov totalt: ")</f>
        <v xml:space="preserve">Co-funding need total: </v>
      </c>
      <c r="M1100" s="92">
        <f>M1088</f>
        <v>0</v>
      </c>
    </row>
    <row r="1101" spans="2:13" ht="12.75" customHeight="1" x14ac:dyDescent="0.25">
      <c r="B1101" s="53" t="str">
        <f>IF('1. INTRO'!I$2="English","Co-funding sources","Medfinansieringskällor")</f>
        <v>Co-funding sources</v>
      </c>
    </row>
    <row r="1102" spans="2:13" ht="12.75" customHeight="1" x14ac:dyDescent="0.25">
      <c r="B1102" s="225"/>
      <c r="C1102" s="226"/>
      <c r="D1102" s="226"/>
      <c r="E1102" s="226"/>
      <c r="F1102" s="226"/>
      <c r="G1102" s="226"/>
      <c r="H1102" s="226"/>
      <c r="I1102" s="226"/>
      <c r="J1102" s="226"/>
      <c r="K1102" s="226"/>
      <c r="L1102" s="227"/>
      <c r="M1102" s="168">
        <f>SUM(C1102:L1102)</f>
        <v>0</v>
      </c>
    </row>
    <row r="1103" spans="2:13" ht="12.75" customHeight="1" x14ac:dyDescent="0.25">
      <c r="B1103" s="228"/>
      <c r="C1103" s="229"/>
      <c r="D1103" s="229"/>
      <c r="E1103" s="229"/>
      <c r="F1103" s="229"/>
      <c r="G1103" s="229"/>
      <c r="H1103" s="229"/>
      <c r="I1103" s="229"/>
      <c r="J1103" s="229"/>
      <c r="K1103" s="229"/>
      <c r="L1103" s="230"/>
      <c r="M1103" s="727">
        <f t="shared" ref="M1103:M1106" si="230">SUM(C1103:L1103)</f>
        <v>0</v>
      </c>
    </row>
    <row r="1104" spans="2:13" ht="12.75" customHeight="1" x14ac:dyDescent="0.25">
      <c r="B1104" s="231"/>
      <c r="C1104" s="232"/>
      <c r="D1104" s="232"/>
      <c r="E1104" s="232"/>
      <c r="F1104" s="232"/>
      <c r="G1104" s="232"/>
      <c r="H1104" s="232"/>
      <c r="I1104" s="232"/>
      <c r="J1104" s="232"/>
      <c r="K1104" s="232"/>
      <c r="L1104" s="233"/>
      <c r="M1104" s="117">
        <f t="shared" si="230"/>
        <v>0</v>
      </c>
    </row>
    <row r="1105" spans="2:13" ht="12.75" customHeight="1" x14ac:dyDescent="0.25">
      <c r="B1105" s="228"/>
      <c r="C1105" s="229"/>
      <c r="D1105" s="229"/>
      <c r="E1105" s="229"/>
      <c r="F1105" s="229"/>
      <c r="G1105" s="229"/>
      <c r="H1105" s="229"/>
      <c r="I1105" s="229"/>
      <c r="J1105" s="229"/>
      <c r="K1105" s="229"/>
      <c r="L1105" s="230"/>
      <c r="M1105" s="727">
        <f t="shared" si="230"/>
        <v>0</v>
      </c>
    </row>
    <row r="1106" spans="2:13" ht="12.75" customHeight="1" x14ac:dyDescent="0.25">
      <c r="B1106" s="93"/>
      <c r="C1106" s="232"/>
      <c r="D1106" s="232"/>
      <c r="E1106" s="232"/>
      <c r="F1106" s="232"/>
      <c r="G1106" s="232"/>
      <c r="H1106" s="232"/>
      <c r="I1106" s="232"/>
      <c r="J1106" s="232"/>
      <c r="K1106" s="232"/>
      <c r="L1106" s="233"/>
      <c r="M1106" s="117">
        <f t="shared" si="230"/>
        <v>0</v>
      </c>
    </row>
    <row r="1107" spans="2:13" ht="12.75" customHeight="1" x14ac:dyDescent="0.25">
      <c r="B1107" s="84" t="str">
        <f>IF('1. INTRO'!I$2="English","Total co-funding ","Total medfinansiering ")</f>
        <v xml:space="preserve">Total co-funding </v>
      </c>
      <c r="C1107" s="87">
        <f t="shared" ref="C1107:M1107" si="231">SUM(C1102:C1106)</f>
        <v>0</v>
      </c>
      <c r="D1107" s="87">
        <f t="shared" si="231"/>
        <v>0</v>
      </c>
      <c r="E1107" s="87">
        <f t="shared" si="231"/>
        <v>0</v>
      </c>
      <c r="F1107" s="87">
        <f t="shared" si="231"/>
        <v>0</v>
      </c>
      <c r="G1107" s="87">
        <f t="shared" si="231"/>
        <v>0</v>
      </c>
      <c r="H1107" s="87">
        <f t="shared" si="231"/>
        <v>0</v>
      </c>
      <c r="I1107" s="87">
        <f t="shared" si="231"/>
        <v>0</v>
      </c>
      <c r="J1107" s="87">
        <f t="shared" si="231"/>
        <v>0</v>
      </c>
      <c r="K1107" s="87">
        <f t="shared" si="231"/>
        <v>0</v>
      </c>
      <c r="L1107" s="87">
        <f t="shared" si="231"/>
        <v>0</v>
      </c>
      <c r="M1107" s="142">
        <f t="shared" si="231"/>
        <v>0</v>
      </c>
    </row>
    <row r="1108" spans="2:13" ht="12.75" customHeight="1" x14ac:dyDescent="0.2"/>
    <row r="1109" spans="2:13" ht="12.75" customHeight="1" x14ac:dyDescent="0.2">
      <c r="B1109" s="667" t="str">
        <f>IF('1. INTRO'!I$2="English","Calculation comments","Kalkylkommentarer")</f>
        <v>Calculation comments</v>
      </c>
    </row>
    <row r="1110" spans="2:13" ht="12.75" customHeight="1" x14ac:dyDescent="0.2">
      <c r="B1110" s="1142"/>
      <c r="C1110" s="1143"/>
      <c r="D1110" s="1143"/>
      <c r="E1110" s="1143"/>
      <c r="F1110" s="1143"/>
      <c r="G1110" s="1143"/>
      <c r="H1110" s="1143"/>
      <c r="I1110" s="1143"/>
      <c r="J1110" s="1143"/>
      <c r="K1110" s="1143"/>
      <c r="L1110" s="1143"/>
      <c r="M1110" s="1144"/>
    </row>
    <row r="1111" spans="2:13" ht="12.75" customHeight="1" x14ac:dyDescent="0.2">
      <c r="B1111" s="1145"/>
      <c r="C1111" s="1226"/>
      <c r="D1111" s="1226"/>
      <c r="E1111" s="1226"/>
      <c r="F1111" s="1226"/>
      <c r="G1111" s="1226"/>
      <c r="H1111" s="1226"/>
      <c r="I1111" s="1226"/>
      <c r="J1111" s="1226"/>
      <c r="K1111" s="1226"/>
      <c r="L1111" s="1226"/>
      <c r="M1111" s="1147"/>
    </row>
    <row r="1112" spans="2:13" ht="12.75" customHeight="1" x14ac:dyDescent="0.2">
      <c r="B1112" s="1145"/>
      <c r="C1112" s="1226"/>
      <c r="D1112" s="1226"/>
      <c r="E1112" s="1226"/>
      <c r="F1112" s="1226"/>
      <c r="G1112" s="1226"/>
      <c r="H1112" s="1226"/>
      <c r="I1112" s="1226"/>
      <c r="J1112" s="1226"/>
      <c r="K1112" s="1226"/>
      <c r="L1112" s="1226"/>
      <c r="M1112" s="1147"/>
    </row>
    <row r="1113" spans="2:13" ht="12.75" customHeight="1" x14ac:dyDescent="0.2">
      <c r="B1113" s="1145"/>
      <c r="C1113" s="1226"/>
      <c r="D1113" s="1226"/>
      <c r="E1113" s="1226"/>
      <c r="F1113" s="1226"/>
      <c r="G1113" s="1226"/>
      <c r="H1113" s="1226"/>
      <c r="I1113" s="1226"/>
      <c r="J1113" s="1226"/>
      <c r="K1113" s="1226"/>
      <c r="L1113" s="1226"/>
      <c r="M1113" s="1147"/>
    </row>
    <row r="1114" spans="2:13" ht="12.75" customHeight="1" x14ac:dyDescent="0.2">
      <c r="B1114" s="1148"/>
      <c r="C1114" s="1149"/>
      <c r="D1114" s="1149"/>
      <c r="E1114" s="1149"/>
      <c r="F1114" s="1149"/>
      <c r="G1114" s="1149"/>
      <c r="H1114" s="1149"/>
      <c r="I1114" s="1149"/>
      <c r="J1114" s="1149"/>
      <c r="K1114" s="1149"/>
      <c r="L1114" s="1149"/>
      <c r="M1114" s="1150"/>
    </row>
    <row r="1116" spans="2:13" s="3" customFormat="1" ht="12.75" customHeight="1" x14ac:dyDescent="0.25">
      <c r="B1116" s="313" t="str">
        <f>'3. PARTNER'!C$4</f>
        <v xml:space="preserve">Project: </v>
      </c>
      <c r="C1116" s="1062" t="str">
        <f>'3. PARTNER'!D$4</f>
        <v/>
      </c>
      <c r="D1116" s="1001"/>
      <c r="E1116" s="1001"/>
      <c r="F1116" s="1001"/>
      <c r="G1116" s="1001"/>
      <c r="H1116" s="1001"/>
      <c r="I1116" s="1001"/>
      <c r="J1116" s="1001"/>
      <c r="K1116" s="1001"/>
      <c r="L1116" s="1001"/>
      <c r="M1116" s="1001"/>
    </row>
    <row r="1117" spans="2:13" s="3" customFormat="1" ht="13.2" x14ac:dyDescent="0.25">
      <c r="B1117" s="313" t="str">
        <f>'3. PARTNER'!C$5</f>
        <v xml:space="preserve">Calculation for: </v>
      </c>
      <c r="C1117" s="1062" t="str">
        <f>'3. PARTNER'!D$5</f>
        <v>APPLICATION</v>
      </c>
      <c r="D1117" s="1001"/>
      <c r="E1117" s="268"/>
      <c r="F1117" s="268"/>
      <c r="G1117" s="268"/>
      <c r="H1117" s="268"/>
      <c r="I1117" s="268"/>
      <c r="J1117" s="268"/>
      <c r="K1117" s="268"/>
      <c r="L1117" s="268"/>
      <c r="M1117" s="268"/>
    </row>
    <row r="1118" spans="2:13" s="3" customFormat="1" ht="13.2" x14ac:dyDescent="0.25">
      <c r="B1118" s="35" t="str">
        <f>'3. PARTNER'!C$6</f>
        <v xml:space="preserve">Project leader: </v>
      </c>
      <c r="C1118" s="1062" t="str">
        <f>'3. PARTNER'!D$6</f>
        <v/>
      </c>
      <c r="D1118" s="1001"/>
      <c r="E1118" s="1001"/>
      <c r="F1118" s="1001"/>
      <c r="G1118" s="1001"/>
      <c r="H1118" s="1001"/>
      <c r="I1118" s="1001"/>
      <c r="J1118" s="1001"/>
      <c r="K1118" s="1001"/>
      <c r="L1118" s="1001"/>
      <c r="M1118" s="1001"/>
    </row>
    <row r="1119" spans="2:13" s="3" customFormat="1" ht="13.2" x14ac:dyDescent="0.25">
      <c r="B1119" s="313" t="str">
        <f>'5. PERSON'!B$7</f>
        <v xml:space="preserve">Amounts in: </v>
      </c>
      <c r="C1119" s="655" t="str">
        <f>'5. PERSON'!C$7</f>
        <v>SEK</v>
      </c>
      <c r="D1119" s="268"/>
      <c r="E1119" s="268"/>
      <c r="F1119" s="268"/>
      <c r="G1119" s="234"/>
      <c r="H1119" s="234"/>
      <c r="I1119" s="270"/>
      <c r="J1119" s="270"/>
      <c r="K1119" s="270"/>
      <c r="L1119" s="270"/>
      <c r="M1119" s="270"/>
    </row>
    <row r="1120" spans="2:13" s="3" customFormat="1" ht="13.2" x14ac:dyDescent="0.25">
      <c r="B1120" s="313"/>
      <c r="C1120" s="1053" t="str">
        <f>'3. PARTNER'!D$7</f>
        <v>Other basic data about the project is in sheet 2.</v>
      </c>
      <c r="D1120" s="1001"/>
      <c r="E1120" s="1001"/>
      <c r="F1120" s="1001"/>
      <c r="G1120" s="234"/>
      <c r="H1120" s="234"/>
      <c r="I1120" s="270"/>
      <c r="J1120" s="270"/>
      <c r="K1120" s="270"/>
      <c r="L1120" s="251" t="s">
        <v>4</v>
      </c>
      <c r="M1120" s="270"/>
    </row>
    <row r="1121" spans="2:15" ht="12.75" customHeight="1" x14ac:dyDescent="0.2">
      <c r="J1121" s="252" t="s">
        <v>322</v>
      </c>
      <c r="K1121" s="252" t="s">
        <v>323</v>
      </c>
      <c r="L1121" s="252" t="str">
        <f>IF('1. INTRO'!I$2="English","months","månader")</f>
        <v>months</v>
      </c>
    </row>
    <row r="1122" spans="2:15" s="3" customFormat="1" ht="13.8" x14ac:dyDescent="0.25">
      <c r="B1122" s="157" t="str">
        <f>IF('1. INTRO'!I$2="English","Project costs","Projektkostnader")</f>
        <v>Project costs</v>
      </c>
      <c r="C1122" s="668" t="str">
        <f>A35</f>
        <v>911NJ</v>
      </c>
      <c r="D1122" s="1227" t="str">
        <f>B35</f>
        <v>Swedish Species Information Centre</v>
      </c>
      <c r="E1122" s="1001"/>
      <c r="F1122" s="1004"/>
      <c r="G1122" s="1004"/>
      <c r="H1122" s="37"/>
      <c r="I1122" s="37"/>
      <c r="J1122" s="643"/>
      <c r="K1122" s="643"/>
      <c r="L1122" s="642">
        <f>SUMIF('5. PERSON'!$B$17:$B$192,$C1122,'5. PERSON'!AE$17:AE$192)</f>
        <v>0</v>
      </c>
      <c r="M1122" s="680" t="s">
        <v>330</v>
      </c>
    </row>
    <row r="1123" spans="2:15" s="3" customFormat="1" ht="6" customHeight="1" x14ac:dyDescent="0.25">
      <c r="B1123" s="57"/>
      <c r="C1123" s="37"/>
      <c r="D1123" s="37"/>
      <c r="E1123" s="37"/>
      <c r="F1123" s="37"/>
      <c r="G1123" s="37"/>
      <c r="H1123" s="37"/>
      <c r="I1123" s="37"/>
      <c r="J1123" s="37"/>
      <c r="K1123" s="37"/>
      <c r="L1123" s="37"/>
      <c r="M1123" s="37"/>
    </row>
    <row r="1124" spans="2:15" s="3" customFormat="1" ht="13.2" x14ac:dyDescent="0.25">
      <c r="B1124" s="110" t="str">
        <f>IF('1. INTRO'!I$2="English","Costs to be covered by funding body","Kostnader att täckas av finansiär")</f>
        <v>Costs to be covered by funding body</v>
      </c>
      <c r="C1124" s="111">
        <f>'5. PERSON'!G$15</f>
        <v>1900</v>
      </c>
      <c r="D1124" s="111" t="str">
        <f>'5. PERSON'!H$15</f>
        <v/>
      </c>
      <c r="E1124" s="111" t="str">
        <f>'5. PERSON'!I$15</f>
        <v/>
      </c>
      <c r="F1124" s="111" t="str">
        <f>'5. PERSON'!J$15</f>
        <v/>
      </c>
      <c r="G1124" s="111" t="str">
        <f>'5. PERSON'!K$15</f>
        <v/>
      </c>
      <c r="H1124" s="111" t="str">
        <f>'5. PERSON'!L$15</f>
        <v/>
      </c>
      <c r="I1124" s="111" t="str">
        <f>'5. PERSON'!M$15</f>
        <v/>
      </c>
      <c r="J1124" s="111" t="str">
        <f>'5. PERSON'!N$15</f>
        <v/>
      </c>
      <c r="K1124" s="111" t="str">
        <f>'5. PERSON'!O$15</f>
        <v/>
      </c>
      <c r="L1124" s="111" t="str">
        <f>'5. PERSON'!P$15</f>
        <v/>
      </c>
      <c r="M1124" s="112" t="s">
        <v>2</v>
      </c>
    </row>
    <row r="1125" spans="2:15" s="3" customFormat="1" ht="12.75" customHeight="1" x14ac:dyDescent="0.25">
      <c r="B1125" s="722" t="str">
        <f>IF('1. INTRO'!I$2="English","Salary including social costs (LKP)","Lön inklusive LKP")</f>
        <v>Salary including social costs (LKP)</v>
      </c>
      <c r="C1125" s="723">
        <f>IF('2. START'!$C$14&gt;0,SUMIF('5. PERSON'!$B$17:$B$192,$C1122,'5. PERSON'!DN$17:DN$192),SUMIF('5. PERSON'!$B$17:$B$192,$C1122,'5. PERSON'!AT$17:AT$192))</f>
        <v>0</v>
      </c>
      <c r="D1125" s="723">
        <f>IF('2. START'!$C$14&gt;0,SUMIF('5. PERSON'!$B$17:$B$192,$C1122,'5. PERSON'!DO$17:DO$192),SUMIF('5. PERSON'!$B$17:$B$192,$C1122,'5. PERSON'!AU$17:AU$192))</f>
        <v>0</v>
      </c>
      <c r="E1125" s="723">
        <f>IF('2. START'!$C$14&gt;0,SUMIF('5. PERSON'!$B$17:$B$192,$C1122,'5. PERSON'!DP$17:DP$192),SUMIF('5. PERSON'!$B$17:$B$192,$C1122,'5. PERSON'!AV$17:AV$192))</f>
        <v>0</v>
      </c>
      <c r="F1125" s="723">
        <f>IF('2. START'!$C$14&gt;0,SUMIF('5. PERSON'!$B$17:$B$192,$C1122,'5. PERSON'!DQ$17:DQ$192),SUMIF('5. PERSON'!$B$17:$B$192,$C1122,'5. PERSON'!AW$17:AW$192))</f>
        <v>0</v>
      </c>
      <c r="G1125" s="723">
        <f>IF('2. START'!$C$14&gt;0,SUMIF('5. PERSON'!$B$17:$B$192,$C1122,'5. PERSON'!DR$17:DR$192),SUMIF('5. PERSON'!$B$17:$B$192,$C1122,'5. PERSON'!AX$17:AX$192))</f>
        <v>0</v>
      </c>
      <c r="H1125" s="723">
        <f>IF('2. START'!$C$14&gt;0,SUMIF('5. PERSON'!$B$17:$B$192,$C1122,'5. PERSON'!DS$17:DS$192),SUMIF('5. PERSON'!$B$17:$B$192,$C1122,'5. PERSON'!AY$17:AY$192))</f>
        <v>0</v>
      </c>
      <c r="I1125" s="723">
        <f>IF('2. START'!$C$14&gt;0,SUMIF('5. PERSON'!$B$17:$B$192,$C1122,'5. PERSON'!DT$17:DT$192),SUMIF('5. PERSON'!$B$17:$B$192,$C1122,'5. PERSON'!AZ$17:AZ$192))</f>
        <v>0</v>
      </c>
      <c r="J1125" s="723">
        <f>IF('2. START'!$C$14&gt;0,SUMIF('5. PERSON'!$B$17:$B$192,$C1122,'5. PERSON'!DU$17:DU$192),SUMIF('5. PERSON'!$B$17:$B$192,$C1122,'5. PERSON'!BA$17:BA$192))</f>
        <v>0</v>
      </c>
      <c r="K1125" s="723">
        <f>IF('2. START'!$C$14&gt;0,SUMIF('5. PERSON'!$B$17:$B$192,$C1122,'5. PERSON'!DV$17:DV$192),SUMIF('5. PERSON'!$B$17:$B$192,$C1122,'5. PERSON'!BB$17:BB$192))</f>
        <v>0</v>
      </c>
      <c r="L1125" s="723">
        <f>IF('2. START'!$C$14&gt;0,SUMIF('5. PERSON'!$B$17:$B$192,$C1122,'5. PERSON'!DW$17:DW$192),SUMIF('5. PERSON'!$B$17:$B$192,$C1122,'5. PERSON'!BC$17:BC$192))</f>
        <v>0</v>
      </c>
      <c r="M1125" s="724">
        <f t="shared" ref="M1125:M1130" si="232">SUM(C1125:L1125)</f>
        <v>0</v>
      </c>
      <c r="O1125" s="4"/>
    </row>
    <row r="1126" spans="2:15" s="3" customFormat="1" ht="12.75" customHeight="1" x14ac:dyDescent="0.25">
      <c r="B1126" s="80" t="str">
        <f>IF('1. INTRO'!I$2="English","Operating","Drift")</f>
        <v>Operating</v>
      </c>
      <c r="C1126" s="116">
        <f>SUMIF('6. OPERATION'!$B$17:$B$149,$C1122,'6. OPERATION'!W$17:W$149)</f>
        <v>0</v>
      </c>
      <c r="D1126" s="116">
        <f>SUMIF('6. OPERATION'!$B$17:$B$149,$C1122,'6. OPERATION'!X$17:X$149)</f>
        <v>0</v>
      </c>
      <c r="E1126" s="116">
        <f>SUMIF('6. OPERATION'!$B$17:$B$149,$C1122,'6. OPERATION'!Y$17:Y$149)</f>
        <v>0</v>
      </c>
      <c r="F1126" s="116">
        <f>SUMIF('6. OPERATION'!$B$17:$B$149,$C1122,'6. OPERATION'!Z$17:Z$149)</f>
        <v>0</v>
      </c>
      <c r="G1126" s="116">
        <f>SUMIF('6. OPERATION'!$B$17:$B$149,$C1122,'6. OPERATION'!AA$17:AA$149)</f>
        <v>0</v>
      </c>
      <c r="H1126" s="116">
        <f>SUMIF('6. OPERATION'!$B$17:$B$149,$C1122,'6. OPERATION'!AB$17:AB$149)</f>
        <v>0</v>
      </c>
      <c r="I1126" s="116">
        <f>SUMIF('6. OPERATION'!$B$17:$B$149,$C1122,'6. OPERATION'!AC$17:AC$149)</f>
        <v>0</v>
      </c>
      <c r="J1126" s="116">
        <f>SUMIF('6. OPERATION'!$B$17:$B$149,$C1122,'6. OPERATION'!AD$17:AD$149)</f>
        <v>0</v>
      </c>
      <c r="K1126" s="116">
        <f>SUMIF('6. OPERATION'!$B$17:$B$149,$C1122,'6. OPERATION'!AE$17:AE$149)</f>
        <v>0</v>
      </c>
      <c r="L1126" s="116">
        <f>SUMIF('6. OPERATION'!$B$17:$B$149,$C1122,'6. OPERATION'!AF$17:AF$149)</f>
        <v>0</v>
      </c>
      <c r="M1126" s="117">
        <f t="shared" si="232"/>
        <v>0</v>
      </c>
    </row>
    <row r="1127" spans="2:15" s="3" customFormat="1" ht="13.2" x14ac:dyDescent="0.25">
      <c r="B1127" s="725" t="str">
        <f>IF('1. INTRO'!I$2="English","Equipment","Utrustning")</f>
        <v>Equipment</v>
      </c>
      <c r="C1127" s="726">
        <f>SUMIF('7. INVEST'!$B$17:$B$49,$C1122,'7. INVEST'!W$17:W$49)</f>
        <v>0</v>
      </c>
      <c r="D1127" s="726">
        <f>SUMIF('7. INVEST'!$B$17:$B$49,$C1122,'7. INVEST'!X$17:X$49)</f>
        <v>0</v>
      </c>
      <c r="E1127" s="726">
        <f>SUMIF('7. INVEST'!$B$17:$B$49,$C1122,'7. INVEST'!Y$17:Y$49)</f>
        <v>0</v>
      </c>
      <c r="F1127" s="726">
        <f>SUMIF('7. INVEST'!$B$17:$B$49,$C1122,'7. INVEST'!Z$17:Z$49)</f>
        <v>0</v>
      </c>
      <c r="G1127" s="726">
        <f>SUMIF('7. INVEST'!$B$17:$B$49,$C1122,'7. INVEST'!AA$17:AA$49)</f>
        <v>0</v>
      </c>
      <c r="H1127" s="726">
        <f>SUMIF('7. INVEST'!$B$17:$B$49,$C1122,'7. INVEST'!AB$17:AB$49)</f>
        <v>0</v>
      </c>
      <c r="I1127" s="726">
        <f>SUMIF('7. INVEST'!$B$17:$B$49,$C1122,'7. INVEST'!AC$17:AC$49)</f>
        <v>0</v>
      </c>
      <c r="J1127" s="726">
        <f>SUMIF('7. INVEST'!$B$17:$B$49,$C1122,'7. INVEST'!AD$17:AD$49)</f>
        <v>0</v>
      </c>
      <c r="K1127" s="726">
        <f>SUMIF('7. INVEST'!$B$17:$B$49,$C1122,'7. INVEST'!AE$17:AE$49)</f>
        <v>0</v>
      </c>
      <c r="L1127" s="726">
        <f>SUMIF('7. INVEST'!$B$17:$B$49,$C1122,'7. INVEST'!AF$17:AF$49)</f>
        <v>0</v>
      </c>
      <c r="M1127" s="727">
        <f t="shared" si="232"/>
        <v>0</v>
      </c>
    </row>
    <row r="1128" spans="2:15" s="3" customFormat="1" ht="13.2" x14ac:dyDescent="0.25">
      <c r="B1128" s="121" t="str">
        <f>IF('1. INTRO'!I$2="English",(IF('2. START'!C$11="NO","Facility accepted as direct cost by funding body","Facility")),IF('2. START'!C$11="NO","Lokal accepterad som direkt kostnad av finansiär","Lokal"))</f>
        <v>Facility</v>
      </c>
      <c r="C1128" s="116">
        <f>IF('2. START'!$C$11="NO",SUMIF('8. FACILIT'!$B$18:$B$50,$C1122,'8. FACILIT'!T$18:T$50),SUMIF('5. PERSON'!$B$17:$B$192,$C1122,'5. PERSON'!CP$17:CP$192)+SUMIF('6. OPERATION'!$B$17:$B$149,$C1122,'6. OPERATION'!BS$17:BS$149)+SUMIF('8. FACILIT'!$B$18:$B$50,$C1122,'8. FACILIT'!T$18:T$50))</f>
        <v>0</v>
      </c>
      <c r="D1128" s="116">
        <f>IF('2. START'!$C$11="NO",SUMIF('8. FACILIT'!$B$18:$B$50,$C1122,'8. FACILIT'!U$18:U$50),SUMIF('5. PERSON'!$B$17:$B$192,$C1122,'5. PERSON'!CQ$17:CQ$192)+SUMIF('6. OPERATION'!$B$17:$B$149,$C1122,'6. OPERATION'!BT$17:BT$149)+SUMIF('8. FACILIT'!$B$18:$B$50,$C1122,'8. FACILIT'!U$18:U$50))</f>
        <v>0</v>
      </c>
      <c r="E1128" s="116">
        <f>IF('2. START'!$C$11="NO",SUMIF('8. FACILIT'!$B$18:$B$50,$C1122,'8. FACILIT'!V$18:V$50),SUMIF('5. PERSON'!$B$17:$B$192,$C1122,'5. PERSON'!CR$17:CR$192)+SUMIF('6. OPERATION'!$B$17:$B$149,$C1122,'6. OPERATION'!BU$17:BU$149)+SUMIF('8. FACILIT'!$B$18:$B$50,$C1122,'8. FACILIT'!V$18:V$50))</f>
        <v>0</v>
      </c>
      <c r="F1128" s="116">
        <f>IF('2. START'!$C$11="NO",SUMIF('8. FACILIT'!$B$18:$B$50,$C1122,'8. FACILIT'!W$18:W$50),SUMIF('5. PERSON'!$B$17:$B$192,$C1122,'5. PERSON'!CS$17:CS$192)+SUMIF('6. OPERATION'!$B$17:$B$149,$C1122,'6. OPERATION'!BV$17:BV$149)+SUMIF('8. FACILIT'!$B$18:$B$50,$C1122,'8. FACILIT'!W$18:W$50))</f>
        <v>0</v>
      </c>
      <c r="G1128" s="116">
        <f>IF('2. START'!$C$11="NO",SUMIF('8. FACILIT'!$B$18:$B$50,$C1122,'8. FACILIT'!X$18:X$50),SUMIF('5. PERSON'!$B$17:$B$192,$C1122,'5. PERSON'!CT$17:CT$192)+SUMIF('6. OPERATION'!$B$17:$B$149,$C1122,'6. OPERATION'!BW$17:BW$149)+SUMIF('8. FACILIT'!$B$18:$B$50,$C1122,'8. FACILIT'!X$18:X$50))</f>
        <v>0</v>
      </c>
      <c r="H1128" s="116">
        <f>IF('2. START'!$C$11="NO",SUMIF('8. FACILIT'!$B$18:$B$50,$C1122,'8. FACILIT'!Y$18:Y$50),SUMIF('5. PERSON'!$B$17:$B$192,$C1122,'5. PERSON'!CU$17:CU$192)+SUMIF('6. OPERATION'!$B$17:$B$149,$C1122,'6. OPERATION'!BX$17:BX$149)+SUMIF('8. FACILIT'!$B$18:$B$50,$C1122,'8. FACILIT'!Y$18:Y$50))</f>
        <v>0</v>
      </c>
      <c r="I1128" s="116">
        <f>IF('2. START'!$C$11="NO",SUMIF('8. FACILIT'!$B$18:$B$50,$C1122,'8. FACILIT'!Z$18:Z$50),SUMIF('5. PERSON'!$B$17:$B$192,$C1122,'5. PERSON'!CV$17:CV$192)+SUMIF('6. OPERATION'!$B$17:$B$149,$C1122,'6. OPERATION'!BY$17:BY$149)+SUMIF('8. FACILIT'!$B$18:$B$50,$C1122,'8. FACILIT'!Z$18:Z$50))</f>
        <v>0</v>
      </c>
      <c r="J1128" s="116">
        <f>IF('2. START'!$C$11="NO",SUMIF('8. FACILIT'!$B$18:$B$50,$C1122,'8. FACILIT'!AA$18:AA$50),SUMIF('5. PERSON'!$B$17:$B$192,$C1122,'5. PERSON'!CW$17:CW$192)+SUMIF('6. OPERATION'!$B$17:$B$149,$C1122,'6. OPERATION'!BZ$17:BZ$149)+SUMIF('8. FACILIT'!$B$18:$B$50,$C1122,'8. FACILIT'!AA$18:AA$50))</f>
        <v>0</v>
      </c>
      <c r="K1128" s="116">
        <f>IF('2. START'!$C$11="NO",SUMIF('8. FACILIT'!$B$18:$B$50,$C1122,'8. FACILIT'!AB$18:AB$50),SUMIF('5. PERSON'!$B$17:$B$192,$C1122,'5. PERSON'!CX$17:CX$192)+SUMIF('6. OPERATION'!$B$17:$B$149,$C1122,'6. OPERATION'!CA$17:CA$149)+SUMIF('8. FACILIT'!$B$18:$B$50,$C1122,'8. FACILIT'!AB$18:AB$50))</f>
        <v>0</v>
      </c>
      <c r="L1128" s="116">
        <f>IF('2. START'!$C$11="NO",SUMIF('8. FACILIT'!$B$18:$B$50,$C1122,'8. FACILIT'!AC$18:AC$50),SUMIF('5. PERSON'!$B$17:$B$192,$C1122,'5. PERSON'!CY$17:CY$192)+SUMIF('6. OPERATION'!$B$17:$B$149,$C1122,'6. OPERATION'!CB$17:CB$149)+SUMIF('8. FACILIT'!$B$18:$B$50,$C1122,'8. FACILIT'!AC$18:AC$50))</f>
        <v>0</v>
      </c>
      <c r="M1128" s="117">
        <f t="shared" si="232"/>
        <v>0</v>
      </c>
    </row>
    <row r="1129" spans="2:15" s="3" customFormat="1" ht="13.2" x14ac:dyDescent="0.25">
      <c r="B1129" s="728" t="str">
        <f>IF('1. INTRO'!I$2="English",(IF('2. START'!C$11="NO","Indirect and facility charge accepted as OH by funding body","Indirect")),IF('2. START'!C$11="NO","Indirekt och lokalpåslag accepterade som OH av finansiär","Indirekt"))</f>
        <v>Indirect</v>
      </c>
      <c r="C1129" s="729">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729">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729">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729">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729">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729">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729">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729">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729">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729">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727">
        <f t="shared" si="232"/>
        <v>0</v>
      </c>
    </row>
    <row r="1130" spans="2:15" s="3" customFormat="1" ht="13.2" x14ac:dyDescent="0.25">
      <c r="B1130" s="124" t="s">
        <v>113</v>
      </c>
      <c r="C1130" s="102">
        <f>SUM(C1125:C1129)</f>
        <v>0</v>
      </c>
      <c r="D1130" s="102">
        <f t="shared" ref="D1130:L1130" si="233">SUM(D1125:D1129)</f>
        <v>0</v>
      </c>
      <c r="E1130" s="102">
        <f t="shared" si="233"/>
        <v>0</v>
      </c>
      <c r="F1130" s="102">
        <f t="shared" si="233"/>
        <v>0</v>
      </c>
      <c r="G1130" s="102">
        <f t="shared" si="233"/>
        <v>0</v>
      </c>
      <c r="H1130" s="102">
        <f t="shared" si="233"/>
        <v>0</v>
      </c>
      <c r="I1130" s="102">
        <f t="shared" si="233"/>
        <v>0</v>
      </c>
      <c r="J1130" s="102">
        <f t="shared" si="233"/>
        <v>0</v>
      </c>
      <c r="K1130" s="102">
        <f t="shared" si="233"/>
        <v>0</v>
      </c>
      <c r="L1130" s="102">
        <f t="shared" si="233"/>
        <v>0</v>
      </c>
      <c r="M1130" s="125">
        <f t="shared" si="232"/>
        <v>0</v>
      </c>
    </row>
    <row r="1131" spans="2:15" s="3" customFormat="1" ht="6" customHeight="1" x14ac:dyDescent="0.25">
      <c r="B1131" s="126"/>
      <c r="C1131" s="127"/>
      <c r="D1131" s="127"/>
      <c r="E1131" s="127"/>
      <c r="F1131" s="127"/>
      <c r="G1131" s="127"/>
      <c r="H1131" s="127"/>
      <c r="I1131" s="127"/>
      <c r="J1131" s="127"/>
      <c r="K1131" s="127"/>
      <c r="L1131" s="127"/>
      <c r="M1131" s="128"/>
    </row>
    <row r="1132" spans="2:15" s="3" customFormat="1" ht="13.2" x14ac:dyDescent="0.25">
      <c r="B1132" s="129" t="str">
        <f>IF('1. INTRO'!I$2="English","Costs to be co-funded","Kostnader att medfinansiera")</f>
        <v>Costs to be co-funded</v>
      </c>
      <c r="C1132" s="86"/>
      <c r="D1132" s="86"/>
      <c r="E1132" s="86"/>
      <c r="F1132" s="86"/>
      <c r="G1132" s="86"/>
      <c r="H1132" s="86"/>
      <c r="I1132" s="86"/>
      <c r="J1132" s="86"/>
      <c r="K1132" s="86"/>
      <c r="L1132" s="86"/>
      <c r="M1132" s="130"/>
    </row>
    <row r="1133" spans="2:15" s="3" customFormat="1" ht="13.2" x14ac:dyDescent="0.25">
      <c r="B1133" s="730" t="str">
        <f>IF('1. INTRO'!I$2="English",(IF('2. START'!C$11="NO","Indirect and facility charge not accepted as OH by funding body","")),IF('2. START'!C$11="NO","Indirekt och lokalpåslag inte accepterade som OH av finansiär",""))</f>
        <v/>
      </c>
      <c r="C1133" s="731">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731">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731">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731">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731">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731">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731">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731">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731">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731">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724">
        <f t="shared" ref="M1133:M1139" si="234">SUM(C1133:L1133)</f>
        <v>0</v>
      </c>
    </row>
    <row r="1134" spans="2:15" s="3" customFormat="1" ht="12.75" customHeight="1" x14ac:dyDescent="0.25">
      <c r="B1134" s="132" t="str">
        <f>IF('1. INTRO'!I$2="English",(IF('2. START'!C$14&gt;0,"Social costs (LKP) not accepted by funding body","")),IF('2. START'!C$14&gt;0,"LKP som inte accepteras av finansiär",""))</f>
        <v/>
      </c>
      <c r="C1134" s="133">
        <f>IF('2. START'!$C$14&gt;0,SUMIF('5. PERSON'!$B$17:$B$192,$C1122,'5. PERSON'!AT$17:AT$192)-SUMIF('5. PERSON'!$B$17:$B$192,$C1122,'5. PERSON'!DN$17:DN$192),0)</f>
        <v>0</v>
      </c>
      <c r="D1134" s="133">
        <f>IF('2. START'!$C$14&gt;0,SUMIF('5. PERSON'!$B$17:$B$192,$C1122,'5. PERSON'!AU$17:AU$192)-SUMIF('5. PERSON'!$B$17:$B$192,$C1122,'5. PERSON'!DO$17:DO$192),0)</f>
        <v>0</v>
      </c>
      <c r="E1134" s="133">
        <f>IF('2. START'!$C$14&gt;0,SUMIF('5. PERSON'!$B$17:$B$192,$C1122,'5. PERSON'!AV$17:AV$192)-SUMIF('5. PERSON'!$B$17:$B$192,$C1122,'5. PERSON'!DP$17:DP$192),0)</f>
        <v>0</v>
      </c>
      <c r="F1134" s="133">
        <f>IF('2. START'!$C$14&gt;0,SUMIF('5. PERSON'!$B$17:$B$192,$C1122,'5. PERSON'!AW$17:AW$192)-SUMIF('5. PERSON'!$B$17:$B$192,$C1122,'5. PERSON'!DQ$17:DQ$192),0)</f>
        <v>0</v>
      </c>
      <c r="G1134" s="133">
        <f>IF('2. START'!$C$14&gt;0,SUMIF('5. PERSON'!$B$17:$B$192,$C1122,'5. PERSON'!AX$17:AX$192)-SUMIF('5. PERSON'!$B$17:$B$192,$C1122,'5. PERSON'!DR$17:DR$192),0)</f>
        <v>0</v>
      </c>
      <c r="H1134" s="133">
        <f>IF('2. START'!$C$14&gt;0,SUMIF('5. PERSON'!$B$17:$B$192,$C1122,'5. PERSON'!AY$17:AY$192)-SUMIF('5. PERSON'!$B$17:$B$192,$C1122,'5. PERSON'!DS$17:DS$192),0)</f>
        <v>0</v>
      </c>
      <c r="I1134" s="133">
        <f>IF('2. START'!$C$14&gt;0,SUMIF('5. PERSON'!$B$17:$B$192,$C1122,'5. PERSON'!AZ$17:AZ$192)-SUMIF('5. PERSON'!$B$17:$B$192,$C1122,'5. PERSON'!DT$17:DT$192),0)</f>
        <v>0</v>
      </c>
      <c r="J1134" s="133">
        <f>IF('2. START'!$C$14&gt;0,SUMIF('5. PERSON'!$B$17:$B$192,$C1122,'5. PERSON'!BA$17:BA$192)-SUMIF('5. PERSON'!$B$17:$B$192,$C1122,'5. PERSON'!DU$17:DU$192),0)</f>
        <v>0</v>
      </c>
      <c r="K1134" s="133">
        <f>IF('2. START'!$C$14&gt;0,SUMIF('5. PERSON'!$B$17:$B$192,$C1122,'5. PERSON'!BB$17:BB$192)-SUMIF('5. PERSON'!$B$17:$B$192,$C1122,'5. PERSON'!DV$17:DV$192),0)</f>
        <v>0</v>
      </c>
      <c r="L1134" s="133">
        <f>IF('2. START'!$C$14&gt;0,SUMIF('5. PERSON'!$B$17:$B$192,$C1122,'5. PERSON'!BC$17:BC$192)-SUMIF('5. PERSON'!$B$17:$B$192,$C1122,'5. PERSON'!DW$17:DW$192),0)</f>
        <v>0</v>
      </c>
      <c r="M1134" s="117">
        <f t="shared" si="234"/>
        <v>0</v>
      </c>
    </row>
    <row r="1135" spans="2:15" s="3" customFormat="1" ht="12.75" customHeight="1" x14ac:dyDescent="0.25">
      <c r="B1135" s="725" t="str">
        <f>IF('1. INTRO'!I$2="English",(IF('5. PERSON'!BP$193&gt;0,"Salary including social costs (LKP)","")),IF('5. PERSON'!BP$193&gt;0,"Lön inklusive LKP",""))</f>
        <v/>
      </c>
      <c r="C1135" s="732">
        <f>SUMIF('5. PERSON'!$B$17:$B$192,$C1122,'5. PERSON'!BF$17:BF$192)</f>
        <v>0</v>
      </c>
      <c r="D1135" s="732">
        <f>SUMIF('5. PERSON'!$B$17:$B$192,$C1122,'5. PERSON'!BG$17:BG$192)</f>
        <v>0</v>
      </c>
      <c r="E1135" s="732">
        <f>SUMIF('5. PERSON'!$B$17:$B$192,$C1122,'5. PERSON'!BH$17:BH$192)</f>
        <v>0</v>
      </c>
      <c r="F1135" s="732">
        <f>SUMIF('5. PERSON'!$B$17:$B$192,$C1122,'5. PERSON'!BI$17:BI$192)</f>
        <v>0</v>
      </c>
      <c r="G1135" s="732">
        <f>SUMIF('5. PERSON'!$B$17:$B$192,$C1122,'5. PERSON'!BJ$17:BJ$192)</f>
        <v>0</v>
      </c>
      <c r="H1135" s="732">
        <f>SUMIF('5. PERSON'!$B$17:$B$192,$C1122,'5. PERSON'!BK$17:BK$192)</f>
        <v>0</v>
      </c>
      <c r="I1135" s="732">
        <f>SUMIF('5. PERSON'!$B$17:$B$192,$C1122,'5. PERSON'!BL$17:BL$192)</f>
        <v>0</v>
      </c>
      <c r="J1135" s="732">
        <f>SUMIF('5. PERSON'!$B$17:$B$192,$C1122,'5. PERSON'!BM$17:BM$192)</f>
        <v>0</v>
      </c>
      <c r="K1135" s="732">
        <f>SUMIF('5. PERSON'!$B$17:$B$192,$C1122,'5. PERSON'!BN$17:BN$192)</f>
        <v>0</v>
      </c>
      <c r="L1135" s="732">
        <f>SUMIF('5. PERSON'!$B$17:$B$192,$C1122,'5. PERSON'!BO$17:BO$192)</f>
        <v>0</v>
      </c>
      <c r="M1135" s="727">
        <f t="shared" si="234"/>
        <v>0</v>
      </c>
    </row>
    <row r="1136" spans="2:15" s="3" customFormat="1" ht="13.2" x14ac:dyDescent="0.25">
      <c r="B1136" s="80" t="str">
        <f>IF('1. INTRO'!I$2="English",(IF('6. OPERATION'!AS$150&gt;0,"Operating","")),IF('6. OPERATION'!AS$150&gt;0,"Drift",""))</f>
        <v/>
      </c>
      <c r="C1136" s="135">
        <f>SUMIF('6. OPERATION'!$B$17:$B$149,$C1122,'6. OPERATION'!AI$17:AI$149)</f>
        <v>0</v>
      </c>
      <c r="D1136" s="135">
        <f>SUMIF('6. OPERATION'!$B$17:$B$149,$C1122,'6. OPERATION'!AJ$17:AJ$149)</f>
        <v>0</v>
      </c>
      <c r="E1136" s="135">
        <f>SUMIF('6. OPERATION'!$B$17:$B$149,$C1122,'6. OPERATION'!AK$17:AK$149)</f>
        <v>0</v>
      </c>
      <c r="F1136" s="135">
        <f>SUMIF('6. OPERATION'!$B$17:$B$149,$C1122,'6. OPERATION'!AL$17:AL$149)</f>
        <v>0</v>
      </c>
      <c r="G1136" s="135">
        <f>SUMIF('6. OPERATION'!$B$17:$B$149,$C1122,'6. OPERATION'!AM$17:AM$149)</f>
        <v>0</v>
      </c>
      <c r="H1136" s="135">
        <f>SUMIF('6. OPERATION'!$B$17:$B$149,$C1122,'6. OPERATION'!AN$17:AN$149)</f>
        <v>0</v>
      </c>
      <c r="I1136" s="135">
        <f>SUMIF('6. OPERATION'!$B$17:$B$149,$C1122,'6. OPERATION'!AO$17:AO$149)</f>
        <v>0</v>
      </c>
      <c r="J1136" s="135">
        <f>SUMIF('6. OPERATION'!$B$17:$B$149,$C1122,'6. OPERATION'!AP$17:AP$149)</f>
        <v>0</v>
      </c>
      <c r="K1136" s="135">
        <f>SUMIF('6. OPERATION'!$B$17:$B$149,$C1122,'6. OPERATION'!AQ$17:AQ$149)</f>
        <v>0</v>
      </c>
      <c r="L1136" s="135">
        <f>SUMIF('6. OPERATION'!$B$17:$B$149,$C1122,'6. OPERATION'!AR$17:AR$149)</f>
        <v>0</v>
      </c>
      <c r="M1136" s="117">
        <f t="shared" si="234"/>
        <v>0</v>
      </c>
    </row>
    <row r="1137" spans="2:15" s="3" customFormat="1" ht="13.2" x14ac:dyDescent="0.25">
      <c r="B1137" s="725" t="str">
        <f>IF('1. INTRO'!I$2="English",(IF('7. INVEST'!AS$50&gt;0,"Equipment","")),IF('7. INVEST'!AS$50&gt;0,"Utrustning",""))</f>
        <v/>
      </c>
      <c r="C1137" s="732">
        <f>SUMIF('7. INVEST'!$B$17:$B$49,$C1122,'7. INVEST'!AI$17:AI$49)</f>
        <v>0</v>
      </c>
      <c r="D1137" s="732">
        <f>SUMIF('7. INVEST'!$B$17:$B$49,$C1122,'7. INVEST'!AJ$17:AJ$49)</f>
        <v>0</v>
      </c>
      <c r="E1137" s="732">
        <f>SUMIF('7. INVEST'!$B$17:$B$49,$C1122,'7. INVEST'!AK$17:AK$49)</f>
        <v>0</v>
      </c>
      <c r="F1137" s="732">
        <f>SUMIF('7. INVEST'!$B$17:$B$49,$C1122,'7. INVEST'!AL$17:AL$49)</f>
        <v>0</v>
      </c>
      <c r="G1137" s="732">
        <f>SUMIF('7. INVEST'!$B$17:$B$49,$C1122,'7. INVEST'!AM$17:AM$49)</f>
        <v>0</v>
      </c>
      <c r="H1137" s="732">
        <f>SUMIF('7. INVEST'!$B$17:$B$49,$C1122,'7. INVEST'!AN$17:AN$49)</f>
        <v>0</v>
      </c>
      <c r="I1137" s="732">
        <f>SUMIF('7. INVEST'!$B$17:$B$49,$C1122,'7. INVEST'!AO$17:AO$49)</f>
        <v>0</v>
      </c>
      <c r="J1137" s="732">
        <f>SUMIF('7. INVEST'!$B$17:$B$49,$C1122,'7. INVEST'!AP$17:AP$49)</f>
        <v>0</v>
      </c>
      <c r="K1137" s="732">
        <f>SUMIF('7. INVEST'!$B$17:$B$49,$C1122,'7. INVEST'!AQ$17:AQ$49)</f>
        <v>0</v>
      </c>
      <c r="L1137" s="732">
        <f>SUMIF('7. INVEST'!$B$17:$B$49,$C1122,'7. INVEST'!AR$17:AR$49)</f>
        <v>0</v>
      </c>
      <c r="M1137" s="727">
        <f t="shared" si="234"/>
        <v>0</v>
      </c>
    </row>
    <row r="1138" spans="2:15" s="3" customFormat="1" ht="13.2" x14ac:dyDescent="0.25">
      <c r="B1138" s="121" t="str">
        <f>IF('1. INTRO'!I$2="English",(IF('8. FACILIT'!AP$51&gt;0,"Facility","")),IF('8. FACILIT'!AP$51&gt;0,"Lokal",""))</f>
        <v/>
      </c>
      <c r="C1138" s="135">
        <f>SUMIF('5. PERSON'!$B$17:$B$192,$C1122,'5. PERSON'!DB$17:DB$192)+SUMIF('6. OPERATION'!$B$17:$B$149,$C1122,'6. OPERATION'!CE$17:CE$149)+SUMIF('8. FACILIT'!$B$18:$B$50,$C1122,'8. FACILIT'!AF$18:AF$50)</f>
        <v>0</v>
      </c>
      <c r="D1138" s="135">
        <f>SUMIF('5. PERSON'!$B$17:$B$192,$C1122,'5. PERSON'!DC$17:DC$192)+SUMIF('6. OPERATION'!$B$17:$B$149,$C1122,'6. OPERATION'!CF$17:CF$149)+SUMIF('8. FACILIT'!$B$18:$B$50,$C1122,'8. FACILIT'!AG$18:AG$50)</f>
        <v>0</v>
      </c>
      <c r="E1138" s="135">
        <f>SUMIF('5. PERSON'!$B$17:$B$192,$C1122,'5. PERSON'!DD$17:DD$192)+SUMIF('6. OPERATION'!$B$17:$B$149,$C1122,'6. OPERATION'!CG$17:CG$149)+SUMIF('8. FACILIT'!$B$18:$B$50,$C1122,'8. FACILIT'!AH$18:AH$50)</f>
        <v>0</v>
      </c>
      <c r="F1138" s="135">
        <f>SUMIF('5. PERSON'!$B$17:$B$192,$C1122,'5. PERSON'!DE$17:DE$192)+SUMIF('6. OPERATION'!$B$17:$B$149,$C1122,'6. OPERATION'!CH$17:CH$149)+SUMIF('8. FACILIT'!$B$18:$B$50,$C1122,'8. FACILIT'!AI$18:AI$50)</f>
        <v>0</v>
      </c>
      <c r="G1138" s="135">
        <f>SUMIF('5. PERSON'!$B$17:$B$192,$C1122,'5. PERSON'!DF$17:DF$192)+SUMIF('6. OPERATION'!$B$17:$B$149,$C1122,'6. OPERATION'!CI$17:CI$149)+SUMIF('8. FACILIT'!$B$18:$B$50,$C1122,'8. FACILIT'!AJ$18:AJ$50)</f>
        <v>0</v>
      </c>
      <c r="H1138" s="135">
        <f>SUMIF('5. PERSON'!$B$17:$B$192,$C1122,'5. PERSON'!DG$17:DG$192)+SUMIF('6. OPERATION'!$B$17:$B$149,$C1122,'6. OPERATION'!CJ$17:CJ$149)+SUMIF('8. FACILIT'!$B$18:$B$50,$C1122,'8. FACILIT'!AK$18:AK$50)</f>
        <v>0</v>
      </c>
      <c r="I1138" s="135">
        <f>SUMIF('5. PERSON'!$B$17:$B$192,$C1122,'5. PERSON'!DH$17:DH$192)+SUMIF('6. OPERATION'!$B$17:$B$149,$C1122,'6. OPERATION'!CK$17:CK$149)+SUMIF('8. FACILIT'!$B$18:$B$50,$C1122,'8. FACILIT'!AL$18:AL$50)</f>
        <v>0</v>
      </c>
      <c r="J1138" s="135">
        <f>SUMIF('5. PERSON'!$B$17:$B$192,$C1122,'5. PERSON'!DI$17:DI$192)+SUMIF('6. OPERATION'!$B$17:$B$149,$C1122,'6. OPERATION'!CL$17:CL$149)+SUMIF('8. FACILIT'!$B$18:$B$50,$C1122,'8. FACILIT'!AM$18:AM$50)</f>
        <v>0</v>
      </c>
      <c r="K1138" s="135">
        <f>SUMIF('5. PERSON'!$B$17:$B$192,$C1122,'5. PERSON'!DJ$17:DJ$192)+SUMIF('6. OPERATION'!$B$17:$B$149,$C1122,'6. OPERATION'!CM$17:CM$149)+SUMIF('8. FACILIT'!$B$18:$B$50,$C1122,'8. FACILIT'!AN$18:AN$50)</f>
        <v>0</v>
      </c>
      <c r="L1138" s="135">
        <f>SUMIF('5. PERSON'!$B$17:$B$192,$C1122,'5. PERSON'!DK$17:DK$192)+SUMIF('6. OPERATION'!$B$17:$B$149,$C1122,'6. OPERATION'!CN$17:CN$149)+SUMIF('8. FACILIT'!$B$18:$B$50,$C1122,'8. FACILIT'!AO$18:AO$50)</f>
        <v>0</v>
      </c>
      <c r="M1138" s="117">
        <f t="shared" si="234"/>
        <v>0</v>
      </c>
    </row>
    <row r="1139" spans="2:15" s="1" customFormat="1" ht="13.2" x14ac:dyDescent="0.25">
      <c r="B1139" s="728" t="str">
        <f>IF('1. INTRO'!I$2="English",(IF(('5. PERSON'!CN$193+'6. OPERATION'!BQ$150)&gt;0,"Indirect","")),IF(('5. PERSON'!CN$193+'6. OPERATION'!BQ$150)&gt;0,"Indirekt",""))</f>
        <v/>
      </c>
      <c r="C1139" s="729">
        <f>SUMIF('5. PERSON'!$B$17:$B$192,$C1122,'5. PERSON'!CD$17:CD$192)+SUMIF('6. OPERATION'!$B$17:$B$149,$C1122,'6. OPERATION'!BG$17:BG$149)</f>
        <v>0</v>
      </c>
      <c r="D1139" s="729">
        <f>SUMIF('5. PERSON'!$B$17:$B$192,$C1122,'5. PERSON'!CE$17:CE$192)+SUMIF('6. OPERATION'!$B$17:$B$149,$C1122,'6. OPERATION'!BH$17:BH$149)</f>
        <v>0</v>
      </c>
      <c r="E1139" s="729">
        <f>SUMIF('5. PERSON'!$B$17:$B$192,$C1122,'5. PERSON'!CF$17:CF$192)+SUMIF('6. OPERATION'!$B$17:$B$149,$C1122,'6. OPERATION'!BI$17:BI$149)</f>
        <v>0</v>
      </c>
      <c r="F1139" s="729">
        <f>SUMIF('5. PERSON'!$B$17:$B$192,$C1122,'5. PERSON'!CG$17:CG$192)+SUMIF('6. OPERATION'!$B$17:$B$149,$C1122,'6. OPERATION'!BJ$17:BJ$149)</f>
        <v>0</v>
      </c>
      <c r="G1139" s="729">
        <f>SUMIF('5. PERSON'!$B$17:$B$192,$C1122,'5. PERSON'!CH$17:CH$192)+SUMIF('6. OPERATION'!$B$17:$B$149,$C1122,'6. OPERATION'!BK$17:BK$149)</f>
        <v>0</v>
      </c>
      <c r="H1139" s="729">
        <f>SUMIF('5. PERSON'!$B$17:$B$192,$C1122,'5. PERSON'!CI$17:CI$192)+SUMIF('6. OPERATION'!$B$17:$B$149,$C1122,'6. OPERATION'!BL$17:BL$149)</f>
        <v>0</v>
      </c>
      <c r="I1139" s="729">
        <f>SUMIF('5. PERSON'!$B$17:$B$192,$C1122,'5. PERSON'!CJ$17:CJ$192)+SUMIF('6. OPERATION'!$B$17:$B$149,$C1122,'6. OPERATION'!BM$17:BM$149)</f>
        <v>0</v>
      </c>
      <c r="J1139" s="729">
        <f>SUMIF('5. PERSON'!$B$17:$B$192,$C1122,'5. PERSON'!CK$17:CK$192)+SUMIF('6. OPERATION'!$B$17:$B$149,$C1122,'6. OPERATION'!BN$17:BN$149)</f>
        <v>0</v>
      </c>
      <c r="K1139" s="729">
        <f>SUMIF('5. PERSON'!$B$17:$B$192,$C1122,'5. PERSON'!CL$17:CL$192)+SUMIF('6. OPERATION'!$B$17:$B$149,$C1122,'6. OPERATION'!BO$17:BO$149)</f>
        <v>0</v>
      </c>
      <c r="L1139" s="729">
        <f>SUMIF('5. PERSON'!$B$17:$B$192,$C1122,'5. PERSON'!CM$17:CM$192)+SUMIF('6. OPERATION'!$B$17:$B$149,$C1122,'6. OPERATION'!BP$17:BP$149)</f>
        <v>0</v>
      </c>
      <c r="M1139" s="733">
        <f t="shared" si="234"/>
        <v>0</v>
      </c>
    </row>
    <row r="1140" spans="2:15" s="3" customFormat="1" ht="13.2" x14ac:dyDescent="0.25">
      <c r="B1140" s="124" t="s">
        <v>113</v>
      </c>
      <c r="C1140" s="102">
        <f>SUM(C1133:C1139)</f>
        <v>0</v>
      </c>
      <c r="D1140" s="102">
        <f t="shared" ref="D1140:M1140" si="235">SUM(D1133:D1139)</f>
        <v>0</v>
      </c>
      <c r="E1140" s="102">
        <f t="shared" si="235"/>
        <v>0</v>
      </c>
      <c r="F1140" s="102">
        <f t="shared" si="235"/>
        <v>0</v>
      </c>
      <c r="G1140" s="102">
        <f t="shared" si="235"/>
        <v>0</v>
      </c>
      <c r="H1140" s="102">
        <f t="shared" si="235"/>
        <v>0</v>
      </c>
      <c r="I1140" s="102">
        <f t="shared" si="235"/>
        <v>0</v>
      </c>
      <c r="J1140" s="102">
        <f t="shared" si="235"/>
        <v>0</v>
      </c>
      <c r="K1140" s="102">
        <f t="shared" si="235"/>
        <v>0</v>
      </c>
      <c r="L1140" s="102">
        <f t="shared" si="235"/>
        <v>0</v>
      </c>
      <c r="M1140" s="125">
        <f t="shared" si="235"/>
        <v>0</v>
      </c>
      <c r="N1140" s="23"/>
      <c r="O1140" s="23"/>
    </row>
    <row r="1141" spans="2:15" s="3" customFormat="1" ht="6" customHeight="1" x14ac:dyDescent="0.25">
      <c r="B1141" s="136"/>
      <c r="C1141" s="127"/>
      <c r="D1141" s="127"/>
      <c r="E1141" s="127"/>
      <c r="F1141" s="127"/>
      <c r="G1141" s="127"/>
      <c r="H1141" s="127"/>
      <c r="I1141" s="127"/>
      <c r="J1141" s="127"/>
      <c r="K1141" s="127"/>
      <c r="L1141" s="127"/>
      <c r="M1141" s="137"/>
    </row>
    <row r="1142" spans="2:15" s="3" customFormat="1" ht="13.2" x14ac:dyDescent="0.25">
      <c r="B1142" s="129" t="str">
        <f>IF('1. INTRO'!I$2="English","Full cost","Full kostnad")</f>
        <v>Full cost</v>
      </c>
      <c r="C1142" s="127"/>
      <c r="D1142" s="127"/>
      <c r="E1142" s="127"/>
      <c r="F1142" s="127"/>
      <c r="G1142" s="127"/>
      <c r="H1142" s="127"/>
      <c r="I1142" s="127"/>
      <c r="J1142" s="127"/>
      <c r="K1142" s="127"/>
      <c r="L1142" s="127"/>
      <c r="M1142" s="137"/>
    </row>
    <row r="1143" spans="2:15" s="3" customFormat="1" ht="13.2" x14ac:dyDescent="0.25">
      <c r="B1143" s="722" t="str">
        <f>IF('1. INTRO'!I$2="English","Salary including social costs (LKP)","Lön inklusive LKP")</f>
        <v>Salary including social costs (LKP)</v>
      </c>
      <c r="C1143" s="734">
        <f>C1125+C1134+C1135</f>
        <v>0</v>
      </c>
      <c r="D1143" s="734">
        <f t="shared" ref="D1143:L1143" si="236">D1125+D1134+D1135</f>
        <v>0</v>
      </c>
      <c r="E1143" s="734">
        <f t="shared" si="236"/>
        <v>0</v>
      </c>
      <c r="F1143" s="734">
        <f t="shared" si="236"/>
        <v>0</v>
      </c>
      <c r="G1143" s="734">
        <f t="shared" si="236"/>
        <v>0</v>
      </c>
      <c r="H1143" s="734">
        <f t="shared" si="236"/>
        <v>0</v>
      </c>
      <c r="I1143" s="734">
        <f t="shared" si="236"/>
        <v>0</v>
      </c>
      <c r="J1143" s="734">
        <f t="shared" si="236"/>
        <v>0</v>
      </c>
      <c r="K1143" s="734">
        <f t="shared" si="236"/>
        <v>0</v>
      </c>
      <c r="L1143" s="734">
        <f t="shared" si="236"/>
        <v>0</v>
      </c>
      <c r="M1143" s="724">
        <f>SUM(C1143:L1143)</f>
        <v>0</v>
      </c>
    </row>
    <row r="1144" spans="2:15" s="3" customFormat="1" ht="13.2" x14ac:dyDescent="0.25">
      <c r="B1144" s="80" t="str">
        <f>IF('1. INTRO'!I$2="English","Operating","Drift")</f>
        <v>Operating</v>
      </c>
      <c r="C1144" s="139">
        <f>C1126+C1136</f>
        <v>0</v>
      </c>
      <c r="D1144" s="139">
        <f t="shared" ref="D1144:L1144" si="237">D1126+D1136</f>
        <v>0</v>
      </c>
      <c r="E1144" s="139">
        <f t="shared" si="237"/>
        <v>0</v>
      </c>
      <c r="F1144" s="139">
        <f t="shared" si="237"/>
        <v>0</v>
      </c>
      <c r="G1144" s="139">
        <f t="shared" si="237"/>
        <v>0</v>
      </c>
      <c r="H1144" s="139">
        <f t="shared" si="237"/>
        <v>0</v>
      </c>
      <c r="I1144" s="139">
        <f t="shared" si="237"/>
        <v>0</v>
      </c>
      <c r="J1144" s="139">
        <f t="shared" si="237"/>
        <v>0</v>
      </c>
      <c r="K1144" s="139">
        <f t="shared" si="237"/>
        <v>0</v>
      </c>
      <c r="L1144" s="139">
        <f t="shared" si="237"/>
        <v>0</v>
      </c>
      <c r="M1144" s="117">
        <f>SUM(C1144:L1144)</f>
        <v>0</v>
      </c>
    </row>
    <row r="1145" spans="2:15" s="3" customFormat="1" ht="13.2" x14ac:dyDescent="0.25">
      <c r="B1145" s="725" t="str">
        <f>IF('1. INTRO'!I$2="English","Equipment","Utrustning")</f>
        <v>Equipment</v>
      </c>
      <c r="C1145" s="735">
        <f>C1127+C1137</f>
        <v>0</v>
      </c>
      <c r="D1145" s="735">
        <f t="shared" ref="D1145:L1145" si="238">D1127+D1137</f>
        <v>0</v>
      </c>
      <c r="E1145" s="735">
        <f t="shared" si="238"/>
        <v>0</v>
      </c>
      <c r="F1145" s="735">
        <f t="shared" si="238"/>
        <v>0</v>
      </c>
      <c r="G1145" s="735">
        <f t="shared" si="238"/>
        <v>0</v>
      </c>
      <c r="H1145" s="735">
        <f t="shared" si="238"/>
        <v>0</v>
      </c>
      <c r="I1145" s="735">
        <f t="shared" si="238"/>
        <v>0</v>
      </c>
      <c r="J1145" s="735">
        <f t="shared" si="238"/>
        <v>0</v>
      </c>
      <c r="K1145" s="735">
        <f t="shared" si="238"/>
        <v>0</v>
      </c>
      <c r="L1145" s="735">
        <f t="shared" si="238"/>
        <v>0</v>
      </c>
      <c r="M1145" s="727">
        <f>SUM(C1145:L1145)</f>
        <v>0</v>
      </c>
    </row>
    <row r="1146" spans="2:15" s="3" customFormat="1" ht="13.2" x14ac:dyDescent="0.25">
      <c r="B1146" s="80" t="str">
        <f>IF('1. INTRO'!I$2="English","Facility","Lokal")</f>
        <v>Facility</v>
      </c>
      <c r="C1146" s="139">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39">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39">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39">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39">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39">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39">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39">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39">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39">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117">
        <f>SUM(C1146:L1146)</f>
        <v>0</v>
      </c>
    </row>
    <row r="1147" spans="2:15" s="3" customFormat="1" ht="13.2" x14ac:dyDescent="0.25">
      <c r="B1147" s="736" t="str">
        <f>IF('1. INTRO'!I$2="English","Indirect","Indirekt")</f>
        <v>Indirect</v>
      </c>
      <c r="C1147" s="737">
        <f>SUMIF('5. PERSON'!$B$17:$B$192,$C1122,'5. PERSON'!BR$17:BR$192)+SUMIF('5. PERSON'!$B$17:$B$192,$C1122,'5. PERSON'!CD$17:CD$192)+SUMIF('6. OPERATION'!$B$17:$B$149,$C1122,'6. OPERATION'!AU$17:AU$149)+SUMIF('6. OPERATION'!$B$17:$B$149,$C1122,'6. OPERATION'!BG$17:BG$149)</f>
        <v>0</v>
      </c>
      <c r="D1147" s="737">
        <f>SUMIF('5. PERSON'!$B$17:$B$192,$C1122,'5. PERSON'!BS$17:BS$192)+SUMIF('5. PERSON'!$B$17:$B$192,$C1122,'5. PERSON'!CE$17:CE$192)+SUMIF('6. OPERATION'!$B$17:$B$149,$C1122,'6. OPERATION'!AV$17:AV$149)+SUMIF('6. OPERATION'!$B$17:$B$149,$C1122,'6. OPERATION'!BH$17:BH$149)</f>
        <v>0</v>
      </c>
      <c r="E1147" s="737">
        <f>SUMIF('5. PERSON'!$B$17:$B$192,$C1122,'5. PERSON'!BT$17:BT$192)+SUMIF('5. PERSON'!$B$17:$B$192,$C1122,'5. PERSON'!CF$17:CF$192)+SUMIF('6. OPERATION'!$B$17:$B$149,$C1122,'6. OPERATION'!AW$17:AW$149)+SUMIF('6. OPERATION'!$B$17:$B$149,$C1122,'6. OPERATION'!BI$17:BI$149)</f>
        <v>0</v>
      </c>
      <c r="F1147" s="737">
        <f>SUMIF('5. PERSON'!$B$17:$B$192,$C1122,'5. PERSON'!BU$17:BU$192)+SUMIF('5. PERSON'!$B$17:$B$192,$C1122,'5. PERSON'!CG$17:CG$192)+SUMIF('6. OPERATION'!$B$17:$B$149,$C1122,'6. OPERATION'!AX$17:AX$149)+SUMIF('6. OPERATION'!$B$17:$B$149,$C1122,'6. OPERATION'!BJ$17:BJ$149)</f>
        <v>0</v>
      </c>
      <c r="G1147" s="737">
        <f>SUMIF('5. PERSON'!$B$17:$B$192,$C1122,'5. PERSON'!BV$17:BV$192)+SUMIF('5. PERSON'!$B$17:$B$192,$C1122,'5. PERSON'!CH$17:CH$192)+SUMIF('6. OPERATION'!$B$17:$B$149,$C1122,'6. OPERATION'!AY$17:AY$149)+SUMIF('6. OPERATION'!$B$17:$B$149,$C1122,'6. OPERATION'!BK$17:BK$149)</f>
        <v>0</v>
      </c>
      <c r="H1147" s="737">
        <f>SUMIF('5. PERSON'!$B$17:$B$192,$C1122,'5. PERSON'!BW$17:BW$192)+SUMIF('5. PERSON'!$B$17:$B$192,$C1122,'5. PERSON'!CI$17:CI$192)+SUMIF('6. OPERATION'!$B$17:$B$149,$C1122,'6. OPERATION'!AZ$17:AZ$149)+SUMIF('6. OPERATION'!$B$17:$B$149,$C1122,'6. OPERATION'!BL$17:BL$149)</f>
        <v>0</v>
      </c>
      <c r="I1147" s="737">
        <f>SUMIF('5. PERSON'!$B$17:$B$192,$C1122,'5. PERSON'!BX$17:BX$192)+SUMIF('5. PERSON'!$B$17:$B$192,$C1122,'5. PERSON'!CJ$17:CJ$192)+SUMIF('6. OPERATION'!$B$17:$B$149,$C1122,'6. OPERATION'!BA$17:BA$149)+SUMIF('6. OPERATION'!$B$17:$B$149,$C1122,'6. OPERATION'!BM$17:BM$149)</f>
        <v>0</v>
      </c>
      <c r="J1147" s="737">
        <f>SUMIF('5. PERSON'!$B$17:$B$192,$C1122,'5. PERSON'!BY$17:BY$192)+SUMIF('5. PERSON'!$B$17:$B$192,$C1122,'5. PERSON'!CK$17:CK$192)+SUMIF('6. OPERATION'!$B$17:$B$149,$C1122,'6. OPERATION'!BB$17:BB$149)+SUMIF('6. OPERATION'!$B$17:$B$149,$C1122,'6. OPERATION'!BN$17:BN$149)</f>
        <v>0</v>
      </c>
      <c r="K1147" s="737">
        <f>SUMIF('5. PERSON'!$B$17:$B$192,$C1122,'5. PERSON'!BZ$17:BZ$192)+SUMIF('5. PERSON'!$B$17:$B$192,$C1122,'5. PERSON'!CL$17:CL$192)+SUMIF('6. OPERATION'!$B$17:$B$149,$C1122,'6. OPERATION'!BC$17:BC$149)+SUMIF('6. OPERATION'!$B$17:$B$149,$C1122,'6. OPERATION'!BO$17:BO$149)</f>
        <v>0</v>
      </c>
      <c r="L1147" s="737">
        <f>SUMIF('5. PERSON'!$B$17:$B$192,$C1122,'5. PERSON'!CA$17:CA$192)+SUMIF('5. PERSON'!$B$17:$B$192,$C1122,'5. PERSON'!CM$17:CM$192)+SUMIF('6. OPERATION'!$B$17:$B$149,$C1122,'6. OPERATION'!BD$17:BD$149)+SUMIF('6. OPERATION'!$B$17:$B$149,$C1122,'6. OPERATION'!BP$17:BP$149)</f>
        <v>0</v>
      </c>
      <c r="M1147" s="733">
        <f>SUM(C1147:L1147)</f>
        <v>0</v>
      </c>
    </row>
    <row r="1148" spans="2:15" s="3" customFormat="1" ht="13.2" x14ac:dyDescent="0.25">
      <c r="B1148" s="124" t="s">
        <v>113</v>
      </c>
      <c r="C1148" s="88">
        <f>SUM(C1143:C1147)</f>
        <v>0</v>
      </c>
      <c r="D1148" s="88">
        <f t="shared" ref="D1148:M1148" si="239">SUM(D1143:D1147)</f>
        <v>0</v>
      </c>
      <c r="E1148" s="88">
        <f t="shared" si="239"/>
        <v>0</v>
      </c>
      <c r="F1148" s="88">
        <f t="shared" si="239"/>
        <v>0</v>
      </c>
      <c r="G1148" s="88">
        <f t="shared" si="239"/>
        <v>0</v>
      </c>
      <c r="H1148" s="88">
        <f t="shared" si="239"/>
        <v>0</v>
      </c>
      <c r="I1148" s="88">
        <f t="shared" si="239"/>
        <v>0</v>
      </c>
      <c r="J1148" s="88">
        <f t="shared" si="239"/>
        <v>0</v>
      </c>
      <c r="K1148" s="88">
        <f t="shared" si="239"/>
        <v>0</v>
      </c>
      <c r="L1148" s="88">
        <f t="shared" si="239"/>
        <v>0</v>
      </c>
      <c r="M1148" s="142">
        <f t="shared" si="239"/>
        <v>0</v>
      </c>
    </row>
    <row r="1149" spans="2:15" s="3" customFormat="1" ht="13.2" x14ac:dyDescent="0.25">
      <c r="B1149" s="287"/>
      <c r="C1149" s="37"/>
      <c r="D1149" s="37"/>
      <c r="E1149" s="37"/>
      <c r="F1149" s="37"/>
      <c r="G1149" s="37"/>
      <c r="H1149" s="37"/>
      <c r="I1149" s="37"/>
      <c r="J1149" s="37"/>
      <c r="K1149" s="37"/>
      <c r="L1149" s="37"/>
      <c r="M1149" s="37"/>
    </row>
    <row r="1150" spans="2:15" s="3" customFormat="1" ht="12.75" customHeight="1" x14ac:dyDescent="0.25">
      <c r="B1150" s="656" t="str">
        <f>IF('1. INTRO'!I$2="English","Co-funding share in full cost ","Medfinansieringsandel i full kostnad ")</f>
        <v xml:space="preserve">Co-funding share in full cost </v>
      </c>
      <c r="C1150" s="143" t="str">
        <f t="shared" ref="C1150:M1150" si="240">IF(C1148&gt;0,C1140/C1148,"")</f>
        <v/>
      </c>
      <c r="D1150" s="143" t="str">
        <f t="shared" si="240"/>
        <v/>
      </c>
      <c r="E1150" s="143" t="str">
        <f t="shared" si="240"/>
        <v/>
      </c>
      <c r="F1150" s="143" t="str">
        <f t="shared" si="240"/>
        <v/>
      </c>
      <c r="G1150" s="143" t="str">
        <f t="shared" si="240"/>
        <v/>
      </c>
      <c r="H1150" s="143" t="str">
        <f t="shared" si="240"/>
        <v/>
      </c>
      <c r="I1150" s="143" t="str">
        <f t="shared" si="240"/>
        <v/>
      </c>
      <c r="J1150" s="143" t="str">
        <f t="shared" si="240"/>
        <v/>
      </c>
      <c r="K1150" s="143" t="str">
        <f t="shared" si="240"/>
        <v/>
      </c>
      <c r="L1150" s="143" t="str">
        <f t="shared" si="240"/>
        <v/>
      </c>
      <c r="M1150" s="143" t="str">
        <f t="shared" si="240"/>
        <v/>
      </c>
    </row>
    <row r="1151" spans="2:15" ht="12.75" customHeight="1" x14ac:dyDescent="0.2"/>
    <row r="1152" spans="2:15" ht="12.75" customHeight="1" x14ac:dyDescent="0.25">
      <c r="D1152" s="656" t="str">
        <f>IF('1. INTRO'!I$2="English","Co-funding need in average per year: ","Medfinansieringsbehov i genomsnitt per år: ")</f>
        <v xml:space="preserve">Co-funding need in average per year: </v>
      </c>
      <c r="E1152" s="92" t="str">
        <f>IF(M1140=0,"",M1140/(DATEDIF('2. START'!C$18,'2. START'!C$19,"d")/365))</f>
        <v/>
      </c>
      <c r="H1152" s="656" t="str">
        <f>IF('1. INTRO'!I$2="English","Co-funding need 1/3 of total: ","Medfinansieringsbehov 1/3 av totalt: ")</f>
        <v xml:space="preserve">Co-funding need 1/3 of total: </v>
      </c>
      <c r="I1152" s="92">
        <f>M1140/3</f>
        <v>0</v>
      </c>
      <c r="L1152" s="287" t="str">
        <f>IF('1. INTRO'!I$2="English","Co-funding need total: ","Medfinansieringsbehov totalt: ")</f>
        <v xml:space="preserve">Co-funding need total: </v>
      </c>
      <c r="M1152" s="92">
        <f>M1140</f>
        <v>0</v>
      </c>
    </row>
    <row r="1153" spans="2:13" ht="12.75" customHeight="1" x14ac:dyDescent="0.25">
      <c r="B1153" s="53" t="str">
        <f>IF('1. INTRO'!I$2="English","Co-funding sources","Medfinansieringskällor")</f>
        <v>Co-funding sources</v>
      </c>
    </row>
    <row r="1154" spans="2:13" ht="12.75" customHeight="1" x14ac:dyDescent="0.25">
      <c r="B1154" s="225"/>
      <c r="C1154" s="226"/>
      <c r="D1154" s="226"/>
      <c r="E1154" s="226"/>
      <c r="F1154" s="226"/>
      <c r="G1154" s="226"/>
      <c r="H1154" s="226"/>
      <c r="I1154" s="226"/>
      <c r="J1154" s="226"/>
      <c r="K1154" s="226"/>
      <c r="L1154" s="227"/>
      <c r="M1154" s="168">
        <f>SUM(C1154:L1154)</f>
        <v>0</v>
      </c>
    </row>
    <row r="1155" spans="2:13" ht="12.75" customHeight="1" x14ac:dyDescent="0.25">
      <c r="B1155" s="228"/>
      <c r="C1155" s="229"/>
      <c r="D1155" s="229"/>
      <c r="E1155" s="229"/>
      <c r="F1155" s="229"/>
      <c r="G1155" s="229"/>
      <c r="H1155" s="229"/>
      <c r="I1155" s="229"/>
      <c r="J1155" s="229"/>
      <c r="K1155" s="229"/>
      <c r="L1155" s="230"/>
      <c r="M1155" s="727">
        <f t="shared" ref="M1155:M1158" si="241">SUM(C1155:L1155)</f>
        <v>0</v>
      </c>
    </row>
    <row r="1156" spans="2:13" ht="12.75" customHeight="1" x14ac:dyDescent="0.25">
      <c r="B1156" s="231"/>
      <c r="C1156" s="232"/>
      <c r="D1156" s="232"/>
      <c r="E1156" s="232"/>
      <c r="F1156" s="232"/>
      <c r="G1156" s="232"/>
      <c r="H1156" s="232"/>
      <c r="I1156" s="232"/>
      <c r="J1156" s="232"/>
      <c r="K1156" s="232"/>
      <c r="L1156" s="233"/>
      <c r="M1156" s="117">
        <f t="shared" si="241"/>
        <v>0</v>
      </c>
    </row>
    <row r="1157" spans="2:13" ht="12.75" customHeight="1" x14ac:dyDescent="0.25">
      <c r="B1157" s="228"/>
      <c r="C1157" s="229"/>
      <c r="D1157" s="229"/>
      <c r="E1157" s="229"/>
      <c r="F1157" s="229"/>
      <c r="G1157" s="229"/>
      <c r="H1157" s="229"/>
      <c r="I1157" s="229"/>
      <c r="J1157" s="229"/>
      <c r="K1157" s="229"/>
      <c r="L1157" s="230"/>
      <c r="M1157" s="727">
        <f t="shared" si="241"/>
        <v>0</v>
      </c>
    </row>
    <row r="1158" spans="2:13" ht="12.75" customHeight="1" x14ac:dyDescent="0.25">
      <c r="B1158" s="93"/>
      <c r="C1158" s="232"/>
      <c r="D1158" s="232"/>
      <c r="E1158" s="232"/>
      <c r="F1158" s="232"/>
      <c r="G1158" s="232"/>
      <c r="H1158" s="232"/>
      <c r="I1158" s="232"/>
      <c r="J1158" s="232"/>
      <c r="K1158" s="232"/>
      <c r="L1158" s="233"/>
      <c r="M1158" s="117">
        <f t="shared" si="241"/>
        <v>0</v>
      </c>
    </row>
    <row r="1159" spans="2:13" ht="12.75" customHeight="1" x14ac:dyDescent="0.25">
      <c r="B1159" s="84" t="str">
        <f>IF('1. INTRO'!I$2="English","Total co-funding ","Total medfinansiering ")</f>
        <v xml:space="preserve">Total co-funding </v>
      </c>
      <c r="C1159" s="87">
        <f t="shared" ref="C1159:M1159" si="242">SUM(C1154:C1158)</f>
        <v>0</v>
      </c>
      <c r="D1159" s="87">
        <f t="shared" si="242"/>
        <v>0</v>
      </c>
      <c r="E1159" s="87">
        <f t="shared" si="242"/>
        <v>0</v>
      </c>
      <c r="F1159" s="87">
        <f t="shared" si="242"/>
        <v>0</v>
      </c>
      <c r="G1159" s="87">
        <f t="shared" si="242"/>
        <v>0</v>
      </c>
      <c r="H1159" s="87">
        <f t="shared" si="242"/>
        <v>0</v>
      </c>
      <c r="I1159" s="87">
        <f t="shared" si="242"/>
        <v>0</v>
      </c>
      <c r="J1159" s="87">
        <f t="shared" si="242"/>
        <v>0</v>
      </c>
      <c r="K1159" s="87">
        <f t="shared" si="242"/>
        <v>0</v>
      </c>
      <c r="L1159" s="87">
        <f t="shared" si="242"/>
        <v>0</v>
      </c>
      <c r="M1159" s="142">
        <f t="shared" si="242"/>
        <v>0</v>
      </c>
    </row>
    <row r="1160" spans="2:13" ht="12.75" customHeight="1" x14ac:dyDescent="0.2"/>
    <row r="1161" spans="2:13" ht="12.75" customHeight="1" x14ac:dyDescent="0.2">
      <c r="B1161" s="667" t="str">
        <f>IF('1. INTRO'!I$2="English","Calculation comments","Kalkylkommentarer")</f>
        <v>Calculation comments</v>
      </c>
    </row>
    <row r="1162" spans="2:13" ht="12.75" customHeight="1" x14ac:dyDescent="0.2">
      <c r="B1162" s="1142"/>
      <c r="C1162" s="1143"/>
      <c r="D1162" s="1143"/>
      <c r="E1162" s="1143"/>
      <c r="F1162" s="1143"/>
      <c r="G1162" s="1143"/>
      <c r="H1162" s="1143"/>
      <c r="I1162" s="1143"/>
      <c r="J1162" s="1143"/>
      <c r="K1162" s="1143"/>
      <c r="L1162" s="1143"/>
      <c r="M1162" s="1144"/>
    </row>
    <row r="1163" spans="2:13" ht="12.75" customHeight="1" x14ac:dyDescent="0.2">
      <c r="B1163" s="1145"/>
      <c r="C1163" s="1226"/>
      <c r="D1163" s="1226"/>
      <c r="E1163" s="1226"/>
      <c r="F1163" s="1226"/>
      <c r="G1163" s="1226"/>
      <c r="H1163" s="1226"/>
      <c r="I1163" s="1226"/>
      <c r="J1163" s="1226"/>
      <c r="K1163" s="1226"/>
      <c r="L1163" s="1226"/>
      <c r="M1163" s="1147"/>
    </row>
    <row r="1164" spans="2:13" ht="12.75" customHeight="1" x14ac:dyDescent="0.2">
      <c r="B1164" s="1145"/>
      <c r="C1164" s="1226"/>
      <c r="D1164" s="1226"/>
      <c r="E1164" s="1226"/>
      <c r="F1164" s="1226"/>
      <c r="G1164" s="1226"/>
      <c r="H1164" s="1226"/>
      <c r="I1164" s="1226"/>
      <c r="J1164" s="1226"/>
      <c r="K1164" s="1226"/>
      <c r="L1164" s="1226"/>
      <c r="M1164" s="1147"/>
    </row>
    <row r="1165" spans="2:13" ht="12.75" customHeight="1" x14ac:dyDescent="0.2">
      <c r="B1165" s="1145"/>
      <c r="C1165" s="1226"/>
      <c r="D1165" s="1226"/>
      <c r="E1165" s="1226"/>
      <c r="F1165" s="1226"/>
      <c r="G1165" s="1226"/>
      <c r="H1165" s="1226"/>
      <c r="I1165" s="1226"/>
      <c r="J1165" s="1226"/>
      <c r="K1165" s="1226"/>
      <c r="L1165" s="1226"/>
      <c r="M1165" s="1147"/>
    </row>
    <row r="1166" spans="2:13" ht="12.75" customHeight="1" x14ac:dyDescent="0.2">
      <c r="B1166" s="1148"/>
      <c r="C1166" s="1149"/>
      <c r="D1166" s="1149"/>
      <c r="E1166" s="1149"/>
      <c r="F1166" s="1149"/>
      <c r="G1166" s="1149"/>
      <c r="H1166" s="1149"/>
      <c r="I1166" s="1149"/>
      <c r="J1166" s="1149"/>
      <c r="K1166" s="1149"/>
      <c r="L1166" s="1149"/>
      <c r="M1166" s="1150"/>
    </row>
    <row r="1168" spans="2:13" s="3" customFormat="1" ht="12.75" customHeight="1" x14ac:dyDescent="0.25">
      <c r="B1168" s="313" t="str">
        <f>'3. PARTNER'!C$4</f>
        <v xml:space="preserve">Project: </v>
      </c>
      <c r="C1168" s="1062" t="str">
        <f>'3. PARTNER'!D$4</f>
        <v/>
      </c>
      <c r="D1168" s="1001"/>
      <c r="E1168" s="1001"/>
      <c r="F1168" s="1001"/>
      <c r="G1168" s="1001"/>
      <c r="H1168" s="1001"/>
      <c r="I1168" s="1001"/>
      <c r="J1168" s="1001"/>
      <c r="K1168" s="1001"/>
      <c r="L1168" s="1001"/>
      <c r="M1168" s="1001"/>
    </row>
    <row r="1169" spans="2:15" s="3" customFormat="1" ht="13.2" x14ac:dyDescent="0.25">
      <c r="B1169" s="313" t="str">
        <f>'3. PARTNER'!C$5</f>
        <v xml:space="preserve">Calculation for: </v>
      </c>
      <c r="C1169" s="1062" t="str">
        <f>'3. PARTNER'!D$5</f>
        <v>APPLICATION</v>
      </c>
      <c r="D1169" s="1001"/>
      <c r="E1169" s="268"/>
      <c r="F1169" s="268"/>
      <c r="G1169" s="268"/>
      <c r="H1169" s="268"/>
      <c r="I1169" s="268"/>
      <c r="J1169" s="268"/>
      <c r="K1169" s="268"/>
      <c r="L1169" s="268"/>
      <c r="M1169" s="268"/>
    </row>
    <row r="1170" spans="2:15" s="3" customFormat="1" ht="13.2" x14ac:dyDescent="0.25">
      <c r="B1170" s="35" t="str">
        <f>'3. PARTNER'!C$6</f>
        <v xml:space="preserve">Project leader: </v>
      </c>
      <c r="C1170" s="1062" t="str">
        <f>'3. PARTNER'!D$6</f>
        <v/>
      </c>
      <c r="D1170" s="1001"/>
      <c r="E1170" s="1001"/>
      <c r="F1170" s="1001"/>
      <c r="G1170" s="1001"/>
      <c r="H1170" s="1001"/>
      <c r="I1170" s="1001"/>
      <c r="J1170" s="1001"/>
      <c r="K1170" s="1001"/>
      <c r="L1170" s="1001"/>
      <c r="M1170" s="1001"/>
    </row>
    <row r="1171" spans="2:15" s="3" customFormat="1" ht="13.2" x14ac:dyDescent="0.25">
      <c r="B1171" s="313" t="str">
        <f>'5. PERSON'!B$7</f>
        <v xml:space="preserve">Amounts in: </v>
      </c>
      <c r="C1171" s="655" t="str">
        <f>'5. PERSON'!C$7</f>
        <v>SEK</v>
      </c>
      <c r="D1171" s="268"/>
      <c r="E1171" s="268"/>
      <c r="F1171" s="268"/>
      <c r="G1171" s="234"/>
      <c r="H1171" s="234"/>
      <c r="I1171" s="270"/>
      <c r="J1171" s="270"/>
      <c r="K1171" s="270"/>
      <c r="L1171" s="270"/>
      <c r="M1171" s="270"/>
    </row>
    <row r="1172" spans="2:15" s="3" customFormat="1" ht="13.2" x14ac:dyDescent="0.25">
      <c r="B1172" s="313"/>
      <c r="C1172" s="1053" t="str">
        <f>'3. PARTNER'!D$7</f>
        <v>Other basic data about the project is in sheet 2.</v>
      </c>
      <c r="D1172" s="1001"/>
      <c r="E1172" s="1001"/>
      <c r="F1172" s="1001"/>
      <c r="G1172" s="234"/>
      <c r="H1172" s="234"/>
      <c r="I1172" s="270"/>
      <c r="J1172" s="270"/>
      <c r="K1172" s="270"/>
      <c r="L1172" s="251" t="s">
        <v>4</v>
      </c>
      <c r="M1172" s="270"/>
    </row>
    <row r="1173" spans="2:15" ht="12.75" customHeight="1" x14ac:dyDescent="0.2">
      <c r="L1173" s="252" t="str">
        <f>IF('1. INTRO'!I$2="English","months","månader")</f>
        <v>months</v>
      </c>
    </row>
    <row r="1174" spans="2:15" s="3" customFormat="1" ht="13.8" x14ac:dyDescent="0.25">
      <c r="B1174" s="157" t="str">
        <f>IF('1. INTRO'!I$2="English","Project costs","Projektkostnader")</f>
        <v>Project costs</v>
      </c>
      <c r="C1174" s="1259" t="str">
        <f>B36</f>
        <v xml:space="preserve">NJ-faculty </v>
      </c>
      <c r="D1174" s="1004"/>
      <c r="E1174" s="37"/>
      <c r="G1174" s="37"/>
      <c r="H1174" s="37"/>
      <c r="I1174" s="37"/>
      <c r="J1174" s="37"/>
      <c r="K1174" s="37"/>
      <c r="L1174" s="642">
        <f>L1122+L1070+L1018+L966+L914+L862+L810+L758+L706+L654+L602+L550</f>
        <v>0</v>
      </c>
      <c r="M1174" s="680" t="s">
        <v>330</v>
      </c>
    </row>
    <row r="1175" spans="2:15" s="3" customFormat="1" ht="6" customHeight="1" x14ac:dyDescent="0.25">
      <c r="B1175" s="57"/>
      <c r="C1175" s="37"/>
      <c r="D1175" s="37"/>
      <c r="E1175" s="37"/>
      <c r="F1175" s="37"/>
      <c r="G1175" s="37"/>
      <c r="H1175" s="37"/>
      <c r="I1175" s="37"/>
      <c r="J1175" s="37"/>
      <c r="K1175" s="37"/>
      <c r="L1175" s="37"/>
      <c r="M1175" s="37"/>
    </row>
    <row r="1176" spans="2:15" s="3" customFormat="1" ht="13.2" x14ac:dyDescent="0.25">
      <c r="B1176" s="110" t="str">
        <f>IF('1. INTRO'!I$2="English","Costs to be covered by funding body","Kostnader att täckas av finansiär")</f>
        <v>Costs to be covered by funding body</v>
      </c>
      <c r="C1176" s="111">
        <f>'5. PERSON'!G$15</f>
        <v>1900</v>
      </c>
      <c r="D1176" s="111" t="str">
        <f>'5. PERSON'!H$15</f>
        <v/>
      </c>
      <c r="E1176" s="111" t="str">
        <f>'5. PERSON'!I$15</f>
        <v/>
      </c>
      <c r="F1176" s="111" t="str">
        <f>'5. PERSON'!J$15</f>
        <v/>
      </c>
      <c r="G1176" s="111" t="str">
        <f>'5. PERSON'!K$15</f>
        <v/>
      </c>
      <c r="H1176" s="111" t="str">
        <f>'5. PERSON'!L$15</f>
        <v/>
      </c>
      <c r="I1176" s="111" t="str">
        <f>'5. PERSON'!M$15</f>
        <v/>
      </c>
      <c r="J1176" s="111" t="str">
        <f>'5. PERSON'!N$15</f>
        <v/>
      </c>
      <c r="K1176" s="111" t="str">
        <f>'5. PERSON'!O$15</f>
        <v/>
      </c>
      <c r="L1176" s="111" t="str">
        <f>'5. PERSON'!P$15</f>
        <v/>
      </c>
      <c r="M1176" s="112" t="s">
        <v>2</v>
      </c>
    </row>
    <row r="1177" spans="2:15" s="3" customFormat="1" ht="12.75" customHeight="1" x14ac:dyDescent="0.25">
      <c r="B1177" s="722" t="str">
        <f>IF('1. INTRO'!I$2="English","Salary including social costs (LKP)","Lön inklusive LKP")</f>
        <v>Salary including social costs (LKP)</v>
      </c>
      <c r="C1177" s="738">
        <f>C553+C605+C657+C709+C761+C813+C865+C917+C969+C1021+C1073+C1125</f>
        <v>0</v>
      </c>
      <c r="D1177" s="738">
        <f t="shared" ref="D1177:L1177" si="243">D553+D605+D657+D709+D761+D813+D865+D917+D969+D1021+D1073+D1125</f>
        <v>0</v>
      </c>
      <c r="E1177" s="738">
        <f t="shared" si="243"/>
        <v>0</v>
      </c>
      <c r="F1177" s="738">
        <f t="shared" si="243"/>
        <v>0</v>
      </c>
      <c r="G1177" s="738">
        <f t="shared" si="243"/>
        <v>0</v>
      </c>
      <c r="H1177" s="738">
        <f t="shared" si="243"/>
        <v>0</v>
      </c>
      <c r="I1177" s="738">
        <f t="shared" si="243"/>
        <v>0</v>
      </c>
      <c r="J1177" s="738">
        <f t="shared" si="243"/>
        <v>0</v>
      </c>
      <c r="K1177" s="738">
        <f t="shared" si="243"/>
        <v>0</v>
      </c>
      <c r="L1177" s="738">
        <f t="shared" si="243"/>
        <v>0</v>
      </c>
      <c r="M1177" s="739">
        <f t="shared" ref="M1177:M1182" si="244">SUM(C1177:L1177)</f>
        <v>0</v>
      </c>
      <c r="O1177" s="4"/>
    </row>
    <row r="1178" spans="2:15" s="3" customFormat="1" ht="12.75" customHeight="1" x14ac:dyDescent="0.25">
      <c r="B1178" s="80" t="str">
        <f>IF('1. INTRO'!I$2="English","Operating","Drift")</f>
        <v>Operating</v>
      </c>
      <c r="C1178" s="171">
        <f>C554+C606+C658+C710+C762+C814+C866+C918+C970+C1022+C1074+C1126</f>
        <v>0</v>
      </c>
      <c r="D1178" s="171">
        <f t="shared" ref="D1178:L1178" si="245">D554+D606+D658+D710+D762+D814+D866+D918+D970+D1022+D1074+D1126</f>
        <v>0</v>
      </c>
      <c r="E1178" s="171">
        <f t="shared" si="245"/>
        <v>0</v>
      </c>
      <c r="F1178" s="171">
        <f t="shared" si="245"/>
        <v>0</v>
      </c>
      <c r="G1178" s="171">
        <f t="shared" si="245"/>
        <v>0</v>
      </c>
      <c r="H1178" s="171">
        <f t="shared" si="245"/>
        <v>0</v>
      </c>
      <c r="I1178" s="171">
        <f t="shared" si="245"/>
        <v>0</v>
      </c>
      <c r="J1178" s="171">
        <f t="shared" si="245"/>
        <v>0</v>
      </c>
      <c r="K1178" s="171">
        <f t="shared" si="245"/>
        <v>0</v>
      </c>
      <c r="L1178" s="171">
        <f t="shared" si="245"/>
        <v>0</v>
      </c>
      <c r="M1178" s="146">
        <f t="shared" si="244"/>
        <v>0</v>
      </c>
    </row>
    <row r="1179" spans="2:15" s="3" customFormat="1" ht="13.2" x14ac:dyDescent="0.25">
      <c r="B1179" s="725" t="str">
        <f>IF('1. INTRO'!I$2="English","Equipment","Utrustning")</f>
        <v>Equipment</v>
      </c>
      <c r="C1179" s="740">
        <f>C555+C607+C659+C711+C763+C815+C867+C919+C971+C1023+C1075+C1127</f>
        <v>0</v>
      </c>
      <c r="D1179" s="740">
        <f t="shared" ref="D1179:L1179" si="246">D555+D607+D659+D711+D763+D815+D867+D919+D971+D1023+D1075+D1127</f>
        <v>0</v>
      </c>
      <c r="E1179" s="740">
        <f t="shared" si="246"/>
        <v>0</v>
      </c>
      <c r="F1179" s="740">
        <f t="shared" si="246"/>
        <v>0</v>
      </c>
      <c r="G1179" s="740">
        <f t="shared" si="246"/>
        <v>0</v>
      </c>
      <c r="H1179" s="740">
        <f t="shared" si="246"/>
        <v>0</v>
      </c>
      <c r="I1179" s="740">
        <f t="shared" si="246"/>
        <v>0</v>
      </c>
      <c r="J1179" s="740">
        <f t="shared" si="246"/>
        <v>0</v>
      </c>
      <c r="K1179" s="740">
        <f t="shared" si="246"/>
        <v>0</v>
      </c>
      <c r="L1179" s="740">
        <f t="shared" si="246"/>
        <v>0</v>
      </c>
      <c r="M1179" s="741">
        <f t="shared" si="244"/>
        <v>0</v>
      </c>
    </row>
    <row r="1180" spans="2:15" s="3" customFormat="1" ht="13.2" x14ac:dyDescent="0.25">
      <c r="B1180" s="121" t="str">
        <f>IF('1. INTRO'!I$2="English",(IF('2. START'!C$11="NO","Facility accepted as direct cost by funding body","Facility")),IF('2. START'!C$11="NO","Lokal accepterad som direkt kostnad av finansiär","Lokal"))</f>
        <v>Facility</v>
      </c>
      <c r="C1180" s="171">
        <f>C556+C608+C660+C712+C764+C816+C868+C920+C972+C1024+C1076+C1128</f>
        <v>0</v>
      </c>
      <c r="D1180" s="171">
        <f t="shared" ref="D1180:L1180" si="247">D556+D608+D660+D712+D764+D816+D868+D920+D972+D1024+D1076+D1128</f>
        <v>0</v>
      </c>
      <c r="E1180" s="171">
        <f t="shared" si="247"/>
        <v>0</v>
      </c>
      <c r="F1180" s="171">
        <f t="shared" si="247"/>
        <v>0</v>
      </c>
      <c r="G1180" s="171">
        <f t="shared" si="247"/>
        <v>0</v>
      </c>
      <c r="H1180" s="171">
        <f t="shared" si="247"/>
        <v>0</v>
      </c>
      <c r="I1180" s="171">
        <f t="shared" si="247"/>
        <v>0</v>
      </c>
      <c r="J1180" s="171">
        <f t="shared" si="247"/>
        <v>0</v>
      </c>
      <c r="K1180" s="171">
        <f t="shared" si="247"/>
        <v>0</v>
      </c>
      <c r="L1180" s="171">
        <f t="shared" si="247"/>
        <v>0</v>
      </c>
      <c r="M1180" s="146">
        <f t="shared" si="244"/>
        <v>0</v>
      </c>
    </row>
    <row r="1181" spans="2:15" s="3" customFormat="1" ht="13.2" x14ac:dyDescent="0.25">
      <c r="B1181" s="728" t="str">
        <f>IF('1. INTRO'!I$2="English",(IF('2. START'!C$11="NO","Indirect and facility charge accepted as OH by funding body","Indirect")),IF('2. START'!C$11="NO","Indirekt och lokalpåslag accepterade som OH av finansiär","Indirekt"))</f>
        <v>Indirect</v>
      </c>
      <c r="C1181" s="742">
        <f>C557+C609+C661+C713+C765+C817+C869+C921+C973+C1025+C1077+C1129</f>
        <v>0</v>
      </c>
      <c r="D1181" s="742">
        <f t="shared" ref="D1181:L1181" si="248">D557+D609+D661+D713+D765+D817+D869+D921+D973+D1025+D1077+D1129</f>
        <v>0</v>
      </c>
      <c r="E1181" s="742">
        <f t="shared" si="248"/>
        <v>0</v>
      </c>
      <c r="F1181" s="742">
        <f t="shared" si="248"/>
        <v>0</v>
      </c>
      <c r="G1181" s="742">
        <f t="shared" si="248"/>
        <v>0</v>
      </c>
      <c r="H1181" s="742">
        <f t="shared" si="248"/>
        <v>0</v>
      </c>
      <c r="I1181" s="742">
        <f t="shared" si="248"/>
        <v>0</v>
      </c>
      <c r="J1181" s="742">
        <f t="shared" si="248"/>
        <v>0</v>
      </c>
      <c r="K1181" s="742">
        <f t="shared" si="248"/>
        <v>0</v>
      </c>
      <c r="L1181" s="742">
        <f t="shared" si="248"/>
        <v>0</v>
      </c>
      <c r="M1181" s="743">
        <f t="shared" si="244"/>
        <v>0</v>
      </c>
    </row>
    <row r="1182" spans="2:15" s="3" customFormat="1" ht="13.2" x14ac:dyDescent="0.25">
      <c r="B1182" s="124" t="s">
        <v>113</v>
      </c>
      <c r="C1182" s="161">
        <f>SUM(C1177:C1181)</f>
        <v>0</v>
      </c>
      <c r="D1182" s="161">
        <f t="shared" ref="D1182:L1182" si="249">SUM(D1177:D1181)</f>
        <v>0</v>
      </c>
      <c r="E1182" s="161">
        <f t="shared" si="249"/>
        <v>0</v>
      </c>
      <c r="F1182" s="161">
        <f t="shared" si="249"/>
        <v>0</v>
      </c>
      <c r="G1182" s="161">
        <f t="shared" si="249"/>
        <v>0</v>
      </c>
      <c r="H1182" s="161">
        <f t="shared" si="249"/>
        <v>0</v>
      </c>
      <c r="I1182" s="161">
        <f t="shared" si="249"/>
        <v>0</v>
      </c>
      <c r="J1182" s="161">
        <f t="shared" si="249"/>
        <v>0</v>
      </c>
      <c r="K1182" s="161">
        <f t="shared" si="249"/>
        <v>0</v>
      </c>
      <c r="L1182" s="161">
        <f t="shared" si="249"/>
        <v>0</v>
      </c>
      <c r="M1182" s="125">
        <f t="shared" si="244"/>
        <v>0</v>
      </c>
    </row>
    <row r="1183" spans="2:15" s="3" customFormat="1" ht="6" customHeight="1" x14ac:dyDescent="0.25">
      <c r="B1183" s="126"/>
      <c r="C1183" s="127"/>
      <c r="D1183" s="127"/>
      <c r="E1183" s="127"/>
      <c r="F1183" s="127"/>
      <c r="G1183" s="127"/>
      <c r="H1183" s="127"/>
      <c r="I1183" s="127"/>
      <c r="J1183" s="127"/>
      <c r="K1183" s="127"/>
      <c r="L1183" s="127"/>
      <c r="M1183" s="128"/>
    </row>
    <row r="1184" spans="2:15" s="3" customFormat="1" ht="13.2" x14ac:dyDescent="0.25">
      <c r="B1184" s="129" t="str">
        <f>IF('1. INTRO'!I$2="English","Costs to be co-funded","Kostnader att medfinansiera")</f>
        <v>Costs to be co-funded</v>
      </c>
      <c r="C1184" s="86"/>
      <c r="D1184" s="86"/>
      <c r="E1184" s="86"/>
      <c r="F1184" s="86"/>
      <c r="G1184" s="86"/>
      <c r="H1184" s="86"/>
      <c r="I1184" s="86"/>
      <c r="J1184" s="86"/>
      <c r="K1184" s="86"/>
      <c r="L1184" s="86"/>
      <c r="M1184" s="130"/>
    </row>
    <row r="1185" spans="2:15" s="3" customFormat="1" ht="13.2" x14ac:dyDescent="0.25">
      <c r="B1185" s="730" t="str">
        <f>IF('1. INTRO'!I$2="English",(IF('2. START'!C$11="NO","Indirect and facility charge not accepted as OH by funding body","")),IF('2. START'!C$11="NO","Indirekt och lokalpåslag inte accepterade som OH av finansiär",""))</f>
        <v/>
      </c>
      <c r="C1185" s="744">
        <f t="shared" ref="C1185:C1191" si="250">C561+C613+C665+C717+C769+C821+C873+C925+C977+C1029+C1081+C1133</f>
        <v>0</v>
      </c>
      <c r="D1185" s="744">
        <f t="shared" ref="D1185:L1185" si="251">D561+D613+D665+D717+D769+D821+D873+D925+D977+D1029+D1081+D1133</f>
        <v>0</v>
      </c>
      <c r="E1185" s="744">
        <f t="shared" si="251"/>
        <v>0</v>
      </c>
      <c r="F1185" s="744">
        <f t="shared" si="251"/>
        <v>0</v>
      </c>
      <c r="G1185" s="744">
        <f t="shared" si="251"/>
        <v>0</v>
      </c>
      <c r="H1185" s="744">
        <f t="shared" si="251"/>
        <v>0</v>
      </c>
      <c r="I1185" s="744">
        <f t="shared" si="251"/>
        <v>0</v>
      </c>
      <c r="J1185" s="744">
        <f t="shared" si="251"/>
        <v>0</v>
      </c>
      <c r="K1185" s="744">
        <f t="shared" si="251"/>
        <v>0</v>
      </c>
      <c r="L1185" s="744">
        <f t="shared" si="251"/>
        <v>0</v>
      </c>
      <c r="M1185" s="739">
        <f t="shared" ref="M1185:M1191" si="252">SUM(C1185:L1185)</f>
        <v>0</v>
      </c>
    </row>
    <row r="1186" spans="2:15" s="3" customFormat="1" ht="12.75" customHeight="1" x14ac:dyDescent="0.25">
      <c r="B1186" s="132" t="str">
        <f>IF('1. INTRO'!I$2="English",(IF('2. START'!C$14&gt;0,"Social costs (LKP) not accepted by funding body","")),IF('2. START'!C$14&gt;0,"LKP som inte accepteras av finansiär",""))</f>
        <v/>
      </c>
      <c r="C1186" s="181">
        <f t="shared" si="250"/>
        <v>0</v>
      </c>
      <c r="D1186" s="181">
        <f t="shared" ref="D1186:L1186" si="253">D562+D614+D666+D718+D770+D822+D874+D926+D978+D1030+D1082+D1134</f>
        <v>0</v>
      </c>
      <c r="E1186" s="181">
        <f t="shared" si="253"/>
        <v>0</v>
      </c>
      <c r="F1186" s="181">
        <f t="shared" si="253"/>
        <v>0</v>
      </c>
      <c r="G1186" s="181">
        <f t="shared" si="253"/>
        <v>0</v>
      </c>
      <c r="H1186" s="181">
        <f t="shared" si="253"/>
        <v>0</v>
      </c>
      <c r="I1186" s="181">
        <f t="shared" si="253"/>
        <v>0</v>
      </c>
      <c r="J1186" s="181">
        <f t="shared" si="253"/>
        <v>0</v>
      </c>
      <c r="K1186" s="181">
        <f t="shared" si="253"/>
        <v>0</v>
      </c>
      <c r="L1186" s="181">
        <f t="shared" si="253"/>
        <v>0</v>
      </c>
      <c r="M1186" s="146">
        <f t="shared" si="252"/>
        <v>0</v>
      </c>
    </row>
    <row r="1187" spans="2:15" s="3" customFormat="1" ht="12.75" customHeight="1" x14ac:dyDescent="0.25">
      <c r="B1187" s="725" t="str">
        <f>IF('1. INTRO'!I$2="English",(IF('5. PERSON'!BP$193&gt;0,"Salary including social costs (LKP)","")),IF('5. PERSON'!BP$193&gt;0,"Lön inklusive LKP",""))</f>
        <v/>
      </c>
      <c r="C1187" s="745">
        <f t="shared" si="250"/>
        <v>0</v>
      </c>
      <c r="D1187" s="745">
        <f t="shared" ref="D1187:L1187" si="254">D563+D615+D667+D719+D771+D823+D875+D927+D979+D1031+D1083+D1135</f>
        <v>0</v>
      </c>
      <c r="E1187" s="745">
        <f t="shared" si="254"/>
        <v>0</v>
      </c>
      <c r="F1187" s="745">
        <f t="shared" si="254"/>
        <v>0</v>
      </c>
      <c r="G1187" s="745">
        <f t="shared" si="254"/>
        <v>0</v>
      </c>
      <c r="H1187" s="745">
        <f t="shared" si="254"/>
        <v>0</v>
      </c>
      <c r="I1187" s="745">
        <f t="shared" si="254"/>
        <v>0</v>
      </c>
      <c r="J1187" s="745">
        <f t="shared" si="254"/>
        <v>0</v>
      </c>
      <c r="K1187" s="745">
        <f t="shared" si="254"/>
        <v>0</v>
      </c>
      <c r="L1187" s="745">
        <f t="shared" si="254"/>
        <v>0</v>
      </c>
      <c r="M1187" s="741">
        <f t="shared" si="252"/>
        <v>0</v>
      </c>
    </row>
    <row r="1188" spans="2:15" s="3" customFormat="1" ht="13.2" x14ac:dyDescent="0.25">
      <c r="B1188" s="80" t="str">
        <f>IF('1. INTRO'!I$2="English",(IF('6. OPERATION'!AS$150&gt;0,"Operating","")),IF('6. OPERATION'!AS$150&gt;0,"Drift",""))</f>
        <v/>
      </c>
      <c r="C1188" s="181">
        <f t="shared" si="250"/>
        <v>0</v>
      </c>
      <c r="D1188" s="181">
        <f t="shared" ref="D1188:L1188" si="255">D564+D616+D668+D720+D772+D824+D876+D928+D980+D1032+D1084+D1136</f>
        <v>0</v>
      </c>
      <c r="E1188" s="181">
        <f t="shared" si="255"/>
        <v>0</v>
      </c>
      <c r="F1188" s="181">
        <f t="shared" si="255"/>
        <v>0</v>
      </c>
      <c r="G1188" s="181">
        <f t="shared" si="255"/>
        <v>0</v>
      </c>
      <c r="H1188" s="181">
        <f t="shared" si="255"/>
        <v>0</v>
      </c>
      <c r="I1188" s="181">
        <f t="shared" si="255"/>
        <v>0</v>
      </c>
      <c r="J1188" s="181">
        <f t="shared" si="255"/>
        <v>0</v>
      </c>
      <c r="K1188" s="181">
        <f t="shared" si="255"/>
        <v>0</v>
      </c>
      <c r="L1188" s="181">
        <f t="shared" si="255"/>
        <v>0</v>
      </c>
      <c r="M1188" s="146">
        <f t="shared" si="252"/>
        <v>0</v>
      </c>
    </row>
    <row r="1189" spans="2:15" s="3" customFormat="1" ht="13.2" x14ac:dyDescent="0.25">
      <c r="B1189" s="725" t="str">
        <f>IF('1. INTRO'!I$2="English",(IF('7. INVEST'!AS$50&gt;0,"Equipment","")),IF('7. INVEST'!AS$50&gt;0,"Utrustning",""))</f>
        <v/>
      </c>
      <c r="C1189" s="745">
        <f t="shared" si="250"/>
        <v>0</v>
      </c>
      <c r="D1189" s="745">
        <f t="shared" ref="D1189:L1189" si="256">D565+D617+D669+D721+D773+D825+D877+D929+D981+D1033+D1085+D1137</f>
        <v>0</v>
      </c>
      <c r="E1189" s="745">
        <f t="shared" si="256"/>
        <v>0</v>
      </c>
      <c r="F1189" s="745">
        <f t="shared" si="256"/>
        <v>0</v>
      </c>
      <c r="G1189" s="745">
        <f t="shared" si="256"/>
        <v>0</v>
      </c>
      <c r="H1189" s="745">
        <f t="shared" si="256"/>
        <v>0</v>
      </c>
      <c r="I1189" s="745">
        <f t="shared" si="256"/>
        <v>0</v>
      </c>
      <c r="J1189" s="745">
        <f t="shared" si="256"/>
        <v>0</v>
      </c>
      <c r="K1189" s="745">
        <f t="shared" si="256"/>
        <v>0</v>
      </c>
      <c r="L1189" s="745">
        <f t="shared" si="256"/>
        <v>0</v>
      </c>
      <c r="M1189" s="741">
        <f t="shared" si="252"/>
        <v>0</v>
      </c>
    </row>
    <row r="1190" spans="2:15" s="3" customFormat="1" ht="13.2" x14ac:dyDescent="0.25">
      <c r="B1190" s="121" t="str">
        <f>IF('1. INTRO'!I$2="English",(IF('8. FACILIT'!AP$51&gt;0,"Facility","")),IF('8. FACILIT'!AP$51&gt;0,"Lokal",""))</f>
        <v/>
      </c>
      <c r="C1190" s="181">
        <f t="shared" si="250"/>
        <v>0</v>
      </c>
      <c r="D1190" s="181">
        <f t="shared" ref="D1190:L1190" si="257">D566+D618+D670+D722+D774+D826+D878+D930+D982+D1034+D1086+D1138</f>
        <v>0</v>
      </c>
      <c r="E1190" s="181">
        <f t="shared" si="257"/>
        <v>0</v>
      </c>
      <c r="F1190" s="181">
        <f t="shared" si="257"/>
        <v>0</v>
      </c>
      <c r="G1190" s="181">
        <f t="shared" si="257"/>
        <v>0</v>
      </c>
      <c r="H1190" s="181">
        <f t="shared" si="257"/>
        <v>0</v>
      </c>
      <c r="I1190" s="181">
        <f t="shared" si="257"/>
        <v>0</v>
      </c>
      <c r="J1190" s="181">
        <f t="shared" si="257"/>
        <v>0</v>
      </c>
      <c r="K1190" s="181">
        <f t="shared" si="257"/>
        <v>0</v>
      </c>
      <c r="L1190" s="181">
        <f t="shared" si="257"/>
        <v>0</v>
      </c>
      <c r="M1190" s="146">
        <f t="shared" si="252"/>
        <v>0</v>
      </c>
    </row>
    <row r="1191" spans="2:15" s="1" customFormat="1" ht="13.2" x14ac:dyDescent="0.25">
      <c r="B1191" s="728" t="str">
        <f>IF('1. INTRO'!I$2="English",(IF(('5. PERSON'!CN$193+'6. OPERATION'!BQ$150)&gt;0,"Indirect","")),IF(('5. PERSON'!CN$193+'6. OPERATION'!BQ$150)&gt;0,"Indirekt",""))</f>
        <v/>
      </c>
      <c r="C1191" s="746">
        <f t="shared" si="250"/>
        <v>0</v>
      </c>
      <c r="D1191" s="746">
        <f t="shared" ref="D1191:L1191" si="258">D567+D619+D671+D723+D775+D827+D879+D931+D983+D1035+D1087+D1139</f>
        <v>0</v>
      </c>
      <c r="E1191" s="746">
        <f t="shared" si="258"/>
        <v>0</v>
      </c>
      <c r="F1191" s="746">
        <f t="shared" si="258"/>
        <v>0</v>
      </c>
      <c r="G1191" s="746">
        <f t="shared" si="258"/>
        <v>0</v>
      </c>
      <c r="H1191" s="746">
        <f t="shared" si="258"/>
        <v>0</v>
      </c>
      <c r="I1191" s="746">
        <f t="shared" si="258"/>
        <v>0</v>
      </c>
      <c r="J1191" s="746">
        <f t="shared" si="258"/>
        <v>0</v>
      </c>
      <c r="K1191" s="746">
        <f t="shared" si="258"/>
        <v>0</v>
      </c>
      <c r="L1191" s="746">
        <f t="shared" si="258"/>
        <v>0</v>
      </c>
      <c r="M1191" s="743">
        <f t="shared" si="252"/>
        <v>0</v>
      </c>
    </row>
    <row r="1192" spans="2:15" s="3" customFormat="1" ht="13.2" x14ac:dyDescent="0.25">
      <c r="B1192" s="124" t="s">
        <v>113</v>
      </c>
      <c r="C1192" s="161">
        <f>SUM(C1185:C1191)</f>
        <v>0</v>
      </c>
      <c r="D1192" s="161">
        <f t="shared" ref="D1192:M1192" si="259">SUM(D1185:D1191)</f>
        <v>0</v>
      </c>
      <c r="E1192" s="161">
        <f t="shared" si="259"/>
        <v>0</v>
      </c>
      <c r="F1192" s="161">
        <f t="shared" si="259"/>
        <v>0</v>
      </c>
      <c r="G1192" s="161">
        <f t="shared" si="259"/>
        <v>0</v>
      </c>
      <c r="H1192" s="161">
        <f t="shared" si="259"/>
        <v>0</v>
      </c>
      <c r="I1192" s="161">
        <f t="shared" si="259"/>
        <v>0</v>
      </c>
      <c r="J1192" s="161">
        <f t="shared" si="259"/>
        <v>0</v>
      </c>
      <c r="K1192" s="161">
        <f t="shared" si="259"/>
        <v>0</v>
      </c>
      <c r="L1192" s="161">
        <f t="shared" si="259"/>
        <v>0</v>
      </c>
      <c r="M1192" s="125">
        <f t="shared" si="259"/>
        <v>0</v>
      </c>
      <c r="N1192" s="23"/>
      <c r="O1192" s="23"/>
    </row>
    <row r="1193" spans="2:15" s="3" customFormat="1" ht="6" customHeight="1" x14ac:dyDescent="0.25">
      <c r="B1193" s="136"/>
      <c r="C1193" s="127"/>
      <c r="D1193" s="127"/>
      <c r="E1193" s="127"/>
      <c r="F1193" s="127"/>
      <c r="G1193" s="127"/>
      <c r="H1193" s="127"/>
      <c r="I1193" s="127"/>
      <c r="J1193" s="127"/>
      <c r="K1193" s="127"/>
      <c r="L1193" s="127"/>
      <c r="M1193" s="137"/>
    </row>
    <row r="1194" spans="2:15" s="3" customFormat="1" ht="13.2" x14ac:dyDescent="0.25">
      <c r="B1194" s="129" t="str">
        <f>IF('1. INTRO'!I$2="English","Full cost","Full kostnad")</f>
        <v>Full cost</v>
      </c>
      <c r="C1194" s="127"/>
      <c r="D1194" s="127"/>
      <c r="E1194" s="127"/>
      <c r="F1194" s="127"/>
      <c r="G1194" s="127"/>
      <c r="H1194" s="127"/>
      <c r="I1194" s="127"/>
      <c r="J1194" s="127"/>
      <c r="K1194" s="127"/>
      <c r="L1194" s="127"/>
      <c r="M1194" s="137"/>
    </row>
    <row r="1195" spans="2:15" s="3" customFormat="1" ht="13.2" x14ac:dyDescent="0.25">
      <c r="B1195" s="722" t="str">
        <f>IF('1. INTRO'!I$2="English","Salary including social costs (LKP)","Lön inklusive LKP")</f>
        <v>Salary including social costs (LKP)</v>
      </c>
      <c r="C1195" s="747">
        <f>C571+C623+C675+C727+C779+C831+C883+C935+C987+C1039+C1091+C1143</f>
        <v>0</v>
      </c>
      <c r="D1195" s="747">
        <f t="shared" ref="D1195:L1195" si="260">D571+D623+D675+D727+D779+D831+D883+D935+D987+D1039+D1091+D1143</f>
        <v>0</v>
      </c>
      <c r="E1195" s="747">
        <f t="shared" si="260"/>
        <v>0</v>
      </c>
      <c r="F1195" s="747">
        <f t="shared" si="260"/>
        <v>0</v>
      </c>
      <c r="G1195" s="747">
        <f t="shared" si="260"/>
        <v>0</v>
      </c>
      <c r="H1195" s="747">
        <f t="shared" si="260"/>
        <v>0</v>
      </c>
      <c r="I1195" s="747">
        <f t="shared" si="260"/>
        <v>0</v>
      </c>
      <c r="J1195" s="747">
        <f t="shared" si="260"/>
        <v>0</v>
      </c>
      <c r="K1195" s="747">
        <f t="shared" si="260"/>
        <v>0</v>
      </c>
      <c r="L1195" s="747">
        <f t="shared" si="260"/>
        <v>0</v>
      </c>
      <c r="M1195" s="739">
        <f>SUM(C1195:L1195)</f>
        <v>0</v>
      </c>
    </row>
    <row r="1196" spans="2:15" s="3" customFormat="1" ht="13.2" x14ac:dyDescent="0.25">
      <c r="B1196" s="80" t="str">
        <f>IF('1. INTRO'!I$2="English","Operating","Drift")</f>
        <v>Operating</v>
      </c>
      <c r="C1196" s="189">
        <f>C572+C624+C676+C728+C780+C832+C884+C936+C988+C1040+C1092+C1144</f>
        <v>0</v>
      </c>
      <c r="D1196" s="189">
        <f t="shared" ref="D1196:L1196" si="261">D572+D624+D676+D728+D780+D832+D884+D936+D988+D1040+D1092+D1144</f>
        <v>0</v>
      </c>
      <c r="E1196" s="189">
        <f t="shared" si="261"/>
        <v>0</v>
      </c>
      <c r="F1196" s="189">
        <f t="shared" si="261"/>
        <v>0</v>
      </c>
      <c r="G1196" s="189">
        <f t="shared" si="261"/>
        <v>0</v>
      </c>
      <c r="H1196" s="189">
        <f t="shared" si="261"/>
        <v>0</v>
      </c>
      <c r="I1196" s="189">
        <f t="shared" si="261"/>
        <v>0</v>
      </c>
      <c r="J1196" s="189">
        <f t="shared" si="261"/>
        <v>0</v>
      </c>
      <c r="K1196" s="189">
        <f t="shared" si="261"/>
        <v>0</v>
      </c>
      <c r="L1196" s="189">
        <f t="shared" si="261"/>
        <v>0</v>
      </c>
      <c r="M1196" s="146">
        <f>SUM(C1196:L1196)</f>
        <v>0</v>
      </c>
    </row>
    <row r="1197" spans="2:15" s="3" customFormat="1" ht="13.2" x14ac:dyDescent="0.25">
      <c r="B1197" s="725" t="str">
        <f>IF('1. INTRO'!I$2="English","Equipment","Utrustning")</f>
        <v>Equipment</v>
      </c>
      <c r="C1197" s="748">
        <f>C573+C625+C677+C729+C781+C833+C885+C937+C989+C1041+C1093+C1145</f>
        <v>0</v>
      </c>
      <c r="D1197" s="748">
        <f t="shared" ref="D1197:L1197" si="262">D573+D625+D677+D729+D781+D833+D885+D937+D989+D1041+D1093+D1145</f>
        <v>0</v>
      </c>
      <c r="E1197" s="748">
        <f t="shared" si="262"/>
        <v>0</v>
      </c>
      <c r="F1197" s="748">
        <f t="shared" si="262"/>
        <v>0</v>
      </c>
      <c r="G1197" s="748">
        <f t="shared" si="262"/>
        <v>0</v>
      </c>
      <c r="H1197" s="748">
        <f t="shared" si="262"/>
        <v>0</v>
      </c>
      <c r="I1197" s="748">
        <f t="shared" si="262"/>
        <v>0</v>
      </c>
      <c r="J1197" s="748">
        <f t="shared" si="262"/>
        <v>0</v>
      </c>
      <c r="K1197" s="748">
        <f t="shared" si="262"/>
        <v>0</v>
      </c>
      <c r="L1197" s="748">
        <f t="shared" si="262"/>
        <v>0</v>
      </c>
      <c r="M1197" s="741">
        <f>SUM(C1197:L1197)</f>
        <v>0</v>
      </c>
    </row>
    <row r="1198" spans="2:15" s="3" customFormat="1" ht="13.2" x14ac:dyDescent="0.25">
      <c r="B1198" s="80" t="str">
        <f>IF('1. INTRO'!I$2="English","Facility","Lokal")</f>
        <v>Facility</v>
      </c>
      <c r="C1198" s="189">
        <f>C574+C626+C678+C730+C782+C834+C886+C938+C990+C1042+C1094+C1146</f>
        <v>0</v>
      </c>
      <c r="D1198" s="189">
        <f t="shared" ref="D1198:L1198" si="263">D574+D626+D678+D730+D782+D834+D886+D938+D990+D1042+D1094+D1146</f>
        <v>0</v>
      </c>
      <c r="E1198" s="189">
        <f t="shared" si="263"/>
        <v>0</v>
      </c>
      <c r="F1198" s="189">
        <f t="shared" si="263"/>
        <v>0</v>
      </c>
      <c r="G1198" s="189">
        <f t="shared" si="263"/>
        <v>0</v>
      </c>
      <c r="H1198" s="189">
        <f t="shared" si="263"/>
        <v>0</v>
      </c>
      <c r="I1198" s="189">
        <f t="shared" si="263"/>
        <v>0</v>
      </c>
      <c r="J1198" s="189">
        <f t="shared" si="263"/>
        <v>0</v>
      </c>
      <c r="K1198" s="189">
        <f t="shared" si="263"/>
        <v>0</v>
      </c>
      <c r="L1198" s="189">
        <f t="shared" si="263"/>
        <v>0</v>
      </c>
      <c r="M1198" s="146">
        <f>SUM(C1198:L1198)</f>
        <v>0</v>
      </c>
    </row>
    <row r="1199" spans="2:15" s="3" customFormat="1" ht="13.2" x14ac:dyDescent="0.25">
      <c r="B1199" s="736" t="str">
        <f>IF('1. INTRO'!I$2="English","Indirect","Indirekt")</f>
        <v>Indirect</v>
      </c>
      <c r="C1199" s="749">
        <f>C575+C627+C679+C731+C783+C835+C887+C939+C991+C1043+C1095+C1147</f>
        <v>0</v>
      </c>
      <c r="D1199" s="749">
        <f t="shared" ref="D1199:L1199" si="264">D575+D627+D679+D731+D783+D835+D887+D939+D991+D1043+D1095+D1147</f>
        <v>0</v>
      </c>
      <c r="E1199" s="749">
        <f t="shared" si="264"/>
        <v>0</v>
      </c>
      <c r="F1199" s="749">
        <f t="shared" si="264"/>
        <v>0</v>
      </c>
      <c r="G1199" s="749">
        <f t="shared" si="264"/>
        <v>0</v>
      </c>
      <c r="H1199" s="749">
        <f t="shared" si="264"/>
        <v>0</v>
      </c>
      <c r="I1199" s="749">
        <f t="shared" si="264"/>
        <v>0</v>
      </c>
      <c r="J1199" s="749">
        <f t="shared" si="264"/>
        <v>0</v>
      </c>
      <c r="K1199" s="749">
        <f t="shared" si="264"/>
        <v>0</v>
      </c>
      <c r="L1199" s="749">
        <f t="shared" si="264"/>
        <v>0</v>
      </c>
      <c r="M1199" s="743">
        <f>SUM(C1199:L1199)</f>
        <v>0</v>
      </c>
    </row>
    <row r="1200" spans="2:15" s="3" customFormat="1" ht="13.2" x14ac:dyDescent="0.25">
      <c r="B1200" s="124" t="s">
        <v>113</v>
      </c>
      <c r="C1200" s="104">
        <f t="shared" ref="C1200:M1200" si="265">SUM(C1195:C1199)</f>
        <v>0</v>
      </c>
      <c r="D1200" s="104">
        <f t="shared" si="265"/>
        <v>0</v>
      </c>
      <c r="E1200" s="104">
        <f t="shared" si="265"/>
        <v>0</v>
      </c>
      <c r="F1200" s="104">
        <f t="shared" si="265"/>
        <v>0</v>
      </c>
      <c r="G1200" s="104">
        <f t="shared" si="265"/>
        <v>0</v>
      </c>
      <c r="H1200" s="104">
        <f t="shared" si="265"/>
        <v>0</v>
      </c>
      <c r="I1200" s="104">
        <f t="shared" si="265"/>
        <v>0</v>
      </c>
      <c r="J1200" s="104">
        <f t="shared" si="265"/>
        <v>0</v>
      </c>
      <c r="K1200" s="104">
        <f t="shared" si="265"/>
        <v>0</v>
      </c>
      <c r="L1200" s="104">
        <f t="shared" si="265"/>
        <v>0</v>
      </c>
      <c r="M1200" s="142">
        <f t="shared" si="265"/>
        <v>0</v>
      </c>
    </row>
    <row r="1201" spans="2:15" s="3" customFormat="1" ht="13.2" x14ac:dyDescent="0.25">
      <c r="B1201" s="124"/>
      <c r="C1201" s="154"/>
      <c r="D1201" s="154"/>
      <c r="E1201" s="154"/>
      <c r="F1201" s="154"/>
      <c r="G1201" s="154"/>
      <c r="H1201" s="154"/>
      <c r="I1201" s="154"/>
      <c r="J1201" s="154"/>
      <c r="K1201" s="154"/>
      <c r="L1201" s="154"/>
      <c r="M1201" s="137"/>
    </row>
    <row r="1202" spans="2:15" ht="12.75" customHeight="1" x14ac:dyDescent="0.25">
      <c r="D1202" s="656" t="str">
        <f>IF('1. INTRO'!I$2="English","Co-funding need in average per year: ","Medfinansieringsbehov i genomsnitt per år: ")</f>
        <v xml:space="preserve">Co-funding need in average per year: </v>
      </c>
      <c r="E1202" s="92" t="str">
        <f>IF(M1192=0,"",M1192/(DATEDIF('2. START'!C$18,'2. START'!C$19,"d")/365))</f>
        <v/>
      </c>
      <c r="H1202" s="656" t="str">
        <f>IF('1. INTRO'!I$2="English","Co-funding need 1/3 of total: ","Medfinansieringsbehov 1/3 av totalt: ")</f>
        <v xml:space="preserve">Co-funding need 1/3 of total: </v>
      </c>
      <c r="I1202" s="92">
        <f>M1192/3</f>
        <v>0</v>
      </c>
      <c r="L1202" s="287" t="str">
        <f>IF('1. INTRO'!I$2="English","Co-funding need total: ","Medfinansieringsbehov totalt: ")</f>
        <v xml:space="preserve">Co-funding need total: </v>
      </c>
      <c r="M1202" s="92">
        <f>M1192</f>
        <v>0</v>
      </c>
    </row>
    <row r="1204" spans="2:15" s="3" customFormat="1" ht="12.75" customHeight="1" x14ac:dyDescent="0.25">
      <c r="B1204" s="313" t="str">
        <f>'3. PARTNER'!C$4</f>
        <v xml:space="preserve">Project: </v>
      </c>
      <c r="C1204" s="1062" t="str">
        <f>'3. PARTNER'!D$4</f>
        <v/>
      </c>
      <c r="D1204" s="1001"/>
      <c r="E1204" s="1001"/>
      <c r="F1204" s="1001"/>
      <c r="G1204" s="1001"/>
      <c r="H1204" s="1001"/>
      <c r="I1204" s="1001"/>
      <c r="J1204" s="1001"/>
      <c r="K1204" s="1001"/>
      <c r="L1204" s="1001"/>
      <c r="M1204" s="1001"/>
    </row>
    <row r="1205" spans="2:15" s="3" customFormat="1" ht="13.2" x14ac:dyDescent="0.25">
      <c r="B1205" s="313" t="str">
        <f>'3. PARTNER'!C$5</f>
        <v xml:space="preserve">Calculation for: </v>
      </c>
      <c r="C1205" s="1062" t="str">
        <f>'3. PARTNER'!D$5</f>
        <v>APPLICATION</v>
      </c>
      <c r="D1205" s="1001"/>
      <c r="E1205" s="268"/>
      <c r="F1205" s="268"/>
      <c r="G1205" s="268"/>
      <c r="H1205" s="268"/>
      <c r="I1205" s="268"/>
      <c r="J1205" s="268"/>
      <c r="K1205" s="268"/>
      <c r="L1205" s="268"/>
      <c r="M1205" s="268"/>
    </row>
    <row r="1206" spans="2:15" s="3" customFormat="1" ht="13.2" x14ac:dyDescent="0.25">
      <c r="B1206" s="35" t="str">
        <f>'3. PARTNER'!C$6</f>
        <v xml:space="preserve">Project leader: </v>
      </c>
      <c r="C1206" s="1062" t="str">
        <f>'3. PARTNER'!D$6</f>
        <v/>
      </c>
      <c r="D1206" s="1001"/>
      <c r="E1206" s="1001"/>
      <c r="F1206" s="1001"/>
      <c r="G1206" s="1001"/>
      <c r="H1206" s="1001"/>
      <c r="I1206" s="1001"/>
      <c r="J1206" s="1001"/>
      <c r="K1206" s="1001"/>
      <c r="L1206" s="1001"/>
      <c r="M1206" s="1001"/>
    </row>
    <row r="1207" spans="2:15" s="3" customFormat="1" ht="13.2" x14ac:dyDescent="0.25">
      <c r="B1207" s="313" t="str">
        <f>'5. PERSON'!B$7</f>
        <v xml:space="preserve">Amounts in: </v>
      </c>
      <c r="C1207" s="655" t="str">
        <f>'5. PERSON'!C$7</f>
        <v>SEK</v>
      </c>
      <c r="D1207" s="268"/>
      <c r="E1207" s="268"/>
      <c r="F1207" s="268"/>
      <c r="G1207" s="234"/>
      <c r="H1207" s="234"/>
      <c r="I1207" s="270"/>
      <c r="J1207" s="270"/>
      <c r="K1207" s="270"/>
      <c r="L1207" s="270"/>
      <c r="M1207" s="270"/>
    </row>
    <row r="1208" spans="2:15" s="3" customFormat="1" ht="13.2" x14ac:dyDescent="0.25">
      <c r="B1208" s="313"/>
      <c r="C1208" s="1053" t="str">
        <f>'3. PARTNER'!D$7</f>
        <v>Other basic data about the project is in sheet 2.</v>
      </c>
      <c r="D1208" s="1001"/>
      <c r="E1208" s="1001"/>
      <c r="F1208" s="1001"/>
      <c r="G1208" s="234"/>
      <c r="H1208" s="234"/>
      <c r="I1208" s="270"/>
      <c r="J1208" s="270"/>
      <c r="K1208" s="270"/>
      <c r="L1208" s="251" t="s">
        <v>4</v>
      </c>
      <c r="M1208" s="270"/>
    </row>
    <row r="1209" spans="2:15" ht="12.75" customHeight="1" x14ac:dyDescent="0.2">
      <c r="J1209" s="252" t="s">
        <v>322</v>
      </c>
      <c r="K1209" s="252" t="s">
        <v>323</v>
      </c>
      <c r="L1209" s="252" t="str">
        <f>IF('1. INTRO'!I$2="English","months","månader")</f>
        <v>months</v>
      </c>
    </row>
    <row r="1210" spans="2:15" s="3" customFormat="1" ht="13.8" x14ac:dyDescent="0.25">
      <c r="B1210" s="157" t="str">
        <f>IF('1. INTRO'!I$2="English","Project costs","Projektkostnader")</f>
        <v>Project costs</v>
      </c>
      <c r="C1210" s="668" t="str">
        <f>A37</f>
        <v>200S</v>
      </c>
      <c r="D1210" s="1227" t="str">
        <f>B37</f>
        <v>Field-based Forest Research</v>
      </c>
      <c r="E1210" s="1001"/>
      <c r="F1210" s="1001"/>
      <c r="G1210" s="1004"/>
      <c r="H1210" s="37"/>
      <c r="I1210" s="37"/>
      <c r="J1210" s="643"/>
      <c r="K1210" s="643"/>
      <c r="L1210" s="642">
        <f>SUMIF('5. PERSON'!$B$17:$B$192,$C1210,'5. PERSON'!AE$17:AE$192)</f>
        <v>0</v>
      </c>
      <c r="M1210" s="680" t="s">
        <v>330</v>
      </c>
    </row>
    <row r="1211" spans="2:15" s="3" customFormat="1" ht="6" customHeight="1" x14ac:dyDescent="0.25">
      <c r="B1211" s="57"/>
      <c r="C1211" s="37"/>
      <c r="D1211" s="37"/>
      <c r="E1211" s="37"/>
      <c r="F1211" s="37"/>
      <c r="G1211" s="37"/>
      <c r="H1211" s="37"/>
      <c r="I1211" s="37"/>
      <c r="J1211" s="37"/>
      <c r="K1211" s="37"/>
      <c r="L1211" s="37"/>
      <c r="M1211" s="37"/>
    </row>
    <row r="1212" spans="2:15" s="3" customFormat="1" ht="13.2" x14ac:dyDescent="0.25">
      <c r="B1212" s="110" t="str">
        <f>IF('1. INTRO'!I$2="English","Costs to be covered by funding body","Kostnader att täckas av finansiär")</f>
        <v>Costs to be covered by funding body</v>
      </c>
      <c r="C1212" s="111">
        <f>'5. PERSON'!G$15</f>
        <v>1900</v>
      </c>
      <c r="D1212" s="111" t="str">
        <f>'5. PERSON'!H$15</f>
        <v/>
      </c>
      <c r="E1212" s="111" t="str">
        <f>'5. PERSON'!I$15</f>
        <v/>
      </c>
      <c r="F1212" s="111" t="str">
        <f>'5. PERSON'!J$15</f>
        <v/>
      </c>
      <c r="G1212" s="111" t="str">
        <f>'5. PERSON'!K$15</f>
        <v/>
      </c>
      <c r="H1212" s="111" t="str">
        <f>'5. PERSON'!L$15</f>
        <v/>
      </c>
      <c r="I1212" s="111" t="str">
        <f>'5. PERSON'!M$15</f>
        <v/>
      </c>
      <c r="J1212" s="111" t="str">
        <f>'5. PERSON'!N$15</f>
        <v/>
      </c>
      <c r="K1212" s="111" t="str">
        <f>'5. PERSON'!O$15</f>
        <v/>
      </c>
      <c r="L1212" s="111" t="str">
        <f>'5. PERSON'!P$15</f>
        <v/>
      </c>
      <c r="M1212" s="112" t="s">
        <v>2</v>
      </c>
    </row>
    <row r="1213" spans="2:15" s="3" customFormat="1" ht="12.75" customHeight="1" x14ac:dyDescent="0.25">
      <c r="B1213" s="750" t="str">
        <f>IF('1. INTRO'!I$2="English","Salary including social costs (LKP)","Lön inklusive LKP")</f>
        <v>Salary including social costs (LKP)</v>
      </c>
      <c r="C1213" s="751">
        <f>IF('2. START'!$C$14&gt;0,SUMIF('5. PERSON'!$B$17:$B$192,$C1210,'5. PERSON'!DN$17:DN$192),SUMIF('5. PERSON'!$B$17:$B$192,$C1210,'5. PERSON'!AT$17:AT$192))</f>
        <v>0</v>
      </c>
      <c r="D1213" s="751">
        <f>IF('2. START'!$C$14&gt;0,SUMIF('5. PERSON'!$B$17:$B$192,$C1210,'5. PERSON'!DO$17:DO$192),SUMIF('5. PERSON'!$B$17:$B$192,$C1210,'5. PERSON'!AU$17:AU$192))</f>
        <v>0</v>
      </c>
      <c r="E1213" s="751">
        <f>IF('2. START'!$C$14&gt;0,SUMIF('5. PERSON'!$B$17:$B$192,$C1210,'5. PERSON'!DP$17:DP$192),SUMIF('5. PERSON'!$B$17:$B$192,$C1210,'5. PERSON'!AV$17:AV$192))</f>
        <v>0</v>
      </c>
      <c r="F1213" s="751">
        <f>IF('2. START'!$C$14&gt;0,SUMIF('5. PERSON'!$B$17:$B$192,$C1210,'5. PERSON'!DQ$17:DQ$192),SUMIF('5. PERSON'!$B$17:$B$192,$C1210,'5. PERSON'!AW$17:AW$192))</f>
        <v>0</v>
      </c>
      <c r="G1213" s="751">
        <f>IF('2. START'!$C$14&gt;0,SUMIF('5. PERSON'!$B$17:$B$192,$C1210,'5. PERSON'!DR$17:DR$192),SUMIF('5. PERSON'!$B$17:$B$192,$C1210,'5. PERSON'!AX$17:AX$192))</f>
        <v>0</v>
      </c>
      <c r="H1213" s="751">
        <f>IF('2. START'!$C$14&gt;0,SUMIF('5. PERSON'!$B$17:$B$192,$C1210,'5. PERSON'!DS$17:DS$192),SUMIF('5. PERSON'!$B$17:$B$192,$C1210,'5. PERSON'!AY$17:AY$192))</f>
        <v>0</v>
      </c>
      <c r="I1213" s="751">
        <f>IF('2. START'!$C$14&gt;0,SUMIF('5. PERSON'!$B$17:$B$192,$C1210,'5. PERSON'!DT$17:DT$192),SUMIF('5. PERSON'!$B$17:$B$192,$C1210,'5. PERSON'!AZ$17:AZ$192))</f>
        <v>0</v>
      </c>
      <c r="J1213" s="751">
        <f>IF('2. START'!$C$14&gt;0,SUMIF('5. PERSON'!$B$17:$B$192,$C1210,'5. PERSON'!DU$17:DU$192),SUMIF('5. PERSON'!$B$17:$B$192,$C1210,'5. PERSON'!BA$17:BA$192))</f>
        <v>0</v>
      </c>
      <c r="K1213" s="751">
        <f>IF('2. START'!$C$14&gt;0,SUMIF('5. PERSON'!$B$17:$B$192,$C1210,'5. PERSON'!DV$17:DV$192),SUMIF('5. PERSON'!$B$17:$B$192,$C1210,'5. PERSON'!BB$17:BB$192))</f>
        <v>0</v>
      </c>
      <c r="L1213" s="751">
        <f>IF('2. START'!$C$14&gt;0,SUMIF('5. PERSON'!$B$17:$B$192,$C1210,'5. PERSON'!DW$17:DW$192),SUMIF('5. PERSON'!$B$17:$B$192,$C1210,'5. PERSON'!BC$17:BC$192))</f>
        <v>0</v>
      </c>
      <c r="M1213" s="752">
        <f t="shared" ref="M1213:M1218" si="266">SUM(C1213:L1213)</f>
        <v>0</v>
      </c>
      <c r="O1213" s="4"/>
    </row>
    <row r="1214" spans="2:15" s="3" customFormat="1" ht="12.75" customHeight="1" x14ac:dyDescent="0.25">
      <c r="B1214" s="80" t="str">
        <f>IF('1. INTRO'!I$2="English","Operating","Drift")</f>
        <v>Operating</v>
      </c>
      <c r="C1214" s="116">
        <f>SUMIF('6. OPERATION'!$B$17:$B$149,$C1210,'6. OPERATION'!W$17:W$149)</f>
        <v>0</v>
      </c>
      <c r="D1214" s="116">
        <f>SUMIF('6. OPERATION'!$B$17:$B$149,$C1210,'6. OPERATION'!X$17:X$149)</f>
        <v>0</v>
      </c>
      <c r="E1214" s="116">
        <f>SUMIF('6. OPERATION'!$B$17:$B$149,$C1210,'6. OPERATION'!Y$17:Y$149)</f>
        <v>0</v>
      </c>
      <c r="F1214" s="116">
        <f>SUMIF('6. OPERATION'!$B$17:$B$149,$C1210,'6. OPERATION'!Z$17:Z$149)</f>
        <v>0</v>
      </c>
      <c r="G1214" s="116">
        <f>SUMIF('6. OPERATION'!$B$17:$B$149,$C1210,'6. OPERATION'!AA$17:AA$149)</f>
        <v>0</v>
      </c>
      <c r="H1214" s="116">
        <f>SUMIF('6. OPERATION'!$B$17:$B$149,$C1210,'6. OPERATION'!AB$17:AB$149)</f>
        <v>0</v>
      </c>
      <c r="I1214" s="116">
        <f>SUMIF('6. OPERATION'!$B$17:$B$149,$C1210,'6. OPERATION'!AC$17:AC$149)</f>
        <v>0</v>
      </c>
      <c r="J1214" s="116">
        <f>SUMIF('6. OPERATION'!$B$17:$B$149,$C1210,'6. OPERATION'!AD$17:AD$149)</f>
        <v>0</v>
      </c>
      <c r="K1214" s="116">
        <f>SUMIF('6. OPERATION'!$B$17:$B$149,$C1210,'6. OPERATION'!AE$17:AE$149)</f>
        <v>0</v>
      </c>
      <c r="L1214" s="116">
        <f>SUMIF('6. OPERATION'!$B$17:$B$149,$C1210,'6. OPERATION'!AF$17:AF$149)</f>
        <v>0</v>
      </c>
      <c r="M1214" s="117">
        <f t="shared" si="266"/>
        <v>0</v>
      </c>
    </row>
    <row r="1215" spans="2:15" s="3" customFormat="1" ht="13.2" x14ac:dyDescent="0.25">
      <c r="B1215" s="753" t="str">
        <f>IF('1. INTRO'!I$2="English","Equipment","Utrustning")</f>
        <v>Equipment</v>
      </c>
      <c r="C1215" s="754">
        <f>SUMIF('7. INVEST'!$B$17:$B$49,$C1210,'7. INVEST'!W$17:W$49)</f>
        <v>0</v>
      </c>
      <c r="D1215" s="754">
        <f>SUMIF('7. INVEST'!$B$17:$B$49,$C1210,'7. INVEST'!X$17:X$49)</f>
        <v>0</v>
      </c>
      <c r="E1215" s="754">
        <f>SUMIF('7. INVEST'!$B$17:$B$49,$C1210,'7. INVEST'!Y$17:Y$49)</f>
        <v>0</v>
      </c>
      <c r="F1215" s="754">
        <f>SUMIF('7. INVEST'!$B$17:$B$49,$C1210,'7. INVEST'!Z$17:Z$49)</f>
        <v>0</v>
      </c>
      <c r="G1215" s="754">
        <f>SUMIF('7. INVEST'!$B$17:$B$49,$C1210,'7. INVEST'!AA$17:AA$49)</f>
        <v>0</v>
      </c>
      <c r="H1215" s="754">
        <f>SUMIF('7. INVEST'!$B$17:$B$49,$C1210,'7. INVEST'!AB$17:AB$49)</f>
        <v>0</v>
      </c>
      <c r="I1215" s="754">
        <f>SUMIF('7. INVEST'!$B$17:$B$49,$C1210,'7. INVEST'!AC$17:AC$49)</f>
        <v>0</v>
      </c>
      <c r="J1215" s="754">
        <f>SUMIF('7. INVEST'!$B$17:$B$49,$C1210,'7. INVEST'!AD$17:AD$49)</f>
        <v>0</v>
      </c>
      <c r="K1215" s="754">
        <f>SUMIF('7. INVEST'!$B$17:$B$49,$C1210,'7. INVEST'!AE$17:AE$49)</f>
        <v>0</v>
      </c>
      <c r="L1215" s="754">
        <f>SUMIF('7. INVEST'!$B$17:$B$49,$C1210,'7. INVEST'!AF$17:AF$49)</f>
        <v>0</v>
      </c>
      <c r="M1215" s="755">
        <f t="shared" si="266"/>
        <v>0</v>
      </c>
    </row>
    <row r="1216" spans="2:15" s="3" customFormat="1" ht="13.2" x14ac:dyDescent="0.25">
      <c r="B1216" s="121" t="str">
        <f>IF('1. INTRO'!I$2="English",(IF('2. START'!C$11="NO","Facility accepted as direct cost by funding body","Facility")),IF('2. START'!C$11="NO","Lokal accepterad som direkt kostnad av finansiär","Lokal"))</f>
        <v>Facility</v>
      </c>
      <c r="C1216" s="116">
        <f>IF('2. START'!$C$11="NO",SUMIF('8. FACILIT'!$B$18:$B$50,$C1210,'8. FACILIT'!T$18:T$50),SUMIF('5. PERSON'!$B$17:$B$192,$C1210,'5. PERSON'!CP$17:CP$192)+SUMIF('6. OPERATION'!$B$17:$B$149,$C1210,'6. OPERATION'!BS$17:BS$149)+SUMIF('8. FACILIT'!$B$18:$B$50,$C1210,'8. FACILIT'!T$18:T$50))</f>
        <v>0</v>
      </c>
      <c r="D1216" s="116">
        <f>IF('2. START'!$C$11="NO",SUMIF('8. FACILIT'!$B$18:$B$50,$C1210,'8. FACILIT'!U$18:U$50),SUMIF('5. PERSON'!$B$17:$B$192,$C1210,'5. PERSON'!CQ$17:CQ$192)+SUMIF('6. OPERATION'!$B$17:$B$149,$C1210,'6. OPERATION'!BT$17:BT$149)+SUMIF('8. FACILIT'!$B$18:$B$50,$C1210,'8. FACILIT'!U$18:U$50))</f>
        <v>0</v>
      </c>
      <c r="E1216" s="116">
        <f>IF('2. START'!$C$11="NO",SUMIF('8. FACILIT'!$B$18:$B$50,$C1210,'8. FACILIT'!V$18:V$50),SUMIF('5. PERSON'!$B$17:$B$192,$C1210,'5. PERSON'!CR$17:CR$192)+SUMIF('6. OPERATION'!$B$17:$B$149,$C1210,'6. OPERATION'!BU$17:BU$149)+SUMIF('8. FACILIT'!$B$18:$B$50,$C1210,'8. FACILIT'!V$18:V$50))</f>
        <v>0</v>
      </c>
      <c r="F1216" s="116">
        <f>IF('2. START'!$C$11="NO",SUMIF('8. FACILIT'!$B$18:$B$50,$C1210,'8. FACILIT'!W$18:W$50),SUMIF('5. PERSON'!$B$17:$B$192,$C1210,'5. PERSON'!CS$17:CS$192)+SUMIF('6. OPERATION'!$B$17:$B$149,$C1210,'6. OPERATION'!BV$17:BV$149)+SUMIF('8. FACILIT'!$B$18:$B$50,$C1210,'8. FACILIT'!W$18:W$50))</f>
        <v>0</v>
      </c>
      <c r="G1216" s="116">
        <f>IF('2. START'!$C$11="NO",SUMIF('8. FACILIT'!$B$18:$B$50,$C1210,'8. FACILIT'!X$18:X$50),SUMIF('5. PERSON'!$B$17:$B$192,$C1210,'5. PERSON'!CT$17:CT$192)+SUMIF('6. OPERATION'!$B$17:$B$149,$C1210,'6. OPERATION'!BW$17:BW$149)+SUMIF('8. FACILIT'!$B$18:$B$50,$C1210,'8. FACILIT'!X$18:X$50))</f>
        <v>0</v>
      </c>
      <c r="H1216" s="116">
        <f>IF('2. START'!$C$11="NO",SUMIF('8. FACILIT'!$B$18:$B$50,$C1210,'8. FACILIT'!Y$18:Y$50),SUMIF('5. PERSON'!$B$17:$B$192,$C1210,'5. PERSON'!CU$17:CU$192)+SUMIF('6. OPERATION'!$B$17:$B$149,$C1210,'6. OPERATION'!BX$17:BX$149)+SUMIF('8. FACILIT'!$B$18:$B$50,$C1210,'8. FACILIT'!Y$18:Y$50))</f>
        <v>0</v>
      </c>
      <c r="I1216" s="116">
        <f>IF('2. START'!$C$11="NO",SUMIF('8. FACILIT'!$B$18:$B$50,$C1210,'8. FACILIT'!Z$18:Z$50),SUMIF('5. PERSON'!$B$17:$B$192,$C1210,'5. PERSON'!CV$17:CV$192)+SUMIF('6. OPERATION'!$B$17:$B$149,$C1210,'6. OPERATION'!BY$17:BY$149)+SUMIF('8. FACILIT'!$B$18:$B$50,$C1210,'8. FACILIT'!Z$18:Z$50))</f>
        <v>0</v>
      </c>
      <c r="J1216" s="116">
        <f>IF('2. START'!$C$11="NO",SUMIF('8. FACILIT'!$B$18:$B$50,$C1210,'8. FACILIT'!AA$18:AA$50),SUMIF('5. PERSON'!$B$17:$B$192,$C1210,'5. PERSON'!CW$17:CW$192)+SUMIF('6. OPERATION'!$B$17:$B$149,$C1210,'6. OPERATION'!BZ$17:BZ$149)+SUMIF('8. FACILIT'!$B$18:$B$50,$C1210,'8. FACILIT'!AA$18:AA$50))</f>
        <v>0</v>
      </c>
      <c r="K1216" s="116">
        <f>IF('2. START'!$C$11="NO",SUMIF('8. FACILIT'!$B$18:$B$50,$C1210,'8. FACILIT'!AB$18:AB$50),SUMIF('5. PERSON'!$B$17:$B$192,$C1210,'5. PERSON'!CX$17:CX$192)+SUMIF('6. OPERATION'!$B$17:$B$149,$C1210,'6. OPERATION'!CA$17:CA$149)+SUMIF('8. FACILIT'!$B$18:$B$50,$C1210,'8. FACILIT'!AB$18:AB$50))</f>
        <v>0</v>
      </c>
      <c r="L1216" s="116">
        <f>IF('2. START'!$C$11="NO",SUMIF('8. FACILIT'!$B$18:$B$50,$C1210,'8. FACILIT'!AC$18:AC$50),SUMIF('5. PERSON'!$B$17:$B$192,$C1210,'5. PERSON'!CY$17:CY$192)+SUMIF('6. OPERATION'!$B$17:$B$149,$C1210,'6. OPERATION'!CB$17:CB$149)+SUMIF('8. FACILIT'!$B$18:$B$50,$C1210,'8. FACILIT'!AC$18:AC$50))</f>
        <v>0</v>
      </c>
      <c r="M1216" s="117">
        <f t="shared" si="266"/>
        <v>0</v>
      </c>
    </row>
    <row r="1217" spans="2:15" s="3" customFormat="1" ht="13.2" x14ac:dyDescent="0.25">
      <c r="B1217" s="756" t="str">
        <f>IF('1. INTRO'!I$2="English",(IF('2. START'!C$11="NO","Indirect and facility charge accepted as OH by funding body","Indirect")),IF('2. START'!C$11="NO","Indirekt och lokalpåslag accepterade som OH av finansiär","Indirekt"))</f>
        <v>Indirect</v>
      </c>
      <c r="C1217" s="757">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757">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757">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757">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757">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757">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757">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757">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757">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757">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755">
        <f t="shared" si="266"/>
        <v>0</v>
      </c>
    </row>
    <row r="1218" spans="2:15" s="3" customFormat="1" ht="13.2" x14ac:dyDescent="0.25">
      <c r="B1218" s="124" t="s">
        <v>113</v>
      </c>
      <c r="C1218" s="102">
        <f>SUM(C1213:C1217)</f>
        <v>0</v>
      </c>
      <c r="D1218" s="102">
        <f t="shared" ref="D1218:L1218" si="267">SUM(D1213:D1217)</f>
        <v>0</v>
      </c>
      <c r="E1218" s="102">
        <f t="shared" si="267"/>
        <v>0</v>
      </c>
      <c r="F1218" s="102">
        <f t="shared" si="267"/>
        <v>0</v>
      </c>
      <c r="G1218" s="102">
        <f t="shared" si="267"/>
        <v>0</v>
      </c>
      <c r="H1218" s="102">
        <f t="shared" si="267"/>
        <v>0</v>
      </c>
      <c r="I1218" s="102">
        <f t="shared" si="267"/>
        <v>0</v>
      </c>
      <c r="J1218" s="102">
        <f t="shared" si="267"/>
        <v>0</v>
      </c>
      <c r="K1218" s="102">
        <f t="shared" si="267"/>
        <v>0</v>
      </c>
      <c r="L1218" s="102">
        <f t="shared" si="267"/>
        <v>0</v>
      </c>
      <c r="M1218" s="125">
        <f t="shared" si="266"/>
        <v>0</v>
      </c>
    </row>
    <row r="1219" spans="2:15" s="3" customFormat="1" ht="6" customHeight="1" x14ac:dyDescent="0.25">
      <c r="B1219" s="126"/>
      <c r="C1219" s="127"/>
      <c r="D1219" s="127"/>
      <c r="E1219" s="127"/>
      <c r="F1219" s="127"/>
      <c r="G1219" s="127"/>
      <c r="H1219" s="127"/>
      <c r="I1219" s="127"/>
      <c r="J1219" s="127"/>
      <c r="K1219" s="127"/>
      <c r="L1219" s="127"/>
      <c r="M1219" s="128"/>
    </row>
    <row r="1220" spans="2:15" s="3" customFormat="1" ht="13.2" x14ac:dyDescent="0.25">
      <c r="B1220" s="129" t="str">
        <f>IF('1. INTRO'!I$2="English","Costs to be co-funded","Kostnader att medfinansiera")</f>
        <v>Costs to be co-funded</v>
      </c>
      <c r="C1220" s="86"/>
      <c r="D1220" s="86"/>
      <c r="E1220" s="86"/>
      <c r="F1220" s="86"/>
      <c r="G1220" s="86"/>
      <c r="H1220" s="86"/>
      <c r="I1220" s="86"/>
      <c r="J1220" s="86"/>
      <c r="K1220" s="86"/>
      <c r="L1220" s="86"/>
      <c r="M1220" s="130"/>
    </row>
    <row r="1221" spans="2:15" s="3" customFormat="1" ht="13.2" x14ac:dyDescent="0.25">
      <c r="B1221" s="758" t="str">
        <f>IF('1. INTRO'!I$2="English",(IF('2. START'!C$11="NO","Indirect and facility charge not accepted as OH by funding body","")),IF('2. START'!C$11="NO","Indirekt och lokalpåslag inte accepterade som OH av finansiär",""))</f>
        <v/>
      </c>
      <c r="C1221" s="759">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759">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759">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759">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759">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759">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759">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759">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759">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759">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752">
        <f t="shared" ref="M1221:M1227" si="268">SUM(C1221:L1221)</f>
        <v>0</v>
      </c>
    </row>
    <row r="1222" spans="2:15" s="3" customFormat="1" ht="12.75" customHeight="1" x14ac:dyDescent="0.25">
      <c r="B1222" s="132" t="str">
        <f>IF('1. INTRO'!I$2="English",(IF('2. START'!C$14&gt;0,"Social costs (LKP) not accepted by funding body","")),IF('2. START'!C$14&gt;0,"LKP som inte accepteras av finansiär",""))</f>
        <v/>
      </c>
      <c r="C1222" s="133">
        <f>IF('2. START'!$C$14&gt;0,SUMIF('5. PERSON'!$B$17:$B$192,$C1210,'5. PERSON'!AT$17:AT$192)-SUMIF('5. PERSON'!$B$17:$B$192,$C1210,'5. PERSON'!DN$17:DN$192),0)</f>
        <v>0</v>
      </c>
      <c r="D1222" s="133">
        <f>IF('2. START'!$C$14&gt;0,SUMIF('5. PERSON'!$B$17:$B$192,$C1210,'5. PERSON'!AU$17:AU$192)-SUMIF('5. PERSON'!$B$17:$B$192,$C1210,'5. PERSON'!DO$17:DO$192),0)</f>
        <v>0</v>
      </c>
      <c r="E1222" s="133">
        <f>IF('2. START'!$C$14&gt;0,SUMIF('5. PERSON'!$B$17:$B$192,$C1210,'5. PERSON'!AV$17:AV$192)-SUMIF('5. PERSON'!$B$17:$B$192,$C1210,'5. PERSON'!DP$17:DP$192),0)</f>
        <v>0</v>
      </c>
      <c r="F1222" s="133">
        <f>IF('2. START'!$C$14&gt;0,SUMIF('5. PERSON'!$B$17:$B$192,$C1210,'5. PERSON'!AW$17:AW$192)-SUMIF('5. PERSON'!$B$17:$B$192,$C1210,'5. PERSON'!DQ$17:DQ$192),0)</f>
        <v>0</v>
      </c>
      <c r="G1222" s="133">
        <f>IF('2. START'!$C$14&gt;0,SUMIF('5. PERSON'!$B$17:$B$192,$C1210,'5. PERSON'!AX$17:AX$192)-SUMIF('5. PERSON'!$B$17:$B$192,$C1210,'5. PERSON'!DR$17:DR$192),0)</f>
        <v>0</v>
      </c>
      <c r="H1222" s="133">
        <f>IF('2. START'!$C$14&gt;0,SUMIF('5. PERSON'!$B$17:$B$192,$C1210,'5. PERSON'!AY$17:AY$192)-SUMIF('5. PERSON'!$B$17:$B$192,$C1210,'5. PERSON'!DS$17:DS$192),0)</f>
        <v>0</v>
      </c>
      <c r="I1222" s="133">
        <f>IF('2. START'!$C$14&gt;0,SUMIF('5. PERSON'!$B$17:$B$192,$C1210,'5. PERSON'!AZ$17:AZ$192)-SUMIF('5. PERSON'!$B$17:$B$192,$C1210,'5. PERSON'!DT$17:DT$192),0)</f>
        <v>0</v>
      </c>
      <c r="J1222" s="133">
        <f>IF('2. START'!$C$14&gt;0,SUMIF('5. PERSON'!$B$17:$B$192,$C1210,'5. PERSON'!BA$17:BA$192)-SUMIF('5. PERSON'!$B$17:$B$192,$C1210,'5. PERSON'!DU$17:DU$192),0)</f>
        <v>0</v>
      </c>
      <c r="K1222" s="133">
        <f>IF('2. START'!$C$14&gt;0,SUMIF('5. PERSON'!$B$17:$B$192,$C1210,'5. PERSON'!BB$17:BB$192)-SUMIF('5. PERSON'!$B$17:$B$192,$C1210,'5. PERSON'!DV$17:DV$192),0)</f>
        <v>0</v>
      </c>
      <c r="L1222" s="133">
        <f>IF('2. START'!$C$14&gt;0,SUMIF('5. PERSON'!$B$17:$B$192,$C1210,'5. PERSON'!BC$17:BC$192)-SUMIF('5. PERSON'!$B$17:$B$192,$C1210,'5. PERSON'!DW$17:DW$192),0)</f>
        <v>0</v>
      </c>
      <c r="M1222" s="117">
        <f t="shared" si="268"/>
        <v>0</v>
      </c>
    </row>
    <row r="1223" spans="2:15" s="3" customFormat="1" ht="12.75" customHeight="1" x14ac:dyDescent="0.25">
      <c r="B1223" s="753" t="str">
        <f>IF('1. INTRO'!I$2="English",(IF('5. PERSON'!BP$193&gt;0,"Salary including social costs (LKP)","")),IF('5. PERSON'!BP$193&gt;0,"Lön inklusive LKP",""))</f>
        <v/>
      </c>
      <c r="C1223" s="760">
        <f>SUMIF('5. PERSON'!$B$17:$B$192,$C1210,'5. PERSON'!BF$17:BF$192)</f>
        <v>0</v>
      </c>
      <c r="D1223" s="760">
        <f>SUMIF('5. PERSON'!$B$17:$B$192,$C1210,'5. PERSON'!BG$17:BG$192)</f>
        <v>0</v>
      </c>
      <c r="E1223" s="760">
        <f>SUMIF('5. PERSON'!$B$17:$B$192,$C1210,'5. PERSON'!BH$17:BH$192)</f>
        <v>0</v>
      </c>
      <c r="F1223" s="760">
        <f>SUMIF('5. PERSON'!$B$17:$B$192,$C1210,'5. PERSON'!BI$17:BI$192)</f>
        <v>0</v>
      </c>
      <c r="G1223" s="760">
        <f>SUMIF('5. PERSON'!$B$17:$B$192,$C1210,'5. PERSON'!BJ$17:BJ$192)</f>
        <v>0</v>
      </c>
      <c r="H1223" s="760">
        <f>SUMIF('5. PERSON'!$B$17:$B$192,$C1210,'5. PERSON'!BK$17:BK$192)</f>
        <v>0</v>
      </c>
      <c r="I1223" s="760">
        <f>SUMIF('5. PERSON'!$B$17:$B$192,$C1210,'5. PERSON'!BL$17:BL$192)</f>
        <v>0</v>
      </c>
      <c r="J1223" s="760">
        <f>SUMIF('5. PERSON'!$B$17:$B$192,$C1210,'5. PERSON'!BM$17:BM$192)</f>
        <v>0</v>
      </c>
      <c r="K1223" s="760">
        <f>SUMIF('5. PERSON'!$B$17:$B$192,$C1210,'5. PERSON'!BN$17:BN$192)</f>
        <v>0</v>
      </c>
      <c r="L1223" s="760">
        <f>SUMIF('5. PERSON'!$B$17:$B$192,$C1210,'5. PERSON'!BO$17:BO$192)</f>
        <v>0</v>
      </c>
      <c r="M1223" s="755">
        <f t="shared" si="268"/>
        <v>0</v>
      </c>
    </row>
    <row r="1224" spans="2:15" s="3" customFormat="1" ht="13.2" x14ac:dyDescent="0.25">
      <c r="B1224" s="80" t="str">
        <f>IF('1. INTRO'!I$2="English",(IF('6. OPERATION'!AS$150&gt;0,"Operating","")),IF('6. OPERATION'!AS$150&gt;0,"Drift",""))</f>
        <v/>
      </c>
      <c r="C1224" s="135">
        <f>SUMIF('6. OPERATION'!$B$17:$B$149,$C1210,'6. OPERATION'!AI$17:AI$149)</f>
        <v>0</v>
      </c>
      <c r="D1224" s="135">
        <f>SUMIF('6. OPERATION'!$B$17:$B$149,$C1210,'6. OPERATION'!AJ$17:AJ$149)</f>
        <v>0</v>
      </c>
      <c r="E1224" s="135">
        <f>SUMIF('6. OPERATION'!$B$17:$B$149,$C1210,'6. OPERATION'!AK$17:AK$149)</f>
        <v>0</v>
      </c>
      <c r="F1224" s="135">
        <f>SUMIF('6. OPERATION'!$B$17:$B$149,$C1210,'6. OPERATION'!AL$17:AL$149)</f>
        <v>0</v>
      </c>
      <c r="G1224" s="135">
        <f>SUMIF('6. OPERATION'!$B$17:$B$149,$C1210,'6. OPERATION'!AM$17:AM$149)</f>
        <v>0</v>
      </c>
      <c r="H1224" s="135">
        <f>SUMIF('6. OPERATION'!$B$17:$B$149,$C1210,'6. OPERATION'!AN$17:AN$149)</f>
        <v>0</v>
      </c>
      <c r="I1224" s="135">
        <f>SUMIF('6. OPERATION'!$B$17:$B$149,$C1210,'6. OPERATION'!AO$17:AO$149)</f>
        <v>0</v>
      </c>
      <c r="J1224" s="135">
        <f>SUMIF('6. OPERATION'!$B$17:$B$149,$C1210,'6. OPERATION'!AP$17:AP$149)</f>
        <v>0</v>
      </c>
      <c r="K1224" s="135">
        <f>SUMIF('6. OPERATION'!$B$17:$B$149,$C1210,'6. OPERATION'!AQ$17:AQ$149)</f>
        <v>0</v>
      </c>
      <c r="L1224" s="135">
        <f>SUMIF('6. OPERATION'!$B$17:$B$149,$C1210,'6. OPERATION'!AR$17:AR$149)</f>
        <v>0</v>
      </c>
      <c r="M1224" s="117">
        <f t="shared" si="268"/>
        <v>0</v>
      </c>
    </row>
    <row r="1225" spans="2:15" s="3" customFormat="1" ht="13.2" x14ac:dyDescent="0.25">
      <c r="B1225" s="753" t="str">
        <f>IF('1. INTRO'!I$2="English",(IF('7. INVEST'!AS$50&gt;0,"Equipment","")),IF('7. INVEST'!AS$50&gt;0,"Utrustning",""))</f>
        <v/>
      </c>
      <c r="C1225" s="760">
        <f>SUMIF('7. INVEST'!$B$17:$B$49,$C1210,'7. INVEST'!AI$17:AI$49)</f>
        <v>0</v>
      </c>
      <c r="D1225" s="760">
        <f>SUMIF('7. INVEST'!$B$17:$B$49,$C1210,'7. INVEST'!AJ$17:AJ$49)</f>
        <v>0</v>
      </c>
      <c r="E1225" s="760">
        <f>SUMIF('7. INVEST'!$B$17:$B$49,$C1210,'7. INVEST'!AK$17:AK$49)</f>
        <v>0</v>
      </c>
      <c r="F1225" s="760">
        <f>SUMIF('7. INVEST'!$B$17:$B$49,$C1210,'7. INVEST'!AL$17:AL$49)</f>
        <v>0</v>
      </c>
      <c r="G1225" s="760">
        <f>SUMIF('7. INVEST'!$B$17:$B$49,$C1210,'7. INVEST'!AM$17:AM$49)</f>
        <v>0</v>
      </c>
      <c r="H1225" s="760">
        <f>SUMIF('7. INVEST'!$B$17:$B$49,$C1210,'7. INVEST'!AN$17:AN$49)</f>
        <v>0</v>
      </c>
      <c r="I1225" s="760">
        <f>SUMIF('7. INVEST'!$B$17:$B$49,$C1210,'7. INVEST'!AO$17:AO$49)</f>
        <v>0</v>
      </c>
      <c r="J1225" s="760">
        <f>SUMIF('7. INVEST'!$B$17:$B$49,$C1210,'7. INVEST'!AP$17:AP$49)</f>
        <v>0</v>
      </c>
      <c r="K1225" s="760">
        <f>SUMIF('7. INVEST'!$B$17:$B$49,$C1210,'7. INVEST'!AQ$17:AQ$49)</f>
        <v>0</v>
      </c>
      <c r="L1225" s="760">
        <f>SUMIF('7. INVEST'!$B$17:$B$49,$C1210,'7. INVEST'!AR$17:AR$49)</f>
        <v>0</v>
      </c>
      <c r="M1225" s="755">
        <f t="shared" si="268"/>
        <v>0</v>
      </c>
    </row>
    <row r="1226" spans="2:15" s="3" customFormat="1" ht="13.2" x14ac:dyDescent="0.25">
      <c r="B1226" s="121" t="str">
        <f>IF('1. INTRO'!I$2="English",(IF('8. FACILIT'!AP$51&gt;0,"Facility","")),IF('8. FACILIT'!AP$51&gt;0,"Lokal",""))</f>
        <v/>
      </c>
      <c r="C1226" s="135">
        <f>SUMIF('5. PERSON'!$B$17:$B$192,$C1210,'5. PERSON'!DB$17:DB$192)+SUMIF('6. OPERATION'!$B$17:$B$149,$C1210,'6. OPERATION'!CE$17:CE$149)+SUMIF('8. FACILIT'!$B$18:$B$50,$C1210,'8. FACILIT'!AF$18:AF$50)</f>
        <v>0</v>
      </c>
      <c r="D1226" s="135">
        <f>SUMIF('5. PERSON'!$B$17:$B$192,$C1210,'5. PERSON'!DC$17:DC$192)+SUMIF('6. OPERATION'!$B$17:$B$149,$C1210,'6. OPERATION'!CF$17:CF$149)+SUMIF('8. FACILIT'!$B$18:$B$50,$C1210,'8. FACILIT'!AG$18:AG$50)</f>
        <v>0</v>
      </c>
      <c r="E1226" s="135">
        <f>SUMIF('5. PERSON'!$B$17:$B$192,$C1210,'5. PERSON'!DD$17:DD$192)+SUMIF('6. OPERATION'!$B$17:$B$149,$C1210,'6. OPERATION'!CG$17:CG$149)+SUMIF('8. FACILIT'!$B$18:$B$50,$C1210,'8. FACILIT'!AH$18:AH$50)</f>
        <v>0</v>
      </c>
      <c r="F1226" s="135">
        <f>SUMIF('5. PERSON'!$B$17:$B$192,$C1210,'5. PERSON'!DE$17:DE$192)+SUMIF('6. OPERATION'!$B$17:$B$149,$C1210,'6. OPERATION'!CH$17:CH$149)+SUMIF('8. FACILIT'!$B$18:$B$50,$C1210,'8. FACILIT'!AI$18:AI$50)</f>
        <v>0</v>
      </c>
      <c r="G1226" s="135">
        <f>SUMIF('5. PERSON'!$B$17:$B$192,$C1210,'5. PERSON'!DF$17:DF$192)+SUMIF('6. OPERATION'!$B$17:$B$149,$C1210,'6. OPERATION'!CI$17:CI$149)+SUMIF('8. FACILIT'!$B$18:$B$50,$C1210,'8. FACILIT'!AJ$18:AJ$50)</f>
        <v>0</v>
      </c>
      <c r="H1226" s="135">
        <f>SUMIF('5. PERSON'!$B$17:$B$192,$C1210,'5. PERSON'!DG$17:DG$192)+SUMIF('6. OPERATION'!$B$17:$B$149,$C1210,'6. OPERATION'!CJ$17:CJ$149)+SUMIF('8. FACILIT'!$B$18:$B$50,$C1210,'8. FACILIT'!AK$18:AK$50)</f>
        <v>0</v>
      </c>
      <c r="I1226" s="135">
        <f>SUMIF('5. PERSON'!$B$17:$B$192,$C1210,'5. PERSON'!DH$17:DH$192)+SUMIF('6. OPERATION'!$B$17:$B$149,$C1210,'6. OPERATION'!CK$17:CK$149)+SUMIF('8. FACILIT'!$B$18:$B$50,$C1210,'8. FACILIT'!AL$18:AL$50)</f>
        <v>0</v>
      </c>
      <c r="J1226" s="135">
        <f>SUMIF('5. PERSON'!$B$17:$B$192,$C1210,'5. PERSON'!DI$17:DI$192)+SUMIF('6. OPERATION'!$B$17:$B$149,$C1210,'6. OPERATION'!CL$17:CL$149)+SUMIF('8. FACILIT'!$B$18:$B$50,$C1210,'8. FACILIT'!AM$18:AM$50)</f>
        <v>0</v>
      </c>
      <c r="K1226" s="135">
        <f>SUMIF('5. PERSON'!$B$17:$B$192,$C1210,'5. PERSON'!DJ$17:DJ$192)+SUMIF('6. OPERATION'!$B$17:$B$149,$C1210,'6. OPERATION'!CM$17:CM$149)+SUMIF('8. FACILIT'!$B$18:$B$50,$C1210,'8. FACILIT'!AN$18:AN$50)</f>
        <v>0</v>
      </c>
      <c r="L1226" s="135">
        <f>SUMIF('5. PERSON'!$B$17:$B$192,$C1210,'5. PERSON'!DK$17:DK$192)+SUMIF('6. OPERATION'!$B$17:$B$149,$C1210,'6. OPERATION'!CN$17:CN$149)+SUMIF('8. FACILIT'!$B$18:$B$50,$C1210,'8. FACILIT'!AO$18:AO$50)</f>
        <v>0</v>
      </c>
      <c r="M1226" s="117">
        <f t="shared" si="268"/>
        <v>0</v>
      </c>
    </row>
    <row r="1227" spans="2:15" s="1" customFormat="1" ht="13.2" x14ac:dyDescent="0.25">
      <c r="B1227" s="756" t="str">
        <f>IF('1. INTRO'!I$2="English",(IF(('5. PERSON'!CN$193+'6. OPERATION'!BQ$150)&gt;0,"Indirect","")),IF(('5. PERSON'!CN$193+'6. OPERATION'!BQ$150)&gt;0,"Indirekt",""))</f>
        <v/>
      </c>
      <c r="C1227" s="757">
        <f>SUMIF('5. PERSON'!$B$17:$B$192,$C1210,'5. PERSON'!CD$17:CD$192)+SUMIF('6. OPERATION'!$B$17:$B$149,$C1210,'6. OPERATION'!BG$17:BG$149)</f>
        <v>0</v>
      </c>
      <c r="D1227" s="757">
        <f>SUMIF('5. PERSON'!$B$17:$B$192,$C1210,'5. PERSON'!CE$17:CE$192)+SUMIF('6. OPERATION'!$B$17:$B$149,$C1210,'6. OPERATION'!BH$17:BH$149)</f>
        <v>0</v>
      </c>
      <c r="E1227" s="757">
        <f>SUMIF('5. PERSON'!$B$17:$B$192,$C1210,'5. PERSON'!CF$17:CF$192)+SUMIF('6. OPERATION'!$B$17:$B$149,$C1210,'6. OPERATION'!BI$17:BI$149)</f>
        <v>0</v>
      </c>
      <c r="F1227" s="757">
        <f>SUMIF('5. PERSON'!$B$17:$B$192,$C1210,'5. PERSON'!CG$17:CG$192)+SUMIF('6. OPERATION'!$B$17:$B$149,$C1210,'6. OPERATION'!BJ$17:BJ$149)</f>
        <v>0</v>
      </c>
      <c r="G1227" s="757">
        <f>SUMIF('5. PERSON'!$B$17:$B$192,$C1210,'5. PERSON'!CH$17:CH$192)+SUMIF('6. OPERATION'!$B$17:$B$149,$C1210,'6. OPERATION'!BK$17:BK$149)</f>
        <v>0</v>
      </c>
      <c r="H1227" s="757">
        <f>SUMIF('5. PERSON'!$B$17:$B$192,$C1210,'5. PERSON'!CI$17:CI$192)+SUMIF('6. OPERATION'!$B$17:$B$149,$C1210,'6. OPERATION'!BL$17:BL$149)</f>
        <v>0</v>
      </c>
      <c r="I1227" s="757">
        <f>SUMIF('5. PERSON'!$B$17:$B$192,$C1210,'5. PERSON'!CJ$17:CJ$192)+SUMIF('6. OPERATION'!$B$17:$B$149,$C1210,'6. OPERATION'!BM$17:BM$149)</f>
        <v>0</v>
      </c>
      <c r="J1227" s="757">
        <f>SUMIF('5. PERSON'!$B$17:$B$192,$C1210,'5. PERSON'!CK$17:CK$192)+SUMIF('6. OPERATION'!$B$17:$B$149,$C1210,'6. OPERATION'!BN$17:BN$149)</f>
        <v>0</v>
      </c>
      <c r="K1227" s="757">
        <f>SUMIF('5. PERSON'!$B$17:$B$192,$C1210,'5. PERSON'!CL$17:CL$192)+SUMIF('6. OPERATION'!$B$17:$B$149,$C1210,'6. OPERATION'!BO$17:BO$149)</f>
        <v>0</v>
      </c>
      <c r="L1227" s="757">
        <f>SUMIF('5. PERSON'!$B$17:$B$192,$C1210,'5. PERSON'!CM$17:CM$192)+SUMIF('6. OPERATION'!$B$17:$B$149,$C1210,'6. OPERATION'!BP$17:BP$149)</f>
        <v>0</v>
      </c>
      <c r="M1227" s="761">
        <f t="shared" si="268"/>
        <v>0</v>
      </c>
    </row>
    <row r="1228" spans="2:15" s="3" customFormat="1" ht="13.2" x14ac:dyDescent="0.25">
      <c r="B1228" s="124" t="s">
        <v>113</v>
      </c>
      <c r="C1228" s="102">
        <f>SUM(C1221:C1227)</f>
        <v>0</v>
      </c>
      <c r="D1228" s="102">
        <f t="shared" ref="D1228:M1228" si="269">SUM(D1221:D1227)</f>
        <v>0</v>
      </c>
      <c r="E1228" s="102">
        <f t="shared" si="269"/>
        <v>0</v>
      </c>
      <c r="F1228" s="102">
        <f t="shared" si="269"/>
        <v>0</v>
      </c>
      <c r="G1228" s="102">
        <f t="shared" si="269"/>
        <v>0</v>
      </c>
      <c r="H1228" s="102">
        <f t="shared" si="269"/>
        <v>0</v>
      </c>
      <c r="I1228" s="102">
        <f t="shared" si="269"/>
        <v>0</v>
      </c>
      <c r="J1228" s="102">
        <f t="shared" si="269"/>
        <v>0</v>
      </c>
      <c r="K1228" s="102">
        <f t="shared" si="269"/>
        <v>0</v>
      </c>
      <c r="L1228" s="102">
        <f t="shared" si="269"/>
        <v>0</v>
      </c>
      <c r="M1228" s="125">
        <f t="shared" si="269"/>
        <v>0</v>
      </c>
      <c r="N1228" s="23"/>
      <c r="O1228" s="23"/>
    </row>
    <row r="1229" spans="2:15" s="3" customFormat="1" ht="6" customHeight="1" x14ac:dyDescent="0.25">
      <c r="B1229" s="136"/>
      <c r="C1229" s="127"/>
      <c r="D1229" s="127"/>
      <c r="E1229" s="127"/>
      <c r="F1229" s="127"/>
      <c r="G1229" s="127"/>
      <c r="H1229" s="127"/>
      <c r="I1229" s="127"/>
      <c r="J1229" s="127"/>
      <c r="K1229" s="127"/>
      <c r="L1229" s="127"/>
      <c r="M1229" s="137"/>
    </row>
    <row r="1230" spans="2:15" s="3" customFormat="1" ht="13.2" x14ac:dyDescent="0.25">
      <c r="B1230" s="129" t="str">
        <f>IF('1. INTRO'!I$2="English","Full cost","Full kostnad")</f>
        <v>Full cost</v>
      </c>
      <c r="C1230" s="127"/>
      <c r="D1230" s="127"/>
      <c r="E1230" s="127"/>
      <c r="F1230" s="127"/>
      <c r="G1230" s="127"/>
      <c r="H1230" s="127"/>
      <c r="I1230" s="127"/>
      <c r="J1230" s="127"/>
      <c r="K1230" s="127"/>
      <c r="L1230" s="127"/>
      <c r="M1230" s="137"/>
    </row>
    <row r="1231" spans="2:15" s="3" customFormat="1" ht="13.2" x14ac:dyDescent="0.25">
      <c r="B1231" s="750" t="str">
        <f>IF('1. INTRO'!I$2="English","Salary including social costs (LKP)","Lön inklusive LKP")</f>
        <v>Salary including social costs (LKP)</v>
      </c>
      <c r="C1231" s="762">
        <f>C1213+C1222+C1223</f>
        <v>0</v>
      </c>
      <c r="D1231" s="762">
        <f t="shared" ref="D1231:L1231" si="270">D1213+D1222+D1223</f>
        <v>0</v>
      </c>
      <c r="E1231" s="762">
        <f t="shared" si="270"/>
        <v>0</v>
      </c>
      <c r="F1231" s="762">
        <f t="shared" si="270"/>
        <v>0</v>
      </c>
      <c r="G1231" s="762">
        <f t="shared" si="270"/>
        <v>0</v>
      </c>
      <c r="H1231" s="762">
        <f t="shared" si="270"/>
        <v>0</v>
      </c>
      <c r="I1231" s="762">
        <f t="shared" si="270"/>
        <v>0</v>
      </c>
      <c r="J1231" s="762">
        <f t="shared" si="270"/>
        <v>0</v>
      </c>
      <c r="K1231" s="762">
        <f t="shared" si="270"/>
        <v>0</v>
      </c>
      <c r="L1231" s="762">
        <f t="shared" si="270"/>
        <v>0</v>
      </c>
      <c r="M1231" s="752">
        <f>SUM(C1231:L1231)</f>
        <v>0</v>
      </c>
    </row>
    <row r="1232" spans="2:15" s="3" customFormat="1" ht="13.2" x14ac:dyDescent="0.25">
      <c r="B1232" s="80" t="str">
        <f>IF('1. INTRO'!I$2="English","Operating","Drift")</f>
        <v>Operating</v>
      </c>
      <c r="C1232" s="139">
        <f>C1214+C1224</f>
        <v>0</v>
      </c>
      <c r="D1232" s="139">
        <f t="shared" ref="D1232:L1232" si="271">D1214+D1224</f>
        <v>0</v>
      </c>
      <c r="E1232" s="139">
        <f t="shared" si="271"/>
        <v>0</v>
      </c>
      <c r="F1232" s="139">
        <f t="shared" si="271"/>
        <v>0</v>
      </c>
      <c r="G1232" s="139">
        <f t="shared" si="271"/>
        <v>0</v>
      </c>
      <c r="H1232" s="139">
        <f t="shared" si="271"/>
        <v>0</v>
      </c>
      <c r="I1232" s="139">
        <f t="shared" si="271"/>
        <v>0</v>
      </c>
      <c r="J1232" s="139">
        <f t="shared" si="271"/>
        <v>0</v>
      </c>
      <c r="K1232" s="139">
        <f t="shared" si="271"/>
        <v>0</v>
      </c>
      <c r="L1232" s="139">
        <f t="shared" si="271"/>
        <v>0</v>
      </c>
      <c r="M1232" s="117">
        <f>SUM(C1232:L1232)</f>
        <v>0</v>
      </c>
    </row>
    <row r="1233" spans="2:13" s="3" customFormat="1" ht="13.2" x14ac:dyDescent="0.25">
      <c r="B1233" s="753" t="str">
        <f>IF('1. INTRO'!I$2="English","Equipment","Utrustning")</f>
        <v>Equipment</v>
      </c>
      <c r="C1233" s="763">
        <f>C1215+C1225</f>
        <v>0</v>
      </c>
      <c r="D1233" s="763">
        <f t="shared" ref="D1233:L1233" si="272">D1215+D1225</f>
        <v>0</v>
      </c>
      <c r="E1233" s="763">
        <f t="shared" si="272"/>
        <v>0</v>
      </c>
      <c r="F1233" s="763">
        <f t="shared" si="272"/>
        <v>0</v>
      </c>
      <c r="G1233" s="763">
        <f t="shared" si="272"/>
        <v>0</v>
      </c>
      <c r="H1233" s="763">
        <f t="shared" si="272"/>
        <v>0</v>
      </c>
      <c r="I1233" s="763">
        <f t="shared" si="272"/>
        <v>0</v>
      </c>
      <c r="J1233" s="763">
        <f t="shared" si="272"/>
        <v>0</v>
      </c>
      <c r="K1233" s="763">
        <f t="shared" si="272"/>
        <v>0</v>
      </c>
      <c r="L1233" s="763">
        <f t="shared" si="272"/>
        <v>0</v>
      </c>
      <c r="M1233" s="755">
        <f>SUM(C1233:L1233)</f>
        <v>0</v>
      </c>
    </row>
    <row r="1234" spans="2:13" s="3" customFormat="1" ht="13.2" x14ac:dyDescent="0.25">
      <c r="B1234" s="80" t="str">
        <f>IF('1. INTRO'!I$2="English","Facility","Lokal")</f>
        <v>Facility</v>
      </c>
      <c r="C1234" s="139">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39">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39">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39">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39">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39">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39">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39">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39">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39">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117">
        <f>SUM(C1234:L1234)</f>
        <v>0</v>
      </c>
    </row>
    <row r="1235" spans="2:13" s="3" customFormat="1" ht="13.2" x14ac:dyDescent="0.25">
      <c r="B1235" s="764" t="str">
        <f>IF('1. INTRO'!I$2="English","Indirect","Indirekt")</f>
        <v>Indirect</v>
      </c>
      <c r="C1235" s="765">
        <f>SUMIF('5. PERSON'!$B$17:$B$192,$C1210,'5. PERSON'!BR$17:BR$192)+SUMIF('5. PERSON'!$B$17:$B$192,$C1210,'5. PERSON'!CD$17:CD$192)+SUMIF('6. OPERATION'!$B$17:$B$149,$C1210,'6. OPERATION'!AU$17:AU$149)+SUMIF('6. OPERATION'!$B$17:$B$149,$C1210,'6. OPERATION'!BG$17:BG$149)</f>
        <v>0</v>
      </c>
      <c r="D1235" s="765">
        <f>SUMIF('5. PERSON'!$B$17:$B$192,$C1210,'5. PERSON'!BS$17:BS$192)+SUMIF('5. PERSON'!$B$17:$B$192,$C1210,'5. PERSON'!CE$17:CE$192)+SUMIF('6. OPERATION'!$B$17:$B$149,$C1210,'6. OPERATION'!AV$17:AV$149)+SUMIF('6. OPERATION'!$B$17:$B$149,$C1210,'6. OPERATION'!BH$17:BH$149)</f>
        <v>0</v>
      </c>
      <c r="E1235" s="765">
        <f>SUMIF('5. PERSON'!$B$17:$B$192,$C1210,'5. PERSON'!BT$17:BT$192)+SUMIF('5. PERSON'!$B$17:$B$192,$C1210,'5. PERSON'!CF$17:CF$192)+SUMIF('6. OPERATION'!$B$17:$B$149,$C1210,'6. OPERATION'!AW$17:AW$149)+SUMIF('6. OPERATION'!$B$17:$B$149,$C1210,'6. OPERATION'!BI$17:BI$149)</f>
        <v>0</v>
      </c>
      <c r="F1235" s="765">
        <f>SUMIF('5. PERSON'!$B$17:$B$192,$C1210,'5. PERSON'!BU$17:BU$192)+SUMIF('5. PERSON'!$B$17:$B$192,$C1210,'5. PERSON'!CG$17:CG$192)+SUMIF('6. OPERATION'!$B$17:$B$149,$C1210,'6. OPERATION'!AX$17:AX$149)+SUMIF('6. OPERATION'!$B$17:$B$149,$C1210,'6. OPERATION'!BJ$17:BJ$149)</f>
        <v>0</v>
      </c>
      <c r="G1235" s="765">
        <f>SUMIF('5. PERSON'!$B$17:$B$192,$C1210,'5. PERSON'!BV$17:BV$192)+SUMIF('5. PERSON'!$B$17:$B$192,$C1210,'5. PERSON'!CH$17:CH$192)+SUMIF('6. OPERATION'!$B$17:$B$149,$C1210,'6. OPERATION'!AY$17:AY$149)+SUMIF('6. OPERATION'!$B$17:$B$149,$C1210,'6. OPERATION'!BK$17:BK$149)</f>
        <v>0</v>
      </c>
      <c r="H1235" s="765">
        <f>SUMIF('5. PERSON'!$B$17:$B$192,$C1210,'5. PERSON'!BW$17:BW$192)+SUMIF('5. PERSON'!$B$17:$B$192,$C1210,'5. PERSON'!CI$17:CI$192)+SUMIF('6. OPERATION'!$B$17:$B$149,$C1210,'6. OPERATION'!AZ$17:AZ$149)+SUMIF('6. OPERATION'!$B$17:$B$149,$C1210,'6. OPERATION'!BL$17:BL$149)</f>
        <v>0</v>
      </c>
      <c r="I1235" s="765">
        <f>SUMIF('5. PERSON'!$B$17:$B$192,$C1210,'5. PERSON'!BX$17:BX$192)+SUMIF('5. PERSON'!$B$17:$B$192,$C1210,'5. PERSON'!CJ$17:CJ$192)+SUMIF('6. OPERATION'!$B$17:$B$149,$C1210,'6. OPERATION'!BA$17:BA$149)+SUMIF('6. OPERATION'!$B$17:$B$149,$C1210,'6. OPERATION'!BM$17:BM$149)</f>
        <v>0</v>
      </c>
      <c r="J1235" s="765">
        <f>SUMIF('5. PERSON'!$B$17:$B$192,$C1210,'5. PERSON'!BY$17:BY$192)+SUMIF('5. PERSON'!$B$17:$B$192,$C1210,'5. PERSON'!CK$17:CK$192)+SUMIF('6. OPERATION'!$B$17:$B$149,$C1210,'6. OPERATION'!BB$17:BB$149)+SUMIF('6. OPERATION'!$B$17:$B$149,$C1210,'6. OPERATION'!BN$17:BN$149)</f>
        <v>0</v>
      </c>
      <c r="K1235" s="765">
        <f>SUMIF('5. PERSON'!$B$17:$B$192,$C1210,'5. PERSON'!BZ$17:BZ$192)+SUMIF('5. PERSON'!$B$17:$B$192,$C1210,'5. PERSON'!CL$17:CL$192)+SUMIF('6. OPERATION'!$B$17:$B$149,$C1210,'6. OPERATION'!BC$17:BC$149)+SUMIF('6. OPERATION'!$B$17:$B$149,$C1210,'6. OPERATION'!BO$17:BO$149)</f>
        <v>0</v>
      </c>
      <c r="L1235" s="765">
        <f>SUMIF('5. PERSON'!$B$17:$B$192,$C1210,'5. PERSON'!CA$17:CA$192)+SUMIF('5. PERSON'!$B$17:$B$192,$C1210,'5. PERSON'!CM$17:CM$192)+SUMIF('6. OPERATION'!$B$17:$B$149,$C1210,'6. OPERATION'!BD$17:BD$149)+SUMIF('6. OPERATION'!$B$17:$B$149,$C1210,'6. OPERATION'!BP$17:BP$149)</f>
        <v>0</v>
      </c>
      <c r="M1235" s="761">
        <f>SUM(C1235:L1235)</f>
        <v>0</v>
      </c>
    </row>
    <row r="1236" spans="2:13" s="3" customFormat="1" ht="13.2" x14ac:dyDescent="0.25">
      <c r="B1236" s="124" t="s">
        <v>113</v>
      </c>
      <c r="C1236" s="88">
        <f>SUM(C1231:C1235)</f>
        <v>0</v>
      </c>
      <c r="D1236" s="88">
        <f t="shared" ref="D1236:M1236" si="273">SUM(D1231:D1235)</f>
        <v>0</v>
      </c>
      <c r="E1236" s="88">
        <f t="shared" si="273"/>
        <v>0</v>
      </c>
      <c r="F1236" s="88">
        <f t="shared" si="273"/>
        <v>0</v>
      </c>
      <c r="G1236" s="88">
        <f t="shared" si="273"/>
        <v>0</v>
      </c>
      <c r="H1236" s="88">
        <f t="shared" si="273"/>
        <v>0</v>
      </c>
      <c r="I1236" s="88">
        <f t="shared" si="273"/>
        <v>0</v>
      </c>
      <c r="J1236" s="88">
        <f t="shared" si="273"/>
        <v>0</v>
      </c>
      <c r="K1236" s="88">
        <f t="shared" si="273"/>
        <v>0</v>
      </c>
      <c r="L1236" s="88">
        <f t="shared" si="273"/>
        <v>0</v>
      </c>
      <c r="M1236" s="142">
        <f t="shared" si="273"/>
        <v>0</v>
      </c>
    </row>
    <row r="1237" spans="2:13" s="3" customFormat="1" ht="13.2" x14ac:dyDescent="0.25">
      <c r="B1237" s="287"/>
      <c r="C1237" s="37"/>
      <c r="D1237" s="37"/>
      <c r="E1237" s="37"/>
      <c r="F1237" s="37"/>
      <c r="G1237" s="37"/>
      <c r="H1237" s="37"/>
      <c r="I1237" s="37"/>
      <c r="J1237" s="37"/>
      <c r="K1237" s="37"/>
      <c r="L1237" s="37"/>
      <c r="M1237" s="37"/>
    </row>
    <row r="1238" spans="2:13" s="3" customFormat="1" ht="12.75" customHeight="1" x14ac:dyDescent="0.25">
      <c r="B1238" s="656" t="str">
        <f>IF('1. INTRO'!I$2="English","Co-funding share in full cost ","Medfinansieringsandel i full kostnad ")</f>
        <v xml:space="preserve">Co-funding share in full cost </v>
      </c>
      <c r="C1238" s="143" t="str">
        <f t="shared" ref="C1238:M1238" si="274">IF(C1236&gt;0,C1228/C1236,"")</f>
        <v/>
      </c>
      <c r="D1238" s="143" t="str">
        <f t="shared" si="274"/>
        <v/>
      </c>
      <c r="E1238" s="143" t="str">
        <f t="shared" si="274"/>
        <v/>
      </c>
      <c r="F1238" s="143" t="str">
        <f t="shared" si="274"/>
        <v/>
      </c>
      <c r="G1238" s="143" t="str">
        <f t="shared" si="274"/>
        <v/>
      </c>
      <c r="H1238" s="143" t="str">
        <f t="shared" si="274"/>
        <v/>
      </c>
      <c r="I1238" s="143" t="str">
        <f t="shared" si="274"/>
        <v/>
      </c>
      <c r="J1238" s="143" t="str">
        <f t="shared" si="274"/>
        <v/>
      </c>
      <c r="K1238" s="143" t="str">
        <f t="shared" si="274"/>
        <v/>
      </c>
      <c r="L1238" s="143" t="str">
        <f t="shared" si="274"/>
        <v/>
      </c>
      <c r="M1238" s="143" t="str">
        <f t="shared" si="274"/>
        <v/>
      </c>
    </row>
    <row r="1239" spans="2:13" ht="12.75" customHeight="1" x14ac:dyDescent="0.2"/>
    <row r="1240" spans="2:13" ht="12.75" customHeight="1" x14ac:dyDescent="0.25">
      <c r="D1240" s="656" t="str">
        <f>IF('1. INTRO'!I$2="English","Co-funding need in average per year: ","Medfinansieringsbehov i genomsnitt per år: ")</f>
        <v xml:space="preserve">Co-funding need in average per year: </v>
      </c>
      <c r="E1240" s="766" t="str">
        <f>IF(M1228=0,"",M1228/(DATEDIF('2. START'!C$18,'2. START'!C$19,"d")/365))</f>
        <v/>
      </c>
      <c r="H1240" s="656" t="str">
        <f>IF('1. INTRO'!I$2="English","Co-funding need 1/3 of total: ","Medfinansieringsbehov 1/3 av totalt: ")</f>
        <v xml:space="preserve">Co-funding need 1/3 of total: </v>
      </c>
      <c r="I1240" s="766">
        <f>M1228/3</f>
        <v>0</v>
      </c>
      <c r="L1240" s="287" t="str">
        <f>IF('1. INTRO'!I$2="English","Co-funding need total: ","Medfinansieringsbehov totalt: ")</f>
        <v xml:space="preserve">Co-funding need total: </v>
      </c>
      <c r="M1240" s="766">
        <f>M1228</f>
        <v>0</v>
      </c>
    </row>
    <row r="1241" spans="2:13" ht="12.75" customHeight="1" x14ac:dyDescent="0.25">
      <c r="B1241" s="53" t="str">
        <f>IF('1. INTRO'!I$2="English","Co-funding sources","Medfinansieringskällor")</f>
        <v>Co-funding sources</v>
      </c>
    </row>
    <row r="1242" spans="2:13" ht="12.75" customHeight="1" x14ac:dyDescent="0.25">
      <c r="B1242" s="225"/>
      <c r="C1242" s="226"/>
      <c r="D1242" s="226"/>
      <c r="E1242" s="226"/>
      <c r="F1242" s="226"/>
      <c r="G1242" s="226"/>
      <c r="H1242" s="226"/>
      <c r="I1242" s="226"/>
      <c r="J1242" s="226"/>
      <c r="K1242" s="226"/>
      <c r="L1242" s="227"/>
      <c r="M1242" s="168">
        <f>SUM(C1242:L1242)</f>
        <v>0</v>
      </c>
    </row>
    <row r="1243" spans="2:13" ht="12.75" customHeight="1" x14ac:dyDescent="0.25">
      <c r="B1243" s="228"/>
      <c r="C1243" s="229"/>
      <c r="D1243" s="229"/>
      <c r="E1243" s="229"/>
      <c r="F1243" s="229"/>
      <c r="G1243" s="229"/>
      <c r="H1243" s="229"/>
      <c r="I1243" s="229"/>
      <c r="J1243" s="229"/>
      <c r="K1243" s="229"/>
      <c r="L1243" s="230"/>
      <c r="M1243" s="755">
        <f t="shared" ref="M1243:M1246" si="275">SUM(C1243:L1243)</f>
        <v>0</v>
      </c>
    </row>
    <row r="1244" spans="2:13" ht="12.75" customHeight="1" x14ac:dyDescent="0.25">
      <c r="B1244" s="231"/>
      <c r="C1244" s="232"/>
      <c r="D1244" s="232"/>
      <c r="E1244" s="232"/>
      <c r="F1244" s="232"/>
      <c r="G1244" s="232"/>
      <c r="H1244" s="232"/>
      <c r="I1244" s="232"/>
      <c r="J1244" s="232"/>
      <c r="K1244" s="232"/>
      <c r="L1244" s="233"/>
      <c r="M1244" s="117">
        <f t="shared" si="275"/>
        <v>0</v>
      </c>
    </row>
    <row r="1245" spans="2:13" ht="12.75" customHeight="1" x14ac:dyDescent="0.25">
      <c r="B1245" s="228"/>
      <c r="C1245" s="229"/>
      <c r="D1245" s="229"/>
      <c r="E1245" s="229"/>
      <c r="F1245" s="229"/>
      <c r="G1245" s="229"/>
      <c r="H1245" s="229"/>
      <c r="I1245" s="229"/>
      <c r="J1245" s="229"/>
      <c r="K1245" s="229"/>
      <c r="L1245" s="230"/>
      <c r="M1245" s="755">
        <f t="shared" si="275"/>
        <v>0</v>
      </c>
    </row>
    <row r="1246" spans="2:13" ht="12.75" customHeight="1" x14ac:dyDescent="0.25">
      <c r="B1246" s="93"/>
      <c r="C1246" s="232"/>
      <c r="D1246" s="232"/>
      <c r="E1246" s="232"/>
      <c r="F1246" s="232"/>
      <c r="G1246" s="232"/>
      <c r="H1246" s="232"/>
      <c r="I1246" s="232"/>
      <c r="J1246" s="232"/>
      <c r="K1246" s="232"/>
      <c r="L1246" s="233"/>
      <c r="M1246" s="117">
        <f t="shared" si="275"/>
        <v>0</v>
      </c>
    </row>
    <row r="1247" spans="2:13" ht="12.75" customHeight="1" x14ac:dyDescent="0.25">
      <c r="B1247" s="84" t="str">
        <f>IF('1. INTRO'!I$2="English","Total co-funding ","Total medfinansiering ")</f>
        <v xml:space="preserve">Total co-funding </v>
      </c>
      <c r="C1247" s="87">
        <f t="shared" ref="C1247:M1247" si="276">SUM(C1242:C1246)</f>
        <v>0</v>
      </c>
      <c r="D1247" s="87">
        <f t="shared" si="276"/>
        <v>0</v>
      </c>
      <c r="E1247" s="87">
        <f t="shared" si="276"/>
        <v>0</v>
      </c>
      <c r="F1247" s="87">
        <f t="shared" si="276"/>
        <v>0</v>
      </c>
      <c r="G1247" s="87">
        <f t="shared" si="276"/>
        <v>0</v>
      </c>
      <c r="H1247" s="87">
        <f t="shared" si="276"/>
        <v>0</v>
      </c>
      <c r="I1247" s="87">
        <f t="shared" si="276"/>
        <v>0</v>
      </c>
      <c r="J1247" s="87">
        <f t="shared" si="276"/>
        <v>0</v>
      </c>
      <c r="K1247" s="87">
        <f t="shared" si="276"/>
        <v>0</v>
      </c>
      <c r="L1247" s="87">
        <f t="shared" si="276"/>
        <v>0</v>
      </c>
      <c r="M1247" s="142">
        <f t="shared" si="276"/>
        <v>0</v>
      </c>
    </row>
    <row r="1248" spans="2:13" ht="12.75" customHeight="1" x14ac:dyDescent="0.2"/>
    <row r="1249" spans="2:13" ht="12.75" customHeight="1" x14ac:dyDescent="0.2">
      <c r="B1249" s="667" t="str">
        <f>IF('1. INTRO'!I$2="English","Calculation comments","Kalkylkommentarer")</f>
        <v>Calculation comments</v>
      </c>
    </row>
    <row r="1250" spans="2:13" ht="12.75" customHeight="1" x14ac:dyDescent="0.2">
      <c r="B1250" s="1142"/>
      <c r="C1250" s="1143"/>
      <c r="D1250" s="1143"/>
      <c r="E1250" s="1143"/>
      <c r="F1250" s="1143"/>
      <c r="G1250" s="1143"/>
      <c r="H1250" s="1143"/>
      <c r="I1250" s="1143"/>
      <c r="J1250" s="1143"/>
      <c r="K1250" s="1143"/>
      <c r="L1250" s="1143"/>
      <c r="M1250" s="1144"/>
    </row>
    <row r="1251" spans="2:13" ht="12.75" customHeight="1" x14ac:dyDescent="0.2">
      <c r="B1251" s="1145"/>
      <c r="C1251" s="1226"/>
      <c r="D1251" s="1226"/>
      <c r="E1251" s="1226"/>
      <c r="F1251" s="1226"/>
      <c r="G1251" s="1226"/>
      <c r="H1251" s="1226"/>
      <c r="I1251" s="1226"/>
      <c r="J1251" s="1226"/>
      <c r="K1251" s="1226"/>
      <c r="L1251" s="1226"/>
      <c r="M1251" s="1147"/>
    </row>
    <row r="1252" spans="2:13" ht="12.75" customHeight="1" x14ac:dyDescent="0.2">
      <c r="B1252" s="1145"/>
      <c r="C1252" s="1226"/>
      <c r="D1252" s="1226"/>
      <c r="E1252" s="1226"/>
      <c r="F1252" s="1226"/>
      <c r="G1252" s="1226"/>
      <c r="H1252" s="1226"/>
      <c r="I1252" s="1226"/>
      <c r="J1252" s="1226"/>
      <c r="K1252" s="1226"/>
      <c r="L1252" s="1226"/>
      <c r="M1252" s="1147"/>
    </row>
    <row r="1253" spans="2:13" ht="12.75" customHeight="1" x14ac:dyDescent="0.2">
      <c r="B1253" s="1145"/>
      <c r="C1253" s="1226"/>
      <c r="D1253" s="1226"/>
      <c r="E1253" s="1226"/>
      <c r="F1253" s="1226"/>
      <c r="G1253" s="1226"/>
      <c r="H1253" s="1226"/>
      <c r="I1253" s="1226"/>
      <c r="J1253" s="1226"/>
      <c r="K1253" s="1226"/>
      <c r="L1253" s="1226"/>
      <c r="M1253" s="1147"/>
    </row>
    <row r="1254" spans="2:13" ht="12.75" customHeight="1" x14ac:dyDescent="0.2">
      <c r="B1254" s="1148"/>
      <c r="C1254" s="1149"/>
      <c r="D1254" s="1149"/>
      <c r="E1254" s="1149"/>
      <c r="F1254" s="1149"/>
      <c r="G1254" s="1149"/>
      <c r="H1254" s="1149"/>
      <c r="I1254" s="1149"/>
      <c r="J1254" s="1149"/>
      <c r="K1254" s="1149"/>
      <c r="L1254" s="1149"/>
      <c r="M1254" s="1150"/>
    </row>
    <row r="1255" spans="2:13" ht="12.75" customHeight="1" x14ac:dyDescent="0.2">
      <c r="B1255" s="169"/>
      <c r="C1255" s="169"/>
      <c r="D1255" s="169"/>
      <c r="E1255" s="169"/>
      <c r="F1255" s="169"/>
      <c r="G1255" s="169"/>
      <c r="H1255" s="169"/>
      <c r="I1255" s="169"/>
      <c r="J1255" s="169"/>
      <c r="K1255" s="169"/>
      <c r="L1255" s="169"/>
      <c r="M1255" s="169"/>
    </row>
    <row r="1256" spans="2:13" s="3" customFormat="1" ht="12.75" customHeight="1" x14ac:dyDescent="0.25">
      <c r="B1256" s="313" t="str">
        <f>'3. PARTNER'!C$4</f>
        <v xml:space="preserve">Project: </v>
      </c>
      <c r="C1256" s="1062" t="str">
        <f>'3. PARTNER'!D$4</f>
        <v/>
      </c>
      <c r="D1256" s="1001"/>
      <c r="E1256" s="1001"/>
      <c r="F1256" s="1001"/>
      <c r="G1256" s="1001"/>
      <c r="H1256" s="1001"/>
      <c r="I1256" s="1001"/>
      <c r="J1256" s="1001"/>
      <c r="K1256" s="1001"/>
      <c r="L1256" s="1001"/>
      <c r="M1256" s="1001"/>
    </row>
    <row r="1257" spans="2:13" s="3" customFormat="1" ht="13.2" x14ac:dyDescent="0.25">
      <c r="B1257" s="313" t="str">
        <f>'3. PARTNER'!C$5</f>
        <v xml:space="preserve">Calculation for: </v>
      </c>
      <c r="C1257" s="1062" t="str">
        <f>'3. PARTNER'!D$5</f>
        <v>APPLICATION</v>
      </c>
      <c r="D1257" s="1001"/>
      <c r="E1257" s="268"/>
      <c r="F1257" s="268"/>
      <c r="G1257" s="268"/>
      <c r="H1257" s="268"/>
      <c r="I1257" s="268"/>
      <c r="J1257" s="268"/>
      <c r="K1257" s="268"/>
      <c r="L1257" s="268"/>
      <c r="M1257" s="268"/>
    </row>
    <row r="1258" spans="2:13" s="3" customFormat="1" ht="13.2" x14ac:dyDescent="0.25">
      <c r="B1258" s="35" t="str">
        <f>'3. PARTNER'!C$6</f>
        <v xml:space="preserve">Project leader: </v>
      </c>
      <c r="C1258" s="1062" t="str">
        <f>'3. PARTNER'!D$6</f>
        <v/>
      </c>
      <c r="D1258" s="1001"/>
      <c r="E1258" s="1001"/>
      <c r="F1258" s="1001"/>
      <c r="G1258" s="1001"/>
      <c r="H1258" s="1001"/>
      <c r="I1258" s="1001"/>
      <c r="J1258" s="1001"/>
      <c r="K1258" s="1001"/>
      <c r="L1258" s="1001"/>
      <c r="M1258" s="1001"/>
    </row>
    <row r="1259" spans="2:13" s="3" customFormat="1" ht="13.2" x14ac:dyDescent="0.25">
      <c r="B1259" s="313" t="str">
        <f>'5. PERSON'!B$7</f>
        <v xml:space="preserve">Amounts in: </v>
      </c>
      <c r="C1259" s="655" t="str">
        <f>'5. PERSON'!C$7</f>
        <v>SEK</v>
      </c>
      <c r="D1259" s="268"/>
      <c r="E1259" s="268"/>
      <c r="F1259" s="268"/>
      <c r="G1259" s="234"/>
      <c r="H1259" s="234"/>
      <c r="I1259" s="270"/>
      <c r="J1259" s="270"/>
      <c r="K1259" s="270"/>
      <c r="L1259" s="270"/>
      <c r="M1259" s="270"/>
    </row>
    <row r="1260" spans="2:13" s="3" customFormat="1" ht="13.2" x14ac:dyDescent="0.25">
      <c r="B1260" s="313"/>
      <c r="C1260" s="1053" t="str">
        <f>'3. PARTNER'!D$7</f>
        <v>Other basic data about the project is in sheet 2.</v>
      </c>
      <c r="D1260" s="1001"/>
      <c r="E1260" s="1001"/>
      <c r="F1260" s="1001"/>
      <c r="G1260" s="234"/>
      <c r="H1260" s="234"/>
      <c r="I1260" s="270"/>
      <c r="J1260" s="270"/>
      <c r="K1260" s="270"/>
      <c r="L1260" s="251" t="s">
        <v>4</v>
      </c>
      <c r="M1260" s="270"/>
    </row>
    <row r="1261" spans="2:13" ht="12.75" customHeight="1" x14ac:dyDescent="0.2">
      <c r="J1261" s="252" t="s">
        <v>322</v>
      </c>
      <c r="K1261" s="252" t="s">
        <v>323</v>
      </c>
      <c r="L1261" s="252" t="str">
        <f>IF('1. INTRO'!I$2="English","months","månader")</f>
        <v>months</v>
      </c>
    </row>
    <row r="1262" spans="2:13" s="3" customFormat="1" ht="13.8" x14ac:dyDescent="0.25">
      <c r="B1262" s="157" t="str">
        <f>IF('1. INTRO'!I$2="English","Project costs","Projektkostnader")</f>
        <v>Project costs</v>
      </c>
      <c r="C1262" s="668" t="str">
        <f>A38</f>
        <v>210S</v>
      </c>
      <c r="D1262" s="1227" t="str">
        <f>B38</f>
        <v>School for Forest Management</v>
      </c>
      <c r="E1262" s="1004"/>
      <c r="F1262" s="1004"/>
      <c r="G1262" s="654"/>
      <c r="H1262" s="37"/>
      <c r="I1262" s="37"/>
      <c r="J1262" s="643"/>
      <c r="K1262" s="643"/>
      <c r="L1262" s="642">
        <f>SUMIF('5. PERSON'!$B$17:$B$192,$C1262,'5. PERSON'!AE$17:AE$192)</f>
        <v>0</v>
      </c>
      <c r="M1262" s="680" t="s">
        <v>330</v>
      </c>
    </row>
    <row r="1263" spans="2:13" s="3" customFormat="1" ht="6" customHeight="1" x14ac:dyDescent="0.25">
      <c r="B1263" s="57"/>
      <c r="C1263" s="37"/>
      <c r="D1263" s="37"/>
      <c r="E1263" s="37"/>
      <c r="F1263" s="37"/>
      <c r="G1263" s="37"/>
      <c r="H1263" s="37"/>
      <c r="I1263" s="37"/>
      <c r="J1263" s="37"/>
      <c r="K1263" s="37"/>
      <c r="L1263" s="37"/>
      <c r="M1263" s="37"/>
    </row>
    <row r="1264" spans="2:13" s="3" customFormat="1" ht="13.2" x14ac:dyDescent="0.25">
      <c r="B1264" s="110" t="str">
        <f>IF('1. INTRO'!I$2="English","Costs to be covered by funding body","Kostnader att täckas av finansiär")</f>
        <v>Costs to be covered by funding body</v>
      </c>
      <c r="C1264" s="111">
        <f>'5. PERSON'!G$15</f>
        <v>1900</v>
      </c>
      <c r="D1264" s="111" t="str">
        <f>'5. PERSON'!H$15</f>
        <v/>
      </c>
      <c r="E1264" s="111" t="str">
        <f>'5. PERSON'!I$15</f>
        <v/>
      </c>
      <c r="F1264" s="111" t="str">
        <f>'5. PERSON'!J$15</f>
        <v/>
      </c>
      <c r="G1264" s="111" t="str">
        <f>'5. PERSON'!K$15</f>
        <v/>
      </c>
      <c r="H1264" s="111" t="str">
        <f>'5. PERSON'!L$15</f>
        <v/>
      </c>
      <c r="I1264" s="111" t="str">
        <f>'5. PERSON'!M$15</f>
        <v/>
      </c>
      <c r="J1264" s="111" t="str">
        <f>'5. PERSON'!N$15</f>
        <v/>
      </c>
      <c r="K1264" s="111" t="str">
        <f>'5. PERSON'!O$15</f>
        <v/>
      </c>
      <c r="L1264" s="111" t="str">
        <f>'5. PERSON'!P$15</f>
        <v/>
      </c>
      <c r="M1264" s="112" t="s">
        <v>2</v>
      </c>
    </row>
    <row r="1265" spans="2:15" s="3" customFormat="1" ht="12.75" customHeight="1" x14ac:dyDescent="0.25">
      <c r="B1265" s="750" t="str">
        <f>IF('1. INTRO'!I$2="English","Salary including social costs (LKP)","Lön inklusive LKP")</f>
        <v>Salary including social costs (LKP)</v>
      </c>
      <c r="C1265" s="751">
        <f>IF('2. START'!$C$14&gt;0,SUMIF('5. PERSON'!$B$17:$B$192,$C1262,'5. PERSON'!DN$17:DN$192),SUMIF('5. PERSON'!$B$17:$B$192,$C1262,'5. PERSON'!AT$17:AT$192))</f>
        <v>0</v>
      </c>
      <c r="D1265" s="751">
        <f>IF('2. START'!$C$14&gt;0,SUMIF('5. PERSON'!$B$17:$B$192,$C1262,'5. PERSON'!DO$17:DO$192),SUMIF('5. PERSON'!$B$17:$B$192,$C1262,'5. PERSON'!AU$17:AU$192))</f>
        <v>0</v>
      </c>
      <c r="E1265" s="751">
        <f>IF('2. START'!$C$14&gt;0,SUMIF('5. PERSON'!$B$17:$B$192,$C1262,'5. PERSON'!DP$17:DP$192),SUMIF('5. PERSON'!$B$17:$B$192,$C1262,'5. PERSON'!AV$17:AV$192))</f>
        <v>0</v>
      </c>
      <c r="F1265" s="751">
        <f>IF('2. START'!$C$14&gt;0,SUMIF('5. PERSON'!$B$17:$B$192,$C1262,'5. PERSON'!DQ$17:DQ$192),SUMIF('5. PERSON'!$B$17:$B$192,$C1262,'5. PERSON'!AW$17:AW$192))</f>
        <v>0</v>
      </c>
      <c r="G1265" s="751">
        <f>IF('2. START'!$C$14&gt;0,SUMIF('5. PERSON'!$B$17:$B$192,$C1262,'5. PERSON'!DR$17:DR$192),SUMIF('5. PERSON'!$B$17:$B$192,$C1262,'5. PERSON'!AX$17:AX$192))</f>
        <v>0</v>
      </c>
      <c r="H1265" s="751">
        <f>IF('2. START'!$C$14&gt;0,SUMIF('5. PERSON'!$B$17:$B$192,$C1262,'5. PERSON'!DS$17:DS$192),SUMIF('5. PERSON'!$B$17:$B$192,$C1262,'5. PERSON'!AY$17:AY$192))</f>
        <v>0</v>
      </c>
      <c r="I1265" s="751">
        <f>IF('2. START'!$C$14&gt;0,SUMIF('5. PERSON'!$B$17:$B$192,$C1262,'5. PERSON'!DT$17:DT$192),SUMIF('5. PERSON'!$B$17:$B$192,$C1262,'5. PERSON'!AZ$17:AZ$192))</f>
        <v>0</v>
      </c>
      <c r="J1265" s="751">
        <f>IF('2. START'!$C$14&gt;0,SUMIF('5. PERSON'!$B$17:$B$192,$C1262,'5. PERSON'!DU$17:DU$192),SUMIF('5. PERSON'!$B$17:$B$192,$C1262,'5. PERSON'!BA$17:BA$192))</f>
        <v>0</v>
      </c>
      <c r="K1265" s="751">
        <f>IF('2. START'!$C$14&gt;0,SUMIF('5. PERSON'!$B$17:$B$192,$C1262,'5. PERSON'!DV$17:DV$192),SUMIF('5. PERSON'!$B$17:$B$192,$C1262,'5. PERSON'!BB$17:BB$192))</f>
        <v>0</v>
      </c>
      <c r="L1265" s="751">
        <f>IF('2. START'!$C$14&gt;0,SUMIF('5. PERSON'!$B$17:$B$192,$C1262,'5. PERSON'!DW$17:DW$192),SUMIF('5. PERSON'!$B$17:$B$192,$C1262,'5. PERSON'!BC$17:BC$192))</f>
        <v>0</v>
      </c>
      <c r="M1265" s="752">
        <f t="shared" ref="M1265:M1270" si="277">SUM(C1265:L1265)</f>
        <v>0</v>
      </c>
      <c r="O1265" s="4"/>
    </row>
    <row r="1266" spans="2:15" s="3" customFormat="1" ht="12.75" customHeight="1" x14ac:dyDescent="0.25">
      <c r="B1266" s="80" t="str">
        <f>IF('1. INTRO'!I$2="English","Operating","Drift")</f>
        <v>Operating</v>
      </c>
      <c r="C1266" s="116">
        <f>SUMIF('6. OPERATION'!$B$17:$B$149,$C1262,'6. OPERATION'!W$17:W$149)</f>
        <v>0</v>
      </c>
      <c r="D1266" s="116">
        <f>SUMIF('6. OPERATION'!$B$17:$B$149,$C1262,'6. OPERATION'!X$17:X$149)</f>
        <v>0</v>
      </c>
      <c r="E1266" s="116">
        <f>SUMIF('6. OPERATION'!$B$17:$B$149,$C1262,'6. OPERATION'!Y$17:Y$149)</f>
        <v>0</v>
      </c>
      <c r="F1266" s="116">
        <f>SUMIF('6. OPERATION'!$B$17:$B$149,$C1262,'6. OPERATION'!Z$17:Z$149)</f>
        <v>0</v>
      </c>
      <c r="G1266" s="116">
        <f>SUMIF('6. OPERATION'!$B$17:$B$149,$C1262,'6. OPERATION'!AA$17:AA$149)</f>
        <v>0</v>
      </c>
      <c r="H1266" s="116">
        <f>SUMIF('6. OPERATION'!$B$17:$B$149,$C1262,'6. OPERATION'!AB$17:AB$149)</f>
        <v>0</v>
      </c>
      <c r="I1266" s="116">
        <f>SUMIF('6. OPERATION'!$B$17:$B$149,$C1262,'6. OPERATION'!AC$17:AC$149)</f>
        <v>0</v>
      </c>
      <c r="J1266" s="116">
        <f>SUMIF('6. OPERATION'!$B$17:$B$149,$C1262,'6. OPERATION'!AD$17:AD$149)</f>
        <v>0</v>
      </c>
      <c r="K1266" s="116">
        <f>SUMIF('6. OPERATION'!$B$17:$B$149,$C1262,'6. OPERATION'!AE$17:AE$149)</f>
        <v>0</v>
      </c>
      <c r="L1266" s="116">
        <f>SUMIF('6. OPERATION'!$B$17:$B$149,$C1262,'6. OPERATION'!AF$17:AF$149)</f>
        <v>0</v>
      </c>
      <c r="M1266" s="117">
        <f t="shared" si="277"/>
        <v>0</v>
      </c>
    </row>
    <row r="1267" spans="2:15" s="3" customFormat="1" ht="13.2" x14ac:dyDescent="0.25">
      <c r="B1267" s="753" t="str">
        <f>IF('1. INTRO'!I$2="English","Equipment","Utrustning")</f>
        <v>Equipment</v>
      </c>
      <c r="C1267" s="754">
        <f>SUMIF('7. INVEST'!$B$17:$B$49,$C1262,'7. INVEST'!W$17:W$49)</f>
        <v>0</v>
      </c>
      <c r="D1267" s="754">
        <f>SUMIF('7. INVEST'!$B$17:$B$49,$C1262,'7. INVEST'!X$17:X$49)</f>
        <v>0</v>
      </c>
      <c r="E1267" s="754">
        <f>SUMIF('7. INVEST'!$B$17:$B$49,$C1262,'7. INVEST'!Y$17:Y$49)</f>
        <v>0</v>
      </c>
      <c r="F1267" s="754">
        <f>SUMIF('7. INVEST'!$B$17:$B$49,$C1262,'7. INVEST'!Z$17:Z$49)</f>
        <v>0</v>
      </c>
      <c r="G1267" s="754">
        <f>SUMIF('7. INVEST'!$B$17:$B$49,$C1262,'7. INVEST'!AA$17:AA$49)</f>
        <v>0</v>
      </c>
      <c r="H1267" s="754">
        <f>SUMIF('7. INVEST'!$B$17:$B$49,$C1262,'7. INVEST'!AB$17:AB$49)</f>
        <v>0</v>
      </c>
      <c r="I1267" s="754">
        <f>SUMIF('7. INVEST'!$B$17:$B$49,$C1262,'7. INVEST'!AC$17:AC$49)</f>
        <v>0</v>
      </c>
      <c r="J1267" s="754">
        <f>SUMIF('7. INVEST'!$B$17:$B$49,$C1262,'7. INVEST'!AD$17:AD$49)</f>
        <v>0</v>
      </c>
      <c r="K1267" s="754">
        <f>SUMIF('7. INVEST'!$B$17:$B$49,$C1262,'7. INVEST'!AE$17:AE$49)</f>
        <v>0</v>
      </c>
      <c r="L1267" s="754">
        <f>SUMIF('7. INVEST'!$B$17:$B$49,$C1262,'7. INVEST'!AF$17:AF$49)</f>
        <v>0</v>
      </c>
      <c r="M1267" s="755">
        <f t="shared" si="277"/>
        <v>0</v>
      </c>
    </row>
    <row r="1268" spans="2:15" s="3" customFormat="1" ht="13.2" x14ac:dyDescent="0.25">
      <c r="B1268" s="121" t="str">
        <f>IF('1. INTRO'!I$2="English",(IF('2. START'!C$11="NO","Facility accepted as direct cost by funding body","Facility")),IF('2. START'!C$11="NO","Lokal accepterad som direkt kostnad av finansiär","Lokal"))</f>
        <v>Facility</v>
      </c>
      <c r="C1268" s="116">
        <f>IF('2. START'!$C$11="NO",SUMIF('8. FACILIT'!$B$18:$B$50,$C1262,'8. FACILIT'!T$18:T$50),SUMIF('5. PERSON'!$B$17:$B$192,$C1262,'5. PERSON'!CP$17:CP$192)+SUMIF('6. OPERATION'!$B$17:$B$149,$C1262,'6. OPERATION'!BS$17:BS$149)+SUMIF('8. FACILIT'!$B$18:$B$50,$C1262,'8. FACILIT'!T$18:T$50))</f>
        <v>0</v>
      </c>
      <c r="D1268" s="116">
        <f>IF('2. START'!$C$11="NO",SUMIF('8. FACILIT'!$B$18:$B$50,$C1262,'8. FACILIT'!U$18:U$50),SUMIF('5. PERSON'!$B$17:$B$192,$C1262,'5. PERSON'!CQ$17:CQ$192)+SUMIF('6. OPERATION'!$B$17:$B$149,$C1262,'6. OPERATION'!BT$17:BT$149)+SUMIF('8. FACILIT'!$B$18:$B$50,$C1262,'8. FACILIT'!U$18:U$50))</f>
        <v>0</v>
      </c>
      <c r="E1268" s="116">
        <f>IF('2. START'!$C$11="NO",SUMIF('8. FACILIT'!$B$18:$B$50,$C1262,'8. FACILIT'!V$18:V$50),SUMIF('5. PERSON'!$B$17:$B$192,$C1262,'5. PERSON'!CR$17:CR$192)+SUMIF('6. OPERATION'!$B$17:$B$149,$C1262,'6. OPERATION'!BU$17:BU$149)+SUMIF('8. FACILIT'!$B$18:$B$50,$C1262,'8. FACILIT'!V$18:V$50))</f>
        <v>0</v>
      </c>
      <c r="F1268" s="116">
        <f>IF('2. START'!$C$11="NO",SUMIF('8. FACILIT'!$B$18:$B$50,$C1262,'8. FACILIT'!W$18:W$50),SUMIF('5. PERSON'!$B$17:$B$192,$C1262,'5. PERSON'!CS$17:CS$192)+SUMIF('6. OPERATION'!$B$17:$B$149,$C1262,'6. OPERATION'!BV$17:BV$149)+SUMIF('8. FACILIT'!$B$18:$B$50,$C1262,'8. FACILIT'!W$18:W$50))</f>
        <v>0</v>
      </c>
      <c r="G1268" s="116">
        <f>IF('2. START'!$C$11="NO",SUMIF('8. FACILIT'!$B$18:$B$50,$C1262,'8. FACILIT'!X$18:X$50),SUMIF('5. PERSON'!$B$17:$B$192,$C1262,'5. PERSON'!CT$17:CT$192)+SUMIF('6. OPERATION'!$B$17:$B$149,$C1262,'6. OPERATION'!BW$17:BW$149)+SUMIF('8. FACILIT'!$B$18:$B$50,$C1262,'8. FACILIT'!X$18:X$50))</f>
        <v>0</v>
      </c>
      <c r="H1268" s="116">
        <f>IF('2. START'!$C$11="NO",SUMIF('8. FACILIT'!$B$18:$B$50,$C1262,'8. FACILIT'!Y$18:Y$50),SUMIF('5. PERSON'!$B$17:$B$192,$C1262,'5. PERSON'!CU$17:CU$192)+SUMIF('6. OPERATION'!$B$17:$B$149,$C1262,'6. OPERATION'!BX$17:BX$149)+SUMIF('8. FACILIT'!$B$18:$B$50,$C1262,'8. FACILIT'!Y$18:Y$50))</f>
        <v>0</v>
      </c>
      <c r="I1268" s="116">
        <f>IF('2. START'!$C$11="NO",SUMIF('8. FACILIT'!$B$18:$B$50,$C1262,'8. FACILIT'!Z$18:Z$50),SUMIF('5. PERSON'!$B$17:$B$192,$C1262,'5. PERSON'!CV$17:CV$192)+SUMIF('6. OPERATION'!$B$17:$B$149,$C1262,'6. OPERATION'!BY$17:BY$149)+SUMIF('8. FACILIT'!$B$18:$B$50,$C1262,'8. FACILIT'!Z$18:Z$50))</f>
        <v>0</v>
      </c>
      <c r="J1268" s="116">
        <f>IF('2. START'!$C$11="NO",SUMIF('8. FACILIT'!$B$18:$B$50,$C1262,'8. FACILIT'!AA$18:AA$50),SUMIF('5. PERSON'!$B$17:$B$192,$C1262,'5. PERSON'!CW$17:CW$192)+SUMIF('6. OPERATION'!$B$17:$B$149,$C1262,'6. OPERATION'!BZ$17:BZ$149)+SUMIF('8. FACILIT'!$B$18:$B$50,$C1262,'8. FACILIT'!AA$18:AA$50))</f>
        <v>0</v>
      </c>
      <c r="K1268" s="116">
        <f>IF('2. START'!$C$11="NO",SUMIF('8. FACILIT'!$B$18:$B$50,$C1262,'8. FACILIT'!AB$18:AB$50),SUMIF('5. PERSON'!$B$17:$B$192,$C1262,'5. PERSON'!CX$17:CX$192)+SUMIF('6. OPERATION'!$B$17:$B$149,$C1262,'6. OPERATION'!CA$17:CA$149)+SUMIF('8. FACILIT'!$B$18:$B$50,$C1262,'8. FACILIT'!AB$18:AB$50))</f>
        <v>0</v>
      </c>
      <c r="L1268" s="116">
        <f>IF('2. START'!$C$11="NO",SUMIF('8. FACILIT'!$B$18:$B$50,$C1262,'8. FACILIT'!AC$18:AC$50),SUMIF('5. PERSON'!$B$17:$B$192,$C1262,'5. PERSON'!CY$17:CY$192)+SUMIF('6. OPERATION'!$B$17:$B$149,$C1262,'6. OPERATION'!CB$17:CB$149)+SUMIF('8. FACILIT'!$B$18:$B$50,$C1262,'8. FACILIT'!AC$18:AC$50))</f>
        <v>0</v>
      </c>
      <c r="M1268" s="117">
        <f t="shared" si="277"/>
        <v>0</v>
      </c>
    </row>
    <row r="1269" spans="2:15" s="3" customFormat="1" ht="13.2" x14ac:dyDescent="0.25">
      <c r="B1269" s="756" t="str">
        <f>IF('1. INTRO'!I$2="English",(IF('2. START'!C$11="NO","Indirect and facility charge accepted as OH by funding body","Indirect")),IF('2. START'!C$11="NO","Indirekt och lokalpåslag accepterade som OH av finansiär","Indirekt"))</f>
        <v>Indirect</v>
      </c>
      <c r="C1269" s="757">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757">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757">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757">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757">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757">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757">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757">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757">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757">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755">
        <f t="shared" si="277"/>
        <v>0</v>
      </c>
    </row>
    <row r="1270" spans="2:15" s="3" customFormat="1" ht="13.2" x14ac:dyDescent="0.25">
      <c r="B1270" s="124" t="s">
        <v>113</v>
      </c>
      <c r="C1270" s="102">
        <f>SUM(C1265:C1269)</f>
        <v>0</v>
      </c>
      <c r="D1270" s="102">
        <f t="shared" ref="D1270:L1270" si="278">SUM(D1265:D1269)</f>
        <v>0</v>
      </c>
      <c r="E1270" s="102">
        <f t="shared" si="278"/>
        <v>0</v>
      </c>
      <c r="F1270" s="102">
        <f t="shared" si="278"/>
        <v>0</v>
      </c>
      <c r="G1270" s="102">
        <f t="shared" si="278"/>
        <v>0</v>
      </c>
      <c r="H1270" s="102">
        <f t="shared" si="278"/>
        <v>0</v>
      </c>
      <c r="I1270" s="102">
        <f t="shared" si="278"/>
        <v>0</v>
      </c>
      <c r="J1270" s="102">
        <f t="shared" si="278"/>
        <v>0</v>
      </c>
      <c r="K1270" s="102">
        <f t="shared" si="278"/>
        <v>0</v>
      </c>
      <c r="L1270" s="102">
        <f t="shared" si="278"/>
        <v>0</v>
      </c>
      <c r="M1270" s="125">
        <f t="shared" si="277"/>
        <v>0</v>
      </c>
    </row>
    <row r="1271" spans="2:15" s="3" customFormat="1" ht="6" customHeight="1" x14ac:dyDescent="0.25">
      <c r="B1271" s="126"/>
      <c r="C1271" s="127"/>
      <c r="D1271" s="127"/>
      <c r="E1271" s="127"/>
      <c r="F1271" s="127"/>
      <c r="G1271" s="127"/>
      <c r="H1271" s="127"/>
      <c r="I1271" s="127"/>
      <c r="J1271" s="127"/>
      <c r="K1271" s="127"/>
      <c r="L1271" s="127"/>
      <c r="M1271" s="128"/>
    </row>
    <row r="1272" spans="2:15" s="3" customFormat="1" ht="13.2" x14ac:dyDescent="0.25">
      <c r="B1272" s="129" t="str">
        <f>IF('1. INTRO'!I$2="English","Costs to be co-funded","Kostnader att medfinansiera")</f>
        <v>Costs to be co-funded</v>
      </c>
      <c r="C1272" s="86"/>
      <c r="D1272" s="86"/>
      <c r="E1272" s="86"/>
      <c r="F1272" s="86"/>
      <c r="G1272" s="86"/>
      <c r="H1272" s="86"/>
      <c r="I1272" s="86"/>
      <c r="J1272" s="86"/>
      <c r="K1272" s="86"/>
      <c r="L1272" s="86"/>
      <c r="M1272" s="130"/>
    </row>
    <row r="1273" spans="2:15" s="3" customFormat="1" ht="13.2" x14ac:dyDescent="0.25">
      <c r="B1273" s="758" t="str">
        <f>IF('1. INTRO'!I$2="English",(IF('2. START'!C$11="NO","Indirect and facility charge not accepted as OH by funding body","")),IF('2. START'!C$11="NO","Indirekt och lokalpåslag inte accepterade som OH av finansiär",""))</f>
        <v/>
      </c>
      <c r="C1273" s="759">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759">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759">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759">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759">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759">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759">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759">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759">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759">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752">
        <f t="shared" ref="M1273:M1279" si="279">SUM(C1273:L1273)</f>
        <v>0</v>
      </c>
    </row>
    <row r="1274" spans="2:15" s="3" customFormat="1" ht="12.75" customHeight="1" x14ac:dyDescent="0.25">
      <c r="B1274" s="132" t="str">
        <f>IF('1. INTRO'!I$2="English",(IF('2. START'!C$14&gt;0,"Social costs (LKP) not accepted by funding body","")),IF('2. START'!C$14&gt;0,"LKP som inte accepteras av finansiär",""))</f>
        <v/>
      </c>
      <c r="C1274" s="133">
        <f>IF('2. START'!$C$14&gt;0,SUMIF('5. PERSON'!$B$17:$B$192,$C1262,'5. PERSON'!AT$17:AT$192)-SUMIF('5. PERSON'!$B$17:$B$192,$C1262,'5. PERSON'!DN$17:DN$192),0)</f>
        <v>0</v>
      </c>
      <c r="D1274" s="133">
        <f>IF('2. START'!$C$14&gt;0,SUMIF('5. PERSON'!$B$17:$B$192,$C1262,'5. PERSON'!AU$17:AU$192)-SUMIF('5. PERSON'!$B$17:$B$192,$C1262,'5. PERSON'!DO$17:DO$192),0)</f>
        <v>0</v>
      </c>
      <c r="E1274" s="133">
        <f>IF('2. START'!$C$14&gt;0,SUMIF('5. PERSON'!$B$17:$B$192,$C1262,'5. PERSON'!AV$17:AV$192)-SUMIF('5. PERSON'!$B$17:$B$192,$C1262,'5. PERSON'!DP$17:DP$192),0)</f>
        <v>0</v>
      </c>
      <c r="F1274" s="133">
        <f>IF('2. START'!$C$14&gt;0,SUMIF('5. PERSON'!$B$17:$B$192,$C1262,'5. PERSON'!AW$17:AW$192)-SUMIF('5. PERSON'!$B$17:$B$192,$C1262,'5. PERSON'!DQ$17:DQ$192),0)</f>
        <v>0</v>
      </c>
      <c r="G1274" s="133">
        <f>IF('2. START'!$C$14&gt;0,SUMIF('5. PERSON'!$B$17:$B$192,$C1262,'5. PERSON'!AX$17:AX$192)-SUMIF('5. PERSON'!$B$17:$B$192,$C1262,'5. PERSON'!DR$17:DR$192),0)</f>
        <v>0</v>
      </c>
      <c r="H1274" s="133">
        <f>IF('2. START'!$C$14&gt;0,SUMIF('5. PERSON'!$B$17:$B$192,$C1262,'5. PERSON'!AY$17:AY$192)-SUMIF('5. PERSON'!$B$17:$B$192,$C1262,'5. PERSON'!DS$17:DS$192),0)</f>
        <v>0</v>
      </c>
      <c r="I1274" s="133">
        <f>IF('2. START'!$C$14&gt;0,SUMIF('5. PERSON'!$B$17:$B$192,$C1262,'5. PERSON'!AZ$17:AZ$192)-SUMIF('5. PERSON'!$B$17:$B$192,$C1262,'5. PERSON'!DT$17:DT$192),0)</f>
        <v>0</v>
      </c>
      <c r="J1274" s="133">
        <f>IF('2. START'!$C$14&gt;0,SUMIF('5. PERSON'!$B$17:$B$192,$C1262,'5. PERSON'!BA$17:BA$192)-SUMIF('5. PERSON'!$B$17:$B$192,$C1262,'5. PERSON'!DU$17:DU$192),0)</f>
        <v>0</v>
      </c>
      <c r="K1274" s="133">
        <f>IF('2. START'!$C$14&gt;0,SUMIF('5. PERSON'!$B$17:$B$192,$C1262,'5. PERSON'!BB$17:BB$192)-SUMIF('5. PERSON'!$B$17:$B$192,$C1262,'5. PERSON'!DV$17:DV$192),0)</f>
        <v>0</v>
      </c>
      <c r="L1274" s="133">
        <f>IF('2. START'!$C$14&gt;0,SUMIF('5. PERSON'!$B$17:$B$192,$C1262,'5. PERSON'!BC$17:BC$192)-SUMIF('5. PERSON'!$B$17:$B$192,$C1262,'5. PERSON'!DW$17:DW$192),0)</f>
        <v>0</v>
      </c>
      <c r="M1274" s="117">
        <f t="shared" si="279"/>
        <v>0</v>
      </c>
    </row>
    <row r="1275" spans="2:15" s="3" customFormat="1" ht="12.75" customHeight="1" x14ac:dyDescent="0.25">
      <c r="B1275" s="753" t="str">
        <f>IF('1. INTRO'!I$2="English",(IF('5. PERSON'!BP$193&gt;0,"Salary including social costs (LKP)","")),IF('5. PERSON'!BP$193&gt;0,"Lön inklusive LKP",""))</f>
        <v/>
      </c>
      <c r="C1275" s="760">
        <f>SUMIF('5. PERSON'!$B$17:$B$192,$C1262,'5. PERSON'!BF$17:BF$192)</f>
        <v>0</v>
      </c>
      <c r="D1275" s="760">
        <f>SUMIF('5. PERSON'!$B$17:$B$192,$C1262,'5. PERSON'!BG$17:BG$192)</f>
        <v>0</v>
      </c>
      <c r="E1275" s="760">
        <f>SUMIF('5. PERSON'!$B$17:$B$192,$C1262,'5. PERSON'!BH$17:BH$192)</f>
        <v>0</v>
      </c>
      <c r="F1275" s="760">
        <f>SUMIF('5. PERSON'!$B$17:$B$192,$C1262,'5. PERSON'!BI$17:BI$192)</f>
        <v>0</v>
      </c>
      <c r="G1275" s="760">
        <f>SUMIF('5. PERSON'!$B$17:$B$192,$C1262,'5. PERSON'!BJ$17:BJ$192)</f>
        <v>0</v>
      </c>
      <c r="H1275" s="760">
        <f>SUMIF('5. PERSON'!$B$17:$B$192,$C1262,'5. PERSON'!BK$17:BK$192)</f>
        <v>0</v>
      </c>
      <c r="I1275" s="760">
        <f>SUMIF('5. PERSON'!$B$17:$B$192,$C1262,'5. PERSON'!BL$17:BL$192)</f>
        <v>0</v>
      </c>
      <c r="J1275" s="760">
        <f>SUMIF('5. PERSON'!$B$17:$B$192,$C1262,'5. PERSON'!BM$17:BM$192)</f>
        <v>0</v>
      </c>
      <c r="K1275" s="760">
        <f>SUMIF('5. PERSON'!$B$17:$B$192,$C1262,'5. PERSON'!BN$17:BN$192)</f>
        <v>0</v>
      </c>
      <c r="L1275" s="760">
        <f>SUMIF('5. PERSON'!$B$17:$B$192,$C1262,'5. PERSON'!BO$17:BO$192)</f>
        <v>0</v>
      </c>
      <c r="M1275" s="755">
        <f t="shared" si="279"/>
        <v>0</v>
      </c>
    </row>
    <row r="1276" spans="2:15" s="3" customFormat="1" ht="13.2" x14ac:dyDescent="0.25">
      <c r="B1276" s="80" t="str">
        <f>IF('1. INTRO'!I$2="English",(IF('6. OPERATION'!AS$150&gt;0,"Operating","")),IF('6. OPERATION'!AS$150&gt;0,"Drift",""))</f>
        <v/>
      </c>
      <c r="C1276" s="135">
        <f>SUMIF('6. OPERATION'!$B$17:$B$149,$C1262,'6. OPERATION'!AI$17:AI$149)</f>
        <v>0</v>
      </c>
      <c r="D1276" s="135">
        <f>SUMIF('6. OPERATION'!$B$17:$B$149,$C1262,'6. OPERATION'!AJ$17:AJ$149)</f>
        <v>0</v>
      </c>
      <c r="E1276" s="135">
        <f>SUMIF('6. OPERATION'!$B$17:$B$149,$C1262,'6. OPERATION'!AK$17:AK$149)</f>
        <v>0</v>
      </c>
      <c r="F1276" s="135">
        <f>SUMIF('6. OPERATION'!$B$17:$B$149,$C1262,'6. OPERATION'!AL$17:AL$149)</f>
        <v>0</v>
      </c>
      <c r="G1276" s="135">
        <f>SUMIF('6. OPERATION'!$B$17:$B$149,$C1262,'6. OPERATION'!AM$17:AM$149)</f>
        <v>0</v>
      </c>
      <c r="H1276" s="135">
        <f>SUMIF('6. OPERATION'!$B$17:$B$149,$C1262,'6. OPERATION'!AN$17:AN$149)</f>
        <v>0</v>
      </c>
      <c r="I1276" s="135">
        <f>SUMIF('6. OPERATION'!$B$17:$B$149,$C1262,'6. OPERATION'!AO$17:AO$149)</f>
        <v>0</v>
      </c>
      <c r="J1276" s="135">
        <f>SUMIF('6. OPERATION'!$B$17:$B$149,$C1262,'6. OPERATION'!AP$17:AP$149)</f>
        <v>0</v>
      </c>
      <c r="K1276" s="135">
        <f>SUMIF('6. OPERATION'!$B$17:$B$149,$C1262,'6. OPERATION'!AQ$17:AQ$149)</f>
        <v>0</v>
      </c>
      <c r="L1276" s="135">
        <f>SUMIF('6. OPERATION'!$B$17:$B$149,$C1262,'6. OPERATION'!AR$17:AR$149)</f>
        <v>0</v>
      </c>
      <c r="M1276" s="117">
        <f t="shared" si="279"/>
        <v>0</v>
      </c>
    </row>
    <row r="1277" spans="2:15" s="3" customFormat="1" ht="13.2" x14ac:dyDescent="0.25">
      <c r="B1277" s="753" t="str">
        <f>IF('1. INTRO'!I$2="English",(IF('7. INVEST'!AS$50&gt;0,"Equipment","")),IF('7. INVEST'!AS$50&gt;0,"Utrustning",""))</f>
        <v/>
      </c>
      <c r="C1277" s="760">
        <f>SUMIF('7. INVEST'!$B$17:$B$49,$C1262,'7. INVEST'!AI$17:AI$49)</f>
        <v>0</v>
      </c>
      <c r="D1277" s="760">
        <f>SUMIF('7. INVEST'!$B$17:$B$49,$C1262,'7. INVEST'!AJ$17:AJ$49)</f>
        <v>0</v>
      </c>
      <c r="E1277" s="760">
        <f>SUMIF('7. INVEST'!$B$17:$B$49,$C1262,'7. INVEST'!AK$17:AK$49)</f>
        <v>0</v>
      </c>
      <c r="F1277" s="760">
        <f>SUMIF('7. INVEST'!$B$17:$B$49,$C1262,'7. INVEST'!AL$17:AL$49)</f>
        <v>0</v>
      </c>
      <c r="G1277" s="760">
        <f>SUMIF('7. INVEST'!$B$17:$B$49,$C1262,'7. INVEST'!AM$17:AM$49)</f>
        <v>0</v>
      </c>
      <c r="H1277" s="760">
        <f>SUMIF('7. INVEST'!$B$17:$B$49,$C1262,'7. INVEST'!AN$17:AN$49)</f>
        <v>0</v>
      </c>
      <c r="I1277" s="760">
        <f>SUMIF('7. INVEST'!$B$17:$B$49,$C1262,'7. INVEST'!AO$17:AO$49)</f>
        <v>0</v>
      </c>
      <c r="J1277" s="760">
        <f>SUMIF('7. INVEST'!$B$17:$B$49,$C1262,'7. INVEST'!AP$17:AP$49)</f>
        <v>0</v>
      </c>
      <c r="K1277" s="760">
        <f>SUMIF('7. INVEST'!$B$17:$B$49,$C1262,'7. INVEST'!AQ$17:AQ$49)</f>
        <v>0</v>
      </c>
      <c r="L1277" s="760">
        <f>SUMIF('7. INVEST'!$B$17:$B$49,$C1262,'7. INVEST'!AR$17:AR$49)</f>
        <v>0</v>
      </c>
      <c r="M1277" s="755">
        <f t="shared" si="279"/>
        <v>0</v>
      </c>
    </row>
    <row r="1278" spans="2:15" s="3" customFormat="1" ht="13.2" x14ac:dyDescent="0.25">
      <c r="B1278" s="121" t="str">
        <f>IF('1. INTRO'!I$2="English",(IF('8. FACILIT'!AP$51&gt;0,"Facility","")),IF('8. FACILIT'!AP$51&gt;0,"Lokal",""))</f>
        <v/>
      </c>
      <c r="C1278" s="135">
        <f>SUMIF('5. PERSON'!$B$17:$B$192,$C1262,'5. PERSON'!DB$17:DB$192)+SUMIF('6. OPERATION'!$B$17:$B$149,$C1262,'6. OPERATION'!CE$17:CE$149)+SUMIF('8. FACILIT'!$B$18:$B$50,$C1262,'8. FACILIT'!AF$18:AF$50)</f>
        <v>0</v>
      </c>
      <c r="D1278" s="135">
        <f>SUMIF('5. PERSON'!$B$17:$B$192,$C1262,'5. PERSON'!DC$17:DC$192)+SUMIF('6. OPERATION'!$B$17:$B$149,$C1262,'6. OPERATION'!CF$17:CF$149)+SUMIF('8. FACILIT'!$B$18:$B$50,$C1262,'8. FACILIT'!AG$18:AG$50)</f>
        <v>0</v>
      </c>
      <c r="E1278" s="135">
        <f>SUMIF('5. PERSON'!$B$17:$B$192,$C1262,'5. PERSON'!DD$17:DD$192)+SUMIF('6. OPERATION'!$B$17:$B$149,$C1262,'6. OPERATION'!CG$17:CG$149)+SUMIF('8. FACILIT'!$B$18:$B$50,$C1262,'8. FACILIT'!AH$18:AH$50)</f>
        <v>0</v>
      </c>
      <c r="F1278" s="135">
        <f>SUMIF('5. PERSON'!$B$17:$B$192,$C1262,'5. PERSON'!DE$17:DE$192)+SUMIF('6. OPERATION'!$B$17:$B$149,$C1262,'6. OPERATION'!CH$17:CH$149)+SUMIF('8. FACILIT'!$B$18:$B$50,$C1262,'8. FACILIT'!AI$18:AI$50)</f>
        <v>0</v>
      </c>
      <c r="G1278" s="135">
        <f>SUMIF('5. PERSON'!$B$17:$B$192,$C1262,'5. PERSON'!DF$17:DF$192)+SUMIF('6. OPERATION'!$B$17:$B$149,$C1262,'6. OPERATION'!CI$17:CI$149)+SUMIF('8. FACILIT'!$B$18:$B$50,$C1262,'8. FACILIT'!AJ$18:AJ$50)</f>
        <v>0</v>
      </c>
      <c r="H1278" s="135">
        <f>SUMIF('5. PERSON'!$B$17:$B$192,$C1262,'5. PERSON'!DG$17:DG$192)+SUMIF('6. OPERATION'!$B$17:$B$149,$C1262,'6. OPERATION'!CJ$17:CJ$149)+SUMIF('8. FACILIT'!$B$18:$B$50,$C1262,'8. FACILIT'!AK$18:AK$50)</f>
        <v>0</v>
      </c>
      <c r="I1278" s="135">
        <f>SUMIF('5. PERSON'!$B$17:$B$192,$C1262,'5. PERSON'!DH$17:DH$192)+SUMIF('6. OPERATION'!$B$17:$B$149,$C1262,'6. OPERATION'!CK$17:CK$149)+SUMIF('8. FACILIT'!$B$18:$B$50,$C1262,'8. FACILIT'!AL$18:AL$50)</f>
        <v>0</v>
      </c>
      <c r="J1278" s="135">
        <f>SUMIF('5. PERSON'!$B$17:$B$192,$C1262,'5. PERSON'!DI$17:DI$192)+SUMIF('6. OPERATION'!$B$17:$B$149,$C1262,'6. OPERATION'!CL$17:CL$149)+SUMIF('8. FACILIT'!$B$18:$B$50,$C1262,'8. FACILIT'!AM$18:AM$50)</f>
        <v>0</v>
      </c>
      <c r="K1278" s="135">
        <f>SUMIF('5. PERSON'!$B$17:$B$192,$C1262,'5. PERSON'!DJ$17:DJ$192)+SUMIF('6. OPERATION'!$B$17:$B$149,$C1262,'6. OPERATION'!CM$17:CM$149)+SUMIF('8. FACILIT'!$B$18:$B$50,$C1262,'8. FACILIT'!AN$18:AN$50)</f>
        <v>0</v>
      </c>
      <c r="L1278" s="135">
        <f>SUMIF('5. PERSON'!$B$17:$B$192,$C1262,'5. PERSON'!DK$17:DK$192)+SUMIF('6. OPERATION'!$B$17:$B$149,$C1262,'6. OPERATION'!CN$17:CN$149)+SUMIF('8. FACILIT'!$B$18:$B$50,$C1262,'8. FACILIT'!AO$18:AO$50)</f>
        <v>0</v>
      </c>
      <c r="M1278" s="117">
        <f t="shared" si="279"/>
        <v>0</v>
      </c>
    </row>
    <row r="1279" spans="2:15" s="1" customFormat="1" ht="13.2" x14ac:dyDescent="0.25">
      <c r="B1279" s="756" t="str">
        <f>IF('1. INTRO'!I$2="English",(IF(('5. PERSON'!CN$193+'6. OPERATION'!BQ$150)&gt;0,"Indirect","")),IF(('5. PERSON'!CN$193+'6. OPERATION'!BQ$150)&gt;0,"Indirekt",""))</f>
        <v/>
      </c>
      <c r="C1279" s="757">
        <f>SUMIF('5. PERSON'!$B$17:$B$192,$C1262,'5. PERSON'!CD$17:CD$192)+SUMIF('6. OPERATION'!$B$17:$B$149,$C1262,'6. OPERATION'!BG$17:BG$149)</f>
        <v>0</v>
      </c>
      <c r="D1279" s="757">
        <f>SUMIF('5. PERSON'!$B$17:$B$192,$C1262,'5. PERSON'!CE$17:CE$192)+SUMIF('6. OPERATION'!$B$17:$B$149,$C1262,'6. OPERATION'!BH$17:BH$149)</f>
        <v>0</v>
      </c>
      <c r="E1279" s="757">
        <f>SUMIF('5. PERSON'!$B$17:$B$192,$C1262,'5. PERSON'!CF$17:CF$192)+SUMIF('6. OPERATION'!$B$17:$B$149,$C1262,'6. OPERATION'!BI$17:BI$149)</f>
        <v>0</v>
      </c>
      <c r="F1279" s="757">
        <f>SUMIF('5. PERSON'!$B$17:$B$192,$C1262,'5. PERSON'!CG$17:CG$192)+SUMIF('6. OPERATION'!$B$17:$B$149,$C1262,'6. OPERATION'!BJ$17:BJ$149)</f>
        <v>0</v>
      </c>
      <c r="G1279" s="757">
        <f>SUMIF('5. PERSON'!$B$17:$B$192,$C1262,'5. PERSON'!CH$17:CH$192)+SUMIF('6. OPERATION'!$B$17:$B$149,$C1262,'6. OPERATION'!BK$17:BK$149)</f>
        <v>0</v>
      </c>
      <c r="H1279" s="757">
        <f>SUMIF('5. PERSON'!$B$17:$B$192,$C1262,'5. PERSON'!CI$17:CI$192)+SUMIF('6. OPERATION'!$B$17:$B$149,$C1262,'6. OPERATION'!BL$17:BL$149)</f>
        <v>0</v>
      </c>
      <c r="I1279" s="757">
        <f>SUMIF('5. PERSON'!$B$17:$B$192,$C1262,'5. PERSON'!CJ$17:CJ$192)+SUMIF('6. OPERATION'!$B$17:$B$149,$C1262,'6. OPERATION'!BM$17:BM$149)</f>
        <v>0</v>
      </c>
      <c r="J1279" s="757">
        <f>SUMIF('5. PERSON'!$B$17:$B$192,$C1262,'5. PERSON'!CK$17:CK$192)+SUMIF('6. OPERATION'!$B$17:$B$149,$C1262,'6. OPERATION'!BN$17:BN$149)</f>
        <v>0</v>
      </c>
      <c r="K1279" s="757">
        <f>SUMIF('5. PERSON'!$B$17:$B$192,$C1262,'5. PERSON'!CL$17:CL$192)+SUMIF('6. OPERATION'!$B$17:$B$149,$C1262,'6. OPERATION'!BO$17:BO$149)</f>
        <v>0</v>
      </c>
      <c r="L1279" s="757">
        <f>SUMIF('5. PERSON'!$B$17:$B$192,$C1262,'5. PERSON'!CM$17:CM$192)+SUMIF('6. OPERATION'!$B$17:$B$149,$C1262,'6. OPERATION'!BP$17:BP$149)</f>
        <v>0</v>
      </c>
      <c r="M1279" s="761">
        <f t="shared" si="279"/>
        <v>0</v>
      </c>
    </row>
    <row r="1280" spans="2:15" s="3" customFormat="1" ht="13.2" x14ac:dyDescent="0.25">
      <c r="B1280" s="124" t="s">
        <v>113</v>
      </c>
      <c r="C1280" s="102">
        <f>SUM(C1273:C1279)</f>
        <v>0</v>
      </c>
      <c r="D1280" s="102">
        <f t="shared" ref="D1280:M1280" si="280">SUM(D1273:D1279)</f>
        <v>0</v>
      </c>
      <c r="E1280" s="102">
        <f t="shared" si="280"/>
        <v>0</v>
      </c>
      <c r="F1280" s="102">
        <f t="shared" si="280"/>
        <v>0</v>
      </c>
      <c r="G1280" s="102">
        <f t="shared" si="280"/>
        <v>0</v>
      </c>
      <c r="H1280" s="102">
        <f t="shared" si="280"/>
        <v>0</v>
      </c>
      <c r="I1280" s="102">
        <f t="shared" si="280"/>
        <v>0</v>
      </c>
      <c r="J1280" s="102">
        <f t="shared" si="280"/>
        <v>0</v>
      </c>
      <c r="K1280" s="102">
        <f t="shared" si="280"/>
        <v>0</v>
      </c>
      <c r="L1280" s="102">
        <f t="shared" si="280"/>
        <v>0</v>
      </c>
      <c r="M1280" s="125">
        <f t="shared" si="280"/>
        <v>0</v>
      </c>
      <c r="N1280" s="23"/>
      <c r="O1280" s="23"/>
    </row>
    <row r="1281" spans="2:13" s="3" customFormat="1" ht="6" customHeight="1" x14ac:dyDescent="0.25">
      <c r="B1281" s="136"/>
      <c r="C1281" s="127"/>
      <c r="D1281" s="127"/>
      <c r="E1281" s="127"/>
      <c r="F1281" s="127"/>
      <c r="G1281" s="127"/>
      <c r="H1281" s="127"/>
      <c r="I1281" s="127"/>
      <c r="J1281" s="127"/>
      <c r="K1281" s="127"/>
      <c r="L1281" s="127"/>
      <c r="M1281" s="137"/>
    </row>
    <row r="1282" spans="2:13" s="3" customFormat="1" ht="13.2" x14ac:dyDescent="0.25">
      <c r="B1282" s="129" t="str">
        <f>IF('1. INTRO'!I$2="English","Full cost","Full kostnad")</f>
        <v>Full cost</v>
      </c>
      <c r="C1282" s="127"/>
      <c r="D1282" s="127"/>
      <c r="E1282" s="127"/>
      <c r="F1282" s="127"/>
      <c r="G1282" s="127"/>
      <c r="H1282" s="127"/>
      <c r="I1282" s="127"/>
      <c r="J1282" s="127"/>
      <c r="K1282" s="127"/>
      <c r="L1282" s="127"/>
      <c r="M1282" s="137"/>
    </row>
    <row r="1283" spans="2:13" s="3" customFormat="1" ht="13.2" x14ac:dyDescent="0.25">
      <c r="B1283" s="750" t="str">
        <f>IF('1. INTRO'!I$2="English","Salary including social costs (LKP)","Lön inklusive LKP")</f>
        <v>Salary including social costs (LKP)</v>
      </c>
      <c r="C1283" s="762">
        <f>C1265+C1274+C1275</f>
        <v>0</v>
      </c>
      <c r="D1283" s="762">
        <f t="shared" ref="D1283:L1283" si="281">D1265+D1274+D1275</f>
        <v>0</v>
      </c>
      <c r="E1283" s="762">
        <f t="shared" si="281"/>
        <v>0</v>
      </c>
      <c r="F1283" s="762">
        <f t="shared" si="281"/>
        <v>0</v>
      </c>
      <c r="G1283" s="762">
        <f t="shared" si="281"/>
        <v>0</v>
      </c>
      <c r="H1283" s="762">
        <f t="shared" si="281"/>
        <v>0</v>
      </c>
      <c r="I1283" s="762">
        <f t="shared" si="281"/>
        <v>0</v>
      </c>
      <c r="J1283" s="762">
        <f t="shared" si="281"/>
        <v>0</v>
      </c>
      <c r="K1283" s="762">
        <f t="shared" si="281"/>
        <v>0</v>
      </c>
      <c r="L1283" s="762">
        <f t="shared" si="281"/>
        <v>0</v>
      </c>
      <c r="M1283" s="752">
        <f>SUM(C1283:L1283)</f>
        <v>0</v>
      </c>
    </row>
    <row r="1284" spans="2:13" s="3" customFormat="1" ht="13.2" x14ac:dyDescent="0.25">
      <c r="B1284" s="80" t="str">
        <f>IF('1. INTRO'!I$2="English","Operating","Drift")</f>
        <v>Operating</v>
      </c>
      <c r="C1284" s="139">
        <f>C1266+C1276</f>
        <v>0</v>
      </c>
      <c r="D1284" s="139">
        <f t="shared" ref="D1284:L1284" si="282">D1266+D1276</f>
        <v>0</v>
      </c>
      <c r="E1284" s="139">
        <f t="shared" si="282"/>
        <v>0</v>
      </c>
      <c r="F1284" s="139">
        <f t="shared" si="282"/>
        <v>0</v>
      </c>
      <c r="G1284" s="139">
        <f t="shared" si="282"/>
        <v>0</v>
      </c>
      <c r="H1284" s="139">
        <f t="shared" si="282"/>
        <v>0</v>
      </c>
      <c r="I1284" s="139">
        <f t="shared" si="282"/>
        <v>0</v>
      </c>
      <c r="J1284" s="139">
        <f t="shared" si="282"/>
        <v>0</v>
      </c>
      <c r="K1284" s="139">
        <f t="shared" si="282"/>
        <v>0</v>
      </c>
      <c r="L1284" s="139">
        <f t="shared" si="282"/>
        <v>0</v>
      </c>
      <c r="M1284" s="117">
        <f>SUM(C1284:L1284)</f>
        <v>0</v>
      </c>
    </row>
    <row r="1285" spans="2:13" s="3" customFormat="1" ht="13.2" x14ac:dyDescent="0.25">
      <c r="B1285" s="753" t="str">
        <f>IF('1. INTRO'!I$2="English","Equipment","Utrustning")</f>
        <v>Equipment</v>
      </c>
      <c r="C1285" s="763">
        <f>C1267+C1277</f>
        <v>0</v>
      </c>
      <c r="D1285" s="763">
        <f t="shared" ref="D1285:L1285" si="283">D1267+D1277</f>
        <v>0</v>
      </c>
      <c r="E1285" s="763">
        <f t="shared" si="283"/>
        <v>0</v>
      </c>
      <c r="F1285" s="763">
        <f t="shared" si="283"/>
        <v>0</v>
      </c>
      <c r="G1285" s="763">
        <f t="shared" si="283"/>
        <v>0</v>
      </c>
      <c r="H1285" s="763">
        <f t="shared" si="283"/>
        <v>0</v>
      </c>
      <c r="I1285" s="763">
        <f t="shared" si="283"/>
        <v>0</v>
      </c>
      <c r="J1285" s="763">
        <f t="shared" si="283"/>
        <v>0</v>
      </c>
      <c r="K1285" s="763">
        <f t="shared" si="283"/>
        <v>0</v>
      </c>
      <c r="L1285" s="763">
        <f t="shared" si="283"/>
        <v>0</v>
      </c>
      <c r="M1285" s="755">
        <f>SUM(C1285:L1285)</f>
        <v>0</v>
      </c>
    </row>
    <row r="1286" spans="2:13" s="3" customFormat="1" ht="13.2" x14ac:dyDescent="0.25">
      <c r="B1286" s="80" t="str">
        <f>IF('1. INTRO'!I$2="English","Facility","Lokal")</f>
        <v>Facility</v>
      </c>
      <c r="C1286" s="139">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39">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39">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39">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39">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39">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39">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39">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39">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39">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117">
        <f>SUM(C1286:L1286)</f>
        <v>0</v>
      </c>
    </row>
    <row r="1287" spans="2:13" s="3" customFormat="1" ht="13.2" x14ac:dyDescent="0.25">
      <c r="B1287" s="764" t="str">
        <f>IF('1. INTRO'!I$2="English","Indirect","Indirekt")</f>
        <v>Indirect</v>
      </c>
      <c r="C1287" s="765">
        <f>SUMIF('5. PERSON'!$B$17:$B$192,$C1262,'5. PERSON'!BR$17:BR$192)+SUMIF('5. PERSON'!$B$17:$B$192,$C1262,'5. PERSON'!CD$17:CD$192)+SUMIF('6. OPERATION'!$B$17:$B$149,$C1262,'6. OPERATION'!AU$17:AU$149)+SUMIF('6. OPERATION'!$B$17:$B$149,$C1262,'6. OPERATION'!BG$17:BG$149)</f>
        <v>0</v>
      </c>
      <c r="D1287" s="765">
        <f>SUMIF('5. PERSON'!$B$17:$B$192,$C1262,'5. PERSON'!BS$17:BS$192)+SUMIF('5. PERSON'!$B$17:$B$192,$C1262,'5. PERSON'!CE$17:CE$192)+SUMIF('6. OPERATION'!$B$17:$B$149,$C1262,'6. OPERATION'!AV$17:AV$149)+SUMIF('6. OPERATION'!$B$17:$B$149,$C1262,'6. OPERATION'!BH$17:BH$149)</f>
        <v>0</v>
      </c>
      <c r="E1287" s="765">
        <f>SUMIF('5. PERSON'!$B$17:$B$192,$C1262,'5. PERSON'!BT$17:BT$192)+SUMIF('5. PERSON'!$B$17:$B$192,$C1262,'5. PERSON'!CF$17:CF$192)+SUMIF('6. OPERATION'!$B$17:$B$149,$C1262,'6. OPERATION'!AW$17:AW$149)+SUMIF('6. OPERATION'!$B$17:$B$149,$C1262,'6. OPERATION'!BI$17:BI$149)</f>
        <v>0</v>
      </c>
      <c r="F1287" s="765">
        <f>SUMIF('5. PERSON'!$B$17:$B$192,$C1262,'5. PERSON'!BU$17:BU$192)+SUMIF('5. PERSON'!$B$17:$B$192,$C1262,'5. PERSON'!CG$17:CG$192)+SUMIF('6. OPERATION'!$B$17:$B$149,$C1262,'6. OPERATION'!AX$17:AX$149)+SUMIF('6. OPERATION'!$B$17:$B$149,$C1262,'6. OPERATION'!BJ$17:BJ$149)</f>
        <v>0</v>
      </c>
      <c r="G1287" s="765">
        <f>SUMIF('5. PERSON'!$B$17:$B$192,$C1262,'5. PERSON'!BV$17:BV$192)+SUMIF('5. PERSON'!$B$17:$B$192,$C1262,'5. PERSON'!CH$17:CH$192)+SUMIF('6. OPERATION'!$B$17:$B$149,$C1262,'6. OPERATION'!AY$17:AY$149)+SUMIF('6. OPERATION'!$B$17:$B$149,$C1262,'6. OPERATION'!BK$17:BK$149)</f>
        <v>0</v>
      </c>
      <c r="H1287" s="765">
        <f>SUMIF('5. PERSON'!$B$17:$B$192,$C1262,'5. PERSON'!BW$17:BW$192)+SUMIF('5. PERSON'!$B$17:$B$192,$C1262,'5. PERSON'!CI$17:CI$192)+SUMIF('6. OPERATION'!$B$17:$B$149,$C1262,'6. OPERATION'!AZ$17:AZ$149)+SUMIF('6. OPERATION'!$B$17:$B$149,$C1262,'6. OPERATION'!BL$17:BL$149)</f>
        <v>0</v>
      </c>
      <c r="I1287" s="765">
        <f>SUMIF('5. PERSON'!$B$17:$B$192,$C1262,'5. PERSON'!BX$17:BX$192)+SUMIF('5. PERSON'!$B$17:$B$192,$C1262,'5. PERSON'!CJ$17:CJ$192)+SUMIF('6. OPERATION'!$B$17:$B$149,$C1262,'6. OPERATION'!BA$17:BA$149)+SUMIF('6. OPERATION'!$B$17:$B$149,$C1262,'6. OPERATION'!BM$17:BM$149)</f>
        <v>0</v>
      </c>
      <c r="J1287" s="765">
        <f>SUMIF('5. PERSON'!$B$17:$B$192,$C1262,'5. PERSON'!BY$17:BY$192)+SUMIF('5. PERSON'!$B$17:$B$192,$C1262,'5. PERSON'!CK$17:CK$192)+SUMIF('6. OPERATION'!$B$17:$B$149,$C1262,'6. OPERATION'!BB$17:BB$149)+SUMIF('6. OPERATION'!$B$17:$B$149,$C1262,'6. OPERATION'!BN$17:BN$149)</f>
        <v>0</v>
      </c>
      <c r="K1287" s="765">
        <f>SUMIF('5. PERSON'!$B$17:$B$192,$C1262,'5. PERSON'!BZ$17:BZ$192)+SUMIF('5. PERSON'!$B$17:$B$192,$C1262,'5. PERSON'!CL$17:CL$192)+SUMIF('6. OPERATION'!$B$17:$B$149,$C1262,'6. OPERATION'!BC$17:BC$149)+SUMIF('6. OPERATION'!$B$17:$B$149,$C1262,'6. OPERATION'!BO$17:BO$149)</f>
        <v>0</v>
      </c>
      <c r="L1287" s="765">
        <f>SUMIF('5. PERSON'!$B$17:$B$192,$C1262,'5. PERSON'!CA$17:CA$192)+SUMIF('5. PERSON'!$B$17:$B$192,$C1262,'5. PERSON'!CM$17:CM$192)+SUMIF('6. OPERATION'!$B$17:$B$149,$C1262,'6. OPERATION'!BD$17:BD$149)+SUMIF('6. OPERATION'!$B$17:$B$149,$C1262,'6. OPERATION'!BP$17:BP$149)</f>
        <v>0</v>
      </c>
      <c r="M1287" s="761">
        <f>SUM(C1287:L1287)</f>
        <v>0</v>
      </c>
    </row>
    <row r="1288" spans="2:13" s="3" customFormat="1" ht="13.2" x14ac:dyDescent="0.25">
      <c r="B1288" s="124" t="s">
        <v>113</v>
      </c>
      <c r="C1288" s="88">
        <f>SUM(C1283:C1287)</f>
        <v>0</v>
      </c>
      <c r="D1288" s="88">
        <f t="shared" ref="D1288:M1288" si="284">SUM(D1283:D1287)</f>
        <v>0</v>
      </c>
      <c r="E1288" s="88">
        <f t="shared" si="284"/>
        <v>0</v>
      </c>
      <c r="F1288" s="88">
        <f t="shared" si="284"/>
        <v>0</v>
      </c>
      <c r="G1288" s="88">
        <f t="shared" si="284"/>
        <v>0</v>
      </c>
      <c r="H1288" s="88">
        <f t="shared" si="284"/>
        <v>0</v>
      </c>
      <c r="I1288" s="88">
        <f t="shared" si="284"/>
        <v>0</v>
      </c>
      <c r="J1288" s="88">
        <f t="shared" si="284"/>
        <v>0</v>
      </c>
      <c r="K1288" s="88">
        <f t="shared" si="284"/>
        <v>0</v>
      </c>
      <c r="L1288" s="88">
        <f t="shared" si="284"/>
        <v>0</v>
      </c>
      <c r="M1288" s="142">
        <f t="shared" si="284"/>
        <v>0</v>
      </c>
    </row>
    <row r="1289" spans="2:13" s="3" customFormat="1" ht="13.2" x14ac:dyDescent="0.25">
      <c r="B1289" s="287"/>
      <c r="C1289" s="37"/>
      <c r="D1289" s="37"/>
      <c r="E1289" s="37"/>
      <c r="F1289" s="37"/>
      <c r="G1289" s="37"/>
      <c r="H1289" s="37"/>
      <c r="I1289" s="37"/>
      <c r="J1289" s="37"/>
      <c r="K1289" s="37"/>
      <c r="L1289" s="37"/>
      <c r="M1289" s="37"/>
    </row>
    <row r="1290" spans="2:13" s="3" customFormat="1" ht="12.75" customHeight="1" x14ac:dyDescent="0.25">
      <c r="B1290" s="656" t="str">
        <f>IF('1. INTRO'!I$2="English","Co-funding share in full cost ","Medfinansieringsandel i full kostnad ")</f>
        <v xml:space="preserve">Co-funding share in full cost </v>
      </c>
      <c r="C1290" s="143" t="str">
        <f t="shared" ref="C1290:M1290" si="285">IF(C1288&gt;0,C1280/C1288,"")</f>
        <v/>
      </c>
      <c r="D1290" s="143" t="str">
        <f t="shared" si="285"/>
        <v/>
      </c>
      <c r="E1290" s="143" t="str">
        <f t="shared" si="285"/>
        <v/>
      </c>
      <c r="F1290" s="143" t="str">
        <f t="shared" si="285"/>
        <v/>
      </c>
      <c r="G1290" s="143" t="str">
        <f t="shared" si="285"/>
        <v/>
      </c>
      <c r="H1290" s="143" t="str">
        <f t="shared" si="285"/>
        <v/>
      </c>
      <c r="I1290" s="143" t="str">
        <f t="shared" si="285"/>
        <v/>
      </c>
      <c r="J1290" s="143" t="str">
        <f t="shared" si="285"/>
        <v/>
      </c>
      <c r="K1290" s="143" t="str">
        <f t="shared" si="285"/>
        <v/>
      </c>
      <c r="L1290" s="143" t="str">
        <f t="shared" si="285"/>
        <v/>
      </c>
      <c r="M1290" s="143" t="str">
        <f t="shared" si="285"/>
        <v/>
      </c>
    </row>
    <row r="1291" spans="2:13" ht="12.75" customHeight="1" x14ac:dyDescent="0.2"/>
    <row r="1292" spans="2:13" ht="12.75" customHeight="1" x14ac:dyDescent="0.25">
      <c r="D1292" s="656" t="str">
        <f>IF('1. INTRO'!I$2="English","Co-funding need in average per year: ","Medfinansieringsbehov i genomsnitt per år: ")</f>
        <v xml:space="preserve">Co-funding need in average per year: </v>
      </c>
      <c r="E1292" s="766" t="str">
        <f>IF(M1280=0,"",M1280/(DATEDIF('2. START'!C$18,'2. START'!C$19,"d")/365))</f>
        <v/>
      </c>
      <c r="H1292" s="656" t="str">
        <f>IF('1. INTRO'!I$2="English","Co-funding need 1/3 of total: ","Medfinansieringsbehov 1/3 av totalt: ")</f>
        <v xml:space="preserve">Co-funding need 1/3 of total: </v>
      </c>
      <c r="I1292" s="766">
        <f>M1280/3</f>
        <v>0</v>
      </c>
      <c r="L1292" s="287" t="str">
        <f>IF('1. INTRO'!I$2="English","Co-funding need total: ","Medfinansieringsbehov totalt: ")</f>
        <v xml:space="preserve">Co-funding need total: </v>
      </c>
      <c r="M1292" s="766">
        <f>M1280</f>
        <v>0</v>
      </c>
    </row>
    <row r="1293" spans="2:13" ht="12.75" customHeight="1" x14ac:dyDescent="0.25">
      <c r="B1293" s="53" t="str">
        <f>IF('1. INTRO'!I$2="English","Co-funding sources","Medfinansieringskällor")</f>
        <v>Co-funding sources</v>
      </c>
    </row>
    <row r="1294" spans="2:13" ht="12.75" customHeight="1" x14ac:dyDescent="0.25">
      <c r="B1294" s="225"/>
      <c r="C1294" s="226"/>
      <c r="D1294" s="226"/>
      <c r="E1294" s="226"/>
      <c r="F1294" s="226"/>
      <c r="G1294" s="226"/>
      <c r="H1294" s="226"/>
      <c r="I1294" s="226"/>
      <c r="J1294" s="226"/>
      <c r="K1294" s="226"/>
      <c r="L1294" s="227"/>
      <c r="M1294" s="168">
        <f>SUM(C1294:L1294)</f>
        <v>0</v>
      </c>
    </row>
    <row r="1295" spans="2:13" ht="12.75" customHeight="1" x14ac:dyDescent="0.25">
      <c r="B1295" s="228"/>
      <c r="C1295" s="229"/>
      <c r="D1295" s="229"/>
      <c r="E1295" s="229"/>
      <c r="F1295" s="229"/>
      <c r="G1295" s="229"/>
      <c r="H1295" s="229"/>
      <c r="I1295" s="229"/>
      <c r="J1295" s="229"/>
      <c r="K1295" s="229"/>
      <c r="L1295" s="230"/>
      <c r="M1295" s="755">
        <f t="shared" ref="M1295:M1298" si="286">SUM(C1295:L1295)</f>
        <v>0</v>
      </c>
    </row>
    <row r="1296" spans="2:13" ht="12.75" customHeight="1" x14ac:dyDescent="0.25">
      <c r="B1296" s="231"/>
      <c r="C1296" s="232"/>
      <c r="D1296" s="232"/>
      <c r="E1296" s="232"/>
      <c r="F1296" s="232"/>
      <c r="G1296" s="232"/>
      <c r="H1296" s="232"/>
      <c r="I1296" s="232"/>
      <c r="J1296" s="232"/>
      <c r="K1296" s="232"/>
      <c r="L1296" s="233"/>
      <c r="M1296" s="117">
        <f t="shared" si="286"/>
        <v>0</v>
      </c>
    </row>
    <row r="1297" spans="2:13" ht="12.75" customHeight="1" x14ac:dyDescent="0.25">
      <c r="B1297" s="228"/>
      <c r="C1297" s="229"/>
      <c r="D1297" s="229"/>
      <c r="E1297" s="229"/>
      <c r="F1297" s="229"/>
      <c r="G1297" s="229"/>
      <c r="H1297" s="229"/>
      <c r="I1297" s="229"/>
      <c r="J1297" s="229"/>
      <c r="K1297" s="229"/>
      <c r="L1297" s="230"/>
      <c r="M1297" s="755">
        <f t="shared" si="286"/>
        <v>0</v>
      </c>
    </row>
    <row r="1298" spans="2:13" ht="12.75" customHeight="1" x14ac:dyDescent="0.25">
      <c r="B1298" s="93"/>
      <c r="C1298" s="232"/>
      <c r="D1298" s="232"/>
      <c r="E1298" s="232"/>
      <c r="F1298" s="232"/>
      <c r="G1298" s="232"/>
      <c r="H1298" s="232"/>
      <c r="I1298" s="232"/>
      <c r="J1298" s="232"/>
      <c r="K1298" s="232"/>
      <c r="L1298" s="233"/>
      <c r="M1298" s="117">
        <f t="shared" si="286"/>
        <v>0</v>
      </c>
    </row>
    <row r="1299" spans="2:13" ht="12.75" customHeight="1" x14ac:dyDescent="0.25">
      <c r="B1299" s="84" t="str">
        <f>IF('1. INTRO'!I$2="English","Total co-funding ","Total medfinansiering ")</f>
        <v xml:space="preserve">Total co-funding </v>
      </c>
      <c r="C1299" s="87">
        <f t="shared" ref="C1299:M1299" si="287">SUM(C1294:C1298)</f>
        <v>0</v>
      </c>
      <c r="D1299" s="87">
        <f t="shared" si="287"/>
        <v>0</v>
      </c>
      <c r="E1299" s="87">
        <f t="shared" si="287"/>
        <v>0</v>
      </c>
      <c r="F1299" s="87">
        <f t="shared" si="287"/>
        <v>0</v>
      </c>
      <c r="G1299" s="87">
        <f t="shared" si="287"/>
        <v>0</v>
      </c>
      <c r="H1299" s="87">
        <f t="shared" si="287"/>
        <v>0</v>
      </c>
      <c r="I1299" s="87">
        <f t="shared" si="287"/>
        <v>0</v>
      </c>
      <c r="J1299" s="87">
        <f t="shared" si="287"/>
        <v>0</v>
      </c>
      <c r="K1299" s="87">
        <f t="shared" si="287"/>
        <v>0</v>
      </c>
      <c r="L1299" s="87">
        <f t="shared" si="287"/>
        <v>0</v>
      </c>
      <c r="M1299" s="142">
        <f t="shared" si="287"/>
        <v>0</v>
      </c>
    </row>
    <row r="1300" spans="2:13" ht="12.75" customHeight="1" x14ac:dyDescent="0.2"/>
    <row r="1301" spans="2:13" ht="12.75" customHeight="1" x14ac:dyDescent="0.2">
      <c r="B1301" s="667" t="str">
        <f>IF('1. INTRO'!I$2="English","Calculation comments","Kalkylkommentarer")</f>
        <v>Calculation comments</v>
      </c>
    </row>
    <row r="1302" spans="2:13" ht="12.75" customHeight="1" x14ac:dyDescent="0.2">
      <c r="B1302" s="1142"/>
      <c r="C1302" s="1143"/>
      <c r="D1302" s="1143"/>
      <c r="E1302" s="1143"/>
      <c r="F1302" s="1143"/>
      <c r="G1302" s="1143"/>
      <c r="H1302" s="1143"/>
      <c r="I1302" s="1143"/>
      <c r="J1302" s="1143"/>
      <c r="K1302" s="1143"/>
      <c r="L1302" s="1143"/>
      <c r="M1302" s="1144"/>
    </row>
    <row r="1303" spans="2:13" ht="12.75" customHeight="1" x14ac:dyDescent="0.2">
      <c r="B1303" s="1145"/>
      <c r="C1303" s="1226"/>
      <c r="D1303" s="1226"/>
      <c r="E1303" s="1226"/>
      <c r="F1303" s="1226"/>
      <c r="G1303" s="1226"/>
      <c r="H1303" s="1226"/>
      <c r="I1303" s="1226"/>
      <c r="J1303" s="1226"/>
      <c r="K1303" s="1226"/>
      <c r="L1303" s="1226"/>
      <c r="M1303" s="1147"/>
    </row>
    <row r="1304" spans="2:13" ht="12.75" customHeight="1" x14ac:dyDescent="0.2">
      <c r="B1304" s="1145"/>
      <c r="C1304" s="1226"/>
      <c r="D1304" s="1226"/>
      <c r="E1304" s="1226"/>
      <c r="F1304" s="1226"/>
      <c r="G1304" s="1226"/>
      <c r="H1304" s="1226"/>
      <c r="I1304" s="1226"/>
      <c r="J1304" s="1226"/>
      <c r="K1304" s="1226"/>
      <c r="L1304" s="1226"/>
      <c r="M1304" s="1147"/>
    </row>
    <row r="1305" spans="2:13" ht="12.75" customHeight="1" x14ac:dyDescent="0.2">
      <c r="B1305" s="1145"/>
      <c r="C1305" s="1226"/>
      <c r="D1305" s="1226"/>
      <c r="E1305" s="1226"/>
      <c r="F1305" s="1226"/>
      <c r="G1305" s="1226"/>
      <c r="H1305" s="1226"/>
      <c r="I1305" s="1226"/>
      <c r="J1305" s="1226"/>
      <c r="K1305" s="1226"/>
      <c r="L1305" s="1226"/>
      <c r="M1305" s="1147"/>
    </row>
    <row r="1306" spans="2:13" ht="12.75" customHeight="1" x14ac:dyDescent="0.2">
      <c r="B1306" s="1148"/>
      <c r="C1306" s="1149"/>
      <c r="D1306" s="1149"/>
      <c r="E1306" s="1149"/>
      <c r="F1306" s="1149"/>
      <c r="G1306" s="1149"/>
      <c r="H1306" s="1149"/>
      <c r="I1306" s="1149"/>
      <c r="J1306" s="1149"/>
      <c r="K1306" s="1149"/>
      <c r="L1306" s="1149"/>
      <c r="M1306" s="1150"/>
    </row>
    <row r="1308" spans="2:13" s="3" customFormat="1" ht="12.75" customHeight="1" x14ac:dyDescent="0.25">
      <c r="B1308" s="313" t="str">
        <f>'3. PARTNER'!C$4</f>
        <v xml:space="preserve">Project: </v>
      </c>
      <c r="C1308" s="1062" t="str">
        <f>'3. PARTNER'!D$4</f>
        <v/>
      </c>
      <c r="D1308" s="1001"/>
      <c r="E1308" s="1001"/>
      <c r="F1308" s="1001"/>
      <c r="G1308" s="1001"/>
      <c r="H1308" s="1001"/>
      <c r="I1308" s="1001"/>
      <c r="J1308" s="1001"/>
      <c r="K1308" s="1001"/>
      <c r="L1308" s="1001"/>
      <c r="M1308" s="1001"/>
    </row>
    <row r="1309" spans="2:13" s="3" customFormat="1" ht="13.2" x14ac:dyDescent="0.25">
      <c r="B1309" s="313" t="str">
        <f>'3. PARTNER'!C$5</f>
        <v xml:space="preserve">Calculation for: </v>
      </c>
      <c r="C1309" s="1062" t="str">
        <f>'3. PARTNER'!D$5</f>
        <v>APPLICATION</v>
      </c>
      <c r="D1309" s="1001"/>
      <c r="E1309" s="268"/>
      <c r="F1309" s="268"/>
      <c r="G1309" s="268"/>
      <c r="H1309" s="268"/>
      <c r="I1309" s="268"/>
      <c r="J1309" s="268"/>
      <c r="K1309" s="268"/>
      <c r="L1309" s="268"/>
      <c r="M1309" s="268"/>
    </row>
    <row r="1310" spans="2:13" s="3" customFormat="1" ht="13.2" x14ac:dyDescent="0.25">
      <c r="B1310" s="35" t="str">
        <f>'3. PARTNER'!C$6</f>
        <v xml:space="preserve">Project leader: </v>
      </c>
      <c r="C1310" s="1062" t="str">
        <f>'3. PARTNER'!D$6</f>
        <v/>
      </c>
      <c r="D1310" s="1001"/>
      <c r="E1310" s="1001"/>
      <c r="F1310" s="1001"/>
      <c r="G1310" s="1001"/>
      <c r="H1310" s="1001"/>
      <c r="I1310" s="1001"/>
      <c r="J1310" s="1001"/>
      <c r="K1310" s="1001"/>
      <c r="L1310" s="1001"/>
      <c r="M1310" s="1001"/>
    </row>
    <row r="1311" spans="2:13" s="3" customFormat="1" ht="13.2" x14ac:dyDescent="0.25">
      <c r="B1311" s="313" t="str">
        <f>'5. PERSON'!B$7</f>
        <v xml:space="preserve">Amounts in: </v>
      </c>
      <c r="C1311" s="655" t="str">
        <f>'5. PERSON'!C$7</f>
        <v>SEK</v>
      </c>
      <c r="D1311" s="268"/>
      <c r="E1311" s="268"/>
      <c r="F1311" s="268"/>
      <c r="G1311" s="234"/>
      <c r="H1311" s="234"/>
      <c r="I1311" s="270"/>
      <c r="J1311" s="270"/>
      <c r="K1311" s="270"/>
      <c r="L1311" s="270"/>
      <c r="M1311" s="270"/>
    </row>
    <row r="1312" spans="2:13" s="3" customFormat="1" ht="13.2" x14ac:dyDescent="0.25">
      <c r="B1312" s="313"/>
      <c r="C1312" s="1053" t="str">
        <f>'3. PARTNER'!D$7</f>
        <v>Other basic data about the project is in sheet 2.</v>
      </c>
      <c r="D1312" s="1001"/>
      <c r="E1312" s="1001"/>
      <c r="F1312" s="1001"/>
      <c r="G1312" s="234"/>
      <c r="H1312" s="234"/>
      <c r="I1312" s="270"/>
      <c r="J1312" s="270"/>
      <c r="K1312" s="270"/>
      <c r="L1312" s="251" t="s">
        <v>4</v>
      </c>
      <c r="M1312" s="270"/>
    </row>
    <row r="1313" spans="2:15" ht="12.75" customHeight="1" x14ac:dyDescent="0.2">
      <c r="J1313" s="252" t="s">
        <v>322</v>
      </c>
      <c r="K1313" s="252" t="s">
        <v>323</v>
      </c>
      <c r="L1313" s="252" t="str">
        <f>IF('1. INTRO'!I$2="English","months","månader")</f>
        <v>months</v>
      </c>
    </row>
    <row r="1314" spans="2:15" s="3" customFormat="1" ht="13.8" x14ac:dyDescent="0.25">
      <c r="B1314" s="157" t="str">
        <f>IF('1. INTRO'!I$2="English","Project costs","Projektkostnader")</f>
        <v>Project costs</v>
      </c>
      <c r="C1314" s="668" t="str">
        <f>A39</f>
        <v>241S</v>
      </c>
      <c r="D1314" s="1227" t="str">
        <f>B39</f>
        <v>Forest Ecology and Management</v>
      </c>
      <c r="E1314" s="1001"/>
      <c r="F1314" s="1001"/>
      <c r="G1314" s="37"/>
      <c r="H1314" s="37"/>
      <c r="I1314" s="37"/>
      <c r="J1314" s="643"/>
      <c r="K1314" s="643"/>
      <c r="L1314" s="642">
        <f>SUMIF('5. PERSON'!$B$17:$B$192,$C1314,'5. PERSON'!AE$17:AE$192)</f>
        <v>0</v>
      </c>
      <c r="M1314" s="680" t="s">
        <v>330</v>
      </c>
    </row>
    <row r="1315" spans="2:15" s="3" customFormat="1" ht="6" customHeight="1" x14ac:dyDescent="0.25">
      <c r="B1315" s="57"/>
      <c r="C1315" s="37"/>
      <c r="D1315" s="37"/>
      <c r="E1315" s="37"/>
      <c r="F1315" s="37"/>
      <c r="G1315" s="37"/>
      <c r="H1315" s="37"/>
      <c r="I1315" s="37"/>
      <c r="J1315" s="37"/>
      <c r="K1315" s="37"/>
      <c r="L1315" s="37"/>
      <c r="M1315" s="37"/>
    </row>
    <row r="1316" spans="2:15" s="3" customFormat="1" ht="13.2" x14ac:dyDescent="0.25">
      <c r="B1316" s="110" t="str">
        <f>IF('1. INTRO'!I$2="English","Costs to be covered by funding body","Kostnader att täckas av finansiär")</f>
        <v>Costs to be covered by funding body</v>
      </c>
      <c r="C1316" s="111">
        <f>'5. PERSON'!G$15</f>
        <v>1900</v>
      </c>
      <c r="D1316" s="111" t="str">
        <f>'5. PERSON'!H$15</f>
        <v/>
      </c>
      <c r="E1316" s="111" t="str">
        <f>'5. PERSON'!I$15</f>
        <v/>
      </c>
      <c r="F1316" s="111" t="str">
        <f>'5. PERSON'!J$15</f>
        <v/>
      </c>
      <c r="G1316" s="111" t="str">
        <f>'5. PERSON'!K$15</f>
        <v/>
      </c>
      <c r="H1316" s="111" t="str">
        <f>'5. PERSON'!L$15</f>
        <v/>
      </c>
      <c r="I1316" s="111" t="str">
        <f>'5. PERSON'!M$15</f>
        <v/>
      </c>
      <c r="J1316" s="111" t="str">
        <f>'5. PERSON'!N$15</f>
        <v/>
      </c>
      <c r="K1316" s="111" t="str">
        <f>'5. PERSON'!O$15</f>
        <v/>
      </c>
      <c r="L1316" s="111" t="str">
        <f>'5. PERSON'!P$15</f>
        <v/>
      </c>
      <c r="M1316" s="112" t="s">
        <v>2</v>
      </c>
    </row>
    <row r="1317" spans="2:15" s="3" customFormat="1" ht="12.75" customHeight="1" x14ac:dyDescent="0.25">
      <c r="B1317" s="750" t="str">
        <f>IF('1. INTRO'!I$2="English","Salary including social costs (LKP)","Lön inklusive LKP")</f>
        <v>Salary including social costs (LKP)</v>
      </c>
      <c r="C1317" s="751">
        <f>IF('2. START'!$C$14&gt;0,SUMIF('5. PERSON'!$B$17:$B$192,$C1314,'5. PERSON'!DN$17:DN$192),SUMIF('5. PERSON'!$B$17:$B$192,$C1314,'5. PERSON'!AT$17:AT$192))</f>
        <v>0</v>
      </c>
      <c r="D1317" s="751">
        <f>IF('2. START'!$C$14&gt;0,SUMIF('5. PERSON'!$B$17:$B$192,$C1314,'5. PERSON'!DO$17:DO$192),SUMIF('5. PERSON'!$B$17:$B$192,$C1314,'5. PERSON'!AU$17:AU$192))</f>
        <v>0</v>
      </c>
      <c r="E1317" s="751">
        <f>IF('2. START'!$C$14&gt;0,SUMIF('5. PERSON'!$B$17:$B$192,$C1314,'5. PERSON'!DP$17:DP$192),SUMIF('5. PERSON'!$B$17:$B$192,$C1314,'5. PERSON'!AV$17:AV$192))</f>
        <v>0</v>
      </c>
      <c r="F1317" s="751">
        <f>IF('2. START'!$C$14&gt;0,SUMIF('5. PERSON'!$B$17:$B$192,$C1314,'5. PERSON'!DQ$17:DQ$192),SUMIF('5. PERSON'!$B$17:$B$192,$C1314,'5. PERSON'!AW$17:AW$192))</f>
        <v>0</v>
      </c>
      <c r="G1317" s="751">
        <f>IF('2. START'!$C$14&gt;0,SUMIF('5. PERSON'!$B$17:$B$192,$C1314,'5. PERSON'!DR$17:DR$192),SUMIF('5. PERSON'!$B$17:$B$192,$C1314,'5. PERSON'!AX$17:AX$192))</f>
        <v>0</v>
      </c>
      <c r="H1317" s="751">
        <f>IF('2. START'!$C$14&gt;0,SUMIF('5. PERSON'!$B$17:$B$192,$C1314,'5. PERSON'!DS$17:DS$192),SUMIF('5. PERSON'!$B$17:$B$192,$C1314,'5. PERSON'!AY$17:AY$192))</f>
        <v>0</v>
      </c>
      <c r="I1317" s="751">
        <f>IF('2. START'!$C$14&gt;0,SUMIF('5. PERSON'!$B$17:$B$192,$C1314,'5. PERSON'!DT$17:DT$192),SUMIF('5. PERSON'!$B$17:$B$192,$C1314,'5. PERSON'!AZ$17:AZ$192))</f>
        <v>0</v>
      </c>
      <c r="J1317" s="751">
        <f>IF('2. START'!$C$14&gt;0,SUMIF('5. PERSON'!$B$17:$B$192,$C1314,'5. PERSON'!DU$17:DU$192),SUMIF('5. PERSON'!$B$17:$B$192,$C1314,'5. PERSON'!BA$17:BA$192))</f>
        <v>0</v>
      </c>
      <c r="K1317" s="751">
        <f>IF('2. START'!$C$14&gt;0,SUMIF('5. PERSON'!$B$17:$B$192,$C1314,'5. PERSON'!DV$17:DV$192),SUMIF('5. PERSON'!$B$17:$B$192,$C1314,'5. PERSON'!BB$17:BB$192))</f>
        <v>0</v>
      </c>
      <c r="L1317" s="751">
        <f>IF('2. START'!$C$14&gt;0,SUMIF('5. PERSON'!$B$17:$B$192,$C1314,'5. PERSON'!DW$17:DW$192),SUMIF('5. PERSON'!$B$17:$B$192,$C1314,'5. PERSON'!BC$17:BC$192))</f>
        <v>0</v>
      </c>
      <c r="M1317" s="752">
        <f t="shared" ref="M1317:M1322" si="288">SUM(C1317:L1317)</f>
        <v>0</v>
      </c>
      <c r="O1317" s="4"/>
    </row>
    <row r="1318" spans="2:15" s="3" customFormat="1" ht="12.75" customHeight="1" x14ac:dyDescent="0.25">
      <c r="B1318" s="80" t="str">
        <f>IF('1. INTRO'!I$2="English","Operating","Drift")</f>
        <v>Operating</v>
      </c>
      <c r="C1318" s="116">
        <f>SUMIF('6. OPERATION'!$B$17:$B$149,$C1314,'6. OPERATION'!W$17:W$149)</f>
        <v>0</v>
      </c>
      <c r="D1318" s="116">
        <f>SUMIF('6. OPERATION'!$B$17:$B$149,$C1314,'6. OPERATION'!X$17:X$149)</f>
        <v>0</v>
      </c>
      <c r="E1318" s="116">
        <f>SUMIF('6. OPERATION'!$B$17:$B$149,$C1314,'6. OPERATION'!Y$17:Y$149)</f>
        <v>0</v>
      </c>
      <c r="F1318" s="116">
        <f>SUMIF('6. OPERATION'!$B$17:$B$149,$C1314,'6. OPERATION'!Z$17:Z$149)</f>
        <v>0</v>
      </c>
      <c r="G1318" s="116">
        <f>SUMIF('6. OPERATION'!$B$17:$B$149,$C1314,'6. OPERATION'!AA$17:AA$149)</f>
        <v>0</v>
      </c>
      <c r="H1318" s="116">
        <f>SUMIF('6. OPERATION'!$B$17:$B$149,$C1314,'6. OPERATION'!AB$17:AB$149)</f>
        <v>0</v>
      </c>
      <c r="I1318" s="116">
        <f>SUMIF('6. OPERATION'!$B$17:$B$149,$C1314,'6. OPERATION'!AC$17:AC$149)</f>
        <v>0</v>
      </c>
      <c r="J1318" s="116">
        <f>SUMIF('6. OPERATION'!$B$17:$B$149,$C1314,'6. OPERATION'!AD$17:AD$149)</f>
        <v>0</v>
      </c>
      <c r="K1318" s="116">
        <f>SUMIF('6. OPERATION'!$B$17:$B$149,$C1314,'6. OPERATION'!AE$17:AE$149)</f>
        <v>0</v>
      </c>
      <c r="L1318" s="116">
        <f>SUMIF('6. OPERATION'!$B$17:$B$149,$C1314,'6. OPERATION'!AF$17:AF$149)</f>
        <v>0</v>
      </c>
      <c r="M1318" s="117">
        <f t="shared" si="288"/>
        <v>0</v>
      </c>
    </row>
    <row r="1319" spans="2:15" s="3" customFormat="1" ht="13.2" x14ac:dyDescent="0.25">
      <c r="B1319" s="753" t="str">
        <f>IF('1. INTRO'!I$2="English","Equipment","Utrustning")</f>
        <v>Equipment</v>
      </c>
      <c r="C1319" s="754">
        <f>SUMIF('7. INVEST'!$B$17:$B$49,$C1314,'7. INVEST'!W$17:W$49)</f>
        <v>0</v>
      </c>
      <c r="D1319" s="754">
        <f>SUMIF('7. INVEST'!$B$17:$B$49,$C1314,'7. INVEST'!X$17:X$49)</f>
        <v>0</v>
      </c>
      <c r="E1319" s="754">
        <f>SUMIF('7. INVEST'!$B$17:$B$49,$C1314,'7. INVEST'!Y$17:Y$49)</f>
        <v>0</v>
      </c>
      <c r="F1319" s="754">
        <f>SUMIF('7. INVEST'!$B$17:$B$49,$C1314,'7. INVEST'!Z$17:Z$49)</f>
        <v>0</v>
      </c>
      <c r="G1319" s="754">
        <f>SUMIF('7. INVEST'!$B$17:$B$49,$C1314,'7. INVEST'!AA$17:AA$49)</f>
        <v>0</v>
      </c>
      <c r="H1319" s="754">
        <f>SUMIF('7. INVEST'!$B$17:$B$49,$C1314,'7. INVEST'!AB$17:AB$49)</f>
        <v>0</v>
      </c>
      <c r="I1319" s="754">
        <f>SUMIF('7. INVEST'!$B$17:$B$49,$C1314,'7. INVEST'!AC$17:AC$49)</f>
        <v>0</v>
      </c>
      <c r="J1319" s="754">
        <f>SUMIF('7. INVEST'!$B$17:$B$49,$C1314,'7. INVEST'!AD$17:AD$49)</f>
        <v>0</v>
      </c>
      <c r="K1319" s="754">
        <f>SUMIF('7. INVEST'!$B$17:$B$49,$C1314,'7. INVEST'!AE$17:AE$49)</f>
        <v>0</v>
      </c>
      <c r="L1319" s="754">
        <f>SUMIF('7. INVEST'!$B$17:$B$49,$C1314,'7. INVEST'!AF$17:AF$49)</f>
        <v>0</v>
      </c>
      <c r="M1319" s="755">
        <f t="shared" si="288"/>
        <v>0</v>
      </c>
    </row>
    <row r="1320" spans="2:15" s="3" customFormat="1" ht="13.2" x14ac:dyDescent="0.25">
      <c r="B1320" s="121" t="str">
        <f>IF('1. INTRO'!I$2="English",(IF('2. START'!C$11="NO","Facility accepted as direct cost by funding body","Facility")),IF('2. START'!C$11="NO","Lokal accepterad som direkt kostnad av finansiär","Lokal"))</f>
        <v>Facility</v>
      </c>
      <c r="C1320" s="116">
        <f>IF('2. START'!$C$11="NO",SUMIF('8. FACILIT'!$B$18:$B$50,$C1314,'8. FACILIT'!T$18:T$50),SUMIF('5. PERSON'!$B$17:$B$192,$C1314,'5. PERSON'!CP$17:CP$192)+SUMIF('6. OPERATION'!$B$17:$B$149,$C1314,'6. OPERATION'!BS$17:BS$149)+SUMIF('8. FACILIT'!$B$18:$B$50,$C1314,'8. FACILIT'!T$18:T$50))</f>
        <v>0</v>
      </c>
      <c r="D1320" s="116">
        <f>IF('2. START'!$C$11="NO",SUMIF('8. FACILIT'!$B$18:$B$50,$C1314,'8. FACILIT'!U$18:U$50),SUMIF('5. PERSON'!$B$17:$B$192,$C1314,'5. PERSON'!CQ$17:CQ$192)+SUMIF('6. OPERATION'!$B$17:$B$149,$C1314,'6. OPERATION'!BT$17:BT$149)+SUMIF('8. FACILIT'!$B$18:$B$50,$C1314,'8. FACILIT'!U$18:U$50))</f>
        <v>0</v>
      </c>
      <c r="E1320" s="116">
        <f>IF('2. START'!$C$11="NO",SUMIF('8. FACILIT'!$B$18:$B$50,$C1314,'8. FACILIT'!V$18:V$50),SUMIF('5. PERSON'!$B$17:$B$192,$C1314,'5. PERSON'!CR$17:CR$192)+SUMIF('6. OPERATION'!$B$17:$B$149,$C1314,'6. OPERATION'!BU$17:BU$149)+SUMIF('8. FACILIT'!$B$18:$B$50,$C1314,'8. FACILIT'!V$18:V$50))</f>
        <v>0</v>
      </c>
      <c r="F1320" s="116">
        <f>IF('2. START'!$C$11="NO",SUMIF('8. FACILIT'!$B$18:$B$50,$C1314,'8. FACILIT'!W$18:W$50),SUMIF('5. PERSON'!$B$17:$B$192,$C1314,'5. PERSON'!CS$17:CS$192)+SUMIF('6. OPERATION'!$B$17:$B$149,$C1314,'6. OPERATION'!BV$17:BV$149)+SUMIF('8. FACILIT'!$B$18:$B$50,$C1314,'8. FACILIT'!W$18:W$50))</f>
        <v>0</v>
      </c>
      <c r="G1320" s="116">
        <f>IF('2. START'!$C$11="NO",SUMIF('8. FACILIT'!$B$18:$B$50,$C1314,'8. FACILIT'!X$18:X$50),SUMIF('5. PERSON'!$B$17:$B$192,$C1314,'5. PERSON'!CT$17:CT$192)+SUMIF('6. OPERATION'!$B$17:$B$149,$C1314,'6. OPERATION'!BW$17:BW$149)+SUMIF('8. FACILIT'!$B$18:$B$50,$C1314,'8. FACILIT'!X$18:X$50))</f>
        <v>0</v>
      </c>
      <c r="H1320" s="116">
        <f>IF('2. START'!$C$11="NO",SUMIF('8. FACILIT'!$B$18:$B$50,$C1314,'8. FACILIT'!Y$18:Y$50),SUMIF('5. PERSON'!$B$17:$B$192,$C1314,'5. PERSON'!CU$17:CU$192)+SUMIF('6. OPERATION'!$B$17:$B$149,$C1314,'6. OPERATION'!BX$17:BX$149)+SUMIF('8. FACILIT'!$B$18:$B$50,$C1314,'8. FACILIT'!Y$18:Y$50))</f>
        <v>0</v>
      </c>
      <c r="I1320" s="116">
        <f>IF('2. START'!$C$11="NO",SUMIF('8. FACILIT'!$B$18:$B$50,$C1314,'8. FACILIT'!Z$18:Z$50),SUMIF('5. PERSON'!$B$17:$B$192,$C1314,'5. PERSON'!CV$17:CV$192)+SUMIF('6. OPERATION'!$B$17:$B$149,$C1314,'6. OPERATION'!BY$17:BY$149)+SUMIF('8. FACILIT'!$B$18:$B$50,$C1314,'8. FACILIT'!Z$18:Z$50))</f>
        <v>0</v>
      </c>
      <c r="J1320" s="116">
        <f>IF('2. START'!$C$11="NO",SUMIF('8. FACILIT'!$B$18:$B$50,$C1314,'8. FACILIT'!AA$18:AA$50),SUMIF('5. PERSON'!$B$17:$B$192,$C1314,'5. PERSON'!CW$17:CW$192)+SUMIF('6. OPERATION'!$B$17:$B$149,$C1314,'6. OPERATION'!BZ$17:BZ$149)+SUMIF('8. FACILIT'!$B$18:$B$50,$C1314,'8. FACILIT'!AA$18:AA$50))</f>
        <v>0</v>
      </c>
      <c r="K1320" s="116">
        <f>IF('2. START'!$C$11="NO",SUMIF('8. FACILIT'!$B$18:$B$50,$C1314,'8. FACILIT'!AB$18:AB$50),SUMIF('5. PERSON'!$B$17:$B$192,$C1314,'5. PERSON'!CX$17:CX$192)+SUMIF('6. OPERATION'!$B$17:$B$149,$C1314,'6. OPERATION'!CA$17:CA$149)+SUMIF('8. FACILIT'!$B$18:$B$50,$C1314,'8. FACILIT'!AB$18:AB$50))</f>
        <v>0</v>
      </c>
      <c r="L1320" s="116">
        <f>IF('2. START'!$C$11="NO",SUMIF('8. FACILIT'!$B$18:$B$50,$C1314,'8. FACILIT'!AC$18:AC$50),SUMIF('5. PERSON'!$B$17:$B$192,$C1314,'5. PERSON'!CY$17:CY$192)+SUMIF('6. OPERATION'!$B$17:$B$149,$C1314,'6. OPERATION'!CB$17:CB$149)+SUMIF('8. FACILIT'!$B$18:$B$50,$C1314,'8. FACILIT'!AC$18:AC$50))</f>
        <v>0</v>
      </c>
      <c r="M1320" s="117">
        <f t="shared" si="288"/>
        <v>0</v>
      </c>
    </row>
    <row r="1321" spans="2:15" s="3" customFormat="1" ht="13.2" x14ac:dyDescent="0.25">
      <c r="B1321" s="756" t="str">
        <f>IF('1. INTRO'!I$2="English",(IF('2. START'!C$11="NO","Indirect and facility charge accepted as OH by funding body","Indirect")),IF('2. START'!C$11="NO","Indirekt och lokalpåslag accepterade som OH av finansiär","Indirekt"))</f>
        <v>Indirect</v>
      </c>
      <c r="C1321" s="757">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757">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757">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757">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757">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757">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757">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757">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757">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757">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755">
        <f t="shared" si="288"/>
        <v>0</v>
      </c>
    </row>
    <row r="1322" spans="2:15" s="3" customFormat="1" ht="13.2" x14ac:dyDescent="0.25">
      <c r="B1322" s="124" t="s">
        <v>113</v>
      </c>
      <c r="C1322" s="102">
        <f>SUM(C1317:C1321)</f>
        <v>0</v>
      </c>
      <c r="D1322" s="102">
        <f t="shared" ref="D1322:L1322" si="289">SUM(D1317:D1321)</f>
        <v>0</v>
      </c>
      <c r="E1322" s="102">
        <f t="shared" si="289"/>
        <v>0</v>
      </c>
      <c r="F1322" s="102">
        <f t="shared" si="289"/>
        <v>0</v>
      </c>
      <c r="G1322" s="102">
        <f t="shared" si="289"/>
        <v>0</v>
      </c>
      <c r="H1322" s="102">
        <f t="shared" si="289"/>
        <v>0</v>
      </c>
      <c r="I1322" s="102">
        <f t="shared" si="289"/>
        <v>0</v>
      </c>
      <c r="J1322" s="102">
        <f t="shared" si="289"/>
        <v>0</v>
      </c>
      <c r="K1322" s="102">
        <f t="shared" si="289"/>
        <v>0</v>
      </c>
      <c r="L1322" s="102">
        <f t="shared" si="289"/>
        <v>0</v>
      </c>
      <c r="M1322" s="125">
        <f t="shared" si="288"/>
        <v>0</v>
      </c>
    </row>
    <row r="1323" spans="2:15" s="3" customFormat="1" ht="6" customHeight="1" x14ac:dyDescent="0.25">
      <c r="B1323" s="126"/>
      <c r="C1323" s="127"/>
      <c r="D1323" s="127"/>
      <c r="E1323" s="127"/>
      <c r="F1323" s="127"/>
      <c r="G1323" s="127"/>
      <c r="H1323" s="127"/>
      <c r="I1323" s="127"/>
      <c r="J1323" s="127"/>
      <c r="K1323" s="127"/>
      <c r="L1323" s="127"/>
      <c r="M1323" s="128"/>
    </row>
    <row r="1324" spans="2:15" s="3" customFormat="1" ht="13.2" x14ac:dyDescent="0.25">
      <c r="B1324" s="129" t="str">
        <f>IF('1. INTRO'!I$2="English","Costs to be co-funded","Kostnader att medfinansiera")</f>
        <v>Costs to be co-funded</v>
      </c>
      <c r="C1324" s="86"/>
      <c r="D1324" s="86"/>
      <c r="E1324" s="86"/>
      <c r="F1324" s="86"/>
      <c r="G1324" s="86"/>
      <c r="H1324" s="86"/>
      <c r="I1324" s="86"/>
      <c r="J1324" s="86"/>
      <c r="K1324" s="86"/>
      <c r="L1324" s="86"/>
      <c r="M1324" s="130"/>
    </row>
    <row r="1325" spans="2:15" s="3" customFormat="1" ht="13.2" x14ac:dyDescent="0.25">
      <c r="B1325" s="758" t="str">
        <f>IF('1. INTRO'!I$2="English",(IF('2. START'!C$11="NO","Indirect and facility charge not accepted as OH by funding body","")),IF('2. START'!C$11="NO","Indirekt och lokalpåslag inte accepterade som OH av finansiär",""))</f>
        <v/>
      </c>
      <c r="C1325" s="759">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759">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759">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759">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759">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759">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759">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759">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759">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759">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752">
        <f t="shared" ref="M1325:M1331" si="290">SUM(C1325:L1325)</f>
        <v>0</v>
      </c>
    </row>
    <row r="1326" spans="2:15" s="3" customFormat="1" ht="12.75" customHeight="1" x14ac:dyDescent="0.25">
      <c r="B1326" s="132" t="str">
        <f>IF('1. INTRO'!I$2="English",(IF('2. START'!C$14&gt;0,"Social costs (LKP) not accepted by funding body","")),IF('2. START'!C$14&gt;0,"LKP som inte accepteras av finansiär",""))</f>
        <v/>
      </c>
      <c r="C1326" s="133">
        <f>IF('2. START'!$C$14&gt;0,SUMIF('5. PERSON'!$B$17:$B$192,$C1314,'5. PERSON'!AT$17:AT$192)-SUMIF('5. PERSON'!$B$17:$B$192,$C1314,'5. PERSON'!DN$17:DN$192),0)</f>
        <v>0</v>
      </c>
      <c r="D1326" s="133">
        <f>IF('2. START'!$C$14&gt;0,SUMIF('5. PERSON'!$B$17:$B$192,$C1314,'5. PERSON'!AU$17:AU$192)-SUMIF('5. PERSON'!$B$17:$B$192,$C1314,'5. PERSON'!DO$17:DO$192),0)</f>
        <v>0</v>
      </c>
      <c r="E1326" s="133">
        <f>IF('2. START'!$C$14&gt;0,SUMIF('5. PERSON'!$B$17:$B$192,$C1314,'5. PERSON'!AV$17:AV$192)-SUMIF('5. PERSON'!$B$17:$B$192,$C1314,'5. PERSON'!DP$17:DP$192),0)</f>
        <v>0</v>
      </c>
      <c r="F1326" s="133">
        <f>IF('2. START'!$C$14&gt;0,SUMIF('5. PERSON'!$B$17:$B$192,$C1314,'5. PERSON'!AW$17:AW$192)-SUMIF('5. PERSON'!$B$17:$B$192,$C1314,'5. PERSON'!DQ$17:DQ$192),0)</f>
        <v>0</v>
      </c>
      <c r="G1326" s="133">
        <f>IF('2. START'!$C$14&gt;0,SUMIF('5. PERSON'!$B$17:$B$192,$C1314,'5. PERSON'!AX$17:AX$192)-SUMIF('5. PERSON'!$B$17:$B$192,$C1314,'5. PERSON'!DR$17:DR$192),0)</f>
        <v>0</v>
      </c>
      <c r="H1326" s="133">
        <f>IF('2. START'!$C$14&gt;0,SUMIF('5. PERSON'!$B$17:$B$192,$C1314,'5. PERSON'!AY$17:AY$192)-SUMIF('5. PERSON'!$B$17:$B$192,$C1314,'5. PERSON'!DS$17:DS$192),0)</f>
        <v>0</v>
      </c>
      <c r="I1326" s="133">
        <f>IF('2. START'!$C$14&gt;0,SUMIF('5. PERSON'!$B$17:$B$192,$C1314,'5. PERSON'!AZ$17:AZ$192)-SUMIF('5. PERSON'!$B$17:$B$192,$C1314,'5. PERSON'!DT$17:DT$192),0)</f>
        <v>0</v>
      </c>
      <c r="J1326" s="133">
        <f>IF('2. START'!$C$14&gt;0,SUMIF('5. PERSON'!$B$17:$B$192,$C1314,'5. PERSON'!BA$17:BA$192)-SUMIF('5. PERSON'!$B$17:$B$192,$C1314,'5. PERSON'!DU$17:DU$192),0)</f>
        <v>0</v>
      </c>
      <c r="K1326" s="133">
        <f>IF('2. START'!$C$14&gt;0,SUMIF('5. PERSON'!$B$17:$B$192,$C1314,'5. PERSON'!BB$17:BB$192)-SUMIF('5. PERSON'!$B$17:$B$192,$C1314,'5. PERSON'!DV$17:DV$192),0)</f>
        <v>0</v>
      </c>
      <c r="L1326" s="133">
        <f>IF('2. START'!$C$14&gt;0,SUMIF('5. PERSON'!$B$17:$B$192,$C1314,'5. PERSON'!BC$17:BC$192)-SUMIF('5. PERSON'!$B$17:$B$192,$C1314,'5. PERSON'!DW$17:DW$192),0)</f>
        <v>0</v>
      </c>
      <c r="M1326" s="117">
        <f t="shared" si="290"/>
        <v>0</v>
      </c>
    </row>
    <row r="1327" spans="2:15" s="3" customFormat="1" ht="12.75" customHeight="1" x14ac:dyDescent="0.25">
      <c r="B1327" s="753" t="str">
        <f>IF('1. INTRO'!I$2="English",(IF('5. PERSON'!BP$193&gt;0,"Salary including social costs (LKP)","")),IF('5. PERSON'!BP$193&gt;0,"Lön inklusive LKP",""))</f>
        <v/>
      </c>
      <c r="C1327" s="760">
        <f>SUMIF('5. PERSON'!$B$17:$B$192,$C1314,'5. PERSON'!BF$17:BF$192)</f>
        <v>0</v>
      </c>
      <c r="D1327" s="760">
        <f>SUMIF('5. PERSON'!$B$17:$B$192,$C1314,'5. PERSON'!BG$17:BG$192)</f>
        <v>0</v>
      </c>
      <c r="E1327" s="760">
        <f>SUMIF('5. PERSON'!$B$17:$B$192,$C1314,'5. PERSON'!BH$17:BH$192)</f>
        <v>0</v>
      </c>
      <c r="F1327" s="760">
        <f>SUMIF('5. PERSON'!$B$17:$B$192,$C1314,'5. PERSON'!BI$17:BI$192)</f>
        <v>0</v>
      </c>
      <c r="G1327" s="760">
        <f>SUMIF('5. PERSON'!$B$17:$B$192,$C1314,'5. PERSON'!BJ$17:BJ$192)</f>
        <v>0</v>
      </c>
      <c r="H1327" s="760">
        <f>SUMIF('5. PERSON'!$B$17:$B$192,$C1314,'5. PERSON'!BK$17:BK$192)</f>
        <v>0</v>
      </c>
      <c r="I1327" s="760">
        <f>SUMIF('5. PERSON'!$B$17:$B$192,$C1314,'5. PERSON'!BL$17:BL$192)</f>
        <v>0</v>
      </c>
      <c r="J1327" s="760">
        <f>SUMIF('5. PERSON'!$B$17:$B$192,$C1314,'5. PERSON'!BM$17:BM$192)</f>
        <v>0</v>
      </c>
      <c r="K1327" s="760">
        <f>SUMIF('5. PERSON'!$B$17:$B$192,$C1314,'5. PERSON'!BN$17:BN$192)</f>
        <v>0</v>
      </c>
      <c r="L1327" s="760">
        <f>SUMIF('5. PERSON'!$B$17:$B$192,$C1314,'5. PERSON'!BO$17:BO$192)</f>
        <v>0</v>
      </c>
      <c r="M1327" s="755">
        <f t="shared" si="290"/>
        <v>0</v>
      </c>
    </row>
    <row r="1328" spans="2:15" s="3" customFormat="1" ht="13.2" x14ac:dyDescent="0.25">
      <c r="B1328" s="80" t="str">
        <f>IF('1. INTRO'!I$2="English",(IF('6. OPERATION'!AS$150&gt;0,"Operating","")),IF('6. OPERATION'!AS$150&gt;0,"Drift",""))</f>
        <v/>
      </c>
      <c r="C1328" s="135">
        <f>SUMIF('6. OPERATION'!$B$17:$B$149,$C1314,'6. OPERATION'!AI$17:AI$149)</f>
        <v>0</v>
      </c>
      <c r="D1328" s="135">
        <f>SUMIF('6. OPERATION'!$B$17:$B$149,$C1314,'6. OPERATION'!AJ$17:AJ$149)</f>
        <v>0</v>
      </c>
      <c r="E1328" s="135">
        <f>SUMIF('6. OPERATION'!$B$17:$B$149,$C1314,'6. OPERATION'!AK$17:AK$149)</f>
        <v>0</v>
      </c>
      <c r="F1328" s="135">
        <f>SUMIF('6. OPERATION'!$B$17:$B$149,$C1314,'6. OPERATION'!AL$17:AL$149)</f>
        <v>0</v>
      </c>
      <c r="G1328" s="135">
        <f>SUMIF('6. OPERATION'!$B$17:$B$149,$C1314,'6. OPERATION'!AM$17:AM$149)</f>
        <v>0</v>
      </c>
      <c r="H1328" s="135">
        <f>SUMIF('6. OPERATION'!$B$17:$B$149,$C1314,'6. OPERATION'!AN$17:AN$149)</f>
        <v>0</v>
      </c>
      <c r="I1328" s="135">
        <f>SUMIF('6. OPERATION'!$B$17:$B$149,$C1314,'6. OPERATION'!AO$17:AO$149)</f>
        <v>0</v>
      </c>
      <c r="J1328" s="135">
        <f>SUMIF('6. OPERATION'!$B$17:$B$149,$C1314,'6. OPERATION'!AP$17:AP$149)</f>
        <v>0</v>
      </c>
      <c r="K1328" s="135">
        <f>SUMIF('6. OPERATION'!$B$17:$B$149,$C1314,'6. OPERATION'!AQ$17:AQ$149)</f>
        <v>0</v>
      </c>
      <c r="L1328" s="135">
        <f>SUMIF('6. OPERATION'!$B$17:$B$149,$C1314,'6. OPERATION'!AR$17:AR$149)</f>
        <v>0</v>
      </c>
      <c r="M1328" s="117">
        <f t="shared" si="290"/>
        <v>0</v>
      </c>
    </row>
    <row r="1329" spans="2:15" s="3" customFormat="1" ht="13.2" x14ac:dyDescent="0.25">
      <c r="B1329" s="753" t="str">
        <f>IF('1. INTRO'!I$2="English",(IF('7. INVEST'!AS$50&gt;0,"Equipment","")),IF('7. INVEST'!AS$50&gt;0,"Utrustning",""))</f>
        <v/>
      </c>
      <c r="C1329" s="760">
        <f>SUMIF('7. INVEST'!$B$17:$B$49,$C1314,'7. INVEST'!AI$17:AI$49)</f>
        <v>0</v>
      </c>
      <c r="D1329" s="760">
        <f>SUMIF('7. INVEST'!$B$17:$B$49,$C1314,'7. INVEST'!AJ$17:AJ$49)</f>
        <v>0</v>
      </c>
      <c r="E1329" s="760">
        <f>SUMIF('7. INVEST'!$B$17:$B$49,$C1314,'7. INVEST'!AK$17:AK$49)</f>
        <v>0</v>
      </c>
      <c r="F1329" s="760">
        <f>SUMIF('7. INVEST'!$B$17:$B$49,$C1314,'7. INVEST'!AL$17:AL$49)</f>
        <v>0</v>
      </c>
      <c r="G1329" s="760">
        <f>SUMIF('7. INVEST'!$B$17:$B$49,$C1314,'7. INVEST'!AM$17:AM$49)</f>
        <v>0</v>
      </c>
      <c r="H1329" s="760">
        <f>SUMIF('7. INVEST'!$B$17:$B$49,$C1314,'7. INVEST'!AN$17:AN$49)</f>
        <v>0</v>
      </c>
      <c r="I1329" s="760">
        <f>SUMIF('7. INVEST'!$B$17:$B$49,$C1314,'7. INVEST'!AO$17:AO$49)</f>
        <v>0</v>
      </c>
      <c r="J1329" s="760">
        <f>SUMIF('7. INVEST'!$B$17:$B$49,$C1314,'7. INVEST'!AP$17:AP$49)</f>
        <v>0</v>
      </c>
      <c r="K1329" s="760">
        <f>SUMIF('7. INVEST'!$B$17:$B$49,$C1314,'7. INVEST'!AQ$17:AQ$49)</f>
        <v>0</v>
      </c>
      <c r="L1329" s="760">
        <f>SUMIF('7. INVEST'!$B$17:$B$49,$C1314,'7. INVEST'!AR$17:AR$49)</f>
        <v>0</v>
      </c>
      <c r="M1329" s="755">
        <f t="shared" si="290"/>
        <v>0</v>
      </c>
    </row>
    <row r="1330" spans="2:15" s="3" customFormat="1" ht="13.2" x14ac:dyDescent="0.25">
      <c r="B1330" s="121" t="str">
        <f>IF('1. INTRO'!I$2="English",(IF('8. FACILIT'!AP$51&gt;0,"Facility","")),IF('8. FACILIT'!AP$51&gt;0,"Lokal",""))</f>
        <v/>
      </c>
      <c r="C1330" s="135">
        <f>SUMIF('5. PERSON'!$B$17:$B$192,$C1314,'5. PERSON'!DB$17:DB$192)+SUMIF('6. OPERATION'!$B$17:$B$149,$C1314,'6. OPERATION'!CE$17:CE$149)+SUMIF('8. FACILIT'!$B$18:$B$50,$C1314,'8. FACILIT'!AF$18:AF$50)</f>
        <v>0</v>
      </c>
      <c r="D1330" s="135">
        <f>SUMIF('5. PERSON'!$B$17:$B$192,$C1314,'5. PERSON'!DC$17:DC$192)+SUMIF('6. OPERATION'!$B$17:$B$149,$C1314,'6. OPERATION'!CF$17:CF$149)+SUMIF('8. FACILIT'!$B$18:$B$50,$C1314,'8. FACILIT'!AG$18:AG$50)</f>
        <v>0</v>
      </c>
      <c r="E1330" s="135">
        <f>SUMIF('5. PERSON'!$B$17:$B$192,$C1314,'5. PERSON'!DD$17:DD$192)+SUMIF('6. OPERATION'!$B$17:$B$149,$C1314,'6. OPERATION'!CG$17:CG$149)+SUMIF('8. FACILIT'!$B$18:$B$50,$C1314,'8. FACILIT'!AH$18:AH$50)</f>
        <v>0</v>
      </c>
      <c r="F1330" s="135">
        <f>SUMIF('5. PERSON'!$B$17:$B$192,$C1314,'5. PERSON'!DE$17:DE$192)+SUMIF('6. OPERATION'!$B$17:$B$149,$C1314,'6. OPERATION'!CH$17:CH$149)+SUMIF('8. FACILIT'!$B$18:$B$50,$C1314,'8. FACILIT'!AI$18:AI$50)</f>
        <v>0</v>
      </c>
      <c r="G1330" s="135">
        <f>SUMIF('5. PERSON'!$B$17:$B$192,$C1314,'5. PERSON'!DF$17:DF$192)+SUMIF('6. OPERATION'!$B$17:$B$149,$C1314,'6. OPERATION'!CI$17:CI$149)+SUMIF('8. FACILIT'!$B$18:$B$50,$C1314,'8. FACILIT'!AJ$18:AJ$50)</f>
        <v>0</v>
      </c>
      <c r="H1330" s="135">
        <f>SUMIF('5. PERSON'!$B$17:$B$192,$C1314,'5. PERSON'!DG$17:DG$192)+SUMIF('6. OPERATION'!$B$17:$B$149,$C1314,'6. OPERATION'!CJ$17:CJ$149)+SUMIF('8. FACILIT'!$B$18:$B$50,$C1314,'8. FACILIT'!AK$18:AK$50)</f>
        <v>0</v>
      </c>
      <c r="I1330" s="135">
        <f>SUMIF('5. PERSON'!$B$17:$B$192,$C1314,'5. PERSON'!DH$17:DH$192)+SUMIF('6. OPERATION'!$B$17:$B$149,$C1314,'6. OPERATION'!CK$17:CK$149)+SUMIF('8. FACILIT'!$B$18:$B$50,$C1314,'8. FACILIT'!AL$18:AL$50)</f>
        <v>0</v>
      </c>
      <c r="J1330" s="135">
        <f>SUMIF('5. PERSON'!$B$17:$B$192,$C1314,'5. PERSON'!DI$17:DI$192)+SUMIF('6. OPERATION'!$B$17:$B$149,$C1314,'6. OPERATION'!CL$17:CL$149)+SUMIF('8. FACILIT'!$B$18:$B$50,$C1314,'8. FACILIT'!AM$18:AM$50)</f>
        <v>0</v>
      </c>
      <c r="K1330" s="135">
        <f>SUMIF('5. PERSON'!$B$17:$B$192,$C1314,'5. PERSON'!DJ$17:DJ$192)+SUMIF('6. OPERATION'!$B$17:$B$149,$C1314,'6. OPERATION'!CM$17:CM$149)+SUMIF('8. FACILIT'!$B$18:$B$50,$C1314,'8. FACILIT'!AN$18:AN$50)</f>
        <v>0</v>
      </c>
      <c r="L1330" s="135">
        <f>SUMIF('5. PERSON'!$B$17:$B$192,$C1314,'5. PERSON'!DK$17:DK$192)+SUMIF('6. OPERATION'!$B$17:$B$149,$C1314,'6. OPERATION'!CN$17:CN$149)+SUMIF('8. FACILIT'!$B$18:$B$50,$C1314,'8. FACILIT'!AO$18:AO$50)</f>
        <v>0</v>
      </c>
      <c r="M1330" s="117">
        <f t="shared" si="290"/>
        <v>0</v>
      </c>
    </row>
    <row r="1331" spans="2:15" s="1" customFormat="1" ht="13.2" x14ac:dyDescent="0.25">
      <c r="B1331" s="756" t="str">
        <f>IF('1. INTRO'!I$2="English",(IF(('5. PERSON'!CN$193+'6. OPERATION'!BQ$150)&gt;0,"Indirect","")),IF(('5. PERSON'!CN$193+'6. OPERATION'!BQ$150)&gt;0,"Indirekt",""))</f>
        <v/>
      </c>
      <c r="C1331" s="757">
        <f>SUMIF('5. PERSON'!$B$17:$B$192,$C1314,'5. PERSON'!CD$17:CD$192)+SUMIF('6. OPERATION'!$B$17:$B$149,$C1314,'6. OPERATION'!BG$17:BG$149)</f>
        <v>0</v>
      </c>
      <c r="D1331" s="757">
        <f>SUMIF('5. PERSON'!$B$17:$B$192,$C1314,'5. PERSON'!CE$17:CE$192)+SUMIF('6. OPERATION'!$B$17:$B$149,$C1314,'6. OPERATION'!BH$17:BH$149)</f>
        <v>0</v>
      </c>
      <c r="E1331" s="757">
        <f>SUMIF('5. PERSON'!$B$17:$B$192,$C1314,'5. PERSON'!CF$17:CF$192)+SUMIF('6. OPERATION'!$B$17:$B$149,$C1314,'6. OPERATION'!BI$17:BI$149)</f>
        <v>0</v>
      </c>
      <c r="F1331" s="757">
        <f>SUMIF('5. PERSON'!$B$17:$B$192,$C1314,'5. PERSON'!CG$17:CG$192)+SUMIF('6. OPERATION'!$B$17:$B$149,$C1314,'6. OPERATION'!BJ$17:BJ$149)</f>
        <v>0</v>
      </c>
      <c r="G1331" s="757">
        <f>SUMIF('5. PERSON'!$B$17:$B$192,$C1314,'5. PERSON'!CH$17:CH$192)+SUMIF('6. OPERATION'!$B$17:$B$149,$C1314,'6. OPERATION'!BK$17:BK$149)</f>
        <v>0</v>
      </c>
      <c r="H1331" s="757">
        <f>SUMIF('5. PERSON'!$B$17:$B$192,$C1314,'5. PERSON'!CI$17:CI$192)+SUMIF('6. OPERATION'!$B$17:$B$149,$C1314,'6. OPERATION'!BL$17:BL$149)</f>
        <v>0</v>
      </c>
      <c r="I1331" s="757">
        <f>SUMIF('5. PERSON'!$B$17:$B$192,$C1314,'5. PERSON'!CJ$17:CJ$192)+SUMIF('6. OPERATION'!$B$17:$B$149,$C1314,'6. OPERATION'!BM$17:BM$149)</f>
        <v>0</v>
      </c>
      <c r="J1331" s="757">
        <f>SUMIF('5. PERSON'!$B$17:$B$192,$C1314,'5. PERSON'!CK$17:CK$192)+SUMIF('6. OPERATION'!$B$17:$B$149,$C1314,'6. OPERATION'!BN$17:BN$149)</f>
        <v>0</v>
      </c>
      <c r="K1331" s="757">
        <f>SUMIF('5. PERSON'!$B$17:$B$192,$C1314,'5. PERSON'!CL$17:CL$192)+SUMIF('6. OPERATION'!$B$17:$B$149,$C1314,'6. OPERATION'!BO$17:BO$149)</f>
        <v>0</v>
      </c>
      <c r="L1331" s="757">
        <f>SUMIF('5. PERSON'!$B$17:$B$192,$C1314,'5. PERSON'!CM$17:CM$192)+SUMIF('6. OPERATION'!$B$17:$B$149,$C1314,'6. OPERATION'!BP$17:BP$149)</f>
        <v>0</v>
      </c>
      <c r="M1331" s="761">
        <f t="shared" si="290"/>
        <v>0</v>
      </c>
    </row>
    <row r="1332" spans="2:15" s="3" customFormat="1" ht="13.2" x14ac:dyDescent="0.25">
      <c r="B1332" s="124" t="s">
        <v>113</v>
      </c>
      <c r="C1332" s="102">
        <f>SUM(C1325:C1331)</f>
        <v>0</v>
      </c>
      <c r="D1332" s="102">
        <f t="shared" ref="D1332:M1332" si="291">SUM(D1325:D1331)</f>
        <v>0</v>
      </c>
      <c r="E1332" s="102">
        <f t="shared" si="291"/>
        <v>0</v>
      </c>
      <c r="F1332" s="102">
        <f t="shared" si="291"/>
        <v>0</v>
      </c>
      <c r="G1332" s="102">
        <f t="shared" si="291"/>
        <v>0</v>
      </c>
      <c r="H1332" s="102">
        <f t="shared" si="291"/>
        <v>0</v>
      </c>
      <c r="I1332" s="102">
        <f t="shared" si="291"/>
        <v>0</v>
      </c>
      <c r="J1332" s="102">
        <f t="shared" si="291"/>
        <v>0</v>
      </c>
      <c r="K1332" s="102">
        <f t="shared" si="291"/>
        <v>0</v>
      </c>
      <c r="L1332" s="102">
        <f t="shared" si="291"/>
        <v>0</v>
      </c>
      <c r="M1332" s="125">
        <f t="shared" si="291"/>
        <v>0</v>
      </c>
      <c r="N1332" s="23"/>
      <c r="O1332" s="23"/>
    </row>
    <row r="1333" spans="2:15" s="3" customFormat="1" ht="6" customHeight="1" x14ac:dyDescent="0.25">
      <c r="B1333" s="136"/>
      <c r="C1333" s="127"/>
      <c r="D1333" s="127"/>
      <c r="E1333" s="127"/>
      <c r="F1333" s="127"/>
      <c r="G1333" s="127"/>
      <c r="H1333" s="127"/>
      <c r="I1333" s="127"/>
      <c r="J1333" s="127"/>
      <c r="K1333" s="127"/>
      <c r="L1333" s="127"/>
      <c r="M1333" s="137"/>
    </row>
    <row r="1334" spans="2:15" s="3" customFormat="1" ht="13.2" x14ac:dyDescent="0.25">
      <c r="B1334" s="129" t="str">
        <f>IF('1. INTRO'!I$2="English","Full cost","Full kostnad")</f>
        <v>Full cost</v>
      </c>
      <c r="C1334" s="127"/>
      <c r="D1334" s="127"/>
      <c r="E1334" s="127"/>
      <c r="F1334" s="127"/>
      <c r="G1334" s="127"/>
      <c r="H1334" s="127"/>
      <c r="I1334" s="127"/>
      <c r="J1334" s="127"/>
      <c r="K1334" s="127"/>
      <c r="L1334" s="127"/>
      <c r="M1334" s="137"/>
    </row>
    <row r="1335" spans="2:15" s="3" customFormat="1" ht="13.2" x14ac:dyDescent="0.25">
      <c r="B1335" s="750" t="str">
        <f>IF('1. INTRO'!I$2="English","Salary including social costs (LKP)","Lön inklusive LKP")</f>
        <v>Salary including social costs (LKP)</v>
      </c>
      <c r="C1335" s="762">
        <f>C1317+C1326+C1327</f>
        <v>0</v>
      </c>
      <c r="D1335" s="762">
        <f t="shared" ref="D1335:L1335" si="292">D1317+D1326+D1327</f>
        <v>0</v>
      </c>
      <c r="E1335" s="762">
        <f t="shared" si="292"/>
        <v>0</v>
      </c>
      <c r="F1335" s="762">
        <f t="shared" si="292"/>
        <v>0</v>
      </c>
      <c r="G1335" s="762">
        <f t="shared" si="292"/>
        <v>0</v>
      </c>
      <c r="H1335" s="762">
        <f t="shared" si="292"/>
        <v>0</v>
      </c>
      <c r="I1335" s="762">
        <f t="shared" si="292"/>
        <v>0</v>
      </c>
      <c r="J1335" s="762">
        <f t="shared" si="292"/>
        <v>0</v>
      </c>
      <c r="K1335" s="762">
        <f t="shared" si="292"/>
        <v>0</v>
      </c>
      <c r="L1335" s="762">
        <f t="shared" si="292"/>
        <v>0</v>
      </c>
      <c r="M1335" s="752">
        <f>SUM(C1335:L1335)</f>
        <v>0</v>
      </c>
    </row>
    <row r="1336" spans="2:15" s="3" customFormat="1" ht="13.2" x14ac:dyDescent="0.25">
      <c r="B1336" s="80" t="str">
        <f>IF('1. INTRO'!I$2="English","Operating","Drift")</f>
        <v>Operating</v>
      </c>
      <c r="C1336" s="139">
        <f>C1318+C1328</f>
        <v>0</v>
      </c>
      <c r="D1336" s="139">
        <f t="shared" ref="D1336:L1336" si="293">D1318+D1328</f>
        <v>0</v>
      </c>
      <c r="E1336" s="139">
        <f t="shared" si="293"/>
        <v>0</v>
      </c>
      <c r="F1336" s="139">
        <f t="shared" si="293"/>
        <v>0</v>
      </c>
      <c r="G1336" s="139">
        <f t="shared" si="293"/>
        <v>0</v>
      </c>
      <c r="H1336" s="139">
        <f t="shared" si="293"/>
        <v>0</v>
      </c>
      <c r="I1336" s="139">
        <f t="shared" si="293"/>
        <v>0</v>
      </c>
      <c r="J1336" s="139">
        <f t="shared" si="293"/>
        <v>0</v>
      </c>
      <c r="K1336" s="139">
        <f t="shared" si="293"/>
        <v>0</v>
      </c>
      <c r="L1336" s="139">
        <f t="shared" si="293"/>
        <v>0</v>
      </c>
      <c r="M1336" s="117">
        <f>SUM(C1336:L1336)</f>
        <v>0</v>
      </c>
    </row>
    <row r="1337" spans="2:15" s="3" customFormat="1" ht="13.2" x14ac:dyDescent="0.25">
      <c r="B1337" s="753" t="str">
        <f>IF('1. INTRO'!I$2="English","Equipment","Utrustning")</f>
        <v>Equipment</v>
      </c>
      <c r="C1337" s="763">
        <f>C1319+C1329</f>
        <v>0</v>
      </c>
      <c r="D1337" s="763">
        <f t="shared" ref="D1337:L1337" si="294">D1319+D1329</f>
        <v>0</v>
      </c>
      <c r="E1337" s="763">
        <f t="shared" si="294"/>
        <v>0</v>
      </c>
      <c r="F1337" s="763">
        <f t="shared" si="294"/>
        <v>0</v>
      </c>
      <c r="G1337" s="763">
        <f t="shared" si="294"/>
        <v>0</v>
      </c>
      <c r="H1337" s="763">
        <f t="shared" si="294"/>
        <v>0</v>
      </c>
      <c r="I1337" s="763">
        <f t="shared" si="294"/>
        <v>0</v>
      </c>
      <c r="J1337" s="763">
        <f t="shared" si="294"/>
        <v>0</v>
      </c>
      <c r="K1337" s="763">
        <f t="shared" si="294"/>
        <v>0</v>
      </c>
      <c r="L1337" s="763">
        <f t="shared" si="294"/>
        <v>0</v>
      </c>
      <c r="M1337" s="755">
        <f>SUM(C1337:L1337)</f>
        <v>0</v>
      </c>
    </row>
    <row r="1338" spans="2:15" s="3" customFormat="1" ht="13.2" x14ac:dyDescent="0.25">
      <c r="B1338" s="80" t="str">
        <f>IF('1. INTRO'!I$2="English","Facility","Lokal")</f>
        <v>Facility</v>
      </c>
      <c r="C1338" s="139">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39">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39">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39">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39">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39">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39">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39">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39">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39">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117">
        <f>SUM(C1338:L1338)</f>
        <v>0</v>
      </c>
    </row>
    <row r="1339" spans="2:15" s="3" customFormat="1" ht="13.2" x14ac:dyDescent="0.25">
      <c r="B1339" s="764" t="str">
        <f>IF('1. INTRO'!I$2="English","Indirect","Indirekt")</f>
        <v>Indirect</v>
      </c>
      <c r="C1339" s="765">
        <f>SUMIF('5. PERSON'!$B$17:$B$192,$C1314,'5. PERSON'!BR$17:BR$192)+SUMIF('5. PERSON'!$B$17:$B$192,$C1314,'5. PERSON'!CD$17:CD$192)+SUMIF('6. OPERATION'!$B$17:$B$149,$C1314,'6. OPERATION'!AU$17:AU$149)+SUMIF('6. OPERATION'!$B$17:$B$149,$C1314,'6. OPERATION'!BG$17:BG$149)</f>
        <v>0</v>
      </c>
      <c r="D1339" s="765">
        <f>SUMIF('5. PERSON'!$B$17:$B$192,$C1314,'5. PERSON'!BS$17:BS$192)+SUMIF('5. PERSON'!$B$17:$B$192,$C1314,'5. PERSON'!CE$17:CE$192)+SUMIF('6. OPERATION'!$B$17:$B$149,$C1314,'6. OPERATION'!AV$17:AV$149)+SUMIF('6. OPERATION'!$B$17:$B$149,$C1314,'6. OPERATION'!BH$17:BH$149)</f>
        <v>0</v>
      </c>
      <c r="E1339" s="765">
        <f>SUMIF('5. PERSON'!$B$17:$B$192,$C1314,'5. PERSON'!BT$17:BT$192)+SUMIF('5. PERSON'!$B$17:$B$192,$C1314,'5. PERSON'!CF$17:CF$192)+SUMIF('6. OPERATION'!$B$17:$B$149,$C1314,'6. OPERATION'!AW$17:AW$149)+SUMIF('6. OPERATION'!$B$17:$B$149,$C1314,'6. OPERATION'!BI$17:BI$149)</f>
        <v>0</v>
      </c>
      <c r="F1339" s="765">
        <f>SUMIF('5. PERSON'!$B$17:$B$192,$C1314,'5. PERSON'!BU$17:BU$192)+SUMIF('5. PERSON'!$B$17:$B$192,$C1314,'5. PERSON'!CG$17:CG$192)+SUMIF('6. OPERATION'!$B$17:$B$149,$C1314,'6. OPERATION'!AX$17:AX$149)+SUMIF('6. OPERATION'!$B$17:$B$149,$C1314,'6. OPERATION'!BJ$17:BJ$149)</f>
        <v>0</v>
      </c>
      <c r="G1339" s="765">
        <f>SUMIF('5. PERSON'!$B$17:$B$192,$C1314,'5. PERSON'!BV$17:BV$192)+SUMIF('5. PERSON'!$B$17:$B$192,$C1314,'5. PERSON'!CH$17:CH$192)+SUMIF('6. OPERATION'!$B$17:$B$149,$C1314,'6. OPERATION'!AY$17:AY$149)+SUMIF('6. OPERATION'!$B$17:$B$149,$C1314,'6. OPERATION'!BK$17:BK$149)</f>
        <v>0</v>
      </c>
      <c r="H1339" s="765">
        <f>SUMIF('5. PERSON'!$B$17:$B$192,$C1314,'5. PERSON'!BW$17:BW$192)+SUMIF('5. PERSON'!$B$17:$B$192,$C1314,'5. PERSON'!CI$17:CI$192)+SUMIF('6. OPERATION'!$B$17:$B$149,$C1314,'6. OPERATION'!AZ$17:AZ$149)+SUMIF('6. OPERATION'!$B$17:$B$149,$C1314,'6. OPERATION'!BL$17:BL$149)</f>
        <v>0</v>
      </c>
      <c r="I1339" s="765">
        <f>SUMIF('5. PERSON'!$B$17:$B$192,$C1314,'5. PERSON'!BX$17:BX$192)+SUMIF('5. PERSON'!$B$17:$B$192,$C1314,'5. PERSON'!CJ$17:CJ$192)+SUMIF('6. OPERATION'!$B$17:$B$149,$C1314,'6. OPERATION'!BA$17:BA$149)+SUMIF('6. OPERATION'!$B$17:$B$149,$C1314,'6. OPERATION'!BM$17:BM$149)</f>
        <v>0</v>
      </c>
      <c r="J1339" s="765">
        <f>SUMIF('5. PERSON'!$B$17:$B$192,$C1314,'5. PERSON'!BY$17:BY$192)+SUMIF('5. PERSON'!$B$17:$B$192,$C1314,'5. PERSON'!CK$17:CK$192)+SUMIF('6. OPERATION'!$B$17:$B$149,$C1314,'6. OPERATION'!BB$17:BB$149)+SUMIF('6. OPERATION'!$B$17:$B$149,$C1314,'6. OPERATION'!BN$17:BN$149)</f>
        <v>0</v>
      </c>
      <c r="K1339" s="765">
        <f>SUMIF('5. PERSON'!$B$17:$B$192,$C1314,'5. PERSON'!BZ$17:BZ$192)+SUMIF('5. PERSON'!$B$17:$B$192,$C1314,'5. PERSON'!CL$17:CL$192)+SUMIF('6. OPERATION'!$B$17:$B$149,$C1314,'6. OPERATION'!BC$17:BC$149)+SUMIF('6. OPERATION'!$B$17:$B$149,$C1314,'6. OPERATION'!BO$17:BO$149)</f>
        <v>0</v>
      </c>
      <c r="L1339" s="765">
        <f>SUMIF('5. PERSON'!$B$17:$B$192,$C1314,'5. PERSON'!CA$17:CA$192)+SUMIF('5. PERSON'!$B$17:$B$192,$C1314,'5. PERSON'!CM$17:CM$192)+SUMIF('6. OPERATION'!$B$17:$B$149,$C1314,'6. OPERATION'!BD$17:BD$149)+SUMIF('6. OPERATION'!$B$17:$B$149,$C1314,'6. OPERATION'!BP$17:BP$149)</f>
        <v>0</v>
      </c>
      <c r="M1339" s="761">
        <f>SUM(C1339:L1339)</f>
        <v>0</v>
      </c>
    </row>
    <row r="1340" spans="2:15" s="3" customFormat="1" ht="13.2" x14ac:dyDescent="0.25">
      <c r="B1340" s="124" t="s">
        <v>113</v>
      </c>
      <c r="C1340" s="88">
        <f>SUM(C1335:C1339)</f>
        <v>0</v>
      </c>
      <c r="D1340" s="88">
        <f t="shared" ref="D1340:M1340" si="295">SUM(D1335:D1339)</f>
        <v>0</v>
      </c>
      <c r="E1340" s="88">
        <f t="shared" si="295"/>
        <v>0</v>
      </c>
      <c r="F1340" s="88">
        <f t="shared" si="295"/>
        <v>0</v>
      </c>
      <c r="G1340" s="88">
        <f t="shared" si="295"/>
        <v>0</v>
      </c>
      <c r="H1340" s="88">
        <f t="shared" si="295"/>
        <v>0</v>
      </c>
      <c r="I1340" s="88">
        <f t="shared" si="295"/>
        <v>0</v>
      </c>
      <c r="J1340" s="88">
        <f t="shared" si="295"/>
        <v>0</v>
      </c>
      <c r="K1340" s="88">
        <f t="shared" si="295"/>
        <v>0</v>
      </c>
      <c r="L1340" s="88">
        <f t="shared" si="295"/>
        <v>0</v>
      </c>
      <c r="M1340" s="142">
        <f t="shared" si="295"/>
        <v>0</v>
      </c>
    </row>
    <row r="1341" spans="2:15" s="3" customFormat="1" ht="13.2" x14ac:dyDescent="0.25">
      <c r="B1341" s="287"/>
      <c r="C1341" s="37"/>
      <c r="D1341" s="37"/>
      <c r="E1341" s="37"/>
      <c r="F1341" s="37"/>
      <c r="G1341" s="37"/>
      <c r="H1341" s="37"/>
      <c r="I1341" s="37"/>
      <c r="J1341" s="37"/>
      <c r="K1341" s="37"/>
      <c r="L1341" s="37"/>
      <c r="M1341" s="37"/>
    </row>
    <row r="1342" spans="2:15" s="3" customFormat="1" ht="12.75" customHeight="1" x14ac:dyDescent="0.25">
      <c r="B1342" s="656" t="str">
        <f>IF('1. INTRO'!I$2="English","Co-funding share in full cost ","Medfinansieringsandel i full kostnad ")</f>
        <v xml:space="preserve">Co-funding share in full cost </v>
      </c>
      <c r="C1342" s="143" t="str">
        <f t="shared" ref="C1342:M1342" si="296">IF(C1340&gt;0,C1332/C1340,"")</f>
        <v/>
      </c>
      <c r="D1342" s="143" t="str">
        <f t="shared" si="296"/>
        <v/>
      </c>
      <c r="E1342" s="143" t="str">
        <f t="shared" si="296"/>
        <v/>
      </c>
      <c r="F1342" s="143" t="str">
        <f t="shared" si="296"/>
        <v/>
      </c>
      <c r="G1342" s="143" t="str">
        <f t="shared" si="296"/>
        <v/>
      </c>
      <c r="H1342" s="143" t="str">
        <f t="shared" si="296"/>
        <v/>
      </c>
      <c r="I1342" s="143" t="str">
        <f t="shared" si="296"/>
        <v/>
      </c>
      <c r="J1342" s="143" t="str">
        <f t="shared" si="296"/>
        <v/>
      </c>
      <c r="K1342" s="143" t="str">
        <f t="shared" si="296"/>
        <v/>
      </c>
      <c r="L1342" s="143" t="str">
        <f t="shared" si="296"/>
        <v/>
      </c>
      <c r="M1342" s="143" t="str">
        <f t="shared" si="296"/>
        <v/>
      </c>
    </row>
    <row r="1343" spans="2:15" ht="12.75" customHeight="1" x14ac:dyDescent="0.2"/>
    <row r="1344" spans="2:15" ht="12.75" customHeight="1" x14ac:dyDescent="0.25">
      <c r="D1344" s="656" t="str">
        <f>IF('1. INTRO'!I$2="English","Co-funding need in average per year: ","Medfinansieringsbehov i genomsnitt per år: ")</f>
        <v xml:space="preserve">Co-funding need in average per year: </v>
      </c>
      <c r="E1344" s="766" t="str">
        <f>IF(M1332=0,"",M1332/(DATEDIF('2. START'!C$18,'2. START'!C$19,"d")/365))</f>
        <v/>
      </c>
      <c r="H1344" s="656" t="str">
        <f>IF('1. INTRO'!I$2="English","Co-funding need 1/3 of total: ","Medfinansieringsbehov 1/3 av totalt: ")</f>
        <v xml:space="preserve">Co-funding need 1/3 of total: </v>
      </c>
      <c r="I1344" s="766">
        <f>M1332/3</f>
        <v>0</v>
      </c>
      <c r="L1344" s="287" t="str">
        <f>IF('1. INTRO'!I$2="English","Co-funding need total: ","Medfinansieringsbehov totalt: ")</f>
        <v xml:space="preserve">Co-funding need total: </v>
      </c>
      <c r="M1344" s="766">
        <f>M1332</f>
        <v>0</v>
      </c>
    </row>
    <row r="1345" spans="2:13" ht="12.75" customHeight="1" x14ac:dyDescent="0.25">
      <c r="B1345" s="53" t="str">
        <f>IF('1. INTRO'!I$2="English","Co-funding sources","Medfinansieringskällor")</f>
        <v>Co-funding sources</v>
      </c>
    </row>
    <row r="1346" spans="2:13" ht="12.75" customHeight="1" x14ac:dyDescent="0.25">
      <c r="B1346" s="225"/>
      <c r="C1346" s="226"/>
      <c r="D1346" s="226"/>
      <c r="E1346" s="226"/>
      <c r="F1346" s="226"/>
      <c r="G1346" s="226"/>
      <c r="H1346" s="226"/>
      <c r="I1346" s="226"/>
      <c r="J1346" s="226"/>
      <c r="K1346" s="226"/>
      <c r="L1346" s="227"/>
      <c r="M1346" s="168">
        <f>SUM(C1346:L1346)</f>
        <v>0</v>
      </c>
    </row>
    <row r="1347" spans="2:13" ht="12.75" customHeight="1" x14ac:dyDescent="0.25">
      <c r="B1347" s="228"/>
      <c r="C1347" s="229"/>
      <c r="D1347" s="229"/>
      <c r="E1347" s="229"/>
      <c r="F1347" s="229"/>
      <c r="G1347" s="229"/>
      <c r="H1347" s="229"/>
      <c r="I1347" s="229"/>
      <c r="J1347" s="229"/>
      <c r="K1347" s="229"/>
      <c r="L1347" s="230"/>
      <c r="M1347" s="755">
        <f t="shared" ref="M1347:M1350" si="297">SUM(C1347:L1347)</f>
        <v>0</v>
      </c>
    </row>
    <row r="1348" spans="2:13" ht="12.75" customHeight="1" x14ac:dyDescent="0.25">
      <c r="B1348" s="231"/>
      <c r="C1348" s="232"/>
      <c r="D1348" s="232"/>
      <c r="E1348" s="232"/>
      <c r="F1348" s="232"/>
      <c r="G1348" s="232"/>
      <c r="H1348" s="232"/>
      <c r="I1348" s="232"/>
      <c r="J1348" s="232"/>
      <c r="K1348" s="232"/>
      <c r="L1348" s="233"/>
      <c r="M1348" s="117">
        <f t="shared" si="297"/>
        <v>0</v>
      </c>
    </row>
    <row r="1349" spans="2:13" ht="12.75" customHeight="1" x14ac:dyDescent="0.25">
      <c r="B1349" s="228"/>
      <c r="C1349" s="229"/>
      <c r="D1349" s="229"/>
      <c r="E1349" s="229"/>
      <c r="F1349" s="229"/>
      <c r="G1349" s="229"/>
      <c r="H1349" s="229"/>
      <c r="I1349" s="229"/>
      <c r="J1349" s="229"/>
      <c r="K1349" s="229"/>
      <c r="L1349" s="230"/>
      <c r="M1349" s="755">
        <f t="shared" si="297"/>
        <v>0</v>
      </c>
    </row>
    <row r="1350" spans="2:13" ht="12.75" customHeight="1" x14ac:dyDescent="0.25">
      <c r="B1350" s="93"/>
      <c r="C1350" s="232"/>
      <c r="D1350" s="232"/>
      <c r="E1350" s="232"/>
      <c r="F1350" s="232"/>
      <c r="G1350" s="232"/>
      <c r="H1350" s="232"/>
      <c r="I1350" s="232"/>
      <c r="J1350" s="232"/>
      <c r="K1350" s="232"/>
      <c r="L1350" s="233"/>
      <c r="M1350" s="117">
        <f t="shared" si="297"/>
        <v>0</v>
      </c>
    </row>
    <row r="1351" spans="2:13" ht="12.75" customHeight="1" x14ac:dyDescent="0.25">
      <c r="B1351" s="84" t="str">
        <f>IF('1. INTRO'!I$2="English","Total co-funding ","Total medfinansiering ")</f>
        <v xml:space="preserve">Total co-funding </v>
      </c>
      <c r="C1351" s="87">
        <f t="shared" ref="C1351:M1351" si="298">SUM(C1346:C1350)</f>
        <v>0</v>
      </c>
      <c r="D1351" s="87">
        <f t="shared" si="298"/>
        <v>0</v>
      </c>
      <c r="E1351" s="87">
        <f t="shared" si="298"/>
        <v>0</v>
      </c>
      <c r="F1351" s="87">
        <f t="shared" si="298"/>
        <v>0</v>
      </c>
      <c r="G1351" s="87">
        <f t="shared" si="298"/>
        <v>0</v>
      </c>
      <c r="H1351" s="87">
        <f t="shared" si="298"/>
        <v>0</v>
      </c>
      <c r="I1351" s="87">
        <f t="shared" si="298"/>
        <v>0</v>
      </c>
      <c r="J1351" s="87">
        <f t="shared" si="298"/>
        <v>0</v>
      </c>
      <c r="K1351" s="87">
        <f t="shared" si="298"/>
        <v>0</v>
      </c>
      <c r="L1351" s="87">
        <f t="shared" si="298"/>
        <v>0</v>
      </c>
      <c r="M1351" s="142">
        <f t="shared" si="298"/>
        <v>0</v>
      </c>
    </row>
    <row r="1352" spans="2:13" ht="12.75" customHeight="1" x14ac:dyDescent="0.2"/>
    <row r="1353" spans="2:13" ht="12.75" customHeight="1" x14ac:dyDescent="0.2">
      <c r="B1353" s="667" t="str">
        <f>IF('1. INTRO'!I$2="English","Calculation comments","Kalkylkommentarer")</f>
        <v>Calculation comments</v>
      </c>
    </row>
    <row r="1354" spans="2:13" ht="12.75" customHeight="1" x14ac:dyDescent="0.2">
      <c r="B1354" s="1142"/>
      <c r="C1354" s="1143"/>
      <c r="D1354" s="1143"/>
      <c r="E1354" s="1143"/>
      <c r="F1354" s="1143"/>
      <c r="G1354" s="1143"/>
      <c r="H1354" s="1143"/>
      <c r="I1354" s="1143"/>
      <c r="J1354" s="1143"/>
      <c r="K1354" s="1143"/>
      <c r="L1354" s="1143"/>
      <c r="M1354" s="1144"/>
    </row>
    <row r="1355" spans="2:13" ht="12.75" customHeight="1" x14ac:dyDescent="0.2">
      <c r="B1355" s="1145"/>
      <c r="C1355" s="1226"/>
      <c r="D1355" s="1226"/>
      <c r="E1355" s="1226"/>
      <c r="F1355" s="1226"/>
      <c r="G1355" s="1226"/>
      <c r="H1355" s="1226"/>
      <c r="I1355" s="1226"/>
      <c r="J1355" s="1226"/>
      <c r="K1355" s="1226"/>
      <c r="L1355" s="1226"/>
      <c r="M1355" s="1147"/>
    </row>
    <row r="1356" spans="2:13" ht="12.75" customHeight="1" x14ac:dyDescent="0.2">
      <c r="B1356" s="1145"/>
      <c r="C1356" s="1226"/>
      <c r="D1356" s="1226"/>
      <c r="E1356" s="1226"/>
      <c r="F1356" s="1226"/>
      <c r="G1356" s="1226"/>
      <c r="H1356" s="1226"/>
      <c r="I1356" s="1226"/>
      <c r="J1356" s="1226"/>
      <c r="K1356" s="1226"/>
      <c r="L1356" s="1226"/>
      <c r="M1356" s="1147"/>
    </row>
    <row r="1357" spans="2:13" ht="12.75" customHeight="1" x14ac:dyDescent="0.2">
      <c r="B1357" s="1145"/>
      <c r="C1357" s="1226"/>
      <c r="D1357" s="1226"/>
      <c r="E1357" s="1226"/>
      <c r="F1357" s="1226"/>
      <c r="G1357" s="1226"/>
      <c r="H1357" s="1226"/>
      <c r="I1357" s="1226"/>
      <c r="J1357" s="1226"/>
      <c r="K1357" s="1226"/>
      <c r="L1357" s="1226"/>
      <c r="M1357" s="1147"/>
    </row>
    <row r="1358" spans="2:13" ht="12.75" customHeight="1" x14ac:dyDescent="0.2">
      <c r="B1358" s="1148"/>
      <c r="C1358" s="1149"/>
      <c r="D1358" s="1149"/>
      <c r="E1358" s="1149"/>
      <c r="F1358" s="1149"/>
      <c r="G1358" s="1149"/>
      <c r="H1358" s="1149"/>
      <c r="I1358" s="1149"/>
      <c r="J1358" s="1149"/>
      <c r="K1358" s="1149"/>
      <c r="L1358" s="1149"/>
      <c r="M1358" s="1150"/>
    </row>
    <row r="1360" spans="2:13" s="3" customFormat="1" ht="12.75" customHeight="1" x14ac:dyDescent="0.25">
      <c r="B1360" s="313" t="str">
        <f>'3. PARTNER'!C$4</f>
        <v xml:space="preserve">Project: </v>
      </c>
      <c r="C1360" s="1062" t="str">
        <f>'3. PARTNER'!D$4</f>
        <v/>
      </c>
      <c r="D1360" s="1001"/>
      <c r="E1360" s="1001"/>
      <c r="F1360" s="1001"/>
      <c r="G1360" s="1001"/>
      <c r="H1360" s="1001"/>
      <c r="I1360" s="1001"/>
      <c r="J1360" s="1001"/>
      <c r="K1360" s="1001"/>
      <c r="L1360" s="1001"/>
      <c r="M1360" s="1001"/>
    </row>
    <row r="1361" spans="2:15" s="3" customFormat="1" ht="13.2" x14ac:dyDescent="0.25">
      <c r="B1361" s="313" t="str">
        <f>'3. PARTNER'!C$5</f>
        <v xml:space="preserve">Calculation for: </v>
      </c>
      <c r="C1361" s="1062" t="str">
        <f>'3. PARTNER'!D$5</f>
        <v>APPLICATION</v>
      </c>
      <c r="D1361" s="1001"/>
      <c r="E1361" s="268"/>
      <c r="F1361" s="268"/>
      <c r="G1361" s="268"/>
      <c r="H1361" s="268"/>
      <c r="I1361" s="268"/>
      <c r="J1361" s="268"/>
      <c r="K1361" s="268"/>
      <c r="L1361" s="268"/>
      <c r="M1361" s="268"/>
    </row>
    <row r="1362" spans="2:15" s="3" customFormat="1" ht="13.2" x14ac:dyDescent="0.25">
      <c r="B1362" s="35" t="str">
        <f>'3. PARTNER'!C$6</f>
        <v xml:space="preserve">Project leader: </v>
      </c>
      <c r="C1362" s="1062" t="str">
        <f>'3. PARTNER'!D$6</f>
        <v/>
      </c>
      <c r="D1362" s="1001"/>
      <c r="E1362" s="1001"/>
      <c r="F1362" s="1001"/>
      <c r="G1362" s="1001"/>
      <c r="H1362" s="1001"/>
      <c r="I1362" s="1001"/>
      <c r="J1362" s="1001"/>
      <c r="K1362" s="1001"/>
      <c r="L1362" s="1001"/>
      <c r="M1362" s="1001"/>
    </row>
    <row r="1363" spans="2:15" s="3" customFormat="1" ht="13.2" x14ac:dyDescent="0.25">
      <c r="B1363" s="313" t="str">
        <f>'5. PERSON'!B$7</f>
        <v xml:space="preserve">Amounts in: </v>
      </c>
      <c r="C1363" s="655" t="str">
        <f>'5. PERSON'!C$7</f>
        <v>SEK</v>
      </c>
      <c r="D1363" s="268"/>
      <c r="E1363" s="268"/>
      <c r="F1363" s="268"/>
      <c r="G1363" s="234"/>
      <c r="H1363" s="234"/>
      <c r="I1363" s="270"/>
      <c r="J1363" s="270"/>
      <c r="K1363" s="270"/>
      <c r="L1363" s="270"/>
      <c r="M1363" s="270"/>
    </row>
    <row r="1364" spans="2:15" s="3" customFormat="1" ht="13.2" x14ac:dyDescent="0.25">
      <c r="B1364" s="313"/>
      <c r="C1364" s="1053" t="str">
        <f>'3. PARTNER'!D$7</f>
        <v>Other basic data about the project is in sheet 2.</v>
      </c>
      <c r="D1364" s="1001"/>
      <c r="E1364" s="1001"/>
      <c r="F1364" s="1001"/>
      <c r="G1364" s="234"/>
      <c r="H1364" s="234"/>
      <c r="I1364" s="270"/>
      <c r="J1364" s="270"/>
      <c r="K1364" s="270"/>
      <c r="L1364" s="251" t="s">
        <v>4</v>
      </c>
      <c r="M1364" s="270"/>
    </row>
    <row r="1365" spans="2:15" ht="12.75" customHeight="1" x14ac:dyDescent="0.2">
      <c r="J1365" s="252" t="s">
        <v>322</v>
      </c>
      <c r="K1365" s="252" t="s">
        <v>323</v>
      </c>
      <c r="L1365" s="252" t="str">
        <f>IF('1. INTRO'!I$2="English","months","månader")</f>
        <v>months</v>
      </c>
    </row>
    <row r="1366" spans="2:15" s="3" customFormat="1" ht="13.8" x14ac:dyDescent="0.25">
      <c r="B1366" s="157" t="str">
        <f>IF('1. INTRO'!I$2="English","Project costs","Projektkostnader")</f>
        <v>Project costs</v>
      </c>
      <c r="C1366" s="157" t="str">
        <f>A40</f>
        <v>251S</v>
      </c>
      <c r="D1366" s="1259" t="str">
        <f>B40</f>
        <v>Wildlife, Fish and Environmental Studies</v>
      </c>
      <c r="E1366" s="1004"/>
      <c r="F1366" s="1004"/>
      <c r="G1366" s="1004"/>
      <c r="H1366" s="37"/>
      <c r="I1366" s="37"/>
      <c r="J1366" s="643"/>
      <c r="K1366" s="643"/>
      <c r="L1366" s="642">
        <f>SUMIF('5. PERSON'!$B$17:$B$192,$C1366,'5. PERSON'!AE$17:AE$192)</f>
        <v>0</v>
      </c>
      <c r="M1366" s="680" t="s">
        <v>330</v>
      </c>
    </row>
    <row r="1367" spans="2:15" s="3" customFormat="1" ht="6" customHeight="1" x14ac:dyDescent="0.25">
      <c r="B1367" s="57"/>
      <c r="C1367" s="37"/>
      <c r="D1367" s="37"/>
      <c r="E1367" s="37"/>
      <c r="F1367" s="37"/>
      <c r="G1367" s="37"/>
      <c r="H1367" s="37"/>
      <c r="I1367" s="37"/>
      <c r="J1367" s="37"/>
      <c r="K1367" s="37"/>
      <c r="L1367" s="37"/>
      <c r="M1367" s="37"/>
    </row>
    <row r="1368" spans="2:15" s="3" customFormat="1" ht="13.2" x14ac:dyDescent="0.25">
      <c r="B1368" s="110" t="str">
        <f>IF('1. INTRO'!I$2="English","Costs to be covered by funding body","Kostnader att täckas av finansiär")</f>
        <v>Costs to be covered by funding body</v>
      </c>
      <c r="C1368" s="111">
        <f>'5. PERSON'!G$15</f>
        <v>1900</v>
      </c>
      <c r="D1368" s="111" t="str">
        <f>'5. PERSON'!H$15</f>
        <v/>
      </c>
      <c r="E1368" s="111" t="str">
        <f>'5. PERSON'!I$15</f>
        <v/>
      </c>
      <c r="F1368" s="111" t="str">
        <f>'5. PERSON'!J$15</f>
        <v/>
      </c>
      <c r="G1368" s="111" t="str">
        <f>'5. PERSON'!K$15</f>
        <v/>
      </c>
      <c r="H1368" s="111" t="str">
        <f>'5. PERSON'!L$15</f>
        <v/>
      </c>
      <c r="I1368" s="111" t="str">
        <f>'5. PERSON'!M$15</f>
        <v/>
      </c>
      <c r="J1368" s="111" t="str">
        <f>'5. PERSON'!N$15</f>
        <v/>
      </c>
      <c r="K1368" s="111" t="str">
        <f>'5. PERSON'!O$15</f>
        <v/>
      </c>
      <c r="L1368" s="111" t="str">
        <f>'5. PERSON'!P$15</f>
        <v/>
      </c>
      <c r="M1368" s="112" t="s">
        <v>2</v>
      </c>
    </row>
    <row r="1369" spans="2:15" s="3" customFormat="1" ht="12.75" customHeight="1" x14ac:dyDescent="0.25">
      <c r="B1369" s="750" t="str">
        <f>IF('1. INTRO'!I$2="English","Salary including social costs (LKP)","Lön inklusive LKP")</f>
        <v>Salary including social costs (LKP)</v>
      </c>
      <c r="C1369" s="751">
        <f>IF('2. START'!$C$14&gt;0,SUMIF('5. PERSON'!$B$17:$B$192,$C1366,'5. PERSON'!DN$17:DN$192),SUMIF('5. PERSON'!$B$17:$B$192,$C1366,'5. PERSON'!AT$17:AT$192))</f>
        <v>0</v>
      </c>
      <c r="D1369" s="751">
        <f>IF('2. START'!$C$14&gt;0,SUMIF('5. PERSON'!$B$17:$B$192,$C1366,'5. PERSON'!DO$17:DO$192),SUMIF('5. PERSON'!$B$17:$B$192,$C1366,'5. PERSON'!AU$17:AU$192))</f>
        <v>0</v>
      </c>
      <c r="E1369" s="751">
        <f>IF('2. START'!$C$14&gt;0,SUMIF('5. PERSON'!$B$17:$B$192,$C1366,'5. PERSON'!DP$17:DP$192),SUMIF('5. PERSON'!$B$17:$B$192,$C1366,'5. PERSON'!AV$17:AV$192))</f>
        <v>0</v>
      </c>
      <c r="F1369" s="751">
        <f>IF('2. START'!$C$14&gt;0,SUMIF('5. PERSON'!$B$17:$B$192,$C1366,'5. PERSON'!DQ$17:DQ$192),SUMIF('5. PERSON'!$B$17:$B$192,$C1366,'5. PERSON'!AW$17:AW$192))</f>
        <v>0</v>
      </c>
      <c r="G1369" s="751">
        <f>IF('2. START'!$C$14&gt;0,SUMIF('5. PERSON'!$B$17:$B$192,$C1366,'5. PERSON'!DR$17:DR$192),SUMIF('5. PERSON'!$B$17:$B$192,$C1366,'5. PERSON'!AX$17:AX$192))</f>
        <v>0</v>
      </c>
      <c r="H1369" s="751">
        <f>IF('2. START'!$C$14&gt;0,SUMIF('5. PERSON'!$B$17:$B$192,$C1366,'5. PERSON'!DS$17:DS$192),SUMIF('5. PERSON'!$B$17:$B$192,$C1366,'5. PERSON'!AY$17:AY$192))</f>
        <v>0</v>
      </c>
      <c r="I1369" s="751">
        <f>IF('2. START'!$C$14&gt;0,SUMIF('5. PERSON'!$B$17:$B$192,$C1366,'5. PERSON'!DT$17:DT$192),SUMIF('5. PERSON'!$B$17:$B$192,$C1366,'5. PERSON'!AZ$17:AZ$192))</f>
        <v>0</v>
      </c>
      <c r="J1369" s="751">
        <f>IF('2. START'!$C$14&gt;0,SUMIF('5. PERSON'!$B$17:$B$192,$C1366,'5. PERSON'!DU$17:DU$192),SUMIF('5. PERSON'!$B$17:$B$192,$C1366,'5. PERSON'!BA$17:BA$192))</f>
        <v>0</v>
      </c>
      <c r="K1369" s="751">
        <f>IF('2. START'!$C$14&gt;0,SUMIF('5. PERSON'!$B$17:$B$192,$C1366,'5. PERSON'!DV$17:DV$192),SUMIF('5. PERSON'!$B$17:$B$192,$C1366,'5. PERSON'!BB$17:BB$192))</f>
        <v>0</v>
      </c>
      <c r="L1369" s="751">
        <f>IF('2. START'!$C$14&gt;0,SUMIF('5. PERSON'!$B$17:$B$192,$C1366,'5. PERSON'!DW$17:DW$192),SUMIF('5. PERSON'!$B$17:$B$192,$C1366,'5. PERSON'!BC$17:BC$192))</f>
        <v>0</v>
      </c>
      <c r="M1369" s="752">
        <f t="shared" ref="M1369:M1374" si="299">SUM(C1369:L1369)</f>
        <v>0</v>
      </c>
      <c r="O1369" s="4"/>
    </row>
    <row r="1370" spans="2:15" s="3" customFormat="1" ht="12.75" customHeight="1" x14ac:dyDescent="0.25">
      <c r="B1370" s="80" t="str">
        <f>IF('1. INTRO'!I$2="English","Operating","Drift")</f>
        <v>Operating</v>
      </c>
      <c r="C1370" s="116">
        <f>SUMIF('6. OPERATION'!$B$17:$B$149,$C1366,'6. OPERATION'!W$17:W$149)</f>
        <v>0</v>
      </c>
      <c r="D1370" s="116">
        <f>SUMIF('6. OPERATION'!$B$17:$B$149,$C1366,'6. OPERATION'!X$17:X$149)</f>
        <v>0</v>
      </c>
      <c r="E1370" s="116">
        <f>SUMIF('6. OPERATION'!$B$17:$B$149,$C1366,'6. OPERATION'!Y$17:Y$149)</f>
        <v>0</v>
      </c>
      <c r="F1370" s="116">
        <f>SUMIF('6. OPERATION'!$B$17:$B$149,$C1366,'6. OPERATION'!Z$17:Z$149)</f>
        <v>0</v>
      </c>
      <c r="G1370" s="116">
        <f>SUMIF('6. OPERATION'!$B$17:$B$149,$C1366,'6. OPERATION'!AA$17:AA$149)</f>
        <v>0</v>
      </c>
      <c r="H1370" s="116">
        <f>SUMIF('6. OPERATION'!$B$17:$B$149,$C1366,'6. OPERATION'!AB$17:AB$149)</f>
        <v>0</v>
      </c>
      <c r="I1370" s="116">
        <f>SUMIF('6. OPERATION'!$B$17:$B$149,$C1366,'6. OPERATION'!AC$17:AC$149)</f>
        <v>0</v>
      </c>
      <c r="J1370" s="116">
        <f>SUMIF('6. OPERATION'!$B$17:$B$149,$C1366,'6. OPERATION'!AD$17:AD$149)</f>
        <v>0</v>
      </c>
      <c r="K1370" s="116">
        <f>SUMIF('6. OPERATION'!$B$17:$B$149,$C1366,'6. OPERATION'!AE$17:AE$149)</f>
        <v>0</v>
      </c>
      <c r="L1370" s="116">
        <f>SUMIF('6. OPERATION'!$B$17:$B$149,$C1366,'6. OPERATION'!AF$17:AF$149)</f>
        <v>0</v>
      </c>
      <c r="M1370" s="117">
        <f t="shared" si="299"/>
        <v>0</v>
      </c>
    </row>
    <row r="1371" spans="2:15" s="3" customFormat="1" ht="13.2" x14ac:dyDescent="0.25">
      <c r="B1371" s="753" t="str">
        <f>IF('1. INTRO'!I$2="English","Equipment","Utrustning")</f>
        <v>Equipment</v>
      </c>
      <c r="C1371" s="754">
        <f>SUMIF('7. INVEST'!$B$17:$B$49,$C1366,'7. INVEST'!W$17:W$49)</f>
        <v>0</v>
      </c>
      <c r="D1371" s="754">
        <f>SUMIF('7. INVEST'!$B$17:$B$49,$C1366,'7. INVEST'!X$17:X$49)</f>
        <v>0</v>
      </c>
      <c r="E1371" s="754">
        <f>SUMIF('7. INVEST'!$B$17:$B$49,$C1366,'7. INVEST'!Y$17:Y$49)</f>
        <v>0</v>
      </c>
      <c r="F1371" s="754">
        <f>SUMIF('7. INVEST'!$B$17:$B$49,$C1366,'7. INVEST'!Z$17:Z$49)</f>
        <v>0</v>
      </c>
      <c r="G1371" s="754">
        <f>SUMIF('7. INVEST'!$B$17:$B$49,$C1366,'7. INVEST'!AA$17:AA$49)</f>
        <v>0</v>
      </c>
      <c r="H1371" s="754">
        <f>SUMIF('7. INVEST'!$B$17:$B$49,$C1366,'7. INVEST'!AB$17:AB$49)</f>
        <v>0</v>
      </c>
      <c r="I1371" s="754">
        <f>SUMIF('7. INVEST'!$B$17:$B$49,$C1366,'7. INVEST'!AC$17:AC$49)</f>
        <v>0</v>
      </c>
      <c r="J1371" s="754">
        <f>SUMIF('7. INVEST'!$B$17:$B$49,$C1366,'7. INVEST'!AD$17:AD$49)</f>
        <v>0</v>
      </c>
      <c r="K1371" s="754">
        <f>SUMIF('7. INVEST'!$B$17:$B$49,$C1366,'7. INVEST'!AE$17:AE$49)</f>
        <v>0</v>
      </c>
      <c r="L1371" s="754">
        <f>SUMIF('7. INVEST'!$B$17:$B$49,$C1366,'7. INVEST'!AF$17:AF$49)</f>
        <v>0</v>
      </c>
      <c r="M1371" s="755">
        <f t="shared" si="299"/>
        <v>0</v>
      </c>
    </row>
    <row r="1372" spans="2:15" s="3" customFormat="1" ht="13.2" x14ac:dyDescent="0.25">
      <c r="B1372" s="121" t="str">
        <f>IF('1. INTRO'!I$2="English",(IF('2. START'!C$11="NO","Facility accepted as direct cost by funding body","Facility")),IF('2. START'!C$11="NO","Lokal accepterad som direkt kostnad av finansiär","Lokal"))</f>
        <v>Facility</v>
      </c>
      <c r="C1372" s="116">
        <f>IF('2. START'!$C$11="NO",SUMIF('8. FACILIT'!$B$18:$B$50,$C1366,'8. FACILIT'!T$18:T$50),SUMIF('5. PERSON'!$B$17:$B$192,$C1366,'5. PERSON'!CP$17:CP$192)+SUMIF('6. OPERATION'!$B$17:$B$149,$C1366,'6. OPERATION'!BS$17:BS$149)+SUMIF('8. FACILIT'!$B$18:$B$50,$C1366,'8. FACILIT'!T$18:T$50))</f>
        <v>0</v>
      </c>
      <c r="D1372" s="116">
        <f>IF('2. START'!$C$11="NO",SUMIF('8. FACILIT'!$B$18:$B$50,$C1366,'8. FACILIT'!U$18:U$50),SUMIF('5. PERSON'!$B$17:$B$192,$C1366,'5. PERSON'!CQ$17:CQ$192)+SUMIF('6. OPERATION'!$B$17:$B$149,$C1366,'6. OPERATION'!BT$17:BT$149)+SUMIF('8. FACILIT'!$B$18:$B$50,$C1366,'8. FACILIT'!U$18:U$50))</f>
        <v>0</v>
      </c>
      <c r="E1372" s="116">
        <f>IF('2. START'!$C$11="NO",SUMIF('8. FACILIT'!$B$18:$B$50,$C1366,'8. FACILIT'!V$18:V$50),SUMIF('5. PERSON'!$B$17:$B$192,$C1366,'5. PERSON'!CR$17:CR$192)+SUMIF('6. OPERATION'!$B$17:$B$149,$C1366,'6. OPERATION'!BU$17:BU$149)+SUMIF('8. FACILIT'!$B$18:$B$50,$C1366,'8. FACILIT'!V$18:V$50))</f>
        <v>0</v>
      </c>
      <c r="F1372" s="116">
        <f>IF('2. START'!$C$11="NO",SUMIF('8. FACILIT'!$B$18:$B$50,$C1366,'8. FACILIT'!W$18:W$50),SUMIF('5. PERSON'!$B$17:$B$192,$C1366,'5. PERSON'!CS$17:CS$192)+SUMIF('6. OPERATION'!$B$17:$B$149,$C1366,'6. OPERATION'!BV$17:BV$149)+SUMIF('8. FACILIT'!$B$18:$B$50,$C1366,'8. FACILIT'!W$18:W$50))</f>
        <v>0</v>
      </c>
      <c r="G1372" s="116">
        <f>IF('2. START'!$C$11="NO",SUMIF('8. FACILIT'!$B$18:$B$50,$C1366,'8. FACILIT'!X$18:X$50),SUMIF('5. PERSON'!$B$17:$B$192,$C1366,'5. PERSON'!CT$17:CT$192)+SUMIF('6. OPERATION'!$B$17:$B$149,$C1366,'6. OPERATION'!BW$17:BW$149)+SUMIF('8. FACILIT'!$B$18:$B$50,$C1366,'8. FACILIT'!X$18:X$50))</f>
        <v>0</v>
      </c>
      <c r="H1372" s="116">
        <f>IF('2. START'!$C$11="NO",SUMIF('8. FACILIT'!$B$18:$B$50,$C1366,'8. FACILIT'!Y$18:Y$50),SUMIF('5. PERSON'!$B$17:$B$192,$C1366,'5. PERSON'!CU$17:CU$192)+SUMIF('6. OPERATION'!$B$17:$B$149,$C1366,'6. OPERATION'!BX$17:BX$149)+SUMIF('8. FACILIT'!$B$18:$B$50,$C1366,'8. FACILIT'!Y$18:Y$50))</f>
        <v>0</v>
      </c>
      <c r="I1372" s="116">
        <f>IF('2. START'!$C$11="NO",SUMIF('8. FACILIT'!$B$18:$B$50,$C1366,'8. FACILIT'!Z$18:Z$50),SUMIF('5. PERSON'!$B$17:$B$192,$C1366,'5. PERSON'!CV$17:CV$192)+SUMIF('6. OPERATION'!$B$17:$B$149,$C1366,'6. OPERATION'!BY$17:BY$149)+SUMIF('8. FACILIT'!$B$18:$B$50,$C1366,'8. FACILIT'!Z$18:Z$50))</f>
        <v>0</v>
      </c>
      <c r="J1372" s="116">
        <f>IF('2. START'!$C$11="NO",SUMIF('8. FACILIT'!$B$18:$B$50,$C1366,'8. FACILIT'!AA$18:AA$50),SUMIF('5. PERSON'!$B$17:$B$192,$C1366,'5. PERSON'!CW$17:CW$192)+SUMIF('6. OPERATION'!$B$17:$B$149,$C1366,'6. OPERATION'!BZ$17:BZ$149)+SUMIF('8. FACILIT'!$B$18:$B$50,$C1366,'8. FACILIT'!AA$18:AA$50))</f>
        <v>0</v>
      </c>
      <c r="K1372" s="116">
        <f>IF('2. START'!$C$11="NO",SUMIF('8. FACILIT'!$B$18:$B$50,$C1366,'8. FACILIT'!AB$18:AB$50),SUMIF('5. PERSON'!$B$17:$B$192,$C1366,'5. PERSON'!CX$17:CX$192)+SUMIF('6. OPERATION'!$B$17:$B$149,$C1366,'6. OPERATION'!CA$17:CA$149)+SUMIF('8. FACILIT'!$B$18:$B$50,$C1366,'8. FACILIT'!AB$18:AB$50))</f>
        <v>0</v>
      </c>
      <c r="L1372" s="116">
        <f>IF('2. START'!$C$11="NO",SUMIF('8. FACILIT'!$B$18:$B$50,$C1366,'8. FACILIT'!AC$18:AC$50),SUMIF('5. PERSON'!$B$17:$B$192,$C1366,'5. PERSON'!CY$17:CY$192)+SUMIF('6. OPERATION'!$B$17:$B$149,$C1366,'6. OPERATION'!CB$17:CB$149)+SUMIF('8. FACILIT'!$B$18:$B$50,$C1366,'8. FACILIT'!AC$18:AC$50))</f>
        <v>0</v>
      </c>
      <c r="M1372" s="117">
        <f t="shared" si="299"/>
        <v>0</v>
      </c>
    </row>
    <row r="1373" spans="2:15" s="3" customFormat="1" ht="13.2" x14ac:dyDescent="0.25">
      <c r="B1373" s="756" t="str">
        <f>IF('1. INTRO'!I$2="English",(IF('2. START'!C$11="NO","Indirect and facility charge accepted as OH by funding body","Indirect")),IF('2. START'!C$11="NO","Indirekt och lokalpåslag accepterade som OH av finansiär","Indirekt"))</f>
        <v>Indirect</v>
      </c>
      <c r="C1373" s="757">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757">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757">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757">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757">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757">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757">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757">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757">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757">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755">
        <f t="shared" si="299"/>
        <v>0</v>
      </c>
    </row>
    <row r="1374" spans="2:15" s="3" customFormat="1" ht="13.2" x14ac:dyDescent="0.25">
      <c r="B1374" s="124" t="s">
        <v>113</v>
      </c>
      <c r="C1374" s="102">
        <f>SUM(C1369:C1373)</f>
        <v>0</v>
      </c>
      <c r="D1374" s="102">
        <f t="shared" ref="D1374:L1374" si="300">SUM(D1369:D1373)</f>
        <v>0</v>
      </c>
      <c r="E1374" s="102">
        <f t="shared" si="300"/>
        <v>0</v>
      </c>
      <c r="F1374" s="102">
        <f t="shared" si="300"/>
        <v>0</v>
      </c>
      <c r="G1374" s="102">
        <f t="shared" si="300"/>
        <v>0</v>
      </c>
      <c r="H1374" s="102">
        <f t="shared" si="300"/>
        <v>0</v>
      </c>
      <c r="I1374" s="102">
        <f t="shared" si="300"/>
        <v>0</v>
      </c>
      <c r="J1374" s="102">
        <f t="shared" si="300"/>
        <v>0</v>
      </c>
      <c r="K1374" s="102">
        <f t="shared" si="300"/>
        <v>0</v>
      </c>
      <c r="L1374" s="102">
        <f t="shared" si="300"/>
        <v>0</v>
      </c>
      <c r="M1374" s="125">
        <f t="shared" si="299"/>
        <v>0</v>
      </c>
    </row>
    <row r="1375" spans="2:15" s="3" customFormat="1" ht="6" customHeight="1" x14ac:dyDescent="0.25">
      <c r="B1375" s="126"/>
      <c r="C1375" s="127"/>
      <c r="D1375" s="127"/>
      <c r="E1375" s="127"/>
      <c r="F1375" s="127"/>
      <c r="G1375" s="127"/>
      <c r="H1375" s="127"/>
      <c r="I1375" s="127"/>
      <c r="J1375" s="127"/>
      <c r="K1375" s="127"/>
      <c r="L1375" s="127"/>
      <c r="M1375" s="128"/>
    </row>
    <row r="1376" spans="2:15" s="3" customFormat="1" ht="13.2" x14ac:dyDescent="0.25">
      <c r="B1376" s="129" t="str">
        <f>IF('1. INTRO'!I$2="English","Costs to be co-funded","Kostnader att medfinansiera")</f>
        <v>Costs to be co-funded</v>
      </c>
      <c r="C1376" s="86"/>
      <c r="D1376" s="86"/>
      <c r="E1376" s="86"/>
      <c r="F1376" s="86"/>
      <c r="G1376" s="86"/>
      <c r="H1376" s="86"/>
      <c r="I1376" s="86"/>
      <c r="J1376" s="86"/>
      <c r="K1376" s="86"/>
      <c r="L1376" s="86"/>
      <c r="M1376" s="130"/>
    </row>
    <row r="1377" spans="2:15" s="3" customFormat="1" ht="13.2" x14ac:dyDescent="0.25">
      <c r="B1377" s="758" t="str">
        <f>IF('1. INTRO'!I$2="English",(IF('2. START'!C$11="NO","Indirect and facility charge not accepted as OH by funding body","")),IF('2. START'!C$11="NO","Indirekt och lokalpåslag inte accepterade som OH av finansiär",""))</f>
        <v/>
      </c>
      <c r="C1377" s="759">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759">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759">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759">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759">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759">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759">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759">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759">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759">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752">
        <f t="shared" ref="M1377:M1383" si="301">SUM(C1377:L1377)</f>
        <v>0</v>
      </c>
    </row>
    <row r="1378" spans="2:15" s="3" customFormat="1" ht="12.75" customHeight="1" x14ac:dyDescent="0.25">
      <c r="B1378" s="132" t="str">
        <f>IF('1. INTRO'!I$2="English",(IF('2. START'!C$14&gt;0,"Social costs (LKP) not accepted by funding body","")),IF('2. START'!C$14&gt;0,"LKP som inte accepteras av finansiär",""))</f>
        <v/>
      </c>
      <c r="C1378" s="133">
        <f>IF('2. START'!$C$14&gt;0,SUMIF('5. PERSON'!$B$17:$B$192,$C1366,'5. PERSON'!AT$17:AT$192)-SUMIF('5. PERSON'!$B$17:$B$192,$C1366,'5. PERSON'!DN$17:DN$192),0)</f>
        <v>0</v>
      </c>
      <c r="D1378" s="133">
        <f>IF('2. START'!$C$14&gt;0,SUMIF('5. PERSON'!$B$17:$B$192,$C1366,'5. PERSON'!AU$17:AU$192)-SUMIF('5. PERSON'!$B$17:$B$192,$C1366,'5. PERSON'!DO$17:DO$192),0)</f>
        <v>0</v>
      </c>
      <c r="E1378" s="133">
        <f>IF('2. START'!$C$14&gt;0,SUMIF('5. PERSON'!$B$17:$B$192,$C1366,'5. PERSON'!AV$17:AV$192)-SUMIF('5. PERSON'!$B$17:$B$192,$C1366,'5. PERSON'!DP$17:DP$192),0)</f>
        <v>0</v>
      </c>
      <c r="F1378" s="133">
        <f>IF('2. START'!$C$14&gt;0,SUMIF('5. PERSON'!$B$17:$B$192,$C1366,'5. PERSON'!AW$17:AW$192)-SUMIF('5. PERSON'!$B$17:$B$192,$C1366,'5. PERSON'!DQ$17:DQ$192),0)</f>
        <v>0</v>
      </c>
      <c r="G1378" s="133">
        <f>IF('2. START'!$C$14&gt;0,SUMIF('5. PERSON'!$B$17:$B$192,$C1366,'5. PERSON'!AX$17:AX$192)-SUMIF('5. PERSON'!$B$17:$B$192,$C1366,'5. PERSON'!DR$17:DR$192),0)</f>
        <v>0</v>
      </c>
      <c r="H1378" s="133">
        <f>IF('2. START'!$C$14&gt;0,SUMIF('5. PERSON'!$B$17:$B$192,$C1366,'5. PERSON'!AY$17:AY$192)-SUMIF('5. PERSON'!$B$17:$B$192,$C1366,'5. PERSON'!DS$17:DS$192),0)</f>
        <v>0</v>
      </c>
      <c r="I1378" s="133">
        <f>IF('2. START'!$C$14&gt;0,SUMIF('5. PERSON'!$B$17:$B$192,$C1366,'5. PERSON'!AZ$17:AZ$192)-SUMIF('5. PERSON'!$B$17:$B$192,$C1366,'5. PERSON'!DT$17:DT$192),0)</f>
        <v>0</v>
      </c>
      <c r="J1378" s="133">
        <f>IF('2. START'!$C$14&gt;0,SUMIF('5. PERSON'!$B$17:$B$192,$C1366,'5. PERSON'!BA$17:BA$192)-SUMIF('5. PERSON'!$B$17:$B$192,$C1366,'5. PERSON'!DU$17:DU$192),0)</f>
        <v>0</v>
      </c>
      <c r="K1378" s="133">
        <f>IF('2. START'!$C$14&gt;0,SUMIF('5. PERSON'!$B$17:$B$192,$C1366,'5. PERSON'!BB$17:BB$192)-SUMIF('5. PERSON'!$B$17:$B$192,$C1366,'5. PERSON'!DV$17:DV$192),0)</f>
        <v>0</v>
      </c>
      <c r="L1378" s="133">
        <f>IF('2. START'!$C$14&gt;0,SUMIF('5. PERSON'!$B$17:$B$192,$C1366,'5. PERSON'!BC$17:BC$192)-SUMIF('5. PERSON'!$B$17:$B$192,$C1366,'5. PERSON'!DW$17:DW$192),0)</f>
        <v>0</v>
      </c>
      <c r="M1378" s="117">
        <f t="shared" si="301"/>
        <v>0</v>
      </c>
    </row>
    <row r="1379" spans="2:15" s="3" customFormat="1" ht="12.75" customHeight="1" x14ac:dyDescent="0.25">
      <c r="B1379" s="753" t="str">
        <f>IF('1. INTRO'!I$2="English",(IF('5. PERSON'!BP$193&gt;0,"Salary including social costs (LKP)","")),IF('5. PERSON'!BP$193&gt;0,"Lön inklusive LKP",""))</f>
        <v/>
      </c>
      <c r="C1379" s="760">
        <f>SUMIF('5. PERSON'!$B$17:$B$192,$C1366,'5. PERSON'!BF$17:BF$192)</f>
        <v>0</v>
      </c>
      <c r="D1379" s="760">
        <f>SUMIF('5. PERSON'!$B$17:$B$192,$C1366,'5. PERSON'!BG$17:BG$192)</f>
        <v>0</v>
      </c>
      <c r="E1379" s="760">
        <f>SUMIF('5. PERSON'!$B$17:$B$192,$C1366,'5. PERSON'!BH$17:BH$192)</f>
        <v>0</v>
      </c>
      <c r="F1379" s="760">
        <f>SUMIF('5. PERSON'!$B$17:$B$192,$C1366,'5. PERSON'!BI$17:BI$192)</f>
        <v>0</v>
      </c>
      <c r="G1379" s="760">
        <f>SUMIF('5. PERSON'!$B$17:$B$192,$C1366,'5. PERSON'!BJ$17:BJ$192)</f>
        <v>0</v>
      </c>
      <c r="H1379" s="760">
        <f>SUMIF('5. PERSON'!$B$17:$B$192,$C1366,'5. PERSON'!BK$17:BK$192)</f>
        <v>0</v>
      </c>
      <c r="I1379" s="760">
        <f>SUMIF('5. PERSON'!$B$17:$B$192,$C1366,'5. PERSON'!BL$17:BL$192)</f>
        <v>0</v>
      </c>
      <c r="J1379" s="760">
        <f>SUMIF('5. PERSON'!$B$17:$B$192,$C1366,'5. PERSON'!BM$17:BM$192)</f>
        <v>0</v>
      </c>
      <c r="K1379" s="760">
        <f>SUMIF('5. PERSON'!$B$17:$B$192,$C1366,'5. PERSON'!BN$17:BN$192)</f>
        <v>0</v>
      </c>
      <c r="L1379" s="760">
        <f>SUMIF('5. PERSON'!$B$17:$B$192,$C1366,'5. PERSON'!BO$17:BO$192)</f>
        <v>0</v>
      </c>
      <c r="M1379" s="755">
        <f t="shared" si="301"/>
        <v>0</v>
      </c>
    </row>
    <row r="1380" spans="2:15" s="3" customFormat="1" ht="13.2" x14ac:dyDescent="0.25">
      <c r="B1380" s="80" t="str">
        <f>IF('1. INTRO'!I$2="English",(IF('6. OPERATION'!AS$150&gt;0,"Operating","")),IF('6. OPERATION'!AS$150&gt;0,"Drift",""))</f>
        <v/>
      </c>
      <c r="C1380" s="135">
        <f>SUMIF('6. OPERATION'!$B$17:$B$149,$C1366,'6. OPERATION'!AI$17:AI$149)</f>
        <v>0</v>
      </c>
      <c r="D1380" s="135">
        <f>SUMIF('6. OPERATION'!$B$17:$B$149,$C1366,'6. OPERATION'!AJ$17:AJ$149)</f>
        <v>0</v>
      </c>
      <c r="E1380" s="135">
        <f>SUMIF('6. OPERATION'!$B$17:$B$149,$C1366,'6. OPERATION'!AK$17:AK$149)</f>
        <v>0</v>
      </c>
      <c r="F1380" s="135">
        <f>SUMIF('6. OPERATION'!$B$17:$B$149,$C1366,'6. OPERATION'!AL$17:AL$149)</f>
        <v>0</v>
      </c>
      <c r="G1380" s="135">
        <f>SUMIF('6. OPERATION'!$B$17:$B$149,$C1366,'6. OPERATION'!AM$17:AM$149)</f>
        <v>0</v>
      </c>
      <c r="H1380" s="135">
        <f>SUMIF('6. OPERATION'!$B$17:$B$149,$C1366,'6. OPERATION'!AN$17:AN$149)</f>
        <v>0</v>
      </c>
      <c r="I1380" s="135">
        <f>SUMIF('6. OPERATION'!$B$17:$B$149,$C1366,'6. OPERATION'!AO$17:AO$149)</f>
        <v>0</v>
      </c>
      <c r="J1380" s="135">
        <f>SUMIF('6. OPERATION'!$B$17:$B$149,$C1366,'6. OPERATION'!AP$17:AP$149)</f>
        <v>0</v>
      </c>
      <c r="K1380" s="135">
        <f>SUMIF('6. OPERATION'!$B$17:$B$149,$C1366,'6. OPERATION'!AQ$17:AQ$149)</f>
        <v>0</v>
      </c>
      <c r="L1380" s="135">
        <f>SUMIF('6. OPERATION'!$B$17:$B$149,$C1366,'6. OPERATION'!AR$17:AR$149)</f>
        <v>0</v>
      </c>
      <c r="M1380" s="117">
        <f t="shared" si="301"/>
        <v>0</v>
      </c>
    </row>
    <row r="1381" spans="2:15" s="3" customFormat="1" ht="13.2" x14ac:dyDescent="0.25">
      <c r="B1381" s="753" t="str">
        <f>IF('1. INTRO'!I$2="English",(IF('7. INVEST'!AS$50&gt;0,"Equipment","")),IF('7. INVEST'!AS$50&gt;0,"Utrustning",""))</f>
        <v/>
      </c>
      <c r="C1381" s="760">
        <f>SUMIF('7. INVEST'!$B$17:$B$49,$C1366,'7. INVEST'!AI$17:AI$49)</f>
        <v>0</v>
      </c>
      <c r="D1381" s="760">
        <f>SUMIF('7. INVEST'!$B$17:$B$49,$C1366,'7. INVEST'!AJ$17:AJ$49)</f>
        <v>0</v>
      </c>
      <c r="E1381" s="760">
        <f>SUMIF('7. INVEST'!$B$17:$B$49,$C1366,'7. INVEST'!AK$17:AK$49)</f>
        <v>0</v>
      </c>
      <c r="F1381" s="760">
        <f>SUMIF('7. INVEST'!$B$17:$B$49,$C1366,'7. INVEST'!AL$17:AL$49)</f>
        <v>0</v>
      </c>
      <c r="G1381" s="760">
        <f>SUMIF('7. INVEST'!$B$17:$B$49,$C1366,'7. INVEST'!AM$17:AM$49)</f>
        <v>0</v>
      </c>
      <c r="H1381" s="760">
        <f>SUMIF('7. INVEST'!$B$17:$B$49,$C1366,'7. INVEST'!AN$17:AN$49)</f>
        <v>0</v>
      </c>
      <c r="I1381" s="760">
        <f>SUMIF('7. INVEST'!$B$17:$B$49,$C1366,'7. INVEST'!AO$17:AO$49)</f>
        <v>0</v>
      </c>
      <c r="J1381" s="760">
        <f>SUMIF('7. INVEST'!$B$17:$B$49,$C1366,'7. INVEST'!AP$17:AP$49)</f>
        <v>0</v>
      </c>
      <c r="K1381" s="760">
        <f>SUMIF('7. INVEST'!$B$17:$B$49,$C1366,'7. INVEST'!AQ$17:AQ$49)</f>
        <v>0</v>
      </c>
      <c r="L1381" s="760">
        <f>SUMIF('7. INVEST'!$B$17:$B$49,$C1366,'7. INVEST'!AR$17:AR$49)</f>
        <v>0</v>
      </c>
      <c r="M1381" s="755">
        <f t="shared" si="301"/>
        <v>0</v>
      </c>
    </row>
    <row r="1382" spans="2:15" s="3" customFormat="1" ht="13.2" x14ac:dyDescent="0.25">
      <c r="B1382" s="121" t="str">
        <f>IF('1. INTRO'!I$2="English",(IF('8. FACILIT'!AP$51&gt;0,"Facility","")),IF('8. FACILIT'!AP$51&gt;0,"Lokal",""))</f>
        <v/>
      </c>
      <c r="C1382" s="135">
        <f>SUMIF('5. PERSON'!$B$17:$B$192,$C1366,'5. PERSON'!DB$17:DB$192)+SUMIF('6. OPERATION'!$B$17:$B$149,$C1366,'6. OPERATION'!CE$17:CE$149)+SUMIF('8. FACILIT'!$B$18:$B$50,$C1366,'8. FACILIT'!AF$18:AF$50)</f>
        <v>0</v>
      </c>
      <c r="D1382" s="135">
        <f>SUMIF('5. PERSON'!$B$17:$B$192,$C1366,'5. PERSON'!DC$17:DC$192)+SUMIF('6. OPERATION'!$B$17:$B$149,$C1366,'6. OPERATION'!CF$17:CF$149)+SUMIF('8. FACILIT'!$B$18:$B$50,$C1366,'8. FACILIT'!AG$18:AG$50)</f>
        <v>0</v>
      </c>
      <c r="E1382" s="135">
        <f>SUMIF('5. PERSON'!$B$17:$B$192,$C1366,'5. PERSON'!DD$17:DD$192)+SUMIF('6. OPERATION'!$B$17:$B$149,$C1366,'6. OPERATION'!CG$17:CG$149)+SUMIF('8. FACILIT'!$B$18:$B$50,$C1366,'8. FACILIT'!AH$18:AH$50)</f>
        <v>0</v>
      </c>
      <c r="F1382" s="135">
        <f>SUMIF('5. PERSON'!$B$17:$B$192,$C1366,'5. PERSON'!DE$17:DE$192)+SUMIF('6. OPERATION'!$B$17:$B$149,$C1366,'6. OPERATION'!CH$17:CH$149)+SUMIF('8. FACILIT'!$B$18:$B$50,$C1366,'8. FACILIT'!AI$18:AI$50)</f>
        <v>0</v>
      </c>
      <c r="G1382" s="135">
        <f>SUMIF('5. PERSON'!$B$17:$B$192,$C1366,'5. PERSON'!DF$17:DF$192)+SUMIF('6. OPERATION'!$B$17:$B$149,$C1366,'6. OPERATION'!CI$17:CI$149)+SUMIF('8. FACILIT'!$B$18:$B$50,$C1366,'8. FACILIT'!AJ$18:AJ$50)</f>
        <v>0</v>
      </c>
      <c r="H1382" s="135">
        <f>SUMIF('5. PERSON'!$B$17:$B$192,$C1366,'5. PERSON'!DG$17:DG$192)+SUMIF('6. OPERATION'!$B$17:$B$149,$C1366,'6. OPERATION'!CJ$17:CJ$149)+SUMIF('8. FACILIT'!$B$18:$B$50,$C1366,'8. FACILIT'!AK$18:AK$50)</f>
        <v>0</v>
      </c>
      <c r="I1382" s="135">
        <f>SUMIF('5. PERSON'!$B$17:$B$192,$C1366,'5. PERSON'!DH$17:DH$192)+SUMIF('6. OPERATION'!$B$17:$B$149,$C1366,'6. OPERATION'!CK$17:CK$149)+SUMIF('8. FACILIT'!$B$18:$B$50,$C1366,'8. FACILIT'!AL$18:AL$50)</f>
        <v>0</v>
      </c>
      <c r="J1382" s="135">
        <f>SUMIF('5. PERSON'!$B$17:$B$192,$C1366,'5. PERSON'!DI$17:DI$192)+SUMIF('6. OPERATION'!$B$17:$B$149,$C1366,'6. OPERATION'!CL$17:CL$149)+SUMIF('8. FACILIT'!$B$18:$B$50,$C1366,'8. FACILIT'!AM$18:AM$50)</f>
        <v>0</v>
      </c>
      <c r="K1382" s="135">
        <f>SUMIF('5. PERSON'!$B$17:$B$192,$C1366,'5. PERSON'!DJ$17:DJ$192)+SUMIF('6. OPERATION'!$B$17:$B$149,$C1366,'6. OPERATION'!CM$17:CM$149)+SUMIF('8. FACILIT'!$B$18:$B$50,$C1366,'8. FACILIT'!AN$18:AN$50)</f>
        <v>0</v>
      </c>
      <c r="L1382" s="135">
        <f>SUMIF('5. PERSON'!$B$17:$B$192,$C1366,'5. PERSON'!DK$17:DK$192)+SUMIF('6. OPERATION'!$B$17:$B$149,$C1366,'6. OPERATION'!CN$17:CN$149)+SUMIF('8. FACILIT'!$B$18:$B$50,$C1366,'8. FACILIT'!AO$18:AO$50)</f>
        <v>0</v>
      </c>
      <c r="M1382" s="117">
        <f t="shared" si="301"/>
        <v>0</v>
      </c>
    </row>
    <row r="1383" spans="2:15" s="1" customFormat="1" ht="13.2" x14ac:dyDescent="0.25">
      <c r="B1383" s="756" t="str">
        <f>IF('1. INTRO'!I$2="English",(IF(('5. PERSON'!CN$193+'6. OPERATION'!BQ$150)&gt;0,"Indirect","")),IF(('5. PERSON'!CN$193+'6. OPERATION'!BQ$150)&gt;0,"Indirekt",""))</f>
        <v/>
      </c>
      <c r="C1383" s="757">
        <f>SUMIF('5. PERSON'!$B$17:$B$192,$C1366,'5. PERSON'!CD$17:CD$192)+SUMIF('6. OPERATION'!$B$17:$B$149,$C1366,'6. OPERATION'!BG$17:BG$149)</f>
        <v>0</v>
      </c>
      <c r="D1383" s="757">
        <f>SUMIF('5. PERSON'!$B$17:$B$192,$C1366,'5. PERSON'!CE$17:CE$192)+SUMIF('6. OPERATION'!$B$17:$B$149,$C1366,'6. OPERATION'!BH$17:BH$149)</f>
        <v>0</v>
      </c>
      <c r="E1383" s="757">
        <f>SUMIF('5. PERSON'!$B$17:$B$192,$C1366,'5. PERSON'!CF$17:CF$192)+SUMIF('6. OPERATION'!$B$17:$B$149,$C1366,'6. OPERATION'!BI$17:BI$149)</f>
        <v>0</v>
      </c>
      <c r="F1383" s="757">
        <f>SUMIF('5. PERSON'!$B$17:$B$192,$C1366,'5. PERSON'!CG$17:CG$192)+SUMIF('6. OPERATION'!$B$17:$B$149,$C1366,'6. OPERATION'!BJ$17:BJ$149)</f>
        <v>0</v>
      </c>
      <c r="G1383" s="757">
        <f>SUMIF('5. PERSON'!$B$17:$B$192,$C1366,'5. PERSON'!CH$17:CH$192)+SUMIF('6. OPERATION'!$B$17:$B$149,$C1366,'6. OPERATION'!BK$17:BK$149)</f>
        <v>0</v>
      </c>
      <c r="H1383" s="757">
        <f>SUMIF('5. PERSON'!$B$17:$B$192,$C1366,'5. PERSON'!CI$17:CI$192)+SUMIF('6. OPERATION'!$B$17:$B$149,$C1366,'6. OPERATION'!BL$17:BL$149)</f>
        <v>0</v>
      </c>
      <c r="I1383" s="757">
        <f>SUMIF('5. PERSON'!$B$17:$B$192,$C1366,'5. PERSON'!CJ$17:CJ$192)+SUMIF('6. OPERATION'!$B$17:$B$149,$C1366,'6. OPERATION'!BM$17:BM$149)</f>
        <v>0</v>
      </c>
      <c r="J1383" s="757">
        <f>SUMIF('5. PERSON'!$B$17:$B$192,$C1366,'5. PERSON'!CK$17:CK$192)+SUMIF('6. OPERATION'!$B$17:$B$149,$C1366,'6. OPERATION'!BN$17:BN$149)</f>
        <v>0</v>
      </c>
      <c r="K1383" s="757">
        <f>SUMIF('5. PERSON'!$B$17:$B$192,$C1366,'5. PERSON'!CL$17:CL$192)+SUMIF('6. OPERATION'!$B$17:$B$149,$C1366,'6. OPERATION'!BO$17:BO$149)</f>
        <v>0</v>
      </c>
      <c r="L1383" s="757">
        <f>SUMIF('5. PERSON'!$B$17:$B$192,$C1366,'5. PERSON'!CM$17:CM$192)+SUMIF('6. OPERATION'!$B$17:$B$149,$C1366,'6. OPERATION'!BP$17:BP$149)</f>
        <v>0</v>
      </c>
      <c r="M1383" s="761">
        <f t="shared" si="301"/>
        <v>0</v>
      </c>
    </row>
    <row r="1384" spans="2:15" s="3" customFormat="1" ht="13.2" x14ac:dyDescent="0.25">
      <c r="B1384" s="124" t="s">
        <v>113</v>
      </c>
      <c r="C1384" s="102">
        <f>SUM(C1377:C1383)</f>
        <v>0</v>
      </c>
      <c r="D1384" s="102">
        <f t="shared" ref="D1384:M1384" si="302">SUM(D1377:D1383)</f>
        <v>0</v>
      </c>
      <c r="E1384" s="102">
        <f t="shared" si="302"/>
        <v>0</v>
      </c>
      <c r="F1384" s="102">
        <f t="shared" si="302"/>
        <v>0</v>
      </c>
      <c r="G1384" s="102">
        <f t="shared" si="302"/>
        <v>0</v>
      </c>
      <c r="H1384" s="102">
        <f t="shared" si="302"/>
        <v>0</v>
      </c>
      <c r="I1384" s="102">
        <f t="shared" si="302"/>
        <v>0</v>
      </c>
      <c r="J1384" s="102">
        <f t="shared" si="302"/>
        <v>0</v>
      </c>
      <c r="K1384" s="102">
        <f t="shared" si="302"/>
        <v>0</v>
      </c>
      <c r="L1384" s="102">
        <f t="shared" si="302"/>
        <v>0</v>
      </c>
      <c r="M1384" s="125">
        <f t="shared" si="302"/>
        <v>0</v>
      </c>
      <c r="N1384" s="23"/>
      <c r="O1384" s="23"/>
    </row>
    <row r="1385" spans="2:15" s="3" customFormat="1" ht="6" customHeight="1" x14ac:dyDescent="0.25">
      <c r="B1385" s="136"/>
      <c r="C1385" s="127"/>
      <c r="D1385" s="127"/>
      <c r="E1385" s="127"/>
      <c r="F1385" s="127"/>
      <c r="G1385" s="127"/>
      <c r="H1385" s="127"/>
      <c r="I1385" s="127"/>
      <c r="J1385" s="127"/>
      <c r="K1385" s="127"/>
      <c r="L1385" s="127"/>
      <c r="M1385" s="137"/>
    </row>
    <row r="1386" spans="2:15" s="3" customFormat="1" ht="13.2" x14ac:dyDescent="0.25">
      <c r="B1386" s="129" t="str">
        <f>IF('1. INTRO'!I$2="English","Full cost","Full kostnad")</f>
        <v>Full cost</v>
      </c>
      <c r="C1386" s="127"/>
      <c r="D1386" s="127"/>
      <c r="E1386" s="127"/>
      <c r="F1386" s="127"/>
      <c r="G1386" s="127"/>
      <c r="H1386" s="127"/>
      <c r="I1386" s="127"/>
      <c r="J1386" s="127"/>
      <c r="K1386" s="127"/>
      <c r="L1386" s="127"/>
      <c r="M1386" s="137"/>
    </row>
    <row r="1387" spans="2:15" s="3" customFormat="1" ht="13.2" x14ac:dyDescent="0.25">
      <c r="B1387" s="750" t="str">
        <f>IF('1. INTRO'!I$2="English","Salary including social costs (LKP)","Lön inklusive LKP")</f>
        <v>Salary including social costs (LKP)</v>
      </c>
      <c r="C1387" s="762">
        <f>C1369+C1378+C1379</f>
        <v>0</v>
      </c>
      <c r="D1387" s="762">
        <f t="shared" ref="D1387:L1387" si="303">D1369+D1378+D1379</f>
        <v>0</v>
      </c>
      <c r="E1387" s="762">
        <f t="shared" si="303"/>
        <v>0</v>
      </c>
      <c r="F1387" s="762">
        <f t="shared" si="303"/>
        <v>0</v>
      </c>
      <c r="G1387" s="762">
        <f t="shared" si="303"/>
        <v>0</v>
      </c>
      <c r="H1387" s="762">
        <f t="shared" si="303"/>
        <v>0</v>
      </c>
      <c r="I1387" s="762">
        <f t="shared" si="303"/>
        <v>0</v>
      </c>
      <c r="J1387" s="762">
        <f t="shared" si="303"/>
        <v>0</v>
      </c>
      <c r="K1387" s="762">
        <f t="shared" si="303"/>
        <v>0</v>
      </c>
      <c r="L1387" s="762">
        <f t="shared" si="303"/>
        <v>0</v>
      </c>
      <c r="M1387" s="752">
        <f>SUM(C1387:L1387)</f>
        <v>0</v>
      </c>
    </row>
    <row r="1388" spans="2:15" s="3" customFormat="1" ht="13.2" x14ac:dyDescent="0.25">
      <c r="B1388" s="80" t="str">
        <f>IF('1. INTRO'!I$2="English","Operating","Drift")</f>
        <v>Operating</v>
      </c>
      <c r="C1388" s="139">
        <f>C1370+C1380</f>
        <v>0</v>
      </c>
      <c r="D1388" s="139">
        <f t="shared" ref="D1388:L1388" si="304">D1370+D1380</f>
        <v>0</v>
      </c>
      <c r="E1388" s="139">
        <f t="shared" si="304"/>
        <v>0</v>
      </c>
      <c r="F1388" s="139">
        <f t="shared" si="304"/>
        <v>0</v>
      </c>
      <c r="G1388" s="139">
        <f t="shared" si="304"/>
        <v>0</v>
      </c>
      <c r="H1388" s="139">
        <f t="shared" si="304"/>
        <v>0</v>
      </c>
      <c r="I1388" s="139">
        <f t="shared" si="304"/>
        <v>0</v>
      </c>
      <c r="J1388" s="139">
        <f t="shared" si="304"/>
        <v>0</v>
      </c>
      <c r="K1388" s="139">
        <f t="shared" si="304"/>
        <v>0</v>
      </c>
      <c r="L1388" s="139">
        <f t="shared" si="304"/>
        <v>0</v>
      </c>
      <c r="M1388" s="117">
        <f>SUM(C1388:L1388)</f>
        <v>0</v>
      </c>
    </row>
    <row r="1389" spans="2:15" s="3" customFormat="1" ht="13.2" x14ac:dyDescent="0.25">
      <c r="B1389" s="753" t="str">
        <f>IF('1. INTRO'!I$2="English","Equipment","Utrustning")</f>
        <v>Equipment</v>
      </c>
      <c r="C1389" s="763">
        <f>C1371+C1381</f>
        <v>0</v>
      </c>
      <c r="D1389" s="763">
        <f t="shared" ref="D1389:L1389" si="305">D1371+D1381</f>
        <v>0</v>
      </c>
      <c r="E1389" s="763">
        <f t="shared" si="305"/>
        <v>0</v>
      </c>
      <c r="F1389" s="763">
        <f t="shared" si="305"/>
        <v>0</v>
      </c>
      <c r="G1389" s="763">
        <f t="shared" si="305"/>
        <v>0</v>
      </c>
      <c r="H1389" s="763">
        <f t="shared" si="305"/>
        <v>0</v>
      </c>
      <c r="I1389" s="763">
        <f t="shared" si="305"/>
        <v>0</v>
      </c>
      <c r="J1389" s="763">
        <f t="shared" si="305"/>
        <v>0</v>
      </c>
      <c r="K1389" s="763">
        <f t="shared" si="305"/>
        <v>0</v>
      </c>
      <c r="L1389" s="763">
        <f t="shared" si="305"/>
        <v>0</v>
      </c>
      <c r="M1389" s="755">
        <f>SUM(C1389:L1389)</f>
        <v>0</v>
      </c>
    </row>
    <row r="1390" spans="2:15" s="3" customFormat="1" ht="13.2" x14ac:dyDescent="0.25">
      <c r="B1390" s="80" t="str">
        <f>IF('1. INTRO'!I$2="English","Facility","Lokal")</f>
        <v>Facility</v>
      </c>
      <c r="C1390" s="139">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39">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39">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39">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39">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39">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39">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39">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39">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39">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117">
        <f>SUM(C1390:L1390)</f>
        <v>0</v>
      </c>
    </row>
    <row r="1391" spans="2:15" s="3" customFormat="1" ht="13.2" x14ac:dyDescent="0.25">
      <c r="B1391" s="764" t="str">
        <f>IF('1. INTRO'!I$2="English","Indirect","Indirekt")</f>
        <v>Indirect</v>
      </c>
      <c r="C1391" s="765">
        <f>SUMIF('5. PERSON'!$B$17:$B$192,$C1366,'5. PERSON'!BR$17:BR$192)+SUMIF('5. PERSON'!$B$17:$B$192,$C1366,'5. PERSON'!CD$17:CD$192)+SUMIF('6. OPERATION'!$B$17:$B$149,$C1366,'6. OPERATION'!AU$17:AU$149)+SUMIF('6. OPERATION'!$B$17:$B$149,$C1366,'6. OPERATION'!BG$17:BG$149)</f>
        <v>0</v>
      </c>
      <c r="D1391" s="765">
        <f>SUMIF('5. PERSON'!$B$17:$B$192,$C1366,'5. PERSON'!BS$17:BS$192)+SUMIF('5. PERSON'!$B$17:$B$192,$C1366,'5. PERSON'!CE$17:CE$192)+SUMIF('6. OPERATION'!$B$17:$B$149,$C1366,'6. OPERATION'!AV$17:AV$149)+SUMIF('6. OPERATION'!$B$17:$B$149,$C1366,'6. OPERATION'!BH$17:BH$149)</f>
        <v>0</v>
      </c>
      <c r="E1391" s="765">
        <f>SUMIF('5. PERSON'!$B$17:$B$192,$C1366,'5. PERSON'!BT$17:BT$192)+SUMIF('5. PERSON'!$B$17:$B$192,$C1366,'5. PERSON'!CF$17:CF$192)+SUMIF('6. OPERATION'!$B$17:$B$149,$C1366,'6. OPERATION'!AW$17:AW$149)+SUMIF('6. OPERATION'!$B$17:$B$149,$C1366,'6. OPERATION'!BI$17:BI$149)</f>
        <v>0</v>
      </c>
      <c r="F1391" s="765">
        <f>SUMIF('5. PERSON'!$B$17:$B$192,$C1366,'5. PERSON'!BU$17:BU$192)+SUMIF('5. PERSON'!$B$17:$B$192,$C1366,'5. PERSON'!CG$17:CG$192)+SUMIF('6. OPERATION'!$B$17:$B$149,$C1366,'6. OPERATION'!AX$17:AX$149)+SUMIF('6. OPERATION'!$B$17:$B$149,$C1366,'6. OPERATION'!BJ$17:BJ$149)</f>
        <v>0</v>
      </c>
      <c r="G1391" s="765">
        <f>SUMIF('5. PERSON'!$B$17:$B$192,$C1366,'5. PERSON'!BV$17:BV$192)+SUMIF('5. PERSON'!$B$17:$B$192,$C1366,'5. PERSON'!CH$17:CH$192)+SUMIF('6. OPERATION'!$B$17:$B$149,$C1366,'6. OPERATION'!AY$17:AY$149)+SUMIF('6. OPERATION'!$B$17:$B$149,$C1366,'6. OPERATION'!BK$17:BK$149)</f>
        <v>0</v>
      </c>
      <c r="H1391" s="765">
        <f>SUMIF('5. PERSON'!$B$17:$B$192,$C1366,'5. PERSON'!BW$17:BW$192)+SUMIF('5. PERSON'!$B$17:$B$192,$C1366,'5. PERSON'!CI$17:CI$192)+SUMIF('6. OPERATION'!$B$17:$B$149,$C1366,'6. OPERATION'!AZ$17:AZ$149)+SUMIF('6. OPERATION'!$B$17:$B$149,$C1366,'6. OPERATION'!BL$17:BL$149)</f>
        <v>0</v>
      </c>
      <c r="I1391" s="765">
        <f>SUMIF('5. PERSON'!$B$17:$B$192,$C1366,'5. PERSON'!BX$17:BX$192)+SUMIF('5. PERSON'!$B$17:$B$192,$C1366,'5. PERSON'!CJ$17:CJ$192)+SUMIF('6. OPERATION'!$B$17:$B$149,$C1366,'6. OPERATION'!BA$17:BA$149)+SUMIF('6. OPERATION'!$B$17:$B$149,$C1366,'6. OPERATION'!BM$17:BM$149)</f>
        <v>0</v>
      </c>
      <c r="J1391" s="765">
        <f>SUMIF('5. PERSON'!$B$17:$B$192,$C1366,'5. PERSON'!BY$17:BY$192)+SUMIF('5. PERSON'!$B$17:$B$192,$C1366,'5. PERSON'!CK$17:CK$192)+SUMIF('6. OPERATION'!$B$17:$B$149,$C1366,'6. OPERATION'!BB$17:BB$149)+SUMIF('6. OPERATION'!$B$17:$B$149,$C1366,'6. OPERATION'!BN$17:BN$149)</f>
        <v>0</v>
      </c>
      <c r="K1391" s="765">
        <f>SUMIF('5. PERSON'!$B$17:$B$192,$C1366,'5. PERSON'!BZ$17:BZ$192)+SUMIF('5. PERSON'!$B$17:$B$192,$C1366,'5. PERSON'!CL$17:CL$192)+SUMIF('6. OPERATION'!$B$17:$B$149,$C1366,'6. OPERATION'!BC$17:BC$149)+SUMIF('6. OPERATION'!$B$17:$B$149,$C1366,'6. OPERATION'!BO$17:BO$149)</f>
        <v>0</v>
      </c>
      <c r="L1391" s="765">
        <f>SUMIF('5. PERSON'!$B$17:$B$192,$C1366,'5. PERSON'!CA$17:CA$192)+SUMIF('5. PERSON'!$B$17:$B$192,$C1366,'5. PERSON'!CM$17:CM$192)+SUMIF('6. OPERATION'!$B$17:$B$149,$C1366,'6. OPERATION'!BD$17:BD$149)+SUMIF('6. OPERATION'!$B$17:$B$149,$C1366,'6. OPERATION'!BP$17:BP$149)</f>
        <v>0</v>
      </c>
      <c r="M1391" s="761">
        <f>SUM(C1391:L1391)</f>
        <v>0</v>
      </c>
    </row>
    <row r="1392" spans="2:15" s="3" customFormat="1" ht="13.2" x14ac:dyDescent="0.25">
      <c r="B1392" s="124" t="s">
        <v>113</v>
      </c>
      <c r="C1392" s="88">
        <f>SUM(C1387:C1391)</f>
        <v>0</v>
      </c>
      <c r="D1392" s="88">
        <f t="shared" ref="D1392:M1392" si="306">SUM(D1387:D1391)</f>
        <v>0</v>
      </c>
      <c r="E1392" s="88">
        <f t="shared" si="306"/>
        <v>0</v>
      </c>
      <c r="F1392" s="88">
        <f t="shared" si="306"/>
        <v>0</v>
      </c>
      <c r="G1392" s="88">
        <f t="shared" si="306"/>
        <v>0</v>
      </c>
      <c r="H1392" s="88">
        <f t="shared" si="306"/>
        <v>0</v>
      </c>
      <c r="I1392" s="88">
        <f t="shared" si="306"/>
        <v>0</v>
      </c>
      <c r="J1392" s="88">
        <f t="shared" si="306"/>
        <v>0</v>
      </c>
      <c r="K1392" s="88">
        <f t="shared" si="306"/>
        <v>0</v>
      </c>
      <c r="L1392" s="88">
        <f t="shared" si="306"/>
        <v>0</v>
      </c>
      <c r="M1392" s="142">
        <f t="shared" si="306"/>
        <v>0</v>
      </c>
    </row>
    <row r="1393" spans="2:13" s="3" customFormat="1" ht="13.2" x14ac:dyDescent="0.25">
      <c r="B1393" s="287"/>
      <c r="C1393" s="37"/>
      <c r="D1393" s="37"/>
      <c r="E1393" s="37"/>
      <c r="F1393" s="37"/>
      <c r="G1393" s="37"/>
      <c r="H1393" s="37"/>
      <c r="I1393" s="37"/>
      <c r="J1393" s="37"/>
      <c r="K1393" s="37"/>
      <c r="L1393" s="37"/>
      <c r="M1393" s="37"/>
    </row>
    <row r="1394" spans="2:13" s="3" customFormat="1" ht="12.75" customHeight="1" x14ac:dyDescent="0.25">
      <c r="B1394" s="656" t="str">
        <f>IF('1. INTRO'!I$2="English","Co-funding share in full cost ","Medfinansieringsandel i full kostnad ")</f>
        <v xml:space="preserve">Co-funding share in full cost </v>
      </c>
      <c r="C1394" s="143" t="str">
        <f t="shared" ref="C1394:M1394" si="307">IF(C1392&gt;0,C1384/C1392,"")</f>
        <v/>
      </c>
      <c r="D1394" s="143" t="str">
        <f t="shared" si="307"/>
        <v/>
      </c>
      <c r="E1394" s="143" t="str">
        <f t="shared" si="307"/>
        <v/>
      </c>
      <c r="F1394" s="143" t="str">
        <f t="shared" si="307"/>
        <v/>
      </c>
      <c r="G1394" s="143" t="str">
        <f t="shared" si="307"/>
        <v/>
      </c>
      <c r="H1394" s="143" t="str">
        <f t="shared" si="307"/>
        <v/>
      </c>
      <c r="I1394" s="143" t="str">
        <f t="shared" si="307"/>
        <v/>
      </c>
      <c r="J1394" s="143" t="str">
        <f t="shared" si="307"/>
        <v/>
      </c>
      <c r="K1394" s="143" t="str">
        <f t="shared" si="307"/>
        <v/>
      </c>
      <c r="L1394" s="143" t="str">
        <f t="shared" si="307"/>
        <v/>
      </c>
      <c r="M1394" s="143" t="str">
        <f t="shared" si="307"/>
        <v/>
      </c>
    </row>
    <row r="1395" spans="2:13" ht="12.75" customHeight="1" x14ac:dyDescent="0.2"/>
    <row r="1396" spans="2:13" ht="12.75" customHeight="1" x14ac:dyDescent="0.25">
      <c r="D1396" s="656" t="str">
        <f>IF('1. INTRO'!I$2="English","Co-funding need in average per year: ","Medfinansieringsbehov i genomsnitt per år: ")</f>
        <v xml:space="preserve">Co-funding need in average per year: </v>
      </c>
      <c r="E1396" s="766" t="str">
        <f>IF(M1384=0,"",M1384/(DATEDIF('2. START'!C$18,'2. START'!C$19,"d")/365))</f>
        <v/>
      </c>
      <c r="H1396" s="656" t="str">
        <f>IF('1. INTRO'!I$2="English","Co-funding need 1/3 of total: ","Medfinansieringsbehov 1/3 av totalt: ")</f>
        <v xml:space="preserve">Co-funding need 1/3 of total: </v>
      </c>
      <c r="I1396" s="766">
        <f>M1384/3</f>
        <v>0</v>
      </c>
      <c r="L1396" s="287" t="str">
        <f>IF('1. INTRO'!I$2="English","Co-funding need total: ","Medfinansieringsbehov totalt: ")</f>
        <v xml:space="preserve">Co-funding need total: </v>
      </c>
      <c r="M1396" s="766">
        <f>M1384</f>
        <v>0</v>
      </c>
    </row>
    <row r="1397" spans="2:13" ht="12.75" customHeight="1" x14ac:dyDescent="0.25">
      <c r="B1397" s="53" t="str">
        <f>IF('1. INTRO'!I$2="English","Co-funding sources","Medfinansieringskällor")</f>
        <v>Co-funding sources</v>
      </c>
    </row>
    <row r="1398" spans="2:13" ht="12.75" customHeight="1" x14ac:dyDescent="0.25">
      <c r="B1398" s="225"/>
      <c r="C1398" s="226"/>
      <c r="D1398" s="226"/>
      <c r="E1398" s="226"/>
      <c r="F1398" s="226"/>
      <c r="G1398" s="226"/>
      <c r="H1398" s="226"/>
      <c r="I1398" s="226"/>
      <c r="J1398" s="226"/>
      <c r="K1398" s="226"/>
      <c r="L1398" s="227"/>
      <c r="M1398" s="168">
        <f>SUM(C1398:L1398)</f>
        <v>0</v>
      </c>
    </row>
    <row r="1399" spans="2:13" ht="12.75" customHeight="1" x14ac:dyDescent="0.25">
      <c r="B1399" s="228"/>
      <c r="C1399" s="229"/>
      <c r="D1399" s="229"/>
      <c r="E1399" s="229"/>
      <c r="F1399" s="229"/>
      <c r="G1399" s="229"/>
      <c r="H1399" s="229"/>
      <c r="I1399" s="229"/>
      <c r="J1399" s="229"/>
      <c r="K1399" s="229"/>
      <c r="L1399" s="230"/>
      <c r="M1399" s="755">
        <f t="shared" ref="M1399:M1402" si="308">SUM(C1399:L1399)</f>
        <v>0</v>
      </c>
    </row>
    <row r="1400" spans="2:13" ht="12.75" customHeight="1" x14ac:dyDescent="0.25">
      <c r="B1400" s="231"/>
      <c r="C1400" s="232"/>
      <c r="D1400" s="232"/>
      <c r="E1400" s="232"/>
      <c r="F1400" s="232"/>
      <c r="G1400" s="232"/>
      <c r="H1400" s="232"/>
      <c r="I1400" s="232"/>
      <c r="J1400" s="232"/>
      <c r="K1400" s="232"/>
      <c r="L1400" s="233"/>
      <c r="M1400" s="117">
        <f t="shared" si="308"/>
        <v>0</v>
      </c>
    </row>
    <row r="1401" spans="2:13" ht="12.75" customHeight="1" x14ac:dyDescent="0.25">
      <c r="B1401" s="228"/>
      <c r="C1401" s="229"/>
      <c r="D1401" s="229"/>
      <c r="E1401" s="229"/>
      <c r="F1401" s="229"/>
      <c r="G1401" s="229"/>
      <c r="H1401" s="229"/>
      <c r="I1401" s="229"/>
      <c r="J1401" s="229"/>
      <c r="K1401" s="229"/>
      <c r="L1401" s="230"/>
      <c r="M1401" s="755">
        <f t="shared" si="308"/>
        <v>0</v>
      </c>
    </row>
    <row r="1402" spans="2:13" ht="12.75" customHeight="1" x14ac:dyDescent="0.25">
      <c r="B1402" s="93"/>
      <c r="C1402" s="232"/>
      <c r="D1402" s="232"/>
      <c r="E1402" s="232"/>
      <c r="F1402" s="232"/>
      <c r="G1402" s="232"/>
      <c r="H1402" s="232"/>
      <c r="I1402" s="232"/>
      <c r="J1402" s="232"/>
      <c r="K1402" s="232"/>
      <c r="L1402" s="233"/>
      <c r="M1402" s="117">
        <f t="shared" si="308"/>
        <v>0</v>
      </c>
    </row>
    <row r="1403" spans="2:13" ht="12.75" customHeight="1" x14ac:dyDescent="0.25">
      <c r="B1403" s="84" t="str">
        <f>IF('1. INTRO'!I$2="English","Total co-funding ","Total medfinansiering ")</f>
        <v xml:space="preserve">Total co-funding </v>
      </c>
      <c r="C1403" s="87">
        <f t="shared" ref="C1403:M1403" si="309">SUM(C1398:C1402)</f>
        <v>0</v>
      </c>
      <c r="D1403" s="87">
        <f t="shared" si="309"/>
        <v>0</v>
      </c>
      <c r="E1403" s="87">
        <f t="shared" si="309"/>
        <v>0</v>
      </c>
      <c r="F1403" s="87">
        <f t="shared" si="309"/>
        <v>0</v>
      </c>
      <c r="G1403" s="87">
        <f t="shared" si="309"/>
        <v>0</v>
      </c>
      <c r="H1403" s="87">
        <f t="shared" si="309"/>
        <v>0</v>
      </c>
      <c r="I1403" s="87">
        <f t="shared" si="309"/>
        <v>0</v>
      </c>
      <c r="J1403" s="87">
        <f t="shared" si="309"/>
        <v>0</v>
      </c>
      <c r="K1403" s="87">
        <f t="shared" si="309"/>
        <v>0</v>
      </c>
      <c r="L1403" s="87">
        <f t="shared" si="309"/>
        <v>0</v>
      </c>
      <c r="M1403" s="142">
        <f t="shared" si="309"/>
        <v>0</v>
      </c>
    </row>
    <row r="1404" spans="2:13" ht="12.75" customHeight="1" x14ac:dyDescent="0.2"/>
    <row r="1405" spans="2:13" ht="12.75" customHeight="1" x14ac:dyDescent="0.2">
      <c r="B1405" s="667" t="str">
        <f>IF('1. INTRO'!I$2="English","Calculation comments","Kalkylkommentarer")</f>
        <v>Calculation comments</v>
      </c>
    </row>
    <row r="1406" spans="2:13" ht="12.75" customHeight="1" x14ac:dyDescent="0.2">
      <c r="B1406" s="1142"/>
      <c r="C1406" s="1143"/>
      <c r="D1406" s="1143"/>
      <c r="E1406" s="1143"/>
      <c r="F1406" s="1143"/>
      <c r="G1406" s="1143"/>
      <c r="H1406" s="1143"/>
      <c r="I1406" s="1143"/>
      <c r="J1406" s="1143"/>
      <c r="K1406" s="1143"/>
      <c r="L1406" s="1143"/>
      <c r="M1406" s="1144"/>
    </row>
    <row r="1407" spans="2:13" ht="12.75" customHeight="1" x14ac:dyDescent="0.2">
      <c r="B1407" s="1145"/>
      <c r="C1407" s="1226"/>
      <c r="D1407" s="1226"/>
      <c r="E1407" s="1226"/>
      <c r="F1407" s="1226"/>
      <c r="G1407" s="1226"/>
      <c r="H1407" s="1226"/>
      <c r="I1407" s="1226"/>
      <c r="J1407" s="1226"/>
      <c r="K1407" s="1226"/>
      <c r="L1407" s="1226"/>
      <c r="M1407" s="1147"/>
    </row>
    <row r="1408" spans="2:13" ht="12.75" customHeight="1" x14ac:dyDescent="0.2">
      <c r="B1408" s="1145"/>
      <c r="C1408" s="1226"/>
      <c r="D1408" s="1226"/>
      <c r="E1408" s="1226"/>
      <c r="F1408" s="1226"/>
      <c r="G1408" s="1226"/>
      <c r="H1408" s="1226"/>
      <c r="I1408" s="1226"/>
      <c r="J1408" s="1226"/>
      <c r="K1408" s="1226"/>
      <c r="L1408" s="1226"/>
      <c r="M1408" s="1147"/>
    </row>
    <row r="1409" spans="2:15" ht="12.75" customHeight="1" x14ac:dyDescent="0.2">
      <c r="B1409" s="1145"/>
      <c r="C1409" s="1226"/>
      <c r="D1409" s="1226"/>
      <c r="E1409" s="1226"/>
      <c r="F1409" s="1226"/>
      <c r="G1409" s="1226"/>
      <c r="H1409" s="1226"/>
      <c r="I1409" s="1226"/>
      <c r="J1409" s="1226"/>
      <c r="K1409" s="1226"/>
      <c r="L1409" s="1226"/>
      <c r="M1409" s="1147"/>
    </row>
    <row r="1410" spans="2:15" ht="12.75" customHeight="1" x14ac:dyDescent="0.2">
      <c r="B1410" s="1148"/>
      <c r="C1410" s="1149"/>
      <c r="D1410" s="1149"/>
      <c r="E1410" s="1149"/>
      <c r="F1410" s="1149"/>
      <c r="G1410" s="1149"/>
      <c r="H1410" s="1149"/>
      <c r="I1410" s="1149"/>
      <c r="J1410" s="1149"/>
      <c r="K1410" s="1149"/>
      <c r="L1410" s="1149"/>
      <c r="M1410" s="1150"/>
    </row>
    <row r="1412" spans="2:15" s="3" customFormat="1" ht="12.75" customHeight="1" x14ac:dyDescent="0.25">
      <c r="B1412" s="313" t="str">
        <f>'3. PARTNER'!C$4</f>
        <v xml:space="preserve">Project: </v>
      </c>
      <c r="C1412" s="1062" t="str">
        <f>'3. PARTNER'!D$4</f>
        <v/>
      </c>
      <c r="D1412" s="1001"/>
      <c r="E1412" s="1001"/>
      <c r="F1412" s="1001"/>
      <c r="G1412" s="1001"/>
      <c r="H1412" s="1001"/>
      <c r="I1412" s="1001"/>
      <c r="J1412" s="1001"/>
      <c r="K1412" s="1001"/>
      <c r="L1412" s="1001"/>
      <c r="M1412" s="1001"/>
    </row>
    <row r="1413" spans="2:15" s="3" customFormat="1" ht="13.2" x14ac:dyDescent="0.25">
      <c r="B1413" s="313" t="str">
        <f>'3. PARTNER'!C$5</f>
        <v xml:space="preserve">Calculation for: </v>
      </c>
      <c r="C1413" s="1062" t="str">
        <f>'3. PARTNER'!D$5</f>
        <v>APPLICATION</v>
      </c>
      <c r="D1413" s="1001"/>
      <c r="E1413" s="268"/>
      <c r="F1413" s="268"/>
      <c r="G1413" s="268"/>
      <c r="H1413" s="268"/>
      <c r="I1413" s="268"/>
      <c r="J1413" s="268"/>
      <c r="K1413" s="268"/>
      <c r="L1413" s="268"/>
      <c r="M1413" s="268"/>
    </row>
    <row r="1414" spans="2:15" s="3" customFormat="1" ht="13.2" x14ac:dyDescent="0.25">
      <c r="B1414" s="35" t="str">
        <f>'3. PARTNER'!C$6</f>
        <v xml:space="preserve">Project leader: </v>
      </c>
      <c r="C1414" s="1062" t="str">
        <f>'3. PARTNER'!D$6</f>
        <v/>
      </c>
      <c r="D1414" s="1001"/>
      <c r="E1414" s="1001"/>
      <c r="F1414" s="1001"/>
      <c r="G1414" s="1001"/>
      <c r="H1414" s="1001"/>
      <c r="I1414" s="1001"/>
      <c r="J1414" s="1001"/>
      <c r="K1414" s="1001"/>
      <c r="L1414" s="1001"/>
      <c r="M1414" s="1001"/>
    </row>
    <row r="1415" spans="2:15" s="3" customFormat="1" ht="13.2" x14ac:dyDescent="0.25">
      <c r="B1415" s="313" t="str">
        <f>'5. PERSON'!B$7</f>
        <v xml:space="preserve">Amounts in: </v>
      </c>
      <c r="C1415" s="655" t="str">
        <f>'5. PERSON'!C$7</f>
        <v>SEK</v>
      </c>
      <c r="D1415" s="268"/>
      <c r="E1415" s="268"/>
      <c r="F1415" s="268"/>
      <c r="G1415" s="234"/>
      <c r="H1415" s="234"/>
      <c r="I1415" s="270"/>
      <c r="J1415" s="270"/>
      <c r="K1415" s="270"/>
      <c r="L1415" s="270"/>
      <c r="M1415" s="270"/>
    </row>
    <row r="1416" spans="2:15" s="3" customFormat="1" ht="13.2" x14ac:dyDescent="0.25">
      <c r="B1416" s="313"/>
      <c r="C1416" s="1053" t="str">
        <f>'3. PARTNER'!D$7</f>
        <v>Other basic data about the project is in sheet 2.</v>
      </c>
      <c r="D1416" s="1001"/>
      <c r="E1416" s="1001"/>
      <c r="F1416" s="1001"/>
      <c r="G1416" s="234"/>
      <c r="H1416" s="234"/>
      <c r="I1416" s="270"/>
      <c r="J1416" s="270"/>
      <c r="K1416" s="270"/>
      <c r="L1416" s="251" t="s">
        <v>4</v>
      </c>
      <c r="M1416" s="270"/>
    </row>
    <row r="1417" spans="2:15" ht="12.75" customHeight="1" x14ac:dyDescent="0.2">
      <c r="J1417" s="252" t="s">
        <v>322</v>
      </c>
      <c r="K1417" s="252" t="s">
        <v>323</v>
      </c>
      <c r="L1417" s="252" t="str">
        <f>IF('1. INTRO'!I$2="English","months","månader")</f>
        <v>months</v>
      </c>
    </row>
    <row r="1418" spans="2:15" s="3" customFormat="1" ht="13.8" x14ac:dyDescent="0.25">
      <c r="B1418" s="157" t="str">
        <f>IF('1. INTRO'!I$2="English","Project costs","Projektkostnader")</f>
        <v>Project costs</v>
      </c>
      <c r="C1418" s="668" t="str">
        <f>A41</f>
        <v>260S</v>
      </c>
      <c r="D1418" s="1227" t="str">
        <f>B41</f>
        <v xml:space="preserve">Forest Resource Management </v>
      </c>
      <c r="E1418" s="1001"/>
      <c r="F1418" s="1001"/>
      <c r="G1418" s="37"/>
      <c r="H1418" s="37"/>
      <c r="I1418" s="37"/>
      <c r="J1418" s="643"/>
      <c r="K1418" s="643"/>
      <c r="L1418" s="642">
        <f>SUMIF('5. PERSON'!$B$17:$B$192,$C1418,'5. PERSON'!AE$17:AE$192)</f>
        <v>0</v>
      </c>
      <c r="M1418" s="680" t="s">
        <v>330</v>
      </c>
    </row>
    <row r="1419" spans="2:15" s="3" customFormat="1" ht="6" customHeight="1" x14ac:dyDescent="0.25">
      <c r="B1419" s="57"/>
      <c r="C1419" s="37"/>
      <c r="D1419" s="37"/>
      <c r="E1419" s="37"/>
      <c r="F1419" s="37"/>
      <c r="G1419" s="37"/>
      <c r="H1419" s="37"/>
      <c r="I1419" s="37"/>
      <c r="J1419" s="37"/>
      <c r="K1419" s="37"/>
      <c r="L1419" s="37"/>
      <c r="M1419" s="37"/>
    </row>
    <row r="1420" spans="2:15" s="3" customFormat="1" ht="13.2" x14ac:dyDescent="0.25">
      <c r="B1420" s="110" t="str">
        <f>IF('1. INTRO'!I$2="English","Costs to be covered by funding body","Kostnader att täckas av finansiär")</f>
        <v>Costs to be covered by funding body</v>
      </c>
      <c r="C1420" s="111">
        <f>'5. PERSON'!G$15</f>
        <v>1900</v>
      </c>
      <c r="D1420" s="111" t="str">
        <f>'5. PERSON'!H$15</f>
        <v/>
      </c>
      <c r="E1420" s="111" t="str">
        <f>'5. PERSON'!I$15</f>
        <v/>
      </c>
      <c r="F1420" s="111" t="str">
        <f>'5. PERSON'!J$15</f>
        <v/>
      </c>
      <c r="G1420" s="111" t="str">
        <f>'5. PERSON'!K$15</f>
        <v/>
      </c>
      <c r="H1420" s="111" t="str">
        <f>'5. PERSON'!L$15</f>
        <v/>
      </c>
      <c r="I1420" s="111" t="str">
        <f>'5. PERSON'!M$15</f>
        <v/>
      </c>
      <c r="J1420" s="111" t="str">
        <f>'5. PERSON'!N$15</f>
        <v/>
      </c>
      <c r="K1420" s="111" t="str">
        <f>'5. PERSON'!O$15</f>
        <v/>
      </c>
      <c r="L1420" s="111" t="str">
        <f>'5. PERSON'!P$15</f>
        <v/>
      </c>
      <c r="M1420" s="112" t="s">
        <v>2</v>
      </c>
    </row>
    <row r="1421" spans="2:15" s="3" customFormat="1" ht="12.75" customHeight="1" x14ac:dyDescent="0.25">
      <c r="B1421" s="750" t="str">
        <f>IF('1. INTRO'!I$2="English","Salary including social costs (LKP)","Lön inklusive LKP")</f>
        <v>Salary including social costs (LKP)</v>
      </c>
      <c r="C1421" s="751">
        <f>IF('2. START'!$C$14&gt;0,SUMIF('5. PERSON'!$B$17:$B$192,$C1418,'5. PERSON'!DN$17:DN$192),SUMIF('5. PERSON'!$B$17:$B$192,$C1418,'5. PERSON'!AT$17:AT$192))</f>
        <v>0</v>
      </c>
      <c r="D1421" s="751">
        <f>IF('2. START'!$C$14&gt;0,SUMIF('5. PERSON'!$B$17:$B$192,$C1418,'5. PERSON'!DO$17:DO$192),SUMIF('5. PERSON'!$B$17:$B$192,$C1418,'5. PERSON'!AU$17:AU$192))</f>
        <v>0</v>
      </c>
      <c r="E1421" s="751">
        <f>IF('2. START'!$C$14&gt;0,SUMIF('5. PERSON'!$B$17:$B$192,$C1418,'5. PERSON'!DP$17:DP$192),SUMIF('5. PERSON'!$B$17:$B$192,$C1418,'5. PERSON'!AV$17:AV$192))</f>
        <v>0</v>
      </c>
      <c r="F1421" s="751">
        <f>IF('2. START'!$C$14&gt;0,SUMIF('5. PERSON'!$B$17:$B$192,$C1418,'5. PERSON'!DQ$17:DQ$192),SUMIF('5. PERSON'!$B$17:$B$192,$C1418,'5. PERSON'!AW$17:AW$192))</f>
        <v>0</v>
      </c>
      <c r="G1421" s="751">
        <f>IF('2. START'!$C$14&gt;0,SUMIF('5. PERSON'!$B$17:$B$192,$C1418,'5. PERSON'!DR$17:DR$192),SUMIF('5. PERSON'!$B$17:$B$192,$C1418,'5. PERSON'!AX$17:AX$192))</f>
        <v>0</v>
      </c>
      <c r="H1421" s="751">
        <f>IF('2. START'!$C$14&gt;0,SUMIF('5. PERSON'!$B$17:$B$192,$C1418,'5. PERSON'!DS$17:DS$192),SUMIF('5. PERSON'!$B$17:$B$192,$C1418,'5. PERSON'!AY$17:AY$192))</f>
        <v>0</v>
      </c>
      <c r="I1421" s="751">
        <f>IF('2. START'!$C$14&gt;0,SUMIF('5. PERSON'!$B$17:$B$192,$C1418,'5. PERSON'!DT$17:DT$192),SUMIF('5. PERSON'!$B$17:$B$192,$C1418,'5. PERSON'!AZ$17:AZ$192))</f>
        <v>0</v>
      </c>
      <c r="J1421" s="751">
        <f>IF('2. START'!$C$14&gt;0,SUMIF('5. PERSON'!$B$17:$B$192,$C1418,'5. PERSON'!DU$17:DU$192),SUMIF('5. PERSON'!$B$17:$B$192,$C1418,'5. PERSON'!BA$17:BA$192))</f>
        <v>0</v>
      </c>
      <c r="K1421" s="751">
        <f>IF('2. START'!$C$14&gt;0,SUMIF('5. PERSON'!$B$17:$B$192,$C1418,'5. PERSON'!DV$17:DV$192),SUMIF('5. PERSON'!$B$17:$B$192,$C1418,'5. PERSON'!BB$17:BB$192))</f>
        <v>0</v>
      </c>
      <c r="L1421" s="751">
        <f>IF('2. START'!$C$14&gt;0,SUMIF('5. PERSON'!$B$17:$B$192,$C1418,'5. PERSON'!DW$17:DW$192),SUMIF('5. PERSON'!$B$17:$B$192,$C1418,'5. PERSON'!BC$17:BC$192))</f>
        <v>0</v>
      </c>
      <c r="M1421" s="752">
        <f t="shared" ref="M1421:M1426" si="310">SUM(C1421:L1421)</f>
        <v>0</v>
      </c>
      <c r="O1421" s="4"/>
    </row>
    <row r="1422" spans="2:15" s="3" customFormat="1" ht="12.75" customHeight="1" x14ac:dyDescent="0.25">
      <c r="B1422" s="80" t="str">
        <f>IF('1. INTRO'!I$2="English","Operating","Drift")</f>
        <v>Operating</v>
      </c>
      <c r="C1422" s="116">
        <f>SUMIF('6. OPERATION'!$B$17:$B$149,$C1418,'6. OPERATION'!W$17:W$149)</f>
        <v>0</v>
      </c>
      <c r="D1422" s="116">
        <f>SUMIF('6. OPERATION'!$B$17:$B$149,$C1418,'6. OPERATION'!X$17:X$149)</f>
        <v>0</v>
      </c>
      <c r="E1422" s="116">
        <f>SUMIF('6. OPERATION'!$B$17:$B$149,$C1418,'6. OPERATION'!Y$17:Y$149)</f>
        <v>0</v>
      </c>
      <c r="F1422" s="116">
        <f>SUMIF('6. OPERATION'!$B$17:$B$149,$C1418,'6. OPERATION'!Z$17:Z$149)</f>
        <v>0</v>
      </c>
      <c r="G1422" s="116">
        <f>SUMIF('6. OPERATION'!$B$17:$B$149,$C1418,'6. OPERATION'!AA$17:AA$149)</f>
        <v>0</v>
      </c>
      <c r="H1422" s="116">
        <f>SUMIF('6. OPERATION'!$B$17:$B$149,$C1418,'6. OPERATION'!AB$17:AB$149)</f>
        <v>0</v>
      </c>
      <c r="I1422" s="116">
        <f>SUMIF('6. OPERATION'!$B$17:$B$149,$C1418,'6. OPERATION'!AC$17:AC$149)</f>
        <v>0</v>
      </c>
      <c r="J1422" s="116">
        <f>SUMIF('6. OPERATION'!$B$17:$B$149,$C1418,'6. OPERATION'!AD$17:AD$149)</f>
        <v>0</v>
      </c>
      <c r="K1422" s="116">
        <f>SUMIF('6. OPERATION'!$B$17:$B$149,$C1418,'6. OPERATION'!AE$17:AE$149)</f>
        <v>0</v>
      </c>
      <c r="L1422" s="116">
        <f>SUMIF('6. OPERATION'!$B$17:$B$149,$C1418,'6. OPERATION'!AF$17:AF$149)</f>
        <v>0</v>
      </c>
      <c r="M1422" s="117">
        <f t="shared" si="310"/>
        <v>0</v>
      </c>
    </row>
    <row r="1423" spans="2:15" s="3" customFormat="1" ht="13.2" x14ac:dyDescent="0.25">
      <c r="B1423" s="753" t="str">
        <f>IF('1. INTRO'!I$2="English","Equipment","Utrustning")</f>
        <v>Equipment</v>
      </c>
      <c r="C1423" s="754">
        <f>SUMIF('7. INVEST'!$B$17:$B$49,$C1418,'7. INVEST'!W$17:W$49)</f>
        <v>0</v>
      </c>
      <c r="D1423" s="754">
        <f>SUMIF('7. INVEST'!$B$17:$B$49,$C1418,'7. INVEST'!X$17:X$49)</f>
        <v>0</v>
      </c>
      <c r="E1423" s="754">
        <f>SUMIF('7. INVEST'!$B$17:$B$49,$C1418,'7. INVEST'!Y$17:Y$49)</f>
        <v>0</v>
      </c>
      <c r="F1423" s="754">
        <f>SUMIF('7. INVEST'!$B$17:$B$49,$C1418,'7. INVEST'!Z$17:Z$49)</f>
        <v>0</v>
      </c>
      <c r="G1423" s="754">
        <f>SUMIF('7. INVEST'!$B$17:$B$49,$C1418,'7. INVEST'!AA$17:AA$49)</f>
        <v>0</v>
      </c>
      <c r="H1423" s="754">
        <f>SUMIF('7. INVEST'!$B$17:$B$49,$C1418,'7. INVEST'!AB$17:AB$49)</f>
        <v>0</v>
      </c>
      <c r="I1423" s="754">
        <f>SUMIF('7. INVEST'!$B$17:$B$49,$C1418,'7. INVEST'!AC$17:AC$49)</f>
        <v>0</v>
      </c>
      <c r="J1423" s="754">
        <f>SUMIF('7. INVEST'!$B$17:$B$49,$C1418,'7. INVEST'!AD$17:AD$49)</f>
        <v>0</v>
      </c>
      <c r="K1423" s="754">
        <f>SUMIF('7. INVEST'!$B$17:$B$49,$C1418,'7. INVEST'!AE$17:AE$49)</f>
        <v>0</v>
      </c>
      <c r="L1423" s="754">
        <f>SUMIF('7. INVEST'!$B$17:$B$49,$C1418,'7. INVEST'!AF$17:AF$49)</f>
        <v>0</v>
      </c>
      <c r="M1423" s="755">
        <f t="shared" si="310"/>
        <v>0</v>
      </c>
    </row>
    <row r="1424" spans="2:15" s="3" customFormat="1" ht="13.2" x14ac:dyDescent="0.25">
      <c r="B1424" s="121" t="str">
        <f>IF('1. INTRO'!I$2="English",(IF('2. START'!C$11="NO","Facility accepted as direct cost by funding body","Facility")),IF('2. START'!C$11="NO","Lokal accepterad som direkt kostnad av finansiär","Lokal"))</f>
        <v>Facility</v>
      </c>
      <c r="C1424" s="116">
        <f>IF('2. START'!$C$11="NO",SUMIF('8. FACILIT'!$B$18:$B$50,$C1418,'8. FACILIT'!T$18:T$50),SUMIF('5. PERSON'!$B$17:$B$192,$C1418,'5. PERSON'!CP$17:CP$192)+SUMIF('6. OPERATION'!$B$17:$B$149,$C1418,'6. OPERATION'!BS$17:BS$149)+SUMIF('8. FACILIT'!$B$18:$B$50,$C1418,'8. FACILIT'!T$18:T$50))</f>
        <v>0</v>
      </c>
      <c r="D1424" s="116">
        <f>IF('2. START'!$C$11="NO",SUMIF('8. FACILIT'!$B$18:$B$50,$C1418,'8. FACILIT'!U$18:U$50),SUMIF('5. PERSON'!$B$17:$B$192,$C1418,'5. PERSON'!CQ$17:CQ$192)+SUMIF('6. OPERATION'!$B$17:$B$149,$C1418,'6. OPERATION'!BT$17:BT$149)+SUMIF('8. FACILIT'!$B$18:$B$50,$C1418,'8. FACILIT'!U$18:U$50))</f>
        <v>0</v>
      </c>
      <c r="E1424" s="116">
        <f>IF('2. START'!$C$11="NO",SUMIF('8. FACILIT'!$B$18:$B$50,$C1418,'8. FACILIT'!V$18:V$50),SUMIF('5. PERSON'!$B$17:$B$192,$C1418,'5. PERSON'!CR$17:CR$192)+SUMIF('6. OPERATION'!$B$17:$B$149,$C1418,'6. OPERATION'!BU$17:BU$149)+SUMIF('8. FACILIT'!$B$18:$B$50,$C1418,'8. FACILIT'!V$18:V$50))</f>
        <v>0</v>
      </c>
      <c r="F1424" s="116">
        <f>IF('2. START'!$C$11="NO",SUMIF('8. FACILIT'!$B$18:$B$50,$C1418,'8. FACILIT'!W$18:W$50),SUMIF('5. PERSON'!$B$17:$B$192,$C1418,'5. PERSON'!CS$17:CS$192)+SUMIF('6. OPERATION'!$B$17:$B$149,$C1418,'6. OPERATION'!BV$17:BV$149)+SUMIF('8. FACILIT'!$B$18:$B$50,$C1418,'8. FACILIT'!W$18:W$50))</f>
        <v>0</v>
      </c>
      <c r="G1424" s="116">
        <f>IF('2. START'!$C$11="NO",SUMIF('8. FACILIT'!$B$18:$B$50,$C1418,'8. FACILIT'!X$18:X$50),SUMIF('5. PERSON'!$B$17:$B$192,$C1418,'5. PERSON'!CT$17:CT$192)+SUMIF('6. OPERATION'!$B$17:$B$149,$C1418,'6. OPERATION'!BW$17:BW$149)+SUMIF('8. FACILIT'!$B$18:$B$50,$C1418,'8. FACILIT'!X$18:X$50))</f>
        <v>0</v>
      </c>
      <c r="H1424" s="116">
        <f>IF('2. START'!$C$11="NO",SUMIF('8. FACILIT'!$B$18:$B$50,$C1418,'8. FACILIT'!Y$18:Y$50),SUMIF('5. PERSON'!$B$17:$B$192,$C1418,'5. PERSON'!CU$17:CU$192)+SUMIF('6. OPERATION'!$B$17:$B$149,$C1418,'6. OPERATION'!BX$17:BX$149)+SUMIF('8. FACILIT'!$B$18:$B$50,$C1418,'8. FACILIT'!Y$18:Y$50))</f>
        <v>0</v>
      </c>
      <c r="I1424" s="116">
        <f>IF('2. START'!$C$11="NO",SUMIF('8. FACILIT'!$B$18:$B$50,$C1418,'8. FACILIT'!Z$18:Z$50),SUMIF('5. PERSON'!$B$17:$B$192,$C1418,'5. PERSON'!CV$17:CV$192)+SUMIF('6. OPERATION'!$B$17:$B$149,$C1418,'6. OPERATION'!BY$17:BY$149)+SUMIF('8. FACILIT'!$B$18:$B$50,$C1418,'8. FACILIT'!Z$18:Z$50))</f>
        <v>0</v>
      </c>
      <c r="J1424" s="116">
        <f>IF('2. START'!$C$11="NO",SUMIF('8. FACILIT'!$B$18:$B$50,$C1418,'8. FACILIT'!AA$18:AA$50),SUMIF('5. PERSON'!$B$17:$B$192,$C1418,'5. PERSON'!CW$17:CW$192)+SUMIF('6. OPERATION'!$B$17:$B$149,$C1418,'6. OPERATION'!BZ$17:BZ$149)+SUMIF('8. FACILIT'!$B$18:$B$50,$C1418,'8. FACILIT'!AA$18:AA$50))</f>
        <v>0</v>
      </c>
      <c r="K1424" s="116">
        <f>IF('2. START'!$C$11="NO",SUMIF('8. FACILIT'!$B$18:$B$50,$C1418,'8. FACILIT'!AB$18:AB$50),SUMIF('5. PERSON'!$B$17:$B$192,$C1418,'5. PERSON'!CX$17:CX$192)+SUMIF('6. OPERATION'!$B$17:$B$149,$C1418,'6. OPERATION'!CA$17:CA$149)+SUMIF('8. FACILIT'!$B$18:$B$50,$C1418,'8. FACILIT'!AB$18:AB$50))</f>
        <v>0</v>
      </c>
      <c r="L1424" s="116">
        <f>IF('2. START'!$C$11="NO",SUMIF('8. FACILIT'!$B$18:$B$50,$C1418,'8. FACILIT'!AC$18:AC$50),SUMIF('5. PERSON'!$B$17:$B$192,$C1418,'5. PERSON'!CY$17:CY$192)+SUMIF('6. OPERATION'!$B$17:$B$149,$C1418,'6. OPERATION'!CB$17:CB$149)+SUMIF('8. FACILIT'!$B$18:$B$50,$C1418,'8. FACILIT'!AC$18:AC$50))</f>
        <v>0</v>
      </c>
      <c r="M1424" s="117">
        <f t="shared" si="310"/>
        <v>0</v>
      </c>
    </row>
    <row r="1425" spans="2:15" s="3" customFormat="1" ht="13.2" x14ac:dyDescent="0.25">
      <c r="B1425" s="756" t="str">
        <f>IF('1. INTRO'!I$2="English",(IF('2. START'!C$11="NO","Indirect and facility charge accepted as OH by funding body","Indirect")),IF('2. START'!C$11="NO","Indirekt och lokalpåslag accepterade som OH av finansiär","Indirekt"))</f>
        <v>Indirect</v>
      </c>
      <c r="C1425" s="757">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757">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757">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757">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757">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757">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757">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757">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757">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757">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755">
        <f t="shared" si="310"/>
        <v>0</v>
      </c>
    </row>
    <row r="1426" spans="2:15" s="3" customFormat="1" ht="13.2" x14ac:dyDescent="0.25">
      <c r="B1426" s="124" t="s">
        <v>113</v>
      </c>
      <c r="C1426" s="102">
        <f>SUM(C1421:C1425)</f>
        <v>0</v>
      </c>
      <c r="D1426" s="102">
        <f t="shared" ref="D1426:L1426" si="311">SUM(D1421:D1425)</f>
        <v>0</v>
      </c>
      <c r="E1426" s="102">
        <f t="shared" si="311"/>
        <v>0</v>
      </c>
      <c r="F1426" s="102">
        <f t="shared" si="311"/>
        <v>0</v>
      </c>
      <c r="G1426" s="102">
        <f t="shared" si="311"/>
        <v>0</v>
      </c>
      <c r="H1426" s="102">
        <f t="shared" si="311"/>
        <v>0</v>
      </c>
      <c r="I1426" s="102">
        <f t="shared" si="311"/>
        <v>0</v>
      </c>
      <c r="J1426" s="102">
        <f t="shared" si="311"/>
        <v>0</v>
      </c>
      <c r="K1426" s="102">
        <f t="shared" si="311"/>
        <v>0</v>
      </c>
      <c r="L1426" s="102">
        <f t="shared" si="311"/>
        <v>0</v>
      </c>
      <c r="M1426" s="125">
        <f t="shared" si="310"/>
        <v>0</v>
      </c>
    </row>
    <row r="1427" spans="2:15" s="3" customFormat="1" ht="6" customHeight="1" x14ac:dyDescent="0.25">
      <c r="B1427" s="126"/>
      <c r="C1427" s="127"/>
      <c r="D1427" s="127"/>
      <c r="E1427" s="127"/>
      <c r="F1427" s="127"/>
      <c r="G1427" s="127"/>
      <c r="H1427" s="127"/>
      <c r="I1427" s="127"/>
      <c r="J1427" s="127"/>
      <c r="K1427" s="127"/>
      <c r="L1427" s="127"/>
      <c r="M1427" s="128"/>
    </row>
    <row r="1428" spans="2:15" s="3" customFormat="1" ht="13.2" x14ac:dyDescent="0.25">
      <c r="B1428" s="129" t="str">
        <f>IF('1. INTRO'!I$2="English","Costs to be co-funded","Kostnader att medfinansiera")</f>
        <v>Costs to be co-funded</v>
      </c>
      <c r="C1428" s="86"/>
      <c r="D1428" s="86"/>
      <c r="E1428" s="86"/>
      <c r="F1428" s="86"/>
      <c r="G1428" s="86"/>
      <c r="H1428" s="86"/>
      <c r="I1428" s="86"/>
      <c r="J1428" s="86"/>
      <c r="K1428" s="86"/>
      <c r="L1428" s="86"/>
      <c r="M1428" s="130"/>
    </row>
    <row r="1429" spans="2:15" s="3" customFormat="1" ht="13.2" x14ac:dyDescent="0.25">
      <c r="B1429" s="758" t="str">
        <f>IF('1. INTRO'!I$2="English",(IF('2. START'!C$11="NO","Indirect and facility charge not accepted as OH by funding body","")),IF('2. START'!C$11="NO","Indirekt och lokalpåslag inte accepterade som OH av finansiär",""))</f>
        <v/>
      </c>
      <c r="C1429" s="759">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759">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759">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759">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759">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759">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759">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759">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759">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759">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752">
        <f t="shared" ref="M1429:M1435" si="312">SUM(C1429:L1429)</f>
        <v>0</v>
      </c>
    </row>
    <row r="1430" spans="2:15" s="3" customFormat="1" ht="12.75" customHeight="1" x14ac:dyDescent="0.25">
      <c r="B1430" s="132" t="str">
        <f>IF('1. INTRO'!I$2="English",(IF('2. START'!C$14&gt;0,"Social costs (LKP) not accepted by funding body","")),IF('2. START'!C$14&gt;0,"LKP som inte accepteras av finansiär",""))</f>
        <v/>
      </c>
      <c r="C1430" s="133">
        <f>IF('2. START'!$C$14&gt;0,SUMIF('5. PERSON'!$B$17:$B$192,$C1418,'5. PERSON'!AT$17:AT$192)-SUMIF('5. PERSON'!$B$17:$B$192,$C1418,'5. PERSON'!DN$17:DN$192),0)</f>
        <v>0</v>
      </c>
      <c r="D1430" s="133">
        <f>IF('2. START'!$C$14&gt;0,SUMIF('5. PERSON'!$B$17:$B$192,$C1418,'5. PERSON'!AU$17:AU$192)-SUMIF('5. PERSON'!$B$17:$B$192,$C1418,'5. PERSON'!DO$17:DO$192),0)</f>
        <v>0</v>
      </c>
      <c r="E1430" s="133">
        <f>IF('2. START'!$C$14&gt;0,SUMIF('5. PERSON'!$B$17:$B$192,$C1418,'5. PERSON'!AV$17:AV$192)-SUMIF('5. PERSON'!$B$17:$B$192,$C1418,'5. PERSON'!DP$17:DP$192),0)</f>
        <v>0</v>
      </c>
      <c r="F1430" s="133">
        <f>IF('2. START'!$C$14&gt;0,SUMIF('5. PERSON'!$B$17:$B$192,$C1418,'5. PERSON'!AW$17:AW$192)-SUMIF('5. PERSON'!$B$17:$B$192,$C1418,'5. PERSON'!DQ$17:DQ$192),0)</f>
        <v>0</v>
      </c>
      <c r="G1430" s="133">
        <f>IF('2. START'!$C$14&gt;0,SUMIF('5. PERSON'!$B$17:$B$192,$C1418,'5. PERSON'!AX$17:AX$192)-SUMIF('5. PERSON'!$B$17:$B$192,$C1418,'5. PERSON'!DR$17:DR$192),0)</f>
        <v>0</v>
      </c>
      <c r="H1430" s="133">
        <f>IF('2. START'!$C$14&gt;0,SUMIF('5. PERSON'!$B$17:$B$192,$C1418,'5. PERSON'!AY$17:AY$192)-SUMIF('5. PERSON'!$B$17:$B$192,$C1418,'5. PERSON'!DS$17:DS$192),0)</f>
        <v>0</v>
      </c>
      <c r="I1430" s="133">
        <f>IF('2. START'!$C$14&gt;0,SUMIF('5. PERSON'!$B$17:$B$192,$C1418,'5. PERSON'!AZ$17:AZ$192)-SUMIF('5. PERSON'!$B$17:$B$192,$C1418,'5. PERSON'!DT$17:DT$192),0)</f>
        <v>0</v>
      </c>
      <c r="J1430" s="133">
        <f>IF('2. START'!$C$14&gt;0,SUMIF('5. PERSON'!$B$17:$B$192,$C1418,'5. PERSON'!BA$17:BA$192)-SUMIF('5. PERSON'!$B$17:$B$192,$C1418,'5. PERSON'!DU$17:DU$192),0)</f>
        <v>0</v>
      </c>
      <c r="K1430" s="133">
        <f>IF('2. START'!$C$14&gt;0,SUMIF('5. PERSON'!$B$17:$B$192,$C1418,'5. PERSON'!BB$17:BB$192)-SUMIF('5. PERSON'!$B$17:$B$192,$C1418,'5. PERSON'!DV$17:DV$192),0)</f>
        <v>0</v>
      </c>
      <c r="L1430" s="133">
        <f>IF('2. START'!$C$14&gt;0,SUMIF('5. PERSON'!$B$17:$B$192,$C1418,'5. PERSON'!BC$17:BC$192)-SUMIF('5. PERSON'!$B$17:$B$192,$C1418,'5. PERSON'!DW$17:DW$192),0)</f>
        <v>0</v>
      </c>
      <c r="M1430" s="117">
        <f t="shared" si="312"/>
        <v>0</v>
      </c>
    </row>
    <row r="1431" spans="2:15" s="3" customFormat="1" ht="12.75" customHeight="1" x14ac:dyDescent="0.25">
      <c r="B1431" s="753" t="str">
        <f>IF('1. INTRO'!I$2="English",(IF('5. PERSON'!BP$193&gt;0,"Salary including social costs (LKP)","")),IF('5. PERSON'!BP$193&gt;0,"Lön inklusive LKP",""))</f>
        <v/>
      </c>
      <c r="C1431" s="760">
        <f>SUMIF('5. PERSON'!$B$17:$B$192,$C1418,'5. PERSON'!BF$17:BF$192)</f>
        <v>0</v>
      </c>
      <c r="D1431" s="760">
        <f>SUMIF('5. PERSON'!$B$17:$B$192,$C1418,'5. PERSON'!BG$17:BG$192)</f>
        <v>0</v>
      </c>
      <c r="E1431" s="760">
        <f>SUMIF('5. PERSON'!$B$17:$B$192,$C1418,'5. PERSON'!BH$17:BH$192)</f>
        <v>0</v>
      </c>
      <c r="F1431" s="760">
        <f>SUMIF('5. PERSON'!$B$17:$B$192,$C1418,'5. PERSON'!BI$17:BI$192)</f>
        <v>0</v>
      </c>
      <c r="G1431" s="760">
        <f>SUMIF('5. PERSON'!$B$17:$B$192,$C1418,'5. PERSON'!BJ$17:BJ$192)</f>
        <v>0</v>
      </c>
      <c r="H1431" s="760">
        <f>SUMIF('5. PERSON'!$B$17:$B$192,$C1418,'5. PERSON'!BK$17:BK$192)</f>
        <v>0</v>
      </c>
      <c r="I1431" s="760">
        <f>SUMIF('5. PERSON'!$B$17:$B$192,$C1418,'5. PERSON'!BL$17:BL$192)</f>
        <v>0</v>
      </c>
      <c r="J1431" s="760">
        <f>SUMIF('5. PERSON'!$B$17:$B$192,$C1418,'5. PERSON'!BM$17:BM$192)</f>
        <v>0</v>
      </c>
      <c r="K1431" s="760">
        <f>SUMIF('5. PERSON'!$B$17:$B$192,$C1418,'5. PERSON'!BN$17:BN$192)</f>
        <v>0</v>
      </c>
      <c r="L1431" s="760">
        <f>SUMIF('5. PERSON'!$B$17:$B$192,$C1418,'5. PERSON'!BO$17:BO$192)</f>
        <v>0</v>
      </c>
      <c r="M1431" s="755">
        <f t="shared" si="312"/>
        <v>0</v>
      </c>
    </row>
    <row r="1432" spans="2:15" s="3" customFormat="1" ht="13.2" x14ac:dyDescent="0.25">
      <c r="B1432" s="80" t="str">
        <f>IF('1. INTRO'!I$2="English",(IF('6. OPERATION'!AS$150&gt;0,"Operating","")),IF('6. OPERATION'!AS$150&gt;0,"Drift",""))</f>
        <v/>
      </c>
      <c r="C1432" s="135">
        <f>SUMIF('6. OPERATION'!$B$17:$B$149,$C1418,'6. OPERATION'!AI$17:AI$149)</f>
        <v>0</v>
      </c>
      <c r="D1432" s="135">
        <f>SUMIF('6. OPERATION'!$B$17:$B$149,$C1418,'6. OPERATION'!AJ$17:AJ$149)</f>
        <v>0</v>
      </c>
      <c r="E1432" s="135">
        <f>SUMIF('6. OPERATION'!$B$17:$B$149,$C1418,'6. OPERATION'!AK$17:AK$149)</f>
        <v>0</v>
      </c>
      <c r="F1432" s="135">
        <f>SUMIF('6. OPERATION'!$B$17:$B$149,$C1418,'6. OPERATION'!AL$17:AL$149)</f>
        <v>0</v>
      </c>
      <c r="G1432" s="135">
        <f>SUMIF('6. OPERATION'!$B$17:$B$149,$C1418,'6. OPERATION'!AM$17:AM$149)</f>
        <v>0</v>
      </c>
      <c r="H1432" s="135">
        <f>SUMIF('6. OPERATION'!$B$17:$B$149,$C1418,'6. OPERATION'!AN$17:AN$149)</f>
        <v>0</v>
      </c>
      <c r="I1432" s="135">
        <f>SUMIF('6. OPERATION'!$B$17:$B$149,$C1418,'6. OPERATION'!AO$17:AO$149)</f>
        <v>0</v>
      </c>
      <c r="J1432" s="135">
        <f>SUMIF('6. OPERATION'!$B$17:$B$149,$C1418,'6. OPERATION'!AP$17:AP$149)</f>
        <v>0</v>
      </c>
      <c r="K1432" s="135">
        <f>SUMIF('6. OPERATION'!$B$17:$B$149,$C1418,'6. OPERATION'!AQ$17:AQ$149)</f>
        <v>0</v>
      </c>
      <c r="L1432" s="135">
        <f>SUMIF('6. OPERATION'!$B$17:$B$149,$C1418,'6. OPERATION'!AR$17:AR$149)</f>
        <v>0</v>
      </c>
      <c r="M1432" s="117">
        <f t="shared" si="312"/>
        <v>0</v>
      </c>
    </row>
    <row r="1433" spans="2:15" s="3" customFormat="1" ht="13.2" x14ac:dyDescent="0.25">
      <c r="B1433" s="753" t="str">
        <f>IF('1. INTRO'!I$2="English",(IF('7. INVEST'!AS$50&gt;0,"Equipment","")),IF('7. INVEST'!AS$50&gt;0,"Utrustning",""))</f>
        <v/>
      </c>
      <c r="C1433" s="760">
        <f>SUMIF('7. INVEST'!$B$17:$B$49,$C1418,'7. INVEST'!AI$17:AI$49)</f>
        <v>0</v>
      </c>
      <c r="D1433" s="760">
        <f>SUMIF('7. INVEST'!$B$17:$B$49,$C1418,'7. INVEST'!AJ$17:AJ$49)</f>
        <v>0</v>
      </c>
      <c r="E1433" s="760">
        <f>SUMIF('7. INVEST'!$B$17:$B$49,$C1418,'7. INVEST'!AK$17:AK$49)</f>
        <v>0</v>
      </c>
      <c r="F1433" s="760">
        <f>SUMIF('7. INVEST'!$B$17:$B$49,$C1418,'7. INVEST'!AL$17:AL$49)</f>
        <v>0</v>
      </c>
      <c r="G1433" s="760">
        <f>SUMIF('7. INVEST'!$B$17:$B$49,$C1418,'7. INVEST'!AM$17:AM$49)</f>
        <v>0</v>
      </c>
      <c r="H1433" s="760">
        <f>SUMIF('7. INVEST'!$B$17:$B$49,$C1418,'7. INVEST'!AN$17:AN$49)</f>
        <v>0</v>
      </c>
      <c r="I1433" s="760">
        <f>SUMIF('7. INVEST'!$B$17:$B$49,$C1418,'7. INVEST'!AO$17:AO$49)</f>
        <v>0</v>
      </c>
      <c r="J1433" s="760">
        <f>SUMIF('7. INVEST'!$B$17:$B$49,$C1418,'7. INVEST'!AP$17:AP$49)</f>
        <v>0</v>
      </c>
      <c r="K1433" s="760">
        <f>SUMIF('7. INVEST'!$B$17:$B$49,$C1418,'7. INVEST'!AQ$17:AQ$49)</f>
        <v>0</v>
      </c>
      <c r="L1433" s="760">
        <f>SUMIF('7. INVEST'!$B$17:$B$49,$C1418,'7. INVEST'!AR$17:AR$49)</f>
        <v>0</v>
      </c>
      <c r="M1433" s="755">
        <f t="shared" si="312"/>
        <v>0</v>
      </c>
    </row>
    <row r="1434" spans="2:15" s="3" customFormat="1" ht="13.2" x14ac:dyDescent="0.25">
      <c r="B1434" s="121" t="str">
        <f>IF('1. INTRO'!I$2="English",(IF('8. FACILIT'!AP$51&gt;0,"Facility","")),IF('8. FACILIT'!AP$51&gt;0,"Lokal",""))</f>
        <v/>
      </c>
      <c r="C1434" s="135">
        <f>SUMIF('5. PERSON'!$B$17:$B$192,$C1418,'5. PERSON'!DB$17:DB$192)+SUMIF('6. OPERATION'!$B$17:$B$149,$C1418,'6. OPERATION'!CE$17:CE$149)+SUMIF('8. FACILIT'!$B$18:$B$50,$C1418,'8. FACILIT'!AF$18:AF$50)</f>
        <v>0</v>
      </c>
      <c r="D1434" s="135">
        <f>SUMIF('5. PERSON'!$B$17:$B$192,$C1418,'5. PERSON'!DC$17:DC$192)+SUMIF('6. OPERATION'!$B$17:$B$149,$C1418,'6. OPERATION'!CF$17:CF$149)+SUMIF('8. FACILIT'!$B$18:$B$50,$C1418,'8. FACILIT'!AG$18:AG$50)</f>
        <v>0</v>
      </c>
      <c r="E1434" s="135">
        <f>SUMIF('5. PERSON'!$B$17:$B$192,$C1418,'5. PERSON'!DD$17:DD$192)+SUMIF('6. OPERATION'!$B$17:$B$149,$C1418,'6. OPERATION'!CG$17:CG$149)+SUMIF('8. FACILIT'!$B$18:$B$50,$C1418,'8. FACILIT'!AH$18:AH$50)</f>
        <v>0</v>
      </c>
      <c r="F1434" s="135">
        <f>SUMIF('5. PERSON'!$B$17:$B$192,$C1418,'5. PERSON'!DE$17:DE$192)+SUMIF('6. OPERATION'!$B$17:$B$149,$C1418,'6. OPERATION'!CH$17:CH$149)+SUMIF('8. FACILIT'!$B$18:$B$50,$C1418,'8. FACILIT'!AI$18:AI$50)</f>
        <v>0</v>
      </c>
      <c r="G1434" s="135">
        <f>SUMIF('5. PERSON'!$B$17:$B$192,$C1418,'5. PERSON'!DF$17:DF$192)+SUMIF('6. OPERATION'!$B$17:$B$149,$C1418,'6. OPERATION'!CI$17:CI$149)+SUMIF('8. FACILIT'!$B$18:$B$50,$C1418,'8. FACILIT'!AJ$18:AJ$50)</f>
        <v>0</v>
      </c>
      <c r="H1434" s="135">
        <f>SUMIF('5. PERSON'!$B$17:$B$192,$C1418,'5. PERSON'!DG$17:DG$192)+SUMIF('6. OPERATION'!$B$17:$B$149,$C1418,'6. OPERATION'!CJ$17:CJ$149)+SUMIF('8. FACILIT'!$B$18:$B$50,$C1418,'8. FACILIT'!AK$18:AK$50)</f>
        <v>0</v>
      </c>
      <c r="I1434" s="135">
        <f>SUMIF('5. PERSON'!$B$17:$B$192,$C1418,'5. PERSON'!DH$17:DH$192)+SUMIF('6. OPERATION'!$B$17:$B$149,$C1418,'6. OPERATION'!CK$17:CK$149)+SUMIF('8. FACILIT'!$B$18:$B$50,$C1418,'8. FACILIT'!AL$18:AL$50)</f>
        <v>0</v>
      </c>
      <c r="J1434" s="135">
        <f>SUMIF('5. PERSON'!$B$17:$B$192,$C1418,'5. PERSON'!DI$17:DI$192)+SUMIF('6. OPERATION'!$B$17:$B$149,$C1418,'6. OPERATION'!CL$17:CL$149)+SUMIF('8. FACILIT'!$B$18:$B$50,$C1418,'8. FACILIT'!AM$18:AM$50)</f>
        <v>0</v>
      </c>
      <c r="K1434" s="135">
        <f>SUMIF('5. PERSON'!$B$17:$B$192,$C1418,'5. PERSON'!DJ$17:DJ$192)+SUMIF('6. OPERATION'!$B$17:$B$149,$C1418,'6. OPERATION'!CM$17:CM$149)+SUMIF('8. FACILIT'!$B$18:$B$50,$C1418,'8. FACILIT'!AN$18:AN$50)</f>
        <v>0</v>
      </c>
      <c r="L1434" s="135">
        <f>SUMIF('5. PERSON'!$B$17:$B$192,$C1418,'5. PERSON'!DK$17:DK$192)+SUMIF('6. OPERATION'!$B$17:$B$149,$C1418,'6. OPERATION'!CN$17:CN$149)+SUMIF('8. FACILIT'!$B$18:$B$50,$C1418,'8. FACILIT'!AO$18:AO$50)</f>
        <v>0</v>
      </c>
      <c r="M1434" s="117">
        <f t="shared" si="312"/>
        <v>0</v>
      </c>
    </row>
    <row r="1435" spans="2:15" s="1" customFormat="1" ht="13.2" x14ac:dyDescent="0.25">
      <c r="B1435" s="756" t="str">
        <f>IF('1. INTRO'!I$2="English",(IF(('5. PERSON'!CN$193+'6. OPERATION'!BQ$150)&gt;0,"Indirect","")),IF(('5. PERSON'!CN$193+'6. OPERATION'!BQ$150)&gt;0,"Indirekt",""))</f>
        <v/>
      </c>
      <c r="C1435" s="757">
        <f>SUMIF('5. PERSON'!$B$17:$B$192,$C1418,'5. PERSON'!CD$17:CD$192)+SUMIF('6. OPERATION'!$B$17:$B$149,$C1418,'6. OPERATION'!BG$17:BG$149)</f>
        <v>0</v>
      </c>
      <c r="D1435" s="757">
        <f>SUMIF('5. PERSON'!$B$17:$B$192,$C1418,'5. PERSON'!CE$17:CE$192)+SUMIF('6. OPERATION'!$B$17:$B$149,$C1418,'6. OPERATION'!BH$17:BH$149)</f>
        <v>0</v>
      </c>
      <c r="E1435" s="757">
        <f>SUMIF('5. PERSON'!$B$17:$B$192,$C1418,'5. PERSON'!CF$17:CF$192)+SUMIF('6. OPERATION'!$B$17:$B$149,$C1418,'6. OPERATION'!BI$17:BI$149)</f>
        <v>0</v>
      </c>
      <c r="F1435" s="757">
        <f>SUMIF('5. PERSON'!$B$17:$B$192,$C1418,'5. PERSON'!CG$17:CG$192)+SUMIF('6. OPERATION'!$B$17:$B$149,$C1418,'6. OPERATION'!BJ$17:BJ$149)</f>
        <v>0</v>
      </c>
      <c r="G1435" s="757">
        <f>SUMIF('5. PERSON'!$B$17:$B$192,$C1418,'5. PERSON'!CH$17:CH$192)+SUMIF('6. OPERATION'!$B$17:$B$149,$C1418,'6. OPERATION'!BK$17:BK$149)</f>
        <v>0</v>
      </c>
      <c r="H1435" s="757">
        <f>SUMIF('5. PERSON'!$B$17:$B$192,$C1418,'5. PERSON'!CI$17:CI$192)+SUMIF('6. OPERATION'!$B$17:$B$149,$C1418,'6. OPERATION'!BL$17:BL$149)</f>
        <v>0</v>
      </c>
      <c r="I1435" s="757">
        <f>SUMIF('5. PERSON'!$B$17:$B$192,$C1418,'5. PERSON'!CJ$17:CJ$192)+SUMIF('6. OPERATION'!$B$17:$B$149,$C1418,'6. OPERATION'!BM$17:BM$149)</f>
        <v>0</v>
      </c>
      <c r="J1435" s="757">
        <f>SUMIF('5. PERSON'!$B$17:$B$192,$C1418,'5. PERSON'!CK$17:CK$192)+SUMIF('6. OPERATION'!$B$17:$B$149,$C1418,'6. OPERATION'!BN$17:BN$149)</f>
        <v>0</v>
      </c>
      <c r="K1435" s="757">
        <f>SUMIF('5. PERSON'!$B$17:$B$192,$C1418,'5. PERSON'!CL$17:CL$192)+SUMIF('6. OPERATION'!$B$17:$B$149,$C1418,'6. OPERATION'!BO$17:BO$149)</f>
        <v>0</v>
      </c>
      <c r="L1435" s="757">
        <f>SUMIF('5. PERSON'!$B$17:$B$192,$C1418,'5. PERSON'!CM$17:CM$192)+SUMIF('6. OPERATION'!$B$17:$B$149,$C1418,'6. OPERATION'!BP$17:BP$149)</f>
        <v>0</v>
      </c>
      <c r="M1435" s="761">
        <f t="shared" si="312"/>
        <v>0</v>
      </c>
    </row>
    <row r="1436" spans="2:15" s="3" customFormat="1" ht="13.2" x14ac:dyDescent="0.25">
      <c r="B1436" s="124" t="s">
        <v>113</v>
      </c>
      <c r="C1436" s="102">
        <f>SUM(C1429:C1435)</f>
        <v>0</v>
      </c>
      <c r="D1436" s="102">
        <f t="shared" ref="D1436:M1436" si="313">SUM(D1429:D1435)</f>
        <v>0</v>
      </c>
      <c r="E1436" s="102">
        <f t="shared" si="313"/>
        <v>0</v>
      </c>
      <c r="F1436" s="102">
        <f t="shared" si="313"/>
        <v>0</v>
      </c>
      <c r="G1436" s="102">
        <f t="shared" si="313"/>
        <v>0</v>
      </c>
      <c r="H1436" s="102">
        <f t="shared" si="313"/>
        <v>0</v>
      </c>
      <c r="I1436" s="102">
        <f t="shared" si="313"/>
        <v>0</v>
      </c>
      <c r="J1436" s="102">
        <f t="shared" si="313"/>
        <v>0</v>
      </c>
      <c r="K1436" s="102">
        <f t="shared" si="313"/>
        <v>0</v>
      </c>
      <c r="L1436" s="102">
        <f t="shared" si="313"/>
        <v>0</v>
      </c>
      <c r="M1436" s="125">
        <f t="shared" si="313"/>
        <v>0</v>
      </c>
      <c r="N1436" s="23"/>
      <c r="O1436" s="23"/>
    </row>
    <row r="1437" spans="2:15" s="3" customFormat="1" ht="6" customHeight="1" x14ac:dyDescent="0.25">
      <c r="B1437" s="136"/>
      <c r="C1437" s="127"/>
      <c r="D1437" s="127"/>
      <c r="E1437" s="127"/>
      <c r="F1437" s="127"/>
      <c r="G1437" s="127"/>
      <c r="H1437" s="127"/>
      <c r="I1437" s="127"/>
      <c r="J1437" s="127"/>
      <c r="K1437" s="127"/>
      <c r="L1437" s="127"/>
      <c r="M1437" s="137"/>
    </row>
    <row r="1438" spans="2:15" s="3" customFormat="1" ht="13.2" x14ac:dyDescent="0.25">
      <c r="B1438" s="129" t="str">
        <f>IF('1. INTRO'!I$2="English","Full cost","Full kostnad")</f>
        <v>Full cost</v>
      </c>
      <c r="C1438" s="127"/>
      <c r="D1438" s="127"/>
      <c r="E1438" s="127"/>
      <c r="F1438" s="127"/>
      <c r="G1438" s="127"/>
      <c r="H1438" s="127"/>
      <c r="I1438" s="127"/>
      <c r="J1438" s="127"/>
      <c r="K1438" s="127"/>
      <c r="L1438" s="127"/>
      <c r="M1438" s="137"/>
    </row>
    <row r="1439" spans="2:15" s="3" customFormat="1" ht="13.2" x14ac:dyDescent="0.25">
      <c r="B1439" s="750" t="str">
        <f>IF('1. INTRO'!I$2="English","Salary including social costs (LKP)","Lön inklusive LKP")</f>
        <v>Salary including social costs (LKP)</v>
      </c>
      <c r="C1439" s="762">
        <f>C1421+C1430+C1431</f>
        <v>0</v>
      </c>
      <c r="D1439" s="762">
        <f t="shared" ref="D1439:L1439" si="314">D1421+D1430+D1431</f>
        <v>0</v>
      </c>
      <c r="E1439" s="762">
        <f t="shared" si="314"/>
        <v>0</v>
      </c>
      <c r="F1439" s="762">
        <f t="shared" si="314"/>
        <v>0</v>
      </c>
      <c r="G1439" s="762">
        <f t="shared" si="314"/>
        <v>0</v>
      </c>
      <c r="H1439" s="762">
        <f t="shared" si="314"/>
        <v>0</v>
      </c>
      <c r="I1439" s="762">
        <f t="shared" si="314"/>
        <v>0</v>
      </c>
      <c r="J1439" s="762">
        <f t="shared" si="314"/>
        <v>0</v>
      </c>
      <c r="K1439" s="762">
        <f t="shared" si="314"/>
        <v>0</v>
      </c>
      <c r="L1439" s="762">
        <f t="shared" si="314"/>
        <v>0</v>
      </c>
      <c r="M1439" s="752">
        <f>SUM(C1439:L1439)</f>
        <v>0</v>
      </c>
    </row>
    <row r="1440" spans="2:15" s="3" customFormat="1" ht="13.2" x14ac:dyDescent="0.25">
      <c r="B1440" s="80" t="str">
        <f>IF('1. INTRO'!I$2="English","Operating","Drift")</f>
        <v>Operating</v>
      </c>
      <c r="C1440" s="139">
        <f>C1422+C1432</f>
        <v>0</v>
      </c>
      <c r="D1440" s="139">
        <f t="shared" ref="D1440:L1440" si="315">D1422+D1432</f>
        <v>0</v>
      </c>
      <c r="E1440" s="139">
        <f t="shared" si="315"/>
        <v>0</v>
      </c>
      <c r="F1440" s="139">
        <f t="shared" si="315"/>
        <v>0</v>
      </c>
      <c r="G1440" s="139">
        <f t="shared" si="315"/>
        <v>0</v>
      </c>
      <c r="H1440" s="139">
        <f t="shared" si="315"/>
        <v>0</v>
      </c>
      <c r="I1440" s="139">
        <f t="shared" si="315"/>
        <v>0</v>
      </c>
      <c r="J1440" s="139">
        <f t="shared" si="315"/>
        <v>0</v>
      </c>
      <c r="K1440" s="139">
        <f t="shared" si="315"/>
        <v>0</v>
      </c>
      <c r="L1440" s="139">
        <f t="shared" si="315"/>
        <v>0</v>
      </c>
      <c r="M1440" s="117">
        <f>SUM(C1440:L1440)</f>
        <v>0</v>
      </c>
    </row>
    <row r="1441" spans="2:13" s="3" customFormat="1" ht="13.2" x14ac:dyDescent="0.25">
      <c r="B1441" s="753" t="str">
        <f>IF('1. INTRO'!I$2="English","Equipment","Utrustning")</f>
        <v>Equipment</v>
      </c>
      <c r="C1441" s="763">
        <f>C1423+C1433</f>
        <v>0</v>
      </c>
      <c r="D1441" s="763">
        <f t="shared" ref="D1441:L1441" si="316">D1423+D1433</f>
        <v>0</v>
      </c>
      <c r="E1441" s="763">
        <f t="shared" si="316"/>
        <v>0</v>
      </c>
      <c r="F1441" s="763">
        <f t="shared" si="316"/>
        <v>0</v>
      </c>
      <c r="G1441" s="763">
        <f t="shared" si="316"/>
        <v>0</v>
      </c>
      <c r="H1441" s="763">
        <f t="shared" si="316"/>
        <v>0</v>
      </c>
      <c r="I1441" s="763">
        <f t="shared" si="316"/>
        <v>0</v>
      </c>
      <c r="J1441" s="763">
        <f t="shared" si="316"/>
        <v>0</v>
      </c>
      <c r="K1441" s="763">
        <f t="shared" si="316"/>
        <v>0</v>
      </c>
      <c r="L1441" s="763">
        <f t="shared" si="316"/>
        <v>0</v>
      </c>
      <c r="M1441" s="755">
        <f>SUM(C1441:L1441)</f>
        <v>0</v>
      </c>
    </row>
    <row r="1442" spans="2:13" s="3" customFormat="1" ht="13.2" x14ac:dyDescent="0.25">
      <c r="B1442" s="80" t="str">
        <f>IF('1. INTRO'!I$2="English","Facility","Lokal")</f>
        <v>Facility</v>
      </c>
      <c r="C1442" s="139">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39">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39">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39">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39">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39">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39">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39">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39">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39">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117">
        <f>SUM(C1442:L1442)</f>
        <v>0</v>
      </c>
    </row>
    <row r="1443" spans="2:13" s="3" customFormat="1" ht="13.2" x14ac:dyDescent="0.25">
      <c r="B1443" s="764" t="str">
        <f>IF('1. INTRO'!I$2="English","Indirect","Indirekt")</f>
        <v>Indirect</v>
      </c>
      <c r="C1443" s="765">
        <f>SUMIF('5. PERSON'!$B$17:$B$192,$C1418,'5. PERSON'!BR$17:BR$192)+SUMIF('5. PERSON'!$B$17:$B$192,$C1418,'5. PERSON'!CD$17:CD$192)+SUMIF('6. OPERATION'!$B$17:$B$149,$C1418,'6. OPERATION'!AU$17:AU$149)+SUMIF('6. OPERATION'!$B$17:$B$149,$C1418,'6. OPERATION'!BG$17:BG$149)</f>
        <v>0</v>
      </c>
      <c r="D1443" s="765">
        <f>SUMIF('5. PERSON'!$B$17:$B$192,$C1418,'5. PERSON'!BS$17:BS$192)+SUMIF('5. PERSON'!$B$17:$B$192,$C1418,'5. PERSON'!CE$17:CE$192)+SUMIF('6. OPERATION'!$B$17:$B$149,$C1418,'6. OPERATION'!AV$17:AV$149)+SUMIF('6. OPERATION'!$B$17:$B$149,$C1418,'6. OPERATION'!BH$17:BH$149)</f>
        <v>0</v>
      </c>
      <c r="E1443" s="765">
        <f>SUMIF('5. PERSON'!$B$17:$B$192,$C1418,'5. PERSON'!BT$17:BT$192)+SUMIF('5. PERSON'!$B$17:$B$192,$C1418,'5. PERSON'!CF$17:CF$192)+SUMIF('6. OPERATION'!$B$17:$B$149,$C1418,'6. OPERATION'!AW$17:AW$149)+SUMIF('6. OPERATION'!$B$17:$B$149,$C1418,'6. OPERATION'!BI$17:BI$149)</f>
        <v>0</v>
      </c>
      <c r="F1443" s="765">
        <f>SUMIF('5. PERSON'!$B$17:$B$192,$C1418,'5. PERSON'!BU$17:BU$192)+SUMIF('5. PERSON'!$B$17:$B$192,$C1418,'5. PERSON'!CG$17:CG$192)+SUMIF('6. OPERATION'!$B$17:$B$149,$C1418,'6. OPERATION'!AX$17:AX$149)+SUMIF('6. OPERATION'!$B$17:$B$149,$C1418,'6. OPERATION'!BJ$17:BJ$149)</f>
        <v>0</v>
      </c>
      <c r="G1443" s="765">
        <f>SUMIF('5. PERSON'!$B$17:$B$192,$C1418,'5. PERSON'!BV$17:BV$192)+SUMIF('5. PERSON'!$B$17:$B$192,$C1418,'5. PERSON'!CH$17:CH$192)+SUMIF('6. OPERATION'!$B$17:$B$149,$C1418,'6. OPERATION'!AY$17:AY$149)+SUMIF('6. OPERATION'!$B$17:$B$149,$C1418,'6. OPERATION'!BK$17:BK$149)</f>
        <v>0</v>
      </c>
      <c r="H1443" s="765">
        <f>SUMIF('5. PERSON'!$B$17:$B$192,$C1418,'5. PERSON'!BW$17:BW$192)+SUMIF('5. PERSON'!$B$17:$B$192,$C1418,'5. PERSON'!CI$17:CI$192)+SUMIF('6. OPERATION'!$B$17:$B$149,$C1418,'6. OPERATION'!AZ$17:AZ$149)+SUMIF('6. OPERATION'!$B$17:$B$149,$C1418,'6. OPERATION'!BL$17:BL$149)</f>
        <v>0</v>
      </c>
      <c r="I1443" s="765">
        <f>SUMIF('5. PERSON'!$B$17:$B$192,$C1418,'5. PERSON'!BX$17:BX$192)+SUMIF('5. PERSON'!$B$17:$B$192,$C1418,'5. PERSON'!CJ$17:CJ$192)+SUMIF('6. OPERATION'!$B$17:$B$149,$C1418,'6. OPERATION'!BA$17:BA$149)+SUMIF('6. OPERATION'!$B$17:$B$149,$C1418,'6. OPERATION'!BM$17:BM$149)</f>
        <v>0</v>
      </c>
      <c r="J1443" s="765">
        <f>SUMIF('5. PERSON'!$B$17:$B$192,$C1418,'5. PERSON'!BY$17:BY$192)+SUMIF('5. PERSON'!$B$17:$B$192,$C1418,'5. PERSON'!CK$17:CK$192)+SUMIF('6. OPERATION'!$B$17:$B$149,$C1418,'6. OPERATION'!BB$17:BB$149)+SUMIF('6. OPERATION'!$B$17:$B$149,$C1418,'6. OPERATION'!BN$17:BN$149)</f>
        <v>0</v>
      </c>
      <c r="K1443" s="765">
        <f>SUMIF('5. PERSON'!$B$17:$B$192,$C1418,'5. PERSON'!BZ$17:BZ$192)+SUMIF('5. PERSON'!$B$17:$B$192,$C1418,'5. PERSON'!CL$17:CL$192)+SUMIF('6. OPERATION'!$B$17:$B$149,$C1418,'6. OPERATION'!BC$17:BC$149)+SUMIF('6. OPERATION'!$B$17:$B$149,$C1418,'6. OPERATION'!BO$17:BO$149)</f>
        <v>0</v>
      </c>
      <c r="L1443" s="765">
        <f>SUMIF('5. PERSON'!$B$17:$B$192,$C1418,'5. PERSON'!CA$17:CA$192)+SUMIF('5. PERSON'!$B$17:$B$192,$C1418,'5. PERSON'!CM$17:CM$192)+SUMIF('6. OPERATION'!$B$17:$B$149,$C1418,'6. OPERATION'!BD$17:BD$149)+SUMIF('6. OPERATION'!$B$17:$B$149,$C1418,'6. OPERATION'!BP$17:BP$149)</f>
        <v>0</v>
      </c>
      <c r="M1443" s="761">
        <f>SUM(C1443:L1443)</f>
        <v>0</v>
      </c>
    </row>
    <row r="1444" spans="2:13" s="3" customFormat="1" ht="13.2" x14ac:dyDescent="0.25">
      <c r="B1444" s="124" t="s">
        <v>113</v>
      </c>
      <c r="C1444" s="88">
        <f>SUM(C1439:C1443)</f>
        <v>0</v>
      </c>
      <c r="D1444" s="88">
        <f t="shared" ref="D1444:M1444" si="317">SUM(D1439:D1443)</f>
        <v>0</v>
      </c>
      <c r="E1444" s="88">
        <f t="shared" si="317"/>
        <v>0</v>
      </c>
      <c r="F1444" s="88">
        <f t="shared" si="317"/>
        <v>0</v>
      </c>
      <c r="G1444" s="88">
        <f t="shared" si="317"/>
        <v>0</v>
      </c>
      <c r="H1444" s="88">
        <f t="shared" si="317"/>
        <v>0</v>
      </c>
      <c r="I1444" s="88">
        <f t="shared" si="317"/>
        <v>0</v>
      </c>
      <c r="J1444" s="88">
        <f t="shared" si="317"/>
        <v>0</v>
      </c>
      <c r="K1444" s="88">
        <f t="shared" si="317"/>
        <v>0</v>
      </c>
      <c r="L1444" s="88">
        <f t="shared" si="317"/>
        <v>0</v>
      </c>
      <c r="M1444" s="142">
        <f t="shared" si="317"/>
        <v>0</v>
      </c>
    </row>
    <row r="1445" spans="2:13" s="3" customFormat="1" ht="13.2" x14ac:dyDescent="0.25">
      <c r="B1445" s="287"/>
      <c r="C1445" s="37"/>
      <c r="D1445" s="37"/>
      <c r="E1445" s="37"/>
      <c r="F1445" s="37"/>
      <c r="G1445" s="37"/>
      <c r="H1445" s="37"/>
      <c r="I1445" s="37"/>
      <c r="J1445" s="37"/>
      <c r="K1445" s="37"/>
      <c r="L1445" s="37"/>
      <c r="M1445" s="37"/>
    </row>
    <row r="1446" spans="2:13" s="3" customFormat="1" ht="12.75" customHeight="1" x14ac:dyDescent="0.25">
      <c r="B1446" s="656" t="str">
        <f>IF('1. INTRO'!I$2="English","Co-funding share in full cost ","Medfinansieringsandel i full kostnad ")</f>
        <v xml:space="preserve">Co-funding share in full cost </v>
      </c>
      <c r="C1446" s="143" t="str">
        <f t="shared" ref="C1446:M1446" si="318">IF(C1444&gt;0,C1436/C1444,"")</f>
        <v/>
      </c>
      <c r="D1446" s="143" t="str">
        <f t="shared" si="318"/>
        <v/>
      </c>
      <c r="E1446" s="143" t="str">
        <f t="shared" si="318"/>
        <v/>
      </c>
      <c r="F1446" s="143" t="str">
        <f t="shared" si="318"/>
        <v/>
      </c>
      <c r="G1446" s="143" t="str">
        <f t="shared" si="318"/>
        <v/>
      </c>
      <c r="H1446" s="143" t="str">
        <f t="shared" si="318"/>
        <v/>
      </c>
      <c r="I1446" s="143" t="str">
        <f t="shared" si="318"/>
        <v/>
      </c>
      <c r="J1446" s="143" t="str">
        <f t="shared" si="318"/>
        <v/>
      </c>
      <c r="K1446" s="143" t="str">
        <f t="shared" si="318"/>
        <v/>
      </c>
      <c r="L1446" s="143" t="str">
        <f t="shared" si="318"/>
        <v/>
      </c>
      <c r="M1446" s="143" t="str">
        <f t="shared" si="318"/>
        <v/>
      </c>
    </row>
    <row r="1447" spans="2:13" ht="12.75" customHeight="1" x14ac:dyDescent="0.2"/>
    <row r="1448" spans="2:13" ht="12.75" customHeight="1" x14ac:dyDescent="0.25">
      <c r="D1448" s="656" t="str">
        <f>IF('1. INTRO'!I$2="English","Co-funding need in average per year: ","Medfinansieringsbehov i genomsnitt per år: ")</f>
        <v xml:space="preserve">Co-funding need in average per year: </v>
      </c>
      <c r="E1448" s="766" t="str">
        <f>IF(M1436=0,"",M1436/(DATEDIF('2. START'!C$18,'2. START'!C$19,"d")/365))</f>
        <v/>
      </c>
      <c r="H1448" s="656" t="str">
        <f>IF('1. INTRO'!I$2="English","Co-funding need 1/3 of total: ","Medfinansieringsbehov 1/3 av totalt: ")</f>
        <v xml:space="preserve">Co-funding need 1/3 of total: </v>
      </c>
      <c r="I1448" s="766">
        <f>M1436/3</f>
        <v>0</v>
      </c>
      <c r="L1448" s="287" t="str">
        <f>IF('1. INTRO'!I$2="English","Co-funding need total: ","Medfinansieringsbehov totalt: ")</f>
        <v xml:space="preserve">Co-funding need total: </v>
      </c>
      <c r="M1448" s="766">
        <f>M1436</f>
        <v>0</v>
      </c>
    </row>
    <row r="1449" spans="2:13" ht="12.75" customHeight="1" x14ac:dyDescent="0.25">
      <c r="B1449" s="53" t="str">
        <f>IF('1. INTRO'!I$2="English","Co-funding sources","Medfinansieringskällor")</f>
        <v>Co-funding sources</v>
      </c>
    </row>
    <row r="1450" spans="2:13" ht="12.75" customHeight="1" x14ac:dyDescent="0.25">
      <c r="B1450" s="225"/>
      <c r="C1450" s="226"/>
      <c r="D1450" s="226"/>
      <c r="E1450" s="226"/>
      <c r="F1450" s="226"/>
      <c r="G1450" s="226"/>
      <c r="H1450" s="226"/>
      <c r="I1450" s="226"/>
      <c r="J1450" s="226"/>
      <c r="K1450" s="226"/>
      <c r="L1450" s="227"/>
      <c r="M1450" s="168">
        <f>SUM(C1450:L1450)</f>
        <v>0</v>
      </c>
    </row>
    <row r="1451" spans="2:13" ht="12.75" customHeight="1" x14ac:dyDescent="0.25">
      <c r="B1451" s="228"/>
      <c r="C1451" s="229"/>
      <c r="D1451" s="229"/>
      <c r="E1451" s="229"/>
      <c r="F1451" s="229"/>
      <c r="G1451" s="229"/>
      <c r="H1451" s="229"/>
      <c r="I1451" s="229"/>
      <c r="J1451" s="229"/>
      <c r="K1451" s="229"/>
      <c r="L1451" s="230"/>
      <c r="M1451" s="755">
        <f t="shared" ref="M1451:M1454" si="319">SUM(C1451:L1451)</f>
        <v>0</v>
      </c>
    </row>
    <row r="1452" spans="2:13" ht="12.75" customHeight="1" x14ac:dyDescent="0.25">
      <c r="B1452" s="231"/>
      <c r="C1452" s="232"/>
      <c r="D1452" s="232"/>
      <c r="E1452" s="232"/>
      <c r="F1452" s="232"/>
      <c r="G1452" s="232"/>
      <c r="H1452" s="232"/>
      <c r="I1452" s="232"/>
      <c r="J1452" s="232"/>
      <c r="K1452" s="232"/>
      <c r="L1452" s="233"/>
      <c r="M1452" s="117">
        <f t="shared" si="319"/>
        <v>0</v>
      </c>
    </row>
    <row r="1453" spans="2:13" ht="12.75" customHeight="1" x14ac:dyDescent="0.25">
      <c r="B1453" s="228"/>
      <c r="C1453" s="229"/>
      <c r="D1453" s="229"/>
      <c r="E1453" s="229"/>
      <c r="F1453" s="229"/>
      <c r="G1453" s="229"/>
      <c r="H1453" s="229"/>
      <c r="I1453" s="229"/>
      <c r="J1453" s="229"/>
      <c r="K1453" s="229"/>
      <c r="L1453" s="230"/>
      <c r="M1453" s="755">
        <f t="shared" si="319"/>
        <v>0</v>
      </c>
    </row>
    <row r="1454" spans="2:13" ht="12.75" customHeight="1" x14ac:dyDescent="0.25">
      <c r="B1454" s="93"/>
      <c r="C1454" s="232"/>
      <c r="D1454" s="232"/>
      <c r="E1454" s="232"/>
      <c r="F1454" s="232"/>
      <c r="G1454" s="232"/>
      <c r="H1454" s="232"/>
      <c r="I1454" s="232"/>
      <c r="J1454" s="232"/>
      <c r="K1454" s="232"/>
      <c r="L1454" s="233"/>
      <c r="M1454" s="117">
        <f t="shared" si="319"/>
        <v>0</v>
      </c>
    </row>
    <row r="1455" spans="2:13" ht="12.75" customHeight="1" x14ac:dyDescent="0.25">
      <c r="B1455" s="84" t="str">
        <f>IF('1. INTRO'!I$2="English","Total co-funding ","Total medfinansiering ")</f>
        <v xml:space="preserve">Total co-funding </v>
      </c>
      <c r="C1455" s="87">
        <f t="shared" ref="C1455:M1455" si="320">SUM(C1450:C1454)</f>
        <v>0</v>
      </c>
      <c r="D1455" s="87">
        <f t="shared" si="320"/>
        <v>0</v>
      </c>
      <c r="E1455" s="87">
        <f t="shared" si="320"/>
        <v>0</v>
      </c>
      <c r="F1455" s="87">
        <f t="shared" si="320"/>
        <v>0</v>
      </c>
      <c r="G1455" s="87">
        <f t="shared" si="320"/>
        <v>0</v>
      </c>
      <c r="H1455" s="87">
        <f t="shared" si="320"/>
        <v>0</v>
      </c>
      <c r="I1455" s="87">
        <f t="shared" si="320"/>
        <v>0</v>
      </c>
      <c r="J1455" s="87">
        <f t="shared" si="320"/>
        <v>0</v>
      </c>
      <c r="K1455" s="87">
        <f t="shared" si="320"/>
        <v>0</v>
      </c>
      <c r="L1455" s="87">
        <f t="shared" si="320"/>
        <v>0</v>
      </c>
      <c r="M1455" s="142">
        <f t="shared" si="320"/>
        <v>0</v>
      </c>
    </row>
    <row r="1456" spans="2:13" ht="12.75" customHeight="1" x14ac:dyDescent="0.2"/>
    <row r="1457" spans="2:13" ht="12.75" customHeight="1" x14ac:dyDescent="0.2">
      <c r="B1457" s="667" t="str">
        <f>IF('1. INTRO'!I$2="English","Calculation comments","Kalkylkommentarer")</f>
        <v>Calculation comments</v>
      </c>
    </row>
    <row r="1458" spans="2:13" ht="12.75" customHeight="1" x14ac:dyDescent="0.2">
      <c r="B1458" s="1142"/>
      <c r="C1458" s="1143"/>
      <c r="D1458" s="1143"/>
      <c r="E1458" s="1143"/>
      <c r="F1458" s="1143"/>
      <c r="G1458" s="1143"/>
      <c r="H1458" s="1143"/>
      <c r="I1458" s="1143"/>
      <c r="J1458" s="1143"/>
      <c r="K1458" s="1143"/>
      <c r="L1458" s="1143"/>
      <c r="M1458" s="1144"/>
    </row>
    <row r="1459" spans="2:13" ht="12.75" customHeight="1" x14ac:dyDescent="0.2">
      <c r="B1459" s="1145"/>
      <c r="C1459" s="1226"/>
      <c r="D1459" s="1226"/>
      <c r="E1459" s="1226"/>
      <c r="F1459" s="1226"/>
      <c r="G1459" s="1226"/>
      <c r="H1459" s="1226"/>
      <c r="I1459" s="1226"/>
      <c r="J1459" s="1226"/>
      <c r="K1459" s="1226"/>
      <c r="L1459" s="1226"/>
      <c r="M1459" s="1147"/>
    </row>
    <row r="1460" spans="2:13" ht="12.75" customHeight="1" x14ac:dyDescent="0.2">
      <c r="B1460" s="1145"/>
      <c r="C1460" s="1226"/>
      <c r="D1460" s="1226"/>
      <c r="E1460" s="1226"/>
      <c r="F1460" s="1226"/>
      <c r="G1460" s="1226"/>
      <c r="H1460" s="1226"/>
      <c r="I1460" s="1226"/>
      <c r="J1460" s="1226"/>
      <c r="K1460" s="1226"/>
      <c r="L1460" s="1226"/>
      <c r="M1460" s="1147"/>
    </row>
    <row r="1461" spans="2:13" ht="12.75" customHeight="1" x14ac:dyDescent="0.2">
      <c r="B1461" s="1145"/>
      <c r="C1461" s="1226"/>
      <c r="D1461" s="1226"/>
      <c r="E1461" s="1226"/>
      <c r="F1461" s="1226"/>
      <c r="G1461" s="1226"/>
      <c r="H1461" s="1226"/>
      <c r="I1461" s="1226"/>
      <c r="J1461" s="1226"/>
      <c r="K1461" s="1226"/>
      <c r="L1461" s="1226"/>
      <c r="M1461" s="1147"/>
    </row>
    <row r="1462" spans="2:13" ht="12.75" customHeight="1" x14ac:dyDescent="0.2">
      <c r="B1462" s="1148"/>
      <c r="C1462" s="1149"/>
      <c r="D1462" s="1149"/>
      <c r="E1462" s="1149"/>
      <c r="F1462" s="1149"/>
      <c r="G1462" s="1149"/>
      <c r="H1462" s="1149"/>
      <c r="I1462" s="1149"/>
      <c r="J1462" s="1149"/>
      <c r="K1462" s="1149"/>
      <c r="L1462" s="1149"/>
      <c r="M1462" s="1150"/>
    </row>
    <row r="1464" spans="2:13" s="3" customFormat="1" ht="12.75" customHeight="1" x14ac:dyDescent="0.25">
      <c r="B1464" s="313" t="str">
        <f>'3. PARTNER'!C$4</f>
        <v xml:space="preserve">Project: </v>
      </c>
      <c r="C1464" s="1062" t="str">
        <f>'3. PARTNER'!D$4</f>
        <v/>
      </c>
      <c r="D1464" s="1001"/>
      <c r="E1464" s="1001"/>
      <c r="F1464" s="1001"/>
      <c r="G1464" s="1001"/>
      <c r="H1464" s="1001"/>
      <c r="I1464" s="1001"/>
      <c r="J1464" s="1001"/>
      <c r="K1464" s="1001"/>
      <c r="L1464" s="1001"/>
      <c r="M1464" s="1001"/>
    </row>
    <row r="1465" spans="2:13" s="3" customFormat="1" ht="13.2" x14ac:dyDescent="0.25">
      <c r="B1465" s="313" t="str">
        <f>'3. PARTNER'!C$5</f>
        <v xml:space="preserve">Calculation for: </v>
      </c>
      <c r="C1465" s="1062" t="str">
        <f>'3. PARTNER'!D$5</f>
        <v>APPLICATION</v>
      </c>
      <c r="D1465" s="1001"/>
      <c r="E1465" s="268"/>
      <c r="F1465" s="268"/>
      <c r="G1465" s="268"/>
      <c r="H1465" s="268"/>
      <c r="I1465" s="268"/>
      <c r="J1465" s="268"/>
      <c r="K1465" s="268"/>
      <c r="L1465" s="268"/>
      <c r="M1465" s="268"/>
    </row>
    <row r="1466" spans="2:13" s="3" customFormat="1" ht="13.2" x14ac:dyDescent="0.25">
      <c r="B1466" s="35" t="str">
        <f>'3. PARTNER'!C$6</f>
        <v xml:space="preserve">Project leader: </v>
      </c>
      <c r="C1466" s="1062" t="str">
        <f>'3. PARTNER'!D$6</f>
        <v/>
      </c>
      <c r="D1466" s="1001"/>
      <c r="E1466" s="1001"/>
      <c r="F1466" s="1001"/>
      <c r="G1466" s="1001"/>
      <c r="H1466" s="1001"/>
      <c r="I1466" s="1001"/>
      <c r="J1466" s="1001"/>
      <c r="K1466" s="1001"/>
      <c r="L1466" s="1001"/>
      <c r="M1466" s="1001"/>
    </row>
    <row r="1467" spans="2:13" s="3" customFormat="1" ht="13.2" x14ac:dyDescent="0.25">
      <c r="B1467" s="313" t="str">
        <f>'5. PERSON'!B$7</f>
        <v xml:space="preserve">Amounts in: </v>
      </c>
      <c r="C1467" s="655" t="str">
        <f>'5. PERSON'!C$7</f>
        <v>SEK</v>
      </c>
      <c r="D1467" s="268"/>
      <c r="E1467" s="268"/>
      <c r="F1467" s="268"/>
      <c r="G1467" s="234"/>
      <c r="H1467" s="234"/>
      <c r="I1467" s="270"/>
      <c r="J1467" s="270"/>
      <c r="K1467" s="270"/>
      <c r="L1467" s="270"/>
      <c r="M1467" s="270"/>
    </row>
    <row r="1468" spans="2:13" s="3" customFormat="1" ht="13.2" x14ac:dyDescent="0.25">
      <c r="B1468" s="313"/>
      <c r="C1468" s="1053" t="str">
        <f>'3. PARTNER'!D$7</f>
        <v>Other basic data about the project is in sheet 2.</v>
      </c>
      <c r="D1468" s="1001"/>
      <c r="E1468" s="1001"/>
      <c r="F1468" s="1001"/>
      <c r="G1468" s="234"/>
      <c r="H1468" s="234"/>
      <c r="I1468" s="270"/>
      <c r="J1468" s="270"/>
      <c r="K1468" s="270"/>
      <c r="L1468" s="251" t="s">
        <v>4</v>
      </c>
      <c r="M1468" s="270"/>
    </row>
    <row r="1469" spans="2:13" ht="12.75" customHeight="1" x14ac:dyDescent="0.2">
      <c r="J1469" s="252" t="s">
        <v>322</v>
      </c>
      <c r="K1469" s="252" t="s">
        <v>323</v>
      </c>
      <c r="L1469" s="252" t="str">
        <f>IF('1. INTRO'!I$2="English","months","månader")</f>
        <v>months</v>
      </c>
    </row>
    <row r="1470" spans="2:13" s="3" customFormat="1" ht="13.8" x14ac:dyDescent="0.25">
      <c r="B1470" s="157" t="str">
        <f>IF('1. INTRO'!I$2="English","Project costs","Projektkostnader")</f>
        <v>Project costs</v>
      </c>
      <c r="C1470" s="668" t="str">
        <f>A42</f>
        <v>295S</v>
      </c>
      <c r="D1470" s="1227" t="str">
        <f>B42</f>
        <v>Southern Swedish Forest Research Centre</v>
      </c>
      <c r="E1470" s="1001"/>
      <c r="F1470" s="1001"/>
      <c r="G1470" s="1004"/>
      <c r="H1470" s="37"/>
      <c r="I1470" s="37"/>
      <c r="J1470" s="643"/>
      <c r="K1470" s="643"/>
      <c r="L1470" s="642">
        <f>SUMIF('5. PERSON'!$B$17:$B$192,$C1470,'5. PERSON'!AE$17:AE$192)</f>
        <v>0</v>
      </c>
      <c r="M1470" s="680" t="s">
        <v>330</v>
      </c>
    </row>
    <row r="1471" spans="2:13" s="3" customFormat="1" ht="6" customHeight="1" x14ac:dyDescent="0.25">
      <c r="B1471" s="57"/>
      <c r="C1471" s="37"/>
      <c r="D1471" s="37"/>
      <c r="E1471" s="37"/>
      <c r="F1471" s="37"/>
      <c r="G1471" s="37"/>
      <c r="H1471" s="37"/>
      <c r="I1471" s="37"/>
      <c r="J1471" s="37"/>
      <c r="K1471" s="37"/>
      <c r="L1471" s="37"/>
      <c r="M1471" s="37"/>
    </row>
    <row r="1472" spans="2:13" s="3" customFormat="1" ht="13.2" x14ac:dyDescent="0.25">
      <c r="B1472" s="110" t="str">
        <f>IF('1. INTRO'!I$2="English","Costs to be covered by funding body","Kostnader att täckas av finansiär")</f>
        <v>Costs to be covered by funding body</v>
      </c>
      <c r="C1472" s="111">
        <f>'5. PERSON'!G$15</f>
        <v>1900</v>
      </c>
      <c r="D1472" s="111" t="str">
        <f>'5. PERSON'!H$15</f>
        <v/>
      </c>
      <c r="E1472" s="111" t="str">
        <f>'5. PERSON'!I$15</f>
        <v/>
      </c>
      <c r="F1472" s="111" t="str">
        <f>'5. PERSON'!J$15</f>
        <v/>
      </c>
      <c r="G1472" s="111" t="str">
        <f>'5. PERSON'!K$15</f>
        <v/>
      </c>
      <c r="H1472" s="111" t="str">
        <f>'5. PERSON'!L$15</f>
        <v/>
      </c>
      <c r="I1472" s="111" t="str">
        <f>'5. PERSON'!M$15</f>
        <v/>
      </c>
      <c r="J1472" s="111" t="str">
        <f>'5. PERSON'!N$15</f>
        <v/>
      </c>
      <c r="K1472" s="111" t="str">
        <f>'5. PERSON'!O$15</f>
        <v/>
      </c>
      <c r="L1472" s="111" t="str">
        <f>'5. PERSON'!P$15</f>
        <v/>
      </c>
      <c r="M1472" s="112" t="s">
        <v>2</v>
      </c>
    </row>
    <row r="1473" spans="2:15" s="3" customFormat="1" ht="12.75" customHeight="1" x14ac:dyDescent="0.25">
      <c r="B1473" s="750" t="str">
        <f>IF('1. INTRO'!I$2="English","Salary including social costs (LKP)","Lön inklusive LKP")</f>
        <v>Salary including social costs (LKP)</v>
      </c>
      <c r="C1473" s="751">
        <f>IF('2. START'!$C$14&gt;0,SUMIF('5. PERSON'!$B$17:$B$192,$C1470,'5. PERSON'!DN$17:DN$192),SUMIF('5. PERSON'!$B$17:$B$192,$C1470,'5. PERSON'!AT$17:AT$192))</f>
        <v>0</v>
      </c>
      <c r="D1473" s="751">
        <f>IF('2. START'!$C$14&gt;0,SUMIF('5. PERSON'!$B$17:$B$192,$C1470,'5. PERSON'!DO$17:DO$192),SUMIF('5. PERSON'!$B$17:$B$192,$C1470,'5. PERSON'!AU$17:AU$192))</f>
        <v>0</v>
      </c>
      <c r="E1473" s="751">
        <f>IF('2. START'!$C$14&gt;0,SUMIF('5. PERSON'!$B$17:$B$192,$C1470,'5. PERSON'!DP$17:DP$192),SUMIF('5. PERSON'!$B$17:$B$192,$C1470,'5. PERSON'!AV$17:AV$192))</f>
        <v>0</v>
      </c>
      <c r="F1473" s="751">
        <f>IF('2. START'!$C$14&gt;0,SUMIF('5. PERSON'!$B$17:$B$192,$C1470,'5. PERSON'!DQ$17:DQ$192),SUMIF('5. PERSON'!$B$17:$B$192,$C1470,'5. PERSON'!AW$17:AW$192))</f>
        <v>0</v>
      </c>
      <c r="G1473" s="751">
        <f>IF('2. START'!$C$14&gt;0,SUMIF('5. PERSON'!$B$17:$B$192,$C1470,'5. PERSON'!DR$17:DR$192),SUMIF('5. PERSON'!$B$17:$B$192,$C1470,'5. PERSON'!AX$17:AX$192))</f>
        <v>0</v>
      </c>
      <c r="H1473" s="751">
        <f>IF('2. START'!$C$14&gt;0,SUMIF('5. PERSON'!$B$17:$B$192,$C1470,'5. PERSON'!DS$17:DS$192),SUMIF('5. PERSON'!$B$17:$B$192,$C1470,'5. PERSON'!AY$17:AY$192))</f>
        <v>0</v>
      </c>
      <c r="I1473" s="751">
        <f>IF('2. START'!$C$14&gt;0,SUMIF('5. PERSON'!$B$17:$B$192,$C1470,'5. PERSON'!DT$17:DT$192),SUMIF('5. PERSON'!$B$17:$B$192,$C1470,'5. PERSON'!AZ$17:AZ$192))</f>
        <v>0</v>
      </c>
      <c r="J1473" s="751">
        <f>IF('2. START'!$C$14&gt;0,SUMIF('5. PERSON'!$B$17:$B$192,$C1470,'5. PERSON'!DU$17:DU$192),SUMIF('5. PERSON'!$B$17:$B$192,$C1470,'5. PERSON'!BA$17:BA$192))</f>
        <v>0</v>
      </c>
      <c r="K1473" s="751">
        <f>IF('2. START'!$C$14&gt;0,SUMIF('5. PERSON'!$B$17:$B$192,$C1470,'5. PERSON'!DV$17:DV$192),SUMIF('5. PERSON'!$B$17:$B$192,$C1470,'5. PERSON'!BB$17:BB$192))</f>
        <v>0</v>
      </c>
      <c r="L1473" s="751">
        <f>IF('2. START'!$C$14&gt;0,SUMIF('5. PERSON'!$B$17:$B$192,$C1470,'5. PERSON'!DW$17:DW$192),SUMIF('5. PERSON'!$B$17:$B$192,$C1470,'5. PERSON'!BC$17:BC$192))</f>
        <v>0</v>
      </c>
      <c r="M1473" s="752">
        <f t="shared" ref="M1473:M1478" si="321">SUM(C1473:L1473)</f>
        <v>0</v>
      </c>
      <c r="O1473" s="4"/>
    </row>
    <row r="1474" spans="2:15" s="3" customFormat="1" ht="12.75" customHeight="1" x14ac:dyDescent="0.25">
      <c r="B1474" s="80" t="str">
        <f>IF('1. INTRO'!I$2="English","Operating","Drift")</f>
        <v>Operating</v>
      </c>
      <c r="C1474" s="116">
        <f>SUMIF('6. OPERATION'!$B$17:$B$149,$C1470,'6. OPERATION'!W$17:W$149)</f>
        <v>0</v>
      </c>
      <c r="D1474" s="116">
        <f>SUMIF('6. OPERATION'!$B$17:$B$149,$C1470,'6. OPERATION'!X$17:X$149)</f>
        <v>0</v>
      </c>
      <c r="E1474" s="116">
        <f>SUMIF('6. OPERATION'!$B$17:$B$149,$C1470,'6. OPERATION'!Y$17:Y$149)</f>
        <v>0</v>
      </c>
      <c r="F1474" s="116">
        <f>SUMIF('6. OPERATION'!$B$17:$B$149,$C1470,'6. OPERATION'!Z$17:Z$149)</f>
        <v>0</v>
      </c>
      <c r="G1474" s="116">
        <f>SUMIF('6. OPERATION'!$B$17:$B$149,$C1470,'6. OPERATION'!AA$17:AA$149)</f>
        <v>0</v>
      </c>
      <c r="H1474" s="116">
        <f>SUMIF('6. OPERATION'!$B$17:$B$149,$C1470,'6. OPERATION'!AB$17:AB$149)</f>
        <v>0</v>
      </c>
      <c r="I1474" s="116">
        <f>SUMIF('6. OPERATION'!$B$17:$B$149,$C1470,'6. OPERATION'!AC$17:AC$149)</f>
        <v>0</v>
      </c>
      <c r="J1474" s="116">
        <f>SUMIF('6. OPERATION'!$B$17:$B$149,$C1470,'6. OPERATION'!AD$17:AD$149)</f>
        <v>0</v>
      </c>
      <c r="K1474" s="116">
        <f>SUMIF('6. OPERATION'!$B$17:$B$149,$C1470,'6. OPERATION'!AE$17:AE$149)</f>
        <v>0</v>
      </c>
      <c r="L1474" s="116">
        <f>SUMIF('6. OPERATION'!$B$17:$B$149,$C1470,'6. OPERATION'!AF$17:AF$149)</f>
        <v>0</v>
      </c>
      <c r="M1474" s="117">
        <f t="shared" si="321"/>
        <v>0</v>
      </c>
    </row>
    <row r="1475" spans="2:15" s="3" customFormat="1" ht="13.2" x14ac:dyDescent="0.25">
      <c r="B1475" s="753" t="str">
        <f>IF('1. INTRO'!I$2="English","Equipment","Utrustning")</f>
        <v>Equipment</v>
      </c>
      <c r="C1475" s="754">
        <f>SUMIF('7. INVEST'!$B$17:$B$49,$C1470,'7. INVEST'!W$17:W$49)</f>
        <v>0</v>
      </c>
      <c r="D1475" s="754">
        <f>SUMIF('7. INVEST'!$B$17:$B$49,$C1470,'7. INVEST'!X$17:X$49)</f>
        <v>0</v>
      </c>
      <c r="E1475" s="754">
        <f>SUMIF('7. INVEST'!$B$17:$B$49,$C1470,'7. INVEST'!Y$17:Y$49)</f>
        <v>0</v>
      </c>
      <c r="F1475" s="754">
        <f>SUMIF('7. INVEST'!$B$17:$B$49,$C1470,'7. INVEST'!Z$17:Z$49)</f>
        <v>0</v>
      </c>
      <c r="G1475" s="754">
        <f>SUMIF('7. INVEST'!$B$17:$B$49,$C1470,'7. INVEST'!AA$17:AA$49)</f>
        <v>0</v>
      </c>
      <c r="H1475" s="754">
        <f>SUMIF('7. INVEST'!$B$17:$B$49,$C1470,'7. INVEST'!AB$17:AB$49)</f>
        <v>0</v>
      </c>
      <c r="I1475" s="754">
        <f>SUMIF('7. INVEST'!$B$17:$B$49,$C1470,'7. INVEST'!AC$17:AC$49)</f>
        <v>0</v>
      </c>
      <c r="J1475" s="754">
        <f>SUMIF('7. INVEST'!$B$17:$B$49,$C1470,'7. INVEST'!AD$17:AD$49)</f>
        <v>0</v>
      </c>
      <c r="K1475" s="754">
        <f>SUMIF('7. INVEST'!$B$17:$B$49,$C1470,'7. INVEST'!AE$17:AE$49)</f>
        <v>0</v>
      </c>
      <c r="L1475" s="754">
        <f>SUMIF('7. INVEST'!$B$17:$B$49,$C1470,'7. INVEST'!AF$17:AF$49)</f>
        <v>0</v>
      </c>
      <c r="M1475" s="755">
        <f t="shared" si="321"/>
        <v>0</v>
      </c>
    </row>
    <row r="1476" spans="2:15" s="3" customFormat="1" ht="13.2" x14ac:dyDescent="0.25">
      <c r="B1476" s="121" t="str">
        <f>IF('1. INTRO'!I$2="English",(IF('2. START'!C$11="NO","Facility accepted as direct cost by funding body","Facility")),IF('2. START'!C$11="NO","Lokal accepterad som direkt kostnad av finansiär","Lokal"))</f>
        <v>Facility</v>
      </c>
      <c r="C1476" s="116">
        <f>IF('2. START'!$C$11="NO",SUMIF('8. FACILIT'!$B$18:$B$50,$C1470,'8. FACILIT'!T$18:T$50),SUMIF('5. PERSON'!$B$17:$B$192,$C1470,'5. PERSON'!CP$17:CP$192)+SUMIF('6. OPERATION'!$B$17:$B$149,$C1470,'6. OPERATION'!BS$17:BS$149)+SUMIF('8. FACILIT'!$B$18:$B$50,$C1470,'8. FACILIT'!T$18:T$50))</f>
        <v>0</v>
      </c>
      <c r="D1476" s="116">
        <f>IF('2. START'!$C$11="NO",SUMIF('8. FACILIT'!$B$18:$B$50,$C1470,'8. FACILIT'!U$18:U$50),SUMIF('5. PERSON'!$B$17:$B$192,$C1470,'5. PERSON'!CQ$17:CQ$192)+SUMIF('6. OPERATION'!$B$17:$B$149,$C1470,'6. OPERATION'!BT$17:BT$149)+SUMIF('8. FACILIT'!$B$18:$B$50,$C1470,'8. FACILIT'!U$18:U$50))</f>
        <v>0</v>
      </c>
      <c r="E1476" s="116">
        <f>IF('2. START'!$C$11="NO",SUMIF('8. FACILIT'!$B$18:$B$50,$C1470,'8. FACILIT'!V$18:V$50),SUMIF('5. PERSON'!$B$17:$B$192,$C1470,'5. PERSON'!CR$17:CR$192)+SUMIF('6. OPERATION'!$B$17:$B$149,$C1470,'6. OPERATION'!BU$17:BU$149)+SUMIF('8. FACILIT'!$B$18:$B$50,$C1470,'8. FACILIT'!V$18:V$50))</f>
        <v>0</v>
      </c>
      <c r="F1476" s="116">
        <f>IF('2. START'!$C$11="NO",SUMIF('8. FACILIT'!$B$18:$B$50,$C1470,'8. FACILIT'!W$18:W$50),SUMIF('5. PERSON'!$B$17:$B$192,$C1470,'5. PERSON'!CS$17:CS$192)+SUMIF('6. OPERATION'!$B$17:$B$149,$C1470,'6. OPERATION'!BV$17:BV$149)+SUMIF('8. FACILIT'!$B$18:$B$50,$C1470,'8. FACILIT'!W$18:W$50))</f>
        <v>0</v>
      </c>
      <c r="G1476" s="116">
        <f>IF('2. START'!$C$11="NO",SUMIF('8. FACILIT'!$B$18:$B$50,$C1470,'8. FACILIT'!X$18:X$50),SUMIF('5. PERSON'!$B$17:$B$192,$C1470,'5. PERSON'!CT$17:CT$192)+SUMIF('6. OPERATION'!$B$17:$B$149,$C1470,'6. OPERATION'!BW$17:BW$149)+SUMIF('8. FACILIT'!$B$18:$B$50,$C1470,'8. FACILIT'!X$18:X$50))</f>
        <v>0</v>
      </c>
      <c r="H1476" s="116">
        <f>IF('2. START'!$C$11="NO",SUMIF('8. FACILIT'!$B$18:$B$50,$C1470,'8. FACILIT'!Y$18:Y$50),SUMIF('5. PERSON'!$B$17:$B$192,$C1470,'5. PERSON'!CU$17:CU$192)+SUMIF('6. OPERATION'!$B$17:$B$149,$C1470,'6. OPERATION'!BX$17:BX$149)+SUMIF('8. FACILIT'!$B$18:$B$50,$C1470,'8. FACILIT'!Y$18:Y$50))</f>
        <v>0</v>
      </c>
      <c r="I1476" s="116">
        <f>IF('2. START'!$C$11="NO",SUMIF('8. FACILIT'!$B$18:$B$50,$C1470,'8. FACILIT'!Z$18:Z$50),SUMIF('5. PERSON'!$B$17:$B$192,$C1470,'5. PERSON'!CV$17:CV$192)+SUMIF('6. OPERATION'!$B$17:$B$149,$C1470,'6. OPERATION'!BY$17:BY$149)+SUMIF('8. FACILIT'!$B$18:$B$50,$C1470,'8. FACILIT'!Z$18:Z$50))</f>
        <v>0</v>
      </c>
      <c r="J1476" s="116">
        <f>IF('2. START'!$C$11="NO",SUMIF('8. FACILIT'!$B$18:$B$50,$C1470,'8. FACILIT'!AA$18:AA$50),SUMIF('5. PERSON'!$B$17:$B$192,$C1470,'5. PERSON'!CW$17:CW$192)+SUMIF('6. OPERATION'!$B$17:$B$149,$C1470,'6. OPERATION'!BZ$17:BZ$149)+SUMIF('8. FACILIT'!$B$18:$B$50,$C1470,'8. FACILIT'!AA$18:AA$50))</f>
        <v>0</v>
      </c>
      <c r="K1476" s="116">
        <f>IF('2. START'!$C$11="NO",SUMIF('8. FACILIT'!$B$18:$B$50,$C1470,'8. FACILIT'!AB$18:AB$50),SUMIF('5. PERSON'!$B$17:$B$192,$C1470,'5. PERSON'!CX$17:CX$192)+SUMIF('6. OPERATION'!$B$17:$B$149,$C1470,'6. OPERATION'!CA$17:CA$149)+SUMIF('8. FACILIT'!$B$18:$B$50,$C1470,'8. FACILIT'!AB$18:AB$50))</f>
        <v>0</v>
      </c>
      <c r="L1476" s="116">
        <f>IF('2. START'!$C$11="NO",SUMIF('8. FACILIT'!$B$18:$B$50,$C1470,'8. FACILIT'!AC$18:AC$50),SUMIF('5. PERSON'!$B$17:$B$192,$C1470,'5. PERSON'!CY$17:CY$192)+SUMIF('6. OPERATION'!$B$17:$B$149,$C1470,'6. OPERATION'!CB$17:CB$149)+SUMIF('8. FACILIT'!$B$18:$B$50,$C1470,'8. FACILIT'!AC$18:AC$50))</f>
        <v>0</v>
      </c>
      <c r="M1476" s="117">
        <f t="shared" si="321"/>
        <v>0</v>
      </c>
    </row>
    <row r="1477" spans="2:15" s="3" customFormat="1" ht="13.2" x14ac:dyDescent="0.25">
      <c r="B1477" s="756" t="str">
        <f>IF('1. INTRO'!I$2="English",(IF('2. START'!C$11="NO","Indirect and facility charge accepted as OH by funding body","Indirect")),IF('2. START'!C$11="NO","Indirekt och lokalpåslag accepterade som OH av finansiär","Indirekt"))</f>
        <v>Indirect</v>
      </c>
      <c r="C1477" s="757">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757">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757">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757">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757">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757">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757">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757">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757">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757">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755">
        <f t="shared" si="321"/>
        <v>0</v>
      </c>
    </row>
    <row r="1478" spans="2:15" s="3" customFormat="1" ht="13.2" x14ac:dyDescent="0.25">
      <c r="B1478" s="124" t="s">
        <v>113</v>
      </c>
      <c r="C1478" s="102">
        <f>SUM(C1473:C1477)</f>
        <v>0</v>
      </c>
      <c r="D1478" s="102">
        <f t="shared" ref="D1478:L1478" si="322">SUM(D1473:D1477)</f>
        <v>0</v>
      </c>
      <c r="E1478" s="102">
        <f t="shared" si="322"/>
        <v>0</v>
      </c>
      <c r="F1478" s="102">
        <f t="shared" si="322"/>
        <v>0</v>
      </c>
      <c r="G1478" s="102">
        <f t="shared" si="322"/>
        <v>0</v>
      </c>
      <c r="H1478" s="102">
        <f t="shared" si="322"/>
        <v>0</v>
      </c>
      <c r="I1478" s="102">
        <f t="shared" si="322"/>
        <v>0</v>
      </c>
      <c r="J1478" s="102">
        <f t="shared" si="322"/>
        <v>0</v>
      </c>
      <c r="K1478" s="102">
        <f t="shared" si="322"/>
        <v>0</v>
      </c>
      <c r="L1478" s="102">
        <f t="shared" si="322"/>
        <v>0</v>
      </c>
      <c r="M1478" s="125">
        <f t="shared" si="321"/>
        <v>0</v>
      </c>
    </row>
    <row r="1479" spans="2:15" s="3" customFormat="1" ht="6" customHeight="1" x14ac:dyDescent="0.25">
      <c r="B1479" s="126"/>
      <c r="C1479" s="127"/>
      <c r="D1479" s="127"/>
      <c r="E1479" s="127"/>
      <c r="F1479" s="127"/>
      <c r="G1479" s="127"/>
      <c r="H1479" s="127"/>
      <c r="I1479" s="127"/>
      <c r="J1479" s="127"/>
      <c r="K1479" s="127"/>
      <c r="L1479" s="127"/>
      <c r="M1479" s="128"/>
    </row>
    <row r="1480" spans="2:15" s="3" customFormat="1" ht="13.2" x14ac:dyDescent="0.25">
      <c r="B1480" s="129" t="str">
        <f>IF('1. INTRO'!I$2="English","Costs to be co-funded","Kostnader att medfinansiera")</f>
        <v>Costs to be co-funded</v>
      </c>
      <c r="C1480" s="86"/>
      <c r="D1480" s="86"/>
      <c r="E1480" s="86"/>
      <c r="F1480" s="86"/>
      <c r="G1480" s="86"/>
      <c r="H1480" s="86"/>
      <c r="I1480" s="86"/>
      <c r="J1480" s="86"/>
      <c r="K1480" s="86"/>
      <c r="L1480" s="86"/>
      <c r="M1480" s="130"/>
    </row>
    <row r="1481" spans="2:15" s="3" customFormat="1" ht="13.2" x14ac:dyDescent="0.25">
      <c r="B1481" s="758" t="str">
        <f>IF('1. INTRO'!I$2="English",(IF('2. START'!C$11="NO","Indirect and facility charge not accepted as OH by funding body","")),IF('2. START'!C$11="NO","Indirekt och lokalpåslag inte accepterade som OH av finansiär",""))</f>
        <v/>
      </c>
      <c r="C1481" s="759">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759">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759">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759">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759">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759">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759">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759">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759">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759">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752">
        <f t="shared" ref="M1481:M1487" si="323">SUM(C1481:L1481)</f>
        <v>0</v>
      </c>
    </row>
    <row r="1482" spans="2:15" s="3" customFormat="1" ht="12.75" customHeight="1" x14ac:dyDescent="0.25">
      <c r="B1482" s="132" t="str">
        <f>IF('1. INTRO'!I$2="English",(IF('2. START'!C$14&gt;0,"Social costs (LKP) not accepted by funding body","")),IF('2. START'!C$14&gt;0,"LKP som inte accepteras av finansiär",""))</f>
        <v/>
      </c>
      <c r="C1482" s="133">
        <f>IF('2. START'!$C$14&gt;0,SUMIF('5. PERSON'!$B$17:$B$192,$C1470,'5. PERSON'!AT$17:AT$192)-SUMIF('5. PERSON'!$B$17:$B$192,$C1470,'5. PERSON'!DN$17:DN$192),0)</f>
        <v>0</v>
      </c>
      <c r="D1482" s="133">
        <f>IF('2. START'!$C$14&gt;0,SUMIF('5. PERSON'!$B$17:$B$192,$C1470,'5. PERSON'!AU$17:AU$192)-SUMIF('5. PERSON'!$B$17:$B$192,$C1470,'5. PERSON'!DO$17:DO$192),0)</f>
        <v>0</v>
      </c>
      <c r="E1482" s="133">
        <f>IF('2. START'!$C$14&gt;0,SUMIF('5. PERSON'!$B$17:$B$192,$C1470,'5. PERSON'!AV$17:AV$192)-SUMIF('5. PERSON'!$B$17:$B$192,$C1470,'5. PERSON'!DP$17:DP$192),0)</f>
        <v>0</v>
      </c>
      <c r="F1482" s="133">
        <f>IF('2. START'!$C$14&gt;0,SUMIF('5. PERSON'!$B$17:$B$192,$C1470,'5. PERSON'!AW$17:AW$192)-SUMIF('5. PERSON'!$B$17:$B$192,$C1470,'5. PERSON'!DQ$17:DQ$192),0)</f>
        <v>0</v>
      </c>
      <c r="G1482" s="133">
        <f>IF('2. START'!$C$14&gt;0,SUMIF('5. PERSON'!$B$17:$B$192,$C1470,'5. PERSON'!AX$17:AX$192)-SUMIF('5. PERSON'!$B$17:$B$192,$C1470,'5. PERSON'!DR$17:DR$192),0)</f>
        <v>0</v>
      </c>
      <c r="H1482" s="133">
        <f>IF('2. START'!$C$14&gt;0,SUMIF('5. PERSON'!$B$17:$B$192,$C1470,'5. PERSON'!AY$17:AY$192)-SUMIF('5. PERSON'!$B$17:$B$192,$C1470,'5. PERSON'!DS$17:DS$192),0)</f>
        <v>0</v>
      </c>
      <c r="I1482" s="133">
        <f>IF('2. START'!$C$14&gt;0,SUMIF('5. PERSON'!$B$17:$B$192,$C1470,'5. PERSON'!AZ$17:AZ$192)-SUMIF('5. PERSON'!$B$17:$B$192,$C1470,'5. PERSON'!DT$17:DT$192),0)</f>
        <v>0</v>
      </c>
      <c r="J1482" s="133">
        <f>IF('2. START'!$C$14&gt;0,SUMIF('5. PERSON'!$B$17:$B$192,$C1470,'5. PERSON'!BA$17:BA$192)-SUMIF('5. PERSON'!$B$17:$B$192,$C1470,'5. PERSON'!DU$17:DU$192),0)</f>
        <v>0</v>
      </c>
      <c r="K1482" s="133">
        <f>IF('2. START'!$C$14&gt;0,SUMIF('5. PERSON'!$B$17:$B$192,$C1470,'5. PERSON'!BB$17:BB$192)-SUMIF('5. PERSON'!$B$17:$B$192,$C1470,'5. PERSON'!DV$17:DV$192),0)</f>
        <v>0</v>
      </c>
      <c r="L1482" s="133">
        <f>IF('2. START'!$C$14&gt;0,SUMIF('5. PERSON'!$B$17:$B$192,$C1470,'5. PERSON'!BC$17:BC$192)-SUMIF('5. PERSON'!$B$17:$B$192,$C1470,'5. PERSON'!DW$17:DW$192),0)</f>
        <v>0</v>
      </c>
      <c r="M1482" s="117">
        <f t="shared" si="323"/>
        <v>0</v>
      </c>
    </row>
    <row r="1483" spans="2:15" s="3" customFormat="1" ht="12.75" customHeight="1" x14ac:dyDescent="0.25">
      <c r="B1483" s="753" t="str">
        <f>IF('1. INTRO'!I$2="English",(IF('5. PERSON'!BP$193&gt;0,"Salary including social costs (LKP)","")),IF('5. PERSON'!BP$193&gt;0,"Lön inklusive LKP",""))</f>
        <v/>
      </c>
      <c r="C1483" s="760">
        <f>SUMIF('5. PERSON'!$B$17:$B$192,$C1470,'5. PERSON'!BF$17:BF$192)</f>
        <v>0</v>
      </c>
      <c r="D1483" s="760">
        <f>SUMIF('5. PERSON'!$B$17:$B$192,$C1470,'5. PERSON'!BG$17:BG$192)</f>
        <v>0</v>
      </c>
      <c r="E1483" s="760">
        <f>SUMIF('5. PERSON'!$B$17:$B$192,$C1470,'5. PERSON'!BH$17:BH$192)</f>
        <v>0</v>
      </c>
      <c r="F1483" s="760">
        <f>SUMIF('5. PERSON'!$B$17:$B$192,$C1470,'5. PERSON'!BI$17:BI$192)</f>
        <v>0</v>
      </c>
      <c r="G1483" s="760">
        <f>SUMIF('5. PERSON'!$B$17:$B$192,$C1470,'5. PERSON'!BJ$17:BJ$192)</f>
        <v>0</v>
      </c>
      <c r="H1483" s="760">
        <f>SUMIF('5. PERSON'!$B$17:$B$192,$C1470,'5. PERSON'!BK$17:BK$192)</f>
        <v>0</v>
      </c>
      <c r="I1483" s="760">
        <f>SUMIF('5. PERSON'!$B$17:$B$192,$C1470,'5. PERSON'!BL$17:BL$192)</f>
        <v>0</v>
      </c>
      <c r="J1483" s="760">
        <f>SUMIF('5. PERSON'!$B$17:$B$192,$C1470,'5. PERSON'!BM$17:BM$192)</f>
        <v>0</v>
      </c>
      <c r="K1483" s="760">
        <f>SUMIF('5. PERSON'!$B$17:$B$192,$C1470,'5. PERSON'!BN$17:BN$192)</f>
        <v>0</v>
      </c>
      <c r="L1483" s="760">
        <f>SUMIF('5. PERSON'!$B$17:$B$192,$C1470,'5. PERSON'!BO$17:BO$192)</f>
        <v>0</v>
      </c>
      <c r="M1483" s="755">
        <f t="shared" si="323"/>
        <v>0</v>
      </c>
    </row>
    <row r="1484" spans="2:15" s="3" customFormat="1" ht="13.2" x14ac:dyDescent="0.25">
      <c r="B1484" s="80" t="str">
        <f>IF('1. INTRO'!I$2="English",(IF('6. OPERATION'!AS$150&gt;0,"Operating","")),IF('6. OPERATION'!AS$150&gt;0,"Drift",""))</f>
        <v/>
      </c>
      <c r="C1484" s="135">
        <f>SUMIF('6. OPERATION'!$B$17:$B$149,$C1470,'6. OPERATION'!AI$17:AI$149)</f>
        <v>0</v>
      </c>
      <c r="D1484" s="135">
        <f>SUMIF('6. OPERATION'!$B$17:$B$149,$C1470,'6. OPERATION'!AJ$17:AJ$149)</f>
        <v>0</v>
      </c>
      <c r="E1484" s="135">
        <f>SUMIF('6. OPERATION'!$B$17:$B$149,$C1470,'6. OPERATION'!AK$17:AK$149)</f>
        <v>0</v>
      </c>
      <c r="F1484" s="135">
        <f>SUMIF('6. OPERATION'!$B$17:$B$149,$C1470,'6. OPERATION'!AL$17:AL$149)</f>
        <v>0</v>
      </c>
      <c r="G1484" s="135">
        <f>SUMIF('6. OPERATION'!$B$17:$B$149,$C1470,'6. OPERATION'!AM$17:AM$149)</f>
        <v>0</v>
      </c>
      <c r="H1484" s="135">
        <f>SUMIF('6. OPERATION'!$B$17:$B$149,$C1470,'6. OPERATION'!AN$17:AN$149)</f>
        <v>0</v>
      </c>
      <c r="I1484" s="135">
        <f>SUMIF('6. OPERATION'!$B$17:$B$149,$C1470,'6. OPERATION'!AO$17:AO$149)</f>
        <v>0</v>
      </c>
      <c r="J1484" s="135">
        <f>SUMIF('6. OPERATION'!$B$17:$B$149,$C1470,'6. OPERATION'!AP$17:AP$149)</f>
        <v>0</v>
      </c>
      <c r="K1484" s="135">
        <f>SUMIF('6. OPERATION'!$B$17:$B$149,$C1470,'6. OPERATION'!AQ$17:AQ$149)</f>
        <v>0</v>
      </c>
      <c r="L1484" s="135">
        <f>SUMIF('6. OPERATION'!$B$17:$B$149,$C1470,'6. OPERATION'!AR$17:AR$149)</f>
        <v>0</v>
      </c>
      <c r="M1484" s="117">
        <f t="shared" si="323"/>
        <v>0</v>
      </c>
    </row>
    <row r="1485" spans="2:15" s="3" customFormat="1" ht="13.2" x14ac:dyDescent="0.25">
      <c r="B1485" s="753" t="str">
        <f>IF('1. INTRO'!I$2="English",(IF('7. INVEST'!AS$50&gt;0,"Equipment","")),IF('7. INVEST'!AS$50&gt;0,"Utrustning",""))</f>
        <v/>
      </c>
      <c r="C1485" s="760">
        <f>SUMIF('7. INVEST'!$B$17:$B$49,$C1470,'7. INVEST'!AI$17:AI$49)</f>
        <v>0</v>
      </c>
      <c r="D1485" s="760">
        <f>SUMIF('7. INVEST'!$B$17:$B$49,$C1470,'7. INVEST'!AJ$17:AJ$49)</f>
        <v>0</v>
      </c>
      <c r="E1485" s="760">
        <f>SUMIF('7. INVEST'!$B$17:$B$49,$C1470,'7. INVEST'!AK$17:AK$49)</f>
        <v>0</v>
      </c>
      <c r="F1485" s="760">
        <f>SUMIF('7. INVEST'!$B$17:$B$49,$C1470,'7. INVEST'!AL$17:AL$49)</f>
        <v>0</v>
      </c>
      <c r="G1485" s="760">
        <f>SUMIF('7. INVEST'!$B$17:$B$49,$C1470,'7. INVEST'!AM$17:AM$49)</f>
        <v>0</v>
      </c>
      <c r="H1485" s="760">
        <f>SUMIF('7. INVEST'!$B$17:$B$49,$C1470,'7. INVEST'!AN$17:AN$49)</f>
        <v>0</v>
      </c>
      <c r="I1485" s="760">
        <f>SUMIF('7. INVEST'!$B$17:$B$49,$C1470,'7. INVEST'!AO$17:AO$49)</f>
        <v>0</v>
      </c>
      <c r="J1485" s="760">
        <f>SUMIF('7. INVEST'!$B$17:$B$49,$C1470,'7. INVEST'!AP$17:AP$49)</f>
        <v>0</v>
      </c>
      <c r="K1485" s="760">
        <f>SUMIF('7. INVEST'!$B$17:$B$49,$C1470,'7. INVEST'!AQ$17:AQ$49)</f>
        <v>0</v>
      </c>
      <c r="L1485" s="760">
        <f>SUMIF('7. INVEST'!$B$17:$B$49,$C1470,'7. INVEST'!AR$17:AR$49)</f>
        <v>0</v>
      </c>
      <c r="M1485" s="755">
        <f t="shared" si="323"/>
        <v>0</v>
      </c>
    </row>
    <row r="1486" spans="2:15" s="3" customFormat="1" ht="13.2" x14ac:dyDescent="0.25">
      <c r="B1486" s="121" t="str">
        <f>IF('1. INTRO'!I$2="English",(IF('8. FACILIT'!AP$51&gt;0,"Facility","")),IF('8. FACILIT'!AP$51&gt;0,"Lokal",""))</f>
        <v/>
      </c>
      <c r="C1486" s="135">
        <f>SUMIF('5. PERSON'!$B$17:$B$192,$C1470,'5. PERSON'!DB$17:DB$192)+SUMIF('6. OPERATION'!$B$17:$B$149,$C1470,'6. OPERATION'!CE$17:CE$149)+SUMIF('8. FACILIT'!$B$18:$B$50,$C1470,'8. FACILIT'!AF$18:AF$50)</f>
        <v>0</v>
      </c>
      <c r="D1486" s="135">
        <f>SUMIF('5. PERSON'!$B$17:$B$192,$C1470,'5. PERSON'!DC$17:DC$192)+SUMIF('6. OPERATION'!$B$17:$B$149,$C1470,'6. OPERATION'!CF$17:CF$149)+SUMIF('8. FACILIT'!$B$18:$B$50,$C1470,'8. FACILIT'!AG$18:AG$50)</f>
        <v>0</v>
      </c>
      <c r="E1486" s="135">
        <f>SUMIF('5. PERSON'!$B$17:$B$192,$C1470,'5. PERSON'!DD$17:DD$192)+SUMIF('6. OPERATION'!$B$17:$B$149,$C1470,'6. OPERATION'!CG$17:CG$149)+SUMIF('8. FACILIT'!$B$18:$B$50,$C1470,'8. FACILIT'!AH$18:AH$50)</f>
        <v>0</v>
      </c>
      <c r="F1486" s="135">
        <f>SUMIF('5. PERSON'!$B$17:$B$192,$C1470,'5. PERSON'!DE$17:DE$192)+SUMIF('6. OPERATION'!$B$17:$B$149,$C1470,'6. OPERATION'!CH$17:CH$149)+SUMIF('8. FACILIT'!$B$18:$B$50,$C1470,'8. FACILIT'!AI$18:AI$50)</f>
        <v>0</v>
      </c>
      <c r="G1486" s="135">
        <f>SUMIF('5. PERSON'!$B$17:$B$192,$C1470,'5. PERSON'!DF$17:DF$192)+SUMIF('6. OPERATION'!$B$17:$B$149,$C1470,'6. OPERATION'!CI$17:CI$149)+SUMIF('8. FACILIT'!$B$18:$B$50,$C1470,'8. FACILIT'!AJ$18:AJ$50)</f>
        <v>0</v>
      </c>
      <c r="H1486" s="135">
        <f>SUMIF('5. PERSON'!$B$17:$B$192,$C1470,'5. PERSON'!DG$17:DG$192)+SUMIF('6. OPERATION'!$B$17:$B$149,$C1470,'6. OPERATION'!CJ$17:CJ$149)+SUMIF('8. FACILIT'!$B$18:$B$50,$C1470,'8. FACILIT'!AK$18:AK$50)</f>
        <v>0</v>
      </c>
      <c r="I1486" s="135">
        <f>SUMIF('5. PERSON'!$B$17:$B$192,$C1470,'5. PERSON'!DH$17:DH$192)+SUMIF('6. OPERATION'!$B$17:$B$149,$C1470,'6. OPERATION'!CK$17:CK$149)+SUMIF('8. FACILIT'!$B$18:$B$50,$C1470,'8. FACILIT'!AL$18:AL$50)</f>
        <v>0</v>
      </c>
      <c r="J1486" s="135">
        <f>SUMIF('5. PERSON'!$B$17:$B$192,$C1470,'5. PERSON'!DI$17:DI$192)+SUMIF('6. OPERATION'!$B$17:$B$149,$C1470,'6. OPERATION'!CL$17:CL$149)+SUMIF('8. FACILIT'!$B$18:$B$50,$C1470,'8. FACILIT'!AM$18:AM$50)</f>
        <v>0</v>
      </c>
      <c r="K1486" s="135">
        <f>SUMIF('5. PERSON'!$B$17:$B$192,$C1470,'5. PERSON'!DJ$17:DJ$192)+SUMIF('6. OPERATION'!$B$17:$B$149,$C1470,'6. OPERATION'!CM$17:CM$149)+SUMIF('8. FACILIT'!$B$18:$B$50,$C1470,'8. FACILIT'!AN$18:AN$50)</f>
        <v>0</v>
      </c>
      <c r="L1486" s="135">
        <f>SUMIF('5. PERSON'!$B$17:$B$192,$C1470,'5. PERSON'!DK$17:DK$192)+SUMIF('6. OPERATION'!$B$17:$B$149,$C1470,'6. OPERATION'!CN$17:CN$149)+SUMIF('8. FACILIT'!$B$18:$B$50,$C1470,'8. FACILIT'!AO$18:AO$50)</f>
        <v>0</v>
      </c>
      <c r="M1486" s="117">
        <f t="shared" si="323"/>
        <v>0</v>
      </c>
    </row>
    <row r="1487" spans="2:15" s="1" customFormat="1" ht="13.2" x14ac:dyDescent="0.25">
      <c r="B1487" s="756" t="str">
        <f>IF('1. INTRO'!I$2="English",(IF(('5. PERSON'!CN$193+'6. OPERATION'!BQ$150)&gt;0,"Indirect","")),IF(('5. PERSON'!CN$193+'6. OPERATION'!BQ$150)&gt;0,"Indirekt",""))</f>
        <v/>
      </c>
      <c r="C1487" s="757">
        <f>SUMIF('5. PERSON'!$B$17:$B$192,$C1470,'5. PERSON'!CD$17:CD$192)+SUMIF('6. OPERATION'!$B$17:$B$149,$C1470,'6. OPERATION'!BG$17:BG$149)</f>
        <v>0</v>
      </c>
      <c r="D1487" s="757">
        <f>SUMIF('5. PERSON'!$B$17:$B$192,$C1470,'5. PERSON'!CE$17:CE$192)+SUMIF('6. OPERATION'!$B$17:$B$149,$C1470,'6. OPERATION'!BH$17:BH$149)</f>
        <v>0</v>
      </c>
      <c r="E1487" s="757">
        <f>SUMIF('5. PERSON'!$B$17:$B$192,$C1470,'5. PERSON'!CF$17:CF$192)+SUMIF('6. OPERATION'!$B$17:$B$149,$C1470,'6. OPERATION'!BI$17:BI$149)</f>
        <v>0</v>
      </c>
      <c r="F1487" s="757">
        <f>SUMIF('5. PERSON'!$B$17:$B$192,$C1470,'5. PERSON'!CG$17:CG$192)+SUMIF('6. OPERATION'!$B$17:$B$149,$C1470,'6. OPERATION'!BJ$17:BJ$149)</f>
        <v>0</v>
      </c>
      <c r="G1487" s="757">
        <f>SUMIF('5. PERSON'!$B$17:$B$192,$C1470,'5. PERSON'!CH$17:CH$192)+SUMIF('6. OPERATION'!$B$17:$B$149,$C1470,'6. OPERATION'!BK$17:BK$149)</f>
        <v>0</v>
      </c>
      <c r="H1487" s="757">
        <f>SUMIF('5. PERSON'!$B$17:$B$192,$C1470,'5. PERSON'!CI$17:CI$192)+SUMIF('6. OPERATION'!$B$17:$B$149,$C1470,'6. OPERATION'!BL$17:BL$149)</f>
        <v>0</v>
      </c>
      <c r="I1487" s="757">
        <f>SUMIF('5. PERSON'!$B$17:$B$192,$C1470,'5. PERSON'!CJ$17:CJ$192)+SUMIF('6. OPERATION'!$B$17:$B$149,$C1470,'6. OPERATION'!BM$17:BM$149)</f>
        <v>0</v>
      </c>
      <c r="J1487" s="757">
        <f>SUMIF('5. PERSON'!$B$17:$B$192,$C1470,'5. PERSON'!CK$17:CK$192)+SUMIF('6. OPERATION'!$B$17:$B$149,$C1470,'6. OPERATION'!BN$17:BN$149)</f>
        <v>0</v>
      </c>
      <c r="K1487" s="757">
        <f>SUMIF('5. PERSON'!$B$17:$B$192,$C1470,'5. PERSON'!CL$17:CL$192)+SUMIF('6. OPERATION'!$B$17:$B$149,$C1470,'6. OPERATION'!BO$17:BO$149)</f>
        <v>0</v>
      </c>
      <c r="L1487" s="757">
        <f>SUMIF('5. PERSON'!$B$17:$B$192,$C1470,'5. PERSON'!CM$17:CM$192)+SUMIF('6. OPERATION'!$B$17:$B$149,$C1470,'6. OPERATION'!BP$17:BP$149)</f>
        <v>0</v>
      </c>
      <c r="M1487" s="761">
        <f t="shared" si="323"/>
        <v>0</v>
      </c>
    </row>
    <row r="1488" spans="2:15" s="3" customFormat="1" ht="13.2" x14ac:dyDescent="0.25">
      <c r="B1488" s="124" t="s">
        <v>113</v>
      </c>
      <c r="C1488" s="102">
        <f>SUM(C1481:C1487)</f>
        <v>0</v>
      </c>
      <c r="D1488" s="102">
        <f t="shared" ref="D1488:M1488" si="324">SUM(D1481:D1487)</f>
        <v>0</v>
      </c>
      <c r="E1488" s="102">
        <f t="shared" si="324"/>
        <v>0</v>
      </c>
      <c r="F1488" s="102">
        <f t="shared" si="324"/>
        <v>0</v>
      </c>
      <c r="G1488" s="102">
        <f t="shared" si="324"/>
        <v>0</v>
      </c>
      <c r="H1488" s="102">
        <f t="shared" si="324"/>
        <v>0</v>
      </c>
      <c r="I1488" s="102">
        <f t="shared" si="324"/>
        <v>0</v>
      </c>
      <c r="J1488" s="102">
        <f t="shared" si="324"/>
        <v>0</v>
      </c>
      <c r="K1488" s="102">
        <f t="shared" si="324"/>
        <v>0</v>
      </c>
      <c r="L1488" s="102">
        <f t="shared" si="324"/>
        <v>0</v>
      </c>
      <c r="M1488" s="125">
        <f t="shared" si="324"/>
        <v>0</v>
      </c>
      <c r="N1488" s="23"/>
      <c r="O1488" s="23"/>
    </row>
    <row r="1489" spans="2:13" s="3" customFormat="1" ht="6" customHeight="1" x14ac:dyDescent="0.25">
      <c r="B1489" s="136"/>
      <c r="C1489" s="127"/>
      <c r="D1489" s="127"/>
      <c r="E1489" s="127"/>
      <c r="F1489" s="127"/>
      <c r="G1489" s="127"/>
      <c r="H1489" s="127"/>
      <c r="I1489" s="127"/>
      <c r="J1489" s="127"/>
      <c r="K1489" s="127"/>
      <c r="L1489" s="127"/>
      <c r="M1489" s="137"/>
    </row>
    <row r="1490" spans="2:13" s="3" customFormat="1" ht="13.2" x14ac:dyDescent="0.25">
      <c r="B1490" s="129" t="str">
        <f>IF('1. INTRO'!I$2="English","Full cost","Full kostnad")</f>
        <v>Full cost</v>
      </c>
      <c r="C1490" s="127"/>
      <c r="D1490" s="127"/>
      <c r="E1490" s="127"/>
      <c r="F1490" s="127"/>
      <c r="G1490" s="127"/>
      <c r="H1490" s="127"/>
      <c r="I1490" s="127"/>
      <c r="J1490" s="127"/>
      <c r="K1490" s="127"/>
      <c r="L1490" s="127"/>
      <c r="M1490" s="137"/>
    </row>
    <row r="1491" spans="2:13" s="3" customFormat="1" ht="13.2" x14ac:dyDescent="0.25">
      <c r="B1491" s="750" t="str">
        <f>IF('1. INTRO'!I$2="English","Salary including social costs (LKP)","Lön inklusive LKP")</f>
        <v>Salary including social costs (LKP)</v>
      </c>
      <c r="C1491" s="762">
        <f>C1473+C1482+C1483</f>
        <v>0</v>
      </c>
      <c r="D1491" s="762">
        <f t="shared" ref="D1491:L1491" si="325">D1473+D1482+D1483</f>
        <v>0</v>
      </c>
      <c r="E1491" s="762">
        <f t="shared" si="325"/>
        <v>0</v>
      </c>
      <c r="F1491" s="762">
        <f t="shared" si="325"/>
        <v>0</v>
      </c>
      <c r="G1491" s="762">
        <f t="shared" si="325"/>
        <v>0</v>
      </c>
      <c r="H1491" s="762">
        <f t="shared" si="325"/>
        <v>0</v>
      </c>
      <c r="I1491" s="762">
        <f t="shared" si="325"/>
        <v>0</v>
      </c>
      <c r="J1491" s="762">
        <f t="shared" si="325"/>
        <v>0</v>
      </c>
      <c r="K1491" s="762">
        <f t="shared" si="325"/>
        <v>0</v>
      </c>
      <c r="L1491" s="762">
        <f t="shared" si="325"/>
        <v>0</v>
      </c>
      <c r="M1491" s="752">
        <f>SUM(C1491:L1491)</f>
        <v>0</v>
      </c>
    </row>
    <row r="1492" spans="2:13" s="3" customFormat="1" ht="13.2" x14ac:dyDescent="0.25">
      <c r="B1492" s="80" t="str">
        <f>IF('1. INTRO'!I$2="English","Operating","Drift")</f>
        <v>Operating</v>
      </c>
      <c r="C1492" s="139">
        <f>C1474+C1484</f>
        <v>0</v>
      </c>
      <c r="D1492" s="139">
        <f t="shared" ref="D1492:L1492" si="326">D1474+D1484</f>
        <v>0</v>
      </c>
      <c r="E1492" s="139">
        <f t="shared" si="326"/>
        <v>0</v>
      </c>
      <c r="F1492" s="139">
        <f t="shared" si="326"/>
        <v>0</v>
      </c>
      <c r="G1492" s="139">
        <f t="shared" si="326"/>
        <v>0</v>
      </c>
      <c r="H1492" s="139">
        <f t="shared" si="326"/>
        <v>0</v>
      </c>
      <c r="I1492" s="139">
        <f t="shared" si="326"/>
        <v>0</v>
      </c>
      <c r="J1492" s="139">
        <f t="shared" si="326"/>
        <v>0</v>
      </c>
      <c r="K1492" s="139">
        <f t="shared" si="326"/>
        <v>0</v>
      </c>
      <c r="L1492" s="139">
        <f t="shared" si="326"/>
        <v>0</v>
      </c>
      <c r="M1492" s="117">
        <f>SUM(C1492:L1492)</f>
        <v>0</v>
      </c>
    </row>
    <row r="1493" spans="2:13" s="3" customFormat="1" ht="13.2" x14ac:dyDescent="0.25">
      <c r="B1493" s="753" t="str">
        <f>IF('1. INTRO'!I$2="English","Equipment","Utrustning")</f>
        <v>Equipment</v>
      </c>
      <c r="C1493" s="763">
        <f>C1475+C1485</f>
        <v>0</v>
      </c>
      <c r="D1493" s="763">
        <f t="shared" ref="D1493:L1493" si="327">D1475+D1485</f>
        <v>0</v>
      </c>
      <c r="E1493" s="763">
        <f t="shared" si="327"/>
        <v>0</v>
      </c>
      <c r="F1493" s="763">
        <f t="shared" si="327"/>
        <v>0</v>
      </c>
      <c r="G1493" s="763">
        <f t="shared" si="327"/>
        <v>0</v>
      </c>
      <c r="H1493" s="763">
        <f t="shared" si="327"/>
        <v>0</v>
      </c>
      <c r="I1493" s="763">
        <f t="shared" si="327"/>
        <v>0</v>
      </c>
      <c r="J1493" s="763">
        <f t="shared" si="327"/>
        <v>0</v>
      </c>
      <c r="K1493" s="763">
        <f t="shared" si="327"/>
        <v>0</v>
      </c>
      <c r="L1493" s="763">
        <f t="shared" si="327"/>
        <v>0</v>
      </c>
      <c r="M1493" s="755">
        <f>SUM(C1493:L1493)</f>
        <v>0</v>
      </c>
    </row>
    <row r="1494" spans="2:13" s="3" customFormat="1" ht="13.2" x14ac:dyDescent="0.25">
      <c r="B1494" s="80" t="str">
        <f>IF('1. INTRO'!I$2="English","Facility","Lokal")</f>
        <v>Facility</v>
      </c>
      <c r="C1494" s="139">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39">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39">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39">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39">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39">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39">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39">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39">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39">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117">
        <f>SUM(C1494:L1494)</f>
        <v>0</v>
      </c>
    </row>
    <row r="1495" spans="2:13" s="3" customFormat="1" ht="13.2" x14ac:dyDescent="0.25">
      <c r="B1495" s="764" t="str">
        <f>IF('1. INTRO'!I$2="English","Indirect","Indirekt")</f>
        <v>Indirect</v>
      </c>
      <c r="C1495" s="765">
        <f>SUMIF('5. PERSON'!$B$17:$B$192,$C1470,'5. PERSON'!BR$17:BR$192)+SUMIF('5. PERSON'!$B$17:$B$192,$C1470,'5. PERSON'!CD$17:CD$192)+SUMIF('6. OPERATION'!$B$17:$B$149,$C1470,'6. OPERATION'!AU$17:AU$149)+SUMIF('6. OPERATION'!$B$17:$B$149,$C1470,'6. OPERATION'!BG$17:BG$149)</f>
        <v>0</v>
      </c>
      <c r="D1495" s="765">
        <f>SUMIF('5. PERSON'!$B$17:$B$192,$C1470,'5. PERSON'!BS$17:BS$192)+SUMIF('5. PERSON'!$B$17:$B$192,$C1470,'5. PERSON'!CE$17:CE$192)+SUMIF('6. OPERATION'!$B$17:$B$149,$C1470,'6. OPERATION'!AV$17:AV$149)+SUMIF('6. OPERATION'!$B$17:$B$149,$C1470,'6. OPERATION'!BH$17:BH$149)</f>
        <v>0</v>
      </c>
      <c r="E1495" s="765">
        <f>SUMIF('5. PERSON'!$B$17:$B$192,$C1470,'5. PERSON'!BT$17:BT$192)+SUMIF('5. PERSON'!$B$17:$B$192,$C1470,'5. PERSON'!CF$17:CF$192)+SUMIF('6. OPERATION'!$B$17:$B$149,$C1470,'6. OPERATION'!AW$17:AW$149)+SUMIF('6. OPERATION'!$B$17:$B$149,$C1470,'6. OPERATION'!BI$17:BI$149)</f>
        <v>0</v>
      </c>
      <c r="F1495" s="765">
        <f>SUMIF('5. PERSON'!$B$17:$B$192,$C1470,'5. PERSON'!BU$17:BU$192)+SUMIF('5. PERSON'!$B$17:$B$192,$C1470,'5. PERSON'!CG$17:CG$192)+SUMIF('6. OPERATION'!$B$17:$B$149,$C1470,'6. OPERATION'!AX$17:AX$149)+SUMIF('6. OPERATION'!$B$17:$B$149,$C1470,'6. OPERATION'!BJ$17:BJ$149)</f>
        <v>0</v>
      </c>
      <c r="G1495" s="765">
        <f>SUMIF('5. PERSON'!$B$17:$B$192,$C1470,'5. PERSON'!BV$17:BV$192)+SUMIF('5. PERSON'!$B$17:$B$192,$C1470,'5. PERSON'!CH$17:CH$192)+SUMIF('6. OPERATION'!$B$17:$B$149,$C1470,'6. OPERATION'!AY$17:AY$149)+SUMIF('6. OPERATION'!$B$17:$B$149,$C1470,'6. OPERATION'!BK$17:BK$149)</f>
        <v>0</v>
      </c>
      <c r="H1495" s="765">
        <f>SUMIF('5. PERSON'!$B$17:$B$192,$C1470,'5. PERSON'!BW$17:BW$192)+SUMIF('5. PERSON'!$B$17:$B$192,$C1470,'5. PERSON'!CI$17:CI$192)+SUMIF('6. OPERATION'!$B$17:$B$149,$C1470,'6. OPERATION'!AZ$17:AZ$149)+SUMIF('6. OPERATION'!$B$17:$B$149,$C1470,'6. OPERATION'!BL$17:BL$149)</f>
        <v>0</v>
      </c>
      <c r="I1495" s="765">
        <f>SUMIF('5. PERSON'!$B$17:$B$192,$C1470,'5. PERSON'!BX$17:BX$192)+SUMIF('5. PERSON'!$B$17:$B$192,$C1470,'5. PERSON'!CJ$17:CJ$192)+SUMIF('6. OPERATION'!$B$17:$B$149,$C1470,'6. OPERATION'!BA$17:BA$149)+SUMIF('6. OPERATION'!$B$17:$B$149,$C1470,'6. OPERATION'!BM$17:BM$149)</f>
        <v>0</v>
      </c>
      <c r="J1495" s="765">
        <f>SUMIF('5. PERSON'!$B$17:$B$192,$C1470,'5. PERSON'!BY$17:BY$192)+SUMIF('5. PERSON'!$B$17:$B$192,$C1470,'5. PERSON'!CK$17:CK$192)+SUMIF('6. OPERATION'!$B$17:$B$149,$C1470,'6. OPERATION'!BB$17:BB$149)+SUMIF('6. OPERATION'!$B$17:$B$149,$C1470,'6. OPERATION'!BN$17:BN$149)</f>
        <v>0</v>
      </c>
      <c r="K1495" s="765">
        <f>SUMIF('5. PERSON'!$B$17:$B$192,$C1470,'5. PERSON'!BZ$17:BZ$192)+SUMIF('5. PERSON'!$B$17:$B$192,$C1470,'5. PERSON'!CL$17:CL$192)+SUMIF('6. OPERATION'!$B$17:$B$149,$C1470,'6. OPERATION'!BC$17:BC$149)+SUMIF('6. OPERATION'!$B$17:$B$149,$C1470,'6. OPERATION'!BO$17:BO$149)</f>
        <v>0</v>
      </c>
      <c r="L1495" s="765">
        <f>SUMIF('5. PERSON'!$B$17:$B$192,$C1470,'5. PERSON'!CA$17:CA$192)+SUMIF('5. PERSON'!$B$17:$B$192,$C1470,'5. PERSON'!CM$17:CM$192)+SUMIF('6. OPERATION'!$B$17:$B$149,$C1470,'6. OPERATION'!BD$17:BD$149)+SUMIF('6. OPERATION'!$B$17:$B$149,$C1470,'6. OPERATION'!BP$17:BP$149)</f>
        <v>0</v>
      </c>
      <c r="M1495" s="761">
        <f>SUM(C1495:L1495)</f>
        <v>0</v>
      </c>
    </row>
    <row r="1496" spans="2:13" s="3" customFormat="1" ht="13.2" x14ac:dyDescent="0.25">
      <c r="B1496" s="124" t="s">
        <v>113</v>
      </c>
      <c r="C1496" s="88">
        <f>SUM(C1491:C1495)</f>
        <v>0</v>
      </c>
      <c r="D1496" s="88">
        <f t="shared" ref="D1496:M1496" si="328">SUM(D1491:D1495)</f>
        <v>0</v>
      </c>
      <c r="E1496" s="88">
        <f t="shared" si="328"/>
        <v>0</v>
      </c>
      <c r="F1496" s="88">
        <f t="shared" si="328"/>
        <v>0</v>
      </c>
      <c r="G1496" s="88">
        <f t="shared" si="328"/>
        <v>0</v>
      </c>
      <c r="H1496" s="88">
        <f t="shared" si="328"/>
        <v>0</v>
      </c>
      <c r="I1496" s="88">
        <f t="shared" si="328"/>
        <v>0</v>
      </c>
      <c r="J1496" s="88">
        <f t="shared" si="328"/>
        <v>0</v>
      </c>
      <c r="K1496" s="88">
        <f t="shared" si="328"/>
        <v>0</v>
      </c>
      <c r="L1496" s="88">
        <f t="shared" si="328"/>
        <v>0</v>
      </c>
      <c r="M1496" s="142">
        <f t="shared" si="328"/>
        <v>0</v>
      </c>
    </row>
    <row r="1497" spans="2:13" s="3" customFormat="1" ht="13.2" x14ac:dyDescent="0.25">
      <c r="B1497" s="287"/>
      <c r="C1497" s="37"/>
      <c r="D1497" s="37"/>
      <c r="E1497" s="37"/>
      <c r="F1497" s="37"/>
      <c r="G1497" s="37"/>
      <c r="H1497" s="37"/>
      <c r="I1497" s="37"/>
      <c r="J1497" s="37"/>
      <c r="K1497" s="37"/>
      <c r="L1497" s="37"/>
      <c r="M1497" s="37"/>
    </row>
    <row r="1498" spans="2:13" s="3" customFormat="1" ht="12.75" customHeight="1" x14ac:dyDescent="0.25">
      <c r="B1498" s="656" t="str">
        <f>IF('1. INTRO'!I$2="English","Co-funding share in full cost ","Medfinansieringsandel i full kostnad ")</f>
        <v xml:space="preserve">Co-funding share in full cost </v>
      </c>
      <c r="C1498" s="143" t="str">
        <f t="shared" ref="C1498:M1498" si="329">IF(C1496&gt;0,C1488/C1496,"")</f>
        <v/>
      </c>
      <c r="D1498" s="143" t="str">
        <f t="shared" si="329"/>
        <v/>
      </c>
      <c r="E1498" s="143" t="str">
        <f t="shared" si="329"/>
        <v/>
      </c>
      <c r="F1498" s="143" t="str">
        <f t="shared" si="329"/>
        <v/>
      </c>
      <c r="G1498" s="143" t="str">
        <f t="shared" si="329"/>
        <v/>
      </c>
      <c r="H1498" s="143" t="str">
        <f t="shared" si="329"/>
        <v/>
      </c>
      <c r="I1498" s="143" t="str">
        <f t="shared" si="329"/>
        <v/>
      </c>
      <c r="J1498" s="143" t="str">
        <f t="shared" si="329"/>
        <v/>
      </c>
      <c r="K1498" s="143" t="str">
        <f t="shared" si="329"/>
        <v/>
      </c>
      <c r="L1498" s="143" t="str">
        <f t="shared" si="329"/>
        <v/>
      </c>
      <c r="M1498" s="143" t="str">
        <f t="shared" si="329"/>
        <v/>
      </c>
    </row>
    <row r="1499" spans="2:13" ht="12.75" customHeight="1" x14ac:dyDescent="0.2"/>
    <row r="1500" spans="2:13" ht="12.75" customHeight="1" x14ac:dyDescent="0.25">
      <c r="D1500" s="656" t="str">
        <f>IF('1. INTRO'!I$2="English","Co-funding need in average per year: ","Medfinansieringsbehov i genomsnitt per år: ")</f>
        <v xml:space="preserve">Co-funding need in average per year: </v>
      </c>
      <c r="E1500" s="766" t="str">
        <f>IF(M1488=0,"",M1488/(DATEDIF('2. START'!C$18,'2. START'!C$19,"d")/365))</f>
        <v/>
      </c>
      <c r="H1500" s="656" t="str">
        <f>IF('1. INTRO'!I$2="English","Co-funding need 1/3 of total: ","Medfinansieringsbehov 1/3 av totalt: ")</f>
        <v xml:space="preserve">Co-funding need 1/3 of total: </v>
      </c>
      <c r="I1500" s="766">
        <f>M1488/3</f>
        <v>0</v>
      </c>
      <c r="L1500" s="287" t="str">
        <f>IF('1. INTRO'!I$2="English","Co-funding need total: ","Medfinansieringsbehov totalt: ")</f>
        <v xml:space="preserve">Co-funding need total: </v>
      </c>
      <c r="M1500" s="766">
        <f>M1488</f>
        <v>0</v>
      </c>
    </row>
    <row r="1501" spans="2:13" ht="12.75" customHeight="1" x14ac:dyDescent="0.25">
      <c r="B1501" s="53" t="str">
        <f>IF('1. INTRO'!I$2="English","Co-funding sources","Medfinansieringskällor")</f>
        <v>Co-funding sources</v>
      </c>
    </row>
    <row r="1502" spans="2:13" ht="12.75" customHeight="1" x14ac:dyDescent="0.25">
      <c r="B1502" s="225"/>
      <c r="C1502" s="226"/>
      <c r="D1502" s="226"/>
      <c r="E1502" s="226"/>
      <c r="F1502" s="226"/>
      <c r="G1502" s="226"/>
      <c r="H1502" s="226"/>
      <c r="I1502" s="226"/>
      <c r="J1502" s="226"/>
      <c r="K1502" s="226"/>
      <c r="L1502" s="227"/>
      <c r="M1502" s="168">
        <f>SUM(C1502:L1502)</f>
        <v>0</v>
      </c>
    </row>
    <row r="1503" spans="2:13" ht="12.75" customHeight="1" x14ac:dyDescent="0.25">
      <c r="B1503" s="228"/>
      <c r="C1503" s="229"/>
      <c r="D1503" s="229"/>
      <c r="E1503" s="229"/>
      <c r="F1503" s="229"/>
      <c r="G1503" s="229"/>
      <c r="H1503" s="229"/>
      <c r="I1503" s="229"/>
      <c r="J1503" s="229"/>
      <c r="K1503" s="229"/>
      <c r="L1503" s="230"/>
      <c r="M1503" s="755">
        <f t="shared" ref="M1503:M1506" si="330">SUM(C1503:L1503)</f>
        <v>0</v>
      </c>
    </row>
    <row r="1504" spans="2:13" ht="12.75" customHeight="1" x14ac:dyDescent="0.25">
      <c r="B1504" s="231"/>
      <c r="C1504" s="232"/>
      <c r="D1504" s="232"/>
      <c r="E1504" s="232"/>
      <c r="F1504" s="232"/>
      <c r="G1504" s="232"/>
      <c r="H1504" s="232"/>
      <c r="I1504" s="232"/>
      <c r="J1504" s="232"/>
      <c r="K1504" s="232"/>
      <c r="L1504" s="233"/>
      <c r="M1504" s="117">
        <f t="shared" si="330"/>
        <v>0</v>
      </c>
    </row>
    <row r="1505" spans="2:13" ht="12.75" customHeight="1" x14ac:dyDescent="0.25">
      <c r="B1505" s="228"/>
      <c r="C1505" s="229"/>
      <c r="D1505" s="229"/>
      <c r="E1505" s="229"/>
      <c r="F1505" s="229"/>
      <c r="G1505" s="229"/>
      <c r="H1505" s="229"/>
      <c r="I1505" s="229"/>
      <c r="J1505" s="229"/>
      <c r="K1505" s="229"/>
      <c r="L1505" s="230"/>
      <c r="M1505" s="755">
        <f t="shared" si="330"/>
        <v>0</v>
      </c>
    </row>
    <row r="1506" spans="2:13" ht="12.75" customHeight="1" x14ac:dyDescent="0.25">
      <c r="B1506" s="93"/>
      <c r="C1506" s="232"/>
      <c r="D1506" s="232"/>
      <c r="E1506" s="232"/>
      <c r="F1506" s="232"/>
      <c r="G1506" s="232"/>
      <c r="H1506" s="232"/>
      <c r="I1506" s="232"/>
      <c r="J1506" s="232"/>
      <c r="K1506" s="232"/>
      <c r="L1506" s="233"/>
      <c r="M1506" s="117">
        <f t="shared" si="330"/>
        <v>0</v>
      </c>
    </row>
    <row r="1507" spans="2:13" ht="12.75" customHeight="1" x14ac:dyDescent="0.25">
      <c r="B1507" s="84" t="str">
        <f>IF('1. INTRO'!I$2="English","Total co-funding ","Total medfinansiering ")</f>
        <v xml:space="preserve">Total co-funding </v>
      </c>
      <c r="C1507" s="87">
        <f t="shared" ref="C1507:M1507" si="331">SUM(C1502:C1506)</f>
        <v>0</v>
      </c>
      <c r="D1507" s="87">
        <f t="shared" si="331"/>
        <v>0</v>
      </c>
      <c r="E1507" s="87">
        <f t="shared" si="331"/>
        <v>0</v>
      </c>
      <c r="F1507" s="87">
        <f t="shared" si="331"/>
        <v>0</v>
      </c>
      <c r="G1507" s="87">
        <f t="shared" si="331"/>
        <v>0</v>
      </c>
      <c r="H1507" s="87">
        <f t="shared" si="331"/>
        <v>0</v>
      </c>
      <c r="I1507" s="87">
        <f t="shared" si="331"/>
        <v>0</v>
      </c>
      <c r="J1507" s="87">
        <f t="shared" si="331"/>
        <v>0</v>
      </c>
      <c r="K1507" s="87">
        <f t="shared" si="331"/>
        <v>0</v>
      </c>
      <c r="L1507" s="87">
        <f t="shared" si="331"/>
        <v>0</v>
      </c>
      <c r="M1507" s="142">
        <f t="shared" si="331"/>
        <v>0</v>
      </c>
    </row>
    <row r="1508" spans="2:13" ht="12.75" customHeight="1" x14ac:dyDescent="0.2"/>
    <row r="1509" spans="2:13" ht="12.75" customHeight="1" x14ac:dyDescent="0.2">
      <c r="B1509" s="667" t="str">
        <f>IF('1. INTRO'!I$2="English","Calculation comments","Kalkylkommentarer")</f>
        <v>Calculation comments</v>
      </c>
    </row>
    <row r="1510" spans="2:13" ht="12.75" customHeight="1" x14ac:dyDescent="0.2">
      <c r="B1510" s="1142"/>
      <c r="C1510" s="1143"/>
      <c r="D1510" s="1143"/>
      <c r="E1510" s="1143"/>
      <c r="F1510" s="1143"/>
      <c r="G1510" s="1143"/>
      <c r="H1510" s="1143"/>
      <c r="I1510" s="1143"/>
      <c r="J1510" s="1143"/>
      <c r="K1510" s="1143"/>
      <c r="L1510" s="1143"/>
      <c r="M1510" s="1144"/>
    </row>
    <row r="1511" spans="2:13" ht="12.75" customHeight="1" x14ac:dyDescent="0.2">
      <c r="B1511" s="1145"/>
      <c r="C1511" s="1226"/>
      <c r="D1511" s="1226"/>
      <c r="E1511" s="1226"/>
      <c r="F1511" s="1226"/>
      <c r="G1511" s="1226"/>
      <c r="H1511" s="1226"/>
      <c r="I1511" s="1226"/>
      <c r="J1511" s="1226"/>
      <c r="K1511" s="1226"/>
      <c r="L1511" s="1226"/>
      <c r="M1511" s="1147"/>
    </row>
    <row r="1512" spans="2:13" ht="12.75" customHeight="1" x14ac:dyDescent="0.2">
      <c r="B1512" s="1145"/>
      <c r="C1512" s="1226"/>
      <c r="D1512" s="1226"/>
      <c r="E1512" s="1226"/>
      <c r="F1512" s="1226"/>
      <c r="G1512" s="1226"/>
      <c r="H1512" s="1226"/>
      <c r="I1512" s="1226"/>
      <c r="J1512" s="1226"/>
      <c r="K1512" s="1226"/>
      <c r="L1512" s="1226"/>
      <c r="M1512" s="1147"/>
    </row>
    <row r="1513" spans="2:13" ht="12.75" customHeight="1" x14ac:dyDescent="0.2">
      <c r="B1513" s="1145"/>
      <c r="C1513" s="1226"/>
      <c r="D1513" s="1226"/>
      <c r="E1513" s="1226"/>
      <c r="F1513" s="1226"/>
      <c r="G1513" s="1226"/>
      <c r="H1513" s="1226"/>
      <c r="I1513" s="1226"/>
      <c r="J1513" s="1226"/>
      <c r="K1513" s="1226"/>
      <c r="L1513" s="1226"/>
      <c r="M1513" s="1147"/>
    </row>
    <row r="1514" spans="2:13" ht="12.75" customHeight="1" x14ac:dyDescent="0.2">
      <c r="B1514" s="1148"/>
      <c r="C1514" s="1149"/>
      <c r="D1514" s="1149"/>
      <c r="E1514" s="1149"/>
      <c r="F1514" s="1149"/>
      <c r="G1514" s="1149"/>
      <c r="H1514" s="1149"/>
      <c r="I1514" s="1149"/>
      <c r="J1514" s="1149"/>
      <c r="K1514" s="1149"/>
      <c r="L1514" s="1149"/>
      <c r="M1514" s="1150"/>
    </row>
    <row r="1516" spans="2:13" s="3" customFormat="1" ht="12.75" customHeight="1" x14ac:dyDescent="0.25">
      <c r="B1516" s="313" t="str">
        <f>'3. PARTNER'!C$4</f>
        <v xml:space="preserve">Project: </v>
      </c>
      <c r="C1516" s="1062" t="str">
        <f>'3. PARTNER'!D$4</f>
        <v/>
      </c>
      <c r="D1516" s="1001"/>
      <c r="E1516" s="1001"/>
      <c r="F1516" s="1001"/>
      <c r="G1516" s="1001"/>
      <c r="H1516" s="1001"/>
      <c r="I1516" s="1001"/>
      <c r="J1516" s="1001"/>
      <c r="K1516" s="1001"/>
      <c r="L1516" s="1001"/>
      <c r="M1516" s="1001"/>
    </row>
    <row r="1517" spans="2:13" s="3" customFormat="1" ht="13.2" x14ac:dyDescent="0.25">
      <c r="B1517" s="313" t="str">
        <f>'3. PARTNER'!C$5</f>
        <v xml:space="preserve">Calculation for: </v>
      </c>
      <c r="C1517" s="1062" t="str">
        <f>'3. PARTNER'!D$5</f>
        <v>APPLICATION</v>
      </c>
      <c r="D1517" s="1001"/>
      <c r="E1517" s="268"/>
      <c r="F1517" s="268"/>
      <c r="G1517" s="268"/>
      <c r="H1517" s="268"/>
      <c r="I1517" s="268"/>
      <c r="J1517" s="268"/>
      <c r="K1517" s="268"/>
      <c r="L1517" s="268"/>
      <c r="M1517" s="268"/>
    </row>
    <row r="1518" spans="2:13" s="3" customFormat="1" ht="13.2" x14ac:dyDescent="0.25">
      <c r="B1518" s="35" t="str">
        <f>'3. PARTNER'!C$6</f>
        <v xml:space="preserve">Project leader: </v>
      </c>
      <c r="C1518" s="1062" t="str">
        <f>'3. PARTNER'!D$6</f>
        <v/>
      </c>
      <c r="D1518" s="1001"/>
      <c r="E1518" s="1001"/>
      <c r="F1518" s="1001"/>
      <c r="G1518" s="1001"/>
      <c r="H1518" s="1001"/>
      <c r="I1518" s="1001"/>
      <c r="J1518" s="1001"/>
      <c r="K1518" s="1001"/>
      <c r="L1518" s="1001"/>
      <c r="M1518" s="1001"/>
    </row>
    <row r="1519" spans="2:13" s="3" customFormat="1" ht="13.2" x14ac:dyDescent="0.25">
      <c r="B1519" s="313" t="str">
        <f>'5. PERSON'!B$7</f>
        <v xml:space="preserve">Amounts in: </v>
      </c>
      <c r="C1519" s="655" t="str">
        <f>'5. PERSON'!C$7</f>
        <v>SEK</v>
      </c>
      <c r="D1519" s="268"/>
      <c r="E1519" s="268"/>
      <c r="F1519" s="268"/>
      <c r="G1519" s="234"/>
      <c r="H1519" s="234"/>
      <c r="I1519" s="270"/>
      <c r="J1519" s="270"/>
      <c r="K1519" s="270"/>
      <c r="L1519" s="270"/>
      <c r="M1519" s="270"/>
    </row>
    <row r="1520" spans="2:13" s="3" customFormat="1" ht="13.2" x14ac:dyDescent="0.25">
      <c r="B1520" s="313"/>
      <c r="C1520" s="1053" t="str">
        <f>'3. PARTNER'!D$7</f>
        <v>Other basic data about the project is in sheet 2.</v>
      </c>
      <c r="D1520" s="1001"/>
      <c r="E1520" s="1001"/>
      <c r="F1520" s="1001"/>
      <c r="G1520" s="234"/>
      <c r="H1520" s="234"/>
      <c r="I1520" s="270"/>
      <c r="J1520" s="270"/>
      <c r="K1520" s="270"/>
      <c r="L1520" s="251" t="s">
        <v>4</v>
      </c>
      <c r="M1520" s="270"/>
    </row>
    <row r="1521" spans="2:15" ht="12.75" customHeight="1" x14ac:dyDescent="0.2">
      <c r="J1521" s="252" t="s">
        <v>322</v>
      </c>
      <c r="K1521" s="252" t="s">
        <v>323</v>
      </c>
      <c r="L1521" s="252" t="str">
        <f>IF('1. INTRO'!I$2="English","months","månader")</f>
        <v>months</v>
      </c>
    </row>
    <row r="1522" spans="2:15" s="3" customFormat="1" ht="13.8" x14ac:dyDescent="0.25">
      <c r="B1522" s="157" t="str">
        <f>IF('1. INTRO'!I$2="English","Project costs","Projektkostnader")</f>
        <v>Project costs</v>
      </c>
      <c r="C1522" s="668" t="str">
        <f>A43</f>
        <v>300S</v>
      </c>
      <c r="D1522" s="1227" t="str">
        <f>B43</f>
        <v>Forest Economics</v>
      </c>
      <c r="E1522" s="1001"/>
      <c r="G1522" s="37"/>
      <c r="H1522" s="37"/>
      <c r="I1522" s="37"/>
      <c r="J1522" s="643"/>
      <c r="K1522" s="643"/>
      <c r="L1522" s="642">
        <f>SUMIF('5. PERSON'!$B$17:$B$192,$C1522,'5. PERSON'!AE$17:AE$192)</f>
        <v>0</v>
      </c>
      <c r="M1522" s="680" t="s">
        <v>330</v>
      </c>
    </row>
    <row r="1523" spans="2:15" s="3" customFormat="1" ht="6" customHeight="1" x14ac:dyDescent="0.25">
      <c r="B1523" s="57"/>
      <c r="C1523" s="37"/>
      <c r="D1523" s="37"/>
      <c r="E1523" s="37"/>
      <c r="F1523" s="37"/>
      <c r="G1523" s="37"/>
      <c r="H1523" s="37"/>
      <c r="I1523" s="37"/>
      <c r="J1523" s="37"/>
      <c r="K1523" s="37"/>
      <c r="L1523" s="37"/>
      <c r="M1523" s="37"/>
    </row>
    <row r="1524" spans="2:15" s="3" customFormat="1" ht="13.2" x14ac:dyDescent="0.25">
      <c r="B1524" s="110" t="str">
        <f>IF('1. INTRO'!I$2="English","Costs to be covered by funding body","Kostnader att täckas av finansiär")</f>
        <v>Costs to be covered by funding body</v>
      </c>
      <c r="C1524" s="111">
        <f>'5. PERSON'!G$15</f>
        <v>1900</v>
      </c>
      <c r="D1524" s="111" t="str">
        <f>'5. PERSON'!H$15</f>
        <v/>
      </c>
      <c r="E1524" s="111" t="str">
        <f>'5. PERSON'!I$15</f>
        <v/>
      </c>
      <c r="F1524" s="111" t="str">
        <f>'5. PERSON'!J$15</f>
        <v/>
      </c>
      <c r="G1524" s="111" t="str">
        <f>'5. PERSON'!K$15</f>
        <v/>
      </c>
      <c r="H1524" s="111" t="str">
        <f>'5. PERSON'!L$15</f>
        <v/>
      </c>
      <c r="I1524" s="111" t="str">
        <f>'5. PERSON'!M$15</f>
        <v/>
      </c>
      <c r="J1524" s="111" t="str">
        <f>'5. PERSON'!N$15</f>
        <v/>
      </c>
      <c r="K1524" s="111" t="str">
        <f>'5. PERSON'!O$15</f>
        <v/>
      </c>
      <c r="L1524" s="111" t="str">
        <f>'5. PERSON'!P$15</f>
        <v/>
      </c>
      <c r="M1524" s="112" t="s">
        <v>2</v>
      </c>
    </row>
    <row r="1525" spans="2:15" s="3" customFormat="1" ht="12.75" customHeight="1" x14ac:dyDescent="0.25">
      <c r="B1525" s="750" t="str">
        <f>IF('1. INTRO'!I$2="English","Salary including social costs (LKP)","Lön inklusive LKP")</f>
        <v>Salary including social costs (LKP)</v>
      </c>
      <c r="C1525" s="751">
        <f>IF('2. START'!$C$14&gt;0,SUMIF('5. PERSON'!$B$17:$B$192,$C1522,'5. PERSON'!DN$17:DN$192),SUMIF('5. PERSON'!$B$17:$B$192,$C1522,'5. PERSON'!AT$17:AT$192))</f>
        <v>0</v>
      </c>
      <c r="D1525" s="751">
        <f>IF('2. START'!$C$14&gt;0,SUMIF('5. PERSON'!$B$17:$B$192,$C1522,'5. PERSON'!DO$17:DO$192),SUMIF('5. PERSON'!$B$17:$B$192,$C1522,'5. PERSON'!AU$17:AU$192))</f>
        <v>0</v>
      </c>
      <c r="E1525" s="751">
        <f>IF('2. START'!$C$14&gt;0,SUMIF('5. PERSON'!$B$17:$B$192,$C1522,'5. PERSON'!DP$17:DP$192),SUMIF('5. PERSON'!$B$17:$B$192,$C1522,'5. PERSON'!AV$17:AV$192))</f>
        <v>0</v>
      </c>
      <c r="F1525" s="751">
        <f>IF('2. START'!$C$14&gt;0,SUMIF('5. PERSON'!$B$17:$B$192,$C1522,'5. PERSON'!DQ$17:DQ$192),SUMIF('5. PERSON'!$B$17:$B$192,$C1522,'5. PERSON'!AW$17:AW$192))</f>
        <v>0</v>
      </c>
      <c r="G1525" s="751">
        <f>IF('2. START'!$C$14&gt;0,SUMIF('5. PERSON'!$B$17:$B$192,$C1522,'5. PERSON'!DR$17:DR$192),SUMIF('5. PERSON'!$B$17:$B$192,$C1522,'5. PERSON'!AX$17:AX$192))</f>
        <v>0</v>
      </c>
      <c r="H1525" s="751">
        <f>IF('2. START'!$C$14&gt;0,SUMIF('5. PERSON'!$B$17:$B$192,$C1522,'5. PERSON'!DS$17:DS$192),SUMIF('5. PERSON'!$B$17:$B$192,$C1522,'5. PERSON'!AY$17:AY$192))</f>
        <v>0</v>
      </c>
      <c r="I1525" s="751">
        <f>IF('2. START'!$C$14&gt;0,SUMIF('5. PERSON'!$B$17:$B$192,$C1522,'5. PERSON'!DT$17:DT$192),SUMIF('5. PERSON'!$B$17:$B$192,$C1522,'5. PERSON'!AZ$17:AZ$192))</f>
        <v>0</v>
      </c>
      <c r="J1525" s="751">
        <f>IF('2. START'!$C$14&gt;0,SUMIF('5. PERSON'!$B$17:$B$192,$C1522,'5. PERSON'!DU$17:DU$192),SUMIF('5. PERSON'!$B$17:$B$192,$C1522,'5. PERSON'!BA$17:BA$192))</f>
        <v>0</v>
      </c>
      <c r="K1525" s="751">
        <f>IF('2. START'!$C$14&gt;0,SUMIF('5. PERSON'!$B$17:$B$192,$C1522,'5. PERSON'!DV$17:DV$192),SUMIF('5. PERSON'!$B$17:$B$192,$C1522,'5. PERSON'!BB$17:BB$192))</f>
        <v>0</v>
      </c>
      <c r="L1525" s="751">
        <f>IF('2. START'!$C$14&gt;0,SUMIF('5. PERSON'!$B$17:$B$192,$C1522,'5. PERSON'!DW$17:DW$192),SUMIF('5. PERSON'!$B$17:$B$192,$C1522,'5. PERSON'!BC$17:BC$192))</f>
        <v>0</v>
      </c>
      <c r="M1525" s="752">
        <f t="shared" ref="M1525:M1530" si="332">SUM(C1525:L1525)</f>
        <v>0</v>
      </c>
      <c r="O1525" s="4"/>
    </row>
    <row r="1526" spans="2:15" s="3" customFormat="1" ht="12.75" customHeight="1" x14ac:dyDescent="0.25">
      <c r="B1526" s="80" t="str">
        <f>IF('1. INTRO'!I$2="English","Operating","Drift")</f>
        <v>Operating</v>
      </c>
      <c r="C1526" s="116">
        <f>SUMIF('6. OPERATION'!$B$17:$B$149,$C1522,'6. OPERATION'!W$17:W$149)</f>
        <v>0</v>
      </c>
      <c r="D1526" s="116">
        <f>SUMIF('6. OPERATION'!$B$17:$B$149,$C1522,'6. OPERATION'!X$17:X$149)</f>
        <v>0</v>
      </c>
      <c r="E1526" s="116">
        <f>SUMIF('6. OPERATION'!$B$17:$B$149,$C1522,'6. OPERATION'!Y$17:Y$149)</f>
        <v>0</v>
      </c>
      <c r="F1526" s="116">
        <f>SUMIF('6. OPERATION'!$B$17:$B$149,$C1522,'6. OPERATION'!Z$17:Z$149)</f>
        <v>0</v>
      </c>
      <c r="G1526" s="116">
        <f>SUMIF('6. OPERATION'!$B$17:$B$149,$C1522,'6. OPERATION'!AA$17:AA$149)</f>
        <v>0</v>
      </c>
      <c r="H1526" s="116">
        <f>SUMIF('6. OPERATION'!$B$17:$B$149,$C1522,'6. OPERATION'!AB$17:AB$149)</f>
        <v>0</v>
      </c>
      <c r="I1526" s="116">
        <f>SUMIF('6. OPERATION'!$B$17:$B$149,$C1522,'6. OPERATION'!AC$17:AC$149)</f>
        <v>0</v>
      </c>
      <c r="J1526" s="116">
        <f>SUMIF('6. OPERATION'!$B$17:$B$149,$C1522,'6. OPERATION'!AD$17:AD$149)</f>
        <v>0</v>
      </c>
      <c r="K1526" s="116">
        <f>SUMIF('6. OPERATION'!$B$17:$B$149,$C1522,'6. OPERATION'!AE$17:AE$149)</f>
        <v>0</v>
      </c>
      <c r="L1526" s="116">
        <f>SUMIF('6. OPERATION'!$B$17:$B$149,$C1522,'6. OPERATION'!AF$17:AF$149)</f>
        <v>0</v>
      </c>
      <c r="M1526" s="117">
        <f t="shared" si="332"/>
        <v>0</v>
      </c>
    </row>
    <row r="1527" spans="2:15" s="3" customFormat="1" ht="13.2" x14ac:dyDescent="0.25">
      <c r="B1527" s="753" t="str">
        <f>IF('1. INTRO'!I$2="English","Equipment","Utrustning")</f>
        <v>Equipment</v>
      </c>
      <c r="C1527" s="754">
        <f>SUMIF('7. INVEST'!$B$17:$B$49,$C1522,'7. INVEST'!W$17:W$49)</f>
        <v>0</v>
      </c>
      <c r="D1527" s="754">
        <f>SUMIF('7. INVEST'!$B$17:$B$49,$C1522,'7. INVEST'!X$17:X$49)</f>
        <v>0</v>
      </c>
      <c r="E1527" s="754">
        <f>SUMIF('7. INVEST'!$B$17:$B$49,$C1522,'7. INVEST'!Y$17:Y$49)</f>
        <v>0</v>
      </c>
      <c r="F1527" s="754">
        <f>SUMIF('7. INVEST'!$B$17:$B$49,$C1522,'7. INVEST'!Z$17:Z$49)</f>
        <v>0</v>
      </c>
      <c r="G1527" s="754">
        <f>SUMIF('7. INVEST'!$B$17:$B$49,$C1522,'7. INVEST'!AA$17:AA$49)</f>
        <v>0</v>
      </c>
      <c r="H1527" s="754">
        <f>SUMIF('7. INVEST'!$B$17:$B$49,$C1522,'7. INVEST'!AB$17:AB$49)</f>
        <v>0</v>
      </c>
      <c r="I1527" s="754">
        <f>SUMIF('7. INVEST'!$B$17:$B$49,$C1522,'7. INVEST'!AC$17:AC$49)</f>
        <v>0</v>
      </c>
      <c r="J1527" s="754">
        <f>SUMIF('7. INVEST'!$B$17:$B$49,$C1522,'7. INVEST'!AD$17:AD$49)</f>
        <v>0</v>
      </c>
      <c r="K1527" s="754">
        <f>SUMIF('7. INVEST'!$B$17:$B$49,$C1522,'7. INVEST'!AE$17:AE$49)</f>
        <v>0</v>
      </c>
      <c r="L1527" s="754">
        <f>SUMIF('7. INVEST'!$B$17:$B$49,$C1522,'7. INVEST'!AF$17:AF$49)</f>
        <v>0</v>
      </c>
      <c r="M1527" s="755">
        <f t="shared" si="332"/>
        <v>0</v>
      </c>
    </row>
    <row r="1528" spans="2:15" s="3" customFormat="1" ht="13.2" x14ac:dyDescent="0.25">
      <c r="B1528" s="121" t="str">
        <f>IF('1. INTRO'!I$2="English",(IF('2. START'!C$11="NO","Facility accepted as direct cost by funding body","Facility")),IF('2. START'!C$11="NO","Lokal accepterad som direkt kostnad av finansiär","Lokal"))</f>
        <v>Facility</v>
      </c>
      <c r="C1528" s="116">
        <f>IF('2. START'!$C$11="NO",SUMIF('8. FACILIT'!$B$18:$B$50,$C1522,'8. FACILIT'!T$18:T$50),SUMIF('5. PERSON'!$B$17:$B$192,$C1522,'5. PERSON'!CP$17:CP$192)+SUMIF('6. OPERATION'!$B$17:$B$149,$C1522,'6. OPERATION'!BS$17:BS$149)+SUMIF('8. FACILIT'!$B$18:$B$50,$C1522,'8. FACILIT'!T$18:T$50))</f>
        <v>0</v>
      </c>
      <c r="D1528" s="116">
        <f>IF('2. START'!$C$11="NO",SUMIF('8. FACILIT'!$B$18:$B$50,$C1522,'8. FACILIT'!U$18:U$50),SUMIF('5. PERSON'!$B$17:$B$192,$C1522,'5. PERSON'!CQ$17:CQ$192)+SUMIF('6. OPERATION'!$B$17:$B$149,$C1522,'6. OPERATION'!BT$17:BT$149)+SUMIF('8. FACILIT'!$B$18:$B$50,$C1522,'8. FACILIT'!U$18:U$50))</f>
        <v>0</v>
      </c>
      <c r="E1528" s="116">
        <f>IF('2. START'!$C$11="NO",SUMIF('8. FACILIT'!$B$18:$B$50,$C1522,'8. FACILIT'!V$18:V$50),SUMIF('5. PERSON'!$B$17:$B$192,$C1522,'5. PERSON'!CR$17:CR$192)+SUMIF('6. OPERATION'!$B$17:$B$149,$C1522,'6. OPERATION'!BU$17:BU$149)+SUMIF('8. FACILIT'!$B$18:$B$50,$C1522,'8. FACILIT'!V$18:V$50))</f>
        <v>0</v>
      </c>
      <c r="F1528" s="116">
        <f>IF('2. START'!$C$11="NO",SUMIF('8. FACILIT'!$B$18:$B$50,$C1522,'8. FACILIT'!W$18:W$50),SUMIF('5. PERSON'!$B$17:$B$192,$C1522,'5. PERSON'!CS$17:CS$192)+SUMIF('6. OPERATION'!$B$17:$B$149,$C1522,'6. OPERATION'!BV$17:BV$149)+SUMIF('8. FACILIT'!$B$18:$B$50,$C1522,'8. FACILIT'!W$18:W$50))</f>
        <v>0</v>
      </c>
      <c r="G1528" s="116">
        <f>IF('2. START'!$C$11="NO",SUMIF('8. FACILIT'!$B$18:$B$50,$C1522,'8. FACILIT'!X$18:X$50),SUMIF('5. PERSON'!$B$17:$B$192,$C1522,'5. PERSON'!CT$17:CT$192)+SUMIF('6. OPERATION'!$B$17:$B$149,$C1522,'6. OPERATION'!BW$17:BW$149)+SUMIF('8. FACILIT'!$B$18:$B$50,$C1522,'8. FACILIT'!X$18:X$50))</f>
        <v>0</v>
      </c>
      <c r="H1528" s="116">
        <f>IF('2. START'!$C$11="NO",SUMIF('8. FACILIT'!$B$18:$B$50,$C1522,'8. FACILIT'!Y$18:Y$50),SUMIF('5. PERSON'!$B$17:$B$192,$C1522,'5. PERSON'!CU$17:CU$192)+SUMIF('6. OPERATION'!$B$17:$B$149,$C1522,'6. OPERATION'!BX$17:BX$149)+SUMIF('8. FACILIT'!$B$18:$B$50,$C1522,'8. FACILIT'!Y$18:Y$50))</f>
        <v>0</v>
      </c>
      <c r="I1528" s="116">
        <f>IF('2. START'!$C$11="NO",SUMIF('8. FACILIT'!$B$18:$B$50,$C1522,'8. FACILIT'!Z$18:Z$50),SUMIF('5. PERSON'!$B$17:$B$192,$C1522,'5. PERSON'!CV$17:CV$192)+SUMIF('6. OPERATION'!$B$17:$B$149,$C1522,'6. OPERATION'!BY$17:BY$149)+SUMIF('8. FACILIT'!$B$18:$B$50,$C1522,'8. FACILIT'!Z$18:Z$50))</f>
        <v>0</v>
      </c>
      <c r="J1528" s="116">
        <f>IF('2. START'!$C$11="NO",SUMIF('8. FACILIT'!$B$18:$B$50,$C1522,'8. FACILIT'!AA$18:AA$50),SUMIF('5. PERSON'!$B$17:$B$192,$C1522,'5. PERSON'!CW$17:CW$192)+SUMIF('6. OPERATION'!$B$17:$B$149,$C1522,'6. OPERATION'!BZ$17:BZ$149)+SUMIF('8. FACILIT'!$B$18:$B$50,$C1522,'8. FACILIT'!AA$18:AA$50))</f>
        <v>0</v>
      </c>
      <c r="K1528" s="116">
        <f>IF('2. START'!$C$11="NO",SUMIF('8. FACILIT'!$B$18:$B$50,$C1522,'8. FACILIT'!AB$18:AB$50),SUMIF('5. PERSON'!$B$17:$B$192,$C1522,'5. PERSON'!CX$17:CX$192)+SUMIF('6. OPERATION'!$B$17:$B$149,$C1522,'6. OPERATION'!CA$17:CA$149)+SUMIF('8. FACILIT'!$B$18:$B$50,$C1522,'8. FACILIT'!AB$18:AB$50))</f>
        <v>0</v>
      </c>
      <c r="L1528" s="116">
        <f>IF('2. START'!$C$11="NO",SUMIF('8. FACILIT'!$B$18:$B$50,$C1522,'8. FACILIT'!AC$18:AC$50),SUMIF('5. PERSON'!$B$17:$B$192,$C1522,'5. PERSON'!CY$17:CY$192)+SUMIF('6. OPERATION'!$B$17:$B$149,$C1522,'6. OPERATION'!CB$17:CB$149)+SUMIF('8. FACILIT'!$B$18:$B$50,$C1522,'8. FACILIT'!AC$18:AC$50))</f>
        <v>0</v>
      </c>
      <c r="M1528" s="117">
        <f t="shared" si="332"/>
        <v>0</v>
      </c>
    </row>
    <row r="1529" spans="2:15" s="3" customFormat="1" ht="13.2" x14ac:dyDescent="0.25">
      <c r="B1529" s="756" t="str">
        <f>IF('1. INTRO'!I$2="English",(IF('2. START'!C$11="NO","Indirect and facility charge accepted as OH by funding body","Indirect")),IF('2. START'!C$11="NO","Indirekt och lokalpåslag accepterade som OH av finansiär","Indirekt"))</f>
        <v>Indirect</v>
      </c>
      <c r="C1529" s="757">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757">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757">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757">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757">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757">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757">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757">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757">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757">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755">
        <f t="shared" si="332"/>
        <v>0</v>
      </c>
    </row>
    <row r="1530" spans="2:15" s="3" customFormat="1" ht="13.2" x14ac:dyDescent="0.25">
      <c r="B1530" s="124" t="s">
        <v>113</v>
      </c>
      <c r="C1530" s="102">
        <f>SUM(C1525:C1529)</f>
        <v>0</v>
      </c>
      <c r="D1530" s="102">
        <f t="shared" ref="D1530:L1530" si="333">SUM(D1525:D1529)</f>
        <v>0</v>
      </c>
      <c r="E1530" s="102">
        <f t="shared" si="333"/>
        <v>0</v>
      </c>
      <c r="F1530" s="102">
        <f t="shared" si="333"/>
        <v>0</v>
      </c>
      <c r="G1530" s="102">
        <f t="shared" si="333"/>
        <v>0</v>
      </c>
      <c r="H1530" s="102">
        <f t="shared" si="333"/>
        <v>0</v>
      </c>
      <c r="I1530" s="102">
        <f t="shared" si="333"/>
        <v>0</v>
      </c>
      <c r="J1530" s="102">
        <f t="shared" si="333"/>
        <v>0</v>
      </c>
      <c r="K1530" s="102">
        <f t="shared" si="333"/>
        <v>0</v>
      </c>
      <c r="L1530" s="102">
        <f t="shared" si="333"/>
        <v>0</v>
      </c>
      <c r="M1530" s="125">
        <f t="shared" si="332"/>
        <v>0</v>
      </c>
    </row>
    <row r="1531" spans="2:15" s="3" customFormat="1" ht="6" customHeight="1" x14ac:dyDescent="0.25">
      <c r="B1531" s="126"/>
      <c r="C1531" s="127"/>
      <c r="D1531" s="127"/>
      <c r="E1531" s="127"/>
      <c r="F1531" s="127"/>
      <c r="G1531" s="127"/>
      <c r="H1531" s="127"/>
      <c r="I1531" s="127"/>
      <c r="J1531" s="127"/>
      <c r="K1531" s="127"/>
      <c r="L1531" s="127"/>
      <c r="M1531" s="128"/>
    </row>
    <row r="1532" spans="2:15" s="3" customFormat="1" ht="13.2" x14ac:dyDescent="0.25">
      <c r="B1532" s="129" t="str">
        <f>IF('1. INTRO'!I$2="English","Costs to be co-funded","Kostnader att medfinansiera")</f>
        <v>Costs to be co-funded</v>
      </c>
      <c r="C1532" s="86"/>
      <c r="D1532" s="86"/>
      <c r="E1532" s="86"/>
      <c r="F1532" s="86"/>
      <c r="G1532" s="86"/>
      <c r="H1532" s="86"/>
      <c r="I1532" s="86"/>
      <c r="J1532" s="86"/>
      <c r="K1532" s="86"/>
      <c r="L1532" s="86"/>
      <c r="M1532" s="130"/>
    </row>
    <row r="1533" spans="2:15" s="3" customFormat="1" ht="13.2" x14ac:dyDescent="0.25">
      <c r="B1533" s="758" t="str">
        <f>IF('1. INTRO'!I$2="English",(IF('2. START'!C$11="NO","Indirect and facility charge not accepted as OH by funding body","")),IF('2. START'!C$11="NO","Indirekt och lokalpåslag inte accepterade som OH av finansiär",""))</f>
        <v/>
      </c>
      <c r="C1533" s="759">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759">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759">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759">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759">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759">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759">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759">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759">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759">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752">
        <f t="shared" ref="M1533:M1539" si="334">SUM(C1533:L1533)</f>
        <v>0</v>
      </c>
    </row>
    <row r="1534" spans="2:15" s="3" customFormat="1" ht="12.75" customHeight="1" x14ac:dyDescent="0.25">
      <c r="B1534" s="132" t="str">
        <f>IF('1. INTRO'!I$2="English",(IF('2. START'!C$14&gt;0,"Social costs (LKP) not accepted by funding body","")),IF('2. START'!C$14&gt;0,"LKP som inte accepteras av finansiär",""))</f>
        <v/>
      </c>
      <c r="C1534" s="133">
        <f>IF('2. START'!$C$14&gt;0,SUMIF('5. PERSON'!$B$17:$B$192,$C1522,'5. PERSON'!AT$17:AT$192)-SUMIF('5. PERSON'!$B$17:$B$192,$C1522,'5. PERSON'!DN$17:DN$192),0)</f>
        <v>0</v>
      </c>
      <c r="D1534" s="133">
        <f>IF('2. START'!$C$14&gt;0,SUMIF('5. PERSON'!$B$17:$B$192,$C1522,'5. PERSON'!AU$17:AU$192)-SUMIF('5. PERSON'!$B$17:$B$192,$C1522,'5. PERSON'!DO$17:DO$192),0)</f>
        <v>0</v>
      </c>
      <c r="E1534" s="133">
        <f>IF('2. START'!$C$14&gt;0,SUMIF('5. PERSON'!$B$17:$B$192,$C1522,'5. PERSON'!AV$17:AV$192)-SUMIF('5. PERSON'!$B$17:$B$192,$C1522,'5. PERSON'!DP$17:DP$192),0)</f>
        <v>0</v>
      </c>
      <c r="F1534" s="133">
        <f>IF('2. START'!$C$14&gt;0,SUMIF('5. PERSON'!$B$17:$B$192,$C1522,'5. PERSON'!AW$17:AW$192)-SUMIF('5. PERSON'!$B$17:$B$192,$C1522,'5. PERSON'!DQ$17:DQ$192),0)</f>
        <v>0</v>
      </c>
      <c r="G1534" s="133">
        <f>IF('2. START'!$C$14&gt;0,SUMIF('5. PERSON'!$B$17:$B$192,$C1522,'5. PERSON'!AX$17:AX$192)-SUMIF('5. PERSON'!$B$17:$B$192,$C1522,'5. PERSON'!DR$17:DR$192),0)</f>
        <v>0</v>
      </c>
      <c r="H1534" s="133">
        <f>IF('2. START'!$C$14&gt;0,SUMIF('5. PERSON'!$B$17:$B$192,$C1522,'5. PERSON'!AY$17:AY$192)-SUMIF('5. PERSON'!$B$17:$B$192,$C1522,'5. PERSON'!DS$17:DS$192),0)</f>
        <v>0</v>
      </c>
      <c r="I1534" s="133">
        <f>IF('2. START'!$C$14&gt;0,SUMIF('5. PERSON'!$B$17:$B$192,$C1522,'5. PERSON'!AZ$17:AZ$192)-SUMIF('5. PERSON'!$B$17:$B$192,$C1522,'5. PERSON'!DT$17:DT$192),0)</f>
        <v>0</v>
      </c>
      <c r="J1534" s="133">
        <f>IF('2. START'!$C$14&gt;0,SUMIF('5. PERSON'!$B$17:$B$192,$C1522,'5. PERSON'!BA$17:BA$192)-SUMIF('5. PERSON'!$B$17:$B$192,$C1522,'5. PERSON'!DU$17:DU$192),0)</f>
        <v>0</v>
      </c>
      <c r="K1534" s="133">
        <f>IF('2. START'!$C$14&gt;0,SUMIF('5. PERSON'!$B$17:$B$192,$C1522,'5. PERSON'!BB$17:BB$192)-SUMIF('5. PERSON'!$B$17:$B$192,$C1522,'5. PERSON'!DV$17:DV$192),0)</f>
        <v>0</v>
      </c>
      <c r="L1534" s="133">
        <f>IF('2. START'!$C$14&gt;0,SUMIF('5. PERSON'!$B$17:$B$192,$C1522,'5. PERSON'!BC$17:BC$192)-SUMIF('5. PERSON'!$B$17:$B$192,$C1522,'5. PERSON'!DW$17:DW$192),0)</f>
        <v>0</v>
      </c>
      <c r="M1534" s="117">
        <f t="shared" si="334"/>
        <v>0</v>
      </c>
    </row>
    <row r="1535" spans="2:15" s="3" customFormat="1" ht="12.75" customHeight="1" x14ac:dyDescent="0.25">
      <c r="B1535" s="753" t="str">
        <f>IF('1. INTRO'!I$2="English",(IF('5. PERSON'!BP$193&gt;0,"Salary including social costs (LKP)","")),IF('5. PERSON'!BP$193&gt;0,"Lön inklusive LKP",""))</f>
        <v/>
      </c>
      <c r="C1535" s="760">
        <f>SUMIF('5. PERSON'!$B$17:$B$192,$C1522,'5. PERSON'!BF$17:BF$192)</f>
        <v>0</v>
      </c>
      <c r="D1535" s="760">
        <f>SUMIF('5. PERSON'!$B$17:$B$192,$C1522,'5. PERSON'!BG$17:BG$192)</f>
        <v>0</v>
      </c>
      <c r="E1535" s="760">
        <f>SUMIF('5. PERSON'!$B$17:$B$192,$C1522,'5. PERSON'!BH$17:BH$192)</f>
        <v>0</v>
      </c>
      <c r="F1535" s="760">
        <f>SUMIF('5. PERSON'!$B$17:$B$192,$C1522,'5. PERSON'!BI$17:BI$192)</f>
        <v>0</v>
      </c>
      <c r="G1535" s="760">
        <f>SUMIF('5. PERSON'!$B$17:$B$192,$C1522,'5. PERSON'!BJ$17:BJ$192)</f>
        <v>0</v>
      </c>
      <c r="H1535" s="760">
        <f>SUMIF('5. PERSON'!$B$17:$B$192,$C1522,'5. PERSON'!BK$17:BK$192)</f>
        <v>0</v>
      </c>
      <c r="I1535" s="760">
        <f>SUMIF('5. PERSON'!$B$17:$B$192,$C1522,'5. PERSON'!BL$17:BL$192)</f>
        <v>0</v>
      </c>
      <c r="J1535" s="760">
        <f>SUMIF('5. PERSON'!$B$17:$B$192,$C1522,'5. PERSON'!BM$17:BM$192)</f>
        <v>0</v>
      </c>
      <c r="K1535" s="760">
        <f>SUMIF('5. PERSON'!$B$17:$B$192,$C1522,'5. PERSON'!BN$17:BN$192)</f>
        <v>0</v>
      </c>
      <c r="L1535" s="760">
        <f>SUMIF('5. PERSON'!$B$17:$B$192,$C1522,'5. PERSON'!BO$17:BO$192)</f>
        <v>0</v>
      </c>
      <c r="M1535" s="755">
        <f t="shared" si="334"/>
        <v>0</v>
      </c>
    </row>
    <row r="1536" spans="2:15" s="3" customFormat="1" ht="13.2" x14ac:dyDescent="0.25">
      <c r="B1536" s="80" t="str">
        <f>IF('1. INTRO'!I$2="English",(IF('6. OPERATION'!AS$150&gt;0,"Operating","")),IF('6. OPERATION'!AS$150&gt;0,"Drift",""))</f>
        <v/>
      </c>
      <c r="C1536" s="135">
        <f>SUMIF('6. OPERATION'!$B$17:$B$149,$C1522,'6. OPERATION'!AI$17:AI$149)</f>
        <v>0</v>
      </c>
      <c r="D1536" s="135">
        <f>SUMIF('6. OPERATION'!$B$17:$B$149,$C1522,'6. OPERATION'!AJ$17:AJ$149)</f>
        <v>0</v>
      </c>
      <c r="E1536" s="135">
        <f>SUMIF('6. OPERATION'!$B$17:$B$149,$C1522,'6. OPERATION'!AK$17:AK$149)</f>
        <v>0</v>
      </c>
      <c r="F1536" s="135">
        <f>SUMIF('6. OPERATION'!$B$17:$B$149,$C1522,'6. OPERATION'!AL$17:AL$149)</f>
        <v>0</v>
      </c>
      <c r="G1536" s="135">
        <f>SUMIF('6. OPERATION'!$B$17:$B$149,$C1522,'6. OPERATION'!AM$17:AM$149)</f>
        <v>0</v>
      </c>
      <c r="H1536" s="135">
        <f>SUMIF('6. OPERATION'!$B$17:$B$149,$C1522,'6. OPERATION'!AN$17:AN$149)</f>
        <v>0</v>
      </c>
      <c r="I1536" s="135">
        <f>SUMIF('6. OPERATION'!$B$17:$B$149,$C1522,'6. OPERATION'!AO$17:AO$149)</f>
        <v>0</v>
      </c>
      <c r="J1536" s="135">
        <f>SUMIF('6. OPERATION'!$B$17:$B$149,$C1522,'6. OPERATION'!AP$17:AP$149)</f>
        <v>0</v>
      </c>
      <c r="K1536" s="135">
        <f>SUMIF('6. OPERATION'!$B$17:$B$149,$C1522,'6. OPERATION'!AQ$17:AQ$149)</f>
        <v>0</v>
      </c>
      <c r="L1536" s="135">
        <f>SUMIF('6. OPERATION'!$B$17:$B$149,$C1522,'6. OPERATION'!AR$17:AR$149)</f>
        <v>0</v>
      </c>
      <c r="M1536" s="117">
        <f t="shared" si="334"/>
        <v>0</v>
      </c>
    </row>
    <row r="1537" spans="2:15" s="3" customFormat="1" ht="13.2" x14ac:dyDescent="0.25">
      <c r="B1537" s="753" t="str">
        <f>IF('1. INTRO'!I$2="English",(IF('7. INVEST'!AS$50&gt;0,"Equipment","")),IF('7. INVEST'!AS$50&gt;0,"Utrustning",""))</f>
        <v/>
      </c>
      <c r="C1537" s="760">
        <f>SUMIF('7. INVEST'!$B$17:$B$49,$C1522,'7. INVEST'!AI$17:AI$49)</f>
        <v>0</v>
      </c>
      <c r="D1537" s="760">
        <f>SUMIF('7. INVEST'!$B$17:$B$49,$C1522,'7. INVEST'!AJ$17:AJ$49)</f>
        <v>0</v>
      </c>
      <c r="E1537" s="760">
        <f>SUMIF('7. INVEST'!$B$17:$B$49,$C1522,'7. INVEST'!AK$17:AK$49)</f>
        <v>0</v>
      </c>
      <c r="F1537" s="760">
        <f>SUMIF('7. INVEST'!$B$17:$B$49,$C1522,'7. INVEST'!AL$17:AL$49)</f>
        <v>0</v>
      </c>
      <c r="G1537" s="760">
        <f>SUMIF('7. INVEST'!$B$17:$B$49,$C1522,'7. INVEST'!AM$17:AM$49)</f>
        <v>0</v>
      </c>
      <c r="H1537" s="760">
        <f>SUMIF('7. INVEST'!$B$17:$B$49,$C1522,'7. INVEST'!AN$17:AN$49)</f>
        <v>0</v>
      </c>
      <c r="I1537" s="760">
        <f>SUMIF('7. INVEST'!$B$17:$B$49,$C1522,'7. INVEST'!AO$17:AO$49)</f>
        <v>0</v>
      </c>
      <c r="J1537" s="760">
        <f>SUMIF('7. INVEST'!$B$17:$B$49,$C1522,'7. INVEST'!AP$17:AP$49)</f>
        <v>0</v>
      </c>
      <c r="K1537" s="760">
        <f>SUMIF('7. INVEST'!$B$17:$B$49,$C1522,'7. INVEST'!AQ$17:AQ$49)</f>
        <v>0</v>
      </c>
      <c r="L1537" s="760">
        <f>SUMIF('7. INVEST'!$B$17:$B$49,$C1522,'7. INVEST'!AR$17:AR$49)</f>
        <v>0</v>
      </c>
      <c r="M1537" s="755">
        <f t="shared" si="334"/>
        <v>0</v>
      </c>
    </row>
    <row r="1538" spans="2:15" s="3" customFormat="1" ht="13.2" x14ac:dyDescent="0.25">
      <c r="B1538" s="121" t="str">
        <f>IF('1. INTRO'!I$2="English",(IF('8. FACILIT'!AP$51&gt;0,"Facility","")),IF('8. FACILIT'!AP$51&gt;0,"Lokal",""))</f>
        <v/>
      </c>
      <c r="C1538" s="135">
        <f>SUMIF('5. PERSON'!$B$17:$B$192,$C1522,'5. PERSON'!DB$17:DB$192)+SUMIF('6. OPERATION'!$B$17:$B$149,$C1522,'6. OPERATION'!CE$17:CE$149)+SUMIF('8. FACILIT'!$B$18:$B$50,$C1522,'8. FACILIT'!AF$18:AF$50)</f>
        <v>0</v>
      </c>
      <c r="D1538" s="135">
        <f>SUMIF('5. PERSON'!$B$17:$B$192,$C1522,'5. PERSON'!DC$17:DC$192)+SUMIF('6. OPERATION'!$B$17:$B$149,$C1522,'6. OPERATION'!CF$17:CF$149)+SUMIF('8. FACILIT'!$B$18:$B$50,$C1522,'8. FACILIT'!AG$18:AG$50)</f>
        <v>0</v>
      </c>
      <c r="E1538" s="135">
        <f>SUMIF('5. PERSON'!$B$17:$B$192,$C1522,'5. PERSON'!DD$17:DD$192)+SUMIF('6. OPERATION'!$B$17:$B$149,$C1522,'6. OPERATION'!CG$17:CG$149)+SUMIF('8. FACILIT'!$B$18:$B$50,$C1522,'8. FACILIT'!AH$18:AH$50)</f>
        <v>0</v>
      </c>
      <c r="F1538" s="135">
        <f>SUMIF('5. PERSON'!$B$17:$B$192,$C1522,'5. PERSON'!DE$17:DE$192)+SUMIF('6. OPERATION'!$B$17:$B$149,$C1522,'6. OPERATION'!CH$17:CH$149)+SUMIF('8. FACILIT'!$B$18:$B$50,$C1522,'8. FACILIT'!AI$18:AI$50)</f>
        <v>0</v>
      </c>
      <c r="G1538" s="135">
        <f>SUMIF('5. PERSON'!$B$17:$B$192,$C1522,'5. PERSON'!DF$17:DF$192)+SUMIF('6. OPERATION'!$B$17:$B$149,$C1522,'6. OPERATION'!CI$17:CI$149)+SUMIF('8. FACILIT'!$B$18:$B$50,$C1522,'8. FACILIT'!AJ$18:AJ$50)</f>
        <v>0</v>
      </c>
      <c r="H1538" s="135">
        <f>SUMIF('5. PERSON'!$B$17:$B$192,$C1522,'5. PERSON'!DG$17:DG$192)+SUMIF('6. OPERATION'!$B$17:$B$149,$C1522,'6. OPERATION'!CJ$17:CJ$149)+SUMIF('8. FACILIT'!$B$18:$B$50,$C1522,'8. FACILIT'!AK$18:AK$50)</f>
        <v>0</v>
      </c>
      <c r="I1538" s="135">
        <f>SUMIF('5. PERSON'!$B$17:$B$192,$C1522,'5. PERSON'!DH$17:DH$192)+SUMIF('6. OPERATION'!$B$17:$B$149,$C1522,'6. OPERATION'!CK$17:CK$149)+SUMIF('8. FACILIT'!$B$18:$B$50,$C1522,'8. FACILIT'!AL$18:AL$50)</f>
        <v>0</v>
      </c>
      <c r="J1538" s="135">
        <f>SUMIF('5. PERSON'!$B$17:$B$192,$C1522,'5. PERSON'!DI$17:DI$192)+SUMIF('6. OPERATION'!$B$17:$B$149,$C1522,'6. OPERATION'!CL$17:CL$149)+SUMIF('8. FACILIT'!$B$18:$B$50,$C1522,'8. FACILIT'!AM$18:AM$50)</f>
        <v>0</v>
      </c>
      <c r="K1538" s="135">
        <f>SUMIF('5. PERSON'!$B$17:$B$192,$C1522,'5. PERSON'!DJ$17:DJ$192)+SUMIF('6. OPERATION'!$B$17:$B$149,$C1522,'6. OPERATION'!CM$17:CM$149)+SUMIF('8. FACILIT'!$B$18:$B$50,$C1522,'8. FACILIT'!AN$18:AN$50)</f>
        <v>0</v>
      </c>
      <c r="L1538" s="135">
        <f>SUMIF('5. PERSON'!$B$17:$B$192,$C1522,'5. PERSON'!DK$17:DK$192)+SUMIF('6. OPERATION'!$B$17:$B$149,$C1522,'6. OPERATION'!CN$17:CN$149)+SUMIF('8. FACILIT'!$B$18:$B$50,$C1522,'8. FACILIT'!AO$18:AO$50)</f>
        <v>0</v>
      </c>
      <c r="M1538" s="117">
        <f t="shared" si="334"/>
        <v>0</v>
      </c>
    </row>
    <row r="1539" spans="2:15" s="1" customFormat="1" ht="13.2" x14ac:dyDescent="0.25">
      <c r="B1539" s="756" t="str">
        <f>IF('1. INTRO'!I$2="English",(IF(('5. PERSON'!CN$193+'6. OPERATION'!BQ$150)&gt;0,"Indirect","")),IF(('5. PERSON'!CN$193+'6. OPERATION'!BQ$150)&gt;0,"Indirekt",""))</f>
        <v/>
      </c>
      <c r="C1539" s="757">
        <f>SUMIF('5. PERSON'!$B$17:$B$192,$C1522,'5. PERSON'!CD$17:CD$192)+SUMIF('6. OPERATION'!$B$17:$B$149,$C1522,'6. OPERATION'!BG$17:BG$149)</f>
        <v>0</v>
      </c>
      <c r="D1539" s="757">
        <f>SUMIF('5. PERSON'!$B$17:$B$192,$C1522,'5. PERSON'!CE$17:CE$192)+SUMIF('6. OPERATION'!$B$17:$B$149,$C1522,'6. OPERATION'!BH$17:BH$149)</f>
        <v>0</v>
      </c>
      <c r="E1539" s="757">
        <f>SUMIF('5. PERSON'!$B$17:$B$192,$C1522,'5. PERSON'!CF$17:CF$192)+SUMIF('6. OPERATION'!$B$17:$B$149,$C1522,'6. OPERATION'!BI$17:BI$149)</f>
        <v>0</v>
      </c>
      <c r="F1539" s="757">
        <f>SUMIF('5. PERSON'!$B$17:$B$192,$C1522,'5. PERSON'!CG$17:CG$192)+SUMIF('6. OPERATION'!$B$17:$B$149,$C1522,'6. OPERATION'!BJ$17:BJ$149)</f>
        <v>0</v>
      </c>
      <c r="G1539" s="757">
        <f>SUMIF('5. PERSON'!$B$17:$B$192,$C1522,'5. PERSON'!CH$17:CH$192)+SUMIF('6. OPERATION'!$B$17:$B$149,$C1522,'6. OPERATION'!BK$17:BK$149)</f>
        <v>0</v>
      </c>
      <c r="H1539" s="757">
        <f>SUMIF('5. PERSON'!$B$17:$B$192,$C1522,'5. PERSON'!CI$17:CI$192)+SUMIF('6. OPERATION'!$B$17:$B$149,$C1522,'6. OPERATION'!BL$17:BL$149)</f>
        <v>0</v>
      </c>
      <c r="I1539" s="757">
        <f>SUMIF('5. PERSON'!$B$17:$B$192,$C1522,'5. PERSON'!CJ$17:CJ$192)+SUMIF('6. OPERATION'!$B$17:$B$149,$C1522,'6. OPERATION'!BM$17:BM$149)</f>
        <v>0</v>
      </c>
      <c r="J1539" s="757">
        <f>SUMIF('5. PERSON'!$B$17:$B$192,$C1522,'5. PERSON'!CK$17:CK$192)+SUMIF('6. OPERATION'!$B$17:$B$149,$C1522,'6. OPERATION'!BN$17:BN$149)</f>
        <v>0</v>
      </c>
      <c r="K1539" s="757">
        <f>SUMIF('5. PERSON'!$B$17:$B$192,$C1522,'5. PERSON'!CL$17:CL$192)+SUMIF('6. OPERATION'!$B$17:$B$149,$C1522,'6. OPERATION'!BO$17:BO$149)</f>
        <v>0</v>
      </c>
      <c r="L1539" s="757">
        <f>SUMIF('5. PERSON'!$B$17:$B$192,$C1522,'5. PERSON'!CM$17:CM$192)+SUMIF('6. OPERATION'!$B$17:$B$149,$C1522,'6. OPERATION'!BP$17:BP$149)</f>
        <v>0</v>
      </c>
      <c r="M1539" s="761">
        <f t="shared" si="334"/>
        <v>0</v>
      </c>
    </row>
    <row r="1540" spans="2:15" s="3" customFormat="1" ht="13.2" x14ac:dyDescent="0.25">
      <c r="B1540" s="124" t="s">
        <v>113</v>
      </c>
      <c r="C1540" s="102">
        <f>SUM(C1533:C1539)</f>
        <v>0</v>
      </c>
      <c r="D1540" s="102">
        <f t="shared" ref="D1540:M1540" si="335">SUM(D1533:D1539)</f>
        <v>0</v>
      </c>
      <c r="E1540" s="102">
        <f t="shared" si="335"/>
        <v>0</v>
      </c>
      <c r="F1540" s="102">
        <f t="shared" si="335"/>
        <v>0</v>
      </c>
      <c r="G1540" s="102">
        <f t="shared" si="335"/>
        <v>0</v>
      </c>
      <c r="H1540" s="102">
        <f t="shared" si="335"/>
        <v>0</v>
      </c>
      <c r="I1540" s="102">
        <f t="shared" si="335"/>
        <v>0</v>
      </c>
      <c r="J1540" s="102">
        <f t="shared" si="335"/>
        <v>0</v>
      </c>
      <c r="K1540" s="102">
        <f t="shared" si="335"/>
        <v>0</v>
      </c>
      <c r="L1540" s="102">
        <f t="shared" si="335"/>
        <v>0</v>
      </c>
      <c r="M1540" s="125">
        <f t="shared" si="335"/>
        <v>0</v>
      </c>
      <c r="N1540" s="23"/>
      <c r="O1540" s="23"/>
    </row>
    <row r="1541" spans="2:15" s="3" customFormat="1" ht="6" customHeight="1" x14ac:dyDescent="0.25">
      <c r="B1541" s="136"/>
      <c r="C1541" s="127"/>
      <c r="D1541" s="127"/>
      <c r="E1541" s="127"/>
      <c r="F1541" s="127"/>
      <c r="G1541" s="127"/>
      <c r="H1541" s="127"/>
      <c r="I1541" s="127"/>
      <c r="J1541" s="127"/>
      <c r="K1541" s="127"/>
      <c r="L1541" s="127"/>
      <c r="M1541" s="137"/>
    </row>
    <row r="1542" spans="2:15" s="3" customFormat="1" ht="13.2" x14ac:dyDescent="0.25">
      <c r="B1542" s="129" t="str">
        <f>IF('1. INTRO'!I$2="English","Full cost","Full kostnad")</f>
        <v>Full cost</v>
      </c>
      <c r="C1542" s="127"/>
      <c r="D1542" s="127"/>
      <c r="E1542" s="127"/>
      <c r="F1542" s="127"/>
      <c r="G1542" s="127"/>
      <c r="H1542" s="127"/>
      <c r="I1542" s="127"/>
      <c r="J1542" s="127"/>
      <c r="K1542" s="127"/>
      <c r="L1542" s="127"/>
      <c r="M1542" s="137"/>
    </row>
    <row r="1543" spans="2:15" s="3" customFormat="1" ht="13.2" x14ac:dyDescent="0.25">
      <c r="B1543" s="750" t="str">
        <f>IF('1. INTRO'!I$2="English","Salary including social costs (LKP)","Lön inklusive LKP")</f>
        <v>Salary including social costs (LKP)</v>
      </c>
      <c r="C1543" s="762">
        <f>C1525+C1534+C1535</f>
        <v>0</v>
      </c>
      <c r="D1543" s="762">
        <f t="shared" ref="D1543:L1543" si="336">D1525+D1534+D1535</f>
        <v>0</v>
      </c>
      <c r="E1543" s="762">
        <f t="shared" si="336"/>
        <v>0</v>
      </c>
      <c r="F1543" s="762">
        <f t="shared" si="336"/>
        <v>0</v>
      </c>
      <c r="G1543" s="762">
        <f t="shared" si="336"/>
        <v>0</v>
      </c>
      <c r="H1543" s="762">
        <f t="shared" si="336"/>
        <v>0</v>
      </c>
      <c r="I1543" s="762">
        <f t="shared" si="336"/>
        <v>0</v>
      </c>
      <c r="J1543" s="762">
        <f t="shared" si="336"/>
        <v>0</v>
      </c>
      <c r="K1543" s="762">
        <f t="shared" si="336"/>
        <v>0</v>
      </c>
      <c r="L1543" s="762">
        <f t="shared" si="336"/>
        <v>0</v>
      </c>
      <c r="M1543" s="752">
        <f>SUM(C1543:L1543)</f>
        <v>0</v>
      </c>
    </row>
    <row r="1544" spans="2:15" s="3" customFormat="1" ht="13.2" x14ac:dyDescent="0.25">
      <c r="B1544" s="80" t="str">
        <f>IF('1. INTRO'!I$2="English","Operating","Drift")</f>
        <v>Operating</v>
      </c>
      <c r="C1544" s="139">
        <f>C1526+C1536</f>
        <v>0</v>
      </c>
      <c r="D1544" s="139">
        <f t="shared" ref="D1544:L1544" si="337">D1526+D1536</f>
        <v>0</v>
      </c>
      <c r="E1544" s="139">
        <f t="shared" si="337"/>
        <v>0</v>
      </c>
      <c r="F1544" s="139">
        <f t="shared" si="337"/>
        <v>0</v>
      </c>
      <c r="G1544" s="139">
        <f t="shared" si="337"/>
        <v>0</v>
      </c>
      <c r="H1544" s="139">
        <f t="shared" si="337"/>
        <v>0</v>
      </c>
      <c r="I1544" s="139">
        <f t="shared" si="337"/>
        <v>0</v>
      </c>
      <c r="J1544" s="139">
        <f t="shared" si="337"/>
        <v>0</v>
      </c>
      <c r="K1544" s="139">
        <f t="shared" si="337"/>
        <v>0</v>
      </c>
      <c r="L1544" s="139">
        <f t="shared" si="337"/>
        <v>0</v>
      </c>
      <c r="M1544" s="117">
        <f>SUM(C1544:L1544)</f>
        <v>0</v>
      </c>
    </row>
    <row r="1545" spans="2:15" s="3" customFormat="1" ht="13.2" x14ac:dyDescent="0.25">
      <c r="B1545" s="753" t="str">
        <f>IF('1. INTRO'!I$2="English","Equipment","Utrustning")</f>
        <v>Equipment</v>
      </c>
      <c r="C1545" s="763">
        <f>C1527+C1537</f>
        <v>0</v>
      </c>
      <c r="D1545" s="763">
        <f t="shared" ref="D1545:L1545" si="338">D1527+D1537</f>
        <v>0</v>
      </c>
      <c r="E1545" s="763">
        <f t="shared" si="338"/>
        <v>0</v>
      </c>
      <c r="F1545" s="763">
        <f t="shared" si="338"/>
        <v>0</v>
      </c>
      <c r="G1545" s="763">
        <f t="shared" si="338"/>
        <v>0</v>
      </c>
      <c r="H1545" s="763">
        <f t="shared" si="338"/>
        <v>0</v>
      </c>
      <c r="I1545" s="763">
        <f t="shared" si="338"/>
        <v>0</v>
      </c>
      <c r="J1545" s="763">
        <f t="shared" si="338"/>
        <v>0</v>
      </c>
      <c r="K1545" s="763">
        <f t="shared" si="338"/>
        <v>0</v>
      </c>
      <c r="L1545" s="763">
        <f t="shared" si="338"/>
        <v>0</v>
      </c>
      <c r="M1545" s="755">
        <f>SUM(C1545:L1545)</f>
        <v>0</v>
      </c>
    </row>
    <row r="1546" spans="2:15" s="3" customFormat="1" ht="13.2" x14ac:dyDescent="0.25">
      <c r="B1546" s="80" t="str">
        <f>IF('1. INTRO'!I$2="English","Facility","Lokal")</f>
        <v>Facility</v>
      </c>
      <c r="C1546" s="139">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39">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39">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39">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39">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39">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39">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39">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39">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39">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117">
        <f>SUM(C1546:L1546)</f>
        <v>0</v>
      </c>
    </row>
    <row r="1547" spans="2:15" s="3" customFormat="1" ht="13.2" x14ac:dyDescent="0.25">
      <c r="B1547" s="764" t="str">
        <f>IF('1. INTRO'!I$2="English","Indirect","Indirekt")</f>
        <v>Indirect</v>
      </c>
      <c r="C1547" s="765">
        <f>SUMIF('5. PERSON'!$B$17:$B$192,$C1522,'5. PERSON'!BR$17:BR$192)+SUMIF('5. PERSON'!$B$17:$B$192,$C1522,'5. PERSON'!CD$17:CD$192)+SUMIF('6. OPERATION'!$B$17:$B$149,$C1522,'6. OPERATION'!AU$17:AU$149)+SUMIF('6. OPERATION'!$B$17:$B$149,$C1522,'6. OPERATION'!BG$17:BG$149)</f>
        <v>0</v>
      </c>
      <c r="D1547" s="765">
        <f>SUMIF('5. PERSON'!$B$17:$B$192,$C1522,'5. PERSON'!BS$17:BS$192)+SUMIF('5. PERSON'!$B$17:$B$192,$C1522,'5. PERSON'!CE$17:CE$192)+SUMIF('6. OPERATION'!$B$17:$B$149,$C1522,'6. OPERATION'!AV$17:AV$149)+SUMIF('6. OPERATION'!$B$17:$B$149,$C1522,'6. OPERATION'!BH$17:BH$149)</f>
        <v>0</v>
      </c>
      <c r="E1547" s="765">
        <f>SUMIF('5. PERSON'!$B$17:$B$192,$C1522,'5. PERSON'!BT$17:BT$192)+SUMIF('5. PERSON'!$B$17:$B$192,$C1522,'5. PERSON'!CF$17:CF$192)+SUMIF('6. OPERATION'!$B$17:$B$149,$C1522,'6. OPERATION'!AW$17:AW$149)+SUMIF('6. OPERATION'!$B$17:$B$149,$C1522,'6. OPERATION'!BI$17:BI$149)</f>
        <v>0</v>
      </c>
      <c r="F1547" s="765">
        <f>SUMIF('5. PERSON'!$B$17:$B$192,$C1522,'5. PERSON'!BU$17:BU$192)+SUMIF('5. PERSON'!$B$17:$B$192,$C1522,'5. PERSON'!CG$17:CG$192)+SUMIF('6. OPERATION'!$B$17:$B$149,$C1522,'6. OPERATION'!AX$17:AX$149)+SUMIF('6. OPERATION'!$B$17:$B$149,$C1522,'6. OPERATION'!BJ$17:BJ$149)</f>
        <v>0</v>
      </c>
      <c r="G1547" s="765">
        <f>SUMIF('5. PERSON'!$B$17:$B$192,$C1522,'5. PERSON'!BV$17:BV$192)+SUMIF('5. PERSON'!$B$17:$B$192,$C1522,'5. PERSON'!CH$17:CH$192)+SUMIF('6. OPERATION'!$B$17:$B$149,$C1522,'6. OPERATION'!AY$17:AY$149)+SUMIF('6. OPERATION'!$B$17:$B$149,$C1522,'6. OPERATION'!BK$17:BK$149)</f>
        <v>0</v>
      </c>
      <c r="H1547" s="765">
        <f>SUMIF('5. PERSON'!$B$17:$B$192,$C1522,'5. PERSON'!BW$17:BW$192)+SUMIF('5. PERSON'!$B$17:$B$192,$C1522,'5. PERSON'!CI$17:CI$192)+SUMIF('6. OPERATION'!$B$17:$B$149,$C1522,'6. OPERATION'!AZ$17:AZ$149)+SUMIF('6. OPERATION'!$B$17:$B$149,$C1522,'6. OPERATION'!BL$17:BL$149)</f>
        <v>0</v>
      </c>
      <c r="I1547" s="765">
        <f>SUMIF('5. PERSON'!$B$17:$B$192,$C1522,'5. PERSON'!BX$17:BX$192)+SUMIF('5. PERSON'!$B$17:$B$192,$C1522,'5. PERSON'!CJ$17:CJ$192)+SUMIF('6. OPERATION'!$B$17:$B$149,$C1522,'6. OPERATION'!BA$17:BA$149)+SUMIF('6. OPERATION'!$B$17:$B$149,$C1522,'6. OPERATION'!BM$17:BM$149)</f>
        <v>0</v>
      </c>
      <c r="J1547" s="765">
        <f>SUMIF('5. PERSON'!$B$17:$B$192,$C1522,'5. PERSON'!BY$17:BY$192)+SUMIF('5. PERSON'!$B$17:$B$192,$C1522,'5. PERSON'!CK$17:CK$192)+SUMIF('6. OPERATION'!$B$17:$B$149,$C1522,'6. OPERATION'!BB$17:BB$149)+SUMIF('6. OPERATION'!$B$17:$B$149,$C1522,'6. OPERATION'!BN$17:BN$149)</f>
        <v>0</v>
      </c>
      <c r="K1547" s="765">
        <f>SUMIF('5. PERSON'!$B$17:$B$192,$C1522,'5. PERSON'!BZ$17:BZ$192)+SUMIF('5. PERSON'!$B$17:$B$192,$C1522,'5. PERSON'!CL$17:CL$192)+SUMIF('6. OPERATION'!$B$17:$B$149,$C1522,'6. OPERATION'!BC$17:BC$149)+SUMIF('6. OPERATION'!$B$17:$B$149,$C1522,'6. OPERATION'!BO$17:BO$149)</f>
        <v>0</v>
      </c>
      <c r="L1547" s="765">
        <f>SUMIF('5. PERSON'!$B$17:$B$192,$C1522,'5. PERSON'!CA$17:CA$192)+SUMIF('5. PERSON'!$B$17:$B$192,$C1522,'5. PERSON'!CM$17:CM$192)+SUMIF('6. OPERATION'!$B$17:$B$149,$C1522,'6. OPERATION'!BD$17:BD$149)+SUMIF('6. OPERATION'!$B$17:$B$149,$C1522,'6. OPERATION'!BP$17:BP$149)</f>
        <v>0</v>
      </c>
      <c r="M1547" s="761">
        <f>SUM(C1547:L1547)</f>
        <v>0</v>
      </c>
    </row>
    <row r="1548" spans="2:15" s="3" customFormat="1" ht="13.2" x14ac:dyDescent="0.25">
      <c r="B1548" s="124" t="s">
        <v>113</v>
      </c>
      <c r="C1548" s="88">
        <f>SUM(C1543:C1547)</f>
        <v>0</v>
      </c>
      <c r="D1548" s="88">
        <f t="shared" ref="D1548:M1548" si="339">SUM(D1543:D1547)</f>
        <v>0</v>
      </c>
      <c r="E1548" s="88">
        <f t="shared" si="339"/>
        <v>0</v>
      </c>
      <c r="F1548" s="88">
        <f t="shared" si="339"/>
        <v>0</v>
      </c>
      <c r="G1548" s="88">
        <f t="shared" si="339"/>
        <v>0</v>
      </c>
      <c r="H1548" s="88">
        <f t="shared" si="339"/>
        <v>0</v>
      </c>
      <c r="I1548" s="88">
        <f t="shared" si="339"/>
        <v>0</v>
      </c>
      <c r="J1548" s="88">
        <f t="shared" si="339"/>
        <v>0</v>
      </c>
      <c r="K1548" s="88">
        <f t="shared" si="339"/>
        <v>0</v>
      </c>
      <c r="L1548" s="88">
        <f t="shared" si="339"/>
        <v>0</v>
      </c>
      <c r="M1548" s="142">
        <f t="shared" si="339"/>
        <v>0</v>
      </c>
    </row>
    <row r="1549" spans="2:15" s="3" customFormat="1" ht="13.2" x14ac:dyDescent="0.25">
      <c r="B1549" s="287"/>
      <c r="C1549" s="37"/>
      <c r="D1549" s="37"/>
      <c r="E1549" s="37"/>
      <c r="F1549" s="37"/>
      <c r="G1549" s="37"/>
      <c r="H1549" s="37"/>
      <c r="I1549" s="37"/>
      <c r="J1549" s="37"/>
      <c r="K1549" s="37"/>
      <c r="L1549" s="37"/>
      <c r="M1549" s="37"/>
    </row>
    <row r="1550" spans="2:15" s="3" customFormat="1" ht="12.75" customHeight="1" x14ac:dyDescent="0.25">
      <c r="B1550" s="656" t="str">
        <f>IF('1. INTRO'!I$2="English","Co-funding share in full cost ","Medfinansieringsandel i full kostnad ")</f>
        <v xml:space="preserve">Co-funding share in full cost </v>
      </c>
      <c r="C1550" s="143" t="str">
        <f t="shared" ref="C1550:M1550" si="340">IF(C1548&gt;0,C1540/C1548,"")</f>
        <v/>
      </c>
      <c r="D1550" s="143" t="str">
        <f t="shared" si="340"/>
        <v/>
      </c>
      <c r="E1550" s="143" t="str">
        <f t="shared" si="340"/>
        <v/>
      </c>
      <c r="F1550" s="143" t="str">
        <f t="shared" si="340"/>
        <v/>
      </c>
      <c r="G1550" s="143" t="str">
        <f t="shared" si="340"/>
        <v/>
      </c>
      <c r="H1550" s="143" t="str">
        <f t="shared" si="340"/>
        <v/>
      </c>
      <c r="I1550" s="143" t="str">
        <f t="shared" si="340"/>
        <v/>
      </c>
      <c r="J1550" s="143" t="str">
        <f t="shared" si="340"/>
        <v/>
      </c>
      <c r="K1550" s="143" t="str">
        <f t="shared" si="340"/>
        <v/>
      </c>
      <c r="L1550" s="143" t="str">
        <f t="shared" si="340"/>
        <v/>
      </c>
      <c r="M1550" s="143" t="str">
        <f t="shared" si="340"/>
        <v/>
      </c>
    </row>
    <row r="1551" spans="2:15" ht="12.75" customHeight="1" x14ac:dyDescent="0.2"/>
    <row r="1552" spans="2:15" ht="12.75" customHeight="1" x14ac:dyDescent="0.25">
      <c r="D1552" s="656" t="str">
        <f>IF('1. INTRO'!I$2="English","Co-funding need in average per year: ","Medfinansieringsbehov i genomsnitt per år: ")</f>
        <v xml:space="preserve">Co-funding need in average per year: </v>
      </c>
      <c r="E1552" s="766" t="str">
        <f>IF(M1540=0,"",M1540/(DATEDIF('2. START'!C$18,'2. START'!C$19,"d")/365))</f>
        <v/>
      </c>
      <c r="H1552" s="656" t="str">
        <f>IF('1. INTRO'!I$2="English","Co-funding need 1/3 of total: ","Medfinansieringsbehov 1/3 av totalt: ")</f>
        <v xml:space="preserve">Co-funding need 1/3 of total: </v>
      </c>
      <c r="I1552" s="766">
        <f>M1540/3</f>
        <v>0</v>
      </c>
      <c r="L1552" s="287" t="str">
        <f>IF('1. INTRO'!I$2="English","Co-funding need total: ","Medfinansieringsbehov totalt: ")</f>
        <v xml:space="preserve">Co-funding need total: </v>
      </c>
      <c r="M1552" s="766">
        <f>M1540</f>
        <v>0</v>
      </c>
    </row>
    <row r="1553" spans="2:13" ht="12.75" customHeight="1" x14ac:dyDescent="0.25">
      <c r="B1553" s="53" t="str">
        <f>IF('1. INTRO'!I$2="English","Co-funding sources","Medfinansieringskällor")</f>
        <v>Co-funding sources</v>
      </c>
    </row>
    <row r="1554" spans="2:13" ht="12.75" customHeight="1" x14ac:dyDescent="0.25">
      <c r="B1554" s="225"/>
      <c r="C1554" s="226"/>
      <c r="D1554" s="226"/>
      <c r="E1554" s="226"/>
      <c r="F1554" s="226"/>
      <c r="G1554" s="226"/>
      <c r="H1554" s="226"/>
      <c r="I1554" s="226"/>
      <c r="J1554" s="226"/>
      <c r="K1554" s="226"/>
      <c r="L1554" s="227"/>
      <c r="M1554" s="168">
        <f>SUM(C1554:L1554)</f>
        <v>0</v>
      </c>
    </row>
    <row r="1555" spans="2:13" ht="12.75" customHeight="1" x14ac:dyDescent="0.25">
      <c r="B1555" s="228"/>
      <c r="C1555" s="229"/>
      <c r="D1555" s="229"/>
      <c r="E1555" s="229"/>
      <c r="F1555" s="229"/>
      <c r="G1555" s="229"/>
      <c r="H1555" s="229"/>
      <c r="I1555" s="229"/>
      <c r="J1555" s="229"/>
      <c r="K1555" s="229"/>
      <c r="L1555" s="230"/>
      <c r="M1555" s="755">
        <f t="shared" ref="M1555:M1558" si="341">SUM(C1555:L1555)</f>
        <v>0</v>
      </c>
    </row>
    <row r="1556" spans="2:13" ht="12.75" customHeight="1" x14ac:dyDescent="0.25">
      <c r="B1556" s="231"/>
      <c r="C1556" s="232"/>
      <c r="D1556" s="232"/>
      <c r="E1556" s="232"/>
      <c r="F1556" s="232"/>
      <c r="G1556" s="232"/>
      <c r="H1556" s="232"/>
      <c r="I1556" s="232"/>
      <c r="J1556" s="232"/>
      <c r="K1556" s="232"/>
      <c r="L1556" s="233"/>
      <c r="M1556" s="117">
        <f t="shared" si="341"/>
        <v>0</v>
      </c>
    </row>
    <row r="1557" spans="2:13" ht="12.75" customHeight="1" x14ac:dyDescent="0.25">
      <c r="B1557" s="228"/>
      <c r="C1557" s="229"/>
      <c r="D1557" s="229"/>
      <c r="E1557" s="229"/>
      <c r="F1557" s="229"/>
      <c r="G1557" s="229"/>
      <c r="H1557" s="229"/>
      <c r="I1557" s="229"/>
      <c r="J1557" s="229"/>
      <c r="K1557" s="229"/>
      <c r="L1557" s="230"/>
      <c r="M1557" s="755">
        <f t="shared" si="341"/>
        <v>0</v>
      </c>
    </row>
    <row r="1558" spans="2:13" ht="12.75" customHeight="1" x14ac:dyDescent="0.25">
      <c r="B1558" s="93"/>
      <c r="C1558" s="232"/>
      <c r="D1558" s="232"/>
      <c r="E1558" s="232"/>
      <c r="F1558" s="232"/>
      <c r="G1558" s="232"/>
      <c r="H1558" s="232"/>
      <c r="I1558" s="232"/>
      <c r="J1558" s="232"/>
      <c r="K1558" s="232"/>
      <c r="L1558" s="233"/>
      <c r="M1558" s="117">
        <f t="shared" si="341"/>
        <v>0</v>
      </c>
    </row>
    <row r="1559" spans="2:13" ht="12.75" customHeight="1" x14ac:dyDescent="0.25">
      <c r="B1559" s="84" t="str">
        <f>IF('1. INTRO'!I$2="English","Total co-funding ","Total medfinansiering ")</f>
        <v xml:space="preserve">Total co-funding </v>
      </c>
      <c r="C1559" s="87">
        <f t="shared" ref="C1559:M1559" si="342">SUM(C1554:C1558)</f>
        <v>0</v>
      </c>
      <c r="D1559" s="87">
        <f t="shared" si="342"/>
        <v>0</v>
      </c>
      <c r="E1559" s="87">
        <f t="shared" si="342"/>
        <v>0</v>
      </c>
      <c r="F1559" s="87">
        <f t="shared" si="342"/>
        <v>0</v>
      </c>
      <c r="G1559" s="87">
        <f t="shared" si="342"/>
        <v>0</v>
      </c>
      <c r="H1559" s="87">
        <f t="shared" si="342"/>
        <v>0</v>
      </c>
      <c r="I1559" s="87">
        <f t="shared" si="342"/>
        <v>0</v>
      </c>
      <c r="J1559" s="87">
        <f t="shared" si="342"/>
        <v>0</v>
      </c>
      <c r="K1559" s="87">
        <f t="shared" si="342"/>
        <v>0</v>
      </c>
      <c r="L1559" s="87">
        <f t="shared" si="342"/>
        <v>0</v>
      </c>
      <c r="M1559" s="142">
        <f t="shared" si="342"/>
        <v>0</v>
      </c>
    </row>
    <row r="1560" spans="2:13" ht="12.75" customHeight="1" x14ac:dyDescent="0.2"/>
    <row r="1561" spans="2:13" ht="12.75" customHeight="1" x14ac:dyDescent="0.2">
      <c r="B1561" s="667" t="str">
        <f>IF('1. INTRO'!I$2="English","Calculation comments","Kalkylkommentarer")</f>
        <v>Calculation comments</v>
      </c>
    </row>
    <row r="1562" spans="2:13" ht="12.75" customHeight="1" x14ac:dyDescent="0.2">
      <c r="B1562" s="1142"/>
      <c r="C1562" s="1143"/>
      <c r="D1562" s="1143"/>
      <c r="E1562" s="1143"/>
      <c r="F1562" s="1143"/>
      <c r="G1562" s="1143"/>
      <c r="H1562" s="1143"/>
      <c r="I1562" s="1143"/>
      <c r="J1562" s="1143"/>
      <c r="K1562" s="1143"/>
      <c r="L1562" s="1143"/>
      <c r="M1562" s="1144"/>
    </row>
    <row r="1563" spans="2:13" ht="12.75" customHeight="1" x14ac:dyDescent="0.2">
      <c r="B1563" s="1145"/>
      <c r="C1563" s="1226"/>
      <c r="D1563" s="1226"/>
      <c r="E1563" s="1226"/>
      <c r="F1563" s="1226"/>
      <c r="G1563" s="1226"/>
      <c r="H1563" s="1226"/>
      <c r="I1563" s="1226"/>
      <c r="J1563" s="1226"/>
      <c r="K1563" s="1226"/>
      <c r="L1563" s="1226"/>
      <c r="M1563" s="1147"/>
    </row>
    <row r="1564" spans="2:13" ht="12.75" customHeight="1" x14ac:dyDescent="0.2">
      <c r="B1564" s="1145"/>
      <c r="C1564" s="1226"/>
      <c r="D1564" s="1226"/>
      <c r="E1564" s="1226"/>
      <c r="F1564" s="1226"/>
      <c r="G1564" s="1226"/>
      <c r="H1564" s="1226"/>
      <c r="I1564" s="1226"/>
      <c r="J1564" s="1226"/>
      <c r="K1564" s="1226"/>
      <c r="L1564" s="1226"/>
      <c r="M1564" s="1147"/>
    </row>
    <row r="1565" spans="2:13" ht="12.75" customHeight="1" x14ac:dyDescent="0.2">
      <c r="B1565" s="1145"/>
      <c r="C1565" s="1226"/>
      <c r="D1565" s="1226"/>
      <c r="E1565" s="1226"/>
      <c r="F1565" s="1226"/>
      <c r="G1565" s="1226"/>
      <c r="H1565" s="1226"/>
      <c r="I1565" s="1226"/>
      <c r="J1565" s="1226"/>
      <c r="K1565" s="1226"/>
      <c r="L1565" s="1226"/>
      <c r="M1565" s="1147"/>
    </row>
    <row r="1566" spans="2:13" ht="12.75" customHeight="1" x14ac:dyDescent="0.2">
      <c r="B1566" s="1148"/>
      <c r="C1566" s="1149"/>
      <c r="D1566" s="1149"/>
      <c r="E1566" s="1149"/>
      <c r="F1566" s="1149"/>
      <c r="G1566" s="1149"/>
      <c r="H1566" s="1149"/>
      <c r="I1566" s="1149"/>
      <c r="J1566" s="1149"/>
      <c r="K1566" s="1149"/>
      <c r="L1566" s="1149"/>
      <c r="M1566" s="1150"/>
    </row>
    <row r="1568" spans="2:13" s="3" customFormat="1" ht="12.75" customHeight="1" x14ac:dyDescent="0.25">
      <c r="B1568" s="313" t="str">
        <f>'3. PARTNER'!C$4</f>
        <v xml:space="preserve">Project: </v>
      </c>
      <c r="C1568" s="1062" t="str">
        <f>'3. PARTNER'!D$4</f>
        <v/>
      </c>
      <c r="D1568" s="1001"/>
      <c r="E1568" s="1001"/>
      <c r="F1568" s="1001"/>
      <c r="G1568" s="1001"/>
      <c r="H1568" s="1001"/>
      <c r="I1568" s="1001"/>
      <c r="J1568" s="1001"/>
      <c r="K1568" s="1001"/>
      <c r="L1568" s="1001"/>
      <c r="M1568" s="1001"/>
    </row>
    <row r="1569" spans="2:15" s="3" customFormat="1" ht="13.2" x14ac:dyDescent="0.25">
      <c r="B1569" s="313" t="str">
        <f>'3. PARTNER'!C$5</f>
        <v xml:space="preserve">Calculation for: </v>
      </c>
      <c r="C1569" s="1062" t="str">
        <f>'3. PARTNER'!D$5</f>
        <v>APPLICATION</v>
      </c>
      <c r="D1569" s="1001"/>
      <c r="E1569" s="268"/>
      <c r="F1569" s="268"/>
      <c r="G1569" s="268"/>
      <c r="H1569" s="268"/>
      <c r="I1569" s="268"/>
      <c r="J1569" s="268"/>
      <c r="K1569" s="268"/>
      <c r="L1569" s="268"/>
      <c r="M1569" s="268"/>
    </row>
    <row r="1570" spans="2:15" s="3" customFormat="1" ht="13.2" x14ac:dyDescent="0.25">
      <c r="B1570" s="35" t="str">
        <f>'3. PARTNER'!C$6</f>
        <v xml:space="preserve">Project leader: </v>
      </c>
      <c r="C1570" s="1062" t="str">
        <f>'3. PARTNER'!D$6</f>
        <v/>
      </c>
      <c r="D1570" s="1001"/>
      <c r="E1570" s="1001"/>
      <c r="F1570" s="1001"/>
      <c r="G1570" s="1001"/>
      <c r="H1570" s="1001"/>
      <c r="I1570" s="1001"/>
      <c r="J1570" s="1001"/>
      <c r="K1570" s="1001"/>
      <c r="L1570" s="1001"/>
      <c r="M1570" s="1001"/>
    </row>
    <row r="1571" spans="2:15" s="3" customFormat="1" ht="13.2" x14ac:dyDescent="0.25">
      <c r="B1571" s="313" t="str">
        <f>'5. PERSON'!B$7</f>
        <v xml:space="preserve">Amounts in: </v>
      </c>
      <c r="C1571" s="655" t="str">
        <f>'5. PERSON'!C$7</f>
        <v>SEK</v>
      </c>
      <c r="D1571" s="268"/>
      <c r="E1571" s="268"/>
      <c r="F1571" s="268"/>
      <c r="G1571" s="234"/>
      <c r="H1571" s="234"/>
      <c r="I1571" s="270"/>
      <c r="J1571" s="270"/>
      <c r="K1571" s="270"/>
      <c r="L1571" s="270"/>
      <c r="M1571" s="270"/>
    </row>
    <row r="1572" spans="2:15" s="3" customFormat="1" ht="13.2" x14ac:dyDescent="0.25">
      <c r="B1572" s="313"/>
      <c r="C1572" s="1053" t="str">
        <f>'3. PARTNER'!D$7</f>
        <v>Other basic data about the project is in sheet 2.</v>
      </c>
      <c r="D1572" s="1001"/>
      <c r="E1572" s="1001"/>
      <c r="F1572" s="1001"/>
      <c r="G1572" s="234"/>
      <c r="H1572" s="234"/>
      <c r="I1572" s="270"/>
      <c r="J1572" s="270"/>
      <c r="K1572" s="270"/>
      <c r="L1572" s="251" t="s">
        <v>4</v>
      </c>
      <c r="M1572" s="270"/>
    </row>
    <row r="1573" spans="2:15" ht="12.75" customHeight="1" x14ac:dyDescent="0.2">
      <c r="J1573" s="252" t="s">
        <v>322</v>
      </c>
      <c r="K1573" s="252" t="s">
        <v>323</v>
      </c>
      <c r="L1573" s="252" t="str">
        <f>IF('1. INTRO'!I$2="English","months","månader")</f>
        <v>months</v>
      </c>
    </row>
    <row r="1574" spans="2:15" s="3" customFormat="1" ht="13.8" x14ac:dyDescent="0.25">
      <c r="B1574" s="157" t="str">
        <f>IF('1. INTRO'!I$2="English","Project costs","Projektkostnader")</f>
        <v>Project costs</v>
      </c>
      <c r="C1574" s="668" t="str">
        <f>A44</f>
        <v>330S</v>
      </c>
      <c r="D1574" s="1227" t="str">
        <f>B44</f>
        <v>Forest Genetics and Plant Physiology</v>
      </c>
      <c r="E1574" s="1001"/>
      <c r="F1574" s="1001"/>
      <c r="G1574" s="1001"/>
      <c r="H1574" s="37"/>
      <c r="I1574" s="37"/>
      <c r="J1574" s="643"/>
      <c r="K1574" s="643"/>
      <c r="L1574" s="642">
        <f>SUMIF('5. PERSON'!$B$17:$B$192,$C1574,'5. PERSON'!AE$17:AE$192)</f>
        <v>0</v>
      </c>
      <c r="M1574" s="680" t="s">
        <v>330</v>
      </c>
    </row>
    <row r="1575" spans="2:15" s="3" customFormat="1" ht="6" customHeight="1" x14ac:dyDescent="0.25">
      <c r="B1575" s="57"/>
      <c r="C1575" s="37"/>
      <c r="D1575" s="37"/>
      <c r="E1575" s="37"/>
      <c r="F1575" s="37"/>
      <c r="G1575" s="37"/>
      <c r="H1575" s="37"/>
      <c r="I1575" s="37"/>
      <c r="J1575" s="37"/>
      <c r="K1575" s="37"/>
      <c r="L1575" s="37"/>
      <c r="M1575" s="37"/>
    </row>
    <row r="1576" spans="2:15" s="3" customFormat="1" ht="13.2" x14ac:dyDescent="0.25">
      <c r="B1576" s="110" t="str">
        <f>IF('1. INTRO'!I$2="English","Costs to be covered by funding body","Kostnader att täckas av finansiär")</f>
        <v>Costs to be covered by funding body</v>
      </c>
      <c r="C1576" s="111">
        <f>'5. PERSON'!G$15</f>
        <v>1900</v>
      </c>
      <c r="D1576" s="111" t="str">
        <f>'5. PERSON'!H$15</f>
        <v/>
      </c>
      <c r="E1576" s="111" t="str">
        <f>'5. PERSON'!I$15</f>
        <v/>
      </c>
      <c r="F1576" s="111" t="str">
        <f>'5. PERSON'!J$15</f>
        <v/>
      </c>
      <c r="G1576" s="111" t="str">
        <f>'5. PERSON'!K$15</f>
        <v/>
      </c>
      <c r="H1576" s="111" t="str">
        <f>'5. PERSON'!L$15</f>
        <v/>
      </c>
      <c r="I1576" s="111" t="str">
        <f>'5. PERSON'!M$15</f>
        <v/>
      </c>
      <c r="J1576" s="111" t="str">
        <f>'5. PERSON'!N$15</f>
        <v/>
      </c>
      <c r="K1576" s="111" t="str">
        <f>'5. PERSON'!O$15</f>
        <v/>
      </c>
      <c r="L1576" s="111" t="str">
        <f>'5. PERSON'!P$15</f>
        <v/>
      </c>
      <c r="M1576" s="112" t="s">
        <v>2</v>
      </c>
    </row>
    <row r="1577" spans="2:15" s="3" customFormat="1" ht="12.75" customHeight="1" x14ac:dyDescent="0.25">
      <c r="B1577" s="750" t="str">
        <f>IF('1. INTRO'!I$2="English","Salary including social costs (LKP)","Lön inklusive LKP")</f>
        <v>Salary including social costs (LKP)</v>
      </c>
      <c r="C1577" s="751">
        <f>IF('2. START'!$C$14&gt;0,SUMIF('5. PERSON'!$B$17:$B$192,$C1574,'5. PERSON'!DN$17:DN$192),SUMIF('5. PERSON'!$B$17:$B$192,$C1574,'5. PERSON'!AT$17:AT$192))</f>
        <v>0</v>
      </c>
      <c r="D1577" s="751">
        <f>IF('2. START'!$C$14&gt;0,SUMIF('5. PERSON'!$B$17:$B$192,$C1574,'5. PERSON'!DO$17:DO$192),SUMIF('5. PERSON'!$B$17:$B$192,$C1574,'5. PERSON'!AU$17:AU$192))</f>
        <v>0</v>
      </c>
      <c r="E1577" s="751">
        <f>IF('2. START'!$C$14&gt;0,SUMIF('5. PERSON'!$B$17:$B$192,$C1574,'5. PERSON'!DP$17:DP$192),SUMIF('5. PERSON'!$B$17:$B$192,$C1574,'5. PERSON'!AV$17:AV$192))</f>
        <v>0</v>
      </c>
      <c r="F1577" s="751">
        <f>IF('2. START'!$C$14&gt;0,SUMIF('5. PERSON'!$B$17:$B$192,$C1574,'5. PERSON'!DQ$17:DQ$192),SUMIF('5. PERSON'!$B$17:$B$192,$C1574,'5. PERSON'!AW$17:AW$192))</f>
        <v>0</v>
      </c>
      <c r="G1577" s="751">
        <f>IF('2. START'!$C$14&gt;0,SUMIF('5. PERSON'!$B$17:$B$192,$C1574,'5. PERSON'!DR$17:DR$192),SUMIF('5. PERSON'!$B$17:$B$192,$C1574,'5. PERSON'!AX$17:AX$192))</f>
        <v>0</v>
      </c>
      <c r="H1577" s="751">
        <f>IF('2. START'!$C$14&gt;0,SUMIF('5. PERSON'!$B$17:$B$192,$C1574,'5. PERSON'!DS$17:DS$192),SUMIF('5. PERSON'!$B$17:$B$192,$C1574,'5. PERSON'!AY$17:AY$192))</f>
        <v>0</v>
      </c>
      <c r="I1577" s="751">
        <f>IF('2. START'!$C$14&gt;0,SUMIF('5. PERSON'!$B$17:$B$192,$C1574,'5. PERSON'!DT$17:DT$192),SUMIF('5. PERSON'!$B$17:$B$192,$C1574,'5. PERSON'!AZ$17:AZ$192))</f>
        <v>0</v>
      </c>
      <c r="J1577" s="751">
        <f>IF('2. START'!$C$14&gt;0,SUMIF('5. PERSON'!$B$17:$B$192,$C1574,'5. PERSON'!DU$17:DU$192),SUMIF('5. PERSON'!$B$17:$B$192,$C1574,'5. PERSON'!BA$17:BA$192))</f>
        <v>0</v>
      </c>
      <c r="K1577" s="751">
        <f>IF('2. START'!$C$14&gt;0,SUMIF('5. PERSON'!$B$17:$B$192,$C1574,'5. PERSON'!DV$17:DV$192),SUMIF('5. PERSON'!$B$17:$B$192,$C1574,'5. PERSON'!BB$17:BB$192))</f>
        <v>0</v>
      </c>
      <c r="L1577" s="751">
        <f>IF('2. START'!$C$14&gt;0,SUMIF('5. PERSON'!$B$17:$B$192,$C1574,'5. PERSON'!DW$17:DW$192),SUMIF('5. PERSON'!$B$17:$B$192,$C1574,'5. PERSON'!BC$17:BC$192))</f>
        <v>0</v>
      </c>
      <c r="M1577" s="752">
        <f t="shared" ref="M1577:M1582" si="343">SUM(C1577:L1577)</f>
        <v>0</v>
      </c>
      <c r="O1577" s="4"/>
    </row>
    <row r="1578" spans="2:15" s="3" customFormat="1" ht="12.75" customHeight="1" x14ac:dyDescent="0.25">
      <c r="B1578" s="80" t="str">
        <f>IF('1. INTRO'!I$2="English","Operating","Drift")</f>
        <v>Operating</v>
      </c>
      <c r="C1578" s="116">
        <f>SUMIF('6. OPERATION'!$B$17:$B$149,$C1574,'6. OPERATION'!W$17:W$149)</f>
        <v>0</v>
      </c>
      <c r="D1578" s="116">
        <f>SUMIF('6. OPERATION'!$B$17:$B$149,$C1574,'6. OPERATION'!X$17:X$149)</f>
        <v>0</v>
      </c>
      <c r="E1578" s="116">
        <f>SUMIF('6. OPERATION'!$B$17:$B$149,$C1574,'6. OPERATION'!Y$17:Y$149)</f>
        <v>0</v>
      </c>
      <c r="F1578" s="116">
        <f>SUMIF('6. OPERATION'!$B$17:$B$149,$C1574,'6. OPERATION'!Z$17:Z$149)</f>
        <v>0</v>
      </c>
      <c r="G1578" s="116">
        <f>SUMIF('6. OPERATION'!$B$17:$B$149,$C1574,'6. OPERATION'!AA$17:AA$149)</f>
        <v>0</v>
      </c>
      <c r="H1578" s="116">
        <f>SUMIF('6. OPERATION'!$B$17:$B$149,$C1574,'6. OPERATION'!AB$17:AB$149)</f>
        <v>0</v>
      </c>
      <c r="I1578" s="116">
        <f>SUMIF('6. OPERATION'!$B$17:$B$149,$C1574,'6. OPERATION'!AC$17:AC$149)</f>
        <v>0</v>
      </c>
      <c r="J1578" s="116">
        <f>SUMIF('6. OPERATION'!$B$17:$B$149,$C1574,'6. OPERATION'!AD$17:AD$149)</f>
        <v>0</v>
      </c>
      <c r="K1578" s="116">
        <f>SUMIF('6. OPERATION'!$B$17:$B$149,$C1574,'6. OPERATION'!AE$17:AE$149)</f>
        <v>0</v>
      </c>
      <c r="L1578" s="116">
        <f>SUMIF('6. OPERATION'!$B$17:$B$149,$C1574,'6. OPERATION'!AF$17:AF$149)</f>
        <v>0</v>
      </c>
      <c r="M1578" s="117">
        <f t="shared" si="343"/>
        <v>0</v>
      </c>
    </row>
    <row r="1579" spans="2:15" s="3" customFormat="1" ht="13.2" x14ac:dyDescent="0.25">
      <c r="B1579" s="753" t="str">
        <f>IF('1. INTRO'!I$2="English","Equipment","Utrustning")</f>
        <v>Equipment</v>
      </c>
      <c r="C1579" s="754">
        <f>SUMIF('7. INVEST'!$B$17:$B$49,$C1574,'7. INVEST'!W$17:W$49)</f>
        <v>0</v>
      </c>
      <c r="D1579" s="754">
        <f>SUMIF('7. INVEST'!$B$17:$B$49,$C1574,'7. INVEST'!X$17:X$49)</f>
        <v>0</v>
      </c>
      <c r="E1579" s="754">
        <f>SUMIF('7. INVEST'!$B$17:$B$49,$C1574,'7. INVEST'!Y$17:Y$49)</f>
        <v>0</v>
      </c>
      <c r="F1579" s="754">
        <f>SUMIF('7. INVEST'!$B$17:$B$49,$C1574,'7. INVEST'!Z$17:Z$49)</f>
        <v>0</v>
      </c>
      <c r="G1579" s="754">
        <f>SUMIF('7. INVEST'!$B$17:$B$49,$C1574,'7. INVEST'!AA$17:AA$49)</f>
        <v>0</v>
      </c>
      <c r="H1579" s="754">
        <f>SUMIF('7. INVEST'!$B$17:$B$49,$C1574,'7. INVEST'!AB$17:AB$49)</f>
        <v>0</v>
      </c>
      <c r="I1579" s="754">
        <f>SUMIF('7. INVEST'!$B$17:$B$49,$C1574,'7. INVEST'!AC$17:AC$49)</f>
        <v>0</v>
      </c>
      <c r="J1579" s="754">
        <f>SUMIF('7. INVEST'!$B$17:$B$49,$C1574,'7. INVEST'!AD$17:AD$49)</f>
        <v>0</v>
      </c>
      <c r="K1579" s="754">
        <f>SUMIF('7. INVEST'!$B$17:$B$49,$C1574,'7. INVEST'!AE$17:AE$49)</f>
        <v>0</v>
      </c>
      <c r="L1579" s="754">
        <f>SUMIF('7. INVEST'!$B$17:$B$49,$C1574,'7. INVEST'!AF$17:AF$49)</f>
        <v>0</v>
      </c>
      <c r="M1579" s="755">
        <f t="shared" si="343"/>
        <v>0</v>
      </c>
    </row>
    <row r="1580" spans="2:15" s="3" customFormat="1" ht="13.2" x14ac:dyDescent="0.25">
      <c r="B1580" s="121" t="str">
        <f>IF('1. INTRO'!I$2="English",(IF('2. START'!C$11="NO","Facility accepted as direct cost by funding body","Facility")),IF('2. START'!C$11="NO","Lokal accepterad som direkt kostnad av finansiär","Lokal"))</f>
        <v>Facility</v>
      </c>
      <c r="C1580" s="116">
        <f>IF('2. START'!$C$11="NO",SUMIF('8. FACILIT'!$B$18:$B$50,$C1574,'8. FACILIT'!T$18:T$50),SUMIF('5. PERSON'!$B$17:$B$192,$C1574,'5. PERSON'!CP$17:CP$192)+SUMIF('6. OPERATION'!$B$17:$B$149,$C1574,'6. OPERATION'!BS$17:BS$149)+SUMIF('8. FACILIT'!$B$18:$B$50,$C1574,'8. FACILIT'!T$18:T$50))</f>
        <v>0</v>
      </c>
      <c r="D1580" s="116">
        <f>IF('2. START'!$C$11="NO",SUMIF('8. FACILIT'!$B$18:$B$50,$C1574,'8. FACILIT'!U$18:U$50),SUMIF('5. PERSON'!$B$17:$B$192,$C1574,'5. PERSON'!CQ$17:CQ$192)+SUMIF('6. OPERATION'!$B$17:$B$149,$C1574,'6. OPERATION'!BT$17:BT$149)+SUMIF('8. FACILIT'!$B$18:$B$50,$C1574,'8. FACILIT'!U$18:U$50))</f>
        <v>0</v>
      </c>
      <c r="E1580" s="116">
        <f>IF('2. START'!$C$11="NO",SUMIF('8. FACILIT'!$B$18:$B$50,$C1574,'8. FACILIT'!V$18:V$50),SUMIF('5. PERSON'!$B$17:$B$192,$C1574,'5. PERSON'!CR$17:CR$192)+SUMIF('6. OPERATION'!$B$17:$B$149,$C1574,'6. OPERATION'!BU$17:BU$149)+SUMIF('8. FACILIT'!$B$18:$B$50,$C1574,'8. FACILIT'!V$18:V$50))</f>
        <v>0</v>
      </c>
      <c r="F1580" s="116">
        <f>IF('2. START'!$C$11="NO",SUMIF('8. FACILIT'!$B$18:$B$50,$C1574,'8. FACILIT'!W$18:W$50),SUMIF('5. PERSON'!$B$17:$B$192,$C1574,'5. PERSON'!CS$17:CS$192)+SUMIF('6. OPERATION'!$B$17:$B$149,$C1574,'6. OPERATION'!BV$17:BV$149)+SUMIF('8. FACILIT'!$B$18:$B$50,$C1574,'8. FACILIT'!W$18:W$50))</f>
        <v>0</v>
      </c>
      <c r="G1580" s="116">
        <f>IF('2. START'!$C$11="NO",SUMIF('8. FACILIT'!$B$18:$B$50,$C1574,'8. FACILIT'!X$18:X$50),SUMIF('5. PERSON'!$B$17:$B$192,$C1574,'5. PERSON'!CT$17:CT$192)+SUMIF('6. OPERATION'!$B$17:$B$149,$C1574,'6. OPERATION'!BW$17:BW$149)+SUMIF('8. FACILIT'!$B$18:$B$50,$C1574,'8. FACILIT'!X$18:X$50))</f>
        <v>0</v>
      </c>
      <c r="H1580" s="116">
        <f>IF('2. START'!$C$11="NO",SUMIF('8. FACILIT'!$B$18:$B$50,$C1574,'8. FACILIT'!Y$18:Y$50),SUMIF('5. PERSON'!$B$17:$B$192,$C1574,'5. PERSON'!CU$17:CU$192)+SUMIF('6. OPERATION'!$B$17:$B$149,$C1574,'6. OPERATION'!BX$17:BX$149)+SUMIF('8. FACILIT'!$B$18:$B$50,$C1574,'8. FACILIT'!Y$18:Y$50))</f>
        <v>0</v>
      </c>
      <c r="I1580" s="116">
        <f>IF('2. START'!$C$11="NO",SUMIF('8. FACILIT'!$B$18:$B$50,$C1574,'8. FACILIT'!Z$18:Z$50),SUMIF('5. PERSON'!$B$17:$B$192,$C1574,'5. PERSON'!CV$17:CV$192)+SUMIF('6. OPERATION'!$B$17:$B$149,$C1574,'6. OPERATION'!BY$17:BY$149)+SUMIF('8. FACILIT'!$B$18:$B$50,$C1574,'8. FACILIT'!Z$18:Z$50))</f>
        <v>0</v>
      </c>
      <c r="J1580" s="116">
        <f>IF('2. START'!$C$11="NO",SUMIF('8. FACILIT'!$B$18:$B$50,$C1574,'8. FACILIT'!AA$18:AA$50),SUMIF('5. PERSON'!$B$17:$B$192,$C1574,'5. PERSON'!CW$17:CW$192)+SUMIF('6. OPERATION'!$B$17:$B$149,$C1574,'6. OPERATION'!BZ$17:BZ$149)+SUMIF('8. FACILIT'!$B$18:$B$50,$C1574,'8. FACILIT'!AA$18:AA$50))</f>
        <v>0</v>
      </c>
      <c r="K1580" s="116">
        <f>IF('2. START'!$C$11="NO",SUMIF('8. FACILIT'!$B$18:$B$50,$C1574,'8. FACILIT'!AB$18:AB$50),SUMIF('5. PERSON'!$B$17:$B$192,$C1574,'5. PERSON'!CX$17:CX$192)+SUMIF('6. OPERATION'!$B$17:$B$149,$C1574,'6. OPERATION'!CA$17:CA$149)+SUMIF('8. FACILIT'!$B$18:$B$50,$C1574,'8. FACILIT'!AB$18:AB$50))</f>
        <v>0</v>
      </c>
      <c r="L1580" s="116">
        <f>IF('2. START'!$C$11="NO",SUMIF('8. FACILIT'!$B$18:$B$50,$C1574,'8. FACILIT'!AC$18:AC$50),SUMIF('5. PERSON'!$B$17:$B$192,$C1574,'5. PERSON'!CY$17:CY$192)+SUMIF('6. OPERATION'!$B$17:$B$149,$C1574,'6. OPERATION'!CB$17:CB$149)+SUMIF('8. FACILIT'!$B$18:$B$50,$C1574,'8. FACILIT'!AC$18:AC$50))</f>
        <v>0</v>
      </c>
      <c r="M1580" s="117">
        <f t="shared" si="343"/>
        <v>0</v>
      </c>
    </row>
    <row r="1581" spans="2:15" s="3" customFormat="1" ht="13.2" x14ac:dyDescent="0.25">
      <c r="B1581" s="756" t="str">
        <f>IF('1. INTRO'!I$2="English",(IF('2. START'!C$11="NO","Indirect and facility charge accepted as OH by funding body","Indirect")),IF('2. START'!C$11="NO","Indirekt och lokalpåslag accepterade som OH av finansiär","Indirekt"))</f>
        <v>Indirect</v>
      </c>
      <c r="C1581" s="757">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757">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757">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757">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757">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757">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757">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757">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757">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757">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755">
        <f t="shared" si="343"/>
        <v>0</v>
      </c>
    </row>
    <row r="1582" spans="2:15" s="3" customFormat="1" ht="13.2" x14ac:dyDescent="0.25">
      <c r="B1582" s="124" t="s">
        <v>113</v>
      </c>
      <c r="C1582" s="102">
        <f>SUM(C1577:C1581)</f>
        <v>0</v>
      </c>
      <c r="D1582" s="102">
        <f t="shared" ref="D1582:L1582" si="344">SUM(D1577:D1581)</f>
        <v>0</v>
      </c>
      <c r="E1582" s="102">
        <f t="shared" si="344"/>
        <v>0</v>
      </c>
      <c r="F1582" s="102">
        <f t="shared" si="344"/>
        <v>0</v>
      </c>
      <c r="G1582" s="102">
        <f t="shared" si="344"/>
        <v>0</v>
      </c>
      <c r="H1582" s="102">
        <f t="shared" si="344"/>
        <v>0</v>
      </c>
      <c r="I1582" s="102">
        <f t="shared" si="344"/>
        <v>0</v>
      </c>
      <c r="J1582" s="102">
        <f t="shared" si="344"/>
        <v>0</v>
      </c>
      <c r="K1582" s="102">
        <f t="shared" si="344"/>
        <v>0</v>
      </c>
      <c r="L1582" s="102">
        <f t="shared" si="344"/>
        <v>0</v>
      </c>
      <c r="M1582" s="125">
        <f t="shared" si="343"/>
        <v>0</v>
      </c>
    </row>
    <row r="1583" spans="2:15" s="3" customFormat="1" ht="6" customHeight="1" x14ac:dyDescent="0.25">
      <c r="B1583" s="126"/>
      <c r="C1583" s="127"/>
      <c r="D1583" s="127"/>
      <c r="E1583" s="127"/>
      <c r="F1583" s="127"/>
      <c r="G1583" s="127"/>
      <c r="H1583" s="127"/>
      <c r="I1583" s="127"/>
      <c r="J1583" s="127"/>
      <c r="K1583" s="127"/>
      <c r="L1583" s="127"/>
      <c r="M1583" s="128"/>
    </row>
    <row r="1584" spans="2:15" s="3" customFormat="1" ht="13.2" x14ac:dyDescent="0.25">
      <c r="B1584" s="129" t="str">
        <f>IF('1. INTRO'!I$2="English","Costs to be co-funded","Kostnader att medfinansiera")</f>
        <v>Costs to be co-funded</v>
      </c>
      <c r="C1584" s="86"/>
      <c r="D1584" s="86"/>
      <c r="E1584" s="86"/>
      <c r="F1584" s="86"/>
      <c r="G1584" s="86"/>
      <c r="H1584" s="86"/>
      <c r="I1584" s="86"/>
      <c r="J1584" s="86"/>
      <c r="K1584" s="86"/>
      <c r="L1584" s="86"/>
      <c r="M1584" s="130"/>
    </row>
    <row r="1585" spans="2:15" s="3" customFormat="1" ht="13.2" x14ac:dyDescent="0.25">
      <c r="B1585" s="758" t="str">
        <f>IF('1. INTRO'!I$2="English",(IF('2. START'!C$11="NO","Indirect and facility charge not accepted as OH by funding body","")),IF('2. START'!C$11="NO","Indirekt och lokalpåslag inte accepterade som OH av finansiär",""))</f>
        <v/>
      </c>
      <c r="C1585" s="759">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759">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759">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759">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759">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759">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759">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759">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759">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759">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752">
        <f t="shared" ref="M1585:M1591" si="345">SUM(C1585:L1585)</f>
        <v>0</v>
      </c>
    </row>
    <row r="1586" spans="2:15" s="3" customFormat="1" ht="12.75" customHeight="1" x14ac:dyDescent="0.25">
      <c r="B1586" s="132" t="str">
        <f>IF('1. INTRO'!I$2="English",(IF('2. START'!C$14&gt;0,"Social costs (LKP) not accepted by funding body","")),IF('2. START'!C$14&gt;0,"LKP som inte accepteras av finansiär",""))</f>
        <v/>
      </c>
      <c r="C1586" s="133">
        <f>IF('2. START'!$C$14&gt;0,SUMIF('5. PERSON'!$B$17:$B$192,$C1574,'5. PERSON'!AT$17:AT$192)-SUMIF('5. PERSON'!$B$17:$B$192,$C1574,'5. PERSON'!DN$17:DN$192),0)</f>
        <v>0</v>
      </c>
      <c r="D1586" s="133">
        <f>IF('2. START'!$C$14&gt;0,SUMIF('5. PERSON'!$B$17:$B$192,$C1574,'5. PERSON'!AU$17:AU$192)-SUMIF('5. PERSON'!$B$17:$B$192,$C1574,'5. PERSON'!DO$17:DO$192),0)</f>
        <v>0</v>
      </c>
      <c r="E1586" s="133">
        <f>IF('2. START'!$C$14&gt;0,SUMIF('5. PERSON'!$B$17:$B$192,$C1574,'5. PERSON'!AV$17:AV$192)-SUMIF('5. PERSON'!$B$17:$B$192,$C1574,'5. PERSON'!DP$17:DP$192),0)</f>
        <v>0</v>
      </c>
      <c r="F1586" s="133">
        <f>IF('2. START'!$C$14&gt;0,SUMIF('5. PERSON'!$B$17:$B$192,$C1574,'5. PERSON'!AW$17:AW$192)-SUMIF('5. PERSON'!$B$17:$B$192,$C1574,'5. PERSON'!DQ$17:DQ$192),0)</f>
        <v>0</v>
      </c>
      <c r="G1586" s="133">
        <f>IF('2. START'!$C$14&gt;0,SUMIF('5. PERSON'!$B$17:$B$192,$C1574,'5. PERSON'!AX$17:AX$192)-SUMIF('5. PERSON'!$B$17:$B$192,$C1574,'5. PERSON'!DR$17:DR$192),0)</f>
        <v>0</v>
      </c>
      <c r="H1586" s="133">
        <f>IF('2. START'!$C$14&gt;0,SUMIF('5. PERSON'!$B$17:$B$192,$C1574,'5. PERSON'!AY$17:AY$192)-SUMIF('5. PERSON'!$B$17:$B$192,$C1574,'5. PERSON'!DS$17:DS$192),0)</f>
        <v>0</v>
      </c>
      <c r="I1586" s="133">
        <f>IF('2. START'!$C$14&gt;0,SUMIF('5. PERSON'!$B$17:$B$192,$C1574,'5. PERSON'!AZ$17:AZ$192)-SUMIF('5. PERSON'!$B$17:$B$192,$C1574,'5. PERSON'!DT$17:DT$192),0)</f>
        <v>0</v>
      </c>
      <c r="J1586" s="133">
        <f>IF('2. START'!$C$14&gt;0,SUMIF('5. PERSON'!$B$17:$B$192,$C1574,'5. PERSON'!BA$17:BA$192)-SUMIF('5. PERSON'!$B$17:$B$192,$C1574,'5. PERSON'!DU$17:DU$192),0)</f>
        <v>0</v>
      </c>
      <c r="K1586" s="133">
        <f>IF('2. START'!$C$14&gt;0,SUMIF('5. PERSON'!$B$17:$B$192,$C1574,'5. PERSON'!BB$17:BB$192)-SUMIF('5. PERSON'!$B$17:$B$192,$C1574,'5. PERSON'!DV$17:DV$192),0)</f>
        <v>0</v>
      </c>
      <c r="L1586" s="133">
        <f>IF('2. START'!$C$14&gt;0,SUMIF('5. PERSON'!$B$17:$B$192,$C1574,'5. PERSON'!BC$17:BC$192)-SUMIF('5. PERSON'!$B$17:$B$192,$C1574,'5. PERSON'!DW$17:DW$192),0)</f>
        <v>0</v>
      </c>
      <c r="M1586" s="117">
        <f t="shared" si="345"/>
        <v>0</v>
      </c>
    </row>
    <row r="1587" spans="2:15" s="3" customFormat="1" ht="12.75" customHeight="1" x14ac:dyDescent="0.25">
      <c r="B1587" s="753" t="str">
        <f>IF('1. INTRO'!I$2="English",(IF('5. PERSON'!BP$193&gt;0,"Salary including social costs (LKP)","")),IF('5. PERSON'!BP$193&gt;0,"Lön inklusive LKP",""))</f>
        <v/>
      </c>
      <c r="C1587" s="760">
        <f>SUMIF('5. PERSON'!$B$17:$B$192,$C1574,'5. PERSON'!BF$17:BF$192)</f>
        <v>0</v>
      </c>
      <c r="D1587" s="760">
        <f>SUMIF('5. PERSON'!$B$17:$B$192,$C1574,'5. PERSON'!BG$17:BG$192)</f>
        <v>0</v>
      </c>
      <c r="E1587" s="760">
        <f>SUMIF('5. PERSON'!$B$17:$B$192,$C1574,'5. PERSON'!BH$17:BH$192)</f>
        <v>0</v>
      </c>
      <c r="F1587" s="760">
        <f>SUMIF('5. PERSON'!$B$17:$B$192,$C1574,'5. PERSON'!BI$17:BI$192)</f>
        <v>0</v>
      </c>
      <c r="G1587" s="760">
        <f>SUMIF('5. PERSON'!$B$17:$B$192,$C1574,'5. PERSON'!BJ$17:BJ$192)</f>
        <v>0</v>
      </c>
      <c r="H1587" s="760">
        <f>SUMIF('5. PERSON'!$B$17:$B$192,$C1574,'5. PERSON'!BK$17:BK$192)</f>
        <v>0</v>
      </c>
      <c r="I1587" s="760">
        <f>SUMIF('5. PERSON'!$B$17:$B$192,$C1574,'5. PERSON'!BL$17:BL$192)</f>
        <v>0</v>
      </c>
      <c r="J1587" s="760">
        <f>SUMIF('5. PERSON'!$B$17:$B$192,$C1574,'5. PERSON'!BM$17:BM$192)</f>
        <v>0</v>
      </c>
      <c r="K1587" s="760">
        <f>SUMIF('5. PERSON'!$B$17:$B$192,$C1574,'5. PERSON'!BN$17:BN$192)</f>
        <v>0</v>
      </c>
      <c r="L1587" s="760">
        <f>SUMIF('5. PERSON'!$B$17:$B$192,$C1574,'5. PERSON'!BO$17:BO$192)</f>
        <v>0</v>
      </c>
      <c r="M1587" s="755">
        <f t="shared" si="345"/>
        <v>0</v>
      </c>
    </row>
    <row r="1588" spans="2:15" s="3" customFormat="1" ht="13.2" x14ac:dyDescent="0.25">
      <c r="B1588" s="80" t="str">
        <f>IF('1. INTRO'!I$2="English",(IF('6. OPERATION'!AS$150&gt;0,"Operating","")),IF('6. OPERATION'!AS$150&gt;0,"Drift",""))</f>
        <v/>
      </c>
      <c r="C1588" s="135">
        <f>SUMIF('6. OPERATION'!$B$17:$B$149,$C1574,'6. OPERATION'!AI$17:AI$149)</f>
        <v>0</v>
      </c>
      <c r="D1588" s="135">
        <f>SUMIF('6. OPERATION'!$B$17:$B$149,$C1574,'6. OPERATION'!AJ$17:AJ$149)</f>
        <v>0</v>
      </c>
      <c r="E1588" s="135">
        <f>SUMIF('6. OPERATION'!$B$17:$B$149,$C1574,'6. OPERATION'!AK$17:AK$149)</f>
        <v>0</v>
      </c>
      <c r="F1588" s="135">
        <f>SUMIF('6. OPERATION'!$B$17:$B$149,$C1574,'6. OPERATION'!AL$17:AL$149)</f>
        <v>0</v>
      </c>
      <c r="G1588" s="135">
        <f>SUMIF('6. OPERATION'!$B$17:$B$149,$C1574,'6. OPERATION'!AM$17:AM$149)</f>
        <v>0</v>
      </c>
      <c r="H1588" s="135">
        <f>SUMIF('6. OPERATION'!$B$17:$B$149,$C1574,'6. OPERATION'!AN$17:AN$149)</f>
        <v>0</v>
      </c>
      <c r="I1588" s="135">
        <f>SUMIF('6. OPERATION'!$B$17:$B$149,$C1574,'6. OPERATION'!AO$17:AO$149)</f>
        <v>0</v>
      </c>
      <c r="J1588" s="135">
        <f>SUMIF('6. OPERATION'!$B$17:$B$149,$C1574,'6. OPERATION'!AP$17:AP$149)</f>
        <v>0</v>
      </c>
      <c r="K1588" s="135">
        <f>SUMIF('6. OPERATION'!$B$17:$B$149,$C1574,'6. OPERATION'!AQ$17:AQ$149)</f>
        <v>0</v>
      </c>
      <c r="L1588" s="135">
        <f>SUMIF('6. OPERATION'!$B$17:$B$149,$C1574,'6. OPERATION'!AR$17:AR$149)</f>
        <v>0</v>
      </c>
      <c r="M1588" s="117">
        <f t="shared" si="345"/>
        <v>0</v>
      </c>
    </row>
    <row r="1589" spans="2:15" s="3" customFormat="1" ht="13.2" x14ac:dyDescent="0.25">
      <c r="B1589" s="753" t="str">
        <f>IF('1. INTRO'!I$2="English",(IF('7. INVEST'!AS$50&gt;0,"Equipment","")),IF('7. INVEST'!AS$50&gt;0,"Utrustning",""))</f>
        <v/>
      </c>
      <c r="C1589" s="760">
        <f>SUMIF('7. INVEST'!$B$17:$B$49,$C1574,'7. INVEST'!AI$17:AI$49)</f>
        <v>0</v>
      </c>
      <c r="D1589" s="760">
        <f>SUMIF('7. INVEST'!$B$17:$B$49,$C1574,'7. INVEST'!AJ$17:AJ$49)</f>
        <v>0</v>
      </c>
      <c r="E1589" s="760">
        <f>SUMIF('7. INVEST'!$B$17:$B$49,$C1574,'7. INVEST'!AK$17:AK$49)</f>
        <v>0</v>
      </c>
      <c r="F1589" s="760">
        <f>SUMIF('7. INVEST'!$B$17:$B$49,$C1574,'7. INVEST'!AL$17:AL$49)</f>
        <v>0</v>
      </c>
      <c r="G1589" s="760">
        <f>SUMIF('7. INVEST'!$B$17:$B$49,$C1574,'7. INVEST'!AM$17:AM$49)</f>
        <v>0</v>
      </c>
      <c r="H1589" s="760">
        <f>SUMIF('7. INVEST'!$B$17:$B$49,$C1574,'7. INVEST'!AN$17:AN$49)</f>
        <v>0</v>
      </c>
      <c r="I1589" s="760">
        <f>SUMIF('7. INVEST'!$B$17:$B$49,$C1574,'7. INVEST'!AO$17:AO$49)</f>
        <v>0</v>
      </c>
      <c r="J1589" s="760">
        <f>SUMIF('7. INVEST'!$B$17:$B$49,$C1574,'7. INVEST'!AP$17:AP$49)</f>
        <v>0</v>
      </c>
      <c r="K1589" s="760">
        <f>SUMIF('7. INVEST'!$B$17:$B$49,$C1574,'7. INVEST'!AQ$17:AQ$49)</f>
        <v>0</v>
      </c>
      <c r="L1589" s="760">
        <f>SUMIF('7. INVEST'!$B$17:$B$49,$C1574,'7. INVEST'!AR$17:AR$49)</f>
        <v>0</v>
      </c>
      <c r="M1589" s="755">
        <f t="shared" si="345"/>
        <v>0</v>
      </c>
    </row>
    <row r="1590" spans="2:15" s="3" customFormat="1" ht="13.2" x14ac:dyDescent="0.25">
      <c r="B1590" s="121" t="str">
        <f>IF('1. INTRO'!I$2="English",(IF('8. FACILIT'!AP$51&gt;0,"Facility","")),IF('8. FACILIT'!AP$51&gt;0,"Lokal",""))</f>
        <v/>
      </c>
      <c r="C1590" s="135">
        <f>SUMIF('5. PERSON'!$B$17:$B$192,$C1574,'5. PERSON'!DB$17:DB$192)+SUMIF('6. OPERATION'!$B$17:$B$149,$C1574,'6. OPERATION'!CE$17:CE$149)+SUMIF('8. FACILIT'!$B$18:$B$50,$C1574,'8. FACILIT'!AF$18:AF$50)</f>
        <v>0</v>
      </c>
      <c r="D1590" s="135">
        <f>SUMIF('5. PERSON'!$B$17:$B$192,$C1574,'5. PERSON'!DC$17:DC$192)+SUMIF('6. OPERATION'!$B$17:$B$149,$C1574,'6. OPERATION'!CF$17:CF$149)+SUMIF('8. FACILIT'!$B$18:$B$50,$C1574,'8. FACILIT'!AG$18:AG$50)</f>
        <v>0</v>
      </c>
      <c r="E1590" s="135">
        <f>SUMIF('5. PERSON'!$B$17:$B$192,$C1574,'5. PERSON'!DD$17:DD$192)+SUMIF('6. OPERATION'!$B$17:$B$149,$C1574,'6. OPERATION'!CG$17:CG$149)+SUMIF('8. FACILIT'!$B$18:$B$50,$C1574,'8. FACILIT'!AH$18:AH$50)</f>
        <v>0</v>
      </c>
      <c r="F1590" s="135">
        <f>SUMIF('5. PERSON'!$B$17:$B$192,$C1574,'5. PERSON'!DE$17:DE$192)+SUMIF('6. OPERATION'!$B$17:$B$149,$C1574,'6. OPERATION'!CH$17:CH$149)+SUMIF('8. FACILIT'!$B$18:$B$50,$C1574,'8. FACILIT'!AI$18:AI$50)</f>
        <v>0</v>
      </c>
      <c r="G1590" s="135">
        <f>SUMIF('5. PERSON'!$B$17:$B$192,$C1574,'5. PERSON'!DF$17:DF$192)+SUMIF('6. OPERATION'!$B$17:$B$149,$C1574,'6. OPERATION'!CI$17:CI$149)+SUMIF('8. FACILIT'!$B$18:$B$50,$C1574,'8. FACILIT'!AJ$18:AJ$50)</f>
        <v>0</v>
      </c>
      <c r="H1590" s="135">
        <f>SUMIF('5. PERSON'!$B$17:$B$192,$C1574,'5. PERSON'!DG$17:DG$192)+SUMIF('6. OPERATION'!$B$17:$B$149,$C1574,'6. OPERATION'!CJ$17:CJ$149)+SUMIF('8. FACILIT'!$B$18:$B$50,$C1574,'8. FACILIT'!AK$18:AK$50)</f>
        <v>0</v>
      </c>
      <c r="I1590" s="135">
        <f>SUMIF('5. PERSON'!$B$17:$B$192,$C1574,'5. PERSON'!DH$17:DH$192)+SUMIF('6. OPERATION'!$B$17:$B$149,$C1574,'6. OPERATION'!CK$17:CK$149)+SUMIF('8. FACILIT'!$B$18:$B$50,$C1574,'8. FACILIT'!AL$18:AL$50)</f>
        <v>0</v>
      </c>
      <c r="J1590" s="135">
        <f>SUMIF('5. PERSON'!$B$17:$B$192,$C1574,'5. PERSON'!DI$17:DI$192)+SUMIF('6. OPERATION'!$B$17:$B$149,$C1574,'6. OPERATION'!CL$17:CL$149)+SUMIF('8. FACILIT'!$B$18:$B$50,$C1574,'8. FACILIT'!AM$18:AM$50)</f>
        <v>0</v>
      </c>
      <c r="K1590" s="135">
        <f>SUMIF('5. PERSON'!$B$17:$B$192,$C1574,'5. PERSON'!DJ$17:DJ$192)+SUMIF('6. OPERATION'!$B$17:$B$149,$C1574,'6. OPERATION'!CM$17:CM$149)+SUMIF('8. FACILIT'!$B$18:$B$50,$C1574,'8. FACILIT'!AN$18:AN$50)</f>
        <v>0</v>
      </c>
      <c r="L1590" s="135">
        <f>SUMIF('5. PERSON'!$B$17:$B$192,$C1574,'5. PERSON'!DK$17:DK$192)+SUMIF('6. OPERATION'!$B$17:$B$149,$C1574,'6. OPERATION'!CN$17:CN$149)+SUMIF('8. FACILIT'!$B$18:$B$50,$C1574,'8. FACILIT'!AO$18:AO$50)</f>
        <v>0</v>
      </c>
      <c r="M1590" s="117">
        <f t="shared" si="345"/>
        <v>0</v>
      </c>
    </row>
    <row r="1591" spans="2:15" s="1" customFormat="1" ht="13.2" x14ac:dyDescent="0.25">
      <c r="B1591" s="756" t="str">
        <f>IF('1. INTRO'!I$2="English",(IF(('5. PERSON'!CN$193+'6. OPERATION'!BQ$150)&gt;0,"Indirect","")),IF(('5. PERSON'!CN$193+'6. OPERATION'!BQ$150)&gt;0,"Indirekt",""))</f>
        <v/>
      </c>
      <c r="C1591" s="757">
        <f>SUMIF('5. PERSON'!$B$17:$B$192,$C1574,'5. PERSON'!CD$17:CD$192)+SUMIF('6. OPERATION'!$B$17:$B$149,$C1574,'6. OPERATION'!BG$17:BG$149)</f>
        <v>0</v>
      </c>
      <c r="D1591" s="757">
        <f>SUMIF('5. PERSON'!$B$17:$B$192,$C1574,'5. PERSON'!CE$17:CE$192)+SUMIF('6. OPERATION'!$B$17:$B$149,$C1574,'6. OPERATION'!BH$17:BH$149)</f>
        <v>0</v>
      </c>
      <c r="E1591" s="757">
        <f>SUMIF('5. PERSON'!$B$17:$B$192,$C1574,'5. PERSON'!CF$17:CF$192)+SUMIF('6. OPERATION'!$B$17:$B$149,$C1574,'6. OPERATION'!BI$17:BI$149)</f>
        <v>0</v>
      </c>
      <c r="F1591" s="757">
        <f>SUMIF('5. PERSON'!$B$17:$B$192,$C1574,'5. PERSON'!CG$17:CG$192)+SUMIF('6. OPERATION'!$B$17:$B$149,$C1574,'6. OPERATION'!BJ$17:BJ$149)</f>
        <v>0</v>
      </c>
      <c r="G1591" s="757">
        <f>SUMIF('5. PERSON'!$B$17:$B$192,$C1574,'5. PERSON'!CH$17:CH$192)+SUMIF('6. OPERATION'!$B$17:$B$149,$C1574,'6. OPERATION'!BK$17:BK$149)</f>
        <v>0</v>
      </c>
      <c r="H1591" s="757">
        <f>SUMIF('5. PERSON'!$B$17:$B$192,$C1574,'5. PERSON'!CI$17:CI$192)+SUMIF('6. OPERATION'!$B$17:$B$149,$C1574,'6. OPERATION'!BL$17:BL$149)</f>
        <v>0</v>
      </c>
      <c r="I1591" s="757">
        <f>SUMIF('5. PERSON'!$B$17:$B$192,$C1574,'5. PERSON'!CJ$17:CJ$192)+SUMIF('6. OPERATION'!$B$17:$B$149,$C1574,'6. OPERATION'!BM$17:BM$149)</f>
        <v>0</v>
      </c>
      <c r="J1591" s="757">
        <f>SUMIF('5. PERSON'!$B$17:$B$192,$C1574,'5. PERSON'!CK$17:CK$192)+SUMIF('6. OPERATION'!$B$17:$B$149,$C1574,'6. OPERATION'!BN$17:BN$149)</f>
        <v>0</v>
      </c>
      <c r="K1591" s="757">
        <f>SUMIF('5. PERSON'!$B$17:$B$192,$C1574,'5. PERSON'!CL$17:CL$192)+SUMIF('6. OPERATION'!$B$17:$B$149,$C1574,'6. OPERATION'!BO$17:BO$149)</f>
        <v>0</v>
      </c>
      <c r="L1591" s="757">
        <f>SUMIF('5. PERSON'!$B$17:$B$192,$C1574,'5. PERSON'!CM$17:CM$192)+SUMIF('6. OPERATION'!$B$17:$B$149,$C1574,'6. OPERATION'!BP$17:BP$149)</f>
        <v>0</v>
      </c>
      <c r="M1591" s="761">
        <f t="shared" si="345"/>
        <v>0</v>
      </c>
    </row>
    <row r="1592" spans="2:15" s="3" customFormat="1" ht="13.2" x14ac:dyDescent="0.25">
      <c r="B1592" s="124" t="s">
        <v>113</v>
      </c>
      <c r="C1592" s="102">
        <f>SUM(C1585:C1591)</f>
        <v>0</v>
      </c>
      <c r="D1592" s="102">
        <f t="shared" ref="D1592:M1592" si="346">SUM(D1585:D1591)</f>
        <v>0</v>
      </c>
      <c r="E1592" s="102">
        <f t="shared" si="346"/>
        <v>0</v>
      </c>
      <c r="F1592" s="102">
        <f t="shared" si="346"/>
        <v>0</v>
      </c>
      <c r="G1592" s="102">
        <f t="shared" si="346"/>
        <v>0</v>
      </c>
      <c r="H1592" s="102">
        <f t="shared" si="346"/>
        <v>0</v>
      </c>
      <c r="I1592" s="102">
        <f t="shared" si="346"/>
        <v>0</v>
      </c>
      <c r="J1592" s="102">
        <f t="shared" si="346"/>
        <v>0</v>
      </c>
      <c r="K1592" s="102">
        <f t="shared" si="346"/>
        <v>0</v>
      </c>
      <c r="L1592" s="102">
        <f t="shared" si="346"/>
        <v>0</v>
      </c>
      <c r="M1592" s="125">
        <f t="shared" si="346"/>
        <v>0</v>
      </c>
      <c r="N1592" s="23"/>
      <c r="O1592" s="23"/>
    </row>
    <row r="1593" spans="2:15" s="3" customFormat="1" ht="6" customHeight="1" x14ac:dyDescent="0.25">
      <c r="B1593" s="136"/>
      <c r="C1593" s="127"/>
      <c r="D1593" s="127"/>
      <c r="E1593" s="127"/>
      <c r="F1593" s="127"/>
      <c r="G1593" s="127"/>
      <c r="H1593" s="127"/>
      <c r="I1593" s="127"/>
      <c r="J1593" s="127"/>
      <c r="K1593" s="127"/>
      <c r="L1593" s="127"/>
      <c r="M1593" s="137"/>
    </row>
    <row r="1594" spans="2:15" s="3" customFormat="1" ht="13.2" x14ac:dyDescent="0.25">
      <c r="B1594" s="129" t="str">
        <f>IF('1. INTRO'!I$2="English","Full cost","Full kostnad")</f>
        <v>Full cost</v>
      </c>
      <c r="C1594" s="127"/>
      <c r="D1594" s="127"/>
      <c r="E1594" s="127"/>
      <c r="F1594" s="127"/>
      <c r="G1594" s="127"/>
      <c r="H1594" s="127"/>
      <c r="I1594" s="127"/>
      <c r="J1594" s="127"/>
      <c r="K1594" s="127"/>
      <c r="L1594" s="127"/>
      <c r="M1594" s="137"/>
    </row>
    <row r="1595" spans="2:15" s="3" customFormat="1" ht="13.2" x14ac:dyDescent="0.25">
      <c r="B1595" s="750" t="str">
        <f>IF('1. INTRO'!I$2="English","Salary including social costs (LKP)","Lön inklusive LKP")</f>
        <v>Salary including social costs (LKP)</v>
      </c>
      <c r="C1595" s="762">
        <f>C1577+C1586+C1587</f>
        <v>0</v>
      </c>
      <c r="D1595" s="762">
        <f t="shared" ref="D1595:L1595" si="347">D1577+D1586+D1587</f>
        <v>0</v>
      </c>
      <c r="E1595" s="762">
        <f t="shared" si="347"/>
        <v>0</v>
      </c>
      <c r="F1595" s="762">
        <f t="shared" si="347"/>
        <v>0</v>
      </c>
      <c r="G1595" s="762">
        <f t="shared" si="347"/>
        <v>0</v>
      </c>
      <c r="H1595" s="762">
        <f t="shared" si="347"/>
        <v>0</v>
      </c>
      <c r="I1595" s="762">
        <f t="shared" si="347"/>
        <v>0</v>
      </c>
      <c r="J1595" s="762">
        <f t="shared" si="347"/>
        <v>0</v>
      </c>
      <c r="K1595" s="762">
        <f t="shared" si="347"/>
        <v>0</v>
      </c>
      <c r="L1595" s="762">
        <f t="shared" si="347"/>
        <v>0</v>
      </c>
      <c r="M1595" s="752">
        <f>SUM(C1595:L1595)</f>
        <v>0</v>
      </c>
    </row>
    <row r="1596" spans="2:15" s="3" customFormat="1" ht="13.2" x14ac:dyDescent="0.25">
      <c r="B1596" s="80" t="str">
        <f>IF('1. INTRO'!I$2="English","Operating","Drift")</f>
        <v>Operating</v>
      </c>
      <c r="C1596" s="139">
        <f>C1578+C1588</f>
        <v>0</v>
      </c>
      <c r="D1596" s="139">
        <f t="shared" ref="D1596:L1596" si="348">D1578+D1588</f>
        <v>0</v>
      </c>
      <c r="E1596" s="139">
        <f t="shared" si="348"/>
        <v>0</v>
      </c>
      <c r="F1596" s="139">
        <f t="shared" si="348"/>
        <v>0</v>
      </c>
      <c r="G1596" s="139">
        <f t="shared" si="348"/>
        <v>0</v>
      </c>
      <c r="H1596" s="139">
        <f t="shared" si="348"/>
        <v>0</v>
      </c>
      <c r="I1596" s="139">
        <f t="shared" si="348"/>
        <v>0</v>
      </c>
      <c r="J1596" s="139">
        <f t="shared" si="348"/>
        <v>0</v>
      </c>
      <c r="K1596" s="139">
        <f t="shared" si="348"/>
        <v>0</v>
      </c>
      <c r="L1596" s="139">
        <f t="shared" si="348"/>
        <v>0</v>
      </c>
      <c r="M1596" s="117">
        <f>SUM(C1596:L1596)</f>
        <v>0</v>
      </c>
    </row>
    <row r="1597" spans="2:15" s="3" customFormat="1" ht="13.2" x14ac:dyDescent="0.25">
      <c r="B1597" s="753" t="str">
        <f>IF('1. INTRO'!I$2="English","Equipment","Utrustning")</f>
        <v>Equipment</v>
      </c>
      <c r="C1597" s="763">
        <f>C1579+C1589</f>
        <v>0</v>
      </c>
      <c r="D1597" s="763">
        <f t="shared" ref="D1597:L1597" si="349">D1579+D1589</f>
        <v>0</v>
      </c>
      <c r="E1597" s="763">
        <f t="shared" si="349"/>
        <v>0</v>
      </c>
      <c r="F1597" s="763">
        <f t="shared" si="349"/>
        <v>0</v>
      </c>
      <c r="G1597" s="763">
        <f t="shared" si="349"/>
        <v>0</v>
      </c>
      <c r="H1597" s="763">
        <f t="shared" si="349"/>
        <v>0</v>
      </c>
      <c r="I1597" s="763">
        <f t="shared" si="349"/>
        <v>0</v>
      </c>
      <c r="J1597" s="763">
        <f t="shared" si="349"/>
        <v>0</v>
      </c>
      <c r="K1597" s="763">
        <f t="shared" si="349"/>
        <v>0</v>
      </c>
      <c r="L1597" s="763">
        <f t="shared" si="349"/>
        <v>0</v>
      </c>
      <c r="M1597" s="755">
        <f>SUM(C1597:L1597)</f>
        <v>0</v>
      </c>
    </row>
    <row r="1598" spans="2:15" s="3" customFormat="1" ht="13.2" x14ac:dyDescent="0.25">
      <c r="B1598" s="80" t="str">
        <f>IF('1. INTRO'!I$2="English","Facility","Lokal")</f>
        <v>Facility</v>
      </c>
      <c r="C1598" s="139">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39">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39">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39">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39">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39">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39">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39">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39">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39">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117">
        <f>SUM(C1598:L1598)</f>
        <v>0</v>
      </c>
    </row>
    <row r="1599" spans="2:15" s="3" customFormat="1" ht="13.2" x14ac:dyDescent="0.25">
      <c r="B1599" s="764" t="str">
        <f>IF('1. INTRO'!I$2="English","Indirect","Indirekt")</f>
        <v>Indirect</v>
      </c>
      <c r="C1599" s="765">
        <f>SUMIF('5. PERSON'!$B$17:$B$192,$C1574,'5. PERSON'!BR$17:BR$192)+SUMIF('5. PERSON'!$B$17:$B$192,$C1574,'5. PERSON'!CD$17:CD$192)+SUMIF('6. OPERATION'!$B$17:$B$149,$C1574,'6. OPERATION'!AU$17:AU$149)+SUMIF('6. OPERATION'!$B$17:$B$149,$C1574,'6. OPERATION'!BG$17:BG$149)</f>
        <v>0</v>
      </c>
      <c r="D1599" s="765">
        <f>SUMIF('5. PERSON'!$B$17:$B$192,$C1574,'5. PERSON'!BS$17:BS$192)+SUMIF('5. PERSON'!$B$17:$B$192,$C1574,'5. PERSON'!CE$17:CE$192)+SUMIF('6. OPERATION'!$B$17:$B$149,$C1574,'6. OPERATION'!AV$17:AV$149)+SUMIF('6. OPERATION'!$B$17:$B$149,$C1574,'6. OPERATION'!BH$17:BH$149)</f>
        <v>0</v>
      </c>
      <c r="E1599" s="765">
        <f>SUMIF('5. PERSON'!$B$17:$B$192,$C1574,'5. PERSON'!BT$17:BT$192)+SUMIF('5. PERSON'!$B$17:$B$192,$C1574,'5. PERSON'!CF$17:CF$192)+SUMIF('6. OPERATION'!$B$17:$B$149,$C1574,'6. OPERATION'!AW$17:AW$149)+SUMIF('6. OPERATION'!$B$17:$B$149,$C1574,'6. OPERATION'!BI$17:BI$149)</f>
        <v>0</v>
      </c>
      <c r="F1599" s="765">
        <f>SUMIF('5. PERSON'!$B$17:$B$192,$C1574,'5. PERSON'!BU$17:BU$192)+SUMIF('5. PERSON'!$B$17:$B$192,$C1574,'5. PERSON'!CG$17:CG$192)+SUMIF('6. OPERATION'!$B$17:$B$149,$C1574,'6. OPERATION'!AX$17:AX$149)+SUMIF('6. OPERATION'!$B$17:$B$149,$C1574,'6. OPERATION'!BJ$17:BJ$149)</f>
        <v>0</v>
      </c>
      <c r="G1599" s="765">
        <f>SUMIF('5. PERSON'!$B$17:$B$192,$C1574,'5. PERSON'!BV$17:BV$192)+SUMIF('5. PERSON'!$B$17:$B$192,$C1574,'5. PERSON'!CH$17:CH$192)+SUMIF('6. OPERATION'!$B$17:$B$149,$C1574,'6. OPERATION'!AY$17:AY$149)+SUMIF('6. OPERATION'!$B$17:$B$149,$C1574,'6. OPERATION'!BK$17:BK$149)</f>
        <v>0</v>
      </c>
      <c r="H1599" s="765">
        <f>SUMIF('5. PERSON'!$B$17:$B$192,$C1574,'5. PERSON'!BW$17:BW$192)+SUMIF('5. PERSON'!$B$17:$B$192,$C1574,'5. PERSON'!CI$17:CI$192)+SUMIF('6. OPERATION'!$B$17:$B$149,$C1574,'6. OPERATION'!AZ$17:AZ$149)+SUMIF('6. OPERATION'!$B$17:$B$149,$C1574,'6. OPERATION'!BL$17:BL$149)</f>
        <v>0</v>
      </c>
      <c r="I1599" s="765">
        <f>SUMIF('5. PERSON'!$B$17:$B$192,$C1574,'5. PERSON'!BX$17:BX$192)+SUMIF('5. PERSON'!$B$17:$B$192,$C1574,'5. PERSON'!CJ$17:CJ$192)+SUMIF('6. OPERATION'!$B$17:$B$149,$C1574,'6. OPERATION'!BA$17:BA$149)+SUMIF('6. OPERATION'!$B$17:$B$149,$C1574,'6. OPERATION'!BM$17:BM$149)</f>
        <v>0</v>
      </c>
      <c r="J1599" s="765">
        <f>SUMIF('5. PERSON'!$B$17:$B$192,$C1574,'5. PERSON'!BY$17:BY$192)+SUMIF('5. PERSON'!$B$17:$B$192,$C1574,'5. PERSON'!CK$17:CK$192)+SUMIF('6. OPERATION'!$B$17:$B$149,$C1574,'6. OPERATION'!BB$17:BB$149)+SUMIF('6. OPERATION'!$B$17:$B$149,$C1574,'6. OPERATION'!BN$17:BN$149)</f>
        <v>0</v>
      </c>
      <c r="K1599" s="765">
        <f>SUMIF('5. PERSON'!$B$17:$B$192,$C1574,'5. PERSON'!BZ$17:BZ$192)+SUMIF('5. PERSON'!$B$17:$B$192,$C1574,'5. PERSON'!CL$17:CL$192)+SUMIF('6. OPERATION'!$B$17:$B$149,$C1574,'6. OPERATION'!BC$17:BC$149)+SUMIF('6. OPERATION'!$B$17:$B$149,$C1574,'6. OPERATION'!BO$17:BO$149)</f>
        <v>0</v>
      </c>
      <c r="L1599" s="765">
        <f>SUMIF('5. PERSON'!$B$17:$B$192,$C1574,'5. PERSON'!CA$17:CA$192)+SUMIF('5. PERSON'!$B$17:$B$192,$C1574,'5. PERSON'!CM$17:CM$192)+SUMIF('6. OPERATION'!$B$17:$B$149,$C1574,'6. OPERATION'!BD$17:BD$149)+SUMIF('6. OPERATION'!$B$17:$B$149,$C1574,'6. OPERATION'!BP$17:BP$149)</f>
        <v>0</v>
      </c>
      <c r="M1599" s="761">
        <f>SUM(C1599:L1599)</f>
        <v>0</v>
      </c>
    </row>
    <row r="1600" spans="2:15" s="3" customFormat="1" ht="13.2" x14ac:dyDescent="0.25">
      <c r="B1600" s="124" t="s">
        <v>113</v>
      </c>
      <c r="C1600" s="88">
        <f>SUM(C1595:C1599)</f>
        <v>0</v>
      </c>
      <c r="D1600" s="88">
        <f t="shared" ref="D1600:M1600" si="350">SUM(D1595:D1599)</f>
        <v>0</v>
      </c>
      <c r="E1600" s="88">
        <f t="shared" si="350"/>
        <v>0</v>
      </c>
      <c r="F1600" s="88">
        <f t="shared" si="350"/>
        <v>0</v>
      </c>
      <c r="G1600" s="88">
        <f t="shared" si="350"/>
        <v>0</v>
      </c>
      <c r="H1600" s="88">
        <f t="shared" si="350"/>
        <v>0</v>
      </c>
      <c r="I1600" s="88">
        <f t="shared" si="350"/>
        <v>0</v>
      </c>
      <c r="J1600" s="88">
        <f t="shared" si="350"/>
        <v>0</v>
      </c>
      <c r="K1600" s="88">
        <f t="shared" si="350"/>
        <v>0</v>
      </c>
      <c r="L1600" s="88">
        <f t="shared" si="350"/>
        <v>0</v>
      </c>
      <c r="M1600" s="142">
        <f t="shared" si="350"/>
        <v>0</v>
      </c>
    </row>
    <row r="1601" spans="2:13" s="3" customFormat="1" ht="13.2" x14ac:dyDescent="0.25">
      <c r="B1601" s="287"/>
      <c r="C1601" s="37"/>
      <c r="D1601" s="37"/>
      <c r="E1601" s="37"/>
      <c r="F1601" s="37"/>
      <c r="G1601" s="37"/>
      <c r="H1601" s="37"/>
      <c r="I1601" s="37"/>
      <c r="J1601" s="37"/>
      <c r="K1601" s="37"/>
      <c r="L1601" s="37"/>
      <c r="M1601" s="37"/>
    </row>
    <row r="1602" spans="2:13" s="3" customFormat="1" ht="12.75" customHeight="1" x14ac:dyDescent="0.25">
      <c r="B1602" s="656" t="str">
        <f>IF('1. INTRO'!I$2="English","Co-funding share in full cost ","Medfinansieringsandel i full kostnad ")</f>
        <v xml:space="preserve">Co-funding share in full cost </v>
      </c>
      <c r="C1602" s="143" t="str">
        <f t="shared" ref="C1602:M1602" si="351">IF(C1600&gt;0,C1592/C1600,"")</f>
        <v/>
      </c>
      <c r="D1602" s="143" t="str">
        <f t="shared" si="351"/>
        <v/>
      </c>
      <c r="E1602" s="143" t="str">
        <f t="shared" si="351"/>
        <v/>
      </c>
      <c r="F1602" s="143" t="str">
        <f t="shared" si="351"/>
        <v/>
      </c>
      <c r="G1602" s="143" t="str">
        <f t="shared" si="351"/>
        <v/>
      </c>
      <c r="H1602" s="143" t="str">
        <f t="shared" si="351"/>
        <v/>
      </c>
      <c r="I1602" s="143" t="str">
        <f t="shared" si="351"/>
        <v/>
      </c>
      <c r="J1602" s="143" t="str">
        <f t="shared" si="351"/>
        <v/>
      </c>
      <c r="K1602" s="143" t="str">
        <f t="shared" si="351"/>
        <v/>
      </c>
      <c r="L1602" s="143" t="str">
        <f t="shared" si="351"/>
        <v/>
      </c>
      <c r="M1602" s="143" t="str">
        <f t="shared" si="351"/>
        <v/>
      </c>
    </row>
    <row r="1603" spans="2:13" ht="12.75" customHeight="1" x14ac:dyDescent="0.2"/>
    <row r="1604" spans="2:13" ht="12.75" customHeight="1" x14ac:dyDescent="0.25">
      <c r="D1604" s="656" t="str">
        <f>IF('1. INTRO'!I$2="English","Co-funding need in average per year: ","Medfinansieringsbehov i genomsnitt per år: ")</f>
        <v xml:space="preserve">Co-funding need in average per year: </v>
      </c>
      <c r="E1604" s="766" t="str">
        <f>IF(M1592=0,"",M1592/(DATEDIF('2. START'!C$18,'2. START'!C$19,"d")/365))</f>
        <v/>
      </c>
      <c r="H1604" s="656" t="str">
        <f>IF('1. INTRO'!I$2="English","Co-funding need 1/3 of total: ","Medfinansieringsbehov 1/3 av totalt: ")</f>
        <v xml:space="preserve">Co-funding need 1/3 of total: </v>
      </c>
      <c r="I1604" s="766">
        <f>M1592/3</f>
        <v>0</v>
      </c>
      <c r="L1604" s="287" t="str">
        <f>IF('1. INTRO'!I$2="English","Co-funding need total: ","Medfinansieringsbehov totalt: ")</f>
        <v xml:space="preserve">Co-funding need total: </v>
      </c>
      <c r="M1604" s="766">
        <f>M1592</f>
        <v>0</v>
      </c>
    </row>
    <row r="1605" spans="2:13" ht="12.75" customHeight="1" x14ac:dyDescent="0.25">
      <c r="B1605" s="53" t="str">
        <f>IF('1. INTRO'!I$2="English","Co-funding sources","Medfinansieringskällor")</f>
        <v>Co-funding sources</v>
      </c>
    </row>
    <row r="1606" spans="2:13" ht="12.75" customHeight="1" x14ac:dyDescent="0.25">
      <c r="B1606" s="225"/>
      <c r="C1606" s="226"/>
      <c r="D1606" s="226"/>
      <c r="E1606" s="226"/>
      <c r="F1606" s="226"/>
      <c r="G1606" s="226"/>
      <c r="H1606" s="226"/>
      <c r="I1606" s="226"/>
      <c r="J1606" s="226"/>
      <c r="K1606" s="226"/>
      <c r="L1606" s="227"/>
      <c r="M1606" s="168">
        <f>SUM(C1606:L1606)</f>
        <v>0</v>
      </c>
    </row>
    <row r="1607" spans="2:13" ht="12.75" customHeight="1" x14ac:dyDescent="0.25">
      <c r="B1607" s="228"/>
      <c r="C1607" s="229"/>
      <c r="D1607" s="229"/>
      <c r="E1607" s="229"/>
      <c r="F1607" s="229"/>
      <c r="G1607" s="229"/>
      <c r="H1607" s="229"/>
      <c r="I1607" s="229"/>
      <c r="J1607" s="229"/>
      <c r="K1607" s="229"/>
      <c r="L1607" s="230"/>
      <c r="M1607" s="755">
        <f t="shared" ref="M1607:M1610" si="352">SUM(C1607:L1607)</f>
        <v>0</v>
      </c>
    </row>
    <row r="1608" spans="2:13" ht="12.75" customHeight="1" x14ac:dyDescent="0.25">
      <c r="B1608" s="231"/>
      <c r="C1608" s="232"/>
      <c r="D1608" s="232"/>
      <c r="E1608" s="232"/>
      <c r="F1608" s="232"/>
      <c r="G1608" s="232"/>
      <c r="H1608" s="232"/>
      <c r="I1608" s="232"/>
      <c r="J1608" s="232"/>
      <c r="K1608" s="232"/>
      <c r="L1608" s="233"/>
      <c r="M1608" s="117">
        <f t="shared" si="352"/>
        <v>0</v>
      </c>
    </row>
    <row r="1609" spans="2:13" ht="12.75" customHeight="1" x14ac:dyDescent="0.25">
      <c r="B1609" s="228"/>
      <c r="C1609" s="229"/>
      <c r="D1609" s="229"/>
      <c r="E1609" s="229"/>
      <c r="F1609" s="229"/>
      <c r="G1609" s="229"/>
      <c r="H1609" s="229"/>
      <c r="I1609" s="229"/>
      <c r="J1609" s="229"/>
      <c r="K1609" s="229"/>
      <c r="L1609" s="230"/>
      <c r="M1609" s="755">
        <f t="shared" si="352"/>
        <v>0</v>
      </c>
    </row>
    <row r="1610" spans="2:13" ht="12.75" customHeight="1" x14ac:dyDescent="0.25">
      <c r="B1610" s="93"/>
      <c r="C1610" s="232"/>
      <c r="D1610" s="232"/>
      <c r="E1610" s="232"/>
      <c r="F1610" s="232"/>
      <c r="G1610" s="232"/>
      <c r="H1610" s="232"/>
      <c r="I1610" s="232"/>
      <c r="J1610" s="232"/>
      <c r="K1610" s="232"/>
      <c r="L1610" s="233"/>
      <c r="M1610" s="117">
        <f t="shared" si="352"/>
        <v>0</v>
      </c>
    </row>
    <row r="1611" spans="2:13" ht="12.75" customHeight="1" x14ac:dyDescent="0.25">
      <c r="B1611" s="84" t="str">
        <f>IF('1. INTRO'!I$2="English","Total co-funding ","Total medfinansiering ")</f>
        <v xml:space="preserve">Total co-funding </v>
      </c>
      <c r="C1611" s="87">
        <f t="shared" ref="C1611:M1611" si="353">SUM(C1606:C1610)</f>
        <v>0</v>
      </c>
      <c r="D1611" s="87">
        <f t="shared" si="353"/>
        <v>0</v>
      </c>
      <c r="E1611" s="87">
        <f t="shared" si="353"/>
        <v>0</v>
      </c>
      <c r="F1611" s="87">
        <f t="shared" si="353"/>
        <v>0</v>
      </c>
      <c r="G1611" s="87">
        <f t="shared" si="353"/>
        <v>0</v>
      </c>
      <c r="H1611" s="87">
        <f t="shared" si="353"/>
        <v>0</v>
      </c>
      <c r="I1611" s="87">
        <f t="shared" si="353"/>
        <v>0</v>
      </c>
      <c r="J1611" s="87">
        <f t="shared" si="353"/>
        <v>0</v>
      </c>
      <c r="K1611" s="87">
        <f t="shared" si="353"/>
        <v>0</v>
      </c>
      <c r="L1611" s="87">
        <f t="shared" si="353"/>
        <v>0</v>
      </c>
      <c r="M1611" s="142">
        <f t="shared" si="353"/>
        <v>0</v>
      </c>
    </row>
    <row r="1612" spans="2:13" ht="12.75" customHeight="1" x14ac:dyDescent="0.2"/>
    <row r="1613" spans="2:13" ht="12.75" customHeight="1" x14ac:dyDescent="0.2">
      <c r="B1613" s="667" t="str">
        <f>IF('1. INTRO'!I$2="English","Calculation comments","Kalkylkommentarer")</f>
        <v>Calculation comments</v>
      </c>
    </row>
    <row r="1614" spans="2:13" ht="12.75" customHeight="1" x14ac:dyDescent="0.2">
      <c r="B1614" s="1142"/>
      <c r="C1614" s="1143"/>
      <c r="D1614" s="1143"/>
      <c r="E1614" s="1143"/>
      <c r="F1614" s="1143"/>
      <c r="G1614" s="1143"/>
      <c r="H1614" s="1143"/>
      <c r="I1614" s="1143"/>
      <c r="J1614" s="1143"/>
      <c r="K1614" s="1143"/>
      <c r="L1614" s="1143"/>
      <c r="M1614" s="1144"/>
    </row>
    <row r="1615" spans="2:13" ht="12.75" customHeight="1" x14ac:dyDescent="0.2">
      <c r="B1615" s="1145"/>
      <c r="C1615" s="1226"/>
      <c r="D1615" s="1226"/>
      <c r="E1615" s="1226"/>
      <c r="F1615" s="1226"/>
      <c r="G1615" s="1226"/>
      <c r="H1615" s="1226"/>
      <c r="I1615" s="1226"/>
      <c r="J1615" s="1226"/>
      <c r="K1615" s="1226"/>
      <c r="L1615" s="1226"/>
      <c r="M1615" s="1147"/>
    </row>
    <row r="1616" spans="2:13" ht="12.75" customHeight="1" x14ac:dyDescent="0.2">
      <c r="B1616" s="1145"/>
      <c r="C1616" s="1226"/>
      <c r="D1616" s="1226"/>
      <c r="E1616" s="1226"/>
      <c r="F1616" s="1226"/>
      <c r="G1616" s="1226"/>
      <c r="H1616" s="1226"/>
      <c r="I1616" s="1226"/>
      <c r="J1616" s="1226"/>
      <c r="K1616" s="1226"/>
      <c r="L1616" s="1226"/>
      <c r="M1616" s="1147"/>
    </row>
    <row r="1617" spans="2:15" ht="12.75" customHeight="1" x14ac:dyDescent="0.2">
      <c r="B1617" s="1145"/>
      <c r="C1617" s="1226"/>
      <c r="D1617" s="1226"/>
      <c r="E1617" s="1226"/>
      <c r="F1617" s="1226"/>
      <c r="G1617" s="1226"/>
      <c r="H1617" s="1226"/>
      <c r="I1617" s="1226"/>
      <c r="J1617" s="1226"/>
      <c r="K1617" s="1226"/>
      <c r="L1617" s="1226"/>
      <c r="M1617" s="1147"/>
    </row>
    <row r="1618" spans="2:15" ht="12.75" customHeight="1" x14ac:dyDescent="0.2">
      <c r="B1618" s="1148"/>
      <c r="C1618" s="1149"/>
      <c r="D1618" s="1149"/>
      <c r="E1618" s="1149"/>
      <c r="F1618" s="1149"/>
      <c r="G1618" s="1149"/>
      <c r="H1618" s="1149"/>
      <c r="I1618" s="1149"/>
      <c r="J1618" s="1149"/>
      <c r="K1618" s="1149"/>
      <c r="L1618" s="1149"/>
      <c r="M1618" s="1150"/>
    </row>
    <row r="1620" spans="2:15" s="3" customFormat="1" ht="12.75" customHeight="1" x14ac:dyDescent="0.25">
      <c r="B1620" s="313" t="str">
        <f>'3. PARTNER'!C$4</f>
        <v xml:space="preserve">Project: </v>
      </c>
      <c r="C1620" s="1062" t="str">
        <f>'3. PARTNER'!D$4</f>
        <v/>
      </c>
      <c r="D1620" s="1001"/>
      <c r="E1620" s="1001"/>
      <c r="F1620" s="1001"/>
      <c r="G1620" s="1001"/>
      <c r="H1620" s="1001"/>
      <c r="I1620" s="1001"/>
      <c r="J1620" s="1001"/>
      <c r="K1620" s="1001"/>
      <c r="L1620" s="1001"/>
      <c r="M1620" s="1001"/>
    </row>
    <row r="1621" spans="2:15" s="3" customFormat="1" ht="13.2" x14ac:dyDescent="0.25">
      <c r="B1621" s="313" t="str">
        <f>'3. PARTNER'!C$5</f>
        <v xml:space="preserve">Calculation for: </v>
      </c>
      <c r="C1621" s="1062" t="str">
        <f>'3. PARTNER'!D$5</f>
        <v>APPLICATION</v>
      </c>
      <c r="D1621" s="1001"/>
      <c r="E1621" s="268"/>
      <c r="F1621" s="268"/>
      <c r="G1621" s="268"/>
      <c r="H1621" s="268"/>
      <c r="I1621" s="268"/>
      <c r="J1621" s="268"/>
      <c r="K1621" s="268"/>
      <c r="L1621" s="268"/>
      <c r="M1621" s="268"/>
    </row>
    <row r="1622" spans="2:15" s="3" customFormat="1" ht="13.2" x14ac:dyDescent="0.25">
      <c r="B1622" s="35" t="str">
        <f>'3. PARTNER'!C$6</f>
        <v xml:space="preserve">Project leader: </v>
      </c>
      <c r="C1622" s="1062" t="str">
        <f>'3. PARTNER'!D$6</f>
        <v/>
      </c>
      <c r="D1622" s="1001"/>
      <c r="E1622" s="1001"/>
      <c r="F1622" s="1001"/>
      <c r="G1622" s="1001"/>
      <c r="H1622" s="1001"/>
      <c r="I1622" s="1001"/>
      <c r="J1622" s="1001"/>
      <c r="K1622" s="1001"/>
      <c r="L1622" s="1001"/>
      <c r="M1622" s="1001"/>
    </row>
    <row r="1623" spans="2:15" s="3" customFormat="1" ht="13.2" x14ac:dyDescent="0.25">
      <c r="B1623" s="313" t="str">
        <f>'5. PERSON'!B$7</f>
        <v xml:space="preserve">Amounts in: </v>
      </c>
      <c r="C1623" s="655" t="str">
        <f>'5. PERSON'!C$7</f>
        <v>SEK</v>
      </c>
      <c r="D1623" s="268"/>
      <c r="E1623" s="268"/>
      <c r="F1623" s="268"/>
      <c r="G1623" s="234"/>
      <c r="H1623" s="234"/>
      <c r="I1623" s="270"/>
      <c r="J1623" s="270"/>
      <c r="K1623" s="270"/>
      <c r="L1623" s="270"/>
      <c r="M1623" s="270"/>
    </row>
    <row r="1624" spans="2:15" s="3" customFormat="1" ht="13.2" x14ac:dyDescent="0.25">
      <c r="B1624" s="313"/>
      <c r="C1624" s="1053" t="str">
        <f>'3. PARTNER'!D$7</f>
        <v>Other basic data about the project is in sheet 2.</v>
      </c>
      <c r="D1624" s="1001"/>
      <c r="E1624" s="1001"/>
      <c r="F1624" s="1001"/>
      <c r="G1624" s="234"/>
      <c r="H1624" s="234"/>
      <c r="I1624" s="270"/>
      <c r="J1624" s="270"/>
      <c r="K1624" s="270"/>
      <c r="L1624" s="251" t="s">
        <v>4</v>
      </c>
      <c r="M1624" s="270"/>
    </row>
    <row r="1625" spans="2:15" ht="12.75" customHeight="1" x14ac:dyDescent="0.2">
      <c r="J1625" s="252" t="s">
        <v>322</v>
      </c>
      <c r="K1625" s="252" t="s">
        <v>323</v>
      </c>
      <c r="L1625" s="252" t="str">
        <f>IF('1. INTRO'!I$2="English","months","månader")</f>
        <v>months</v>
      </c>
    </row>
    <row r="1626" spans="2:15" s="3" customFormat="1" ht="13.8" x14ac:dyDescent="0.25">
      <c r="B1626" s="157" t="str">
        <f>IF('1. INTRO'!I$2="English","Project costs","Projektkostnader")</f>
        <v>Project costs</v>
      </c>
      <c r="C1626" s="668" t="str">
        <f>A45</f>
        <v>390S</v>
      </c>
      <c r="D1626" s="1227" t="str">
        <f>B45</f>
        <v>Forest Mycology and Plant Pathology S</v>
      </c>
      <c r="E1626" s="1001"/>
      <c r="F1626" s="1001"/>
      <c r="G1626" s="1001"/>
      <c r="H1626" s="37"/>
      <c r="I1626" s="37"/>
      <c r="J1626" s="643"/>
      <c r="K1626" s="643"/>
      <c r="L1626" s="642">
        <f>SUMIF('5. PERSON'!$B$17:$B$192,$C1626,'5. PERSON'!AE$17:AE$192)</f>
        <v>0</v>
      </c>
      <c r="M1626" s="680" t="s">
        <v>330</v>
      </c>
    </row>
    <row r="1627" spans="2:15" s="3" customFormat="1" ht="6" customHeight="1" x14ac:dyDescent="0.25">
      <c r="B1627" s="57"/>
      <c r="C1627" s="37"/>
      <c r="D1627" s="37"/>
      <c r="E1627" s="37"/>
      <c r="F1627" s="37"/>
      <c r="G1627" s="37"/>
      <c r="H1627" s="37"/>
      <c r="I1627" s="37"/>
      <c r="J1627" s="37"/>
      <c r="K1627" s="37"/>
      <c r="L1627" s="37"/>
      <c r="M1627" s="37"/>
    </row>
    <row r="1628" spans="2:15" s="3" customFormat="1" ht="13.2" x14ac:dyDescent="0.25">
      <c r="B1628" s="110" t="str">
        <f>IF('1. INTRO'!I$2="English","Costs to be covered by funding body","Kostnader att täckas av finansiär")</f>
        <v>Costs to be covered by funding body</v>
      </c>
      <c r="C1628" s="111">
        <f>'5. PERSON'!G$15</f>
        <v>1900</v>
      </c>
      <c r="D1628" s="111" t="str">
        <f>'5. PERSON'!H$15</f>
        <v/>
      </c>
      <c r="E1628" s="111" t="str">
        <f>'5. PERSON'!I$15</f>
        <v/>
      </c>
      <c r="F1628" s="111" t="str">
        <f>'5. PERSON'!J$15</f>
        <v/>
      </c>
      <c r="G1628" s="111" t="str">
        <f>'5. PERSON'!K$15</f>
        <v/>
      </c>
      <c r="H1628" s="111" t="str">
        <f>'5. PERSON'!L$15</f>
        <v/>
      </c>
      <c r="I1628" s="111" t="str">
        <f>'5. PERSON'!M$15</f>
        <v/>
      </c>
      <c r="J1628" s="111" t="str">
        <f>'5. PERSON'!N$15</f>
        <v/>
      </c>
      <c r="K1628" s="111" t="str">
        <f>'5. PERSON'!O$15</f>
        <v/>
      </c>
      <c r="L1628" s="111" t="str">
        <f>'5. PERSON'!P$15</f>
        <v/>
      </c>
      <c r="M1628" s="112" t="s">
        <v>2</v>
      </c>
    </row>
    <row r="1629" spans="2:15" s="3" customFormat="1" ht="12.75" customHeight="1" x14ac:dyDescent="0.25">
      <c r="B1629" s="750" t="str">
        <f>IF('1. INTRO'!I$2="English","Salary including social costs (LKP)","Lön inklusive LKP")</f>
        <v>Salary including social costs (LKP)</v>
      </c>
      <c r="C1629" s="751">
        <f>IF('2. START'!$C$14&gt;0,SUMIF('5. PERSON'!$B$17:$B$192,$C1626,'5. PERSON'!DN$17:DN$192),SUMIF('5. PERSON'!$B$17:$B$192,$C1626,'5. PERSON'!AT$17:AT$192))</f>
        <v>0</v>
      </c>
      <c r="D1629" s="751">
        <f>IF('2. START'!$C$14&gt;0,SUMIF('5. PERSON'!$B$17:$B$192,$C1626,'5. PERSON'!DO$17:DO$192),SUMIF('5. PERSON'!$B$17:$B$192,$C1626,'5. PERSON'!AU$17:AU$192))</f>
        <v>0</v>
      </c>
      <c r="E1629" s="751">
        <f>IF('2. START'!$C$14&gt;0,SUMIF('5. PERSON'!$B$17:$B$192,$C1626,'5. PERSON'!DP$17:DP$192),SUMIF('5. PERSON'!$B$17:$B$192,$C1626,'5. PERSON'!AV$17:AV$192))</f>
        <v>0</v>
      </c>
      <c r="F1629" s="751">
        <f>IF('2. START'!$C$14&gt;0,SUMIF('5. PERSON'!$B$17:$B$192,$C1626,'5. PERSON'!DQ$17:DQ$192),SUMIF('5. PERSON'!$B$17:$B$192,$C1626,'5. PERSON'!AW$17:AW$192))</f>
        <v>0</v>
      </c>
      <c r="G1629" s="751">
        <f>IF('2. START'!$C$14&gt;0,SUMIF('5. PERSON'!$B$17:$B$192,$C1626,'5. PERSON'!DR$17:DR$192),SUMIF('5. PERSON'!$B$17:$B$192,$C1626,'5. PERSON'!AX$17:AX$192))</f>
        <v>0</v>
      </c>
      <c r="H1629" s="751">
        <f>IF('2. START'!$C$14&gt;0,SUMIF('5. PERSON'!$B$17:$B$192,$C1626,'5. PERSON'!DS$17:DS$192),SUMIF('5. PERSON'!$B$17:$B$192,$C1626,'5. PERSON'!AY$17:AY$192))</f>
        <v>0</v>
      </c>
      <c r="I1629" s="751">
        <f>IF('2. START'!$C$14&gt;0,SUMIF('5. PERSON'!$B$17:$B$192,$C1626,'5. PERSON'!DT$17:DT$192),SUMIF('5. PERSON'!$B$17:$B$192,$C1626,'5. PERSON'!AZ$17:AZ$192))</f>
        <v>0</v>
      </c>
      <c r="J1629" s="751">
        <f>IF('2. START'!$C$14&gt;0,SUMIF('5. PERSON'!$B$17:$B$192,$C1626,'5. PERSON'!DU$17:DU$192),SUMIF('5. PERSON'!$B$17:$B$192,$C1626,'5. PERSON'!BA$17:BA$192))</f>
        <v>0</v>
      </c>
      <c r="K1629" s="751">
        <f>IF('2. START'!$C$14&gt;0,SUMIF('5. PERSON'!$B$17:$B$192,$C1626,'5. PERSON'!DV$17:DV$192),SUMIF('5. PERSON'!$B$17:$B$192,$C1626,'5. PERSON'!BB$17:BB$192))</f>
        <v>0</v>
      </c>
      <c r="L1629" s="751">
        <f>IF('2. START'!$C$14&gt;0,SUMIF('5. PERSON'!$B$17:$B$192,$C1626,'5. PERSON'!DW$17:DW$192),SUMIF('5. PERSON'!$B$17:$B$192,$C1626,'5. PERSON'!BC$17:BC$192))</f>
        <v>0</v>
      </c>
      <c r="M1629" s="752">
        <f t="shared" ref="M1629:M1634" si="354">SUM(C1629:L1629)</f>
        <v>0</v>
      </c>
      <c r="O1629" s="4"/>
    </row>
    <row r="1630" spans="2:15" s="3" customFormat="1" ht="12.75" customHeight="1" x14ac:dyDescent="0.25">
      <c r="B1630" s="80" t="str">
        <f>IF('1. INTRO'!I$2="English","Operating","Drift")</f>
        <v>Operating</v>
      </c>
      <c r="C1630" s="116">
        <f>SUMIF('6. OPERATION'!$B$17:$B$149,$C1626,'6. OPERATION'!W$17:W$149)</f>
        <v>0</v>
      </c>
      <c r="D1630" s="116">
        <f>SUMIF('6. OPERATION'!$B$17:$B$149,$C1626,'6. OPERATION'!X$17:X$149)</f>
        <v>0</v>
      </c>
      <c r="E1630" s="116">
        <f>SUMIF('6. OPERATION'!$B$17:$B$149,$C1626,'6. OPERATION'!Y$17:Y$149)</f>
        <v>0</v>
      </c>
      <c r="F1630" s="116">
        <f>SUMIF('6. OPERATION'!$B$17:$B$149,$C1626,'6. OPERATION'!Z$17:Z$149)</f>
        <v>0</v>
      </c>
      <c r="G1630" s="116">
        <f>SUMIF('6. OPERATION'!$B$17:$B$149,$C1626,'6. OPERATION'!AA$17:AA$149)</f>
        <v>0</v>
      </c>
      <c r="H1630" s="116">
        <f>SUMIF('6. OPERATION'!$B$17:$B$149,$C1626,'6. OPERATION'!AB$17:AB$149)</f>
        <v>0</v>
      </c>
      <c r="I1630" s="116">
        <f>SUMIF('6. OPERATION'!$B$17:$B$149,$C1626,'6. OPERATION'!AC$17:AC$149)</f>
        <v>0</v>
      </c>
      <c r="J1630" s="116">
        <f>SUMIF('6. OPERATION'!$B$17:$B$149,$C1626,'6. OPERATION'!AD$17:AD$149)</f>
        <v>0</v>
      </c>
      <c r="K1630" s="116">
        <f>SUMIF('6. OPERATION'!$B$17:$B$149,$C1626,'6. OPERATION'!AE$17:AE$149)</f>
        <v>0</v>
      </c>
      <c r="L1630" s="116">
        <f>SUMIF('6. OPERATION'!$B$17:$B$149,$C1626,'6. OPERATION'!AF$17:AF$149)</f>
        <v>0</v>
      </c>
      <c r="M1630" s="117">
        <f t="shared" si="354"/>
        <v>0</v>
      </c>
    </row>
    <row r="1631" spans="2:15" s="3" customFormat="1" ht="13.2" x14ac:dyDescent="0.25">
      <c r="B1631" s="753" t="str">
        <f>IF('1. INTRO'!I$2="English","Equipment","Utrustning")</f>
        <v>Equipment</v>
      </c>
      <c r="C1631" s="754">
        <f>SUMIF('7. INVEST'!$B$17:$B$49,$C1626,'7. INVEST'!W$17:W$49)</f>
        <v>0</v>
      </c>
      <c r="D1631" s="754">
        <f>SUMIF('7. INVEST'!$B$17:$B$49,$C1626,'7. INVEST'!X$17:X$49)</f>
        <v>0</v>
      </c>
      <c r="E1631" s="754">
        <f>SUMIF('7. INVEST'!$B$17:$B$49,$C1626,'7. INVEST'!Y$17:Y$49)</f>
        <v>0</v>
      </c>
      <c r="F1631" s="754">
        <f>SUMIF('7. INVEST'!$B$17:$B$49,$C1626,'7. INVEST'!Z$17:Z$49)</f>
        <v>0</v>
      </c>
      <c r="G1631" s="754">
        <f>SUMIF('7. INVEST'!$B$17:$B$49,$C1626,'7. INVEST'!AA$17:AA$49)</f>
        <v>0</v>
      </c>
      <c r="H1631" s="754">
        <f>SUMIF('7. INVEST'!$B$17:$B$49,$C1626,'7. INVEST'!AB$17:AB$49)</f>
        <v>0</v>
      </c>
      <c r="I1631" s="754">
        <f>SUMIF('7. INVEST'!$B$17:$B$49,$C1626,'7. INVEST'!AC$17:AC$49)</f>
        <v>0</v>
      </c>
      <c r="J1631" s="754">
        <f>SUMIF('7. INVEST'!$B$17:$B$49,$C1626,'7. INVEST'!AD$17:AD$49)</f>
        <v>0</v>
      </c>
      <c r="K1631" s="754">
        <f>SUMIF('7. INVEST'!$B$17:$B$49,$C1626,'7. INVEST'!AE$17:AE$49)</f>
        <v>0</v>
      </c>
      <c r="L1631" s="754">
        <f>SUMIF('7. INVEST'!$B$17:$B$49,$C1626,'7. INVEST'!AF$17:AF$49)</f>
        <v>0</v>
      </c>
      <c r="M1631" s="755">
        <f t="shared" si="354"/>
        <v>0</v>
      </c>
    </row>
    <row r="1632" spans="2:15" s="3" customFormat="1" ht="13.2" x14ac:dyDescent="0.25">
      <c r="B1632" s="121" t="str">
        <f>IF('1. INTRO'!I$2="English",(IF('2. START'!C$11="NO","Facility accepted as direct cost by funding body","Facility")),IF('2. START'!C$11="NO","Lokal accepterad som direkt kostnad av finansiär","Lokal"))</f>
        <v>Facility</v>
      </c>
      <c r="C1632" s="116">
        <f>IF('2. START'!$C$11="NO",SUMIF('8. FACILIT'!$B$18:$B$50,$C1626,'8. FACILIT'!T$18:T$50),SUMIF('5. PERSON'!$B$17:$B$192,$C1626,'5. PERSON'!CP$17:CP$192)+SUMIF('6. OPERATION'!$B$17:$B$149,$C1626,'6. OPERATION'!BS$17:BS$149)+SUMIF('8. FACILIT'!$B$18:$B$50,$C1626,'8. FACILIT'!T$18:T$50))</f>
        <v>0</v>
      </c>
      <c r="D1632" s="116">
        <f>IF('2. START'!$C$11="NO",SUMIF('8. FACILIT'!$B$18:$B$50,$C1626,'8. FACILIT'!U$18:U$50),SUMIF('5. PERSON'!$B$17:$B$192,$C1626,'5. PERSON'!CQ$17:CQ$192)+SUMIF('6. OPERATION'!$B$17:$B$149,$C1626,'6. OPERATION'!BT$17:BT$149)+SUMIF('8. FACILIT'!$B$18:$B$50,$C1626,'8. FACILIT'!U$18:U$50))</f>
        <v>0</v>
      </c>
      <c r="E1632" s="116">
        <f>IF('2. START'!$C$11="NO",SUMIF('8. FACILIT'!$B$18:$B$50,$C1626,'8. FACILIT'!V$18:V$50),SUMIF('5. PERSON'!$B$17:$B$192,$C1626,'5. PERSON'!CR$17:CR$192)+SUMIF('6. OPERATION'!$B$17:$B$149,$C1626,'6. OPERATION'!BU$17:BU$149)+SUMIF('8. FACILIT'!$B$18:$B$50,$C1626,'8. FACILIT'!V$18:V$50))</f>
        <v>0</v>
      </c>
      <c r="F1632" s="116">
        <f>IF('2. START'!$C$11="NO",SUMIF('8. FACILIT'!$B$18:$B$50,$C1626,'8. FACILIT'!W$18:W$50),SUMIF('5. PERSON'!$B$17:$B$192,$C1626,'5. PERSON'!CS$17:CS$192)+SUMIF('6. OPERATION'!$B$17:$B$149,$C1626,'6. OPERATION'!BV$17:BV$149)+SUMIF('8. FACILIT'!$B$18:$B$50,$C1626,'8. FACILIT'!W$18:W$50))</f>
        <v>0</v>
      </c>
      <c r="G1632" s="116">
        <f>IF('2. START'!$C$11="NO",SUMIF('8. FACILIT'!$B$18:$B$50,$C1626,'8. FACILIT'!X$18:X$50),SUMIF('5. PERSON'!$B$17:$B$192,$C1626,'5. PERSON'!CT$17:CT$192)+SUMIF('6. OPERATION'!$B$17:$B$149,$C1626,'6. OPERATION'!BW$17:BW$149)+SUMIF('8. FACILIT'!$B$18:$B$50,$C1626,'8. FACILIT'!X$18:X$50))</f>
        <v>0</v>
      </c>
      <c r="H1632" s="116">
        <f>IF('2. START'!$C$11="NO",SUMIF('8. FACILIT'!$B$18:$B$50,$C1626,'8. FACILIT'!Y$18:Y$50),SUMIF('5. PERSON'!$B$17:$B$192,$C1626,'5. PERSON'!CU$17:CU$192)+SUMIF('6. OPERATION'!$B$17:$B$149,$C1626,'6. OPERATION'!BX$17:BX$149)+SUMIF('8. FACILIT'!$B$18:$B$50,$C1626,'8. FACILIT'!Y$18:Y$50))</f>
        <v>0</v>
      </c>
      <c r="I1632" s="116">
        <f>IF('2. START'!$C$11="NO",SUMIF('8. FACILIT'!$B$18:$B$50,$C1626,'8. FACILIT'!Z$18:Z$50),SUMIF('5. PERSON'!$B$17:$B$192,$C1626,'5. PERSON'!CV$17:CV$192)+SUMIF('6. OPERATION'!$B$17:$B$149,$C1626,'6. OPERATION'!BY$17:BY$149)+SUMIF('8. FACILIT'!$B$18:$B$50,$C1626,'8. FACILIT'!Z$18:Z$50))</f>
        <v>0</v>
      </c>
      <c r="J1632" s="116">
        <f>IF('2. START'!$C$11="NO",SUMIF('8. FACILIT'!$B$18:$B$50,$C1626,'8. FACILIT'!AA$18:AA$50),SUMIF('5. PERSON'!$B$17:$B$192,$C1626,'5. PERSON'!CW$17:CW$192)+SUMIF('6. OPERATION'!$B$17:$B$149,$C1626,'6. OPERATION'!BZ$17:BZ$149)+SUMIF('8. FACILIT'!$B$18:$B$50,$C1626,'8. FACILIT'!AA$18:AA$50))</f>
        <v>0</v>
      </c>
      <c r="K1632" s="116">
        <f>IF('2. START'!$C$11="NO",SUMIF('8. FACILIT'!$B$18:$B$50,$C1626,'8. FACILIT'!AB$18:AB$50),SUMIF('5. PERSON'!$B$17:$B$192,$C1626,'5. PERSON'!CX$17:CX$192)+SUMIF('6. OPERATION'!$B$17:$B$149,$C1626,'6. OPERATION'!CA$17:CA$149)+SUMIF('8. FACILIT'!$B$18:$B$50,$C1626,'8. FACILIT'!AB$18:AB$50))</f>
        <v>0</v>
      </c>
      <c r="L1632" s="116">
        <f>IF('2. START'!$C$11="NO",SUMIF('8. FACILIT'!$B$18:$B$50,$C1626,'8. FACILIT'!AC$18:AC$50),SUMIF('5. PERSON'!$B$17:$B$192,$C1626,'5. PERSON'!CY$17:CY$192)+SUMIF('6. OPERATION'!$B$17:$B$149,$C1626,'6. OPERATION'!CB$17:CB$149)+SUMIF('8. FACILIT'!$B$18:$B$50,$C1626,'8. FACILIT'!AC$18:AC$50))</f>
        <v>0</v>
      </c>
      <c r="M1632" s="117">
        <f t="shared" si="354"/>
        <v>0</v>
      </c>
    </row>
    <row r="1633" spans="2:15" s="3" customFormat="1" ht="13.2" x14ac:dyDescent="0.25">
      <c r="B1633" s="756" t="str">
        <f>IF('1. INTRO'!I$2="English",(IF('2. START'!C$11="NO","Indirect and facility charge accepted as OH by funding body","Indirect")),IF('2. START'!C$11="NO","Indirekt och lokalpåslag accepterade som OH av finansiär","Indirekt"))</f>
        <v>Indirect</v>
      </c>
      <c r="C1633" s="757">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757">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757">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757">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757">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757">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757">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757">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757">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757">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755">
        <f t="shared" si="354"/>
        <v>0</v>
      </c>
    </row>
    <row r="1634" spans="2:15" s="3" customFormat="1" ht="13.2" x14ac:dyDescent="0.25">
      <c r="B1634" s="124" t="s">
        <v>113</v>
      </c>
      <c r="C1634" s="102">
        <f>SUM(C1629:C1633)</f>
        <v>0</v>
      </c>
      <c r="D1634" s="102">
        <f t="shared" ref="D1634:L1634" si="355">SUM(D1629:D1633)</f>
        <v>0</v>
      </c>
      <c r="E1634" s="102">
        <f t="shared" si="355"/>
        <v>0</v>
      </c>
      <c r="F1634" s="102">
        <f t="shared" si="355"/>
        <v>0</v>
      </c>
      <c r="G1634" s="102">
        <f t="shared" si="355"/>
        <v>0</v>
      </c>
      <c r="H1634" s="102">
        <f t="shared" si="355"/>
        <v>0</v>
      </c>
      <c r="I1634" s="102">
        <f t="shared" si="355"/>
        <v>0</v>
      </c>
      <c r="J1634" s="102">
        <f t="shared" si="355"/>
        <v>0</v>
      </c>
      <c r="K1634" s="102">
        <f t="shared" si="355"/>
        <v>0</v>
      </c>
      <c r="L1634" s="102">
        <f t="shared" si="355"/>
        <v>0</v>
      </c>
      <c r="M1634" s="125">
        <f t="shared" si="354"/>
        <v>0</v>
      </c>
    </row>
    <row r="1635" spans="2:15" s="3" customFormat="1" ht="6" customHeight="1" x14ac:dyDescent="0.25">
      <c r="B1635" s="126"/>
      <c r="C1635" s="127"/>
      <c r="D1635" s="127"/>
      <c r="E1635" s="127"/>
      <c r="F1635" s="127"/>
      <c r="G1635" s="127"/>
      <c r="H1635" s="127"/>
      <c r="I1635" s="127"/>
      <c r="J1635" s="127"/>
      <c r="K1635" s="127"/>
      <c r="L1635" s="127"/>
      <c r="M1635" s="128"/>
    </row>
    <row r="1636" spans="2:15" s="3" customFormat="1" ht="13.2" x14ac:dyDescent="0.25">
      <c r="B1636" s="129" t="str">
        <f>IF('1. INTRO'!I$2="English","Costs to be co-funded","Kostnader att medfinansiera")</f>
        <v>Costs to be co-funded</v>
      </c>
      <c r="C1636" s="86"/>
      <c r="D1636" s="86"/>
      <c r="E1636" s="86"/>
      <c r="F1636" s="86"/>
      <c r="G1636" s="86"/>
      <c r="H1636" s="86"/>
      <c r="I1636" s="86"/>
      <c r="J1636" s="86"/>
      <c r="K1636" s="86"/>
      <c r="L1636" s="86"/>
      <c r="M1636" s="130"/>
    </row>
    <row r="1637" spans="2:15" s="3" customFormat="1" ht="13.2" x14ac:dyDescent="0.25">
      <c r="B1637" s="758" t="str">
        <f>IF('1. INTRO'!I$2="English",(IF('2. START'!C$11="NO","Indirect and facility charge not accepted as OH by funding body","")),IF('2. START'!C$11="NO","Indirekt och lokalpåslag inte accepterade som OH av finansiär",""))</f>
        <v/>
      </c>
      <c r="C1637" s="759">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759">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759">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759">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759">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759">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759">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759">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759">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759">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752">
        <f t="shared" ref="M1637:M1643" si="356">SUM(C1637:L1637)</f>
        <v>0</v>
      </c>
    </row>
    <row r="1638" spans="2:15" s="3" customFormat="1" ht="12.75" customHeight="1" x14ac:dyDescent="0.25">
      <c r="B1638" s="132" t="str">
        <f>IF('1. INTRO'!I$2="English",(IF('2. START'!C$14&gt;0,"Social costs (LKP) not accepted by funding body","")),IF('2. START'!C$14&gt;0,"LKP som inte accepteras av finansiär",""))</f>
        <v/>
      </c>
      <c r="C1638" s="133">
        <f>IF('2. START'!$C$14&gt;0,SUMIF('5. PERSON'!$B$17:$B$192,$C1626,'5. PERSON'!AT$17:AT$192)-SUMIF('5. PERSON'!$B$17:$B$192,$C1626,'5. PERSON'!DN$17:DN$192),0)</f>
        <v>0</v>
      </c>
      <c r="D1638" s="133">
        <f>IF('2. START'!$C$14&gt;0,SUMIF('5. PERSON'!$B$17:$B$192,$C1626,'5. PERSON'!AU$17:AU$192)-SUMIF('5. PERSON'!$B$17:$B$192,$C1626,'5. PERSON'!DO$17:DO$192),0)</f>
        <v>0</v>
      </c>
      <c r="E1638" s="133">
        <f>IF('2. START'!$C$14&gt;0,SUMIF('5. PERSON'!$B$17:$B$192,$C1626,'5. PERSON'!AV$17:AV$192)-SUMIF('5. PERSON'!$B$17:$B$192,$C1626,'5. PERSON'!DP$17:DP$192),0)</f>
        <v>0</v>
      </c>
      <c r="F1638" s="133">
        <f>IF('2. START'!$C$14&gt;0,SUMIF('5. PERSON'!$B$17:$B$192,$C1626,'5. PERSON'!AW$17:AW$192)-SUMIF('5. PERSON'!$B$17:$B$192,$C1626,'5. PERSON'!DQ$17:DQ$192),0)</f>
        <v>0</v>
      </c>
      <c r="G1638" s="133">
        <f>IF('2. START'!$C$14&gt;0,SUMIF('5. PERSON'!$B$17:$B$192,$C1626,'5. PERSON'!AX$17:AX$192)-SUMIF('5. PERSON'!$B$17:$B$192,$C1626,'5. PERSON'!DR$17:DR$192),0)</f>
        <v>0</v>
      </c>
      <c r="H1638" s="133">
        <f>IF('2. START'!$C$14&gt;0,SUMIF('5. PERSON'!$B$17:$B$192,$C1626,'5. PERSON'!AY$17:AY$192)-SUMIF('5. PERSON'!$B$17:$B$192,$C1626,'5. PERSON'!DS$17:DS$192),0)</f>
        <v>0</v>
      </c>
      <c r="I1638" s="133">
        <f>IF('2. START'!$C$14&gt;0,SUMIF('5. PERSON'!$B$17:$B$192,$C1626,'5. PERSON'!AZ$17:AZ$192)-SUMIF('5. PERSON'!$B$17:$B$192,$C1626,'5. PERSON'!DT$17:DT$192),0)</f>
        <v>0</v>
      </c>
      <c r="J1638" s="133">
        <f>IF('2. START'!$C$14&gt;0,SUMIF('5. PERSON'!$B$17:$B$192,$C1626,'5. PERSON'!BA$17:BA$192)-SUMIF('5. PERSON'!$B$17:$B$192,$C1626,'5. PERSON'!DU$17:DU$192),0)</f>
        <v>0</v>
      </c>
      <c r="K1638" s="133">
        <f>IF('2. START'!$C$14&gt;0,SUMIF('5. PERSON'!$B$17:$B$192,$C1626,'5. PERSON'!BB$17:BB$192)-SUMIF('5. PERSON'!$B$17:$B$192,$C1626,'5. PERSON'!DV$17:DV$192),0)</f>
        <v>0</v>
      </c>
      <c r="L1638" s="133">
        <f>IF('2. START'!$C$14&gt;0,SUMIF('5. PERSON'!$B$17:$B$192,$C1626,'5. PERSON'!BC$17:BC$192)-SUMIF('5. PERSON'!$B$17:$B$192,$C1626,'5. PERSON'!DW$17:DW$192),0)</f>
        <v>0</v>
      </c>
      <c r="M1638" s="117">
        <f t="shared" si="356"/>
        <v>0</v>
      </c>
    </row>
    <row r="1639" spans="2:15" s="3" customFormat="1" ht="12.75" customHeight="1" x14ac:dyDescent="0.25">
      <c r="B1639" s="753" t="str">
        <f>IF('1. INTRO'!I$2="English",(IF('5. PERSON'!BP$193&gt;0,"Salary including social costs (LKP)","")),IF('5. PERSON'!BP$193&gt;0,"Lön inklusive LKP",""))</f>
        <v/>
      </c>
      <c r="C1639" s="760">
        <f>SUMIF('5. PERSON'!$B$17:$B$192,$C1626,'5. PERSON'!BF$17:BF$192)</f>
        <v>0</v>
      </c>
      <c r="D1639" s="760">
        <f>SUMIF('5. PERSON'!$B$17:$B$192,$C1626,'5. PERSON'!BG$17:BG$192)</f>
        <v>0</v>
      </c>
      <c r="E1639" s="760">
        <f>SUMIF('5. PERSON'!$B$17:$B$192,$C1626,'5. PERSON'!BH$17:BH$192)</f>
        <v>0</v>
      </c>
      <c r="F1639" s="760">
        <f>SUMIF('5. PERSON'!$B$17:$B$192,$C1626,'5. PERSON'!BI$17:BI$192)</f>
        <v>0</v>
      </c>
      <c r="G1639" s="760">
        <f>SUMIF('5. PERSON'!$B$17:$B$192,$C1626,'5. PERSON'!BJ$17:BJ$192)</f>
        <v>0</v>
      </c>
      <c r="H1639" s="760">
        <f>SUMIF('5. PERSON'!$B$17:$B$192,$C1626,'5. PERSON'!BK$17:BK$192)</f>
        <v>0</v>
      </c>
      <c r="I1639" s="760">
        <f>SUMIF('5. PERSON'!$B$17:$B$192,$C1626,'5. PERSON'!BL$17:BL$192)</f>
        <v>0</v>
      </c>
      <c r="J1639" s="760">
        <f>SUMIF('5. PERSON'!$B$17:$B$192,$C1626,'5. PERSON'!BM$17:BM$192)</f>
        <v>0</v>
      </c>
      <c r="K1639" s="760">
        <f>SUMIF('5. PERSON'!$B$17:$B$192,$C1626,'5. PERSON'!BN$17:BN$192)</f>
        <v>0</v>
      </c>
      <c r="L1639" s="760">
        <f>SUMIF('5. PERSON'!$B$17:$B$192,$C1626,'5. PERSON'!BO$17:BO$192)</f>
        <v>0</v>
      </c>
      <c r="M1639" s="755">
        <f t="shared" si="356"/>
        <v>0</v>
      </c>
    </row>
    <row r="1640" spans="2:15" s="3" customFormat="1" ht="13.2" x14ac:dyDescent="0.25">
      <c r="B1640" s="80" t="str">
        <f>IF('1. INTRO'!I$2="English",(IF('6. OPERATION'!AS$150&gt;0,"Operating","")),IF('6. OPERATION'!AS$150&gt;0,"Drift",""))</f>
        <v/>
      </c>
      <c r="C1640" s="135">
        <f>SUMIF('6. OPERATION'!$B$17:$B$149,$C1626,'6. OPERATION'!AI$17:AI$149)</f>
        <v>0</v>
      </c>
      <c r="D1640" s="135">
        <f>SUMIF('6. OPERATION'!$B$17:$B$149,$C1626,'6. OPERATION'!AJ$17:AJ$149)</f>
        <v>0</v>
      </c>
      <c r="E1640" s="135">
        <f>SUMIF('6. OPERATION'!$B$17:$B$149,$C1626,'6. OPERATION'!AK$17:AK$149)</f>
        <v>0</v>
      </c>
      <c r="F1640" s="135">
        <f>SUMIF('6. OPERATION'!$B$17:$B$149,$C1626,'6. OPERATION'!AL$17:AL$149)</f>
        <v>0</v>
      </c>
      <c r="G1640" s="135">
        <f>SUMIF('6. OPERATION'!$B$17:$B$149,$C1626,'6. OPERATION'!AM$17:AM$149)</f>
        <v>0</v>
      </c>
      <c r="H1640" s="135">
        <f>SUMIF('6. OPERATION'!$B$17:$B$149,$C1626,'6. OPERATION'!AN$17:AN$149)</f>
        <v>0</v>
      </c>
      <c r="I1640" s="135">
        <f>SUMIF('6. OPERATION'!$B$17:$B$149,$C1626,'6. OPERATION'!AO$17:AO$149)</f>
        <v>0</v>
      </c>
      <c r="J1640" s="135">
        <f>SUMIF('6. OPERATION'!$B$17:$B$149,$C1626,'6. OPERATION'!AP$17:AP$149)</f>
        <v>0</v>
      </c>
      <c r="K1640" s="135">
        <f>SUMIF('6. OPERATION'!$B$17:$B$149,$C1626,'6. OPERATION'!AQ$17:AQ$149)</f>
        <v>0</v>
      </c>
      <c r="L1640" s="135">
        <f>SUMIF('6. OPERATION'!$B$17:$B$149,$C1626,'6. OPERATION'!AR$17:AR$149)</f>
        <v>0</v>
      </c>
      <c r="M1640" s="117">
        <f t="shared" si="356"/>
        <v>0</v>
      </c>
    </row>
    <row r="1641" spans="2:15" s="3" customFormat="1" ht="13.2" x14ac:dyDescent="0.25">
      <c r="B1641" s="753" t="str">
        <f>IF('1. INTRO'!I$2="English",(IF('7. INVEST'!AS$50&gt;0,"Equipment","")),IF('7. INVEST'!AS$50&gt;0,"Utrustning",""))</f>
        <v/>
      </c>
      <c r="C1641" s="760">
        <f>SUMIF('7. INVEST'!$B$17:$B$49,$C1626,'7. INVEST'!AI$17:AI$49)</f>
        <v>0</v>
      </c>
      <c r="D1641" s="760">
        <f>SUMIF('7. INVEST'!$B$17:$B$49,$C1626,'7. INVEST'!AJ$17:AJ$49)</f>
        <v>0</v>
      </c>
      <c r="E1641" s="760">
        <f>SUMIF('7. INVEST'!$B$17:$B$49,$C1626,'7. INVEST'!AK$17:AK$49)</f>
        <v>0</v>
      </c>
      <c r="F1641" s="760">
        <f>SUMIF('7. INVEST'!$B$17:$B$49,$C1626,'7. INVEST'!AL$17:AL$49)</f>
        <v>0</v>
      </c>
      <c r="G1641" s="760">
        <f>SUMIF('7. INVEST'!$B$17:$B$49,$C1626,'7. INVEST'!AM$17:AM$49)</f>
        <v>0</v>
      </c>
      <c r="H1641" s="760">
        <f>SUMIF('7. INVEST'!$B$17:$B$49,$C1626,'7. INVEST'!AN$17:AN$49)</f>
        <v>0</v>
      </c>
      <c r="I1641" s="760">
        <f>SUMIF('7. INVEST'!$B$17:$B$49,$C1626,'7. INVEST'!AO$17:AO$49)</f>
        <v>0</v>
      </c>
      <c r="J1641" s="760">
        <f>SUMIF('7. INVEST'!$B$17:$B$49,$C1626,'7. INVEST'!AP$17:AP$49)</f>
        <v>0</v>
      </c>
      <c r="K1641" s="760">
        <f>SUMIF('7. INVEST'!$B$17:$B$49,$C1626,'7. INVEST'!AQ$17:AQ$49)</f>
        <v>0</v>
      </c>
      <c r="L1641" s="760">
        <f>SUMIF('7. INVEST'!$B$17:$B$49,$C1626,'7. INVEST'!AR$17:AR$49)</f>
        <v>0</v>
      </c>
      <c r="M1641" s="755">
        <f t="shared" si="356"/>
        <v>0</v>
      </c>
    </row>
    <row r="1642" spans="2:15" s="3" customFormat="1" ht="13.2" x14ac:dyDescent="0.25">
      <c r="B1642" s="121" t="str">
        <f>IF('1. INTRO'!I$2="English",(IF('8. FACILIT'!AP$51&gt;0,"Facility","")),IF('8. FACILIT'!AP$51&gt;0,"Lokal",""))</f>
        <v/>
      </c>
      <c r="C1642" s="135">
        <f>SUMIF('5. PERSON'!$B$17:$B$192,$C1626,'5. PERSON'!DB$17:DB$192)+SUMIF('6. OPERATION'!$B$17:$B$149,$C1626,'6. OPERATION'!CE$17:CE$149)+SUMIF('8. FACILIT'!$B$18:$B$50,$C1626,'8. FACILIT'!AF$18:AF$50)</f>
        <v>0</v>
      </c>
      <c r="D1642" s="135">
        <f>SUMIF('5. PERSON'!$B$17:$B$192,$C1626,'5. PERSON'!DC$17:DC$192)+SUMIF('6. OPERATION'!$B$17:$B$149,$C1626,'6. OPERATION'!CF$17:CF$149)+SUMIF('8. FACILIT'!$B$18:$B$50,$C1626,'8. FACILIT'!AG$18:AG$50)</f>
        <v>0</v>
      </c>
      <c r="E1642" s="135">
        <f>SUMIF('5. PERSON'!$B$17:$B$192,$C1626,'5. PERSON'!DD$17:DD$192)+SUMIF('6. OPERATION'!$B$17:$B$149,$C1626,'6. OPERATION'!CG$17:CG$149)+SUMIF('8. FACILIT'!$B$18:$B$50,$C1626,'8. FACILIT'!AH$18:AH$50)</f>
        <v>0</v>
      </c>
      <c r="F1642" s="135">
        <f>SUMIF('5. PERSON'!$B$17:$B$192,$C1626,'5. PERSON'!DE$17:DE$192)+SUMIF('6. OPERATION'!$B$17:$B$149,$C1626,'6. OPERATION'!CH$17:CH$149)+SUMIF('8. FACILIT'!$B$18:$B$50,$C1626,'8. FACILIT'!AI$18:AI$50)</f>
        <v>0</v>
      </c>
      <c r="G1642" s="135">
        <f>SUMIF('5. PERSON'!$B$17:$B$192,$C1626,'5. PERSON'!DF$17:DF$192)+SUMIF('6. OPERATION'!$B$17:$B$149,$C1626,'6. OPERATION'!CI$17:CI$149)+SUMIF('8. FACILIT'!$B$18:$B$50,$C1626,'8. FACILIT'!AJ$18:AJ$50)</f>
        <v>0</v>
      </c>
      <c r="H1642" s="135">
        <f>SUMIF('5. PERSON'!$B$17:$B$192,$C1626,'5. PERSON'!DG$17:DG$192)+SUMIF('6. OPERATION'!$B$17:$B$149,$C1626,'6. OPERATION'!CJ$17:CJ$149)+SUMIF('8. FACILIT'!$B$18:$B$50,$C1626,'8. FACILIT'!AK$18:AK$50)</f>
        <v>0</v>
      </c>
      <c r="I1642" s="135">
        <f>SUMIF('5. PERSON'!$B$17:$B$192,$C1626,'5. PERSON'!DH$17:DH$192)+SUMIF('6. OPERATION'!$B$17:$B$149,$C1626,'6. OPERATION'!CK$17:CK$149)+SUMIF('8. FACILIT'!$B$18:$B$50,$C1626,'8. FACILIT'!AL$18:AL$50)</f>
        <v>0</v>
      </c>
      <c r="J1642" s="135">
        <f>SUMIF('5. PERSON'!$B$17:$B$192,$C1626,'5. PERSON'!DI$17:DI$192)+SUMIF('6. OPERATION'!$B$17:$B$149,$C1626,'6. OPERATION'!CL$17:CL$149)+SUMIF('8. FACILIT'!$B$18:$B$50,$C1626,'8. FACILIT'!AM$18:AM$50)</f>
        <v>0</v>
      </c>
      <c r="K1642" s="135">
        <f>SUMIF('5. PERSON'!$B$17:$B$192,$C1626,'5. PERSON'!DJ$17:DJ$192)+SUMIF('6. OPERATION'!$B$17:$B$149,$C1626,'6. OPERATION'!CM$17:CM$149)+SUMIF('8. FACILIT'!$B$18:$B$50,$C1626,'8. FACILIT'!AN$18:AN$50)</f>
        <v>0</v>
      </c>
      <c r="L1642" s="135">
        <f>SUMIF('5. PERSON'!$B$17:$B$192,$C1626,'5. PERSON'!DK$17:DK$192)+SUMIF('6. OPERATION'!$B$17:$B$149,$C1626,'6. OPERATION'!CN$17:CN$149)+SUMIF('8. FACILIT'!$B$18:$B$50,$C1626,'8. FACILIT'!AO$18:AO$50)</f>
        <v>0</v>
      </c>
      <c r="M1642" s="117">
        <f t="shared" si="356"/>
        <v>0</v>
      </c>
    </row>
    <row r="1643" spans="2:15" s="1" customFormat="1" ht="13.2" x14ac:dyDescent="0.25">
      <c r="B1643" s="756" t="str">
        <f>IF('1. INTRO'!I$2="English",(IF(('5. PERSON'!CN$193+'6. OPERATION'!BQ$150)&gt;0,"Indirect","")),IF(('5. PERSON'!CN$193+'6. OPERATION'!BQ$150)&gt;0,"Indirekt",""))</f>
        <v/>
      </c>
      <c r="C1643" s="757">
        <f>SUMIF('5. PERSON'!$B$17:$B$192,$C1626,'5. PERSON'!CD$17:CD$192)+SUMIF('6. OPERATION'!$B$17:$B$149,$C1626,'6. OPERATION'!BG$17:BG$149)</f>
        <v>0</v>
      </c>
      <c r="D1643" s="757">
        <f>SUMIF('5. PERSON'!$B$17:$B$192,$C1626,'5. PERSON'!CE$17:CE$192)+SUMIF('6. OPERATION'!$B$17:$B$149,$C1626,'6. OPERATION'!BH$17:BH$149)</f>
        <v>0</v>
      </c>
      <c r="E1643" s="757">
        <f>SUMIF('5. PERSON'!$B$17:$B$192,$C1626,'5. PERSON'!CF$17:CF$192)+SUMIF('6. OPERATION'!$B$17:$B$149,$C1626,'6. OPERATION'!BI$17:BI$149)</f>
        <v>0</v>
      </c>
      <c r="F1643" s="757">
        <f>SUMIF('5. PERSON'!$B$17:$B$192,$C1626,'5. PERSON'!CG$17:CG$192)+SUMIF('6. OPERATION'!$B$17:$B$149,$C1626,'6. OPERATION'!BJ$17:BJ$149)</f>
        <v>0</v>
      </c>
      <c r="G1643" s="757">
        <f>SUMIF('5. PERSON'!$B$17:$B$192,$C1626,'5. PERSON'!CH$17:CH$192)+SUMIF('6. OPERATION'!$B$17:$B$149,$C1626,'6. OPERATION'!BK$17:BK$149)</f>
        <v>0</v>
      </c>
      <c r="H1643" s="757">
        <f>SUMIF('5. PERSON'!$B$17:$B$192,$C1626,'5. PERSON'!CI$17:CI$192)+SUMIF('6. OPERATION'!$B$17:$B$149,$C1626,'6. OPERATION'!BL$17:BL$149)</f>
        <v>0</v>
      </c>
      <c r="I1643" s="757">
        <f>SUMIF('5. PERSON'!$B$17:$B$192,$C1626,'5. PERSON'!CJ$17:CJ$192)+SUMIF('6. OPERATION'!$B$17:$B$149,$C1626,'6. OPERATION'!BM$17:BM$149)</f>
        <v>0</v>
      </c>
      <c r="J1643" s="757">
        <f>SUMIF('5. PERSON'!$B$17:$B$192,$C1626,'5. PERSON'!CK$17:CK$192)+SUMIF('6. OPERATION'!$B$17:$B$149,$C1626,'6. OPERATION'!BN$17:BN$149)</f>
        <v>0</v>
      </c>
      <c r="K1643" s="757">
        <f>SUMIF('5. PERSON'!$B$17:$B$192,$C1626,'5. PERSON'!CL$17:CL$192)+SUMIF('6. OPERATION'!$B$17:$B$149,$C1626,'6. OPERATION'!BO$17:BO$149)</f>
        <v>0</v>
      </c>
      <c r="L1643" s="757">
        <f>SUMIF('5. PERSON'!$B$17:$B$192,$C1626,'5. PERSON'!CM$17:CM$192)+SUMIF('6. OPERATION'!$B$17:$B$149,$C1626,'6. OPERATION'!BP$17:BP$149)</f>
        <v>0</v>
      </c>
      <c r="M1643" s="761">
        <f t="shared" si="356"/>
        <v>0</v>
      </c>
    </row>
    <row r="1644" spans="2:15" s="3" customFormat="1" ht="13.2" x14ac:dyDescent="0.25">
      <c r="B1644" s="124" t="s">
        <v>113</v>
      </c>
      <c r="C1644" s="102">
        <f>SUM(C1637:C1643)</f>
        <v>0</v>
      </c>
      <c r="D1644" s="102">
        <f t="shared" ref="D1644:M1644" si="357">SUM(D1637:D1643)</f>
        <v>0</v>
      </c>
      <c r="E1644" s="102">
        <f t="shared" si="357"/>
        <v>0</v>
      </c>
      <c r="F1644" s="102">
        <f t="shared" si="357"/>
        <v>0</v>
      </c>
      <c r="G1644" s="102">
        <f t="shared" si="357"/>
        <v>0</v>
      </c>
      <c r="H1644" s="102">
        <f t="shared" si="357"/>
        <v>0</v>
      </c>
      <c r="I1644" s="102">
        <f t="shared" si="357"/>
        <v>0</v>
      </c>
      <c r="J1644" s="102">
        <f t="shared" si="357"/>
        <v>0</v>
      </c>
      <c r="K1644" s="102">
        <f t="shared" si="357"/>
        <v>0</v>
      </c>
      <c r="L1644" s="102">
        <f t="shared" si="357"/>
        <v>0</v>
      </c>
      <c r="M1644" s="125">
        <f t="shared" si="357"/>
        <v>0</v>
      </c>
      <c r="N1644" s="23"/>
      <c r="O1644" s="23"/>
    </row>
    <row r="1645" spans="2:15" s="3" customFormat="1" ht="6" customHeight="1" x14ac:dyDescent="0.25">
      <c r="B1645" s="136"/>
      <c r="C1645" s="127"/>
      <c r="D1645" s="127"/>
      <c r="E1645" s="127"/>
      <c r="F1645" s="127"/>
      <c r="G1645" s="127"/>
      <c r="H1645" s="127"/>
      <c r="I1645" s="127"/>
      <c r="J1645" s="127"/>
      <c r="K1645" s="127"/>
      <c r="L1645" s="127"/>
      <c r="M1645" s="137"/>
    </row>
    <row r="1646" spans="2:15" s="3" customFormat="1" ht="13.2" x14ac:dyDescent="0.25">
      <c r="B1646" s="129" t="str">
        <f>IF('1. INTRO'!I$2="English","Full cost","Full kostnad")</f>
        <v>Full cost</v>
      </c>
      <c r="C1646" s="127"/>
      <c r="D1646" s="127"/>
      <c r="E1646" s="127"/>
      <c r="F1646" s="127"/>
      <c r="G1646" s="127"/>
      <c r="H1646" s="127"/>
      <c r="I1646" s="127"/>
      <c r="J1646" s="127"/>
      <c r="K1646" s="127"/>
      <c r="L1646" s="127"/>
      <c r="M1646" s="137"/>
    </row>
    <row r="1647" spans="2:15" s="3" customFormat="1" ht="13.2" x14ac:dyDescent="0.25">
      <c r="B1647" s="750" t="str">
        <f>IF('1. INTRO'!I$2="English","Salary including social costs (LKP)","Lön inklusive LKP")</f>
        <v>Salary including social costs (LKP)</v>
      </c>
      <c r="C1647" s="762">
        <f>C1629+C1638+C1639</f>
        <v>0</v>
      </c>
      <c r="D1647" s="762">
        <f t="shared" ref="D1647:L1647" si="358">D1629+D1638+D1639</f>
        <v>0</v>
      </c>
      <c r="E1647" s="762">
        <f t="shared" si="358"/>
        <v>0</v>
      </c>
      <c r="F1647" s="762">
        <f t="shared" si="358"/>
        <v>0</v>
      </c>
      <c r="G1647" s="762">
        <f t="shared" si="358"/>
        <v>0</v>
      </c>
      <c r="H1647" s="762">
        <f t="shared" si="358"/>
        <v>0</v>
      </c>
      <c r="I1647" s="762">
        <f t="shared" si="358"/>
        <v>0</v>
      </c>
      <c r="J1647" s="762">
        <f t="shared" si="358"/>
        <v>0</v>
      </c>
      <c r="K1647" s="762">
        <f t="shared" si="358"/>
        <v>0</v>
      </c>
      <c r="L1647" s="762">
        <f t="shared" si="358"/>
        <v>0</v>
      </c>
      <c r="M1647" s="752">
        <f>SUM(C1647:L1647)</f>
        <v>0</v>
      </c>
    </row>
    <row r="1648" spans="2:15" s="3" customFormat="1" ht="13.2" x14ac:dyDescent="0.25">
      <c r="B1648" s="80" t="str">
        <f>IF('1. INTRO'!I$2="English","Operating","Drift")</f>
        <v>Operating</v>
      </c>
      <c r="C1648" s="139">
        <f>C1630+C1640</f>
        <v>0</v>
      </c>
      <c r="D1648" s="139">
        <f t="shared" ref="D1648:L1648" si="359">D1630+D1640</f>
        <v>0</v>
      </c>
      <c r="E1648" s="139">
        <f t="shared" si="359"/>
        <v>0</v>
      </c>
      <c r="F1648" s="139">
        <f t="shared" si="359"/>
        <v>0</v>
      </c>
      <c r="G1648" s="139">
        <f t="shared" si="359"/>
        <v>0</v>
      </c>
      <c r="H1648" s="139">
        <f t="shared" si="359"/>
        <v>0</v>
      </c>
      <c r="I1648" s="139">
        <f t="shared" si="359"/>
        <v>0</v>
      </c>
      <c r="J1648" s="139">
        <f t="shared" si="359"/>
        <v>0</v>
      </c>
      <c r="K1648" s="139">
        <f t="shared" si="359"/>
        <v>0</v>
      </c>
      <c r="L1648" s="139">
        <f t="shared" si="359"/>
        <v>0</v>
      </c>
      <c r="M1648" s="117">
        <f>SUM(C1648:L1648)</f>
        <v>0</v>
      </c>
    </row>
    <row r="1649" spans="2:13" s="3" customFormat="1" ht="13.2" x14ac:dyDescent="0.25">
      <c r="B1649" s="753" t="str">
        <f>IF('1. INTRO'!I$2="English","Equipment","Utrustning")</f>
        <v>Equipment</v>
      </c>
      <c r="C1649" s="763">
        <f>C1631+C1641</f>
        <v>0</v>
      </c>
      <c r="D1649" s="763">
        <f t="shared" ref="D1649:L1649" si="360">D1631+D1641</f>
        <v>0</v>
      </c>
      <c r="E1649" s="763">
        <f t="shared" si="360"/>
        <v>0</v>
      </c>
      <c r="F1649" s="763">
        <f t="shared" si="360"/>
        <v>0</v>
      </c>
      <c r="G1649" s="763">
        <f t="shared" si="360"/>
        <v>0</v>
      </c>
      <c r="H1649" s="763">
        <f t="shared" si="360"/>
        <v>0</v>
      </c>
      <c r="I1649" s="763">
        <f t="shared" si="360"/>
        <v>0</v>
      </c>
      <c r="J1649" s="763">
        <f t="shared" si="360"/>
        <v>0</v>
      </c>
      <c r="K1649" s="763">
        <f t="shared" si="360"/>
        <v>0</v>
      </c>
      <c r="L1649" s="763">
        <f t="shared" si="360"/>
        <v>0</v>
      </c>
      <c r="M1649" s="755">
        <f>SUM(C1649:L1649)</f>
        <v>0</v>
      </c>
    </row>
    <row r="1650" spans="2:13" s="3" customFormat="1" ht="13.2" x14ac:dyDescent="0.25">
      <c r="B1650" s="80" t="str">
        <f>IF('1. INTRO'!I$2="English","Facility","Lokal")</f>
        <v>Facility</v>
      </c>
      <c r="C1650" s="139">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39">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39">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39">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39">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39">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39">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39">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39">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39">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117">
        <f>SUM(C1650:L1650)</f>
        <v>0</v>
      </c>
    </row>
    <row r="1651" spans="2:13" s="3" customFormat="1" ht="13.2" x14ac:dyDescent="0.25">
      <c r="B1651" s="764" t="str">
        <f>IF('1. INTRO'!I$2="English","Indirect","Indirekt")</f>
        <v>Indirect</v>
      </c>
      <c r="C1651" s="765">
        <f>SUMIF('5. PERSON'!$B$17:$B$192,$C1626,'5. PERSON'!BR$17:BR$192)+SUMIF('5. PERSON'!$B$17:$B$192,$C1626,'5. PERSON'!CD$17:CD$192)+SUMIF('6. OPERATION'!$B$17:$B$149,$C1626,'6. OPERATION'!AU$17:AU$149)+SUMIF('6. OPERATION'!$B$17:$B$149,$C1626,'6. OPERATION'!BG$17:BG$149)</f>
        <v>0</v>
      </c>
      <c r="D1651" s="765">
        <f>SUMIF('5. PERSON'!$B$17:$B$192,$C1626,'5. PERSON'!BS$17:BS$192)+SUMIF('5. PERSON'!$B$17:$B$192,$C1626,'5. PERSON'!CE$17:CE$192)+SUMIF('6. OPERATION'!$B$17:$B$149,$C1626,'6. OPERATION'!AV$17:AV$149)+SUMIF('6. OPERATION'!$B$17:$B$149,$C1626,'6. OPERATION'!BH$17:BH$149)</f>
        <v>0</v>
      </c>
      <c r="E1651" s="765">
        <f>SUMIF('5. PERSON'!$B$17:$B$192,$C1626,'5. PERSON'!BT$17:BT$192)+SUMIF('5. PERSON'!$B$17:$B$192,$C1626,'5. PERSON'!CF$17:CF$192)+SUMIF('6. OPERATION'!$B$17:$B$149,$C1626,'6. OPERATION'!AW$17:AW$149)+SUMIF('6. OPERATION'!$B$17:$B$149,$C1626,'6. OPERATION'!BI$17:BI$149)</f>
        <v>0</v>
      </c>
      <c r="F1651" s="765">
        <f>SUMIF('5. PERSON'!$B$17:$B$192,$C1626,'5. PERSON'!BU$17:BU$192)+SUMIF('5. PERSON'!$B$17:$B$192,$C1626,'5. PERSON'!CG$17:CG$192)+SUMIF('6. OPERATION'!$B$17:$B$149,$C1626,'6. OPERATION'!AX$17:AX$149)+SUMIF('6. OPERATION'!$B$17:$B$149,$C1626,'6. OPERATION'!BJ$17:BJ$149)</f>
        <v>0</v>
      </c>
      <c r="G1651" s="765">
        <f>SUMIF('5. PERSON'!$B$17:$B$192,$C1626,'5. PERSON'!BV$17:BV$192)+SUMIF('5. PERSON'!$B$17:$B$192,$C1626,'5. PERSON'!CH$17:CH$192)+SUMIF('6. OPERATION'!$B$17:$B$149,$C1626,'6. OPERATION'!AY$17:AY$149)+SUMIF('6. OPERATION'!$B$17:$B$149,$C1626,'6. OPERATION'!BK$17:BK$149)</f>
        <v>0</v>
      </c>
      <c r="H1651" s="765">
        <f>SUMIF('5. PERSON'!$B$17:$B$192,$C1626,'5. PERSON'!BW$17:BW$192)+SUMIF('5. PERSON'!$B$17:$B$192,$C1626,'5. PERSON'!CI$17:CI$192)+SUMIF('6. OPERATION'!$B$17:$B$149,$C1626,'6. OPERATION'!AZ$17:AZ$149)+SUMIF('6. OPERATION'!$B$17:$B$149,$C1626,'6. OPERATION'!BL$17:BL$149)</f>
        <v>0</v>
      </c>
      <c r="I1651" s="765">
        <f>SUMIF('5. PERSON'!$B$17:$B$192,$C1626,'5. PERSON'!BX$17:BX$192)+SUMIF('5. PERSON'!$B$17:$B$192,$C1626,'5. PERSON'!CJ$17:CJ$192)+SUMIF('6. OPERATION'!$B$17:$B$149,$C1626,'6. OPERATION'!BA$17:BA$149)+SUMIF('6. OPERATION'!$B$17:$B$149,$C1626,'6. OPERATION'!BM$17:BM$149)</f>
        <v>0</v>
      </c>
      <c r="J1651" s="765">
        <f>SUMIF('5. PERSON'!$B$17:$B$192,$C1626,'5. PERSON'!BY$17:BY$192)+SUMIF('5. PERSON'!$B$17:$B$192,$C1626,'5. PERSON'!CK$17:CK$192)+SUMIF('6. OPERATION'!$B$17:$B$149,$C1626,'6. OPERATION'!BB$17:BB$149)+SUMIF('6. OPERATION'!$B$17:$B$149,$C1626,'6. OPERATION'!BN$17:BN$149)</f>
        <v>0</v>
      </c>
      <c r="K1651" s="765">
        <f>SUMIF('5. PERSON'!$B$17:$B$192,$C1626,'5. PERSON'!BZ$17:BZ$192)+SUMIF('5. PERSON'!$B$17:$B$192,$C1626,'5. PERSON'!CL$17:CL$192)+SUMIF('6. OPERATION'!$B$17:$B$149,$C1626,'6. OPERATION'!BC$17:BC$149)+SUMIF('6. OPERATION'!$B$17:$B$149,$C1626,'6. OPERATION'!BO$17:BO$149)</f>
        <v>0</v>
      </c>
      <c r="L1651" s="765">
        <f>SUMIF('5. PERSON'!$B$17:$B$192,$C1626,'5. PERSON'!CA$17:CA$192)+SUMIF('5. PERSON'!$B$17:$B$192,$C1626,'5. PERSON'!CM$17:CM$192)+SUMIF('6. OPERATION'!$B$17:$B$149,$C1626,'6. OPERATION'!BD$17:BD$149)+SUMIF('6. OPERATION'!$B$17:$B$149,$C1626,'6. OPERATION'!BP$17:BP$149)</f>
        <v>0</v>
      </c>
      <c r="M1651" s="761">
        <f>SUM(C1651:L1651)</f>
        <v>0</v>
      </c>
    </row>
    <row r="1652" spans="2:13" s="3" customFormat="1" ht="13.2" x14ac:dyDescent="0.25">
      <c r="B1652" s="124" t="s">
        <v>113</v>
      </c>
      <c r="C1652" s="88">
        <f>SUM(C1647:C1651)</f>
        <v>0</v>
      </c>
      <c r="D1652" s="88">
        <f t="shared" ref="D1652:M1652" si="361">SUM(D1647:D1651)</f>
        <v>0</v>
      </c>
      <c r="E1652" s="88">
        <f t="shared" si="361"/>
        <v>0</v>
      </c>
      <c r="F1652" s="88">
        <f t="shared" si="361"/>
        <v>0</v>
      </c>
      <c r="G1652" s="88">
        <f t="shared" si="361"/>
        <v>0</v>
      </c>
      <c r="H1652" s="88">
        <f t="shared" si="361"/>
        <v>0</v>
      </c>
      <c r="I1652" s="88">
        <f t="shared" si="361"/>
        <v>0</v>
      </c>
      <c r="J1652" s="88">
        <f t="shared" si="361"/>
        <v>0</v>
      </c>
      <c r="K1652" s="88">
        <f t="shared" si="361"/>
        <v>0</v>
      </c>
      <c r="L1652" s="88">
        <f t="shared" si="361"/>
        <v>0</v>
      </c>
      <c r="M1652" s="142">
        <f t="shared" si="361"/>
        <v>0</v>
      </c>
    </row>
    <row r="1653" spans="2:13" s="3" customFormat="1" ht="13.2" x14ac:dyDescent="0.25">
      <c r="B1653" s="287"/>
      <c r="C1653" s="37"/>
      <c r="D1653" s="37"/>
      <c r="E1653" s="37"/>
      <c r="F1653" s="37"/>
      <c r="G1653" s="37"/>
      <c r="H1653" s="37"/>
      <c r="I1653" s="37"/>
      <c r="J1653" s="37"/>
      <c r="K1653" s="37"/>
      <c r="L1653" s="37"/>
      <c r="M1653" s="37"/>
    </row>
    <row r="1654" spans="2:13" s="3" customFormat="1" ht="12.75" customHeight="1" x14ac:dyDescent="0.25">
      <c r="B1654" s="656" t="str">
        <f>IF('1. INTRO'!I$2="English","Co-funding share in full cost ","Medfinansieringsandel i full kostnad ")</f>
        <v xml:space="preserve">Co-funding share in full cost </v>
      </c>
      <c r="C1654" s="143" t="str">
        <f t="shared" ref="C1654:M1654" si="362">IF(C1652&gt;0,C1644/C1652,"")</f>
        <v/>
      </c>
      <c r="D1654" s="143" t="str">
        <f t="shared" si="362"/>
        <v/>
      </c>
      <c r="E1654" s="143" t="str">
        <f t="shared" si="362"/>
        <v/>
      </c>
      <c r="F1654" s="143" t="str">
        <f t="shared" si="362"/>
        <v/>
      </c>
      <c r="G1654" s="143" t="str">
        <f t="shared" si="362"/>
        <v/>
      </c>
      <c r="H1654" s="143" t="str">
        <f t="shared" si="362"/>
        <v/>
      </c>
      <c r="I1654" s="143" t="str">
        <f t="shared" si="362"/>
        <v/>
      </c>
      <c r="J1654" s="143" t="str">
        <f t="shared" si="362"/>
        <v/>
      </c>
      <c r="K1654" s="143" t="str">
        <f t="shared" si="362"/>
        <v/>
      </c>
      <c r="L1654" s="143" t="str">
        <f t="shared" si="362"/>
        <v/>
      </c>
      <c r="M1654" s="143" t="str">
        <f t="shared" si="362"/>
        <v/>
      </c>
    </row>
    <row r="1655" spans="2:13" ht="12.75" customHeight="1" x14ac:dyDescent="0.2"/>
    <row r="1656" spans="2:13" ht="12.75" customHeight="1" x14ac:dyDescent="0.25">
      <c r="D1656" s="656" t="str">
        <f>IF('1. INTRO'!I$2="English","Co-funding need in average per year: ","Medfinansieringsbehov i genomsnitt per år: ")</f>
        <v xml:space="preserve">Co-funding need in average per year: </v>
      </c>
      <c r="E1656" s="766" t="str">
        <f>IF(M1644=0,"",M1644/(DATEDIF('2. START'!C$18,'2. START'!C$19,"d")/365))</f>
        <v/>
      </c>
      <c r="H1656" s="656" t="str">
        <f>IF('1. INTRO'!I$2="English","Co-funding need 1/3 of total: ","Medfinansieringsbehov 1/3 av totalt: ")</f>
        <v xml:space="preserve">Co-funding need 1/3 of total: </v>
      </c>
      <c r="I1656" s="766">
        <f>M1644/3</f>
        <v>0</v>
      </c>
      <c r="L1656" s="287" t="str">
        <f>IF('1. INTRO'!I$2="English","Co-funding need total: ","Medfinansieringsbehov totalt: ")</f>
        <v xml:space="preserve">Co-funding need total: </v>
      </c>
      <c r="M1656" s="766">
        <f>M1644</f>
        <v>0</v>
      </c>
    </row>
    <row r="1657" spans="2:13" ht="12.75" customHeight="1" x14ac:dyDescent="0.25">
      <c r="B1657" s="53" t="str">
        <f>IF('1. INTRO'!I$2="English","Co-funding sources","Medfinansieringskällor")</f>
        <v>Co-funding sources</v>
      </c>
    </row>
    <row r="1658" spans="2:13" ht="12.75" customHeight="1" x14ac:dyDescent="0.25">
      <c r="B1658" s="225"/>
      <c r="C1658" s="226"/>
      <c r="D1658" s="226"/>
      <c r="E1658" s="226"/>
      <c r="F1658" s="226"/>
      <c r="G1658" s="226"/>
      <c r="H1658" s="226"/>
      <c r="I1658" s="226"/>
      <c r="J1658" s="226"/>
      <c r="K1658" s="226"/>
      <c r="L1658" s="227"/>
      <c r="M1658" s="168">
        <f>SUM(C1658:L1658)</f>
        <v>0</v>
      </c>
    </row>
    <row r="1659" spans="2:13" ht="12.75" customHeight="1" x14ac:dyDescent="0.25">
      <c r="B1659" s="228"/>
      <c r="C1659" s="229"/>
      <c r="D1659" s="229"/>
      <c r="E1659" s="229"/>
      <c r="F1659" s="229"/>
      <c r="G1659" s="229"/>
      <c r="H1659" s="229"/>
      <c r="I1659" s="229"/>
      <c r="J1659" s="229"/>
      <c r="K1659" s="229"/>
      <c r="L1659" s="230"/>
      <c r="M1659" s="755">
        <f t="shared" ref="M1659:M1662" si="363">SUM(C1659:L1659)</f>
        <v>0</v>
      </c>
    </row>
    <row r="1660" spans="2:13" ht="12.75" customHeight="1" x14ac:dyDescent="0.25">
      <c r="B1660" s="231"/>
      <c r="C1660" s="232"/>
      <c r="D1660" s="232"/>
      <c r="E1660" s="232"/>
      <c r="F1660" s="232"/>
      <c r="G1660" s="232"/>
      <c r="H1660" s="232"/>
      <c r="I1660" s="232"/>
      <c r="J1660" s="232"/>
      <c r="K1660" s="232"/>
      <c r="L1660" s="233"/>
      <c r="M1660" s="117">
        <f t="shared" si="363"/>
        <v>0</v>
      </c>
    </row>
    <row r="1661" spans="2:13" ht="12.75" customHeight="1" x14ac:dyDescent="0.25">
      <c r="B1661" s="228"/>
      <c r="C1661" s="229"/>
      <c r="D1661" s="229"/>
      <c r="E1661" s="229"/>
      <c r="F1661" s="229"/>
      <c r="G1661" s="229"/>
      <c r="H1661" s="229"/>
      <c r="I1661" s="229"/>
      <c r="J1661" s="229"/>
      <c r="K1661" s="229"/>
      <c r="L1661" s="230"/>
      <c r="M1661" s="755">
        <f t="shared" si="363"/>
        <v>0</v>
      </c>
    </row>
    <row r="1662" spans="2:13" ht="12.75" customHeight="1" x14ac:dyDescent="0.25">
      <c r="B1662" s="93"/>
      <c r="C1662" s="232"/>
      <c r="D1662" s="232"/>
      <c r="E1662" s="232"/>
      <c r="F1662" s="232"/>
      <c r="G1662" s="232"/>
      <c r="H1662" s="232"/>
      <c r="I1662" s="232"/>
      <c r="J1662" s="232"/>
      <c r="K1662" s="232"/>
      <c r="L1662" s="233"/>
      <c r="M1662" s="117">
        <f t="shared" si="363"/>
        <v>0</v>
      </c>
    </row>
    <row r="1663" spans="2:13" ht="12.75" customHeight="1" x14ac:dyDescent="0.25">
      <c r="B1663" s="84" t="str">
        <f>IF('1. INTRO'!I$2="English","Total co-funding ","Total medfinansiering ")</f>
        <v xml:space="preserve">Total co-funding </v>
      </c>
      <c r="C1663" s="87">
        <f t="shared" ref="C1663:M1663" si="364">SUM(C1658:C1662)</f>
        <v>0</v>
      </c>
      <c r="D1663" s="87">
        <f t="shared" si="364"/>
        <v>0</v>
      </c>
      <c r="E1663" s="87">
        <f t="shared" si="364"/>
        <v>0</v>
      </c>
      <c r="F1663" s="87">
        <f t="shared" si="364"/>
        <v>0</v>
      </c>
      <c r="G1663" s="87">
        <f t="shared" si="364"/>
        <v>0</v>
      </c>
      <c r="H1663" s="87">
        <f t="shared" si="364"/>
        <v>0</v>
      </c>
      <c r="I1663" s="87">
        <f t="shared" si="364"/>
        <v>0</v>
      </c>
      <c r="J1663" s="87">
        <f t="shared" si="364"/>
        <v>0</v>
      </c>
      <c r="K1663" s="87">
        <f t="shared" si="364"/>
        <v>0</v>
      </c>
      <c r="L1663" s="87">
        <f t="shared" si="364"/>
        <v>0</v>
      </c>
      <c r="M1663" s="142">
        <f t="shared" si="364"/>
        <v>0</v>
      </c>
    </row>
    <row r="1664" spans="2:13" ht="12.75" customHeight="1" x14ac:dyDescent="0.2"/>
    <row r="1665" spans="2:13" ht="12.75" customHeight="1" x14ac:dyDescent="0.2">
      <c r="B1665" s="667" t="str">
        <f>IF('1. INTRO'!I$2="English","Calculation comments","Kalkylkommentarer")</f>
        <v>Calculation comments</v>
      </c>
    </row>
    <row r="1666" spans="2:13" ht="12.75" customHeight="1" x14ac:dyDescent="0.2">
      <c r="B1666" s="1142"/>
      <c r="C1666" s="1143"/>
      <c r="D1666" s="1143"/>
      <c r="E1666" s="1143"/>
      <c r="F1666" s="1143"/>
      <c r="G1666" s="1143"/>
      <c r="H1666" s="1143"/>
      <c r="I1666" s="1143"/>
      <c r="J1666" s="1143"/>
      <c r="K1666" s="1143"/>
      <c r="L1666" s="1143"/>
      <c r="M1666" s="1144"/>
    </row>
    <row r="1667" spans="2:13" ht="12.75" customHeight="1" x14ac:dyDescent="0.2">
      <c r="B1667" s="1145"/>
      <c r="C1667" s="1226"/>
      <c r="D1667" s="1226"/>
      <c r="E1667" s="1226"/>
      <c r="F1667" s="1226"/>
      <c r="G1667" s="1226"/>
      <c r="H1667" s="1226"/>
      <c r="I1667" s="1226"/>
      <c r="J1667" s="1226"/>
      <c r="K1667" s="1226"/>
      <c r="L1667" s="1226"/>
      <c r="M1667" s="1147"/>
    </row>
    <row r="1668" spans="2:13" ht="12.75" customHeight="1" x14ac:dyDescent="0.2">
      <c r="B1668" s="1145"/>
      <c r="C1668" s="1226"/>
      <c r="D1668" s="1226"/>
      <c r="E1668" s="1226"/>
      <c r="F1668" s="1226"/>
      <c r="G1668" s="1226"/>
      <c r="H1668" s="1226"/>
      <c r="I1668" s="1226"/>
      <c r="J1668" s="1226"/>
      <c r="K1668" s="1226"/>
      <c r="L1668" s="1226"/>
      <c r="M1668" s="1147"/>
    </row>
    <row r="1669" spans="2:13" ht="12.75" customHeight="1" x14ac:dyDescent="0.2">
      <c r="B1669" s="1145"/>
      <c r="C1669" s="1226"/>
      <c r="D1669" s="1226"/>
      <c r="E1669" s="1226"/>
      <c r="F1669" s="1226"/>
      <c r="G1669" s="1226"/>
      <c r="H1669" s="1226"/>
      <c r="I1669" s="1226"/>
      <c r="J1669" s="1226"/>
      <c r="K1669" s="1226"/>
      <c r="L1669" s="1226"/>
      <c r="M1669" s="1147"/>
    </row>
    <row r="1670" spans="2:13" ht="12.75" customHeight="1" x14ac:dyDescent="0.2">
      <c r="B1670" s="1148"/>
      <c r="C1670" s="1149"/>
      <c r="D1670" s="1149"/>
      <c r="E1670" s="1149"/>
      <c r="F1670" s="1149"/>
      <c r="G1670" s="1149"/>
      <c r="H1670" s="1149"/>
      <c r="I1670" s="1149"/>
      <c r="J1670" s="1149"/>
      <c r="K1670" s="1149"/>
      <c r="L1670" s="1149"/>
      <c r="M1670" s="1150"/>
    </row>
    <row r="1672" spans="2:13" s="3" customFormat="1" ht="12.75" customHeight="1" x14ac:dyDescent="0.25">
      <c r="B1672" s="313" t="str">
        <f>'3. PARTNER'!C$4</f>
        <v xml:space="preserve">Project: </v>
      </c>
      <c r="C1672" s="1062" t="str">
        <f>'3. PARTNER'!D$4</f>
        <v/>
      </c>
      <c r="D1672" s="1001"/>
      <c r="E1672" s="1001"/>
      <c r="F1672" s="1001"/>
      <c r="G1672" s="1001"/>
      <c r="H1672" s="1001"/>
      <c r="I1672" s="1001"/>
      <c r="J1672" s="1001"/>
      <c r="K1672" s="1001"/>
      <c r="L1672" s="1001"/>
      <c r="M1672" s="1001"/>
    </row>
    <row r="1673" spans="2:13" s="3" customFormat="1" ht="13.2" x14ac:dyDescent="0.25">
      <c r="B1673" s="313" t="str">
        <f>'3. PARTNER'!C$5</f>
        <v xml:space="preserve">Calculation for: </v>
      </c>
      <c r="C1673" s="1062" t="str">
        <f>'3. PARTNER'!D$5</f>
        <v>APPLICATION</v>
      </c>
      <c r="D1673" s="1001"/>
      <c r="E1673" s="268"/>
      <c r="F1673" s="268"/>
      <c r="G1673" s="268"/>
      <c r="H1673" s="268"/>
      <c r="I1673" s="268"/>
      <c r="J1673" s="268"/>
      <c r="K1673" s="268"/>
      <c r="L1673" s="268"/>
      <c r="M1673" s="268"/>
    </row>
    <row r="1674" spans="2:13" s="3" customFormat="1" ht="13.2" x14ac:dyDescent="0.25">
      <c r="B1674" s="35" t="str">
        <f>'3. PARTNER'!C$6</f>
        <v xml:space="preserve">Project leader: </v>
      </c>
      <c r="C1674" s="1062" t="str">
        <f>'3. PARTNER'!D$6</f>
        <v/>
      </c>
      <c r="D1674" s="1001"/>
      <c r="E1674" s="1001"/>
      <c r="F1674" s="1001"/>
      <c r="G1674" s="1001"/>
      <c r="H1674" s="1001"/>
      <c r="I1674" s="1001"/>
      <c r="J1674" s="1001"/>
      <c r="K1674" s="1001"/>
      <c r="L1674" s="1001"/>
      <c r="M1674" s="1001"/>
    </row>
    <row r="1675" spans="2:13" s="3" customFormat="1" ht="13.2" x14ac:dyDescent="0.25">
      <c r="B1675" s="313" t="str">
        <f>'5. PERSON'!B$7</f>
        <v xml:space="preserve">Amounts in: </v>
      </c>
      <c r="C1675" s="655" t="str">
        <f>'5. PERSON'!C$7</f>
        <v>SEK</v>
      </c>
      <c r="D1675" s="268"/>
      <c r="E1675" s="268"/>
      <c r="F1675" s="268"/>
      <c r="G1675" s="234"/>
      <c r="H1675" s="234"/>
      <c r="I1675" s="270"/>
      <c r="J1675" s="270"/>
      <c r="K1675" s="270"/>
      <c r="L1675" s="270"/>
      <c r="M1675" s="270"/>
    </row>
    <row r="1676" spans="2:13" s="3" customFormat="1" ht="13.2" x14ac:dyDescent="0.25">
      <c r="B1676" s="313"/>
      <c r="C1676" s="1053" t="str">
        <f>'3. PARTNER'!D$7</f>
        <v>Other basic data about the project is in sheet 2.</v>
      </c>
      <c r="D1676" s="1001"/>
      <c r="E1676" s="1001"/>
      <c r="F1676" s="1001"/>
      <c r="G1676" s="234"/>
      <c r="H1676" s="234"/>
      <c r="I1676" s="270"/>
      <c r="J1676" s="270"/>
      <c r="K1676" s="270"/>
      <c r="L1676" s="251" t="s">
        <v>4</v>
      </c>
      <c r="M1676" s="270"/>
    </row>
    <row r="1677" spans="2:13" ht="12.75" customHeight="1" x14ac:dyDescent="0.2">
      <c r="J1677" s="252" t="s">
        <v>322</v>
      </c>
      <c r="K1677" s="252" t="s">
        <v>323</v>
      </c>
      <c r="L1677" s="252" t="str">
        <f>IF('1. INTRO'!I$2="English","months","månader")</f>
        <v>months</v>
      </c>
    </row>
    <row r="1678" spans="2:13" s="3" customFormat="1" ht="13.8" x14ac:dyDescent="0.25">
      <c r="B1678" s="157" t="str">
        <f>IF('1. INTRO'!I$2="English","Project costs","Projektkostnader")</f>
        <v>Project costs</v>
      </c>
      <c r="C1678" s="668" t="str">
        <f>A46</f>
        <v>415S</v>
      </c>
      <c r="D1678" s="668" t="str">
        <f>B46</f>
        <v>Ecology S</v>
      </c>
      <c r="E1678" s="37"/>
      <c r="G1678" s="37"/>
      <c r="H1678" s="37"/>
      <c r="I1678" s="37"/>
      <c r="J1678" s="643"/>
      <c r="K1678" s="643"/>
      <c r="L1678" s="642">
        <f>SUMIF('5. PERSON'!$B$17:$B$192,$C1678,'5. PERSON'!AE$17:AE$192)</f>
        <v>0</v>
      </c>
      <c r="M1678" s="680" t="s">
        <v>330</v>
      </c>
    </row>
    <row r="1679" spans="2:13" s="3" customFormat="1" ht="6" customHeight="1" x14ac:dyDescent="0.25">
      <c r="B1679" s="57"/>
      <c r="C1679" s="37"/>
      <c r="D1679" s="37"/>
      <c r="E1679" s="37"/>
      <c r="F1679" s="37"/>
      <c r="G1679" s="37"/>
      <c r="H1679" s="37"/>
      <c r="I1679" s="37"/>
      <c r="J1679" s="37"/>
      <c r="K1679" s="37"/>
      <c r="L1679" s="37"/>
      <c r="M1679" s="37"/>
    </row>
    <row r="1680" spans="2:13" s="3" customFormat="1" ht="13.2" x14ac:dyDescent="0.25">
      <c r="B1680" s="110" t="str">
        <f>IF('1. INTRO'!I$2="English","Costs to be covered by funding body","Kostnader att täckas av finansiär")</f>
        <v>Costs to be covered by funding body</v>
      </c>
      <c r="C1680" s="111">
        <f>'5. PERSON'!G$15</f>
        <v>1900</v>
      </c>
      <c r="D1680" s="111" t="str">
        <f>'5. PERSON'!H$15</f>
        <v/>
      </c>
      <c r="E1680" s="111" t="str">
        <f>'5. PERSON'!I$15</f>
        <v/>
      </c>
      <c r="F1680" s="111" t="str">
        <f>'5. PERSON'!J$15</f>
        <v/>
      </c>
      <c r="G1680" s="111" t="str">
        <f>'5. PERSON'!K$15</f>
        <v/>
      </c>
      <c r="H1680" s="111" t="str">
        <f>'5. PERSON'!L$15</f>
        <v/>
      </c>
      <c r="I1680" s="111" t="str">
        <f>'5. PERSON'!M$15</f>
        <v/>
      </c>
      <c r="J1680" s="111" t="str">
        <f>'5. PERSON'!N$15</f>
        <v/>
      </c>
      <c r="K1680" s="111" t="str">
        <f>'5. PERSON'!O$15</f>
        <v/>
      </c>
      <c r="L1680" s="111" t="str">
        <f>'5. PERSON'!P$15</f>
        <v/>
      </c>
      <c r="M1680" s="112" t="s">
        <v>2</v>
      </c>
    </row>
    <row r="1681" spans="2:15" s="3" customFormat="1" ht="12.75" customHeight="1" x14ac:dyDescent="0.25">
      <c r="B1681" s="750" t="str">
        <f>IF('1. INTRO'!I$2="English","Salary including social costs (LKP)","Lön inklusive LKP")</f>
        <v>Salary including social costs (LKP)</v>
      </c>
      <c r="C1681" s="751">
        <f>IF('2. START'!$C$14&gt;0,SUMIF('5. PERSON'!$B$17:$B$192,$C1678,'5. PERSON'!DN$17:DN$192),SUMIF('5. PERSON'!$B$17:$B$192,$C1678,'5. PERSON'!AT$17:AT$192))</f>
        <v>0</v>
      </c>
      <c r="D1681" s="751">
        <f>IF('2. START'!$C$14&gt;0,SUMIF('5. PERSON'!$B$17:$B$192,$C1678,'5. PERSON'!DO$17:DO$192),SUMIF('5. PERSON'!$B$17:$B$192,$C1678,'5. PERSON'!AU$17:AU$192))</f>
        <v>0</v>
      </c>
      <c r="E1681" s="751">
        <f>IF('2. START'!$C$14&gt;0,SUMIF('5. PERSON'!$B$17:$B$192,$C1678,'5. PERSON'!DP$17:DP$192),SUMIF('5. PERSON'!$B$17:$B$192,$C1678,'5. PERSON'!AV$17:AV$192))</f>
        <v>0</v>
      </c>
      <c r="F1681" s="751">
        <f>IF('2. START'!$C$14&gt;0,SUMIF('5. PERSON'!$B$17:$B$192,$C1678,'5. PERSON'!DQ$17:DQ$192),SUMIF('5. PERSON'!$B$17:$B$192,$C1678,'5. PERSON'!AW$17:AW$192))</f>
        <v>0</v>
      </c>
      <c r="G1681" s="751">
        <f>IF('2. START'!$C$14&gt;0,SUMIF('5. PERSON'!$B$17:$B$192,$C1678,'5. PERSON'!DR$17:DR$192),SUMIF('5. PERSON'!$B$17:$B$192,$C1678,'5. PERSON'!AX$17:AX$192))</f>
        <v>0</v>
      </c>
      <c r="H1681" s="751">
        <f>IF('2. START'!$C$14&gt;0,SUMIF('5. PERSON'!$B$17:$B$192,$C1678,'5. PERSON'!DS$17:DS$192),SUMIF('5. PERSON'!$B$17:$B$192,$C1678,'5. PERSON'!AY$17:AY$192))</f>
        <v>0</v>
      </c>
      <c r="I1681" s="751">
        <f>IF('2. START'!$C$14&gt;0,SUMIF('5. PERSON'!$B$17:$B$192,$C1678,'5. PERSON'!DT$17:DT$192),SUMIF('5. PERSON'!$B$17:$B$192,$C1678,'5. PERSON'!AZ$17:AZ$192))</f>
        <v>0</v>
      </c>
      <c r="J1681" s="751">
        <f>IF('2. START'!$C$14&gt;0,SUMIF('5. PERSON'!$B$17:$B$192,$C1678,'5. PERSON'!DU$17:DU$192),SUMIF('5. PERSON'!$B$17:$B$192,$C1678,'5. PERSON'!BA$17:BA$192))</f>
        <v>0</v>
      </c>
      <c r="K1681" s="751">
        <f>IF('2. START'!$C$14&gt;0,SUMIF('5. PERSON'!$B$17:$B$192,$C1678,'5. PERSON'!DV$17:DV$192),SUMIF('5. PERSON'!$B$17:$B$192,$C1678,'5. PERSON'!BB$17:BB$192))</f>
        <v>0</v>
      </c>
      <c r="L1681" s="751">
        <f>IF('2. START'!$C$14&gt;0,SUMIF('5. PERSON'!$B$17:$B$192,$C1678,'5. PERSON'!DW$17:DW$192),SUMIF('5. PERSON'!$B$17:$B$192,$C1678,'5. PERSON'!BC$17:BC$192))</f>
        <v>0</v>
      </c>
      <c r="M1681" s="752">
        <f t="shared" ref="M1681:M1686" si="365">SUM(C1681:L1681)</f>
        <v>0</v>
      </c>
      <c r="O1681" s="4"/>
    </row>
    <row r="1682" spans="2:15" s="3" customFormat="1" ht="12.75" customHeight="1" x14ac:dyDescent="0.25">
      <c r="B1682" s="80" t="str">
        <f>IF('1. INTRO'!I$2="English","Operating","Drift")</f>
        <v>Operating</v>
      </c>
      <c r="C1682" s="116">
        <f>SUMIF('6. OPERATION'!$B$17:$B$149,$C1678,'6. OPERATION'!W$17:W$149)</f>
        <v>0</v>
      </c>
      <c r="D1682" s="116">
        <f>SUMIF('6. OPERATION'!$B$17:$B$149,$C1678,'6. OPERATION'!X$17:X$149)</f>
        <v>0</v>
      </c>
      <c r="E1682" s="116">
        <f>SUMIF('6. OPERATION'!$B$17:$B$149,$C1678,'6. OPERATION'!Y$17:Y$149)</f>
        <v>0</v>
      </c>
      <c r="F1682" s="116">
        <f>SUMIF('6. OPERATION'!$B$17:$B$149,$C1678,'6. OPERATION'!Z$17:Z$149)</f>
        <v>0</v>
      </c>
      <c r="G1682" s="116">
        <f>SUMIF('6. OPERATION'!$B$17:$B$149,$C1678,'6. OPERATION'!AA$17:AA$149)</f>
        <v>0</v>
      </c>
      <c r="H1682" s="116">
        <f>SUMIF('6. OPERATION'!$B$17:$B$149,$C1678,'6. OPERATION'!AB$17:AB$149)</f>
        <v>0</v>
      </c>
      <c r="I1682" s="116">
        <f>SUMIF('6. OPERATION'!$B$17:$B$149,$C1678,'6. OPERATION'!AC$17:AC$149)</f>
        <v>0</v>
      </c>
      <c r="J1682" s="116">
        <f>SUMIF('6. OPERATION'!$B$17:$B$149,$C1678,'6. OPERATION'!AD$17:AD$149)</f>
        <v>0</v>
      </c>
      <c r="K1682" s="116">
        <f>SUMIF('6. OPERATION'!$B$17:$B$149,$C1678,'6. OPERATION'!AE$17:AE$149)</f>
        <v>0</v>
      </c>
      <c r="L1682" s="116">
        <f>SUMIF('6. OPERATION'!$B$17:$B$149,$C1678,'6. OPERATION'!AF$17:AF$149)</f>
        <v>0</v>
      </c>
      <c r="M1682" s="117">
        <f t="shared" si="365"/>
        <v>0</v>
      </c>
    </row>
    <row r="1683" spans="2:15" s="3" customFormat="1" ht="13.2" x14ac:dyDescent="0.25">
      <c r="B1683" s="753" t="str">
        <f>IF('1. INTRO'!I$2="English","Equipment","Utrustning")</f>
        <v>Equipment</v>
      </c>
      <c r="C1683" s="754">
        <f>SUMIF('7. INVEST'!$B$17:$B$49,$C1678,'7. INVEST'!W$17:W$49)</f>
        <v>0</v>
      </c>
      <c r="D1683" s="754">
        <f>SUMIF('7. INVEST'!$B$17:$B$49,$C1678,'7. INVEST'!X$17:X$49)</f>
        <v>0</v>
      </c>
      <c r="E1683" s="754">
        <f>SUMIF('7. INVEST'!$B$17:$B$49,$C1678,'7. INVEST'!Y$17:Y$49)</f>
        <v>0</v>
      </c>
      <c r="F1683" s="754">
        <f>SUMIF('7. INVEST'!$B$17:$B$49,$C1678,'7. INVEST'!Z$17:Z$49)</f>
        <v>0</v>
      </c>
      <c r="G1683" s="754">
        <f>SUMIF('7. INVEST'!$B$17:$B$49,$C1678,'7. INVEST'!AA$17:AA$49)</f>
        <v>0</v>
      </c>
      <c r="H1683" s="754">
        <f>SUMIF('7. INVEST'!$B$17:$B$49,$C1678,'7. INVEST'!AB$17:AB$49)</f>
        <v>0</v>
      </c>
      <c r="I1683" s="754">
        <f>SUMIF('7. INVEST'!$B$17:$B$49,$C1678,'7. INVEST'!AC$17:AC$49)</f>
        <v>0</v>
      </c>
      <c r="J1683" s="754">
        <f>SUMIF('7. INVEST'!$B$17:$B$49,$C1678,'7. INVEST'!AD$17:AD$49)</f>
        <v>0</v>
      </c>
      <c r="K1683" s="754">
        <f>SUMIF('7. INVEST'!$B$17:$B$49,$C1678,'7. INVEST'!AE$17:AE$49)</f>
        <v>0</v>
      </c>
      <c r="L1683" s="754">
        <f>SUMIF('7. INVEST'!$B$17:$B$49,$C1678,'7. INVEST'!AF$17:AF$49)</f>
        <v>0</v>
      </c>
      <c r="M1683" s="755">
        <f t="shared" si="365"/>
        <v>0</v>
      </c>
    </row>
    <row r="1684" spans="2:15" s="3" customFormat="1" ht="13.2" x14ac:dyDescent="0.25">
      <c r="B1684" s="121" t="str">
        <f>IF('1. INTRO'!I$2="English",(IF('2. START'!C$11="NO","Facility accepted as direct cost by funding body","Facility")),IF('2. START'!C$11="NO","Lokal accepterad som direkt kostnad av finansiär","Lokal"))</f>
        <v>Facility</v>
      </c>
      <c r="C1684" s="116">
        <f>IF('2. START'!$C$11="NO",SUMIF('8. FACILIT'!$B$18:$B$50,$C1678,'8. FACILIT'!T$18:T$50),SUMIF('5. PERSON'!$B$17:$B$192,$C1678,'5. PERSON'!CP$17:CP$192)+SUMIF('6. OPERATION'!$B$17:$B$149,$C1678,'6. OPERATION'!BS$17:BS$149)+SUMIF('8. FACILIT'!$B$18:$B$50,$C1678,'8. FACILIT'!T$18:T$50))</f>
        <v>0</v>
      </c>
      <c r="D1684" s="116">
        <f>IF('2. START'!$C$11="NO",SUMIF('8. FACILIT'!$B$18:$B$50,$C1678,'8. FACILIT'!U$18:U$50),SUMIF('5. PERSON'!$B$17:$B$192,$C1678,'5. PERSON'!CQ$17:CQ$192)+SUMIF('6. OPERATION'!$B$17:$B$149,$C1678,'6. OPERATION'!BT$17:BT$149)+SUMIF('8. FACILIT'!$B$18:$B$50,$C1678,'8. FACILIT'!U$18:U$50))</f>
        <v>0</v>
      </c>
      <c r="E1684" s="116">
        <f>IF('2. START'!$C$11="NO",SUMIF('8. FACILIT'!$B$18:$B$50,$C1678,'8. FACILIT'!V$18:V$50),SUMIF('5. PERSON'!$B$17:$B$192,$C1678,'5. PERSON'!CR$17:CR$192)+SUMIF('6. OPERATION'!$B$17:$B$149,$C1678,'6. OPERATION'!BU$17:BU$149)+SUMIF('8. FACILIT'!$B$18:$B$50,$C1678,'8. FACILIT'!V$18:V$50))</f>
        <v>0</v>
      </c>
      <c r="F1684" s="116">
        <f>IF('2. START'!$C$11="NO",SUMIF('8. FACILIT'!$B$18:$B$50,$C1678,'8. FACILIT'!W$18:W$50),SUMIF('5. PERSON'!$B$17:$B$192,$C1678,'5. PERSON'!CS$17:CS$192)+SUMIF('6. OPERATION'!$B$17:$B$149,$C1678,'6. OPERATION'!BV$17:BV$149)+SUMIF('8. FACILIT'!$B$18:$B$50,$C1678,'8. FACILIT'!W$18:W$50))</f>
        <v>0</v>
      </c>
      <c r="G1684" s="116">
        <f>IF('2. START'!$C$11="NO",SUMIF('8. FACILIT'!$B$18:$B$50,$C1678,'8. FACILIT'!X$18:X$50),SUMIF('5. PERSON'!$B$17:$B$192,$C1678,'5. PERSON'!CT$17:CT$192)+SUMIF('6. OPERATION'!$B$17:$B$149,$C1678,'6. OPERATION'!BW$17:BW$149)+SUMIF('8. FACILIT'!$B$18:$B$50,$C1678,'8. FACILIT'!X$18:X$50))</f>
        <v>0</v>
      </c>
      <c r="H1684" s="116">
        <f>IF('2. START'!$C$11="NO",SUMIF('8. FACILIT'!$B$18:$B$50,$C1678,'8. FACILIT'!Y$18:Y$50),SUMIF('5. PERSON'!$B$17:$B$192,$C1678,'5. PERSON'!CU$17:CU$192)+SUMIF('6. OPERATION'!$B$17:$B$149,$C1678,'6. OPERATION'!BX$17:BX$149)+SUMIF('8. FACILIT'!$B$18:$B$50,$C1678,'8. FACILIT'!Y$18:Y$50))</f>
        <v>0</v>
      </c>
      <c r="I1684" s="116">
        <f>IF('2. START'!$C$11="NO",SUMIF('8. FACILIT'!$B$18:$B$50,$C1678,'8. FACILIT'!Z$18:Z$50),SUMIF('5. PERSON'!$B$17:$B$192,$C1678,'5. PERSON'!CV$17:CV$192)+SUMIF('6. OPERATION'!$B$17:$B$149,$C1678,'6. OPERATION'!BY$17:BY$149)+SUMIF('8. FACILIT'!$B$18:$B$50,$C1678,'8. FACILIT'!Z$18:Z$50))</f>
        <v>0</v>
      </c>
      <c r="J1684" s="116">
        <f>IF('2. START'!$C$11="NO",SUMIF('8. FACILIT'!$B$18:$B$50,$C1678,'8. FACILIT'!AA$18:AA$50),SUMIF('5. PERSON'!$B$17:$B$192,$C1678,'5. PERSON'!CW$17:CW$192)+SUMIF('6. OPERATION'!$B$17:$B$149,$C1678,'6. OPERATION'!BZ$17:BZ$149)+SUMIF('8. FACILIT'!$B$18:$B$50,$C1678,'8. FACILIT'!AA$18:AA$50))</f>
        <v>0</v>
      </c>
      <c r="K1684" s="116">
        <f>IF('2. START'!$C$11="NO",SUMIF('8. FACILIT'!$B$18:$B$50,$C1678,'8. FACILIT'!AB$18:AB$50),SUMIF('5. PERSON'!$B$17:$B$192,$C1678,'5. PERSON'!CX$17:CX$192)+SUMIF('6. OPERATION'!$B$17:$B$149,$C1678,'6. OPERATION'!CA$17:CA$149)+SUMIF('8. FACILIT'!$B$18:$B$50,$C1678,'8. FACILIT'!AB$18:AB$50))</f>
        <v>0</v>
      </c>
      <c r="L1684" s="116">
        <f>IF('2. START'!$C$11="NO",SUMIF('8. FACILIT'!$B$18:$B$50,$C1678,'8. FACILIT'!AC$18:AC$50),SUMIF('5. PERSON'!$B$17:$B$192,$C1678,'5. PERSON'!CY$17:CY$192)+SUMIF('6. OPERATION'!$B$17:$B$149,$C1678,'6. OPERATION'!CB$17:CB$149)+SUMIF('8. FACILIT'!$B$18:$B$50,$C1678,'8. FACILIT'!AC$18:AC$50))</f>
        <v>0</v>
      </c>
      <c r="M1684" s="117">
        <f t="shared" si="365"/>
        <v>0</v>
      </c>
    </row>
    <row r="1685" spans="2:15" s="3" customFormat="1" ht="13.2" x14ac:dyDescent="0.25">
      <c r="B1685" s="756" t="str">
        <f>IF('1. INTRO'!I$2="English",(IF('2. START'!C$11="NO","Indirect and facility charge accepted as OH by funding body","Indirect")),IF('2. START'!C$11="NO","Indirekt och lokalpåslag accepterade som OH av finansiär","Indirekt"))</f>
        <v>Indirect</v>
      </c>
      <c r="C1685" s="757">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757">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757">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757">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757">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757">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757">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757">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757">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757">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755">
        <f t="shared" si="365"/>
        <v>0</v>
      </c>
    </row>
    <row r="1686" spans="2:15" s="3" customFormat="1" ht="13.2" x14ac:dyDescent="0.25">
      <c r="B1686" s="124" t="s">
        <v>113</v>
      </c>
      <c r="C1686" s="102">
        <f>SUM(C1681:C1685)</f>
        <v>0</v>
      </c>
      <c r="D1686" s="102">
        <f t="shared" ref="D1686:L1686" si="366">SUM(D1681:D1685)</f>
        <v>0</v>
      </c>
      <c r="E1686" s="102">
        <f t="shared" si="366"/>
        <v>0</v>
      </c>
      <c r="F1686" s="102">
        <f t="shared" si="366"/>
        <v>0</v>
      </c>
      <c r="G1686" s="102">
        <f t="shared" si="366"/>
        <v>0</v>
      </c>
      <c r="H1686" s="102">
        <f t="shared" si="366"/>
        <v>0</v>
      </c>
      <c r="I1686" s="102">
        <f t="shared" si="366"/>
        <v>0</v>
      </c>
      <c r="J1686" s="102">
        <f t="shared" si="366"/>
        <v>0</v>
      </c>
      <c r="K1686" s="102">
        <f t="shared" si="366"/>
        <v>0</v>
      </c>
      <c r="L1686" s="102">
        <f t="shared" si="366"/>
        <v>0</v>
      </c>
      <c r="M1686" s="125">
        <f t="shared" si="365"/>
        <v>0</v>
      </c>
    </row>
    <row r="1687" spans="2:15" s="3" customFormat="1" ht="6" customHeight="1" x14ac:dyDescent="0.25">
      <c r="B1687" s="126"/>
      <c r="C1687" s="127"/>
      <c r="D1687" s="127"/>
      <c r="E1687" s="127"/>
      <c r="F1687" s="127"/>
      <c r="G1687" s="127"/>
      <c r="H1687" s="127"/>
      <c r="I1687" s="127"/>
      <c r="J1687" s="127"/>
      <c r="K1687" s="127"/>
      <c r="L1687" s="127"/>
      <c r="M1687" s="128"/>
    </row>
    <row r="1688" spans="2:15" s="3" customFormat="1" ht="13.2" x14ac:dyDescent="0.25">
      <c r="B1688" s="129" t="str">
        <f>IF('1. INTRO'!I$2="English","Costs to be co-funded","Kostnader att medfinansiera")</f>
        <v>Costs to be co-funded</v>
      </c>
      <c r="C1688" s="86"/>
      <c r="D1688" s="86"/>
      <c r="E1688" s="86"/>
      <c r="F1688" s="86"/>
      <c r="G1688" s="86"/>
      <c r="H1688" s="86"/>
      <c r="I1688" s="86"/>
      <c r="J1688" s="86"/>
      <c r="K1688" s="86"/>
      <c r="L1688" s="86"/>
      <c r="M1688" s="130"/>
    </row>
    <row r="1689" spans="2:15" s="3" customFormat="1" ht="13.2" x14ac:dyDescent="0.25">
      <c r="B1689" s="758" t="str">
        <f>IF('1. INTRO'!I$2="English",(IF('2. START'!C$11="NO","Indirect and facility charge not accepted as OH by funding body","")),IF('2. START'!C$11="NO","Indirekt och lokalpåslag inte accepterade som OH av finansiär",""))</f>
        <v/>
      </c>
      <c r="C1689" s="759">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759">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759">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759">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759">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759">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759">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759">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759">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759">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752">
        <f t="shared" ref="M1689:M1695" si="367">SUM(C1689:L1689)</f>
        <v>0</v>
      </c>
    </row>
    <row r="1690" spans="2:15" s="3" customFormat="1" ht="12.75" customHeight="1" x14ac:dyDescent="0.25">
      <c r="B1690" s="132" t="str">
        <f>IF('1. INTRO'!I$2="English",(IF('2. START'!C$14&gt;0,"Social costs (LKP) not accepted by funding body","")),IF('2. START'!C$14&gt;0,"LKP som inte accepteras av finansiär",""))</f>
        <v/>
      </c>
      <c r="C1690" s="133">
        <f>IF('2. START'!$C$14&gt;0,SUMIF('5. PERSON'!$B$17:$B$192,$C1678,'5. PERSON'!AT$17:AT$192)-SUMIF('5. PERSON'!$B$17:$B$192,$C1678,'5. PERSON'!DN$17:DN$192),0)</f>
        <v>0</v>
      </c>
      <c r="D1690" s="133">
        <f>IF('2. START'!$C$14&gt;0,SUMIF('5. PERSON'!$B$17:$B$192,$C1678,'5. PERSON'!AU$17:AU$192)-SUMIF('5. PERSON'!$B$17:$B$192,$C1678,'5. PERSON'!DO$17:DO$192),0)</f>
        <v>0</v>
      </c>
      <c r="E1690" s="133">
        <f>IF('2. START'!$C$14&gt;0,SUMIF('5. PERSON'!$B$17:$B$192,$C1678,'5. PERSON'!AV$17:AV$192)-SUMIF('5. PERSON'!$B$17:$B$192,$C1678,'5. PERSON'!DP$17:DP$192),0)</f>
        <v>0</v>
      </c>
      <c r="F1690" s="133">
        <f>IF('2. START'!$C$14&gt;0,SUMIF('5. PERSON'!$B$17:$B$192,$C1678,'5. PERSON'!AW$17:AW$192)-SUMIF('5. PERSON'!$B$17:$B$192,$C1678,'5. PERSON'!DQ$17:DQ$192),0)</f>
        <v>0</v>
      </c>
      <c r="G1690" s="133">
        <f>IF('2. START'!$C$14&gt;0,SUMIF('5. PERSON'!$B$17:$B$192,$C1678,'5. PERSON'!AX$17:AX$192)-SUMIF('5. PERSON'!$B$17:$B$192,$C1678,'5. PERSON'!DR$17:DR$192),0)</f>
        <v>0</v>
      </c>
      <c r="H1690" s="133">
        <f>IF('2. START'!$C$14&gt;0,SUMIF('5. PERSON'!$B$17:$B$192,$C1678,'5. PERSON'!AY$17:AY$192)-SUMIF('5. PERSON'!$B$17:$B$192,$C1678,'5. PERSON'!DS$17:DS$192),0)</f>
        <v>0</v>
      </c>
      <c r="I1690" s="133">
        <f>IF('2. START'!$C$14&gt;0,SUMIF('5. PERSON'!$B$17:$B$192,$C1678,'5. PERSON'!AZ$17:AZ$192)-SUMIF('5. PERSON'!$B$17:$B$192,$C1678,'5. PERSON'!DT$17:DT$192),0)</f>
        <v>0</v>
      </c>
      <c r="J1690" s="133">
        <f>IF('2. START'!$C$14&gt;0,SUMIF('5. PERSON'!$B$17:$B$192,$C1678,'5. PERSON'!BA$17:BA$192)-SUMIF('5. PERSON'!$B$17:$B$192,$C1678,'5. PERSON'!DU$17:DU$192),0)</f>
        <v>0</v>
      </c>
      <c r="K1690" s="133">
        <f>IF('2. START'!$C$14&gt;0,SUMIF('5. PERSON'!$B$17:$B$192,$C1678,'5. PERSON'!BB$17:BB$192)-SUMIF('5. PERSON'!$B$17:$B$192,$C1678,'5. PERSON'!DV$17:DV$192),0)</f>
        <v>0</v>
      </c>
      <c r="L1690" s="133">
        <f>IF('2. START'!$C$14&gt;0,SUMIF('5. PERSON'!$B$17:$B$192,$C1678,'5. PERSON'!BC$17:BC$192)-SUMIF('5. PERSON'!$B$17:$B$192,$C1678,'5. PERSON'!DW$17:DW$192),0)</f>
        <v>0</v>
      </c>
      <c r="M1690" s="117">
        <f t="shared" si="367"/>
        <v>0</v>
      </c>
    </row>
    <row r="1691" spans="2:15" s="3" customFormat="1" ht="12.75" customHeight="1" x14ac:dyDescent="0.25">
      <c r="B1691" s="753" t="str">
        <f>IF('1. INTRO'!I$2="English",(IF('5. PERSON'!BP$193&gt;0,"Salary including social costs (LKP)","")),IF('5. PERSON'!BP$193&gt;0,"Lön inklusive LKP",""))</f>
        <v/>
      </c>
      <c r="C1691" s="760">
        <f>SUMIF('5. PERSON'!$B$17:$B$192,$C1678,'5. PERSON'!BF$17:BF$192)</f>
        <v>0</v>
      </c>
      <c r="D1691" s="760">
        <f>SUMIF('5. PERSON'!$B$17:$B$192,$C1678,'5. PERSON'!BG$17:BG$192)</f>
        <v>0</v>
      </c>
      <c r="E1691" s="760">
        <f>SUMIF('5. PERSON'!$B$17:$B$192,$C1678,'5. PERSON'!BH$17:BH$192)</f>
        <v>0</v>
      </c>
      <c r="F1691" s="760">
        <f>SUMIF('5. PERSON'!$B$17:$B$192,$C1678,'5. PERSON'!BI$17:BI$192)</f>
        <v>0</v>
      </c>
      <c r="G1691" s="760">
        <f>SUMIF('5. PERSON'!$B$17:$B$192,$C1678,'5. PERSON'!BJ$17:BJ$192)</f>
        <v>0</v>
      </c>
      <c r="H1691" s="760">
        <f>SUMIF('5. PERSON'!$B$17:$B$192,$C1678,'5. PERSON'!BK$17:BK$192)</f>
        <v>0</v>
      </c>
      <c r="I1691" s="760">
        <f>SUMIF('5. PERSON'!$B$17:$B$192,$C1678,'5. PERSON'!BL$17:BL$192)</f>
        <v>0</v>
      </c>
      <c r="J1691" s="760">
        <f>SUMIF('5. PERSON'!$B$17:$B$192,$C1678,'5. PERSON'!BM$17:BM$192)</f>
        <v>0</v>
      </c>
      <c r="K1691" s="760">
        <f>SUMIF('5. PERSON'!$B$17:$B$192,$C1678,'5. PERSON'!BN$17:BN$192)</f>
        <v>0</v>
      </c>
      <c r="L1691" s="760">
        <f>SUMIF('5. PERSON'!$B$17:$B$192,$C1678,'5. PERSON'!BO$17:BO$192)</f>
        <v>0</v>
      </c>
      <c r="M1691" s="755">
        <f t="shared" si="367"/>
        <v>0</v>
      </c>
    </row>
    <row r="1692" spans="2:15" s="3" customFormat="1" ht="13.2" x14ac:dyDescent="0.25">
      <c r="B1692" s="80" t="str">
        <f>IF('1. INTRO'!I$2="English",(IF('6. OPERATION'!AS$150&gt;0,"Operating","")),IF('6. OPERATION'!AS$150&gt;0,"Drift",""))</f>
        <v/>
      </c>
      <c r="C1692" s="135">
        <f>SUMIF('6. OPERATION'!$B$17:$B$149,$C1678,'6. OPERATION'!AI$17:AI$149)</f>
        <v>0</v>
      </c>
      <c r="D1692" s="135">
        <f>SUMIF('6. OPERATION'!$B$17:$B$149,$C1678,'6. OPERATION'!AJ$17:AJ$149)</f>
        <v>0</v>
      </c>
      <c r="E1692" s="135">
        <f>SUMIF('6. OPERATION'!$B$17:$B$149,$C1678,'6. OPERATION'!AK$17:AK$149)</f>
        <v>0</v>
      </c>
      <c r="F1692" s="135">
        <f>SUMIF('6. OPERATION'!$B$17:$B$149,$C1678,'6. OPERATION'!AL$17:AL$149)</f>
        <v>0</v>
      </c>
      <c r="G1692" s="135">
        <f>SUMIF('6. OPERATION'!$B$17:$B$149,$C1678,'6. OPERATION'!AM$17:AM$149)</f>
        <v>0</v>
      </c>
      <c r="H1692" s="135">
        <f>SUMIF('6. OPERATION'!$B$17:$B$149,$C1678,'6. OPERATION'!AN$17:AN$149)</f>
        <v>0</v>
      </c>
      <c r="I1692" s="135">
        <f>SUMIF('6. OPERATION'!$B$17:$B$149,$C1678,'6. OPERATION'!AO$17:AO$149)</f>
        <v>0</v>
      </c>
      <c r="J1692" s="135">
        <f>SUMIF('6. OPERATION'!$B$17:$B$149,$C1678,'6. OPERATION'!AP$17:AP$149)</f>
        <v>0</v>
      </c>
      <c r="K1692" s="135">
        <f>SUMIF('6. OPERATION'!$B$17:$B$149,$C1678,'6. OPERATION'!AQ$17:AQ$149)</f>
        <v>0</v>
      </c>
      <c r="L1692" s="135">
        <f>SUMIF('6. OPERATION'!$B$17:$B$149,$C1678,'6. OPERATION'!AR$17:AR$149)</f>
        <v>0</v>
      </c>
      <c r="M1692" s="117">
        <f t="shared" si="367"/>
        <v>0</v>
      </c>
    </row>
    <row r="1693" spans="2:15" s="3" customFormat="1" ht="13.2" x14ac:dyDescent="0.25">
      <c r="B1693" s="753" t="str">
        <f>IF('1. INTRO'!I$2="English",(IF('7. INVEST'!AS$50&gt;0,"Equipment","")),IF('7. INVEST'!AS$50&gt;0,"Utrustning",""))</f>
        <v/>
      </c>
      <c r="C1693" s="760">
        <f>SUMIF('7. INVEST'!$B$17:$B$49,$C1678,'7. INVEST'!AI$17:AI$49)</f>
        <v>0</v>
      </c>
      <c r="D1693" s="760">
        <f>SUMIF('7. INVEST'!$B$17:$B$49,$C1678,'7. INVEST'!AJ$17:AJ$49)</f>
        <v>0</v>
      </c>
      <c r="E1693" s="760">
        <f>SUMIF('7. INVEST'!$B$17:$B$49,$C1678,'7. INVEST'!AK$17:AK$49)</f>
        <v>0</v>
      </c>
      <c r="F1693" s="760">
        <f>SUMIF('7. INVEST'!$B$17:$B$49,$C1678,'7. INVEST'!AL$17:AL$49)</f>
        <v>0</v>
      </c>
      <c r="G1693" s="760">
        <f>SUMIF('7. INVEST'!$B$17:$B$49,$C1678,'7. INVEST'!AM$17:AM$49)</f>
        <v>0</v>
      </c>
      <c r="H1693" s="760">
        <f>SUMIF('7. INVEST'!$B$17:$B$49,$C1678,'7. INVEST'!AN$17:AN$49)</f>
        <v>0</v>
      </c>
      <c r="I1693" s="760">
        <f>SUMIF('7. INVEST'!$B$17:$B$49,$C1678,'7. INVEST'!AO$17:AO$49)</f>
        <v>0</v>
      </c>
      <c r="J1693" s="760">
        <f>SUMIF('7. INVEST'!$B$17:$B$49,$C1678,'7. INVEST'!AP$17:AP$49)</f>
        <v>0</v>
      </c>
      <c r="K1693" s="760">
        <f>SUMIF('7. INVEST'!$B$17:$B$49,$C1678,'7. INVEST'!AQ$17:AQ$49)</f>
        <v>0</v>
      </c>
      <c r="L1693" s="760">
        <f>SUMIF('7. INVEST'!$B$17:$B$49,$C1678,'7. INVEST'!AR$17:AR$49)</f>
        <v>0</v>
      </c>
      <c r="M1693" s="755">
        <f t="shared" si="367"/>
        <v>0</v>
      </c>
    </row>
    <row r="1694" spans="2:15" s="3" customFormat="1" ht="13.2" x14ac:dyDescent="0.25">
      <c r="B1694" s="121" t="str">
        <f>IF('1. INTRO'!I$2="English",(IF('8. FACILIT'!AP$51&gt;0,"Facility","")),IF('8. FACILIT'!AP$51&gt;0,"Lokal",""))</f>
        <v/>
      </c>
      <c r="C1694" s="135">
        <f>SUMIF('5. PERSON'!$B$17:$B$192,$C1678,'5. PERSON'!DB$17:DB$192)+SUMIF('6. OPERATION'!$B$17:$B$149,$C1678,'6. OPERATION'!CE$17:CE$149)+SUMIF('8. FACILIT'!$B$18:$B$50,$C1678,'8. FACILIT'!AF$18:AF$50)</f>
        <v>0</v>
      </c>
      <c r="D1694" s="135">
        <f>SUMIF('5. PERSON'!$B$17:$B$192,$C1678,'5. PERSON'!DC$17:DC$192)+SUMIF('6. OPERATION'!$B$17:$B$149,$C1678,'6. OPERATION'!CF$17:CF$149)+SUMIF('8. FACILIT'!$B$18:$B$50,$C1678,'8. FACILIT'!AG$18:AG$50)</f>
        <v>0</v>
      </c>
      <c r="E1694" s="135">
        <f>SUMIF('5. PERSON'!$B$17:$B$192,$C1678,'5. PERSON'!DD$17:DD$192)+SUMIF('6. OPERATION'!$B$17:$B$149,$C1678,'6. OPERATION'!CG$17:CG$149)+SUMIF('8. FACILIT'!$B$18:$B$50,$C1678,'8. FACILIT'!AH$18:AH$50)</f>
        <v>0</v>
      </c>
      <c r="F1694" s="135">
        <f>SUMIF('5. PERSON'!$B$17:$B$192,$C1678,'5. PERSON'!DE$17:DE$192)+SUMIF('6. OPERATION'!$B$17:$B$149,$C1678,'6. OPERATION'!CH$17:CH$149)+SUMIF('8. FACILIT'!$B$18:$B$50,$C1678,'8. FACILIT'!AI$18:AI$50)</f>
        <v>0</v>
      </c>
      <c r="G1694" s="135">
        <f>SUMIF('5. PERSON'!$B$17:$B$192,$C1678,'5. PERSON'!DF$17:DF$192)+SUMIF('6. OPERATION'!$B$17:$B$149,$C1678,'6. OPERATION'!CI$17:CI$149)+SUMIF('8. FACILIT'!$B$18:$B$50,$C1678,'8. FACILIT'!AJ$18:AJ$50)</f>
        <v>0</v>
      </c>
      <c r="H1694" s="135">
        <f>SUMIF('5. PERSON'!$B$17:$B$192,$C1678,'5. PERSON'!DG$17:DG$192)+SUMIF('6. OPERATION'!$B$17:$B$149,$C1678,'6. OPERATION'!CJ$17:CJ$149)+SUMIF('8. FACILIT'!$B$18:$B$50,$C1678,'8. FACILIT'!AK$18:AK$50)</f>
        <v>0</v>
      </c>
      <c r="I1694" s="135">
        <f>SUMIF('5. PERSON'!$B$17:$B$192,$C1678,'5. PERSON'!DH$17:DH$192)+SUMIF('6. OPERATION'!$B$17:$B$149,$C1678,'6. OPERATION'!CK$17:CK$149)+SUMIF('8. FACILIT'!$B$18:$B$50,$C1678,'8. FACILIT'!AL$18:AL$50)</f>
        <v>0</v>
      </c>
      <c r="J1694" s="135">
        <f>SUMIF('5. PERSON'!$B$17:$B$192,$C1678,'5. PERSON'!DI$17:DI$192)+SUMIF('6. OPERATION'!$B$17:$B$149,$C1678,'6. OPERATION'!CL$17:CL$149)+SUMIF('8. FACILIT'!$B$18:$B$50,$C1678,'8. FACILIT'!AM$18:AM$50)</f>
        <v>0</v>
      </c>
      <c r="K1694" s="135">
        <f>SUMIF('5. PERSON'!$B$17:$B$192,$C1678,'5. PERSON'!DJ$17:DJ$192)+SUMIF('6. OPERATION'!$B$17:$B$149,$C1678,'6. OPERATION'!CM$17:CM$149)+SUMIF('8. FACILIT'!$B$18:$B$50,$C1678,'8. FACILIT'!AN$18:AN$50)</f>
        <v>0</v>
      </c>
      <c r="L1694" s="135">
        <f>SUMIF('5. PERSON'!$B$17:$B$192,$C1678,'5. PERSON'!DK$17:DK$192)+SUMIF('6. OPERATION'!$B$17:$B$149,$C1678,'6. OPERATION'!CN$17:CN$149)+SUMIF('8. FACILIT'!$B$18:$B$50,$C1678,'8. FACILIT'!AO$18:AO$50)</f>
        <v>0</v>
      </c>
      <c r="M1694" s="117">
        <f t="shared" si="367"/>
        <v>0</v>
      </c>
    </row>
    <row r="1695" spans="2:15" s="1" customFormat="1" ht="13.2" x14ac:dyDescent="0.25">
      <c r="B1695" s="756" t="str">
        <f>IF('1. INTRO'!I$2="English",(IF(('5. PERSON'!CN$193+'6. OPERATION'!BQ$150)&gt;0,"Indirect","")),IF(('5. PERSON'!CN$193+'6. OPERATION'!BQ$150)&gt;0,"Indirekt",""))</f>
        <v/>
      </c>
      <c r="C1695" s="757">
        <f>SUMIF('5. PERSON'!$B$17:$B$192,$C1678,'5. PERSON'!CD$17:CD$192)+SUMIF('6. OPERATION'!$B$17:$B$149,$C1678,'6. OPERATION'!BG$17:BG$149)</f>
        <v>0</v>
      </c>
      <c r="D1695" s="757">
        <f>SUMIF('5. PERSON'!$B$17:$B$192,$C1678,'5. PERSON'!CE$17:CE$192)+SUMIF('6. OPERATION'!$B$17:$B$149,$C1678,'6. OPERATION'!BH$17:BH$149)</f>
        <v>0</v>
      </c>
      <c r="E1695" s="757">
        <f>SUMIF('5. PERSON'!$B$17:$B$192,$C1678,'5. PERSON'!CF$17:CF$192)+SUMIF('6. OPERATION'!$B$17:$B$149,$C1678,'6. OPERATION'!BI$17:BI$149)</f>
        <v>0</v>
      </c>
      <c r="F1695" s="757">
        <f>SUMIF('5. PERSON'!$B$17:$B$192,$C1678,'5. PERSON'!CG$17:CG$192)+SUMIF('6. OPERATION'!$B$17:$B$149,$C1678,'6. OPERATION'!BJ$17:BJ$149)</f>
        <v>0</v>
      </c>
      <c r="G1695" s="757">
        <f>SUMIF('5. PERSON'!$B$17:$B$192,$C1678,'5. PERSON'!CH$17:CH$192)+SUMIF('6. OPERATION'!$B$17:$B$149,$C1678,'6. OPERATION'!BK$17:BK$149)</f>
        <v>0</v>
      </c>
      <c r="H1695" s="757">
        <f>SUMIF('5. PERSON'!$B$17:$B$192,$C1678,'5. PERSON'!CI$17:CI$192)+SUMIF('6. OPERATION'!$B$17:$B$149,$C1678,'6. OPERATION'!BL$17:BL$149)</f>
        <v>0</v>
      </c>
      <c r="I1695" s="757">
        <f>SUMIF('5. PERSON'!$B$17:$B$192,$C1678,'5. PERSON'!CJ$17:CJ$192)+SUMIF('6. OPERATION'!$B$17:$B$149,$C1678,'6. OPERATION'!BM$17:BM$149)</f>
        <v>0</v>
      </c>
      <c r="J1695" s="757">
        <f>SUMIF('5. PERSON'!$B$17:$B$192,$C1678,'5. PERSON'!CK$17:CK$192)+SUMIF('6. OPERATION'!$B$17:$B$149,$C1678,'6. OPERATION'!BN$17:BN$149)</f>
        <v>0</v>
      </c>
      <c r="K1695" s="757">
        <f>SUMIF('5. PERSON'!$B$17:$B$192,$C1678,'5. PERSON'!CL$17:CL$192)+SUMIF('6. OPERATION'!$B$17:$B$149,$C1678,'6. OPERATION'!BO$17:BO$149)</f>
        <v>0</v>
      </c>
      <c r="L1695" s="757">
        <f>SUMIF('5. PERSON'!$B$17:$B$192,$C1678,'5. PERSON'!CM$17:CM$192)+SUMIF('6. OPERATION'!$B$17:$B$149,$C1678,'6. OPERATION'!BP$17:BP$149)</f>
        <v>0</v>
      </c>
      <c r="M1695" s="761">
        <f t="shared" si="367"/>
        <v>0</v>
      </c>
    </row>
    <row r="1696" spans="2:15" s="3" customFormat="1" ht="13.2" x14ac:dyDescent="0.25">
      <c r="B1696" s="124" t="s">
        <v>113</v>
      </c>
      <c r="C1696" s="102">
        <f>SUM(C1689:C1695)</f>
        <v>0</v>
      </c>
      <c r="D1696" s="102">
        <f t="shared" ref="D1696:M1696" si="368">SUM(D1689:D1695)</f>
        <v>0</v>
      </c>
      <c r="E1696" s="102">
        <f t="shared" si="368"/>
        <v>0</v>
      </c>
      <c r="F1696" s="102">
        <f t="shared" si="368"/>
        <v>0</v>
      </c>
      <c r="G1696" s="102">
        <f t="shared" si="368"/>
        <v>0</v>
      </c>
      <c r="H1696" s="102">
        <f t="shared" si="368"/>
        <v>0</v>
      </c>
      <c r="I1696" s="102">
        <f t="shared" si="368"/>
        <v>0</v>
      </c>
      <c r="J1696" s="102">
        <f t="shared" si="368"/>
        <v>0</v>
      </c>
      <c r="K1696" s="102">
        <f t="shared" si="368"/>
        <v>0</v>
      </c>
      <c r="L1696" s="102">
        <f t="shared" si="368"/>
        <v>0</v>
      </c>
      <c r="M1696" s="125">
        <f t="shared" si="368"/>
        <v>0</v>
      </c>
      <c r="N1696" s="23"/>
      <c r="O1696" s="23"/>
    </row>
    <row r="1697" spans="2:13" s="3" customFormat="1" ht="6" customHeight="1" x14ac:dyDescent="0.25">
      <c r="B1697" s="136"/>
      <c r="C1697" s="127"/>
      <c r="D1697" s="127"/>
      <c r="E1697" s="127"/>
      <c r="F1697" s="127"/>
      <c r="G1697" s="127"/>
      <c r="H1697" s="127"/>
      <c r="I1697" s="127"/>
      <c r="J1697" s="127"/>
      <c r="K1697" s="127"/>
      <c r="L1697" s="127"/>
      <c r="M1697" s="137"/>
    </row>
    <row r="1698" spans="2:13" s="3" customFormat="1" ht="13.2" x14ac:dyDescent="0.25">
      <c r="B1698" s="129" t="str">
        <f>IF('1. INTRO'!I$2="English","Full cost","Full kostnad")</f>
        <v>Full cost</v>
      </c>
      <c r="C1698" s="127"/>
      <c r="D1698" s="127"/>
      <c r="E1698" s="127"/>
      <c r="F1698" s="127"/>
      <c r="G1698" s="127"/>
      <c r="H1698" s="127"/>
      <c r="I1698" s="127"/>
      <c r="J1698" s="127"/>
      <c r="K1698" s="127"/>
      <c r="L1698" s="127"/>
      <c r="M1698" s="137"/>
    </row>
    <row r="1699" spans="2:13" s="3" customFormat="1" ht="13.2" x14ac:dyDescent="0.25">
      <c r="B1699" s="750" t="str">
        <f>IF('1. INTRO'!I$2="English","Salary including social costs (LKP)","Lön inklusive LKP")</f>
        <v>Salary including social costs (LKP)</v>
      </c>
      <c r="C1699" s="762">
        <f>C1681+C1690+C1691</f>
        <v>0</v>
      </c>
      <c r="D1699" s="762">
        <f t="shared" ref="D1699:L1699" si="369">D1681+D1690+D1691</f>
        <v>0</v>
      </c>
      <c r="E1699" s="762">
        <f t="shared" si="369"/>
        <v>0</v>
      </c>
      <c r="F1699" s="762">
        <f t="shared" si="369"/>
        <v>0</v>
      </c>
      <c r="G1699" s="762">
        <f t="shared" si="369"/>
        <v>0</v>
      </c>
      <c r="H1699" s="762">
        <f t="shared" si="369"/>
        <v>0</v>
      </c>
      <c r="I1699" s="762">
        <f t="shared" si="369"/>
        <v>0</v>
      </c>
      <c r="J1699" s="762">
        <f t="shared" si="369"/>
        <v>0</v>
      </c>
      <c r="K1699" s="762">
        <f t="shared" si="369"/>
        <v>0</v>
      </c>
      <c r="L1699" s="762">
        <f t="shared" si="369"/>
        <v>0</v>
      </c>
      <c r="M1699" s="752">
        <f>SUM(C1699:L1699)</f>
        <v>0</v>
      </c>
    </row>
    <row r="1700" spans="2:13" s="3" customFormat="1" ht="13.2" x14ac:dyDescent="0.25">
      <c r="B1700" s="80" t="str">
        <f>IF('1. INTRO'!I$2="English","Operating","Drift")</f>
        <v>Operating</v>
      </c>
      <c r="C1700" s="139">
        <f>C1682+C1692</f>
        <v>0</v>
      </c>
      <c r="D1700" s="139">
        <f t="shared" ref="D1700:L1700" si="370">D1682+D1692</f>
        <v>0</v>
      </c>
      <c r="E1700" s="139">
        <f t="shared" si="370"/>
        <v>0</v>
      </c>
      <c r="F1700" s="139">
        <f t="shared" si="370"/>
        <v>0</v>
      </c>
      <c r="G1700" s="139">
        <f t="shared" si="370"/>
        <v>0</v>
      </c>
      <c r="H1700" s="139">
        <f t="shared" si="370"/>
        <v>0</v>
      </c>
      <c r="I1700" s="139">
        <f t="shared" si="370"/>
        <v>0</v>
      </c>
      <c r="J1700" s="139">
        <f t="shared" si="370"/>
        <v>0</v>
      </c>
      <c r="K1700" s="139">
        <f t="shared" si="370"/>
        <v>0</v>
      </c>
      <c r="L1700" s="139">
        <f t="shared" si="370"/>
        <v>0</v>
      </c>
      <c r="M1700" s="117">
        <f>SUM(C1700:L1700)</f>
        <v>0</v>
      </c>
    </row>
    <row r="1701" spans="2:13" s="3" customFormat="1" ht="13.2" x14ac:dyDescent="0.25">
      <c r="B1701" s="753" t="str">
        <f>IF('1. INTRO'!I$2="English","Equipment","Utrustning")</f>
        <v>Equipment</v>
      </c>
      <c r="C1701" s="763">
        <f>C1683+C1693</f>
        <v>0</v>
      </c>
      <c r="D1701" s="763">
        <f t="shared" ref="D1701:L1701" si="371">D1683+D1693</f>
        <v>0</v>
      </c>
      <c r="E1701" s="763">
        <f t="shared" si="371"/>
        <v>0</v>
      </c>
      <c r="F1701" s="763">
        <f t="shared" si="371"/>
        <v>0</v>
      </c>
      <c r="G1701" s="763">
        <f t="shared" si="371"/>
        <v>0</v>
      </c>
      <c r="H1701" s="763">
        <f t="shared" si="371"/>
        <v>0</v>
      </c>
      <c r="I1701" s="763">
        <f t="shared" si="371"/>
        <v>0</v>
      </c>
      <c r="J1701" s="763">
        <f t="shared" si="371"/>
        <v>0</v>
      </c>
      <c r="K1701" s="763">
        <f t="shared" si="371"/>
        <v>0</v>
      </c>
      <c r="L1701" s="763">
        <f t="shared" si="371"/>
        <v>0</v>
      </c>
      <c r="M1701" s="755">
        <f>SUM(C1701:L1701)</f>
        <v>0</v>
      </c>
    </row>
    <row r="1702" spans="2:13" s="3" customFormat="1" ht="13.2" x14ac:dyDescent="0.25">
      <c r="B1702" s="80" t="str">
        <f>IF('1. INTRO'!I$2="English","Facility","Lokal")</f>
        <v>Facility</v>
      </c>
      <c r="C1702" s="139">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39">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39">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39">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39">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39">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39">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39">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39">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39">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117">
        <f>SUM(C1702:L1702)</f>
        <v>0</v>
      </c>
    </row>
    <row r="1703" spans="2:13" s="3" customFormat="1" ht="13.2" x14ac:dyDescent="0.25">
      <c r="B1703" s="764" t="str">
        <f>IF('1. INTRO'!I$2="English","Indirect","Indirekt")</f>
        <v>Indirect</v>
      </c>
      <c r="C1703" s="765">
        <f>SUMIF('5. PERSON'!$B$17:$B$192,$C1678,'5. PERSON'!BR$17:BR$192)+SUMIF('5. PERSON'!$B$17:$B$192,$C1678,'5. PERSON'!CD$17:CD$192)+SUMIF('6. OPERATION'!$B$17:$B$149,$C1678,'6. OPERATION'!AU$17:AU$149)+SUMIF('6. OPERATION'!$B$17:$B$149,$C1678,'6. OPERATION'!BG$17:BG$149)</f>
        <v>0</v>
      </c>
      <c r="D1703" s="765">
        <f>SUMIF('5. PERSON'!$B$17:$B$192,$C1678,'5. PERSON'!BS$17:BS$192)+SUMIF('5. PERSON'!$B$17:$B$192,$C1678,'5. PERSON'!CE$17:CE$192)+SUMIF('6. OPERATION'!$B$17:$B$149,$C1678,'6. OPERATION'!AV$17:AV$149)+SUMIF('6. OPERATION'!$B$17:$B$149,$C1678,'6. OPERATION'!BH$17:BH$149)</f>
        <v>0</v>
      </c>
      <c r="E1703" s="765">
        <f>SUMIF('5. PERSON'!$B$17:$B$192,$C1678,'5. PERSON'!BT$17:BT$192)+SUMIF('5. PERSON'!$B$17:$B$192,$C1678,'5. PERSON'!CF$17:CF$192)+SUMIF('6. OPERATION'!$B$17:$B$149,$C1678,'6. OPERATION'!AW$17:AW$149)+SUMIF('6. OPERATION'!$B$17:$B$149,$C1678,'6. OPERATION'!BI$17:BI$149)</f>
        <v>0</v>
      </c>
      <c r="F1703" s="765">
        <f>SUMIF('5. PERSON'!$B$17:$B$192,$C1678,'5. PERSON'!BU$17:BU$192)+SUMIF('5. PERSON'!$B$17:$B$192,$C1678,'5. PERSON'!CG$17:CG$192)+SUMIF('6. OPERATION'!$B$17:$B$149,$C1678,'6. OPERATION'!AX$17:AX$149)+SUMIF('6. OPERATION'!$B$17:$B$149,$C1678,'6. OPERATION'!BJ$17:BJ$149)</f>
        <v>0</v>
      </c>
      <c r="G1703" s="765">
        <f>SUMIF('5. PERSON'!$B$17:$B$192,$C1678,'5. PERSON'!BV$17:BV$192)+SUMIF('5. PERSON'!$B$17:$B$192,$C1678,'5. PERSON'!CH$17:CH$192)+SUMIF('6. OPERATION'!$B$17:$B$149,$C1678,'6. OPERATION'!AY$17:AY$149)+SUMIF('6. OPERATION'!$B$17:$B$149,$C1678,'6. OPERATION'!BK$17:BK$149)</f>
        <v>0</v>
      </c>
      <c r="H1703" s="765">
        <f>SUMIF('5. PERSON'!$B$17:$B$192,$C1678,'5. PERSON'!BW$17:BW$192)+SUMIF('5. PERSON'!$B$17:$B$192,$C1678,'5. PERSON'!CI$17:CI$192)+SUMIF('6. OPERATION'!$B$17:$B$149,$C1678,'6. OPERATION'!AZ$17:AZ$149)+SUMIF('6. OPERATION'!$B$17:$B$149,$C1678,'6. OPERATION'!BL$17:BL$149)</f>
        <v>0</v>
      </c>
      <c r="I1703" s="765">
        <f>SUMIF('5. PERSON'!$B$17:$B$192,$C1678,'5. PERSON'!BX$17:BX$192)+SUMIF('5. PERSON'!$B$17:$B$192,$C1678,'5. PERSON'!CJ$17:CJ$192)+SUMIF('6. OPERATION'!$B$17:$B$149,$C1678,'6. OPERATION'!BA$17:BA$149)+SUMIF('6. OPERATION'!$B$17:$B$149,$C1678,'6. OPERATION'!BM$17:BM$149)</f>
        <v>0</v>
      </c>
      <c r="J1703" s="765">
        <f>SUMIF('5. PERSON'!$B$17:$B$192,$C1678,'5. PERSON'!BY$17:BY$192)+SUMIF('5. PERSON'!$B$17:$B$192,$C1678,'5. PERSON'!CK$17:CK$192)+SUMIF('6. OPERATION'!$B$17:$B$149,$C1678,'6. OPERATION'!BB$17:BB$149)+SUMIF('6. OPERATION'!$B$17:$B$149,$C1678,'6. OPERATION'!BN$17:BN$149)</f>
        <v>0</v>
      </c>
      <c r="K1703" s="765">
        <f>SUMIF('5. PERSON'!$B$17:$B$192,$C1678,'5. PERSON'!BZ$17:BZ$192)+SUMIF('5. PERSON'!$B$17:$B$192,$C1678,'5. PERSON'!CL$17:CL$192)+SUMIF('6. OPERATION'!$B$17:$B$149,$C1678,'6. OPERATION'!BC$17:BC$149)+SUMIF('6. OPERATION'!$B$17:$B$149,$C1678,'6. OPERATION'!BO$17:BO$149)</f>
        <v>0</v>
      </c>
      <c r="L1703" s="765">
        <f>SUMIF('5. PERSON'!$B$17:$B$192,$C1678,'5. PERSON'!CA$17:CA$192)+SUMIF('5. PERSON'!$B$17:$B$192,$C1678,'5. PERSON'!CM$17:CM$192)+SUMIF('6. OPERATION'!$B$17:$B$149,$C1678,'6. OPERATION'!BD$17:BD$149)+SUMIF('6. OPERATION'!$B$17:$B$149,$C1678,'6. OPERATION'!BP$17:BP$149)</f>
        <v>0</v>
      </c>
      <c r="M1703" s="761">
        <f>SUM(C1703:L1703)</f>
        <v>0</v>
      </c>
    </row>
    <row r="1704" spans="2:13" s="3" customFormat="1" ht="13.2" x14ac:dyDescent="0.25">
      <c r="B1704" s="124" t="s">
        <v>113</v>
      </c>
      <c r="C1704" s="88">
        <f>SUM(C1699:C1703)</f>
        <v>0</v>
      </c>
      <c r="D1704" s="88">
        <f t="shared" ref="D1704:M1704" si="372">SUM(D1699:D1703)</f>
        <v>0</v>
      </c>
      <c r="E1704" s="88">
        <f t="shared" si="372"/>
        <v>0</v>
      </c>
      <c r="F1704" s="88">
        <f t="shared" si="372"/>
        <v>0</v>
      </c>
      <c r="G1704" s="88">
        <f t="shared" si="372"/>
        <v>0</v>
      </c>
      <c r="H1704" s="88">
        <f t="shared" si="372"/>
        <v>0</v>
      </c>
      <c r="I1704" s="88">
        <f t="shared" si="372"/>
        <v>0</v>
      </c>
      <c r="J1704" s="88">
        <f t="shared" si="372"/>
        <v>0</v>
      </c>
      <c r="K1704" s="88">
        <f t="shared" si="372"/>
        <v>0</v>
      </c>
      <c r="L1704" s="88">
        <f t="shared" si="372"/>
        <v>0</v>
      </c>
      <c r="M1704" s="142">
        <f t="shared" si="372"/>
        <v>0</v>
      </c>
    </row>
    <row r="1705" spans="2:13" s="3" customFormat="1" ht="13.2" x14ac:dyDescent="0.25">
      <c r="B1705" s="287"/>
      <c r="C1705" s="37"/>
      <c r="D1705" s="37"/>
      <c r="E1705" s="37"/>
      <c r="F1705" s="37"/>
      <c r="G1705" s="37"/>
      <c r="H1705" s="37"/>
      <c r="I1705" s="37"/>
      <c r="J1705" s="37"/>
      <c r="K1705" s="37"/>
      <c r="L1705" s="37"/>
      <c r="M1705" s="37"/>
    </row>
    <row r="1706" spans="2:13" s="3" customFormat="1" ht="12.75" customHeight="1" x14ac:dyDescent="0.25">
      <c r="B1706" s="656" t="str">
        <f>IF('1. INTRO'!I$2="English","Co-funding share in full cost ","Medfinansieringsandel i full kostnad ")</f>
        <v xml:space="preserve">Co-funding share in full cost </v>
      </c>
      <c r="C1706" s="143" t="str">
        <f t="shared" ref="C1706:M1706" si="373">IF(C1704&gt;0,C1696/C1704,"")</f>
        <v/>
      </c>
      <c r="D1706" s="143" t="str">
        <f t="shared" si="373"/>
        <v/>
      </c>
      <c r="E1706" s="143" t="str">
        <f t="shared" si="373"/>
        <v/>
      </c>
      <c r="F1706" s="143" t="str">
        <f t="shared" si="373"/>
        <v/>
      </c>
      <c r="G1706" s="143" t="str">
        <f t="shared" si="373"/>
        <v/>
      </c>
      <c r="H1706" s="143" t="str">
        <f t="shared" si="373"/>
        <v/>
      </c>
      <c r="I1706" s="143" t="str">
        <f t="shared" si="373"/>
        <v/>
      </c>
      <c r="J1706" s="143" t="str">
        <f t="shared" si="373"/>
        <v/>
      </c>
      <c r="K1706" s="143" t="str">
        <f t="shared" si="373"/>
        <v/>
      </c>
      <c r="L1706" s="143" t="str">
        <f t="shared" si="373"/>
        <v/>
      </c>
      <c r="M1706" s="143" t="str">
        <f t="shared" si="373"/>
        <v/>
      </c>
    </row>
    <row r="1707" spans="2:13" ht="12.75" customHeight="1" x14ac:dyDescent="0.2"/>
    <row r="1708" spans="2:13" ht="12.75" customHeight="1" x14ac:dyDescent="0.25">
      <c r="D1708" s="656" t="str">
        <f>IF('1. INTRO'!I$2="English","Co-funding need in average per year: ","Medfinansieringsbehov i genomsnitt per år: ")</f>
        <v xml:space="preserve">Co-funding need in average per year: </v>
      </c>
      <c r="E1708" s="766" t="str">
        <f>IF(M1696=0,"",M1696/(DATEDIF('2. START'!C$18,'2. START'!C$19,"d")/365))</f>
        <v/>
      </c>
      <c r="H1708" s="656" t="str">
        <f>IF('1. INTRO'!I$2="English","Co-funding need 1/3 of total: ","Medfinansieringsbehov 1/3 av totalt: ")</f>
        <v xml:space="preserve">Co-funding need 1/3 of total: </v>
      </c>
      <c r="I1708" s="766">
        <f>M1696/3</f>
        <v>0</v>
      </c>
      <c r="L1708" s="287" t="str">
        <f>IF('1. INTRO'!I$2="English","Co-funding need total: ","Medfinansieringsbehov totalt: ")</f>
        <v xml:space="preserve">Co-funding need total: </v>
      </c>
      <c r="M1708" s="766">
        <f>M1696</f>
        <v>0</v>
      </c>
    </row>
    <row r="1709" spans="2:13" ht="12.75" customHeight="1" x14ac:dyDescent="0.25">
      <c r="B1709" s="53" t="str">
        <f>IF('1. INTRO'!I$2="English","Co-funding sources","Medfinansieringskällor")</f>
        <v>Co-funding sources</v>
      </c>
    </row>
    <row r="1710" spans="2:13" ht="12.75" customHeight="1" x14ac:dyDescent="0.25">
      <c r="B1710" s="225"/>
      <c r="C1710" s="226"/>
      <c r="D1710" s="226"/>
      <c r="E1710" s="226"/>
      <c r="F1710" s="226"/>
      <c r="G1710" s="226"/>
      <c r="H1710" s="226"/>
      <c r="I1710" s="226"/>
      <c r="J1710" s="226"/>
      <c r="K1710" s="226"/>
      <c r="L1710" s="227"/>
      <c r="M1710" s="168">
        <f>SUM(C1710:L1710)</f>
        <v>0</v>
      </c>
    </row>
    <row r="1711" spans="2:13" ht="12.75" customHeight="1" x14ac:dyDescent="0.25">
      <c r="B1711" s="228"/>
      <c r="C1711" s="229"/>
      <c r="D1711" s="229"/>
      <c r="E1711" s="229"/>
      <c r="F1711" s="229"/>
      <c r="G1711" s="229"/>
      <c r="H1711" s="229"/>
      <c r="I1711" s="229"/>
      <c r="J1711" s="229"/>
      <c r="K1711" s="229"/>
      <c r="L1711" s="230"/>
      <c r="M1711" s="755">
        <f t="shared" ref="M1711:M1714" si="374">SUM(C1711:L1711)</f>
        <v>0</v>
      </c>
    </row>
    <row r="1712" spans="2:13" ht="12.75" customHeight="1" x14ac:dyDescent="0.25">
      <c r="B1712" s="231"/>
      <c r="C1712" s="232"/>
      <c r="D1712" s="232"/>
      <c r="E1712" s="232"/>
      <c r="F1712" s="232"/>
      <c r="G1712" s="232"/>
      <c r="H1712" s="232"/>
      <c r="I1712" s="232"/>
      <c r="J1712" s="232"/>
      <c r="K1712" s="232"/>
      <c r="L1712" s="233"/>
      <c r="M1712" s="117">
        <f t="shared" si="374"/>
        <v>0</v>
      </c>
    </row>
    <row r="1713" spans="2:13" ht="12.75" customHeight="1" x14ac:dyDescent="0.25">
      <c r="B1713" s="228"/>
      <c r="C1713" s="229"/>
      <c r="D1713" s="229"/>
      <c r="E1713" s="229"/>
      <c r="F1713" s="229"/>
      <c r="G1713" s="229"/>
      <c r="H1713" s="229"/>
      <c r="I1713" s="229"/>
      <c r="J1713" s="229"/>
      <c r="K1713" s="229"/>
      <c r="L1713" s="230"/>
      <c r="M1713" s="755">
        <f t="shared" si="374"/>
        <v>0</v>
      </c>
    </row>
    <row r="1714" spans="2:13" ht="12.75" customHeight="1" x14ac:dyDescent="0.25">
      <c r="B1714" s="93"/>
      <c r="C1714" s="232"/>
      <c r="D1714" s="232"/>
      <c r="E1714" s="232"/>
      <c r="F1714" s="232"/>
      <c r="G1714" s="232"/>
      <c r="H1714" s="232"/>
      <c r="I1714" s="232"/>
      <c r="J1714" s="232"/>
      <c r="K1714" s="232"/>
      <c r="L1714" s="233"/>
      <c r="M1714" s="117">
        <f t="shared" si="374"/>
        <v>0</v>
      </c>
    </row>
    <row r="1715" spans="2:13" ht="12.75" customHeight="1" x14ac:dyDescent="0.25">
      <c r="B1715" s="84" t="str">
        <f>IF('1. INTRO'!I$2="English","Total co-funding ","Total medfinansiering ")</f>
        <v xml:space="preserve">Total co-funding </v>
      </c>
      <c r="C1715" s="87">
        <f t="shared" ref="C1715:M1715" si="375">SUM(C1710:C1714)</f>
        <v>0</v>
      </c>
      <c r="D1715" s="87">
        <f t="shared" si="375"/>
        <v>0</v>
      </c>
      <c r="E1715" s="87">
        <f t="shared" si="375"/>
        <v>0</v>
      </c>
      <c r="F1715" s="87">
        <f t="shared" si="375"/>
        <v>0</v>
      </c>
      <c r="G1715" s="87">
        <f t="shared" si="375"/>
        <v>0</v>
      </c>
      <c r="H1715" s="87">
        <f t="shared" si="375"/>
        <v>0</v>
      </c>
      <c r="I1715" s="87">
        <f t="shared" si="375"/>
        <v>0</v>
      </c>
      <c r="J1715" s="87">
        <f t="shared" si="375"/>
        <v>0</v>
      </c>
      <c r="K1715" s="87">
        <f t="shared" si="375"/>
        <v>0</v>
      </c>
      <c r="L1715" s="87">
        <f t="shared" si="375"/>
        <v>0</v>
      </c>
      <c r="M1715" s="142">
        <f t="shared" si="375"/>
        <v>0</v>
      </c>
    </row>
    <row r="1716" spans="2:13" ht="12.75" customHeight="1" x14ac:dyDescent="0.2"/>
    <row r="1717" spans="2:13" ht="12.75" customHeight="1" x14ac:dyDescent="0.2">
      <c r="B1717" s="667" t="str">
        <f>IF('1. INTRO'!I$2="English","Calculation comments","Kalkylkommentarer")</f>
        <v>Calculation comments</v>
      </c>
    </row>
    <row r="1718" spans="2:13" ht="12.75" customHeight="1" x14ac:dyDescent="0.2">
      <c r="B1718" s="1142"/>
      <c r="C1718" s="1143"/>
      <c r="D1718" s="1143"/>
      <c r="E1718" s="1143"/>
      <c r="F1718" s="1143"/>
      <c r="G1718" s="1143"/>
      <c r="H1718" s="1143"/>
      <c r="I1718" s="1143"/>
      <c r="J1718" s="1143"/>
      <c r="K1718" s="1143"/>
      <c r="L1718" s="1143"/>
      <c r="M1718" s="1144"/>
    </row>
    <row r="1719" spans="2:13" ht="12.75" customHeight="1" x14ac:dyDescent="0.2">
      <c r="B1719" s="1145"/>
      <c r="C1719" s="1226"/>
      <c r="D1719" s="1226"/>
      <c r="E1719" s="1226"/>
      <c r="F1719" s="1226"/>
      <c r="G1719" s="1226"/>
      <c r="H1719" s="1226"/>
      <c r="I1719" s="1226"/>
      <c r="J1719" s="1226"/>
      <c r="K1719" s="1226"/>
      <c r="L1719" s="1226"/>
      <c r="M1719" s="1147"/>
    </row>
    <row r="1720" spans="2:13" ht="12.75" customHeight="1" x14ac:dyDescent="0.2">
      <c r="B1720" s="1145"/>
      <c r="C1720" s="1226"/>
      <c r="D1720" s="1226"/>
      <c r="E1720" s="1226"/>
      <c r="F1720" s="1226"/>
      <c r="G1720" s="1226"/>
      <c r="H1720" s="1226"/>
      <c r="I1720" s="1226"/>
      <c r="J1720" s="1226"/>
      <c r="K1720" s="1226"/>
      <c r="L1720" s="1226"/>
      <c r="M1720" s="1147"/>
    </row>
    <row r="1721" spans="2:13" ht="12.75" customHeight="1" x14ac:dyDescent="0.2">
      <c r="B1721" s="1145"/>
      <c r="C1721" s="1226"/>
      <c r="D1721" s="1226"/>
      <c r="E1721" s="1226"/>
      <c r="F1721" s="1226"/>
      <c r="G1721" s="1226"/>
      <c r="H1721" s="1226"/>
      <c r="I1721" s="1226"/>
      <c r="J1721" s="1226"/>
      <c r="K1721" s="1226"/>
      <c r="L1721" s="1226"/>
      <c r="M1721" s="1147"/>
    </row>
    <row r="1722" spans="2:13" ht="12.75" customHeight="1" x14ac:dyDescent="0.2">
      <c r="B1722" s="1148"/>
      <c r="C1722" s="1149"/>
      <c r="D1722" s="1149"/>
      <c r="E1722" s="1149"/>
      <c r="F1722" s="1149"/>
      <c r="G1722" s="1149"/>
      <c r="H1722" s="1149"/>
      <c r="I1722" s="1149"/>
      <c r="J1722" s="1149"/>
      <c r="K1722" s="1149"/>
      <c r="L1722" s="1149"/>
      <c r="M1722" s="1150"/>
    </row>
    <row r="1724" spans="2:13" s="3" customFormat="1" ht="12.75" customHeight="1" x14ac:dyDescent="0.25">
      <c r="B1724" s="313" t="str">
        <f>'3. PARTNER'!C$4</f>
        <v xml:space="preserve">Project: </v>
      </c>
      <c r="C1724" s="1062" t="str">
        <f>'3. PARTNER'!D$4</f>
        <v/>
      </c>
      <c r="D1724" s="1001"/>
      <c r="E1724" s="1001"/>
      <c r="F1724" s="1001"/>
      <c r="G1724" s="1001"/>
      <c r="H1724" s="1001"/>
      <c r="I1724" s="1001"/>
      <c r="J1724" s="1001"/>
      <c r="K1724" s="1001"/>
      <c r="L1724" s="1001"/>
      <c r="M1724" s="1001"/>
    </row>
    <row r="1725" spans="2:13" s="3" customFormat="1" ht="13.2" x14ac:dyDescent="0.25">
      <c r="B1725" s="313" t="str">
        <f>'3. PARTNER'!C$5</f>
        <v xml:space="preserve">Calculation for: </v>
      </c>
      <c r="C1725" s="1062" t="str">
        <f>'3. PARTNER'!D$5</f>
        <v>APPLICATION</v>
      </c>
      <c r="D1725" s="1001"/>
      <c r="E1725" s="268"/>
      <c r="F1725" s="268"/>
      <c r="G1725" s="268"/>
      <c r="H1725" s="268"/>
      <c r="I1725" s="268"/>
      <c r="J1725" s="268"/>
      <c r="K1725" s="268"/>
      <c r="L1725" s="268"/>
      <c r="M1725" s="268"/>
    </row>
    <row r="1726" spans="2:13" s="3" customFormat="1" ht="13.2" x14ac:dyDescent="0.25">
      <c r="B1726" s="35" t="str">
        <f>'3. PARTNER'!C$6</f>
        <v xml:space="preserve">Project leader: </v>
      </c>
      <c r="C1726" s="1062" t="str">
        <f>'3. PARTNER'!D$6</f>
        <v/>
      </c>
      <c r="D1726" s="1001"/>
      <c r="E1726" s="1001"/>
      <c r="F1726" s="1001"/>
      <c r="G1726" s="1001"/>
      <c r="H1726" s="1001"/>
      <c r="I1726" s="1001"/>
      <c r="J1726" s="1001"/>
      <c r="K1726" s="1001"/>
      <c r="L1726" s="1001"/>
      <c r="M1726" s="1001"/>
    </row>
    <row r="1727" spans="2:13" s="3" customFormat="1" ht="13.2" x14ac:dyDescent="0.25">
      <c r="B1727" s="313" t="str">
        <f>'5. PERSON'!B$7</f>
        <v xml:space="preserve">Amounts in: </v>
      </c>
      <c r="C1727" s="655" t="str">
        <f>'5. PERSON'!C$7</f>
        <v>SEK</v>
      </c>
      <c r="D1727" s="268"/>
      <c r="E1727" s="268"/>
      <c r="F1727" s="268"/>
      <c r="G1727" s="234"/>
      <c r="H1727" s="234"/>
      <c r="I1727" s="270"/>
      <c r="J1727" s="270"/>
      <c r="K1727" s="270"/>
      <c r="L1727" s="270"/>
      <c r="M1727" s="270"/>
    </row>
    <row r="1728" spans="2:13" s="3" customFormat="1" ht="13.2" x14ac:dyDescent="0.25">
      <c r="B1728" s="313"/>
      <c r="C1728" s="1053" t="str">
        <f>'3. PARTNER'!D$7</f>
        <v>Other basic data about the project is in sheet 2.</v>
      </c>
      <c r="D1728" s="1001"/>
      <c r="E1728" s="1001"/>
      <c r="F1728" s="1001"/>
      <c r="G1728" s="234"/>
      <c r="H1728" s="234"/>
      <c r="I1728" s="270"/>
      <c r="J1728" s="270"/>
      <c r="K1728" s="270"/>
      <c r="L1728" s="251" t="s">
        <v>4</v>
      </c>
      <c r="M1728" s="270"/>
    </row>
    <row r="1729" spans="2:15" ht="12.75" customHeight="1" x14ac:dyDescent="0.2">
      <c r="J1729" s="252" t="s">
        <v>322</v>
      </c>
      <c r="K1729" s="252" t="s">
        <v>323</v>
      </c>
      <c r="L1729" s="252" t="str">
        <f>IF('1. INTRO'!I$2="English","months","månader")</f>
        <v>months</v>
      </c>
    </row>
    <row r="1730" spans="2:15" s="3" customFormat="1" ht="13.8" x14ac:dyDescent="0.25">
      <c r="B1730" s="157" t="str">
        <f>IF('1. INTRO'!I$2="English","Project costs","Projektkostnader")</f>
        <v>Project costs</v>
      </c>
      <c r="C1730" s="668" t="str">
        <f>A47</f>
        <v>435S</v>
      </c>
      <c r="D1730" s="1227" t="str">
        <f>B47</f>
        <v>Soil and Environment S</v>
      </c>
      <c r="E1730" s="1001"/>
      <c r="F1730" s="1004"/>
      <c r="G1730" s="37"/>
      <c r="H1730" s="37"/>
      <c r="I1730" s="37"/>
      <c r="J1730" s="643"/>
      <c r="K1730" s="643"/>
      <c r="L1730" s="642">
        <f>SUMIF('5. PERSON'!$B$17:$B$192,$C1730,'5. PERSON'!AE$17:AE$192)</f>
        <v>0</v>
      </c>
      <c r="M1730" s="680" t="s">
        <v>330</v>
      </c>
    </row>
    <row r="1731" spans="2:15" s="3" customFormat="1" ht="6" customHeight="1" x14ac:dyDescent="0.25">
      <c r="B1731" s="57"/>
      <c r="C1731" s="37"/>
      <c r="D1731" s="37"/>
      <c r="E1731" s="37"/>
      <c r="F1731" s="37"/>
      <c r="G1731" s="37"/>
      <c r="H1731" s="37"/>
      <c r="I1731" s="37"/>
      <c r="J1731" s="37"/>
      <c r="K1731" s="37"/>
      <c r="L1731" s="37"/>
      <c r="M1731" s="37"/>
    </row>
    <row r="1732" spans="2:15" s="3" customFormat="1" ht="13.2" x14ac:dyDescent="0.25">
      <c r="B1732" s="110" t="str">
        <f>IF('1. INTRO'!I$2="English","Costs to be covered by funding body","Kostnader att täckas av finansiär")</f>
        <v>Costs to be covered by funding body</v>
      </c>
      <c r="C1732" s="111">
        <f>'5. PERSON'!G$15</f>
        <v>1900</v>
      </c>
      <c r="D1732" s="111" t="str">
        <f>'5. PERSON'!H$15</f>
        <v/>
      </c>
      <c r="E1732" s="111" t="str">
        <f>'5. PERSON'!I$15</f>
        <v/>
      </c>
      <c r="F1732" s="111" t="str">
        <f>'5. PERSON'!J$15</f>
        <v/>
      </c>
      <c r="G1732" s="111" t="str">
        <f>'5. PERSON'!K$15</f>
        <v/>
      </c>
      <c r="H1732" s="111" t="str">
        <f>'5. PERSON'!L$15</f>
        <v/>
      </c>
      <c r="I1732" s="111" t="str">
        <f>'5. PERSON'!M$15</f>
        <v/>
      </c>
      <c r="J1732" s="111" t="str">
        <f>'5. PERSON'!N$15</f>
        <v/>
      </c>
      <c r="K1732" s="111" t="str">
        <f>'5. PERSON'!O$15</f>
        <v/>
      </c>
      <c r="L1732" s="111" t="str">
        <f>'5. PERSON'!P$15</f>
        <v/>
      </c>
      <c r="M1732" s="112" t="s">
        <v>2</v>
      </c>
    </row>
    <row r="1733" spans="2:15" s="3" customFormat="1" ht="12.75" customHeight="1" x14ac:dyDescent="0.25">
      <c r="B1733" s="750" t="str">
        <f>IF('1. INTRO'!I$2="English","Salary including social costs (LKP)","Lön inklusive LKP")</f>
        <v>Salary including social costs (LKP)</v>
      </c>
      <c r="C1733" s="751">
        <f>IF('2. START'!$C$14&gt;0,SUMIF('5. PERSON'!$B$17:$B$192,$C1730,'5. PERSON'!DN$17:DN$192),SUMIF('5. PERSON'!$B$17:$B$192,$C1730,'5. PERSON'!AT$17:AT$192))</f>
        <v>0</v>
      </c>
      <c r="D1733" s="751">
        <f>IF('2. START'!$C$14&gt;0,SUMIF('5. PERSON'!$B$17:$B$192,$C1730,'5. PERSON'!DO$17:DO$192),SUMIF('5. PERSON'!$B$17:$B$192,$C1730,'5. PERSON'!AU$17:AU$192))</f>
        <v>0</v>
      </c>
      <c r="E1733" s="751">
        <f>IF('2. START'!$C$14&gt;0,SUMIF('5. PERSON'!$B$17:$B$192,$C1730,'5. PERSON'!DP$17:DP$192),SUMIF('5. PERSON'!$B$17:$B$192,$C1730,'5. PERSON'!AV$17:AV$192))</f>
        <v>0</v>
      </c>
      <c r="F1733" s="751">
        <f>IF('2. START'!$C$14&gt;0,SUMIF('5. PERSON'!$B$17:$B$192,$C1730,'5. PERSON'!DQ$17:DQ$192),SUMIF('5. PERSON'!$B$17:$B$192,$C1730,'5. PERSON'!AW$17:AW$192))</f>
        <v>0</v>
      </c>
      <c r="G1733" s="751">
        <f>IF('2. START'!$C$14&gt;0,SUMIF('5. PERSON'!$B$17:$B$192,$C1730,'5. PERSON'!DR$17:DR$192),SUMIF('5. PERSON'!$B$17:$B$192,$C1730,'5. PERSON'!AX$17:AX$192))</f>
        <v>0</v>
      </c>
      <c r="H1733" s="751">
        <f>IF('2. START'!$C$14&gt;0,SUMIF('5. PERSON'!$B$17:$B$192,$C1730,'5. PERSON'!DS$17:DS$192),SUMIF('5. PERSON'!$B$17:$B$192,$C1730,'5. PERSON'!AY$17:AY$192))</f>
        <v>0</v>
      </c>
      <c r="I1733" s="751">
        <f>IF('2. START'!$C$14&gt;0,SUMIF('5. PERSON'!$B$17:$B$192,$C1730,'5. PERSON'!DT$17:DT$192),SUMIF('5. PERSON'!$B$17:$B$192,$C1730,'5. PERSON'!AZ$17:AZ$192))</f>
        <v>0</v>
      </c>
      <c r="J1733" s="751">
        <f>IF('2. START'!$C$14&gt;0,SUMIF('5. PERSON'!$B$17:$B$192,$C1730,'5. PERSON'!DU$17:DU$192),SUMIF('5. PERSON'!$B$17:$B$192,$C1730,'5. PERSON'!BA$17:BA$192))</f>
        <v>0</v>
      </c>
      <c r="K1733" s="751">
        <f>IF('2. START'!$C$14&gt;0,SUMIF('5. PERSON'!$B$17:$B$192,$C1730,'5. PERSON'!DV$17:DV$192),SUMIF('5. PERSON'!$B$17:$B$192,$C1730,'5. PERSON'!BB$17:BB$192))</f>
        <v>0</v>
      </c>
      <c r="L1733" s="751">
        <f>IF('2. START'!$C$14&gt;0,SUMIF('5. PERSON'!$B$17:$B$192,$C1730,'5. PERSON'!DW$17:DW$192),SUMIF('5. PERSON'!$B$17:$B$192,$C1730,'5. PERSON'!BC$17:BC$192))</f>
        <v>0</v>
      </c>
      <c r="M1733" s="752">
        <f t="shared" ref="M1733:M1738" si="376">SUM(C1733:L1733)</f>
        <v>0</v>
      </c>
      <c r="O1733" s="4"/>
    </row>
    <row r="1734" spans="2:15" s="3" customFormat="1" ht="12.75" customHeight="1" x14ac:dyDescent="0.25">
      <c r="B1734" s="80" t="str">
        <f>IF('1. INTRO'!I$2="English","Operating","Drift")</f>
        <v>Operating</v>
      </c>
      <c r="C1734" s="116">
        <f>SUMIF('6. OPERATION'!$B$17:$B$149,$C1730,'6. OPERATION'!W$17:W$149)</f>
        <v>0</v>
      </c>
      <c r="D1734" s="116">
        <f>SUMIF('6. OPERATION'!$B$17:$B$149,$C1730,'6. OPERATION'!X$17:X$149)</f>
        <v>0</v>
      </c>
      <c r="E1734" s="116">
        <f>SUMIF('6. OPERATION'!$B$17:$B$149,$C1730,'6. OPERATION'!Y$17:Y$149)</f>
        <v>0</v>
      </c>
      <c r="F1734" s="116">
        <f>SUMIF('6. OPERATION'!$B$17:$B$149,$C1730,'6. OPERATION'!Z$17:Z$149)</f>
        <v>0</v>
      </c>
      <c r="G1734" s="116">
        <f>SUMIF('6. OPERATION'!$B$17:$B$149,$C1730,'6. OPERATION'!AA$17:AA$149)</f>
        <v>0</v>
      </c>
      <c r="H1734" s="116">
        <f>SUMIF('6. OPERATION'!$B$17:$B$149,$C1730,'6. OPERATION'!AB$17:AB$149)</f>
        <v>0</v>
      </c>
      <c r="I1734" s="116">
        <f>SUMIF('6. OPERATION'!$B$17:$B$149,$C1730,'6. OPERATION'!AC$17:AC$149)</f>
        <v>0</v>
      </c>
      <c r="J1734" s="116">
        <f>SUMIF('6. OPERATION'!$B$17:$B$149,$C1730,'6. OPERATION'!AD$17:AD$149)</f>
        <v>0</v>
      </c>
      <c r="K1734" s="116">
        <f>SUMIF('6. OPERATION'!$B$17:$B$149,$C1730,'6. OPERATION'!AE$17:AE$149)</f>
        <v>0</v>
      </c>
      <c r="L1734" s="116">
        <f>SUMIF('6. OPERATION'!$B$17:$B$149,$C1730,'6. OPERATION'!AF$17:AF$149)</f>
        <v>0</v>
      </c>
      <c r="M1734" s="117">
        <f t="shared" si="376"/>
        <v>0</v>
      </c>
    </row>
    <row r="1735" spans="2:15" s="3" customFormat="1" ht="13.2" x14ac:dyDescent="0.25">
      <c r="B1735" s="753" t="str">
        <f>IF('1. INTRO'!I$2="English","Equipment","Utrustning")</f>
        <v>Equipment</v>
      </c>
      <c r="C1735" s="754">
        <f>SUMIF('7. INVEST'!$B$17:$B$49,$C1730,'7. INVEST'!W$17:W$49)</f>
        <v>0</v>
      </c>
      <c r="D1735" s="754">
        <f>SUMIF('7. INVEST'!$B$17:$B$49,$C1730,'7. INVEST'!X$17:X$49)</f>
        <v>0</v>
      </c>
      <c r="E1735" s="754">
        <f>SUMIF('7. INVEST'!$B$17:$B$49,$C1730,'7. INVEST'!Y$17:Y$49)</f>
        <v>0</v>
      </c>
      <c r="F1735" s="754">
        <f>SUMIF('7. INVEST'!$B$17:$B$49,$C1730,'7. INVEST'!Z$17:Z$49)</f>
        <v>0</v>
      </c>
      <c r="G1735" s="754">
        <f>SUMIF('7. INVEST'!$B$17:$B$49,$C1730,'7. INVEST'!AA$17:AA$49)</f>
        <v>0</v>
      </c>
      <c r="H1735" s="754">
        <f>SUMIF('7. INVEST'!$B$17:$B$49,$C1730,'7. INVEST'!AB$17:AB$49)</f>
        <v>0</v>
      </c>
      <c r="I1735" s="754">
        <f>SUMIF('7. INVEST'!$B$17:$B$49,$C1730,'7. INVEST'!AC$17:AC$49)</f>
        <v>0</v>
      </c>
      <c r="J1735" s="754">
        <f>SUMIF('7. INVEST'!$B$17:$B$49,$C1730,'7. INVEST'!AD$17:AD$49)</f>
        <v>0</v>
      </c>
      <c r="K1735" s="754">
        <f>SUMIF('7. INVEST'!$B$17:$B$49,$C1730,'7. INVEST'!AE$17:AE$49)</f>
        <v>0</v>
      </c>
      <c r="L1735" s="754">
        <f>SUMIF('7. INVEST'!$B$17:$B$49,$C1730,'7. INVEST'!AF$17:AF$49)</f>
        <v>0</v>
      </c>
      <c r="M1735" s="755">
        <f t="shared" si="376"/>
        <v>0</v>
      </c>
    </row>
    <row r="1736" spans="2:15" s="3" customFormat="1" ht="13.2" x14ac:dyDescent="0.25">
      <c r="B1736" s="121" t="str">
        <f>IF('1. INTRO'!I$2="English",(IF('2. START'!C$11="NO","Facility accepted as direct cost by funding body","Facility")),IF('2. START'!C$11="NO","Lokal accepterad som direkt kostnad av finansiär","Lokal"))</f>
        <v>Facility</v>
      </c>
      <c r="C1736" s="116">
        <f>IF('2. START'!$C$11="NO",SUMIF('8. FACILIT'!$B$18:$B$50,$C1730,'8. FACILIT'!T$18:T$50),SUMIF('5. PERSON'!$B$17:$B$192,$C1730,'5. PERSON'!CP$17:CP$192)+SUMIF('6. OPERATION'!$B$17:$B$149,$C1730,'6. OPERATION'!BS$17:BS$149)+SUMIF('8. FACILIT'!$B$18:$B$50,$C1730,'8. FACILIT'!T$18:T$50))</f>
        <v>0</v>
      </c>
      <c r="D1736" s="116">
        <f>IF('2. START'!$C$11="NO",SUMIF('8. FACILIT'!$B$18:$B$50,$C1730,'8. FACILIT'!U$18:U$50),SUMIF('5. PERSON'!$B$17:$B$192,$C1730,'5. PERSON'!CQ$17:CQ$192)+SUMIF('6. OPERATION'!$B$17:$B$149,$C1730,'6. OPERATION'!BT$17:BT$149)+SUMIF('8. FACILIT'!$B$18:$B$50,$C1730,'8. FACILIT'!U$18:U$50))</f>
        <v>0</v>
      </c>
      <c r="E1736" s="116">
        <f>IF('2. START'!$C$11="NO",SUMIF('8. FACILIT'!$B$18:$B$50,$C1730,'8. FACILIT'!V$18:V$50),SUMIF('5. PERSON'!$B$17:$B$192,$C1730,'5. PERSON'!CR$17:CR$192)+SUMIF('6. OPERATION'!$B$17:$B$149,$C1730,'6. OPERATION'!BU$17:BU$149)+SUMIF('8. FACILIT'!$B$18:$B$50,$C1730,'8. FACILIT'!V$18:V$50))</f>
        <v>0</v>
      </c>
      <c r="F1736" s="116">
        <f>IF('2. START'!$C$11="NO",SUMIF('8. FACILIT'!$B$18:$B$50,$C1730,'8. FACILIT'!W$18:W$50),SUMIF('5. PERSON'!$B$17:$B$192,$C1730,'5. PERSON'!CS$17:CS$192)+SUMIF('6. OPERATION'!$B$17:$B$149,$C1730,'6. OPERATION'!BV$17:BV$149)+SUMIF('8. FACILIT'!$B$18:$B$50,$C1730,'8. FACILIT'!W$18:W$50))</f>
        <v>0</v>
      </c>
      <c r="G1736" s="116">
        <f>IF('2. START'!$C$11="NO",SUMIF('8. FACILIT'!$B$18:$B$50,$C1730,'8. FACILIT'!X$18:X$50),SUMIF('5. PERSON'!$B$17:$B$192,$C1730,'5. PERSON'!CT$17:CT$192)+SUMIF('6. OPERATION'!$B$17:$B$149,$C1730,'6. OPERATION'!BW$17:BW$149)+SUMIF('8. FACILIT'!$B$18:$B$50,$C1730,'8. FACILIT'!X$18:X$50))</f>
        <v>0</v>
      </c>
      <c r="H1736" s="116">
        <f>IF('2. START'!$C$11="NO",SUMIF('8. FACILIT'!$B$18:$B$50,$C1730,'8. FACILIT'!Y$18:Y$50),SUMIF('5. PERSON'!$B$17:$B$192,$C1730,'5. PERSON'!CU$17:CU$192)+SUMIF('6. OPERATION'!$B$17:$B$149,$C1730,'6. OPERATION'!BX$17:BX$149)+SUMIF('8. FACILIT'!$B$18:$B$50,$C1730,'8. FACILIT'!Y$18:Y$50))</f>
        <v>0</v>
      </c>
      <c r="I1736" s="116">
        <f>IF('2. START'!$C$11="NO",SUMIF('8. FACILIT'!$B$18:$B$50,$C1730,'8. FACILIT'!Z$18:Z$50),SUMIF('5. PERSON'!$B$17:$B$192,$C1730,'5. PERSON'!CV$17:CV$192)+SUMIF('6. OPERATION'!$B$17:$B$149,$C1730,'6. OPERATION'!BY$17:BY$149)+SUMIF('8. FACILIT'!$B$18:$B$50,$C1730,'8. FACILIT'!Z$18:Z$50))</f>
        <v>0</v>
      </c>
      <c r="J1736" s="116">
        <f>IF('2. START'!$C$11="NO",SUMIF('8. FACILIT'!$B$18:$B$50,$C1730,'8. FACILIT'!AA$18:AA$50),SUMIF('5. PERSON'!$B$17:$B$192,$C1730,'5. PERSON'!CW$17:CW$192)+SUMIF('6. OPERATION'!$B$17:$B$149,$C1730,'6. OPERATION'!BZ$17:BZ$149)+SUMIF('8. FACILIT'!$B$18:$B$50,$C1730,'8. FACILIT'!AA$18:AA$50))</f>
        <v>0</v>
      </c>
      <c r="K1736" s="116">
        <f>IF('2. START'!$C$11="NO",SUMIF('8. FACILIT'!$B$18:$B$50,$C1730,'8. FACILIT'!AB$18:AB$50),SUMIF('5. PERSON'!$B$17:$B$192,$C1730,'5. PERSON'!CX$17:CX$192)+SUMIF('6. OPERATION'!$B$17:$B$149,$C1730,'6. OPERATION'!CA$17:CA$149)+SUMIF('8. FACILIT'!$B$18:$B$50,$C1730,'8. FACILIT'!AB$18:AB$50))</f>
        <v>0</v>
      </c>
      <c r="L1736" s="116">
        <f>IF('2. START'!$C$11="NO",SUMIF('8. FACILIT'!$B$18:$B$50,$C1730,'8. FACILIT'!AC$18:AC$50),SUMIF('5. PERSON'!$B$17:$B$192,$C1730,'5. PERSON'!CY$17:CY$192)+SUMIF('6. OPERATION'!$B$17:$B$149,$C1730,'6. OPERATION'!CB$17:CB$149)+SUMIF('8. FACILIT'!$B$18:$B$50,$C1730,'8. FACILIT'!AC$18:AC$50))</f>
        <v>0</v>
      </c>
      <c r="M1736" s="117">
        <f t="shared" si="376"/>
        <v>0</v>
      </c>
    </row>
    <row r="1737" spans="2:15" s="3" customFormat="1" ht="13.2" x14ac:dyDescent="0.25">
      <c r="B1737" s="756" t="str">
        <f>IF('1. INTRO'!I$2="English",(IF('2. START'!C$11="NO","Indirect and facility charge accepted as OH by funding body","Indirect")),IF('2. START'!C$11="NO","Indirekt och lokalpåslag accepterade som OH av finansiär","Indirekt"))</f>
        <v>Indirect</v>
      </c>
      <c r="C1737" s="757">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757">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757">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757">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757">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757">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757">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757">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757">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757">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755">
        <f t="shared" si="376"/>
        <v>0</v>
      </c>
    </row>
    <row r="1738" spans="2:15" s="3" customFormat="1" ht="13.2" x14ac:dyDescent="0.25">
      <c r="B1738" s="124" t="s">
        <v>113</v>
      </c>
      <c r="C1738" s="102">
        <f>SUM(C1733:C1737)</f>
        <v>0</v>
      </c>
      <c r="D1738" s="102">
        <f t="shared" ref="D1738:L1738" si="377">SUM(D1733:D1737)</f>
        <v>0</v>
      </c>
      <c r="E1738" s="102">
        <f t="shared" si="377"/>
        <v>0</v>
      </c>
      <c r="F1738" s="102">
        <f t="shared" si="377"/>
        <v>0</v>
      </c>
      <c r="G1738" s="102">
        <f t="shared" si="377"/>
        <v>0</v>
      </c>
      <c r="H1738" s="102">
        <f t="shared" si="377"/>
        <v>0</v>
      </c>
      <c r="I1738" s="102">
        <f t="shared" si="377"/>
        <v>0</v>
      </c>
      <c r="J1738" s="102">
        <f t="shared" si="377"/>
        <v>0</v>
      </c>
      <c r="K1738" s="102">
        <f t="shared" si="377"/>
        <v>0</v>
      </c>
      <c r="L1738" s="102">
        <f t="shared" si="377"/>
        <v>0</v>
      </c>
      <c r="M1738" s="125">
        <f t="shared" si="376"/>
        <v>0</v>
      </c>
    </row>
    <row r="1739" spans="2:15" s="3" customFormat="1" ht="6" customHeight="1" x14ac:dyDescent="0.25">
      <c r="B1739" s="126"/>
      <c r="C1739" s="127"/>
      <c r="D1739" s="127"/>
      <c r="E1739" s="127"/>
      <c r="F1739" s="127"/>
      <c r="G1739" s="127"/>
      <c r="H1739" s="127"/>
      <c r="I1739" s="127"/>
      <c r="J1739" s="127"/>
      <c r="K1739" s="127"/>
      <c r="L1739" s="127"/>
      <c r="M1739" s="128"/>
    </row>
    <row r="1740" spans="2:15" s="3" customFormat="1" ht="13.2" x14ac:dyDescent="0.25">
      <c r="B1740" s="129" t="str">
        <f>IF('1. INTRO'!I$2="English","Costs to be co-funded","Kostnader att medfinansiera")</f>
        <v>Costs to be co-funded</v>
      </c>
      <c r="C1740" s="86"/>
      <c r="D1740" s="86"/>
      <c r="E1740" s="86"/>
      <c r="F1740" s="86"/>
      <c r="G1740" s="86"/>
      <c r="H1740" s="86"/>
      <c r="I1740" s="86"/>
      <c r="J1740" s="86"/>
      <c r="K1740" s="86"/>
      <c r="L1740" s="86"/>
      <c r="M1740" s="130"/>
    </row>
    <row r="1741" spans="2:15" s="3" customFormat="1" ht="13.2" x14ac:dyDescent="0.25">
      <c r="B1741" s="758" t="str">
        <f>IF('1. INTRO'!I$2="English",(IF('2. START'!C$11="NO","Indirect and facility charge not accepted as OH by funding body","")),IF('2. START'!C$11="NO","Indirekt och lokalpåslag inte accepterade som OH av finansiär",""))</f>
        <v/>
      </c>
      <c r="C1741" s="759">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759">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759">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759">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759">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759">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759">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759">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759">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759">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752">
        <f t="shared" ref="M1741:M1747" si="378">SUM(C1741:L1741)</f>
        <v>0</v>
      </c>
    </row>
    <row r="1742" spans="2:15" s="3" customFormat="1" ht="12.75" customHeight="1" x14ac:dyDescent="0.25">
      <c r="B1742" s="132" t="str">
        <f>IF('1. INTRO'!I$2="English",(IF('2. START'!C$14&gt;0,"Social costs (LKP) not accepted by funding body","")),IF('2. START'!C$14&gt;0,"LKP som inte accepteras av finansiär",""))</f>
        <v/>
      </c>
      <c r="C1742" s="133">
        <f>IF('2. START'!$C$14&gt;0,SUMIF('5. PERSON'!$B$17:$B$192,$C1730,'5. PERSON'!AT$17:AT$192)-SUMIF('5. PERSON'!$B$17:$B$192,$C1730,'5. PERSON'!DN$17:DN$192),0)</f>
        <v>0</v>
      </c>
      <c r="D1742" s="133">
        <f>IF('2. START'!$C$14&gt;0,SUMIF('5. PERSON'!$B$17:$B$192,$C1730,'5. PERSON'!AU$17:AU$192)-SUMIF('5. PERSON'!$B$17:$B$192,$C1730,'5. PERSON'!DO$17:DO$192),0)</f>
        <v>0</v>
      </c>
      <c r="E1742" s="133">
        <f>IF('2. START'!$C$14&gt;0,SUMIF('5. PERSON'!$B$17:$B$192,$C1730,'5. PERSON'!AV$17:AV$192)-SUMIF('5. PERSON'!$B$17:$B$192,$C1730,'5. PERSON'!DP$17:DP$192),0)</f>
        <v>0</v>
      </c>
      <c r="F1742" s="133">
        <f>IF('2. START'!$C$14&gt;0,SUMIF('5. PERSON'!$B$17:$B$192,$C1730,'5. PERSON'!AW$17:AW$192)-SUMIF('5. PERSON'!$B$17:$B$192,$C1730,'5. PERSON'!DQ$17:DQ$192),0)</f>
        <v>0</v>
      </c>
      <c r="G1742" s="133">
        <f>IF('2. START'!$C$14&gt;0,SUMIF('5. PERSON'!$B$17:$B$192,$C1730,'5. PERSON'!AX$17:AX$192)-SUMIF('5. PERSON'!$B$17:$B$192,$C1730,'5. PERSON'!DR$17:DR$192),0)</f>
        <v>0</v>
      </c>
      <c r="H1742" s="133">
        <f>IF('2. START'!$C$14&gt;0,SUMIF('5. PERSON'!$B$17:$B$192,$C1730,'5. PERSON'!AY$17:AY$192)-SUMIF('5. PERSON'!$B$17:$B$192,$C1730,'5. PERSON'!DS$17:DS$192),0)</f>
        <v>0</v>
      </c>
      <c r="I1742" s="133">
        <f>IF('2. START'!$C$14&gt;0,SUMIF('5. PERSON'!$B$17:$B$192,$C1730,'5. PERSON'!AZ$17:AZ$192)-SUMIF('5. PERSON'!$B$17:$B$192,$C1730,'5. PERSON'!DT$17:DT$192),0)</f>
        <v>0</v>
      </c>
      <c r="J1742" s="133">
        <f>IF('2. START'!$C$14&gt;0,SUMIF('5. PERSON'!$B$17:$B$192,$C1730,'5. PERSON'!BA$17:BA$192)-SUMIF('5. PERSON'!$B$17:$B$192,$C1730,'5. PERSON'!DU$17:DU$192),0)</f>
        <v>0</v>
      </c>
      <c r="K1742" s="133">
        <f>IF('2. START'!$C$14&gt;0,SUMIF('5. PERSON'!$B$17:$B$192,$C1730,'5. PERSON'!BB$17:BB$192)-SUMIF('5. PERSON'!$B$17:$B$192,$C1730,'5. PERSON'!DV$17:DV$192),0)</f>
        <v>0</v>
      </c>
      <c r="L1742" s="133">
        <f>IF('2. START'!$C$14&gt;0,SUMIF('5. PERSON'!$B$17:$B$192,$C1730,'5. PERSON'!BC$17:BC$192)-SUMIF('5. PERSON'!$B$17:$B$192,$C1730,'5. PERSON'!DW$17:DW$192),0)</f>
        <v>0</v>
      </c>
      <c r="M1742" s="117">
        <f t="shared" si="378"/>
        <v>0</v>
      </c>
    </row>
    <row r="1743" spans="2:15" s="3" customFormat="1" ht="12.75" customHeight="1" x14ac:dyDescent="0.25">
      <c r="B1743" s="753" t="str">
        <f>IF('1. INTRO'!I$2="English",(IF('5. PERSON'!BP$193&gt;0,"Salary including social costs (LKP)","")),IF('5. PERSON'!BP$193&gt;0,"Lön inklusive LKP",""))</f>
        <v/>
      </c>
      <c r="C1743" s="760">
        <f>SUMIF('5. PERSON'!$B$17:$B$192,$C1730,'5. PERSON'!BF$17:BF$192)</f>
        <v>0</v>
      </c>
      <c r="D1743" s="760">
        <f>SUMIF('5. PERSON'!$B$17:$B$192,$C1730,'5. PERSON'!BG$17:BG$192)</f>
        <v>0</v>
      </c>
      <c r="E1743" s="760">
        <f>SUMIF('5. PERSON'!$B$17:$B$192,$C1730,'5. PERSON'!BH$17:BH$192)</f>
        <v>0</v>
      </c>
      <c r="F1743" s="760">
        <f>SUMIF('5. PERSON'!$B$17:$B$192,$C1730,'5. PERSON'!BI$17:BI$192)</f>
        <v>0</v>
      </c>
      <c r="G1743" s="760">
        <f>SUMIF('5. PERSON'!$B$17:$B$192,$C1730,'5. PERSON'!BJ$17:BJ$192)</f>
        <v>0</v>
      </c>
      <c r="H1743" s="760">
        <f>SUMIF('5. PERSON'!$B$17:$B$192,$C1730,'5. PERSON'!BK$17:BK$192)</f>
        <v>0</v>
      </c>
      <c r="I1743" s="760">
        <f>SUMIF('5. PERSON'!$B$17:$B$192,$C1730,'5. PERSON'!BL$17:BL$192)</f>
        <v>0</v>
      </c>
      <c r="J1743" s="760">
        <f>SUMIF('5. PERSON'!$B$17:$B$192,$C1730,'5. PERSON'!BM$17:BM$192)</f>
        <v>0</v>
      </c>
      <c r="K1743" s="760">
        <f>SUMIF('5. PERSON'!$B$17:$B$192,$C1730,'5. PERSON'!BN$17:BN$192)</f>
        <v>0</v>
      </c>
      <c r="L1743" s="760">
        <f>SUMIF('5. PERSON'!$B$17:$B$192,$C1730,'5. PERSON'!BO$17:BO$192)</f>
        <v>0</v>
      </c>
      <c r="M1743" s="755">
        <f t="shared" si="378"/>
        <v>0</v>
      </c>
    </row>
    <row r="1744" spans="2:15" s="3" customFormat="1" ht="13.2" x14ac:dyDescent="0.25">
      <c r="B1744" s="80" t="str">
        <f>IF('1. INTRO'!I$2="English",(IF('6. OPERATION'!AS$150&gt;0,"Operating","")),IF('6. OPERATION'!AS$150&gt;0,"Drift",""))</f>
        <v/>
      </c>
      <c r="C1744" s="135">
        <f>SUMIF('6. OPERATION'!$B$17:$B$149,$C1730,'6. OPERATION'!AI$17:AI$149)</f>
        <v>0</v>
      </c>
      <c r="D1744" s="135">
        <f>SUMIF('6. OPERATION'!$B$17:$B$149,$C1730,'6. OPERATION'!AJ$17:AJ$149)</f>
        <v>0</v>
      </c>
      <c r="E1744" s="135">
        <f>SUMIF('6. OPERATION'!$B$17:$B$149,$C1730,'6. OPERATION'!AK$17:AK$149)</f>
        <v>0</v>
      </c>
      <c r="F1744" s="135">
        <f>SUMIF('6. OPERATION'!$B$17:$B$149,$C1730,'6. OPERATION'!AL$17:AL$149)</f>
        <v>0</v>
      </c>
      <c r="G1744" s="135">
        <f>SUMIF('6. OPERATION'!$B$17:$B$149,$C1730,'6. OPERATION'!AM$17:AM$149)</f>
        <v>0</v>
      </c>
      <c r="H1744" s="135">
        <f>SUMIF('6. OPERATION'!$B$17:$B$149,$C1730,'6. OPERATION'!AN$17:AN$149)</f>
        <v>0</v>
      </c>
      <c r="I1744" s="135">
        <f>SUMIF('6. OPERATION'!$B$17:$B$149,$C1730,'6. OPERATION'!AO$17:AO$149)</f>
        <v>0</v>
      </c>
      <c r="J1744" s="135">
        <f>SUMIF('6. OPERATION'!$B$17:$B$149,$C1730,'6. OPERATION'!AP$17:AP$149)</f>
        <v>0</v>
      </c>
      <c r="K1744" s="135">
        <f>SUMIF('6. OPERATION'!$B$17:$B$149,$C1730,'6. OPERATION'!AQ$17:AQ$149)</f>
        <v>0</v>
      </c>
      <c r="L1744" s="135">
        <f>SUMIF('6. OPERATION'!$B$17:$B$149,$C1730,'6. OPERATION'!AR$17:AR$149)</f>
        <v>0</v>
      </c>
      <c r="M1744" s="117">
        <f t="shared" si="378"/>
        <v>0</v>
      </c>
    </row>
    <row r="1745" spans="2:15" s="3" customFormat="1" ht="13.2" x14ac:dyDescent="0.25">
      <c r="B1745" s="753" t="str">
        <f>IF('1. INTRO'!I$2="English",(IF('7. INVEST'!AS$50&gt;0,"Equipment","")),IF('7. INVEST'!AS$50&gt;0,"Utrustning",""))</f>
        <v/>
      </c>
      <c r="C1745" s="760">
        <f>SUMIF('7. INVEST'!$B$17:$B$49,$C1730,'7. INVEST'!AI$17:AI$49)</f>
        <v>0</v>
      </c>
      <c r="D1745" s="760">
        <f>SUMIF('7. INVEST'!$B$17:$B$49,$C1730,'7. INVEST'!AJ$17:AJ$49)</f>
        <v>0</v>
      </c>
      <c r="E1745" s="760">
        <f>SUMIF('7. INVEST'!$B$17:$B$49,$C1730,'7. INVEST'!AK$17:AK$49)</f>
        <v>0</v>
      </c>
      <c r="F1745" s="760">
        <f>SUMIF('7. INVEST'!$B$17:$B$49,$C1730,'7. INVEST'!AL$17:AL$49)</f>
        <v>0</v>
      </c>
      <c r="G1745" s="760">
        <f>SUMIF('7. INVEST'!$B$17:$B$49,$C1730,'7. INVEST'!AM$17:AM$49)</f>
        <v>0</v>
      </c>
      <c r="H1745" s="760">
        <f>SUMIF('7. INVEST'!$B$17:$B$49,$C1730,'7. INVEST'!AN$17:AN$49)</f>
        <v>0</v>
      </c>
      <c r="I1745" s="760">
        <f>SUMIF('7. INVEST'!$B$17:$B$49,$C1730,'7. INVEST'!AO$17:AO$49)</f>
        <v>0</v>
      </c>
      <c r="J1745" s="760">
        <f>SUMIF('7. INVEST'!$B$17:$B$49,$C1730,'7. INVEST'!AP$17:AP$49)</f>
        <v>0</v>
      </c>
      <c r="K1745" s="760">
        <f>SUMIF('7. INVEST'!$B$17:$B$49,$C1730,'7. INVEST'!AQ$17:AQ$49)</f>
        <v>0</v>
      </c>
      <c r="L1745" s="760">
        <f>SUMIF('7. INVEST'!$B$17:$B$49,$C1730,'7. INVEST'!AR$17:AR$49)</f>
        <v>0</v>
      </c>
      <c r="M1745" s="755">
        <f t="shared" si="378"/>
        <v>0</v>
      </c>
    </row>
    <row r="1746" spans="2:15" s="3" customFormat="1" ht="13.2" x14ac:dyDescent="0.25">
      <c r="B1746" s="121" t="str">
        <f>IF('1. INTRO'!I$2="English",(IF('8. FACILIT'!AP$51&gt;0,"Facility","")),IF('8. FACILIT'!AP$51&gt;0,"Lokal",""))</f>
        <v/>
      </c>
      <c r="C1746" s="135">
        <f>SUMIF('5. PERSON'!$B$17:$B$192,$C1730,'5. PERSON'!DB$17:DB$192)+SUMIF('6. OPERATION'!$B$17:$B$149,$C1730,'6. OPERATION'!CE$17:CE$149)+SUMIF('8. FACILIT'!$B$18:$B$50,$C1730,'8. FACILIT'!AF$18:AF$50)</f>
        <v>0</v>
      </c>
      <c r="D1746" s="135">
        <f>SUMIF('5. PERSON'!$B$17:$B$192,$C1730,'5. PERSON'!DC$17:DC$192)+SUMIF('6. OPERATION'!$B$17:$B$149,$C1730,'6. OPERATION'!CF$17:CF$149)+SUMIF('8. FACILIT'!$B$18:$B$50,$C1730,'8. FACILIT'!AG$18:AG$50)</f>
        <v>0</v>
      </c>
      <c r="E1746" s="135">
        <f>SUMIF('5. PERSON'!$B$17:$B$192,$C1730,'5. PERSON'!DD$17:DD$192)+SUMIF('6. OPERATION'!$B$17:$B$149,$C1730,'6. OPERATION'!CG$17:CG$149)+SUMIF('8. FACILIT'!$B$18:$B$50,$C1730,'8. FACILIT'!AH$18:AH$50)</f>
        <v>0</v>
      </c>
      <c r="F1746" s="135">
        <f>SUMIF('5. PERSON'!$B$17:$B$192,$C1730,'5. PERSON'!DE$17:DE$192)+SUMIF('6. OPERATION'!$B$17:$B$149,$C1730,'6. OPERATION'!CH$17:CH$149)+SUMIF('8. FACILIT'!$B$18:$B$50,$C1730,'8. FACILIT'!AI$18:AI$50)</f>
        <v>0</v>
      </c>
      <c r="G1746" s="135">
        <f>SUMIF('5. PERSON'!$B$17:$B$192,$C1730,'5. PERSON'!DF$17:DF$192)+SUMIF('6. OPERATION'!$B$17:$B$149,$C1730,'6. OPERATION'!CI$17:CI$149)+SUMIF('8. FACILIT'!$B$18:$B$50,$C1730,'8. FACILIT'!AJ$18:AJ$50)</f>
        <v>0</v>
      </c>
      <c r="H1746" s="135">
        <f>SUMIF('5. PERSON'!$B$17:$B$192,$C1730,'5. PERSON'!DG$17:DG$192)+SUMIF('6. OPERATION'!$B$17:$B$149,$C1730,'6. OPERATION'!CJ$17:CJ$149)+SUMIF('8. FACILIT'!$B$18:$B$50,$C1730,'8. FACILIT'!AK$18:AK$50)</f>
        <v>0</v>
      </c>
      <c r="I1746" s="135">
        <f>SUMIF('5. PERSON'!$B$17:$B$192,$C1730,'5. PERSON'!DH$17:DH$192)+SUMIF('6. OPERATION'!$B$17:$B$149,$C1730,'6. OPERATION'!CK$17:CK$149)+SUMIF('8. FACILIT'!$B$18:$B$50,$C1730,'8. FACILIT'!AL$18:AL$50)</f>
        <v>0</v>
      </c>
      <c r="J1746" s="135">
        <f>SUMIF('5. PERSON'!$B$17:$B$192,$C1730,'5. PERSON'!DI$17:DI$192)+SUMIF('6. OPERATION'!$B$17:$B$149,$C1730,'6. OPERATION'!CL$17:CL$149)+SUMIF('8. FACILIT'!$B$18:$B$50,$C1730,'8. FACILIT'!AM$18:AM$50)</f>
        <v>0</v>
      </c>
      <c r="K1746" s="135">
        <f>SUMIF('5. PERSON'!$B$17:$B$192,$C1730,'5. PERSON'!DJ$17:DJ$192)+SUMIF('6. OPERATION'!$B$17:$B$149,$C1730,'6. OPERATION'!CM$17:CM$149)+SUMIF('8. FACILIT'!$B$18:$B$50,$C1730,'8. FACILIT'!AN$18:AN$50)</f>
        <v>0</v>
      </c>
      <c r="L1746" s="135">
        <f>SUMIF('5. PERSON'!$B$17:$B$192,$C1730,'5. PERSON'!DK$17:DK$192)+SUMIF('6. OPERATION'!$B$17:$B$149,$C1730,'6. OPERATION'!CN$17:CN$149)+SUMIF('8. FACILIT'!$B$18:$B$50,$C1730,'8. FACILIT'!AO$18:AO$50)</f>
        <v>0</v>
      </c>
      <c r="M1746" s="117">
        <f t="shared" si="378"/>
        <v>0</v>
      </c>
    </row>
    <row r="1747" spans="2:15" s="1" customFormat="1" ht="13.2" x14ac:dyDescent="0.25">
      <c r="B1747" s="756" t="str">
        <f>IF('1. INTRO'!I$2="English",(IF(('5. PERSON'!CN$193+'6. OPERATION'!BQ$150)&gt;0,"Indirect","")),IF(('5. PERSON'!CN$193+'6. OPERATION'!BQ$150)&gt;0,"Indirekt",""))</f>
        <v/>
      </c>
      <c r="C1747" s="757">
        <f>SUMIF('5. PERSON'!$B$17:$B$192,$C1730,'5. PERSON'!CD$17:CD$192)+SUMIF('6. OPERATION'!$B$17:$B$149,$C1730,'6. OPERATION'!BG$17:BG$149)</f>
        <v>0</v>
      </c>
      <c r="D1747" s="757">
        <f>SUMIF('5. PERSON'!$B$17:$B$192,$C1730,'5. PERSON'!CE$17:CE$192)+SUMIF('6. OPERATION'!$B$17:$B$149,$C1730,'6. OPERATION'!BH$17:BH$149)</f>
        <v>0</v>
      </c>
      <c r="E1747" s="757">
        <f>SUMIF('5. PERSON'!$B$17:$B$192,$C1730,'5. PERSON'!CF$17:CF$192)+SUMIF('6. OPERATION'!$B$17:$B$149,$C1730,'6. OPERATION'!BI$17:BI$149)</f>
        <v>0</v>
      </c>
      <c r="F1747" s="757">
        <f>SUMIF('5. PERSON'!$B$17:$B$192,$C1730,'5. PERSON'!CG$17:CG$192)+SUMIF('6. OPERATION'!$B$17:$B$149,$C1730,'6. OPERATION'!BJ$17:BJ$149)</f>
        <v>0</v>
      </c>
      <c r="G1747" s="757">
        <f>SUMIF('5. PERSON'!$B$17:$B$192,$C1730,'5. PERSON'!CH$17:CH$192)+SUMIF('6. OPERATION'!$B$17:$B$149,$C1730,'6. OPERATION'!BK$17:BK$149)</f>
        <v>0</v>
      </c>
      <c r="H1747" s="757">
        <f>SUMIF('5. PERSON'!$B$17:$B$192,$C1730,'5. PERSON'!CI$17:CI$192)+SUMIF('6. OPERATION'!$B$17:$B$149,$C1730,'6. OPERATION'!BL$17:BL$149)</f>
        <v>0</v>
      </c>
      <c r="I1747" s="757">
        <f>SUMIF('5. PERSON'!$B$17:$B$192,$C1730,'5. PERSON'!CJ$17:CJ$192)+SUMIF('6. OPERATION'!$B$17:$B$149,$C1730,'6. OPERATION'!BM$17:BM$149)</f>
        <v>0</v>
      </c>
      <c r="J1747" s="757">
        <f>SUMIF('5. PERSON'!$B$17:$B$192,$C1730,'5. PERSON'!CK$17:CK$192)+SUMIF('6. OPERATION'!$B$17:$B$149,$C1730,'6. OPERATION'!BN$17:BN$149)</f>
        <v>0</v>
      </c>
      <c r="K1747" s="757">
        <f>SUMIF('5. PERSON'!$B$17:$B$192,$C1730,'5. PERSON'!CL$17:CL$192)+SUMIF('6. OPERATION'!$B$17:$B$149,$C1730,'6. OPERATION'!BO$17:BO$149)</f>
        <v>0</v>
      </c>
      <c r="L1747" s="757">
        <f>SUMIF('5. PERSON'!$B$17:$B$192,$C1730,'5. PERSON'!CM$17:CM$192)+SUMIF('6. OPERATION'!$B$17:$B$149,$C1730,'6. OPERATION'!BP$17:BP$149)</f>
        <v>0</v>
      </c>
      <c r="M1747" s="761">
        <f t="shared" si="378"/>
        <v>0</v>
      </c>
    </row>
    <row r="1748" spans="2:15" s="3" customFormat="1" ht="13.2" x14ac:dyDescent="0.25">
      <c r="B1748" s="124" t="s">
        <v>113</v>
      </c>
      <c r="C1748" s="102">
        <f>SUM(C1741:C1747)</f>
        <v>0</v>
      </c>
      <c r="D1748" s="102">
        <f t="shared" ref="D1748:M1748" si="379">SUM(D1741:D1747)</f>
        <v>0</v>
      </c>
      <c r="E1748" s="102">
        <f t="shared" si="379"/>
        <v>0</v>
      </c>
      <c r="F1748" s="102">
        <f t="shared" si="379"/>
        <v>0</v>
      </c>
      <c r="G1748" s="102">
        <f t="shared" si="379"/>
        <v>0</v>
      </c>
      <c r="H1748" s="102">
        <f t="shared" si="379"/>
        <v>0</v>
      </c>
      <c r="I1748" s="102">
        <f t="shared" si="379"/>
        <v>0</v>
      </c>
      <c r="J1748" s="102">
        <f t="shared" si="379"/>
        <v>0</v>
      </c>
      <c r="K1748" s="102">
        <f t="shared" si="379"/>
        <v>0</v>
      </c>
      <c r="L1748" s="102">
        <f t="shared" si="379"/>
        <v>0</v>
      </c>
      <c r="M1748" s="125">
        <f t="shared" si="379"/>
        <v>0</v>
      </c>
      <c r="N1748" s="23"/>
      <c r="O1748" s="23"/>
    </row>
    <row r="1749" spans="2:15" s="3" customFormat="1" ht="6" customHeight="1" x14ac:dyDescent="0.25">
      <c r="B1749" s="136"/>
      <c r="C1749" s="127"/>
      <c r="D1749" s="127"/>
      <c r="E1749" s="127"/>
      <c r="F1749" s="127"/>
      <c r="G1749" s="127"/>
      <c r="H1749" s="127"/>
      <c r="I1749" s="127"/>
      <c r="J1749" s="127"/>
      <c r="K1749" s="127"/>
      <c r="L1749" s="127"/>
      <c r="M1749" s="137"/>
    </row>
    <row r="1750" spans="2:15" s="3" customFormat="1" ht="13.2" x14ac:dyDescent="0.25">
      <c r="B1750" s="129" t="str">
        <f>IF('1. INTRO'!I$2="English","Full cost","Full kostnad")</f>
        <v>Full cost</v>
      </c>
      <c r="C1750" s="127"/>
      <c r="D1750" s="127"/>
      <c r="E1750" s="127"/>
      <c r="F1750" s="127"/>
      <c r="G1750" s="127"/>
      <c r="H1750" s="127"/>
      <c r="I1750" s="127"/>
      <c r="J1750" s="127"/>
      <c r="K1750" s="127"/>
      <c r="L1750" s="127"/>
      <c r="M1750" s="137"/>
    </row>
    <row r="1751" spans="2:15" s="3" customFormat="1" ht="13.2" x14ac:dyDescent="0.25">
      <c r="B1751" s="750" t="str">
        <f>IF('1. INTRO'!I$2="English","Salary including social costs (LKP)","Lön inklusive LKP")</f>
        <v>Salary including social costs (LKP)</v>
      </c>
      <c r="C1751" s="762">
        <f>C1733+C1742+C1743</f>
        <v>0</v>
      </c>
      <c r="D1751" s="762">
        <f t="shared" ref="D1751:L1751" si="380">D1733+D1742+D1743</f>
        <v>0</v>
      </c>
      <c r="E1751" s="762">
        <f t="shared" si="380"/>
        <v>0</v>
      </c>
      <c r="F1751" s="762">
        <f t="shared" si="380"/>
        <v>0</v>
      </c>
      <c r="G1751" s="762">
        <f t="shared" si="380"/>
        <v>0</v>
      </c>
      <c r="H1751" s="762">
        <f t="shared" si="380"/>
        <v>0</v>
      </c>
      <c r="I1751" s="762">
        <f t="shared" si="380"/>
        <v>0</v>
      </c>
      <c r="J1751" s="762">
        <f t="shared" si="380"/>
        <v>0</v>
      </c>
      <c r="K1751" s="762">
        <f t="shared" si="380"/>
        <v>0</v>
      </c>
      <c r="L1751" s="762">
        <f t="shared" si="380"/>
        <v>0</v>
      </c>
      <c r="M1751" s="752">
        <f>SUM(C1751:L1751)</f>
        <v>0</v>
      </c>
    </row>
    <row r="1752" spans="2:15" s="3" customFormat="1" ht="13.2" x14ac:dyDescent="0.25">
      <c r="B1752" s="80" t="str">
        <f>IF('1. INTRO'!I$2="English","Operating","Drift")</f>
        <v>Operating</v>
      </c>
      <c r="C1752" s="139">
        <f>C1734+C1744</f>
        <v>0</v>
      </c>
      <c r="D1752" s="139">
        <f t="shared" ref="D1752:L1752" si="381">D1734+D1744</f>
        <v>0</v>
      </c>
      <c r="E1752" s="139">
        <f t="shared" si="381"/>
        <v>0</v>
      </c>
      <c r="F1752" s="139">
        <f t="shared" si="381"/>
        <v>0</v>
      </c>
      <c r="G1752" s="139">
        <f t="shared" si="381"/>
        <v>0</v>
      </c>
      <c r="H1752" s="139">
        <f t="shared" si="381"/>
        <v>0</v>
      </c>
      <c r="I1752" s="139">
        <f t="shared" si="381"/>
        <v>0</v>
      </c>
      <c r="J1752" s="139">
        <f t="shared" si="381"/>
        <v>0</v>
      </c>
      <c r="K1752" s="139">
        <f t="shared" si="381"/>
        <v>0</v>
      </c>
      <c r="L1752" s="139">
        <f t="shared" si="381"/>
        <v>0</v>
      </c>
      <c r="M1752" s="117">
        <f>SUM(C1752:L1752)</f>
        <v>0</v>
      </c>
    </row>
    <row r="1753" spans="2:15" s="3" customFormat="1" ht="13.2" x14ac:dyDescent="0.25">
      <c r="B1753" s="753" t="str">
        <f>IF('1. INTRO'!I$2="English","Equipment","Utrustning")</f>
        <v>Equipment</v>
      </c>
      <c r="C1753" s="763">
        <f>C1735+C1745</f>
        <v>0</v>
      </c>
      <c r="D1753" s="763">
        <f t="shared" ref="D1753:L1753" si="382">D1735+D1745</f>
        <v>0</v>
      </c>
      <c r="E1753" s="763">
        <f t="shared" si="382"/>
        <v>0</v>
      </c>
      <c r="F1753" s="763">
        <f t="shared" si="382"/>
        <v>0</v>
      </c>
      <c r="G1753" s="763">
        <f t="shared" si="382"/>
        <v>0</v>
      </c>
      <c r="H1753" s="763">
        <f t="shared" si="382"/>
        <v>0</v>
      </c>
      <c r="I1753" s="763">
        <f t="shared" si="382"/>
        <v>0</v>
      </c>
      <c r="J1753" s="763">
        <f t="shared" si="382"/>
        <v>0</v>
      </c>
      <c r="K1753" s="763">
        <f t="shared" si="382"/>
        <v>0</v>
      </c>
      <c r="L1753" s="763">
        <f t="shared" si="382"/>
        <v>0</v>
      </c>
      <c r="M1753" s="755">
        <f>SUM(C1753:L1753)</f>
        <v>0</v>
      </c>
    </row>
    <row r="1754" spans="2:15" s="3" customFormat="1" ht="13.2" x14ac:dyDescent="0.25">
      <c r="B1754" s="80" t="str">
        <f>IF('1. INTRO'!I$2="English","Facility","Lokal")</f>
        <v>Facility</v>
      </c>
      <c r="C1754" s="139">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39">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39">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39">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39">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39">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39">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39">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39">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39">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117">
        <f>SUM(C1754:L1754)</f>
        <v>0</v>
      </c>
    </row>
    <row r="1755" spans="2:15" s="3" customFormat="1" ht="13.2" x14ac:dyDescent="0.25">
      <c r="B1755" s="764" t="str">
        <f>IF('1. INTRO'!I$2="English","Indirect","Indirekt")</f>
        <v>Indirect</v>
      </c>
      <c r="C1755" s="765">
        <f>SUMIF('5. PERSON'!$B$17:$B$192,$C1730,'5. PERSON'!BR$17:BR$192)+SUMIF('5. PERSON'!$B$17:$B$192,$C1730,'5. PERSON'!CD$17:CD$192)+SUMIF('6. OPERATION'!$B$17:$B$149,$C1730,'6. OPERATION'!AU$17:AU$149)+SUMIF('6. OPERATION'!$B$17:$B$149,$C1730,'6. OPERATION'!BG$17:BG$149)</f>
        <v>0</v>
      </c>
      <c r="D1755" s="765">
        <f>SUMIF('5. PERSON'!$B$17:$B$192,$C1730,'5. PERSON'!BS$17:BS$192)+SUMIF('5. PERSON'!$B$17:$B$192,$C1730,'5. PERSON'!CE$17:CE$192)+SUMIF('6. OPERATION'!$B$17:$B$149,$C1730,'6. OPERATION'!AV$17:AV$149)+SUMIF('6. OPERATION'!$B$17:$B$149,$C1730,'6. OPERATION'!BH$17:BH$149)</f>
        <v>0</v>
      </c>
      <c r="E1755" s="765">
        <f>SUMIF('5. PERSON'!$B$17:$B$192,$C1730,'5. PERSON'!BT$17:BT$192)+SUMIF('5. PERSON'!$B$17:$B$192,$C1730,'5. PERSON'!CF$17:CF$192)+SUMIF('6. OPERATION'!$B$17:$B$149,$C1730,'6. OPERATION'!AW$17:AW$149)+SUMIF('6. OPERATION'!$B$17:$B$149,$C1730,'6. OPERATION'!BI$17:BI$149)</f>
        <v>0</v>
      </c>
      <c r="F1755" s="765">
        <f>SUMIF('5. PERSON'!$B$17:$B$192,$C1730,'5. PERSON'!BU$17:BU$192)+SUMIF('5. PERSON'!$B$17:$B$192,$C1730,'5. PERSON'!CG$17:CG$192)+SUMIF('6. OPERATION'!$B$17:$B$149,$C1730,'6. OPERATION'!AX$17:AX$149)+SUMIF('6. OPERATION'!$B$17:$B$149,$C1730,'6. OPERATION'!BJ$17:BJ$149)</f>
        <v>0</v>
      </c>
      <c r="G1755" s="765">
        <f>SUMIF('5. PERSON'!$B$17:$B$192,$C1730,'5. PERSON'!BV$17:BV$192)+SUMIF('5. PERSON'!$B$17:$B$192,$C1730,'5. PERSON'!CH$17:CH$192)+SUMIF('6. OPERATION'!$B$17:$B$149,$C1730,'6. OPERATION'!AY$17:AY$149)+SUMIF('6. OPERATION'!$B$17:$B$149,$C1730,'6. OPERATION'!BK$17:BK$149)</f>
        <v>0</v>
      </c>
      <c r="H1755" s="765">
        <f>SUMIF('5. PERSON'!$B$17:$B$192,$C1730,'5. PERSON'!BW$17:BW$192)+SUMIF('5. PERSON'!$B$17:$B$192,$C1730,'5. PERSON'!CI$17:CI$192)+SUMIF('6. OPERATION'!$B$17:$B$149,$C1730,'6. OPERATION'!AZ$17:AZ$149)+SUMIF('6. OPERATION'!$B$17:$B$149,$C1730,'6. OPERATION'!BL$17:BL$149)</f>
        <v>0</v>
      </c>
      <c r="I1755" s="765">
        <f>SUMIF('5. PERSON'!$B$17:$B$192,$C1730,'5. PERSON'!BX$17:BX$192)+SUMIF('5. PERSON'!$B$17:$B$192,$C1730,'5. PERSON'!CJ$17:CJ$192)+SUMIF('6. OPERATION'!$B$17:$B$149,$C1730,'6. OPERATION'!BA$17:BA$149)+SUMIF('6. OPERATION'!$B$17:$B$149,$C1730,'6. OPERATION'!BM$17:BM$149)</f>
        <v>0</v>
      </c>
      <c r="J1755" s="765">
        <f>SUMIF('5. PERSON'!$B$17:$B$192,$C1730,'5. PERSON'!BY$17:BY$192)+SUMIF('5. PERSON'!$B$17:$B$192,$C1730,'5. PERSON'!CK$17:CK$192)+SUMIF('6. OPERATION'!$B$17:$B$149,$C1730,'6. OPERATION'!BB$17:BB$149)+SUMIF('6. OPERATION'!$B$17:$B$149,$C1730,'6. OPERATION'!BN$17:BN$149)</f>
        <v>0</v>
      </c>
      <c r="K1755" s="765">
        <f>SUMIF('5. PERSON'!$B$17:$B$192,$C1730,'5. PERSON'!BZ$17:BZ$192)+SUMIF('5. PERSON'!$B$17:$B$192,$C1730,'5. PERSON'!CL$17:CL$192)+SUMIF('6. OPERATION'!$B$17:$B$149,$C1730,'6. OPERATION'!BC$17:BC$149)+SUMIF('6. OPERATION'!$B$17:$B$149,$C1730,'6. OPERATION'!BO$17:BO$149)</f>
        <v>0</v>
      </c>
      <c r="L1755" s="765">
        <f>SUMIF('5. PERSON'!$B$17:$B$192,$C1730,'5. PERSON'!CA$17:CA$192)+SUMIF('5. PERSON'!$B$17:$B$192,$C1730,'5. PERSON'!CM$17:CM$192)+SUMIF('6. OPERATION'!$B$17:$B$149,$C1730,'6. OPERATION'!BD$17:BD$149)+SUMIF('6. OPERATION'!$B$17:$B$149,$C1730,'6. OPERATION'!BP$17:BP$149)</f>
        <v>0</v>
      </c>
      <c r="M1755" s="761">
        <f>SUM(C1755:L1755)</f>
        <v>0</v>
      </c>
    </row>
    <row r="1756" spans="2:15" s="3" customFormat="1" ht="13.2" x14ac:dyDescent="0.25">
      <c r="B1756" s="124" t="s">
        <v>113</v>
      </c>
      <c r="C1756" s="88">
        <f>SUM(C1751:C1755)</f>
        <v>0</v>
      </c>
      <c r="D1756" s="88">
        <f t="shared" ref="D1756:M1756" si="383">SUM(D1751:D1755)</f>
        <v>0</v>
      </c>
      <c r="E1756" s="88">
        <f t="shared" si="383"/>
        <v>0</v>
      </c>
      <c r="F1756" s="88">
        <f t="shared" si="383"/>
        <v>0</v>
      </c>
      <c r="G1756" s="88">
        <f t="shared" si="383"/>
        <v>0</v>
      </c>
      <c r="H1756" s="88">
        <f t="shared" si="383"/>
        <v>0</v>
      </c>
      <c r="I1756" s="88">
        <f t="shared" si="383"/>
        <v>0</v>
      </c>
      <c r="J1756" s="88">
        <f t="shared" si="383"/>
        <v>0</v>
      </c>
      <c r="K1756" s="88">
        <f t="shared" si="383"/>
        <v>0</v>
      </c>
      <c r="L1756" s="88">
        <f t="shared" si="383"/>
        <v>0</v>
      </c>
      <c r="M1756" s="142">
        <f t="shared" si="383"/>
        <v>0</v>
      </c>
    </row>
    <row r="1757" spans="2:15" s="3" customFormat="1" ht="13.2" x14ac:dyDescent="0.25">
      <c r="B1757" s="287"/>
      <c r="C1757" s="37"/>
      <c r="D1757" s="37"/>
      <c r="E1757" s="37"/>
      <c r="F1757" s="37"/>
      <c r="G1757" s="37"/>
      <c r="H1757" s="37"/>
      <c r="I1757" s="37"/>
      <c r="J1757" s="37"/>
      <c r="K1757" s="37"/>
      <c r="L1757" s="37"/>
      <c r="M1757" s="37"/>
    </row>
    <row r="1758" spans="2:15" s="3" customFormat="1" ht="12.75" customHeight="1" x14ac:dyDescent="0.25">
      <c r="B1758" s="656" t="str">
        <f>IF('1. INTRO'!I$2="English","Co-funding share in full cost ","Medfinansieringsandel i full kostnad ")</f>
        <v xml:space="preserve">Co-funding share in full cost </v>
      </c>
      <c r="C1758" s="143" t="str">
        <f t="shared" ref="C1758:M1758" si="384">IF(C1756&gt;0,C1748/C1756,"")</f>
        <v/>
      </c>
      <c r="D1758" s="143" t="str">
        <f t="shared" si="384"/>
        <v/>
      </c>
      <c r="E1758" s="143" t="str">
        <f t="shared" si="384"/>
        <v/>
      </c>
      <c r="F1758" s="143" t="str">
        <f t="shared" si="384"/>
        <v/>
      </c>
      <c r="G1758" s="143" t="str">
        <f t="shared" si="384"/>
        <v/>
      </c>
      <c r="H1758" s="143" t="str">
        <f t="shared" si="384"/>
        <v/>
      </c>
      <c r="I1758" s="143" t="str">
        <f t="shared" si="384"/>
        <v/>
      </c>
      <c r="J1758" s="143" t="str">
        <f t="shared" si="384"/>
        <v/>
      </c>
      <c r="K1758" s="143" t="str">
        <f t="shared" si="384"/>
        <v/>
      </c>
      <c r="L1758" s="143" t="str">
        <f t="shared" si="384"/>
        <v/>
      </c>
      <c r="M1758" s="143" t="str">
        <f t="shared" si="384"/>
        <v/>
      </c>
    </row>
    <row r="1759" spans="2:15" ht="12.75" customHeight="1" x14ac:dyDescent="0.2"/>
    <row r="1760" spans="2:15" ht="12.75" customHeight="1" x14ac:dyDescent="0.25">
      <c r="D1760" s="656" t="str">
        <f>IF('1. INTRO'!I$2="English","Co-funding need in average per year: ","Medfinansieringsbehov i genomsnitt per år: ")</f>
        <v xml:space="preserve">Co-funding need in average per year: </v>
      </c>
      <c r="E1760" s="766" t="str">
        <f>IF(M1748=0,"",M1748/(DATEDIF('2. START'!C$18,'2. START'!C$19,"d")/365))</f>
        <v/>
      </c>
      <c r="H1760" s="656" t="str">
        <f>IF('1. INTRO'!I$2="English","Co-funding need 1/3 of total: ","Medfinansieringsbehov 1/3 av totalt: ")</f>
        <v xml:space="preserve">Co-funding need 1/3 of total: </v>
      </c>
      <c r="I1760" s="766">
        <f>M1748/3</f>
        <v>0</v>
      </c>
      <c r="L1760" s="287" t="str">
        <f>IF('1. INTRO'!I$2="English","Co-funding need total: ","Medfinansieringsbehov totalt: ")</f>
        <v xml:space="preserve">Co-funding need total: </v>
      </c>
      <c r="M1760" s="766">
        <f>M1748</f>
        <v>0</v>
      </c>
    </row>
    <row r="1761" spans="2:13" ht="12.75" customHeight="1" x14ac:dyDescent="0.25">
      <c r="B1761" s="53" t="str">
        <f>IF('1. INTRO'!I$2="English","Co-funding sources","Medfinansieringskällor")</f>
        <v>Co-funding sources</v>
      </c>
    </row>
    <row r="1762" spans="2:13" ht="12.75" customHeight="1" x14ac:dyDescent="0.25">
      <c r="B1762" s="225"/>
      <c r="C1762" s="226"/>
      <c r="D1762" s="226"/>
      <c r="E1762" s="226"/>
      <c r="F1762" s="226"/>
      <c r="G1762" s="226"/>
      <c r="H1762" s="226"/>
      <c r="I1762" s="226"/>
      <c r="J1762" s="226"/>
      <c r="K1762" s="226"/>
      <c r="L1762" s="227"/>
      <c r="M1762" s="168">
        <f>SUM(C1762:L1762)</f>
        <v>0</v>
      </c>
    </row>
    <row r="1763" spans="2:13" ht="12.75" customHeight="1" x14ac:dyDescent="0.25">
      <c r="B1763" s="228"/>
      <c r="C1763" s="229"/>
      <c r="D1763" s="229"/>
      <c r="E1763" s="229"/>
      <c r="F1763" s="229"/>
      <c r="G1763" s="229"/>
      <c r="H1763" s="229"/>
      <c r="I1763" s="229"/>
      <c r="J1763" s="229"/>
      <c r="K1763" s="229"/>
      <c r="L1763" s="230"/>
      <c r="M1763" s="755">
        <f t="shared" ref="M1763:M1766" si="385">SUM(C1763:L1763)</f>
        <v>0</v>
      </c>
    </row>
    <row r="1764" spans="2:13" ht="12.75" customHeight="1" x14ac:dyDescent="0.25">
      <c r="B1764" s="231"/>
      <c r="C1764" s="232"/>
      <c r="D1764" s="232"/>
      <c r="E1764" s="232"/>
      <c r="F1764" s="232"/>
      <c r="G1764" s="232"/>
      <c r="H1764" s="232"/>
      <c r="I1764" s="232"/>
      <c r="J1764" s="232"/>
      <c r="K1764" s="232"/>
      <c r="L1764" s="233"/>
      <c r="M1764" s="117">
        <f t="shared" si="385"/>
        <v>0</v>
      </c>
    </row>
    <row r="1765" spans="2:13" ht="12.75" customHeight="1" x14ac:dyDescent="0.25">
      <c r="B1765" s="228"/>
      <c r="C1765" s="229"/>
      <c r="D1765" s="229"/>
      <c r="E1765" s="229"/>
      <c r="F1765" s="229"/>
      <c r="G1765" s="229"/>
      <c r="H1765" s="229"/>
      <c r="I1765" s="229"/>
      <c r="J1765" s="229"/>
      <c r="K1765" s="229"/>
      <c r="L1765" s="230"/>
      <c r="M1765" s="755">
        <f t="shared" si="385"/>
        <v>0</v>
      </c>
    </row>
    <row r="1766" spans="2:13" ht="12.75" customHeight="1" x14ac:dyDescent="0.25">
      <c r="B1766" s="93"/>
      <c r="C1766" s="232"/>
      <c r="D1766" s="232"/>
      <c r="E1766" s="232"/>
      <c r="F1766" s="232"/>
      <c r="G1766" s="232"/>
      <c r="H1766" s="232"/>
      <c r="I1766" s="232"/>
      <c r="J1766" s="232"/>
      <c r="K1766" s="232"/>
      <c r="L1766" s="233"/>
      <c r="M1766" s="117">
        <f t="shared" si="385"/>
        <v>0</v>
      </c>
    </row>
    <row r="1767" spans="2:13" ht="12.75" customHeight="1" x14ac:dyDescent="0.25">
      <c r="B1767" s="84" t="str">
        <f>IF('1. INTRO'!I$2="English","Total co-funding ","Total medfinansiering ")</f>
        <v xml:space="preserve">Total co-funding </v>
      </c>
      <c r="C1767" s="87">
        <f t="shared" ref="C1767:M1767" si="386">SUM(C1762:C1766)</f>
        <v>0</v>
      </c>
      <c r="D1767" s="87">
        <f t="shared" si="386"/>
        <v>0</v>
      </c>
      <c r="E1767" s="87">
        <f t="shared" si="386"/>
        <v>0</v>
      </c>
      <c r="F1767" s="87">
        <f t="shared" si="386"/>
        <v>0</v>
      </c>
      <c r="G1767" s="87">
        <f t="shared" si="386"/>
        <v>0</v>
      </c>
      <c r="H1767" s="87">
        <f t="shared" si="386"/>
        <v>0</v>
      </c>
      <c r="I1767" s="87">
        <f t="shared" si="386"/>
        <v>0</v>
      </c>
      <c r="J1767" s="87">
        <f t="shared" si="386"/>
        <v>0</v>
      </c>
      <c r="K1767" s="87">
        <f t="shared" si="386"/>
        <v>0</v>
      </c>
      <c r="L1767" s="87">
        <f t="shared" si="386"/>
        <v>0</v>
      </c>
      <c r="M1767" s="142">
        <f t="shared" si="386"/>
        <v>0</v>
      </c>
    </row>
    <row r="1768" spans="2:13" ht="12.75" customHeight="1" x14ac:dyDescent="0.2"/>
    <row r="1769" spans="2:13" ht="12.75" customHeight="1" x14ac:dyDescent="0.2">
      <c r="B1769" s="667" t="str">
        <f>IF('1. INTRO'!I$2="English","Calculation comments","Kalkylkommentarer")</f>
        <v>Calculation comments</v>
      </c>
    </row>
    <row r="1770" spans="2:13" ht="12.75" customHeight="1" x14ac:dyDescent="0.2">
      <c r="B1770" s="1142"/>
      <c r="C1770" s="1143"/>
      <c r="D1770" s="1143"/>
      <c r="E1770" s="1143"/>
      <c r="F1770" s="1143"/>
      <c r="G1770" s="1143"/>
      <c r="H1770" s="1143"/>
      <c r="I1770" s="1143"/>
      <c r="J1770" s="1143"/>
      <c r="K1770" s="1143"/>
      <c r="L1770" s="1143"/>
      <c r="M1770" s="1144"/>
    </row>
    <row r="1771" spans="2:13" ht="12.75" customHeight="1" x14ac:dyDescent="0.2">
      <c r="B1771" s="1145"/>
      <c r="C1771" s="1226"/>
      <c r="D1771" s="1226"/>
      <c r="E1771" s="1226"/>
      <c r="F1771" s="1226"/>
      <c r="G1771" s="1226"/>
      <c r="H1771" s="1226"/>
      <c r="I1771" s="1226"/>
      <c r="J1771" s="1226"/>
      <c r="K1771" s="1226"/>
      <c r="L1771" s="1226"/>
      <c r="M1771" s="1147"/>
    </row>
    <row r="1772" spans="2:13" ht="12.75" customHeight="1" x14ac:dyDescent="0.2">
      <c r="B1772" s="1145"/>
      <c r="C1772" s="1226"/>
      <c r="D1772" s="1226"/>
      <c r="E1772" s="1226"/>
      <c r="F1772" s="1226"/>
      <c r="G1772" s="1226"/>
      <c r="H1772" s="1226"/>
      <c r="I1772" s="1226"/>
      <c r="J1772" s="1226"/>
      <c r="K1772" s="1226"/>
      <c r="L1772" s="1226"/>
      <c r="M1772" s="1147"/>
    </row>
    <row r="1773" spans="2:13" ht="12.75" customHeight="1" x14ac:dyDescent="0.2">
      <c r="B1773" s="1145"/>
      <c r="C1773" s="1226"/>
      <c r="D1773" s="1226"/>
      <c r="E1773" s="1226"/>
      <c r="F1773" s="1226"/>
      <c r="G1773" s="1226"/>
      <c r="H1773" s="1226"/>
      <c r="I1773" s="1226"/>
      <c r="J1773" s="1226"/>
      <c r="K1773" s="1226"/>
      <c r="L1773" s="1226"/>
      <c r="M1773" s="1147"/>
    </row>
    <row r="1774" spans="2:13" ht="12.75" customHeight="1" x14ac:dyDescent="0.2">
      <c r="B1774" s="1148"/>
      <c r="C1774" s="1149"/>
      <c r="D1774" s="1149"/>
      <c r="E1774" s="1149"/>
      <c r="F1774" s="1149"/>
      <c r="G1774" s="1149"/>
      <c r="H1774" s="1149"/>
      <c r="I1774" s="1149"/>
      <c r="J1774" s="1149"/>
      <c r="K1774" s="1149"/>
      <c r="L1774" s="1149"/>
      <c r="M1774" s="1150"/>
    </row>
    <row r="1776" spans="2:13" s="3" customFormat="1" ht="12.75" customHeight="1" x14ac:dyDescent="0.25">
      <c r="B1776" s="313" t="str">
        <f>'3. PARTNER'!C$4</f>
        <v xml:space="preserve">Project: </v>
      </c>
      <c r="C1776" s="1062" t="str">
        <f>'3. PARTNER'!D$4</f>
        <v/>
      </c>
      <c r="D1776" s="1001"/>
      <c r="E1776" s="1001"/>
      <c r="F1776" s="1001"/>
      <c r="G1776" s="1001"/>
      <c r="H1776" s="1001"/>
      <c r="I1776" s="1001"/>
      <c r="J1776" s="1001"/>
      <c r="K1776" s="1001"/>
      <c r="L1776" s="1001"/>
      <c r="M1776" s="1001"/>
    </row>
    <row r="1777" spans="2:15" s="3" customFormat="1" ht="13.2" x14ac:dyDescent="0.25">
      <c r="B1777" s="313" t="str">
        <f>'3. PARTNER'!C$5</f>
        <v xml:space="preserve">Calculation for: </v>
      </c>
      <c r="C1777" s="1062" t="str">
        <f>'3. PARTNER'!D$5</f>
        <v>APPLICATION</v>
      </c>
      <c r="D1777" s="1001"/>
      <c r="E1777" s="268"/>
      <c r="F1777" s="268"/>
      <c r="G1777" s="268"/>
      <c r="H1777" s="268"/>
      <c r="I1777" s="268"/>
      <c r="J1777" s="268"/>
      <c r="K1777" s="268"/>
      <c r="L1777" s="268"/>
      <c r="M1777" s="268"/>
    </row>
    <row r="1778" spans="2:15" s="3" customFormat="1" ht="13.2" x14ac:dyDescent="0.25">
      <c r="B1778" s="35" t="str">
        <f>'3. PARTNER'!C$6</f>
        <v xml:space="preserve">Project leader: </v>
      </c>
      <c r="C1778" s="1062" t="str">
        <f>'3. PARTNER'!D$6</f>
        <v/>
      </c>
      <c r="D1778" s="1001"/>
      <c r="E1778" s="1001"/>
      <c r="F1778" s="1001"/>
      <c r="G1778" s="1001"/>
      <c r="H1778" s="1001"/>
      <c r="I1778" s="1001"/>
      <c r="J1778" s="1001"/>
      <c r="K1778" s="1001"/>
      <c r="L1778" s="1001"/>
      <c r="M1778" s="1001"/>
    </row>
    <row r="1779" spans="2:15" s="3" customFormat="1" ht="13.2" x14ac:dyDescent="0.25">
      <c r="B1779" s="313" t="str">
        <f>'5. PERSON'!B$7</f>
        <v xml:space="preserve">Amounts in: </v>
      </c>
      <c r="C1779" s="655" t="str">
        <f>'5. PERSON'!C$7</f>
        <v>SEK</v>
      </c>
      <c r="D1779" s="268"/>
      <c r="E1779" s="268"/>
      <c r="F1779" s="268"/>
      <c r="G1779" s="234"/>
      <c r="H1779" s="234"/>
      <c r="I1779" s="270"/>
      <c r="J1779" s="270"/>
      <c r="K1779" s="270"/>
      <c r="L1779" s="270"/>
      <c r="M1779" s="270"/>
    </row>
    <row r="1780" spans="2:15" s="3" customFormat="1" ht="13.2" x14ac:dyDescent="0.25">
      <c r="B1780" s="313"/>
      <c r="C1780" s="1053" t="str">
        <f>'3. PARTNER'!D$7</f>
        <v>Other basic data about the project is in sheet 2.</v>
      </c>
      <c r="D1780" s="1001"/>
      <c r="E1780" s="1001"/>
      <c r="F1780" s="1001"/>
      <c r="G1780" s="234"/>
      <c r="H1780" s="234"/>
      <c r="I1780" s="270"/>
      <c r="J1780" s="270"/>
      <c r="K1780" s="270"/>
      <c r="L1780" s="251" t="s">
        <v>4</v>
      </c>
      <c r="M1780" s="270"/>
    </row>
    <row r="1781" spans="2:15" ht="12.75" customHeight="1" x14ac:dyDescent="0.2">
      <c r="J1781" s="252" t="s">
        <v>322</v>
      </c>
      <c r="K1781" s="252" t="s">
        <v>323</v>
      </c>
      <c r="L1781" s="252" t="str">
        <f>IF('1. INTRO'!I$2="English","months","månader")</f>
        <v>months</v>
      </c>
    </row>
    <row r="1782" spans="2:15" s="3" customFormat="1" ht="13.8" x14ac:dyDescent="0.25">
      <c r="B1782" s="157" t="str">
        <f>IF('1. INTRO'!I$2="English","Project costs","Projektkostnader")</f>
        <v>Project costs</v>
      </c>
      <c r="C1782" s="668" t="str">
        <f>A48</f>
        <v>545S</v>
      </c>
      <c r="D1782" s="1227" t="str">
        <f>B48</f>
        <v>Forest Biomaterials and Technology</v>
      </c>
      <c r="E1782" s="1001"/>
      <c r="F1782" s="1001"/>
      <c r="G1782" s="1001"/>
      <c r="H1782" s="37"/>
      <c r="I1782" s="37"/>
      <c r="J1782" s="643"/>
      <c r="K1782" s="643"/>
      <c r="L1782" s="642">
        <f>SUMIF('5. PERSON'!$B$17:$B$192,$C1782,'5. PERSON'!AE$17:AE$192)</f>
        <v>0</v>
      </c>
      <c r="M1782" s="680" t="s">
        <v>330</v>
      </c>
    </row>
    <row r="1783" spans="2:15" s="3" customFormat="1" ht="6" customHeight="1" x14ac:dyDescent="0.25">
      <c r="B1783" s="57"/>
      <c r="C1783" s="37"/>
      <c r="D1783" s="37"/>
      <c r="E1783" s="37"/>
      <c r="F1783" s="37"/>
      <c r="G1783" s="37"/>
      <c r="H1783" s="37"/>
      <c r="I1783" s="37"/>
      <c r="J1783" s="37"/>
      <c r="K1783" s="37"/>
      <c r="L1783" s="37"/>
      <c r="M1783" s="37"/>
    </row>
    <row r="1784" spans="2:15" s="3" customFormat="1" ht="13.2" x14ac:dyDescent="0.25">
      <c r="B1784" s="110" t="str">
        <f>IF('1. INTRO'!I$2="English","Costs to be covered by funding body","Kostnader att täckas av finansiär")</f>
        <v>Costs to be covered by funding body</v>
      </c>
      <c r="C1784" s="111">
        <f>'5. PERSON'!G$15</f>
        <v>1900</v>
      </c>
      <c r="D1784" s="111" t="str">
        <f>'5. PERSON'!H$15</f>
        <v/>
      </c>
      <c r="E1784" s="111" t="str">
        <f>'5. PERSON'!I$15</f>
        <v/>
      </c>
      <c r="F1784" s="111" t="str">
        <f>'5. PERSON'!J$15</f>
        <v/>
      </c>
      <c r="G1784" s="111" t="str">
        <f>'5. PERSON'!K$15</f>
        <v/>
      </c>
      <c r="H1784" s="111" t="str">
        <f>'5. PERSON'!L$15</f>
        <v/>
      </c>
      <c r="I1784" s="111" t="str">
        <f>'5. PERSON'!M$15</f>
        <v/>
      </c>
      <c r="J1784" s="111" t="str">
        <f>'5. PERSON'!N$15</f>
        <v/>
      </c>
      <c r="K1784" s="111" t="str">
        <f>'5. PERSON'!O$15</f>
        <v/>
      </c>
      <c r="L1784" s="111" t="str">
        <f>'5. PERSON'!P$15</f>
        <v/>
      </c>
      <c r="M1784" s="112" t="s">
        <v>2</v>
      </c>
    </row>
    <row r="1785" spans="2:15" s="3" customFormat="1" ht="12.75" customHeight="1" x14ac:dyDescent="0.25">
      <c r="B1785" s="750" t="str">
        <f>IF('1. INTRO'!I$2="English","Salary including social costs (LKP)","Lön inklusive LKP")</f>
        <v>Salary including social costs (LKP)</v>
      </c>
      <c r="C1785" s="751">
        <f>IF('2. START'!$C$14&gt;0,SUMIF('5. PERSON'!$B$17:$B$192,$C1782,'5. PERSON'!DN$17:DN$192),SUMIF('5. PERSON'!$B$17:$B$192,$C1782,'5. PERSON'!AT$17:AT$192))</f>
        <v>0</v>
      </c>
      <c r="D1785" s="751">
        <f>IF('2. START'!$C$14&gt;0,SUMIF('5. PERSON'!$B$17:$B$192,$C1782,'5. PERSON'!DO$17:DO$192),SUMIF('5. PERSON'!$B$17:$B$192,$C1782,'5. PERSON'!AU$17:AU$192))</f>
        <v>0</v>
      </c>
      <c r="E1785" s="751">
        <f>IF('2. START'!$C$14&gt;0,SUMIF('5. PERSON'!$B$17:$B$192,$C1782,'5. PERSON'!DP$17:DP$192),SUMIF('5. PERSON'!$B$17:$B$192,$C1782,'5. PERSON'!AV$17:AV$192))</f>
        <v>0</v>
      </c>
      <c r="F1785" s="751">
        <f>IF('2. START'!$C$14&gt;0,SUMIF('5. PERSON'!$B$17:$B$192,$C1782,'5. PERSON'!DQ$17:DQ$192),SUMIF('5. PERSON'!$B$17:$B$192,$C1782,'5. PERSON'!AW$17:AW$192))</f>
        <v>0</v>
      </c>
      <c r="G1785" s="751">
        <f>IF('2. START'!$C$14&gt;0,SUMIF('5. PERSON'!$B$17:$B$192,$C1782,'5. PERSON'!DR$17:DR$192),SUMIF('5. PERSON'!$B$17:$B$192,$C1782,'5. PERSON'!AX$17:AX$192))</f>
        <v>0</v>
      </c>
      <c r="H1785" s="751">
        <f>IF('2. START'!$C$14&gt;0,SUMIF('5. PERSON'!$B$17:$B$192,$C1782,'5. PERSON'!DS$17:DS$192),SUMIF('5. PERSON'!$B$17:$B$192,$C1782,'5. PERSON'!AY$17:AY$192))</f>
        <v>0</v>
      </c>
      <c r="I1785" s="751">
        <f>IF('2. START'!$C$14&gt;0,SUMIF('5. PERSON'!$B$17:$B$192,$C1782,'5. PERSON'!DT$17:DT$192),SUMIF('5. PERSON'!$B$17:$B$192,$C1782,'5. PERSON'!AZ$17:AZ$192))</f>
        <v>0</v>
      </c>
      <c r="J1785" s="751">
        <f>IF('2. START'!$C$14&gt;0,SUMIF('5. PERSON'!$B$17:$B$192,$C1782,'5. PERSON'!DU$17:DU$192),SUMIF('5. PERSON'!$B$17:$B$192,$C1782,'5. PERSON'!BA$17:BA$192))</f>
        <v>0</v>
      </c>
      <c r="K1785" s="751">
        <f>IF('2. START'!$C$14&gt;0,SUMIF('5. PERSON'!$B$17:$B$192,$C1782,'5. PERSON'!DV$17:DV$192),SUMIF('5. PERSON'!$B$17:$B$192,$C1782,'5. PERSON'!BB$17:BB$192))</f>
        <v>0</v>
      </c>
      <c r="L1785" s="751">
        <f>IF('2. START'!$C$14&gt;0,SUMIF('5. PERSON'!$B$17:$B$192,$C1782,'5. PERSON'!DW$17:DW$192),SUMIF('5. PERSON'!$B$17:$B$192,$C1782,'5. PERSON'!BC$17:BC$192))</f>
        <v>0</v>
      </c>
      <c r="M1785" s="752">
        <f t="shared" ref="M1785:M1790" si="387">SUM(C1785:L1785)</f>
        <v>0</v>
      </c>
      <c r="O1785" s="4"/>
    </row>
    <row r="1786" spans="2:15" s="3" customFormat="1" ht="12.75" customHeight="1" x14ac:dyDescent="0.25">
      <c r="B1786" s="80" t="str">
        <f>IF('1. INTRO'!I$2="English","Operating","Drift")</f>
        <v>Operating</v>
      </c>
      <c r="C1786" s="116">
        <f>SUMIF('6. OPERATION'!$B$17:$B$149,$C1782,'6. OPERATION'!W$17:W$149)</f>
        <v>0</v>
      </c>
      <c r="D1786" s="116">
        <f>SUMIF('6. OPERATION'!$B$17:$B$149,$C1782,'6. OPERATION'!X$17:X$149)</f>
        <v>0</v>
      </c>
      <c r="E1786" s="116">
        <f>SUMIF('6. OPERATION'!$B$17:$B$149,$C1782,'6. OPERATION'!Y$17:Y$149)</f>
        <v>0</v>
      </c>
      <c r="F1786" s="116">
        <f>SUMIF('6. OPERATION'!$B$17:$B$149,$C1782,'6. OPERATION'!Z$17:Z$149)</f>
        <v>0</v>
      </c>
      <c r="G1786" s="116">
        <f>SUMIF('6. OPERATION'!$B$17:$B$149,$C1782,'6. OPERATION'!AA$17:AA$149)</f>
        <v>0</v>
      </c>
      <c r="H1786" s="116">
        <f>SUMIF('6. OPERATION'!$B$17:$B$149,$C1782,'6. OPERATION'!AB$17:AB$149)</f>
        <v>0</v>
      </c>
      <c r="I1786" s="116">
        <f>SUMIF('6. OPERATION'!$B$17:$B$149,$C1782,'6. OPERATION'!AC$17:AC$149)</f>
        <v>0</v>
      </c>
      <c r="J1786" s="116">
        <f>SUMIF('6. OPERATION'!$B$17:$B$149,$C1782,'6. OPERATION'!AD$17:AD$149)</f>
        <v>0</v>
      </c>
      <c r="K1786" s="116">
        <f>SUMIF('6. OPERATION'!$B$17:$B$149,$C1782,'6. OPERATION'!AE$17:AE$149)</f>
        <v>0</v>
      </c>
      <c r="L1786" s="116">
        <f>SUMIF('6. OPERATION'!$B$17:$B$149,$C1782,'6. OPERATION'!AF$17:AF$149)</f>
        <v>0</v>
      </c>
      <c r="M1786" s="117">
        <f t="shared" si="387"/>
        <v>0</v>
      </c>
    </row>
    <row r="1787" spans="2:15" s="3" customFormat="1" ht="13.2" x14ac:dyDescent="0.25">
      <c r="B1787" s="753" t="str">
        <f>IF('1. INTRO'!I$2="English","Equipment","Utrustning")</f>
        <v>Equipment</v>
      </c>
      <c r="C1787" s="754">
        <f>SUMIF('7. INVEST'!$B$17:$B$49,$C1782,'7. INVEST'!W$17:W$49)</f>
        <v>0</v>
      </c>
      <c r="D1787" s="754">
        <f>SUMIF('7. INVEST'!$B$17:$B$49,$C1782,'7. INVEST'!X$17:X$49)</f>
        <v>0</v>
      </c>
      <c r="E1787" s="754">
        <f>SUMIF('7. INVEST'!$B$17:$B$49,$C1782,'7. INVEST'!Y$17:Y$49)</f>
        <v>0</v>
      </c>
      <c r="F1787" s="754">
        <f>SUMIF('7. INVEST'!$B$17:$B$49,$C1782,'7. INVEST'!Z$17:Z$49)</f>
        <v>0</v>
      </c>
      <c r="G1787" s="754">
        <f>SUMIF('7. INVEST'!$B$17:$B$49,$C1782,'7. INVEST'!AA$17:AA$49)</f>
        <v>0</v>
      </c>
      <c r="H1787" s="754">
        <f>SUMIF('7. INVEST'!$B$17:$B$49,$C1782,'7. INVEST'!AB$17:AB$49)</f>
        <v>0</v>
      </c>
      <c r="I1787" s="754">
        <f>SUMIF('7. INVEST'!$B$17:$B$49,$C1782,'7. INVEST'!AC$17:AC$49)</f>
        <v>0</v>
      </c>
      <c r="J1787" s="754">
        <f>SUMIF('7. INVEST'!$B$17:$B$49,$C1782,'7. INVEST'!AD$17:AD$49)</f>
        <v>0</v>
      </c>
      <c r="K1787" s="754">
        <f>SUMIF('7. INVEST'!$B$17:$B$49,$C1782,'7. INVEST'!AE$17:AE$49)</f>
        <v>0</v>
      </c>
      <c r="L1787" s="754">
        <f>SUMIF('7. INVEST'!$B$17:$B$49,$C1782,'7. INVEST'!AF$17:AF$49)</f>
        <v>0</v>
      </c>
      <c r="M1787" s="755">
        <f t="shared" si="387"/>
        <v>0</v>
      </c>
    </row>
    <row r="1788" spans="2:15" s="3" customFormat="1" ht="13.2" x14ac:dyDescent="0.25">
      <c r="B1788" s="121" t="str">
        <f>IF('1. INTRO'!I$2="English",(IF('2. START'!C$11="NO","Facility accepted as direct cost by funding body","Facility")),IF('2. START'!C$11="NO","Lokal accepterad som direkt kostnad av finansiär","Lokal"))</f>
        <v>Facility</v>
      </c>
      <c r="C1788" s="116">
        <f>IF('2. START'!$C$11="NO",SUMIF('8. FACILIT'!$B$18:$B$50,$C1782,'8. FACILIT'!T$18:T$50),SUMIF('5. PERSON'!$B$17:$B$192,$C1782,'5. PERSON'!CP$17:CP$192)+SUMIF('6. OPERATION'!$B$17:$B$149,$C1782,'6. OPERATION'!BS$17:BS$149)+SUMIF('8. FACILIT'!$B$18:$B$50,$C1782,'8. FACILIT'!T$18:T$50))</f>
        <v>0</v>
      </c>
      <c r="D1788" s="116">
        <f>IF('2. START'!$C$11="NO",SUMIF('8. FACILIT'!$B$18:$B$50,$C1782,'8. FACILIT'!U$18:U$50),SUMIF('5. PERSON'!$B$17:$B$192,$C1782,'5. PERSON'!CQ$17:CQ$192)+SUMIF('6. OPERATION'!$B$17:$B$149,$C1782,'6. OPERATION'!BT$17:BT$149)+SUMIF('8. FACILIT'!$B$18:$B$50,$C1782,'8. FACILIT'!U$18:U$50))</f>
        <v>0</v>
      </c>
      <c r="E1788" s="116">
        <f>IF('2. START'!$C$11="NO",SUMIF('8. FACILIT'!$B$18:$B$50,$C1782,'8. FACILIT'!V$18:V$50),SUMIF('5. PERSON'!$B$17:$B$192,$C1782,'5. PERSON'!CR$17:CR$192)+SUMIF('6. OPERATION'!$B$17:$B$149,$C1782,'6. OPERATION'!BU$17:BU$149)+SUMIF('8. FACILIT'!$B$18:$B$50,$C1782,'8. FACILIT'!V$18:V$50))</f>
        <v>0</v>
      </c>
      <c r="F1788" s="116">
        <f>IF('2. START'!$C$11="NO",SUMIF('8. FACILIT'!$B$18:$B$50,$C1782,'8. FACILIT'!W$18:W$50),SUMIF('5. PERSON'!$B$17:$B$192,$C1782,'5. PERSON'!CS$17:CS$192)+SUMIF('6. OPERATION'!$B$17:$B$149,$C1782,'6. OPERATION'!BV$17:BV$149)+SUMIF('8. FACILIT'!$B$18:$B$50,$C1782,'8. FACILIT'!W$18:W$50))</f>
        <v>0</v>
      </c>
      <c r="G1788" s="116">
        <f>IF('2. START'!$C$11="NO",SUMIF('8. FACILIT'!$B$18:$B$50,$C1782,'8. FACILIT'!X$18:X$50),SUMIF('5. PERSON'!$B$17:$B$192,$C1782,'5. PERSON'!CT$17:CT$192)+SUMIF('6. OPERATION'!$B$17:$B$149,$C1782,'6. OPERATION'!BW$17:BW$149)+SUMIF('8. FACILIT'!$B$18:$B$50,$C1782,'8. FACILIT'!X$18:X$50))</f>
        <v>0</v>
      </c>
      <c r="H1788" s="116">
        <f>IF('2. START'!$C$11="NO",SUMIF('8. FACILIT'!$B$18:$B$50,$C1782,'8. FACILIT'!Y$18:Y$50),SUMIF('5. PERSON'!$B$17:$B$192,$C1782,'5. PERSON'!CU$17:CU$192)+SUMIF('6. OPERATION'!$B$17:$B$149,$C1782,'6. OPERATION'!BX$17:BX$149)+SUMIF('8. FACILIT'!$B$18:$B$50,$C1782,'8. FACILIT'!Y$18:Y$50))</f>
        <v>0</v>
      </c>
      <c r="I1788" s="116">
        <f>IF('2. START'!$C$11="NO",SUMIF('8. FACILIT'!$B$18:$B$50,$C1782,'8. FACILIT'!Z$18:Z$50),SUMIF('5. PERSON'!$B$17:$B$192,$C1782,'5. PERSON'!CV$17:CV$192)+SUMIF('6. OPERATION'!$B$17:$B$149,$C1782,'6. OPERATION'!BY$17:BY$149)+SUMIF('8. FACILIT'!$B$18:$B$50,$C1782,'8. FACILIT'!Z$18:Z$50))</f>
        <v>0</v>
      </c>
      <c r="J1788" s="116">
        <f>IF('2. START'!$C$11="NO",SUMIF('8. FACILIT'!$B$18:$B$50,$C1782,'8. FACILIT'!AA$18:AA$50),SUMIF('5. PERSON'!$B$17:$B$192,$C1782,'5. PERSON'!CW$17:CW$192)+SUMIF('6. OPERATION'!$B$17:$B$149,$C1782,'6. OPERATION'!BZ$17:BZ$149)+SUMIF('8. FACILIT'!$B$18:$B$50,$C1782,'8. FACILIT'!AA$18:AA$50))</f>
        <v>0</v>
      </c>
      <c r="K1788" s="116">
        <f>IF('2. START'!$C$11="NO",SUMIF('8. FACILIT'!$B$18:$B$50,$C1782,'8. FACILIT'!AB$18:AB$50),SUMIF('5. PERSON'!$B$17:$B$192,$C1782,'5. PERSON'!CX$17:CX$192)+SUMIF('6. OPERATION'!$B$17:$B$149,$C1782,'6. OPERATION'!CA$17:CA$149)+SUMIF('8. FACILIT'!$B$18:$B$50,$C1782,'8. FACILIT'!AB$18:AB$50))</f>
        <v>0</v>
      </c>
      <c r="L1788" s="116">
        <f>IF('2. START'!$C$11="NO",SUMIF('8. FACILIT'!$B$18:$B$50,$C1782,'8. FACILIT'!AC$18:AC$50),SUMIF('5. PERSON'!$B$17:$B$192,$C1782,'5. PERSON'!CY$17:CY$192)+SUMIF('6. OPERATION'!$B$17:$B$149,$C1782,'6. OPERATION'!CB$17:CB$149)+SUMIF('8. FACILIT'!$B$18:$B$50,$C1782,'8. FACILIT'!AC$18:AC$50))</f>
        <v>0</v>
      </c>
      <c r="M1788" s="117">
        <f t="shared" si="387"/>
        <v>0</v>
      </c>
    </row>
    <row r="1789" spans="2:15" s="3" customFormat="1" ht="13.2" x14ac:dyDescent="0.25">
      <c r="B1789" s="756" t="str">
        <f>IF('1. INTRO'!I$2="English",(IF('2. START'!C$11="NO","Indirect and facility charge accepted as OH by funding body","Indirect")),IF('2. START'!C$11="NO","Indirekt och lokalpåslag accepterade som OH av finansiär","Indirekt"))</f>
        <v>Indirect</v>
      </c>
      <c r="C1789" s="757">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757">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757">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757">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757">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757">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757">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757">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757">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757">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755">
        <f t="shared" si="387"/>
        <v>0</v>
      </c>
    </row>
    <row r="1790" spans="2:15" s="3" customFormat="1" ht="13.2" x14ac:dyDescent="0.25">
      <c r="B1790" s="124" t="s">
        <v>113</v>
      </c>
      <c r="C1790" s="102">
        <f>SUM(C1785:C1789)</f>
        <v>0</v>
      </c>
      <c r="D1790" s="102">
        <f t="shared" ref="D1790:L1790" si="388">SUM(D1785:D1789)</f>
        <v>0</v>
      </c>
      <c r="E1790" s="102">
        <f t="shared" si="388"/>
        <v>0</v>
      </c>
      <c r="F1790" s="102">
        <f t="shared" si="388"/>
        <v>0</v>
      </c>
      <c r="G1790" s="102">
        <f t="shared" si="388"/>
        <v>0</v>
      </c>
      <c r="H1790" s="102">
        <f t="shared" si="388"/>
        <v>0</v>
      </c>
      <c r="I1790" s="102">
        <f t="shared" si="388"/>
        <v>0</v>
      </c>
      <c r="J1790" s="102">
        <f t="shared" si="388"/>
        <v>0</v>
      </c>
      <c r="K1790" s="102">
        <f t="shared" si="388"/>
        <v>0</v>
      </c>
      <c r="L1790" s="102">
        <f t="shared" si="388"/>
        <v>0</v>
      </c>
      <c r="M1790" s="125">
        <f t="shared" si="387"/>
        <v>0</v>
      </c>
    </row>
    <row r="1791" spans="2:15" s="3" customFormat="1" ht="6" customHeight="1" x14ac:dyDescent="0.25">
      <c r="B1791" s="126"/>
      <c r="C1791" s="127"/>
      <c r="D1791" s="127"/>
      <c r="E1791" s="127"/>
      <c r="F1791" s="127"/>
      <c r="G1791" s="127"/>
      <c r="H1791" s="127"/>
      <c r="I1791" s="127"/>
      <c r="J1791" s="127"/>
      <c r="K1791" s="127"/>
      <c r="L1791" s="127"/>
      <c r="M1791" s="128"/>
    </row>
    <row r="1792" spans="2:15" s="3" customFormat="1" ht="13.2" x14ac:dyDescent="0.25">
      <c r="B1792" s="129" t="str">
        <f>IF('1. INTRO'!I$2="English","Costs to be co-funded","Kostnader att medfinansiera")</f>
        <v>Costs to be co-funded</v>
      </c>
      <c r="C1792" s="86"/>
      <c r="D1792" s="86"/>
      <c r="E1792" s="86"/>
      <c r="F1792" s="86"/>
      <c r="G1792" s="86"/>
      <c r="H1792" s="86"/>
      <c r="I1792" s="86"/>
      <c r="J1792" s="86"/>
      <c r="K1792" s="86"/>
      <c r="L1792" s="86"/>
      <c r="M1792" s="130"/>
    </row>
    <row r="1793" spans="2:15" s="3" customFormat="1" ht="13.2" x14ac:dyDescent="0.25">
      <c r="B1793" s="758" t="str">
        <f>IF('1. INTRO'!I$2="English",(IF('2. START'!C$11="NO","Indirect and facility charge not accepted as OH by funding body","")),IF('2. START'!C$11="NO","Indirekt och lokalpåslag inte accepterade som OH av finansiär",""))</f>
        <v/>
      </c>
      <c r="C1793" s="759">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759">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759">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759">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759">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759">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759">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759">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759">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759">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752">
        <f t="shared" ref="M1793:M1799" si="389">SUM(C1793:L1793)</f>
        <v>0</v>
      </c>
    </row>
    <row r="1794" spans="2:15" s="3" customFormat="1" ht="12.75" customHeight="1" x14ac:dyDescent="0.25">
      <c r="B1794" s="132" t="str">
        <f>IF('1. INTRO'!I$2="English",(IF('2. START'!C$14&gt;0,"Social costs (LKP) not accepted by funding body","")),IF('2. START'!C$14&gt;0,"LKP som inte accepteras av finansiär",""))</f>
        <v/>
      </c>
      <c r="C1794" s="133">
        <f>IF('2. START'!$C$14&gt;0,SUMIF('5. PERSON'!$B$17:$B$192,$C1782,'5. PERSON'!AT$17:AT$192)-SUMIF('5. PERSON'!$B$17:$B$192,$C1782,'5. PERSON'!DN$17:DN$192),0)</f>
        <v>0</v>
      </c>
      <c r="D1794" s="133">
        <f>IF('2. START'!$C$14&gt;0,SUMIF('5. PERSON'!$B$17:$B$192,$C1782,'5. PERSON'!AU$17:AU$192)-SUMIF('5. PERSON'!$B$17:$B$192,$C1782,'5. PERSON'!DO$17:DO$192),0)</f>
        <v>0</v>
      </c>
      <c r="E1794" s="133">
        <f>IF('2. START'!$C$14&gt;0,SUMIF('5. PERSON'!$B$17:$B$192,$C1782,'5. PERSON'!AV$17:AV$192)-SUMIF('5. PERSON'!$B$17:$B$192,$C1782,'5. PERSON'!DP$17:DP$192),0)</f>
        <v>0</v>
      </c>
      <c r="F1794" s="133">
        <f>IF('2. START'!$C$14&gt;0,SUMIF('5. PERSON'!$B$17:$B$192,$C1782,'5. PERSON'!AW$17:AW$192)-SUMIF('5. PERSON'!$B$17:$B$192,$C1782,'5. PERSON'!DQ$17:DQ$192),0)</f>
        <v>0</v>
      </c>
      <c r="G1794" s="133">
        <f>IF('2. START'!$C$14&gt;0,SUMIF('5. PERSON'!$B$17:$B$192,$C1782,'5. PERSON'!AX$17:AX$192)-SUMIF('5. PERSON'!$B$17:$B$192,$C1782,'5. PERSON'!DR$17:DR$192),0)</f>
        <v>0</v>
      </c>
      <c r="H1794" s="133">
        <f>IF('2. START'!$C$14&gt;0,SUMIF('5. PERSON'!$B$17:$B$192,$C1782,'5. PERSON'!AY$17:AY$192)-SUMIF('5. PERSON'!$B$17:$B$192,$C1782,'5. PERSON'!DS$17:DS$192),0)</f>
        <v>0</v>
      </c>
      <c r="I1794" s="133">
        <f>IF('2. START'!$C$14&gt;0,SUMIF('5. PERSON'!$B$17:$B$192,$C1782,'5. PERSON'!AZ$17:AZ$192)-SUMIF('5. PERSON'!$B$17:$B$192,$C1782,'5. PERSON'!DT$17:DT$192),0)</f>
        <v>0</v>
      </c>
      <c r="J1794" s="133">
        <f>IF('2. START'!$C$14&gt;0,SUMIF('5. PERSON'!$B$17:$B$192,$C1782,'5. PERSON'!BA$17:BA$192)-SUMIF('5. PERSON'!$B$17:$B$192,$C1782,'5. PERSON'!DU$17:DU$192),0)</f>
        <v>0</v>
      </c>
      <c r="K1794" s="133">
        <f>IF('2. START'!$C$14&gt;0,SUMIF('5. PERSON'!$B$17:$B$192,$C1782,'5. PERSON'!BB$17:BB$192)-SUMIF('5. PERSON'!$B$17:$B$192,$C1782,'5. PERSON'!DV$17:DV$192),0)</f>
        <v>0</v>
      </c>
      <c r="L1794" s="133">
        <f>IF('2. START'!$C$14&gt;0,SUMIF('5. PERSON'!$B$17:$B$192,$C1782,'5. PERSON'!BC$17:BC$192)-SUMIF('5. PERSON'!$B$17:$B$192,$C1782,'5. PERSON'!DW$17:DW$192),0)</f>
        <v>0</v>
      </c>
      <c r="M1794" s="117">
        <f t="shared" si="389"/>
        <v>0</v>
      </c>
    </row>
    <row r="1795" spans="2:15" s="3" customFormat="1" ht="12.75" customHeight="1" x14ac:dyDescent="0.25">
      <c r="B1795" s="753" t="str">
        <f>IF('1. INTRO'!I$2="English",(IF('5. PERSON'!BP$193&gt;0,"Salary including social costs (LKP)","")),IF('5. PERSON'!BP$193&gt;0,"Lön inklusive LKP",""))</f>
        <v/>
      </c>
      <c r="C1795" s="760">
        <f>SUMIF('5. PERSON'!$B$17:$B$192,$C1782,'5. PERSON'!BF$17:BF$192)</f>
        <v>0</v>
      </c>
      <c r="D1795" s="760">
        <f>SUMIF('5. PERSON'!$B$17:$B$192,$C1782,'5. PERSON'!BG$17:BG$192)</f>
        <v>0</v>
      </c>
      <c r="E1795" s="760">
        <f>SUMIF('5. PERSON'!$B$17:$B$192,$C1782,'5. PERSON'!BH$17:BH$192)</f>
        <v>0</v>
      </c>
      <c r="F1795" s="760">
        <f>SUMIF('5. PERSON'!$B$17:$B$192,$C1782,'5. PERSON'!BI$17:BI$192)</f>
        <v>0</v>
      </c>
      <c r="G1795" s="760">
        <f>SUMIF('5. PERSON'!$B$17:$B$192,$C1782,'5. PERSON'!BJ$17:BJ$192)</f>
        <v>0</v>
      </c>
      <c r="H1795" s="760">
        <f>SUMIF('5. PERSON'!$B$17:$B$192,$C1782,'5. PERSON'!BK$17:BK$192)</f>
        <v>0</v>
      </c>
      <c r="I1795" s="760">
        <f>SUMIF('5. PERSON'!$B$17:$B$192,$C1782,'5. PERSON'!BL$17:BL$192)</f>
        <v>0</v>
      </c>
      <c r="J1795" s="760">
        <f>SUMIF('5. PERSON'!$B$17:$B$192,$C1782,'5. PERSON'!BM$17:BM$192)</f>
        <v>0</v>
      </c>
      <c r="K1795" s="760">
        <f>SUMIF('5. PERSON'!$B$17:$B$192,$C1782,'5. PERSON'!BN$17:BN$192)</f>
        <v>0</v>
      </c>
      <c r="L1795" s="760">
        <f>SUMIF('5. PERSON'!$B$17:$B$192,$C1782,'5. PERSON'!BO$17:BO$192)</f>
        <v>0</v>
      </c>
      <c r="M1795" s="755">
        <f t="shared" si="389"/>
        <v>0</v>
      </c>
    </row>
    <row r="1796" spans="2:15" s="3" customFormat="1" ht="13.2" x14ac:dyDescent="0.25">
      <c r="B1796" s="80" t="str">
        <f>IF('1. INTRO'!I$2="English",(IF('6. OPERATION'!AS$150&gt;0,"Operating","")),IF('6. OPERATION'!AS$150&gt;0,"Drift",""))</f>
        <v/>
      </c>
      <c r="C1796" s="135">
        <f>SUMIF('6. OPERATION'!$B$17:$B$149,$C1782,'6. OPERATION'!AI$17:AI$149)</f>
        <v>0</v>
      </c>
      <c r="D1796" s="135">
        <f>SUMIF('6. OPERATION'!$B$17:$B$149,$C1782,'6. OPERATION'!AJ$17:AJ$149)</f>
        <v>0</v>
      </c>
      <c r="E1796" s="135">
        <f>SUMIF('6. OPERATION'!$B$17:$B$149,$C1782,'6. OPERATION'!AK$17:AK$149)</f>
        <v>0</v>
      </c>
      <c r="F1796" s="135">
        <f>SUMIF('6. OPERATION'!$B$17:$B$149,$C1782,'6. OPERATION'!AL$17:AL$149)</f>
        <v>0</v>
      </c>
      <c r="G1796" s="135">
        <f>SUMIF('6. OPERATION'!$B$17:$B$149,$C1782,'6. OPERATION'!AM$17:AM$149)</f>
        <v>0</v>
      </c>
      <c r="H1796" s="135">
        <f>SUMIF('6. OPERATION'!$B$17:$B$149,$C1782,'6. OPERATION'!AN$17:AN$149)</f>
        <v>0</v>
      </c>
      <c r="I1796" s="135">
        <f>SUMIF('6. OPERATION'!$B$17:$B$149,$C1782,'6. OPERATION'!AO$17:AO$149)</f>
        <v>0</v>
      </c>
      <c r="J1796" s="135">
        <f>SUMIF('6. OPERATION'!$B$17:$B$149,$C1782,'6. OPERATION'!AP$17:AP$149)</f>
        <v>0</v>
      </c>
      <c r="K1796" s="135">
        <f>SUMIF('6. OPERATION'!$B$17:$B$149,$C1782,'6. OPERATION'!AQ$17:AQ$149)</f>
        <v>0</v>
      </c>
      <c r="L1796" s="135">
        <f>SUMIF('6. OPERATION'!$B$17:$B$149,$C1782,'6. OPERATION'!AR$17:AR$149)</f>
        <v>0</v>
      </c>
      <c r="M1796" s="117">
        <f t="shared" si="389"/>
        <v>0</v>
      </c>
    </row>
    <row r="1797" spans="2:15" s="3" customFormat="1" ht="13.2" x14ac:dyDescent="0.25">
      <c r="B1797" s="753" t="str">
        <f>IF('1. INTRO'!I$2="English",(IF('7. INVEST'!AS$50&gt;0,"Equipment","")),IF('7. INVEST'!AS$50&gt;0,"Utrustning",""))</f>
        <v/>
      </c>
      <c r="C1797" s="760">
        <f>SUMIF('7. INVEST'!$B$17:$B$49,$C1782,'7. INVEST'!AI$17:AI$49)</f>
        <v>0</v>
      </c>
      <c r="D1797" s="760">
        <f>SUMIF('7. INVEST'!$B$17:$B$49,$C1782,'7. INVEST'!AJ$17:AJ$49)</f>
        <v>0</v>
      </c>
      <c r="E1797" s="760">
        <f>SUMIF('7. INVEST'!$B$17:$B$49,$C1782,'7. INVEST'!AK$17:AK$49)</f>
        <v>0</v>
      </c>
      <c r="F1797" s="760">
        <f>SUMIF('7. INVEST'!$B$17:$B$49,$C1782,'7. INVEST'!AL$17:AL$49)</f>
        <v>0</v>
      </c>
      <c r="G1797" s="760">
        <f>SUMIF('7. INVEST'!$B$17:$B$49,$C1782,'7. INVEST'!AM$17:AM$49)</f>
        <v>0</v>
      </c>
      <c r="H1797" s="760">
        <f>SUMIF('7. INVEST'!$B$17:$B$49,$C1782,'7. INVEST'!AN$17:AN$49)</f>
        <v>0</v>
      </c>
      <c r="I1797" s="760">
        <f>SUMIF('7. INVEST'!$B$17:$B$49,$C1782,'7. INVEST'!AO$17:AO$49)</f>
        <v>0</v>
      </c>
      <c r="J1797" s="760">
        <f>SUMIF('7. INVEST'!$B$17:$B$49,$C1782,'7. INVEST'!AP$17:AP$49)</f>
        <v>0</v>
      </c>
      <c r="K1797" s="760">
        <f>SUMIF('7. INVEST'!$B$17:$B$49,$C1782,'7. INVEST'!AQ$17:AQ$49)</f>
        <v>0</v>
      </c>
      <c r="L1797" s="760">
        <f>SUMIF('7. INVEST'!$B$17:$B$49,$C1782,'7. INVEST'!AR$17:AR$49)</f>
        <v>0</v>
      </c>
      <c r="M1797" s="755">
        <f t="shared" si="389"/>
        <v>0</v>
      </c>
    </row>
    <row r="1798" spans="2:15" s="3" customFormat="1" ht="13.2" x14ac:dyDescent="0.25">
      <c r="B1798" s="121" t="str">
        <f>IF('1. INTRO'!I$2="English",(IF('8. FACILIT'!AP$51&gt;0,"Facility","")),IF('8. FACILIT'!AP$51&gt;0,"Lokal",""))</f>
        <v/>
      </c>
      <c r="C1798" s="135">
        <f>SUMIF('5. PERSON'!$B$17:$B$192,$C1782,'5. PERSON'!DB$17:DB$192)+SUMIF('6. OPERATION'!$B$17:$B$149,$C1782,'6. OPERATION'!CE$17:CE$149)+SUMIF('8. FACILIT'!$B$18:$B$50,$C1782,'8. FACILIT'!AF$18:AF$50)</f>
        <v>0</v>
      </c>
      <c r="D1798" s="135">
        <f>SUMIF('5. PERSON'!$B$17:$B$192,$C1782,'5. PERSON'!DC$17:DC$192)+SUMIF('6. OPERATION'!$B$17:$B$149,$C1782,'6. OPERATION'!CF$17:CF$149)+SUMIF('8. FACILIT'!$B$18:$B$50,$C1782,'8. FACILIT'!AG$18:AG$50)</f>
        <v>0</v>
      </c>
      <c r="E1798" s="135">
        <f>SUMIF('5. PERSON'!$B$17:$B$192,$C1782,'5. PERSON'!DD$17:DD$192)+SUMIF('6. OPERATION'!$B$17:$B$149,$C1782,'6. OPERATION'!CG$17:CG$149)+SUMIF('8. FACILIT'!$B$18:$B$50,$C1782,'8. FACILIT'!AH$18:AH$50)</f>
        <v>0</v>
      </c>
      <c r="F1798" s="135">
        <f>SUMIF('5. PERSON'!$B$17:$B$192,$C1782,'5. PERSON'!DE$17:DE$192)+SUMIF('6. OPERATION'!$B$17:$B$149,$C1782,'6. OPERATION'!CH$17:CH$149)+SUMIF('8. FACILIT'!$B$18:$B$50,$C1782,'8. FACILIT'!AI$18:AI$50)</f>
        <v>0</v>
      </c>
      <c r="G1798" s="135">
        <f>SUMIF('5. PERSON'!$B$17:$B$192,$C1782,'5. PERSON'!DF$17:DF$192)+SUMIF('6. OPERATION'!$B$17:$B$149,$C1782,'6. OPERATION'!CI$17:CI$149)+SUMIF('8. FACILIT'!$B$18:$B$50,$C1782,'8. FACILIT'!AJ$18:AJ$50)</f>
        <v>0</v>
      </c>
      <c r="H1798" s="135">
        <f>SUMIF('5. PERSON'!$B$17:$B$192,$C1782,'5. PERSON'!DG$17:DG$192)+SUMIF('6. OPERATION'!$B$17:$B$149,$C1782,'6. OPERATION'!CJ$17:CJ$149)+SUMIF('8. FACILIT'!$B$18:$B$50,$C1782,'8. FACILIT'!AK$18:AK$50)</f>
        <v>0</v>
      </c>
      <c r="I1798" s="135">
        <f>SUMIF('5. PERSON'!$B$17:$B$192,$C1782,'5. PERSON'!DH$17:DH$192)+SUMIF('6. OPERATION'!$B$17:$B$149,$C1782,'6. OPERATION'!CK$17:CK$149)+SUMIF('8. FACILIT'!$B$18:$B$50,$C1782,'8. FACILIT'!AL$18:AL$50)</f>
        <v>0</v>
      </c>
      <c r="J1798" s="135">
        <f>SUMIF('5. PERSON'!$B$17:$B$192,$C1782,'5. PERSON'!DI$17:DI$192)+SUMIF('6. OPERATION'!$B$17:$B$149,$C1782,'6. OPERATION'!CL$17:CL$149)+SUMIF('8. FACILIT'!$B$18:$B$50,$C1782,'8. FACILIT'!AM$18:AM$50)</f>
        <v>0</v>
      </c>
      <c r="K1798" s="135">
        <f>SUMIF('5. PERSON'!$B$17:$B$192,$C1782,'5. PERSON'!DJ$17:DJ$192)+SUMIF('6. OPERATION'!$B$17:$B$149,$C1782,'6. OPERATION'!CM$17:CM$149)+SUMIF('8. FACILIT'!$B$18:$B$50,$C1782,'8. FACILIT'!AN$18:AN$50)</f>
        <v>0</v>
      </c>
      <c r="L1798" s="135">
        <f>SUMIF('5. PERSON'!$B$17:$B$192,$C1782,'5. PERSON'!DK$17:DK$192)+SUMIF('6. OPERATION'!$B$17:$B$149,$C1782,'6. OPERATION'!CN$17:CN$149)+SUMIF('8. FACILIT'!$B$18:$B$50,$C1782,'8. FACILIT'!AO$18:AO$50)</f>
        <v>0</v>
      </c>
      <c r="M1798" s="117">
        <f t="shared" si="389"/>
        <v>0</v>
      </c>
    </row>
    <row r="1799" spans="2:15" s="1" customFormat="1" ht="13.2" x14ac:dyDescent="0.25">
      <c r="B1799" s="756" t="str">
        <f>IF('1. INTRO'!I$2="English",(IF(('5. PERSON'!CN$193+'6. OPERATION'!BQ$150)&gt;0,"Indirect","")),IF(('5. PERSON'!CN$193+'6. OPERATION'!BQ$150)&gt;0,"Indirekt",""))</f>
        <v/>
      </c>
      <c r="C1799" s="757">
        <f>SUMIF('5. PERSON'!$B$17:$B$192,$C1782,'5. PERSON'!CD$17:CD$192)+SUMIF('6. OPERATION'!$B$17:$B$149,$C1782,'6. OPERATION'!BG$17:BG$149)</f>
        <v>0</v>
      </c>
      <c r="D1799" s="757">
        <f>SUMIF('5. PERSON'!$B$17:$B$192,$C1782,'5. PERSON'!CE$17:CE$192)+SUMIF('6. OPERATION'!$B$17:$B$149,$C1782,'6. OPERATION'!BH$17:BH$149)</f>
        <v>0</v>
      </c>
      <c r="E1799" s="757">
        <f>SUMIF('5. PERSON'!$B$17:$B$192,$C1782,'5. PERSON'!CF$17:CF$192)+SUMIF('6. OPERATION'!$B$17:$B$149,$C1782,'6. OPERATION'!BI$17:BI$149)</f>
        <v>0</v>
      </c>
      <c r="F1799" s="757">
        <f>SUMIF('5. PERSON'!$B$17:$B$192,$C1782,'5. PERSON'!CG$17:CG$192)+SUMIF('6. OPERATION'!$B$17:$B$149,$C1782,'6. OPERATION'!BJ$17:BJ$149)</f>
        <v>0</v>
      </c>
      <c r="G1799" s="757">
        <f>SUMIF('5. PERSON'!$B$17:$B$192,$C1782,'5. PERSON'!CH$17:CH$192)+SUMIF('6. OPERATION'!$B$17:$B$149,$C1782,'6. OPERATION'!BK$17:BK$149)</f>
        <v>0</v>
      </c>
      <c r="H1799" s="757">
        <f>SUMIF('5. PERSON'!$B$17:$B$192,$C1782,'5. PERSON'!CI$17:CI$192)+SUMIF('6. OPERATION'!$B$17:$B$149,$C1782,'6. OPERATION'!BL$17:BL$149)</f>
        <v>0</v>
      </c>
      <c r="I1799" s="757">
        <f>SUMIF('5. PERSON'!$B$17:$B$192,$C1782,'5. PERSON'!CJ$17:CJ$192)+SUMIF('6. OPERATION'!$B$17:$B$149,$C1782,'6. OPERATION'!BM$17:BM$149)</f>
        <v>0</v>
      </c>
      <c r="J1799" s="757">
        <f>SUMIF('5. PERSON'!$B$17:$B$192,$C1782,'5. PERSON'!CK$17:CK$192)+SUMIF('6. OPERATION'!$B$17:$B$149,$C1782,'6. OPERATION'!BN$17:BN$149)</f>
        <v>0</v>
      </c>
      <c r="K1799" s="757">
        <f>SUMIF('5. PERSON'!$B$17:$B$192,$C1782,'5. PERSON'!CL$17:CL$192)+SUMIF('6. OPERATION'!$B$17:$B$149,$C1782,'6. OPERATION'!BO$17:BO$149)</f>
        <v>0</v>
      </c>
      <c r="L1799" s="757">
        <f>SUMIF('5. PERSON'!$B$17:$B$192,$C1782,'5. PERSON'!CM$17:CM$192)+SUMIF('6. OPERATION'!$B$17:$B$149,$C1782,'6. OPERATION'!BP$17:BP$149)</f>
        <v>0</v>
      </c>
      <c r="M1799" s="761">
        <f t="shared" si="389"/>
        <v>0</v>
      </c>
    </row>
    <row r="1800" spans="2:15" s="3" customFormat="1" ht="13.2" x14ac:dyDescent="0.25">
      <c r="B1800" s="124" t="s">
        <v>113</v>
      </c>
      <c r="C1800" s="102">
        <f>SUM(C1793:C1799)</f>
        <v>0</v>
      </c>
      <c r="D1800" s="102">
        <f t="shared" ref="D1800:M1800" si="390">SUM(D1793:D1799)</f>
        <v>0</v>
      </c>
      <c r="E1800" s="102">
        <f t="shared" si="390"/>
        <v>0</v>
      </c>
      <c r="F1800" s="102">
        <f t="shared" si="390"/>
        <v>0</v>
      </c>
      <c r="G1800" s="102">
        <f t="shared" si="390"/>
        <v>0</v>
      </c>
      <c r="H1800" s="102">
        <f t="shared" si="390"/>
        <v>0</v>
      </c>
      <c r="I1800" s="102">
        <f t="shared" si="390"/>
        <v>0</v>
      </c>
      <c r="J1800" s="102">
        <f t="shared" si="390"/>
        <v>0</v>
      </c>
      <c r="K1800" s="102">
        <f t="shared" si="390"/>
        <v>0</v>
      </c>
      <c r="L1800" s="102">
        <f t="shared" si="390"/>
        <v>0</v>
      </c>
      <c r="M1800" s="125">
        <f t="shared" si="390"/>
        <v>0</v>
      </c>
      <c r="N1800" s="23"/>
      <c r="O1800" s="23"/>
    </row>
    <row r="1801" spans="2:15" s="3" customFormat="1" ht="6" customHeight="1" x14ac:dyDescent="0.25">
      <c r="B1801" s="136"/>
      <c r="C1801" s="127"/>
      <c r="D1801" s="127"/>
      <c r="E1801" s="127"/>
      <c r="F1801" s="127"/>
      <c r="G1801" s="127"/>
      <c r="H1801" s="127"/>
      <c r="I1801" s="127"/>
      <c r="J1801" s="127"/>
      <c r="K1801" s="127"/>
      <c r="L1801" s="127"/>
      <c r="M1801" s="137"/>
    </row>
    <row r="1802" spans="2:15" s="3" customFormat="1" ht="13.2" x14ac:dyDescent="0.25">
      <c r="B1802" s="129" t="str">
        <f>IF('1. INTRO'!I$2="English","Full cost","Full kostnad")</f>
        <v>Full cost</v>
      </c>
      <c r="C1802" s="127"/>
      <c r="D1802" s="127"/>
      <c r="E1802" s="127"/>
      <c r="F1802" s="127"/>
      <c r="G1802" s="127"/>
      <c r="H1802" s="127"/>
      <c r="I1802" s="127"/>
      <c r="J1802" s="127"/>
      <c r="K1802" s="127"/>
      <c r="L1802" s="127"/>
      <c r="M1802" s="137"/>
    </row>
    <row r="1803" spans="2:15" s="3" customFormat="1" ht="13.2" x14ac:dyDescent="0.25">
      <c r="B1803" s="750" t="str">
        <f>IF('1. INTRO'!I$2="English","Salary including social costs (LKP)","Lön inklusive LKP")</f>
        <v>Salary including social costs (LKP)</v>
      </c>
      <c r="C1803" s="762">
        <f>C1785+C1794+C1795</f>
        <v>0</v>
      </c>
      <c r="D1803" s="762">
        <f t="shared" ref="D1803:L1803" si="391">D1785+D1794+D1795</f>
        <v>0</v>
      </c>
      <c r="E1803" s="762">
        <f t="shared" si="391"/>
        <v>0</v>
      </c>
      <c r="F1803" s="762">
        <f t="shared" si="391"/>
        <v>0</v>
      </c>
      <c r="G1803" s="762">
        <f t="shared" si="391"/>
        <v>0</v>
      </c>
      <c r="H1803" s="762">
        <f t="shared" si="391"/>
        <v>0</v>
      </c>
      <c r="I1803" s="762">
        <f t="shared" si="391"/>
        <v>0</v>
      </c>
      <c r="J1803" s="762">
        <f t="shared" si="391"/>
        <v>0</v>
      </c>
      <c r="K1803" s="762">
        <f t="shared" si="391"/>
        <v>0</v>
      </c>
      <c r="L1803" s="762">
        <f t="shared" si="391"/>
        <v>0</v>
      </c>
      <c r="M1803" s="752">
        <f>SUM(C1803:L1803)</f>
        <v>0</v>
      </c>
    </row>
    <row r="1804" spans="2:15" s="3" customFormat="1" ht="13.2" x14ac:dyDescent="0.25">
      <c r="B1804" s="80" t="str">
        <f>IF('1. INTRO'!I$2="English","Operating","Drift")</f>
        <v>Operating</v>
      </c>
      <c r="C1804" s="139">
        <f>C1786+C1796</f>
        <v>0</v>
      </c>
      <c r="D1804" s="139">
        <f t="shared" ref="D1804:L1804" si="392">D1786+D1796</f>
        <v>0</v>
      </c>
      <c r="E1804" s="139">
        <f t="shared" si="392"/>
        <v>0</v>
      </c>
      <c r="F1804" s="139">
        <f t="shared" si="392"/>
        <v>0</v>
      </c>
      <c r="G1804" s="139">
        <f t="shared" si="392"/>
        <v>0</v>
      </c>
      <c r="H1804" s="139">
        <f t="shared" si="392"/>
        <v>0</v>
      </c>
      <c r="I1804" s="139">
        <f t="shared" si="392"/>
        <v>0</v>
      </c>
      <c r="J1804" s="139">
        <f t="shared" si="392"/>
        <v>0</v>
      </c>
      <c r="K1804" s="139">
        <f t="shared" si="392"/>
        <v>0</v>
      </c>
      <c r="L1804" s="139">
        <f t="shared" si="392"/>
        <v>0</v>
      </c>
      <c r="M1804" s="117">
        <f>SUM(C1804:L1804)</f>
        <v>0</v>
      </c>
    </row>
    <row r="1805" spans="2:15" s="3" customFormat="1" ht="13.2" x14ac:dyDescent="0.25">
      <c r="B1805" s="753" t="str">
        <f>IF('1. INTRO'!I$2="English","Equipment","Utrustning")</f>
        <v>Equipment</v>
      </c>
      <c r="C1805" s="763">
        <f>C1787+C1797</f>
        <v>0</v>
      </c>
      <c r="D1805" s="763">
        <f t="shared" ref="D1805:L1805" si="393">D1787+D1797</f>
        <v>0</v>
      </c>
      <c r="E1805" s="763">
        <f t="shared" si="393"/>
        <v>0</v>
      </c>
      <c r="F1805" s="763">
        <f t="shared" si="393"/>
        <v>0</v>
      </c>
      <c r="G1805" s="763">
        <f t="shared" si="393"/>
        <v>0</v>
      </c>
      <c r="H1805" s="763">
        <f t="shared" si="393"/>
        <v>0</v>
      </c>
      <c r="I1805" s="763">
        <f t="shared" si="393"/>
        <v>0</v>
      </c>
      <c r="J1805" s="763">
        <f t="shared" si="393"/>
        <v>0</v>
      </c>
      <c r="K1805" s="763">
        <f t="shared" si="393"/>
        <v>0</v>
      </c>
      <c r="L1805" s="763">
        <f t="shared" si="393"/>
        <v>0</v>
      </c>
      <c r="M1805" s="755">
        <f>SUM(C1805:L1805)</f>
        <v>0</v>
      </c>
    </row>
    <row r="1806" spans="2:15" s="3" customFormat="1" ht="13.2" x14ac:dyDescent="0.25">
      <c r="B1806" s="80" t="str">
        <f>IF('1. INTRO'!I$2="English","Facility","Lokal")</f>
        <v>Facility</v>
      </c>
      <c r="C1806" s="139">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39">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39">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39">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39">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39">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39">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39">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39">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39">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117">
        <f>SUM(C1806:L1806)</f>
        <v>0</v>
      </c>
    </row>
    <row r="1807" spans="2:15" s="3" customFormat="1" ht="13.2" x14ac:dyDescent="0.25">
      <c r="B1807" s="764" t="str">
        <f>IF('1. INTRO'!I$2="English","Indirect","Indirekt")</f>
        <v>Indirect</v>
      </c>
      <c r="C1807" s="765">
        <f>SUMIF('5. PERSON'!$B$17:$B$192,$C1782,'5. PERSON'!BR$17:BR$192)+SUMIF('5. PERSON'!$B$17:$B$192,$C1782,'5. PERSON'!CD$17:CD$192)+SUMIF('6. OPERATION'!$B$17:$B$149,$C1782,'6. OPERATION'!AU$17:AU$149)+SUMIF('6. OPERATION'!$B$17:$B$149,$C1782,'6. OPERATION'!BG$17:BG$149)</f>
        <v>0</v>
      </c>
      <c r="D1807" s="765">
        <f>SUMIF('5. PERSON'!$B$17:$B$192,$C1782,'5. PERSON'!BS$17:BS$192)+SUMIF('5. PERSON'!$B$17:$B$192,$C1782,'5. PERSON'!CE$17:CE$192)+SUMIF('6. OPERATION'!$B$17:$B$149,$C1782,'6. OPERATION'!AV$17:AV$149)+SUMIF('6. OPERATION'!$B$17:$B$149,$C1782,'6. OPERATION'!BH$17:BH$149)</f>
        <v>0</v>
      </c>
      <c r="E1807" s="765">
        <f>SUMIF('5. PERSON'!$B$17:$B$192,$C1782,'5. PERSON'!BT$17:BT$192)+SUMIF('5. PERSON'!$B$17:$B$192,$C1782,'5. PERSON'!CF$17:CF$192)+SUMIF('6. OPERATION'!$B$17:$B$149,$C1782,'6. OPERATION'!AW$17:AW$149)+SUMIF('6. OPERATION'!$B$17:$B$149,$C1782,'6. OPERATION'!BI$17:BI$149)</f>
        <v>0</v>
      </c>
      <c r="F1807" s="765">
        <f>SUMIF('5. PERSON'!$B$17:$B$192,$C1782,'5. PERSON'!BU$17:BU$192)+SUMIF('5. PERSON'!$B$17:$B$192,$C1782,'5. PERSON'!CG$17:CG$192)+SUMIF('6. OPERATION'!$B$17:$B$149,$C1782,'6. OPERATION'!AX$17:AX$149)+SUMIF('6. OPERATION'!$B$17:$B$149,$C1782,'6. OPERATION'!BJ$17:BJ$149)</f>
        <v>0</v>
      </c>
      <c r="G1807" s="765">
        <f>SUMIF('5. PERSON'!$B$17:$B$192,$C1782,'5. PERSON'!BV$17:BV$192)+SUMIF('5. PERSON'!$B$17:$B$192,$C1782,'5. PERSON'!CH$17:CH$192)+SUMIF('6. OPERATION'!$B$17:$B$149,$C1782,'6. OPERATION'!AY$17:AY$149)+SUMIF('6. OPERATION'!$B$17:$B$149,$C1782,'6. OPERATION'!BK$17:BK$149)</f>
        <v>0</v>
      </c>
      <c r="H1807" s="765">
        <f>SUMIF('5. PERSON'!$B$17:$B$192,$C1782,'5. PERSON'!BW$17:BW$192)+SUMIF('5. PERSON'!$B$17:$B$192,$C1782,'5. PERSON'!CI$17:CI$192)+SUMIF('6. OPERATION'!$B$17:$B$149,$C1782,'6. OPERATION'!AZ$17:AZ$149)+SUMIF('6. OPERATION'!$B$17:$B$149,$C1782,'6. OPERATION'!BL$17:BL$149)</f>
        <v>0</v>
      </c>
      <c r="I1807" s="765">
        <f>SUMIF('5. PERSON'!$B$17:$B$192,$C1782,'5. PERSON'!BX$17:BX$192)+SUMIF('5. PERSON'!$B$17:$B$192,$C1782,'5. PERSON'!CJ$17:CJ$192)+SUMIF('6. OPERATION'!$B$17:$B$149,$C1782,'6. OPERATION'!BA$17:BA$149)+SUMIF('6. OPERATION'!$B$17:$B$149,$C1782,'6. OPERATION'!BM$17:BM$149)</f>
        <v>0</v>
      </c>
      <c r="J1807" s="765">
        <f>SUMIF('5. PERSON'!$B$17:$B$192,$C1782,'5. PERSON'!BY$17:BY$192)+SUMIF('5. PERSON'!$B$17:$B$192,$C1782,'5. PERSON'!CK$17:CK$192)+SUMIF('6. OPERATION'!$B$17:$B$149,$C1782,'6. OPERATION'!BB$17:BB$149)+SUMIF('6. OPERATION'!$B$17:$B$149,$C1782,'6. OPERATION'!BN$17:BN$149)</f>
        <v>0</v>
      </c>
      <c r="K1807" s="765">
        <f>SUMIF('5. PERSON'!$B$17:$B$192,$C1782,'5. PERSON'!BZ$17:BZ$192)+SUMIF('5. PERSON'!$B$17:$B$192,$C1782,'5. PERSON'!CL$17:CL$192)+SUMIF('6. OPERATION'!$B$17:$B$149,$C1782,'6. OPERATION'!BC$17:BC$149)+SUMIF('6. OPERATION'!$B$17:$B$149,$C1782,'6. OPERATION'!BO$17:BO$149)</f>
        <v>0</v>
      </c>
      <c r="L1807" s="765">
        <f>SUMIF('5. PERSON'!$B$17:$B$192,$C1782,'5. PERSON'!CA$17:CA$192)+SUMIF('5. PERSON'!$B$17:$B$192,$C1782,'5. PERSON'!CM$17:CM$192)+SUMIF('6. OPERATION'!$B$17:$B$149,$C1782,'6. OPERATION'!BD$17:BD$149)+SUMIF('6. OPERATION'!$B$17:$B$149,$C1782,'6. OPERATION'!BP$17:BP$149)</f>
        <v>0</v>
      </c>
      <c r="M1807" s="761">
        <f>SUM(C1807:L1807)</f>
        <v>0</v>
      </c>
    </row>
    <row r="1808" spans="2:15" s="3" customFormat="1" ht="13.2" x14ac:dyDescent="0.25">
      <c r="B1808" s="124" t="s">
        <v>113</v>
      </c>
      <c r="C1808" s="88">
        <f>SUM(C1803:C1807)</f>
        <v>0</v>
      </c>
      <c r="D1808" s="88">
        <f t="shared" ref="D1808:M1808" si="394">SUM(D1803:D1807)</f>
        <v>0</v>
      </c>
      <c r="E1808" s="88">
        <f t="shared" si="394"/>
        <v>0</v>
      </c>
      <c r="F1808" s="88">
        <f t="shared" si="394"/>
        <v>0</v>
      </c>
      <c r="G1808" s="88">
        <f t="shared" si="394"/>
        <v>0</v>
      </c>
      <c r="H1808" s="88">
        <f t="shared" si="394"/>
        <v>0</v>
      </c>
      <c r="I1808" s="88">
        <f t="shared" si="394"/>
        <v>0</v>
      </c>
      <c r="J1808" s="88">
        <f t="shared" si="394"/>
        <v>0</v>
      </c>
      <c r="K1808" s="88">
        <f t="shared" si="394"/>
        <v>0</v>
      </c>
      <c r="L1808" s="88">
        <f t="shared" si="394"/>
        <v>0</v>
      </c>
      <c r="M1808" s="142">
        <f t="shared" si="394"/>
        <v>0</v>
      </c>
    </row>
    <row r="1809" spans="2:13" s="3" customFormat="1" ht="13.2" x14ac:dyDescent="0.25">
      <c r="B1809" s="287"/>
      <c r="C1809" s="37"/>
      <c r="D1809" s="37"/>
      <c r="E1809" s="37"/>
      <c r="F1809" s="37"/>
      <c r="G1809" s="37"/>
      <c r="H1809" s="37"/>
      <c r="I1809" s="37"/>
      <c r="J1809" s="37"/>
      <c r="K1809" s="37"/>
      <c r="L1809" s="37"/>
      <c r="M1809" s="37"/>
    </row>
    <row r="1810" spans="2:13" s="3" customFormat="1" ht="12.75" customHeight="1" x14ac:dyDescent="0.25">
      <c r="B1810" s="656" t="str">
        <f>IF('1. INTRO'!I$2="English","Co-funding share in full cost ","Medfinansieringsandel i full kostnad ")</f>
        <v xml:space="preserve">Co-funding share in full cost </v>
      </c>
      <c r="C1810" s="143" t="str">
        <f t="shared" ref="C1810:M1810" si="395">IF(C1808&gt;0,C1800/C1808,"")</f>
        <v/>
      </c>
      <c r="D1810" s="143" t="str">
        <f t="shared" si="395"/>
        <v/>
      </c>
      <c r="E1810" s="143" t="str">
        <f t="shared" si="395"/>
        <v/>
      </c>
      <c r="F1810" s="143" t="str">
        <f t="shared" si="395"/>
        <v/>
      </c>
      <c r="G1810" s="143" t="str">
        <f t="shared" si="395"/>
        <v/>
      </c>
      <c r="H1810" s="143" t="str">
        <f t="shared" si="395"/>
        <v/>
      </c>
      <c r="I1810" s="143" t="str">
        <f t="shared" si="395"/>
        <v/>
      </c>
      <c r="J1810" s="143" t="str">
        <f t="shared" si="395"/>
        <v/>
      </c>
      <c r="K1810" s="143" t="str">
        <f t="shared" si="395"/>
        <v/>
      </c>
      <c r="L1810" s="143" t="str">
        <f t="shared" si="395"/>
        <v/>
      </c>
      <c r="M1810" s="143" t="str">
        <f t="shared" si="395"/>
        <v/>
      </c>
    </row>
    <row r="1811" spans="2:13" ht="12.75" customHeight="1" x14ac:dyDescent="0.2"/>
    <row r="1812" spans="2:13" ht="12.75" customHeight="1" x14ac:dyDescent="0.25">
      <c r="D1812" s="656" t="str">
        <f>IF('1. INTRO'!I$2="English","Co-funding need in average per year: ","Medfinansieringsbehov i genomsnitt per år: ")</f>
        <v xml:space="preserve">Co-funding need in average per year: </v>
      </c>
      <c r="E1812" s="766" t="str">
        <f>IF(M1800=0,"",M1800/(DATEDIF('2. START'!C$18,'2. START'!C$19,"d")/365))</f>
        <v/>
      </c>
      <c r="H1812" s="656" t="str">
        <f>IF('1. INTRO'!I$2="English","Co-funding need 1/3 of total: ","Medfinansieringsbehov 1/3 av totalt: ")</f>
        <v xml:space="preserve">Co-funding need 1/3 of total: </v>
      </c>
      <c r="I1812" s="766">
        <f>M1800/3</f>
        <v>0</v>
      </c>
      <c r="L1812" s="287" t="str">
        <f>IF('1. INTRO'!I$2="English","Co-funding need total: ","Medfinansieringsbehov totalt: ")</f>
        <v xml:space="preserve">Co-funding need total: </v>
      </c>
      <c r="M1812" s="766">
        <f>M1800</f>
        <v>0</v>
      </c>
    </row>
    <row r="1813" spans="2:13" ht="12.75" customHeight="1" x14ac:dyDescent="0.25">
      <c r="B1813" s="53" t="str">
        <f>IF('1. INTRO'!I$2="English","Co-funding sources","Medfinansieringskällor")</f>
        <v>Co-funding sources</v>
      </c>
    </row>
    <row r="1814" spans="2:13" ht="12.75" customHeight="1" x14ac:dyDescent="0.25">
      <c r="B1814" s="225"/>
      <c r="C1814" s="226"/>
      <c r="D1814" s="226"/>
      <c r="E1814" s="226"/>
      <c r="F1814" s="226"/>
      <c r="G1814" s="226"/>
      <c r="H1814" s="226"/>
      <c r="I1814" s="226"/>
      <c r="J1814" s="226"/>
      <c r="K1814" s="226"/>
      <c r="L1814" s="227"/>
      <c r="M1814" s="168">
        <f>SUM(C1814:L1814)</f>
        <v>0</v>
      </c>
    </row>
    <row r="1815" spans="2:13" ht="12.75" customHeight="1" x14ac:dyDescent="0.25">
      <c r="B1815" s="228"/>
      <c r="C1815" s="229"/>
      <c r="D1815" s="229"/>
      <c r="E1815" s="229"/>
      <c r="F1815" s="229"/>
      <c r="G1815" s="229"/>
      <c r="H1815" s="229"/>
      <c r="I1815" s="229"/>
      <c r="J1815" s="229"/>
      <c r="K1815" s="229"/>
      <c r="L1815" s="230"/>
      <c r="M1815" s="755">
        <f t="shared" ref="M1815:M1818" si="396">SUM(C1815:L1815)</f>
        <v>0</v>
      </c>
    </row>
    <row r="1816" spans="2:13" ht="12.75" customHeight="1" x14ac:dyDescent="0.25">
      <c r="B1816" s="231"/>
      <c r="C1816" s="232"/>
      <c r="D1816" s="232"/>
      <c r="E1816" s="232"/>
      <c r="F1816" s="232"/>
      <c r="G1816" s="232"/>
      <c r="H1816" s="232"/>
      <c r="I1816" s="232"/>
      <c r="J1816" s="232"/>
      <c r="K1816" s="232"/>
      <c r="L1816" s="233"/>
      <c r="M1816" s="117">
        <f t="shared" si="396"/>
        <v>0</v>
      </c>
    </row>
    <row r="1817" spans="2:13" ht="12.75" customHeight="1" x14ac:dyDescent="0.25">
      <c r="B1817" s="228"/>
      <c r="C1817" s="229"/>
      <c r="D1817" s="229"/>
      <c r="E1817" s="229"/>
      <c r="F1817" s="229"/>
      <c r="G1817" s="229"/>
      <c r="H1817" s="229"/>
      <c r="I1817" s="229"/>
      <c r="J1817" s="229"/>
      <c r="K1817" s="229"/>
      <c r="L1817" s="230"/>
      <c r="M1817" s="755">
        <f t="shared" si="396"/>
        <v>0</v>
      </c>
    </row>
    <row r="1818" spans="2:13" ht="12.75" customHeight="1" x14ac:dyDescent="0.25">
      <c r="B1818" s="93"/>
      <c r="C1818" s="232"/>
      <c r="D1818" s="232"/>
      <c r="E1818" s="232"/>
      <c r="F1818" s="232"/>
      <c r="G1818" s="232"/>
      <c r="H1818" s="232"/>
      <c r="I1818" s="232"/>
      <c r="J1818" s="232"/>
      <c r="K1818" s="232"/>
      <c r="L1818" s="233"/>
      <c r="M1818" s="117">
        <f t="shared" si="396"/>
        <v>0</v>
      </c>
    </row>
    <row r="1819" spans="2:13" ht="12.75" customHeight="1" x14ac:dyDescent="0.25">
      <c r="B1819" s="84" t="str">
        <f>IF('1. INTRO'!I$2="English","Total co-funding ","Total medfinansiering ")</f>
        <v xml:space="preserve">Total co-funding </v>
      </c>
      <c r="C1819" s="87">
        <f t="shared" ref="C1819:M1819" si="397">SUM(C1814:C1818)</f>
        <v>0</v>
      </c>
      <c r="D1819" s="87">
        <f t="shared" si="397"/>
        <v>0</v>
      </c>
      <c r="E1819" s="87">
        <f t="shared" si="397"/>
        <v>0</v>
      </c>
      <c r="F1819" s="87">
        <f t="shared" si="397"/>
        <v>0</v>
      </c>
      <c r="G1819" s="87">
        <f t="shared" si="397"/>
        <v>0</v>
      </c>
      <c r="H1819" s="87">
        <f t="shared" si="397"/>
        <v>0</v>
      </c>
      <c r="I1819" s="87">
        <f t="shared" si="397"/>
        <v>0</v>
      </c>
      <c r="J1819" s="87">
        <f t="shared" si="397"/>
        <v>0</v>
      </c>
      <c r="K1819" s="87">
        <f t="shared" si="397"/>
        <v>0</v>
      </c>
      <c r="L1819" s="87">
        <f t="shared" si="397"/>
        <v>0</v>
      </c>
      <c r="M1819" s="142">
        <f t="shared" si="397"/>
        <v>0</v>
      </c>
    </row>
    <row r="1820" spans="2:13" ht="12.75" customHeight="1" x14ac:dyDescent="0.2"/>
    <row r="1821" spans="2:13" ht="12.75" customHeight="1" x14ac:dyDescent="0.2">
      <c r="B1821" s="667" t="str">
        <f>IF('1. INTRO'!I$2="English","Calculation comments","Kalkylkommentarer")</f>
        <v>Calculation comments</v>
      </c>
    </row>
    <row r="1822" spans="2:13" ht="12.75" customHeight="1" x14ac:dyDescent="0.2">
      <c r="B1822" s="1142"/>
      <c r="C1822" s="1143"/>
      <c r="D1822" s="1143"/>
      <c r="E1822" s="1143"/>
      <c r="F1822" s="1143"/>
      <c r="G1822" s="1143"/>
      <c r="H1822" s="1143"/>
      <c r="I1822" s="1143"/>
      <c r="J1822" s="1143"/>
      <c r="K1822" s="1143"/>
      <c r="L1822" s="1143"/>
      <c r="M1822" s="1144"/>
    </row>
    <row r="1823" spans="2:13" ht="12.75" customHeight="1" x14ac:dyDescent="0.2">
      <c r="B1823" s="1145"/>
      <c r="C1823" s="1226"/>
      <c r="D1823" s="1226"/>
      <c r="E1823" s="1226"/>
      <c r="F1823" s="1226"/>
      <c r="G1823" s="1226"/>
      <c r="H1823" s="1226"/>
      <c r="I1823" s="1226"/>
      <c r="J1823" s="1226"/>
      <c r="K1823" s="1226"/>
      <c r="L1823" s="1226"/>
      <c r="M1823" s="1147"/>
    </row>
    <row r="1824" spans="2:13" ht="12.75" customHeight="1" x14ac:dyDescent="0.2">
      <c r="B1824" s="1145"/>
      <c r="C1824" s="1226"/>
      <c r="D1824" s="1226"/>
      <c r="E1824" s="1226"/>
      <c r="F1824" s="1226"/>
      <c r="G1824" s="1226"/>
      <c r="H1824" s="1226"/>
      <c r="I1824" s="1226"/>
      <c r="J1824" s="1226"/>
      <c r="K1824" s="1226"/>
      <c r="L1824" s="1226"/>
      <c r="M1824" s="1147"/>
    </row>
    <row r="1825" spans="2:15" ht="12.75" customHeight="1" x14ac:dyDescent="0.2">
      <c r="B1825" s="1145"/>
      <c r="C1825" s="1226"/>
      <c r="D1825" s="1226"/>
      <c r="E1825" s="1226"/>
      <c r="F1825" s="1226"/>
      <c r="G1825" s="1226"/>
      <c r="H1825" s="1226"/>
      <c r="I1825" s="1226"/>
      <c r="J1825" s="1226"/>
      <c r="K1825" s="1226"/>
      <c r="L1825" s="1226"/>
      <c r="M1825" s="1147"/>
    </row>
    <row r="1826" spans="2:15" ht="12.75" customHeight="1" x14ac:dyDescent="0.2">
      <c r="B1826" s="1148"/>
      <c r="C1826" s="1149"/>
      <c r="D1826" s="1149"/>
      <c r="E1826" s="1149"/>
      <c r="F1826" s="1149"/>
      <c r="G1826" s="1149"/>
      <c r="H1826" s="1149"/>
      <c r="I1826" s="1149"/>
      <c r="J1826" s="1149"/>
      <c r="K1826" s="1149"/>
      <c r="L1826" s="1149"/>
      <c r="M1826" s="1150"/>
    </row>
    <row r="1828" spans="2:15" s="3" customFormat="1" ht="12.75" customHeight="1" x14ac:dyDescent="0.25">
      <c r="B1828" s="313" t="str">
        <f>'3. PARTNER'!C$4</f>
        <v xml:space="preserve">Project: </v>
      </c>
      <c r="C1828" s="1062" t="str">
        <f>'3. PARTNER'!D$4</f>
        <v/>
      </c>
      <c r="D1828" s="1001"/>
      <c r="E1828" s="1001"/>
      <c r="F1828" s="1001"/>
      <c r="G1828" s="1001"/>
      <c r="H1828" s="1001"/>
      <c r="I1828" s="1001"/>
      <c r="J1828" s="1001"/>
      <c r="K1828" s="1001"/>
      <c r="L1828" s="1001"/>
      <c r="M1828" s="1001"/>
    </row>
    <row r="1829" spans="2:15" s="3" customFormat="1" ht="13.2" x14ac:dyDescent="0.25">
      <c r="B1829" s="313" t="str">
        <f>'3. PARTNER'!C$5</f>
        <v xml:space="preserve">Calculation for: </v>
      </c>
      <c r="C1829" s="1062" t="str">
        <f>'3. PARTNER'!D$5</f>
        <v>APPLICATION</v>
      </c>
      <c r="D1829" s="1001"/>
      <c r="E1829" s="268"/>
      <c r="F1829" s="268"/>
      <c r="G1829" s="268"/>
      <c r="H1829" s="268"/>
      <c r="I1829" s="268"/>
      <c r="J1829" s="268"/>
      <c r="K1829" s="268"/>
      <c r="L1829" s="268"/>
      <c r="M1829" s="268"/>
    </row>
    <row r="1830" spans="2:15" s="3" customFormat="1" ht="13.2" x14ac:dyDescent="0.25">
      <c r="B1830" s="35" t="str">
        <f>'3. PARTNER'!C$6</f>
        <v xml:space="preserve">Project leader: </v>
      </c>
      <c r="C1830" s="1062" t="str">
        <f>'3. PARTNER'!D$6</f>
        <v/>
      </c>
      <c r="D1830" s="1001"/>
      <c r="E1830" s="1001"/>
      <c r="F1830" s="1001"/>
      <c r="G1830" s="1001"/>
      <c r="H1830" s="1001"/>
      <c r="I1830" s="1001"/>
      <c r="J1830" s="1001"/>
      <c r="K1830" s="1001"/>
      <c r="L1830" s="1001"/>
      <c r="M1830" s="1001"/>
    </row>
    <row r="1831" spans="2:15" s="3" customFormat="1" ht="13.2" x14ac:dyDescent="0.25">
      <c r="B1831" s="313" t="str">
        <f>'5. PERSON'!B$7</f>
        <v xml:space="preserve">Amounts in: </v>
      </c>
      <c r="C1831" s="655" t="str">
        <f>'5. PERSON'!C$7</f>
        <v>SEK</v>
      </c>
      <c r="D1831" s="268"/>
      <c r="E1831" s="268"/>
      <c r="F1831" s="268"/>
      <c r="G1831" s="234"/>
      <c r="H1831" s="234"/>
      <c r="I1831" s="270"/>
      <c r="J1831" s="270"/>
      <c r="K1831" s="270"/>
      <c r="L1831" s="270"/>
      <c r="M1831" s="270"/>
    </row>
    <row r="1832" spans="2:15" s="3" customFormat="1" ht="13.2" x14ac:dyDescent="0.25">
      <c r="B1832" s="313"/>
      <c r="C1832" s="1053" t="str">
        <f>'3. PARTNER'!D$7</f>
        <v>Other basic data about the project is in sheet 2.</v>
      </c>
      <c r="D1832" s="1001"/>
      <c r="E1832" s="1001"/>
      <c r="F1832" s="1001"/>
      <c r="G1832" s="234"/>
      <c r="H1832" s="234"/>
      <c r="I1832" s="270"/>
      <c r="J1832" s="270"/>
      <c r="K1832" s="270"/>
      <c r="L1832" s="251" t="s">
        <v>4</v>
      </c>
      <c r="M1832" s="270"/>
    </row>
    <row r="1833" spans="2:15" ht="12.75" customHeight="1" x14ac:dyDescent="0.2">
      <c r="L1833" s="252" t="str">
        <f>IF('1. INTRO'!I$2="English","months","månader")</f>
        <v>months</v>
      </c>
    </row>
    <row r="1834" spans="2:15" s="3" customFormat="1" ht="13.8" x14ac:dyDescent="0.25">
      <c r="B1834" s="157" t="str">
        <f>IF('1. INTRO'!I$2="English","Project costs","Projektkostnader")</f>
        <v>Project costs</v>
      </c>
      <c r="C1834" s="1227" t="str">
        <f>B49</f>
        <v xml:space="preserve">S-faculty </v>
      </c>
      <c r="D1834" s="1004"/>
      <c r="E1834" s="37"/>
      <c r="G1834" s="37"/>
      <c r="H1834" s="37"/>
      <c r="I1834" s="37"/>
      <c r="J1834" s="37"/>
      <c r="K1834" s="37"/>
      <c r="L1834" s="642">
        <f>L1782+L1730+L1678+L1626+L1574+L1522+L1470+L1418+L1366+L1314+L1262+L1210</f>
        <v>0</v>
      </c>
      <c r="M1834" s="680" t="s">
        <v>330</v>
      </c>
    </row>
    <row r="1835" spans="2:15" s="3" customFormat="1" ht="6" customHeight="1" x14ac:dyDescent="0.25">
      <c r="B1835" s="57"/>
      <c r="C1835" s="37"/>
      <c r="D1835" s="37"/>
      <c r="E1835" s="37"/>
      <c r="F1835" s="37"/>
      <c r="G1835" s="37"/>
      <c r="H1835" s="37"/>
      <c r="I1835" s="37"/>
      <c r="J1835" s="37"/>
      <c r="K1835" s="37"/>
      <c r="L1835" s="37"/>
      <c r="M1835" s="37"/>
    </row>
    <row r="1836" spans="2:15" s="3" customFormat="1" ht="13.2" x14ac:dyDescent="0.25">
      <c r="B1836" s="110" t="str">
        <f>IF('1. INTRO'!I$2="English","Costs to be covered by funding body","Kostnader att täckas av finansiär")</f>
        <v>Costs to be covered by funding body</v>
      </c>
      <c r="C1836" s="111">
        <f>'5. PERSON'!G$15</f>
        <v>1900</v>
      </c>
      <c r="D1836" s="111" t="str">
        <f>'5. PERSON'!H$15</f>
        <v/>
      </c>
      <c r="E1836" s="111" t="str">
        <f>'5. PERSON'!I$15</f>
        <v/>
      </c>
      <c r="F1836" s="111" t="str">
        <f>'5. PERSON'!J$15</f>
        <v/>
      </c>
      <c r="G1836" s="111" t="str">
        <f>'5. PERSON'!K$15</f>
        <v/>
      </c>
      <c r="H1836" s="111" t="str">
        <f>'5. PERSON'!L$15</f>
        <v/>
      </c>
      <c r="I1836" s="111" t="str">
        <f>'5. PERSON'!M$15</f>
        <v/>
      </c>
      <c r="J1836" s="111" t="str">
        <f>'5. PERSON'!N$15</f>
        <v/>
      </c>
      <c r="K1836" s="111" t="str">
        <f>'5. PERSON'!O$15</f>
        <v/>
      </c>
      <c r="L1836" s="111" t="str">
        <f>'5. PERSON'!P$15</f>
        <v/>
      </c>
      <c r="M1836" s="112" t="s">
        <v>2</v>
      </c>
    </row>
    <row r="1837" spans="2:15" s="3" customFormat="1" ht="12.75" customHeight="1" x14ac:dyDescent="0.25">
      <c r="B1837" s="750" t="str">
        <f>IF('1. INTRO'!I$2="English","Salary including social costs (LKP)","Lön inklusive LKP")</f>
        <v>Salary including social costs (LKP)</v>
      </c>
      <c r="C1837" s="767">
        <f t="shared" ref="C1837:L1837" si="398">C1213+C1265+C1317+C1369+C1421+C1473+C1525+C1577+C1629+C1681+C1733+C1785</f>
        <v>0</v>
      </c>
      <c r="D1837" s="751">
        <f t="shared" si="398"/>
        <v>0</v>
      </c>
      <c r="E1837" s="768">
        <f t="shared" si="398"/>
        <v>0</v>
      </c>
      <c r="F1837" s="751">
        <f t="shared" si="398"/>
        <v>0</v>
      </c>
      <c r="G1837" s="768">
        <f t="shared" si="398"/>
        <v>0</v>
      </c>
      <c r="H1837" s="751">
        <f t="shared" si="398"/>
        <v>0</v>
      </c>
      <c r="I1837" s="768">
        <f t="shared" si="398"/>
        <v>0</v>
      </c>
      <c r="J1837" s="751">
        <f t="shared" si="398"/>
        <v>0</v>
      </c>
      <c r="K1837" s="768">
        <f t="shared" si="398"/>
        <v>0</v>
      </c>
      <c r="L1837" s="751">
        <f t="shared" si="398"/>
        <v>0</v>
      </c>
      <c r="M1837" s="769">
        <f t="shared" ref="M1837:M1842" si="399">SUM(C1837:L1837)</f>
        <v>0</v>
      </c>
      <c r="O1837" s="4"/>
    </row>
    <row r="1838" spans="2:15" s="3" customFormat="1" ht="12.75" customHeight="1" x14ac:dyDescent="0.25">
      <c r="B1838" s="80" t="str">
        <f>IF('1. INTRO'!I$2="English","Operating","Drift")</f>
        <v>Operating</v>
      </c>
      <c r="C1838" s="171">
        <f t="shared" ref="C1838:L1838" si="400">C1214+C1266+C1318+C1370+C1422+C1474+C1526+C1578+C1630+C1682+C1734+C1786</f>
        <v>0</v>
      </c>
      <c r="D1838" s="116">
        <f t="shared" si="400"/>
        <v>0</v>
      </c>
      <c r="E1838" s="109">
        <f t="shared" si="400"/>
        <v>0</v>
      </c>
      <c r="F1838" s="116">
        <f t="shared" si="400"/>
        <v>0</v>
      </c>
      <c r="G1838" s="109">
        <f t="shared" si="400"/>
        <v>0</v>
      </c>
      <c r="H1838" s="116">
        <f t="shared" si="400"/>
        <v>0</v>
      </c>
      <c r="I1838" s="109">
        <f t="shared" si="400"/>
        <v>0</v>
      </c>
      <c r="J1838" s="116">
        <f t="shared" si="400"/>
        <v>0</v>
      </c>
      <c r="K1838" s="109">
        <f t="shared" si="400"/>
        <v>0</v>
      </c>
      <c r="L1838" s="116">
        <f t="shared" si="400"/>
        <v>0</v>
      </c>
      <c r="M1838" s="146">
        <f t="shared" si="399"/>
        <v>0</v>
      </c>
    </row>
    <row r="1839" spans="2:15" s="3" customFormat="1" ht="13.2" x14ac:dyDescent="0.25">
      <c r="B1839" s="753" t="str">
        <f>IF('1. INTRO'!I$2="English","Equipment","Utrustning")</f>
        <v>Equipment</v>
      </c>
      <c r="C1839" s="770">
        <f t="shared" ref="C1839:L1839" si="401">C1215+C1267+C1319+C1371+C1423+C1475+C1527+C1579+C1631+C1683+C1735+C1787</f>
        <v>0</v>
      </c>
      <c r="D1839" s="754">
        <f t="shared" si="401"/>
        <v>0</v>
      </c>
      <c r="E1839" s="771">
        <f t="shared" si="401"/>
        <v>0</v>
      </c>
      <c r="F1839" s="754">
        <f t="shared" si="401"/>
        <v>0</v>
      </c>
      <c r="G1839" s="771">
        <f t="shared" si="401"/>
        <v>0</v>
      </c>
      <c r="H1839" s="754">
        <f t="shared" si="401"/>
        <v>0</v>
      </c>
      <c r="I1839" s="771">
        <f t="shared" si="401"/>
        <v>0</v>
      </c>
      <c r="J1839" s="754">
        <f t="shared" si="401"/>
        <v>0</v>
      </c>
      <c r="K1839" s="771">
        <f t="shared" si="401"/>
        <v>0</v>
      </c>
      <c r="L1839" s="754">
        <f t="shared" si="401"/>
        <v>0</v>
      </c>
      <c r="M1839" s="772">
        <f t="shared" si="399"/>
        <v>0</v>
      </c>
    </row>
    <row r="1840" spans="2:15" s="3" customFormat="1" ht="13.2" x14ac:dyDescent="0.25">
      <c r="B1840" s="121" t="str">
        <f>IF('1. INTRO'!I$2="English",(IF('2. START'!C$11="NO","Facility accepted as direct cost by funding body","Facility")),IF('2. START'!C$11="NO","Lokal accepterad som direkt kostnad av finansiär","Lokal"))</f>
        <v>Facility</v>
      </c>
      <c r="C1840" s="171">
        <f t="shared" ref="C1840:L1840" si="402">C1216+C1268+C1320+C1372+C1424+C1476+C1528+C1580+C1632+C1684+C1736+C1788</f>
        <v>0</v>
      </c>
      <c r="D1840" s="116">
        <f t="shared" si="402"/>
        <v>0</v>
      </c>
      <c r="E1840" s="109">
        <f t="shared" si="402"/>
        <v>0</v>
      </c>
      <c r="F1840" s="116">
        <f t="shared" si="402"/>
        <v>0</v>
      </c>
      <c r="G1840" s="109">
        <f t="shared" si="402"/>
        <v>0</v>
      </c>
      <c r="H1840" s="116">
        <f t="shared" si="402"/>
        <v>0</v>
      </c>
      <c r="I1840" s="109">
        <f t="shared" si="402"/>
        <v>0</v>
      </c>
      <c r="J1840" s="116">
        <f t="shared" si="402"/>
        <v>0</v>
      </c>
      <c r="K1840" s="109">
        <f t="shared" si="402"/>
        <v>0</v>
      </c>
      <c r="L1840" s="116">
        <f t="shared" si="402"/>
        <v>0</v>
      </c>
      <c r="M1840" s="146">
        <f t="shared" si="399"/>
        <v>0</v>
      </c>
    </row>
    <row r="1841" spans="2:15" s="3" customFormat="1" ht="13.2" x14ac:dyDescent="0.25">
      <c r="B1841" s="756" t="str">
        <f>IF('1. INTRO'!I$2="English",(IF('2. START'!C$11="NO","Indirect and facility charge accepted as OH by funding body","Indirect")),IF('2. START'!C$11="NO","Indirekt och lokalpåslag accepterade som OH av finansiär","Indirekt"))</f>
        <v>Indirect</v>
      </c>
      <c r="C1841" s="773">
        <f t="shared" ref="C1841:L1841" si="403">C1217+C1269+C1321+C1373+C1425+C1477+C1529+C1581+C1633+C1685+C1737+C1789</f>
        <v>0</v>
      </c>
      <c r="D1841" s="757">
        <f t="shared" si="403"/>
        <v>0</v>
      </c>
      <c r="E1841" s="774">
        <f t="shared" si="403"/>
        <v>0</v>
      </c>
      <c r="F1841" s="757">
        <f t="shared" si="403"/>
        <v>0</v>
      </c>
      <c r="G1841" s="774">
        <f t="shared" si="403"/>
        <v>0</v>
      </c>
      <c r="H1841" s="757">
        <f t="shared" si="403"/>
        <v>0</v>
      </c>
      <c r="I1841" s="774">
        <f t="shared" si="403"/>
        <v>0</v>
      </c>
      <c r="J1841" s="757">
        <f t="shared" si="403"/>
        <v>0</v>
      </c>
      <c r="K1841" s="774">
        <f t="shared" si="403"/>
        <v>0</v>
      </c>
      <c r="L1841" s="757">
        <f t="shared" si="403"/>
        <v>0</v>
      </c>
      <c r="M1841" s="775">
        <f t="shared" si="399"/>
        <v>0</v>
      </c>
    </row>
    <row r="1842" spans="2:15" s="3" customFormat="1" ht="13.2" x14ac:dyDescent="0.25">
      <c r="B1842" s="124" t="s">
        <v>113</v>
      </c>
      <c r="C1842" s="161">
        <f>SUM(C1837:C1841)</f>
        <v>0</v>
      </c>
      <c r="D1842" s="161">
        <f t="shared" ref="D1842:L1842" si="404">SUM(D1837:D1841)</f>
        <v>0</v>
      </c>
      <c r="E1842" s="161">
        <f t="shared" si="404"/>
        <v>0</v>
      </c>
      <c r="F1842" s="161">
        <f t="shared" si="404"/>
        <v>0</v>
      </c>
      <c r="G1842" s="161">
        <f t="shared" si="404"/>
        <v>0</v>
      </c>
      <c r="H1842" s="161">
        <f t="shared" si="404"/>
        <v>0</v>
      </c>
      <c r="I1842" s="161">
        <f t="shared" si="404"/>
        <v>0</v>
      </c>
      <c r="J1842" s="161">
        <f t="shared" si="404"/>
        <v>0</v>
      </c>
      <c r="K1842" s="161">
        <f t="shared" si="404"/>
        <v>0</v>
      </c>
      <c r="L1842" s="161">
        <f t="shared" si="404"/>
        <v>0</v>
      </c>
      <c r="M1842" s="125">
        <f t="shared" si="399"/>
        <v>0</v>
      </c>
    </row>
    <row r="1843" spans="2:15" s="3" customFormat="1" ht="6" customHeight="1" x14ac:dyDescent="0.25">
      <c r="B1843" s="126"/>
      <c r="C1843" s="127"/>
      <c r="D1843" s="127"/>
      <c r="E1843" s="127"/>
      <c r="F1843" s="127"/>
      <c r="G1843" s="127"/>
      <c r="H1843" s="127"/>
      <c r="I1843" s="127"/>
      <c r="J1843" s="127"/>
      <c r="K1843" s="127"/>
      <c r="L1843" s="127"/>
      <c r="M1843" s="128"/>
    </row>
    <row r="1844" spans="2:15" s="3" customFormat="1" ht="13.2" x14ac:dyDescent="0.25">
      <c r="B1844" s="129" t="str">
        <f>IF('1. INTRO'!I$2="English","Costs to be co-funded","Kostnader att medfinansiera")</f>
        <v>Costs to be co-funded</v>
      </c>
      <c r="C1844" s="86"/>
      <c r="D1844" s="86"/>
      <c r="E1844" s="86"/>
      <c r="F1844" s="86"/>
      <c r="G1844" s="86"/>
      <c r="H1844" s="86"/>
      <c r="I1844" s="86"/>
      <c r="J1844" s="86"/>
      <c r="K1844" s="86"/>
      <c r="L1844" s="86"/>
      <c r="M1844" s="130"/>
    </row>
    <row r="1845" spans="2:15" s="3" customFormat="1" ht="13.2" x14ac:dyDescent="0.25">
      <c r="B1845" s="758" t="str">
        <f>IF('1. INTRO'!I$2="English",(IF('2. START'!C$11="NO","Indirect and facility charge not accepted as OH by funding body","")),IF('2. START'!C$11="NO","Indirekt och lokalpåslag inte accepterade som OH av finansiär",""))</f>
        <v/>
      </c>
      <c r="C1845" s="776">
        <f t="shared" ref="C1845:L1845" si="405">C1221+C1273+C1325+C1377+C1429+C1481+C1533+C1585+C1637+C1689+C1741+C1793</f>
        <v>0</v>
      </c>
      <c r="D1845" s="777">
        <f t="shared" si="405"/>
        <v>0</v>
      </c>
      <c r="E1845" s="778">
        <f t="shared" si="405"/>
        <v>0</v>
      </c>
      <c r="F1845" s="777">
        <f t="shared" si="405"/>
        <v>0</v>
      </c>
      <c r="G1845" s="778">
        <f t="shared" si="405"/>
        <v>0</v>
      </c>
      <c r="H1845" s="777">
        <f t="shared" si="405"/>
        <v>0</v>
      </c>
      <c r="I1845" s="778">
        <f t="shared" si="405"/>
        <v>0</v>
      </c>
      <c r="J1845" s="777">
        <f t="shared" si="405"/>
        <v>0</v>
      </c>
      <c r="K1845" s="778">
        <f t="shared" si="405"/>
        <v>0</v>
      </c>
      <c r="L1845" s="777">
        <f t="shared" si="405"/>
        <v>0</v>
      </c>
      <c r="M1845" s="769">
        <f t="shared" ref="M1845:M1851" si="406">SUM(C1845:L1845)</f>
        <v>0</v>
      </c>
    </row>
    <row r="1846" spans="2:15" s="3" customFormat="1" ht="12.75" customHeight="1" x14ac:dyDescent="0.25">
      <c r="B1846" s="132" t="str">
        <f>IF('1. INTRO'!I$2="English",(IF('2. START'!C$14&gt;0,"Social costs (LKP) not accepted by funding body","")),IF('2. START'!C$14&gt;0,"LKP som inte accepteras av finansiär",""))</f>
        <v/>
      </c>
      <c r="C1846" s="192">
        <f t="shared" ref="C1846:L1846" si="407">C1222+C1274+C1326+C1378+C1430+C1482+C1534+C1586+C1638+C1690+C1742+C1794</f>
        <v>0</v>
      </c>
      <c r="D1846" s="181">
        <f t="shared" si="407"/>
        <v>0</v>
      </c>
      <c r="E1846" s="182">
        <f t="shared" si="407"/>
        <v>0</v>
      </c>
      <c r="F1846" s="181">
        <f t="shared" si="407"/>
        <v>0</v>
      </c>
      <c r="G1846" s="182">
        <f t="shared" si="407"/>
        <v>0</v>
      </c>
      <c r="H1846" s="181">
        <f t="shared" si="407"/>
        <v>0</v>
      </c>
      <c r="I1846" s="182">
        <f t="shared" si="407"/>
        <v>0</v>
      </c>
      <c r="J1846" s="181">
        <f t="shared" si="407"/>
        <v>0</v>
      </c>
      <c r="K1846" s="182">
        <f t="shared" si="407"/>
        <v>0</v>
      </c>
      <c r="L1846" s="181">
        <f t="shared" si="407"/>
        <v>0</v>
      </c>
      <c r="M1846" s="146">
        <f t="shared" si="406"/>
        <v>0</v>
      </c>
    </row>
    <row r="1847" spans="2:15" s="3" customFormat="1" ht="12.75" customHeight="1" x14ac:dyDescent="0.25">
      <c r="B1847" s="753" t="str">
        <f>IF('1. INTRO'!I$2="English",(IF('5. PERSON'!BP$193&gt;0,"Salary including social costs (LKP)","")),IF('5. PERSON'!BP$193&gt;0,"Lön inklusive LKP",""))</f>
        <v/>
      </c>
      <c r="C1847" s="779">
        <f t="shared" ref="C1847:L1847" si="408">C1223+C1275+C1327+C1379+C1431+C1483+C1535+C1587+C1639+C1691+C1743+C1795</f>
        <v>0</v>
      </c>
      <c r="D1847" s="780">
        <f t="shared" si="408"/>
        <v>0</v>
      </c>
      <c r="E1847" s="781">
        <f t="shared" si="408"/>
        <v>0</v>
      </c>
      <c r="F1847" s="780">
        <f t="shared" si="408"/>
        <v>0</v>
      </c>
      <c r="G1847" s="781">
        <f t="shared" si="408"/>
        <v>0</v>
      </c>
      <c r="H1847" s="780">
        <f t="shared" si="408"/>
        <v>0</v>
      </c>
      <c r="I1847" s="781">
        <f t="shared" si="408"/>
        <v>0</v>
      </c>
      <c r="J1847" s="780">
        <f t="shared" si="408"/>
        <v>0</v>
      </c>
      <c r="K1847" s="781">
        <f t="shared" si="408"/>
        <v>0</v>
      </c>
      <c r="L1847" s="780">
        <f t="shared" si="408"/>
        <v>0</v>
      </c>
      <c r="M1847" s="772">
        <f t="shared" si="406"/>
        <v>0</v>
      </c>
    </row>
    <row r="1848" spans="2:15" s="3" customFormat="1" ht="13.2" x14ac:dyDescent="0.25">
      <c r="B1848" s="80" t="str">
        <f>IF('1. INTRO'!I$2="English",(IF('6. OPERATION'!AS$150&gt;0,"Operating","")),IF('6. OPERATION'!AS$150&gt;0,"Drift",""))</f>
        <v/>
      </c>
      <c r="C1848" s="192">
        <f t="shared" ref="C1848:L1848" si="409">C1224+C1276+C1328+C1380+C1432+C1484+C1536+C1588+C1640+C1692+C1744+C1796</f>
        <v>0</v>
      </c>
      <c r="D1848" s="181">
        <f t="shared" si="409"/>
        <v>0</v>
      </c>
      <c r="E1848" s="182">
        <f t="shared" si="409"/>
        <v>0</v>
      </c>
      <c r="F1848" s="181">
        <f t="shared" si="409"/>
        <v>0</v>
      </c>
      <c r="G1848" s="182">
        <f t="shared" si="409"/>
        <v>0</v>
      </c>
      <c r="H1848" s="181">
        <f t="shared" si="409"/>
        <v>0</v>
      </c>
      <c r="I1848" s="182">
        <f t="shared" si="409"/>
        <v>0</v>
      </c>
      <c r="J1848" s="181">
        <f t="shared" si="409"/>
        <v>0</v>
      </c>
      <c r="K1848" s="182">
        <f t="shared" si="409"/>
        <v>0</v>
      </c>
      <c r="L1848" s="181">
        <f t="shared" si="409"/>
        <v>0</v>
      </c>
      <c r="M1848" s="146">
        <f t="shared" si="406"/>
        <v>0</v>
      </c>
    </row>
    <row r="1849" spans="2:15" s="3" customFormat="1" ht="13.2" x14ac:dyDescent="0.25">
      <c r="B1849" s="753" t="str">
        <f>IF('1. INTRO'!I$2="English",(IF('7. INVEST'!AS$50&gt;0,"Equipment","")),IF('7. INVEST'!AS$50&gt;0,"Utrustning",""))</f>
        <v/>
      </c>
      <c r="C1849" s="779">
        <f t="shared" ref="C1849:L1849" si="410">C1225+C1277+C1329+C1381+C1433+C1485+C1537+C1589+C1641+C1693+C1745+C1797</f>
        <v>0</v>
      </c>
      <c r="D1849" s="780">
        <f t="shared" si="410"/>
        <v>0</v>
      </c>
      <c r="E1849" s="781">
        <f t="shared" si="410"/>
        <v>0</v>
      </c>
      <c r="F1849" s="780">
        <f t="shared" si="410"/>
        <v>0</v>
      </c>
      <c r="G1849" s="781">
        <f t="shared" si="410"/>
        <v>0</v>
      </c>
      <c r="H1849" s="780">
        <f t="shared" si="410"/>
        <v>0</v>
      </c>
      <c r="I1849" s="781">
        <f t="shared" si="410"/>
        <v>0</v>
      </c>
      <c r="J1849" s="780">
        <f t="shared" si="410"/>
        <v>0</v>
      </c>
      <c r="K1849" s="781">
        <f t="shared" si="410"/>
        <v>0</v>
      </c>
      <c r="L1849" s="780">
        <f t="shared" si="410"/>
        <v>0</v>
      </c>
      <c r="M1849" s="772">
        <f t="shared" si="406"/>
        <v>0</v>
      </c>
    </row>
    <row r="1850" spans="2:15" s="3" customFormat="1" ht="13.2" x14ac:dyDescent="0.25">
      <c r="B1850" s="121" t="str">
        <f>IF('1. INTRO'!I$2="English",(IF('8. FACILIT'!AP$51&gt;0,"Facility","")),IF('8. FACILIT'!AP$51&gt;0,"Lokal",""))</f>
        <v/>
      </c>
      <c r="C1850" s="192">
        <f t="shared" ref="C1850:L1850" si="411">C1226+C1278+C1330+C1382+C1434+C1486+C1538+C1590+C1642+C1694+C1746+C1798</f>
        <v>0</v>
      </c>
      <c r="D1850" s="181">
        <f t="shared" si="411"/>
        <v>0</v>
      </c>
      <c r="E1850" s="182">
        <f t="shared" si="411"/>
        <v>0</v>
      </c>
      <c r="F1850" s="181">
        <f t="shared" si="411"/>
        <v>0</v>
      </c>
      <c r="G1850" s="182">
        <f t="shared" si="411"/>
        <v>0</v>
      </c>
      <c r="H1850" s="181">
        <f t="shared" si="411"/>
        <v>0</v>
      </c>
      <c r="I1850" s="182">
        <f t="shared" si="411"/>
        <v>0</v>
      </c>
      <c r="J1850" s="181">
        <f t="shared" si="411"/>
        <v>0</v>
      </c>
      <c r="K1850" s="182">
        <f t="shared" si="411"/>
        <v>0</v>
      </c>
      <c r="L1850" s="181">
        <f t="shared" si="411"/>
        <v>0</v>
      </c>
      <c r="M1850" s="146">
        <f t="shared" si="406"/>
        <v>0</v>
      </c>
    </row>
    <row r="1851" spans="2:15" s="1" customFormat="1" ht="13.2" x14ac:dyDescent="0.25">
      <c r="B1851" s="756" t="str">
        <f>IF('1. INTRO'!I$2="English",(IF(('5. PERSON'!CN$193+'6. OPERATION'!BQ$150)&gt;0,"Indirect","")),IF(('5. PERSON'!CN$193+'6. OPERATION'!BQ$150)&gt;0,"Indirekt",""))</f>
        <v/>
      </c>
      <c r="C1851" s="782">
        <f t="shared" ref="C1851:L1851" si="412">C1227+C1279+C1331+C1383+C1435+C1487+C1539+C1591+C1643+C1695+C1747+C1799</f>
        <v>0</v>
      </c>
      <c r="D1851" s="783">
        <f t="shared" si="412"/>
        <v>0</v>
      </c>
      <c r="E1851" s="784">
        <f t="shared" si="412"/>
        <v>0</v>
      </c>
      <c r="F1851" s="783">
        <f t="shared" si="412"/>
        <v>0</v>
      </c>
      <c r="G1851" s="784">
        <f t="shared" si="412"/>
        <v>0</v>
      </c>
      <c r="H1851" s="783">
        <f t="shared" si="412"/>
        <v>0</v>
      </c>
      <c r="I1851" s="784">
        <f t="shared" si="412"/>
        <v>0</v>
      </c>
      <c r="J1851" s="783">
        <f t="shared" si="412"/>
        <v>0</v>
      </c>
      <c r="K1851" s="784">
        <f t="shared" si="412"/>
        <v>0</v>
      </c>
      <c r="L1851" s="783">
        <f t="shared" si="412"/>
        <v>0</v>
      </c>
      <c r="M1851" s="775">
        <f t="shared" si="406"/>
        <v>0</v>
      </c>
    </row>
    <row r="1852" spans="2:15" s="3" customFormat="1" ht="13.2" x14ac:dyDescent="0.25">
      <c r="B1852" s="124" t="s">
        <v>113</v>
      </c>
      <c r="C1852" s="161">
        <f>SUM(C1845:C1851)</f>
        <v>0</v>
      </c>
      <c r="D1852" s="161">
        <f t="shared" ref="D1852:M1852" si="413">SUM(D1845:D1851)</f>
        <v>0</v>
      </c>
      <c r="E1852" s="161">
        <f t="shared" si="413"/>
        <v>0</v>
      </c>
      <c r="F1852" s="161">
        <f t="shared" si="413"/>
        <v>0</v>
      </c>
      <c r="G1852" s="161">
        <f t="shared" si="413"/>
        <v>0</v>
      </c>
      <c r="H1852" s="161">
        <f t="shared" si="413"/>
        <v>0</v>
      </c>
      <c r="I1852" s="161">
        <f t="shared" si="413"/>
        <v>0</v>
      </c>
      <c r="J1852" s="161">
        <f t="shared" si="413"/>
        <v>0</v>
      </c>
      <c r="K1852" s="161">
        <f t="shared" si="413"/>
        <v>0</v>
      </c>
      <c r="L1852" s="161">
        <f t="shared" si="413"/>
        <v>0</v>
      </c>
      <c r="M1852" s="125">
        <f t="shared" si="413"/>
        <v>0</v>
      </c>
      <c r="N1852" s="23"/>
      <c r="O1852" s="23"/>
    </row>
    <row r="1853" spans="2:15" s="3" customFormat="1" ht="6" customHeight="1" x14ac:dyDescent="0.25">
      <c r="B1853" s="136"/>
      <c r="C1853" s="127"/>
      <c r="D1853" s="127"/>
      <c r="E1853" s="127"/>
      <c r="F1853" s="127"/>
      <c r="G1853" s="127"/>
      <c r="H1853" s="127"/>
      <c r="I1853" s="127"/>
      <c r="J1853" s="127"/>
      <c r="K1853" s="127"/>
      <c r="L1853" s="127"/>
      <c r="M1853" s="137"/>
    </row>
    <row r="1854" spans="2:15" s="3" customFormat="1" ht="13.2" x14ac:dyDescent="0.25">
      <c r="B1854" s="129" t="str">
        <f>IF('1. INTRO'!I$2="English","Full cost","Full kostnad")</f>
        <v>Full cost</v>
      </c>
      <c r="C1854" s="127"/>
      <c r="D1854" s="127"/>
      <c r="E1854" s="127"/>
      <c r="F1854" s="127"/>
      <c r="G1854" s="127"/>
      <c r="H1854" s="127"/>
      <c r="I1854" s="127"/>
      <c r="J1854" s="127"/>
      <c r="K1854" s="127"/>
      <c r="L1854" s="127"/>
      <c r="M1854" s="137"/>
    </row>
    <row r="1855" spans="2:15" s="3" customFormat="1" ht="13.2" x14ac:dyDescent="0.25">
      <c r="B1855" s="750" t="str">
        <f>IF('1. INTRO'!I$2="English","Salary including social costs (LKP)","Lön inklusive LKP")</f>
        <v>Salary including social costs (LKP)</v>
      </c>
      <c r="C1855" s="785">
        <f t="shared" ref="C1855:L1855" si="414">C1231+C1283+C1335+C1387+C1439+C1491+C1543+C1595+C1647+C1699+C1751+C1803</f>
        <v>0</v>
      </c>
      <c r="D1855" s="762">
        <f t="shared" si="414"/>
        <v>0</v>
      </c>
      <c r="E1855" s="786">
        <f t="shared" si="414"/>
        <v>0</v>
      </c>
      <c r="F1855" s="762">
        <f t="shared" si="414"/>
        <v>0</v>
      </c>
      <c r="G1855" s="786">
        <f t="shared" si="414"/>
        <v>0</v>
      </c>
      <c r="H1855" s="762">
        <f t="shared" si="414"/>
        <v>0</v>
      </c>
      <c r="I1855" s="786">
        <f t="shared" si="414"/>
        <v>0</v>
      </c>
      <c r="J1855" s="762">
        <f t="shared" si="414"/>
        <v>0</v>
      </c>
      <c r="K1855" s="786">
        <f t="shared" si="414"/>
        <v>0</v>
      </c>
      <c r="L1855" s="762">
        <f t="shared" si="414"/>
        <v>0</v>
      </c>
      <c r="M1855" s="769">
        <f>SUM(C1855:L1855)</f>
        <v>0</v>
      </c>
    </row>
    <row r="1856" spans="2:15" s="3" customFormat="1" ht="13.2" x14ac:dyDescent="0.25">
      <c r="B1856" s="80" t="str">
        <f>IF('1. INTRO'!I$2="English","Operating","Drift")</f>
        <v>Operating</v>
      </c>
      <c r="C1856" s="189">
        <f t="shared" ref="C1856:L1856" si="415">C1232+C1284+C1336+C1388+C1440+C1492+C1544+C1596+C1648+C1700+C1752+C1804</f>
        <v>0</v>
      </c>
      <c r="D1856" s="190">
        <f t="shared" si="415"/>
        <v>0</v>
      </c>
      <c r="E1856" s="191">
        <f t="shared" si="415"/>
        <v>0</v>
      </c>
      <c r="F1856" s="190">
        <f t="shared" si="415"/>
        <v>0</v>
      </c>
      <c r="G1856" s="191">
        <f t="shared" si="415"/>
        <v>0</v>
      </c>
      <c r="H1856" s="190">
        <f t="shared" si="415"/>
        <v>0</v>
      </c>
      <c r="I1856" s="191">
        <f t="shared" si="415"/>
        <v>0</v>
      </c>
      <c r="J1856" s="190">
        <f t="shared" si="415"/>
        <v>0</v>
      </c>
      <c r="K1856" s="191">
        <f t="shared" si="415"/>
        <v>0</v>
      </c>
      <c r="L1856" s="190">
        <f t="shared" si="415"/>
        <v>0</v>
      </c>
      <c r="M1856" s="146">
        <f>SUM(C1856:L1856)</f>
        <v>0</v>
      </c>
    </row>
    <row r="1857" spans="2:13" s="3" customFormat="1" ht="13.2" x14ac:dyDescent="0.25">
      <c r="B1857" s="753" t="str">
        <f>IF('1. INTRO'!I$2="English","Equipment","Utrustning")</f>
        <v>Equipment</v>
      </c>
      <c r="C1857" s="787">
        <f t="shared" ref="C1857:L1857" si="416">C1233+C1285+C1337+C1389+C1441+C1493+C1545+C1597+C1649+C1701+C1753+C1805</f>
        <v>0</v>
      </c>
      <c r="D1857" s="763">
        <f t="shared" si="416"/>
        <v>0</v>
      </c>
      <c r="E1857" s="788">
        <f t="shared" si="416"/>
        <v>0</v>
      </c>
      <c r="F1857" s="763">
        <f t="shared" si="416"/>
        <v>0</v>
      </c>
      <c r="G1857" s="788">
        <f t="shared" si="416"/>
        <v>0</v>
      </c>
      <c r="H1857" s="763">
        <f t="shared" si="416"/>
        <v>0</v>
      </c>
      <c r="I1857" s="788">
        <f t="shared" si="416"/>
        <v>0</v>
      </c>
      <c r="J1857" s="763">
        <f t="shared" si="416"/>
        <v>0</v>
      </c>
      <c r="K1857" s="788">
        <f t="shared" si="416"/>
        <v>0</v>
      </c>
      <c r="L1857" s="763">
        <f t="shared" si="416"/>
        <v>0</v>
      </c>
      <c r="M1857" s="772">
        <f>SUM(C1857:L1857)</f>
        <v>0</v>
      </c>
    </row>
    <row r="1858" spans="2:13" s="3" customFormat="1" ht="13.2" x14ac:dyDescent="0.25">
      <c r="B1858" s="80" t="str">
        <f>IF('1. INTRO'!I$2="English","Facility","Lokal")</f>
        <v>Facility</v>
      </c>
      <c r="C1858" s="189">
        <f t="shared" ref="C1858:L1858" si="417">C1234+C1286+C1338+C1390+C1442+C1494+C1546+C1598+C1650+C1702+C1754+C1806</f>
        <v>0</v>
      </c>
      <c r="D1858" s="190">
        <f t="shared" si="417"/>
        <v>0</v>
      </c>
      <c r="E1858" s="191">
        <f t="shared" si="417"/>
        <v>0</v>
      </c>
      <c r="F1858" s="190">
        <f t="shared" si="417"/>
        <v>0</v>
      </c>
      <c r="G1858" s="191">
        <f t="shared" si="417"/>
        <v>0</v>
      </c>
      <c r="H1858" s="190">
        <f t="shared" si="417"/>
        <v>0</v>
      </c>
      <c r="I1858" s="191">
        <f t="shared" si="417"/>
        <v>0</v>
      </c>
      <c r="J1858" s="190">
        <f t="shared" si="417"/>
        <v>0</v>
      </c>
      <c r="K1858" s="191">
        <f t="shared" si="417"/>
        <v>0</v>
      </c>
      <c r="L1858" s="190">
        <f t="shared" si="417"/>
        <v>0</v>
      </c>
      <c r="M1858" s="146">
        <f>SUM(C1858:L1858)</f>
        <v>0</v>
      </c>
    </row>
    <row r="1859" spans="2:13" s="3" customFormat="1" ht="13.2" x14ac:dyDescent="0.25">
      <c r="B1859" s="764" t="str">
        <f>IF('1. INTRO'!I$2="English","Indirect","Indirekt")</f>
        <v>Indirect</v>
      </c>
      <c r="C1859" s="789">
        <f t="shared" ref="C1859:L1859" si="418">C1235+C1287+C1339+C1391+C1443+C1495+C1547+C1599+C1651+C1703+C1755+C1807</f>
        <v>0</v>
      </c>
      <c r="D1859" s="765">
        <f t="shared" si="418"/>
        <v>0</v>
      </c>
      <c r="E1859" s="790">
        <f t="shared" si="418"/>
        <v>0</v>
      </c>
      <c r="F1859" s="765">
        <f t="shared" si="418"/>
        <v>0</v>
      </c>
      <c r="G1859" s="790">
        <f t="shared" si="418"/>
        <v>0</v>
      </c>
      <c r="H1859" s="765">
        <f t="shared" si="418"/>
        <v>0</v>
      </c>
      <c r="I1859" s="790">
        <f t="shared" si="418"/>
        <v>0</v>
      </c>
      <c r="J1859" s="765">
        <f t="shared" si="418"/>
        <v>0</v>
      </c>
      <c r="K1859" s="790">
        <f t="shared" si="418"/>
        <v>0</v>
      </c>
      <c r="L1859" s="765">
        <f t="shared" si="418"/>
        <v>0</v>
      </c>
      <c r="M1859" s="775">
        <f>SUM(C1859:L1859)</f>
        <v>0</v>
      </c>
    </row>
    <row r="1860" spans="2:13" s="3" customFormat="1" ht="13.2" x14ac:dyDescent="0.25">
      <c r="B1860" s="124" t="s">
        <v>113</v>
      </c>
      <c r="C1860" s="104">
        <f t="shared" ref="C1860:M1860" si="419">SUM(C1855:C1859)</f>
        <v>0</v>
      </c>
      <c r="D1860" s="104">
        <f t="shared" si="419"/>
        <v>0</v>
      </c>
      <c r="E1860" s="104">
        <f t="shared" si="419"/>
        <v>0</v>
      </c>
      <c r="F1860" s="104">
        <f t="shared" si="419"/>
        <v>0</v>
      </c>
      <c r="G1860" s="104">
        <f t="shared" si="419"/>
        <v>0</v>
      </c>
      <c r="H1860" s="104">
        <f t="shared" si="419"/>
        <v>0</v>
      </c>
      <c r="I1860" s="104">
        <f t="shared" si="419"/>
        <v>0</v>
      </c>
      <c r="J1860" s="104">
        <f t="shared" si="419"/>
        <v>0</v>
      </c>
      <c r="K1860" s="104">
        <f t="shared" si="419"/>
        <v>0</v>
      </c>
      <c r="L1860" s="104">
        <f t="shared" si="419"/>
        <v>0</v>
      </c>
      <c r="M1860" s="142">
        <f t="shared" si="419"/>
        <v>0</v>
      </c>
    </row>
    <row r="1861" spans="2:13" s="3" customFormat="1" ht="13.2" x14ac:dyDescent="0.25">
      <c r="B1861" s="124"/>
      <c r="C1861" s="154"/>
      <c r="D1861" s="154"/>
      <c r="E1861" s="154"/>
      <c r="F1861" s="154"/>
      <c r="G1861" s="154"/>
      <c r="H1861" s="154"/>
      <c r="I1861" s="154"/>
      <c r="J1861" s="154"/>
      <c r="K1861" s="154"/>
      <c r="L1861" s="154"/>
      <c r="M1861" s="137"/>
    </row>
    <row r="1862" spans="2:13" ht="12.75" customHeight="1" x14ac:dyDescent="0.25">
      <c r="D1862" s="656" t="str">
        <f>IF('1. INTRO'!I$2="English","Co-funding need in average per year: ","Medfinansieringsbehov i genomsnitt per år: ")</f>
        <v xml:space="preserve">Co-funding need in average per year: </v>
      </c>
      <c r="E1862" s="766" t="str">
        <f>IF(M1852=0,"",M1852/(DATEDIF('2. START'!C$18,'2. START'!C$19,"d")/365))</f>
        <v/>
      </c>
      <c r="H1862" s="656" t="str">
        <f>IF('1. INTRO'!I$2="English","Co-funding need 1/3 of total: ","Medfinansieringsbehov 1/3 av totalt: ")</f>
        <v xml:space="preserve">Co-funding need 1/3 of total: </v>
      </c>
      <c r="I1862" s="766">
        <f>M1852/3</f>
        <v>0</v>
      </c>
      <c r="L1862" s="287" t="str">
        <f>IF('1. INTRO'!I$2="English","Co-funding need total: ","Medfinansieringsbehov totalt: ")</f>
        <v xml:space="preserve">Co-funding need total: </v>
      </c>
      <c r="M1862" s="766">
        <f>M1852</f>
        <v>0</v>
      </c>
    </row>
    <row r="1864" spans="2:13" s="3" customFormat="1" ht="12.75" customHeight="1" x14ac:dyDescent="0.25">
      <c r="B1864" s="313" t="str">
        <f>'3. PARTNER'!C$4</f>
        <v xml:space="preserve">Project: </v>
      </c>
      <c r="C1864" s="1062" t="str">
        <f>'3. PARTNER'!D$4</f>
        <v/>
      </c>
      <c r="D1864" s="1001"/>
      <c r="E1864" s="1001"/>
      <c r="F1864" s="1001"/>
      <c r="G1864" s="1001"/>
      <c r="H1864" s="1001"/>
      <c r="I1864" s="1001"/>
      <c r="J1864" s="1001"/>
      <c r="K1864" s="1001"/>
      <c r="L1864" s="1001"/>
      <c r="M1864" s="1001"/>
    </row>
    <row r="1865" spans="2:13" s="3" customFormat="1" ht="13.2" x14ac:dyDescent="0.25">
      <c r="B1865" s="313" t="str">
        <f>'3. PARTNER'!C$5</f>
        <v xml:space="preserve">Calculation for: </v>
      </c>
      <c r="C1865" s="1062" t="str">
        <f>'3. PARTNER'!D$5</f>
        <v>APPLICATION</v>
      </c>
      <c r="D1865" s="1001"/>
      <c r="E1865" s="268"/>
      <c r="F1865" s="268"/>
      <c r="G1865" s="268"/>
      <c r="H1865" s="268"/>
      <c r="I1865" s="268"/>
      <c r="J1865" s="268"/>
      <c r="K1865" s="268"/>
      <c r="L1865" s="268"/>
      <c r="M1865" s="268"/>
    </row>
    <row r="1866" spans="2:13" s="3" customFormat="1" ht="13.2" x14ac:dyDescent="0.25">
      <c r="B1866" s="35" t="str">
        <f>'3. PARTNER'!C$6</f>
        <v xml:space="preserve">Project leader: </v>
      </c>
      <c r="C1866" s="1062" t="str">
        <f>'3. PARTNER'!D$6</f>
        <v/>
      </c>
      <c r="D1866" s="1001"/>
      <c r="E1866" s="1001"/>
      <c r="F1866" s="1001"/>
      <c r="G1866" s="1001"/>
      <c r="H1866" s="1001"/>
      <c r="I1866" s="1001"/>
      <c r="J1866" s="1001"/>
      <c r="K1866" s="1001"/>
      <c r="L1866" s="1001"/>
      <c r="M1866" s="1001"/>
    </row>
    <row r="1867" spans="2:13" s="3" customFormat="1" ht="13.2" x14ac:dyDescent="0.25">
      <c r="B1867" s="313" t="str">
        <f>'5. PERSON'!B$7</f>
        <v xml:space="preserve">Amounts in: </v>
      </c>
      <c r="C1867" s="655" t="str">
        <f>'5. PERSON'!C$7</f>
        <v>SEK</v>
      </c>
      <c r="D1867" s="268"/>
      <c r="E1867" s="268"/>
      <c r="F1867" s="268"/>
      <c r="G1867" s="234"/>
      <c r="H1867" s="234"/>
      <c r="I1867" s="270"/>
      <c r="J1867" s="270"/>
      <c r="K1867" s="270"/>
      <c r="L1867" s="270"/>
      <c r="M1867" s="270"/>
    </row>
    <row r="1868" spans="2:13" s="3" customFormat="1" ht="13.2" x14ac:dyDescent="0.25">
      <c r="B1868" s="313"/>
      <c r="C1868" s="1053" t="str">
        <f>'3. PARTNER'!D$7</f>
        <v>Other basic data about the project is in sheet 2.</v>
      </c>
      <c r="D1868" s="1001"/>
      <c r="E1868" s="1001"/>
      <c r="F1868" s="1001"/>
      <c r="G1868" s="234"/>
      <c r="H1868" s="234"/>
      <c r="I1868" s="270"/>
      <c r="J1868" s="270"/>
      <c r="K1868" s="270"/>
      <c r="L1868" s="251" t="s">
        <v>4</v>
      </c>
      <c r="M1868" s="270"/>
    </row>
    <row r="1869" spans="2:13" ht="12.75" customHeight="1" x14ac:dyDescent="0.2">
      <c r="J1869" s="252" t="s">
        <v>322</v>
      </c>
      <c r="K1869" s="252" t="s">
        <v>323</v>
      </c>
      <c r="L1869" s="252" t="str">
        <f>IF('1. INTRO'!I$2="English","months","månader")</f>
        <v>months</v>
      </c>
    </row>
    <row r="1870" spans="2:13" s="3" customFormat="1" ht="13.8" x14ac:dyDescent="0.25">
      <c r="B1870" s="157" t="str">
        <f>IF('1. INTRO'!I$2="English","Project costs","Projektkostnader")</f>
        <v>Project costs</v>
      </c>
      <c r="C1870" s="668" t="str">
        <f>A50</f>
        <v>716VH</v>
      </c>
      <c r="D1870" s="1227" t="str">
        <f>B50</f>
        <v>Clinical Sciences</v>
      </c>
      <c r="E1870" s="1004"/>
      <c r="F1870" s="1004"/>
      <c r="G1870" s="37"/>
      <c r="H1870" s="37"/>
      <c r="I1870" s="37"/>
      <c r="J1870" s="643"/>
      <c r="K1870" s="643"/>
      <c r="L1870" s="642">
        <f>SUMIF('5. PERSON'!$B$17:$B$192,$C1870,'5. PERSON'!AE$17:AE$192)</f>
        <v>0</v>
      </c>
      <c r="M1870" s="680" t="s">
        <v>330</v>
      </c>
    </row>
    <row r="1871" spans="2:13" s="3" customFormat="1" ht="6" customHeight="1" x14ac:dyDescent="0.25">
      <c r="B1871" s="57"/>
      <c r="C1871" s="37"/>
      <c r="D1871" s="37"/>
      <c r="E1871" s="37"/>
      <c r="F1871" s="37"/>
      <c r="G1871" s="37"/>
      <c r="H1871" s="37"/>
      <c r="I1871" s="37"/>
      <c r="J1871" s="37"/>
      <c r="K1871" s="37"/>
      <c r="L1871" s="37"/>
      <c r="M1871" s="37"/>
    </row>
    <row r="1872" spans="2:13" s="3" customFormat="1" ht="13.2" x14ac:dyDescent="0.25">
      <c r="B1872" s="110" t="str">
        <f>IF('1. INTRO'!I$2="English","Costs to be covered by funding body","Kostnader att täckas av finansiär")</f>
        <v>Costs to be covered by funding body</v>
      </c>
      <c r="C1872" s="111">
        <f>'5. PERSON'!G$15</f>
        <v>1900</v>
      </c>
      <c r="D1872" s="111" t="str">
        <f>'5. PERSON'!H$15</f>
        <v/>
      </c>
      <c r="E1872" s="111" t="str">
        <f>'5. PERSON'!I$15</f>
        <v/>
      </c>
      <c r="F1872" s="111" t="str">
        <f>'5. PERSON'!J$15</f>
        <v/>
      </c>
      <c r="G1872" s="111" t="str">
        <f>'5. PERSON'!K$15</f>
        <v/>
      </c>
      <c r="H1872" s="111" t="str">
        <f>'5. PERSON'!L$15</f>
        <v/>
      </c>
      <c r="I1872" s="111" t="str">
        <f>'5. PERSON'!M$15</f>
        <v/>
      </c>
      <c r="J1872" s="111" t="str">
        <f>'5. PERSON'!N$15</f>
        <v/>
      </c>
      <c r="K1872" s="111" t="str">
        <f>'5. PERSON'!O$15</f>
        <v/>
      </c>
      <c r="L1872" s="111" t="str">
        <f>'5. PERSON'!P$15</f>
        <v/>
      </c>
      <c r="M1872" s="112" t="s">
        <v>2</v>
      </c>
    </row>
    <row r="1873" spans="2:15" s="3" customFormat="1" ht="12.75" customHeight="1" x14ac:dyDescent="0.25">
      <c r="B1873" s="791" t="str">
        <f>IF('1. INTRO'!I$2="English","Salary including social costs (LKP)","Lön inklusive LKP")</f>
        <v>Salary including social costs (LKP)</v>
      </c>
      <c r="C1873" s="792">
        <f>IF('2. START'!$C$14&gt;0,SUMIF('5. PERSON'!$B$17:$B$192,$C1870,'5. PERSON'!DN$17:DN$192),SUMIF('5. PERSON'!$B$17:$B$192,$C1870,'5. PERSON'!AT$17:AT$192))</f>
        <v>0</v>
      </c>
      <c r="D1873" s="792">
        <f>IF('2. START'!$C$14&gt;0,SUMIF('5. PERSON'!$B$17:$B$192,$C1870,'5. PERSON'!DO$17:DO$192),SUMIF('5. PERSON'!$B$17:$B$192,$C1870,'5. PERSON'!AU$17:AU$192))</f>
        <v>0</v>
      </c>
      <c r="E1873" s="792">
        <f>IF('2. START'!$C$14&gt;0,SUMIF('5. PERSON'!$B$17:$B$192,$C1870,'5. PERSON'!DP$17:DP$192),SUMIF('5. PERSON'!$B$17:$B$192,$C1870,'5. PERSON'!AV$17:AV$192))</f>
        <v>0</v>
      </c>
      <c r="F1873" s="792">
        <f>IF('2. START'!$C$14&gt;0,SUMIF('5. PERSON'!$B$17:$B$192,$C1870,'5. PERSON'!DQ$17:DQ$192),SUMIF('5. PERSON'!$B$17:$B$192,$C1870,'5. PERSON'!AW$17:AW$192))</f>
        <v>0</v>
      </c>
      <c r="G1873" s="792">
        <f>IF('2. START'!$C$14&gt;0,SUMIF('5. PERSON'!$B$17:$B$192,$C1870,'5. PERSON'!DR$17:DR$192),SUMIF('5. PERSON'!$B$17:$B$192,$C1870,'5. PERSON'!AX$17:AX$192))</f>
        <v>0</v>
      </c>
      <c r="H1873" s="792">
        <f>IF('2. START'!$C$14&gt;0,SUMIF('5. PERSON'!$B$17:$B$192,$C1870,'5. PERSON'!DS$17:DS$192),SUMIF('5. PERSON'!$B$17:$B$192,$C1870,'5. PERSON'!AY$17:AY$192))</f>
        <v>0</v>
      </c>
      <c r="I1873" s="792">
        <f>IF('2. START'!$C$14&gt;0,SUMIF('5. PERSON'!$B$17:$B$192,$C1870,'5. PERSON'!DT$17:DT$192),SUMIF('5. PERSON'!$B$17:$B$192,$C1870,'5. PERSON'!AZ$17:AZ$192))</f>
        <v>0</v>
      </c>
      <c r="J1873" s="792">
        <f>IF('2. START'!$C$14&gt;0,SUMIF('5. PERSON'!$B$17:$B$192,$C1870,'5. PERSON'!DU$17:DU$192),SUMIF('5. PERSON'!$B$17:$B$192,$C1870,'5. PERSON'!BA$17:BA$192))</f>
        <v>0</v>
      </c>
      <c r="K1873" s="792">
        <f>IF('2. START'!$C$14&gt;0,SUMIF('5. PERSON'!$B$17:$B$192,$C1870,'5. PERSON'!DV$17:DV$192),SUMIF('5. PERSON'!$B$17:$B$192,$C1870,'5. PERSON'!BB$17:BB$192))</f>
        <v>0</v>
      </c>
      <c r="L1873" s="792">
        <f>IF('2. START'!$C$14&gt;0,SUMIF('5. PERSON'!$B$17:$B$192,$C1870,'5. PERSON'!DW$17:DW$192),SUMIF('5. PERSON'!$B$17:$B$192,$C1870,'5. PERSON'!BC$17:BC$192))</f>
        <v>0</v>
      </c>
      <c r="M1873" s="793">
        <f t="shared" ref="M1873:M1878" si="420">SUM(C1873:L1873)</f>
        <v>0</v>
      </c>
      <c r="O1873" s="4"/>
    </row>
    <row r="1874" spans="2:15" s="3" customFormat="1" ht="12.75" customHeight="1" x14ac:dyDescent="0.25">
      <c r="B1874" s="80" t="str">
        <f>IF('1. INTRO'!I$2="English","Operating","Drift")</f>
        <v>Operating</v>
      </c>
      <c r="C1874" s="116">
        <f>SUMIF('6. OPERATION'!$B$17:$B$149,$C1870,'6. OPERATION'!W$17:W$149)</f>
        <v>0</v>
      </c>
      <c r="D1874" s="116">
        <f>SUMIF('6. OPERATION'!$B$17:$B$149,$C1870,'6. OPERATION'!X$17:X$149)</f>
        <v>0</v>
      </c>
      <c r="E1874" s="116">
        <f>SUMIF('6. OPERATION'!$B$17:$B$149,$C1870,'6. OPERATION'!Y$17:Y$149)</f>
        <v>0</v>
      </c>
      <c r="F1874" s="116">
        <f>SUMIF('6. OPERATION'!$B$17:$B$149,$C1870,'6. OPERATION'!Z$17:Z$149)</f>
        <v>0</v>
      </c>
      <c r="G1874" s="116">
        <f>SUMIF('6. OPERATION'!$B$17:$B$149,$C1870,'6. OPERATION'!AA$17:AA$149)</f>
        <v>0</v>
      </c>
      <c r="H1874" s="116">
        <f>SUMIF('6. OPERATION'!$B$17:$B$149,$C1870,'6. OPERATION'!AB$17:AB$149)</f>
        <v>0</v>
      </c>
      <c r="I1874" s="116">
        <f>SUMIF('6. OPERATION'!$B$17:$B$149,$C1870,'6. OPERATION'!AC$17:AC$149)</f>
        <v>0</v>
      </c>
      <c r="J1874" s="116">
        <f>SUMIF('6. OPERATION'!$B$17:$B$149,$C1870,'6. OPERATION'!AD$17:AD$149)</f>
        <v>0</v>
      </c>
      <c r="K1874" s="116">
        <f>SUMIF('6. OPERATION'!$B$17:$B$149,$C1870,'6. OPERATION'!AE$17:AE$149)</f>
        <v>0</v>
      </c>
      <c r="L1874" s="116">
        <f>SUMIF('6. OPERATION'!$B$17:$B$149,$C1870,'6. OPERATION'!AF$17:AF$149)</f>
        <v>0</v>
      </c>
      <c r="M1874" s="117">
        <f t="shared" si="420"/>
        <v>0</v>
      </c>
    </row>
    <row r="1875" spans="2:15" s="3" customFormat="1" ht="13.2" x14ac:dyDescent="0.25">
      <c r="B1875" s="794" t="str">
        <f>IF('1. INTRO'!I$2="English","Equipment","Utrustning")</f>
        <v>Equipment</v>
      </c>
      <c r="C1875" s="795">
        <f>SUMIF('7. INVEST'!$B$17:$B$49,$C1870,'7. INVEST'!W$17:W$49)</f>
        <v>0</v>
      </c>
      <c r="D1875" s="795">
        <f>SUMIF('7. INVEST'!$B$17:$B$49,$C1870,'7. INVEST'!X$17:X$49)</f>
        <v>0</v>
      </c>
      <c r="E1875" s="795">
        <f>SUMIF('7. INVEST'!$B$17:$B$49,$C1870,'7. INVEST'!Y$17:Y$49)</f>
        <v>0</v>
      </c>
      <c r="F1875" s="795">
        <f>SUMIF('7. INVEST'!$B$17:$B$49,$C1870,'7. INVEST'!Z$17:Z$49)</f>
        <v>0</v>
      </c>
      <c r="G1875" s="795">
        <f>SUMIF('7. INVEST'!$B$17:$B$49,$C1870,'7. INVEST'!AA$17:AA$49)</f>
        <v>0</v>
      </c>
      <c r="H1875" s="795">
        <f>SUMIF('7. INVEST'!$B$17:$B$49,$C1870,'7. INVEST'!AB$17:AB$49)</f>
        <v>0</v>
      </c>
      <c r="I1875" s="795">
        <f>SUMIF('7. INVEST'!$B$17:$B$49,$C1870,'7. INVEST'!AC$17:AC$49)</f>
        <v>0</v>
      </c>
      <c r="J1875" s="795">
        <f>SUMIF('7. INVEST'!$B$17:$B$49,$C1870,'7. INVEST'!AD$17:AD$49)</f>
        <v>0</v>
      </c>
      <c r="K1875" s="795">
        <f>SUMIF('7. INVEST'!$B$17:$B$49,$C1870,'7. INVEST'!AE$17:AE$49)</f>
        <v>0</v>
      </c>
      <c r="L1875" s="795">
        <f>SUMIF('7. INVEST'!$B$17:$B$49,$C1870,'7. INVEST'!AF$17:AF$49)</f>
        <v>0</v>
      </c>
      <c r="M1875" s="796">
        <f t="shared" si="420"/>
        <v>0</v>
      </c>
    </row>
    <row r="1876" spans="2:15" s="3" customFormat="1" ht="13.2" x14ac:dyDescent="0.25">
      <c r="B1876" s="121" t="str">
        <f>IF('1. INTRO'!I$2="English",(IF('2. START'!C$11="NO","Facility accepted as direct cost by funding body","Facility")),IF('2. START'!C$11="NO","Lokal accepterad som direkt kostnad av finansiär","Lokal"))</f>
        <v>Facility</v>
      </c>
      <c r="C1876" s="116">
        <f>IF('2. START'!$C$11="NO",SUMIF('8. FACILIT'!$B$18:$B$50,$C1870,'8. FACILIT'!T$18:T$50),SUMIF('5. PERSON'!$B$17:$B$192,$C1870,'5. PERSON'!CP$17:CP$192)+SUMIF('6. OPERATION'!$B$17:$B$149,$C1870,'6. OPERATION'!BS$17:BS$149)+SUMIF('8. FACILIT'!$B$18:$B$50,$C1870,'8. FACILIT'!T$18:T$50))</f>
        <v>0</v>
      </c>
      <c r="D1876" s="116">
        <f>IF('2. START'!$C$11="NO",SUMIF('8. FACILIT'!$B$18:$B$50,$C1870,'8. FACILIT'!U$18:U$50),SUMIF('5. PERSON'!$B$17:$B$192,$C1870,'5. PERSON'!CQ$17:CQ$192)+SUMIF('6. OPERATION'!$B$17:$B$149,$C1870,'6. OPERATION'!BT$17:BT$149)+SUMIF('8. FACILIT'!$B$18:$B$50,$C1870,'8. FACILIT'!U$18:U$50))</f>
        <v>0</v>
      </c>
      <c r="E1876" s="116">
        <f>IF('2. START'!$C$11="NO",SUMIF('8. FACILIT'!$B$18:$B$50,$C1870,'8. FACILIT'!V$18:V$50),SUMIF('5. PERSON'!$B$17:$B$192,$C1870,'5. PERSON'!CR$17:CR$192)+SUMIF('6. OPERATION'!$B$17:$B$149,$C1870,'6. OPERATION'!BU$17:BU$149)+SUMIF('8. FACILIT'!$B$18:$B$50,$C1870,'8. FACILIT'!V$18:V$50))</f>
        <v>0</v>
      </c>
      <c r="F1876" s="116">
        <f>IF('2. START'!$C$11="NO",SUMIF('8. FACILIT'!$B$18:$B$50,$C1870,'8. FACILIT'!W$18:W$50),SUMIF('5. PERSON'!$B$17:$B$192,$C1870,'5. PERSON'!CS$17:CS$192)+SUMIF('6. OPERATION'!$B$17:$B$149,$C1870,'6. OPERATION'!BV$17:BV$149)+SUMIF('8. FACILIT'!$B$18:$B$50,$C1870,'8. FACILIT'!W$18:W$50))</f>
        <v>0</v>
      </c>
      <c r="G1876" s="116">
        <f>IF('2. START'!$C$11="NO",SUMIF('8. FACILIT'!$B$18:$B$50,$C1870,'8. FACILIT'!X$18:X$50),SUMIF('5. PERSON'!$B$17:$B$192,$C1870,'5. PERSON'!CT$17:CT$192)+SUMIF('6. OPERATION'!$B$17:$B$149,$C1870,'6. OPERATION'!BW$17:BW$149)+SUMIF('8. FACILIT'!$B$18:$B$50,$C1870,'8. FACILIT'!X$18:X$50))</f>
        <v>0</v>
      </c>
      <c r="H1876" s="116">
        <f>IF('2. START'!$C$11="NO",SUMIF('8. FACILIT'!$B$18:$B$50,$C1870,'8. FACILIT'!Y$18:Y$50),SUMIF('5. PERSON'!$B$17:$B$192,$C1870,'5. PERSON'!CU$17:CU$192)+SUMIF('6. OPERATION'!$B$17:$B$149,$C1870,'6. OPERATION'!BX$17:BX$149)+SUMIF('8. FACILIT'!$B$18:$B$50,$C1870,'8. FACILIT'!Y$18:Y$50))</f>
        <v>0</v>
      </c>
      <c r="I1876" s="116">
        <f>IF('2. START'!$C$11="NO",SUMIF('8. FACILIT'!$B$18:$B$50,$C1870,'8. FACILIT'!Z$18:Z$50),SUMIF('5. PERSON'!$B$17:$B$192,$C1870,'5. PERSON'!CV$17:CV$192)+SUMIF('6. OPERATION'!$B$17:$B$149,$C1870,'6. OPERATION'!BY$17:BY$149)+SUMIF('8. FACILIT'!$B$18:$B$50,$C1870,'8. FACILIT'!Z$18:Z$50))</f>
        <v>0</v>
      </c>
      <c r="J1876" s="116">
        <f>IF('2. START'!$C$11="NO",SUMIF('8. FACILIT'!$B$18:$B$50,$C1870,'8. FACILIT'!AA$18:AA$50),SUMIF('5. PERSON'!$B$17:$B$192,$C1870,'5. PERSON'!CW$17:CW$192)+SUMIF('6. OPERATION'!$B$17:$B$149,$C1870,'6. OPERATION'!BZ$17:BZ$149)+SUMIF('8. FACILIT'!$B$18:$B$50,$C1870,'8. FACILIT'!AA$18:AA$50))</f>
        <v>0</v>
      </c>
      <c r="K1876" s="116">
        <f>IF('2. START'!$C$11="NO",SUMIF('8. FACILIT'!$B$18:$B$50,$C1870,'8. FACILIT'!AB$18:AB$50),SUMIF('5. PERSON'!$B$17:$B$192,$C1870,'5. PERSON'!CX$17:CX$192)+SUMIF('6. OPERATION'!$B$17:$B$149,$C1870,'6. OPERATION'!CA$17:CA$149)+SUMIF('8. FACILIT'!$B$18:$B$50,$C1870,'8. FACILIT'!AB$18:AB$50))</f>
        <v>0</v>
      </c>
      <c r="L1876" s="116">
        <f>IF('2. START'!$C$11="NO",SUMIF('8. FACILIT'!$B$18:$B$50,$C1870,'8. FACILIT'!AC$18:AC$50),SUMIF('5. PERSON'!$B$17:$B$192,$C1870,'5. PERSON'!CY$17:CY$192)+SUMIF('6. OPERATION'!$B$17:$B$149,$C1870,'6. OPERATION'!CB$17:CB$149)+SUMIF('8. FACILIT'!$B$18:$B$50,$C1870,'8. FACILIT'!AC$18:AC$50))</f>
        <v>0</v>
      </c>
      <c r="M1876" s="117">
        <f t="shared" si="420"/>
        <v>0</v>
      </c>
    </row>
    <row r="1877" spans="2:15" s="3" customFormat="1" ht="13.2" x14ac:dyDescent="0.25">
      <c r="B1877" s="797" t="str">
        <f>IF('1. INTRO'!I$2="English",(IF('2. START'!C$11="NO","Indirect and facility charge accepted as OH by funding body","Indirect")),IF('2. START'!C$11="NO","Indirekt och lokalpåslag accepterade som OH av finansiär","Indirekt"))</f>
        <v>Indirect</v>
      </c>
      <c r="C1877" s="798">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798">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798">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798">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798">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798">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798">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798">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798">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798">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796">
        <f t="shared" si="420"/>
        <v>0</v>
      </c>
    </row>
    <row r="1878" spans="2:15" s="3" customFormat="1" ht="13.2" x14ac:dyDescent="0.25">
      <c r="B1878" s="124" t="s">
        <v>113</v>
      </c>
      <c r="C1878" s="102">
        <f>SUM(C1873:C1877)</f>
        <v>0</v>
      </c>
      <c r="D1878" s="102">
        <f t="shared" ref="D1878:L1878" si="421">SUM(D1873:D1877)</f>
        <v>0</v>
      </c>
      <c r="E1878" s="102">
        <f t="shared" si="421"/>
        <v>0</v>
      </c>
      <c r="F1878" s="102">
        <f t="shared" si="421"/>
        <v>0</v>
      </c>
      <c r="G1878" s="102">
        <f t="shared" si="421"/>
        <v>0</v>
      </c>
      <c r="H1878" s="102">
        <f t="shared" si="421"/>
        <v>0</v>
      </c>
      <c r="I1878" s="102">
        <f t="shared" si="421"/>
        <v>0</v>
      </c>
      <c r="J1878" s="102">
        <f t="shared" si="421"/>
        <v>0</v>
      </c>
      <c r="K1878" s="102">
        <f t="shared" si="421"/>
        <v>0</v>
      </c>
      <c r="L1878" s="102">
        <f t="shared" si="421"/>
        <v>0</v>
      </c>
      <c r="M1878" s="125">
        <f t="shared" si="420"/>
        <v>0</v>
      </c>
    </row>
    <row r="1879" spans="2:15" s="3" customFormat="1" ht="6" customHeight="1" x14ac:dyDescent="0.25">
      <c r="B1879" s="126"/>
      <c r="C1879" s="127"/>
      <c r="D1879" s="127"/>
      <c r="E1879" s="127"/>
      <c r="F1879" s="127"/>
      <c r="G1879" s="127"/>
      <c r="H1879" s="127"/>
      <c r="I1879" s="127"/>
      <c r="J1879" s="127"/>
      <c r="K1879" s="127"/>
      <c r="L1879" s="127"/>
      <c r="M1879" s="128"/>
    </row>
    <row r="1880" spans="2:15" s="3" customFormat="1" ht="13.2" x14ac:dyDescent="0.25">
      <c r="B1880" s="129" t="str">
        <f>IF('1. INTRO'!I$2="English","Costs to be co-funded","Kostnader att medfinansiera")</f>
        <v>Costs to be co-funded</v>
      </c>
      <c r="C1880" s="86"/>
      <c r="D1880" s="86"/>
      <c r="E1880" s="86"/>
      <c r="F1880" s="86"/>
      <c r="G1880" s="86"/>
      <c r="H1880" s="86"/>
      <c r="I1880" s="86"/>
      <c r="J1880" s="86"/>
      <c r="K1880" s="86"/>
      <c r="L1880" s="86"/>
      <c r="M1880" s="130"/>
    </row>
    <row r="1881" spans="2:15" s="3" customFormat="1" ht="13.2" x14ac:dyDescent="0.25">
      <c r="B1881" s="799" t="str">
        <f>IF('1. INTRO'!I$2="English",(IF('2. START'!C$11="NO","Indirect and facility charge not accepted as OH by funding body","")),IF('2. START'!C$11="NO","Indirekt och lokalpåslag inte accepterade som OH av finansiär",""))</f>
        <v/>
      </c>
      <c r="C1881" s="800">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800">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800">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800">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800">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800">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800">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800">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800">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800">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793">
        <f t="shared" ref="M1881:M1887" si="422">SUM(C1881:L1881)</f>
        <v>0</v>
      </c>
    </row>
    <row r="1882" spans="2:15" s="3" customFormat="1" ht="12.75" customHeight="1" x14ac:dyDescent="0.25">
      <c r="B1882" s="132" t="str">
        <f>IF('1. INTRO'!I$2="English",(IF('2. START'!C$14&gt;0,"Social costs (LKP) not accepted by funding body","")),IF('2. START'!C$14&gt;0,"LKP som inte accepteras av finansiär",""))</f>
        <v/>
      </c>
      <c r="C1882" s="133">
        <f>IF('2. START'!$C$14&gt;0,SUMIF('5. PERSON'!$B$17:$B$192,$C1870,'5. PERSON'!AT$17:AT$192)-SUMIF('5. PERSON'!$B$17:$B$192,$C1870,'5. PERSON'!DN$17:DN$192),0)</f>
        <v>0</v>
      </c>
      <c r="D1882" s="133">
        <f>IF('2. START'!$C$14&gt;0,SUMIF('5. PERSON'!$B$17:$B$192,$C1870,'5. PERSON'!AU$17:AU$192)-SUMIF('5. PERSON'!$B$17:$B$192,$C1870,'5. PERSON'!DO$17:DO$192),0)</f>
        <v>0</v>
      </c>
      <c r="E1882" s="133">
        <f>IF('2. START'!$C$14&gt;0,SUMIF('5. PERSON'!$B$17:$B$192,$C1870,'5. PERSON'!AV$17:AV$192)-SUMIF('5. PERSON'!$B$17:$B$192,$C1870,'5. PERSON'!DP$17:DP$192),0)</f>
        <v>0</v>
      </c>
      <c r="F1882" s="133">
        <f>IF('2. START'!$C$14&gt;0,SUMIF('5. PERSON'!$B$17:$B$192,$C1870,'5. PERSON'!AW$17:AW$192)-SUMIF('5. PERSON'!$B$17:$B$192,$C1870,'5. PERSON'!DQ$17:DQ$192),0)</f>
        <v>0</v>
      </c>
      <c r="G1882" s="133">
        <f>IF('2. START'!$C$14&gt;0,SUMIF('5. PERSON'!$B$17:$B$192,$C1870,'5. PERSON'!AX$17:AX$192)-SUMIF('5. PERSON'!$B$17:$B$192,$C1870,'5. PERSON'!DR$17:DR$192),0)</f>
        <v>0</v>
      </c>
      <c r="H1882" s="133">
        <f>IF('2. START'!$C$14&gt;0,SUMIF('5. PERSON'!$B$17:$B$192,$C1870,'5. PERSON'!AY$17:AY$192)-SUMIF('5. PERSON'!$B$17:$B$192,$C1870,'5. PERSON'!DS$17:DS$192),0)</f>
        <v>0</v>
      </c>
      <c r="I1882" s="133">
        <f>IF('2. START'!$C$14&gt;0,SUMIF('5. PERSON'!$B$17:$B$192,$C1870,'5. PERSON'!AZ$17:AZ$192)-SUMIF('5. PERSON'!$B$17:$B$192,$C1870,'5. PERSON'!DT$17:DT$192),0)</f>
        <v>0</v>
      </c>
      <c r="J1882" s="133">
        <f>IF('2. START'!$C$14&gt;0,SUMIF('5. PERSON'!$B$17:$B$192,$C1870,'5. PERSON'!BA$17:BA$192)-SUMIF('5. PERSON'!$B$17:$B$192,$C1870,'5. PERSON'!DU$17:DU$192),0)</f>
        <v>0</v>
      </c>
      <c r="K1882" s="133">
        <f>IF('2. START'!$C$14&gt;0,SUMIF('5. PERSON'!$B$17:$B$192,$C1870,'5. PERSON'!BB$17:BB$192)-SUMIF('5. PERSON'!$B$17:$B$192,$C1870,'5. PERSON'!DV$17:DV$192),0)</f>
        <v>0</v>
      </c>
      <c r="L1882" s="133">
        <f>IF('2. START'!$C$14&gt;0,SUMIF('5. PERSON'!$B$17:$B$192,$C1870,'5. PERSON'!BC$17:BC$192)-SUMIF('5. PERSON'!$B$17:$B$192,$C1870,'5. PERSON'!DW$17:DW$192),0)</f>
        <v>0</v>
      </c>
      <c r="M1882" s="117">
        <f t="shared" si="422"/>
        <v>0</v>
      </c>
    </row>
    <row r="1883" spans="2:15" s="3" customFormat="1" ht="12.75" customHeight="1" x14ac:dyDescent="0.25">
      <c r="B1883" s="794" t="str">
        <f>IF('1. INTRO'!I$2="English",(IF('5. PERSON'!BP$193&gt;0,"Salary including social costs (LKP)","")),IF('5. PERSON'!BP$193&gt;0,"Lön inklusive LKP",""))</f>
        <v/>
      </c>
      <c r="C1883" s="801">
        <f>SUMIF('5. PERSON'!$B$17:$B$192,$C1870,'5. PERSON'!BF$17:BF$192)</f>
        <v>0</v>
      </c>
      <c r="D1883" s="801">
        <f>SUMIF('5. PERSON'!$B$17:$B$192,$C1870,'5. PERSON'!BG$17:BG$192)</f>
        <v>0</v>
      </c>
      <c r="E1883" s="801">
        <f>SUMIF('5. PERSON'!$B$17:$B$192,$C1870,'5. PERSON'!BH$17:BH$192)</f>
        <v>0</v>
      </c>
      <c r="F1883" s="801">
        <f>SUMIF('5. PERSON'!$B$17:$B$192,$C1870,'5. PERSON'!BI$17:BI$192)</f>
        <v>0</v>
      </c>
      <c r="G1883" s="801">
        <f>SUMIF('5. PERSON'!$B$17:$B$192,$C1870,'5. PERSON'!BJ$17:BJ$192)</f>
        <v>0</v>
      </c>
      <c r="H1883" s="801">
        <f>SUMIF('5. PERSON'!$B$17:$B$192,$C1870,'5. PERSON'!BK$17:BK$192)</f>
        <v>0</v>
      </c>
      <c r="I1883" s="801">
        <f>SUMIF('5. PERSON'!$B$17:$B$192,$C1870,'5. PERSON'!BL$17:BL$192)</f>
        <v>0</v>
      </c>
      <c r="J1883" s="801">
        <f>SUMIF('5. PERSON'!$B$17:$B$192,$C1870,'5. PERSON'!BM$17:BM$192)</f>
        <v>0</v>
      </c>
      <c r="K1883" s="801">
        <f>SUMIF('5. PERSON'!$B$17:$B$192,$C1870,'5. PERSON'!BN$17:BN$192)</f>
        <v>0</v>
      </c>
      <c r="L1883" s="801">
        <f>SUMIF('5. PERSON'!$B$17:$B$192,$C1870,'5. PERSON'!BO$17:BO$192)</f>
        <v>0</v>
      </c>
      <c r="M1883" s="796">
        <f t="shared" si="422"/>
        <v>0</v>
      </c>
    </row>
    <row r="1884" spans="2:15" s="3" customFormat="1" ht="13.2" x14ac:dyDescent="0.25">
      <c r="B1884" s="80" t="str">
        <f>IF('1. INTRO'!I$2="English",(IF('6. OPERATION'!AS$150&gt;0,"Operating","")),IF('6. OPERATION'!AS$150&gt;0,"Drift",""))</f>
        <v/>
      </c>
      <c r="C1884" s="135">
        <f>SUMIF('6. OPERATION'!$B$17:$B$149,$C1870,'6. OPERATION'!AI$17:AI$149)</f>
        <v>0</v>
      </c>
      <c r="D1884" s="135">
        <f>SUMIF('6. OPERATION'!$B$17:$B$149,$C1870,'6. OPERATION'!AJ$17:AJ$149)</f>
        <v>0</v>
      </c>
      <c r="E1884" s="135">
        <f>SUMIF('6. OPERATION'!$B$17:$B$149,$C1870,'6. OPERATION'!AK$17:AK$149)</f>
        <v>0</v>
      </c>
      <c r="F1884" s="135">
        <f>SUMIF('6. OPERATION'!$B$17:$B$149,$C1870,'6. OPERATION'!AL$17:AL$149)</f>
        <v>0</v>
      </c>
      <c r="G1884" s="135">
        <f>SUMIF('6. OPERATION'!$B$17:$B$149,$C1870,'6. OPERATION'!AM$17:AM$149)</f>
        <v>0</v>
      </c>
      <c r="H1884" s="135">
        <f>SUMIF('6. OPERATION'!$B$17:$B$149,$C1870,'6. OPERATION'!AN$17:AN$149)</f>
        <v>0</v>
      </c>
      <c r="I1884" s="135">
        <f>SUMIF('6. OPERATION'!$B$17:$B$149,$C1870,'6. OPERATION'!AO$17:AO$149)</f>
        <v>0</v>
      </c>
      <c r="J1884" s="135">
        <f>SUMIF('6. OPERATION'!$B$17:$B$149,$C1870,'6. OPERATION'!AP$17:AP$149)</f>
        <v>0</v>
      </c>
      <c r="K1884" s="135">
        <f>SUMIF('6. OPERATION'!$B$17:$B$149,$C1870,'6. OPERATION'!AQ$17:AQ$149)</f>
        <v>0</v>
      </c>
      <c r="L1884" s="135">
        <f>SUMIF('6. OPERATION'!$B$17:$B$149,$C1870,'6. OPERATION'!AR$17:AR$149)</f>
        <v>0</v>
      </c>
      <c r="M1884" s="117">
        <f t="shared" si="422"/>
        <v>0</v>
      </c>
    </row>
    <row r="1885" spans="2:15" s="3" customFormat="1" ht="13.2" x14ac:dyDescent="0.25">
      <c r="B1885" s="794" t="str">
        <f>IF('1. INTRO'!I$2="English",(IF('7. INVEST'!AS$50&gt;0,"Equipment","")),IF('7. INVEST'!AS$50&gt;0,"Utrustning",""))</f>
        <v/>
      </c>
      <c r="C1885" s="801">
        <f>SUMIF('7. INVEST'!$B$17:$B$49,$C1870,'7. INVEST'!AI$17:AI$49)</f>
        <v>0</v>
      </c>
      <c r="D1885" s="801">
        <f>SUMIF('7. INVEST'!$B$17:$B$49,$C1870,'7. INVEST'!AJ$17:AJ$49)</f>
        <v>0</v>
      </c>
      <c r="E1885" s="801">
        <f>SUMIF('7. INVEST'!$B$17:$B$49,$C1870,'7. INVEST'!AK$17:AK$49)</f>
        <v>0</v>
      </c>
      <c r="F1885" s="801">
        <f>SUMIF('7. INVEST'!$B$17:$B$49,$C1870,'7. INVEST'!AL$17:AL$49)</f>
        <v>0</v>
      </c>
      <c r="G1885" s="801">
        <f>SUMIF('7. INVEST'!$B$17:$B$49,$C1870,'7. INVEST'!AM$17:AM$49)</f>
        <v>0</v>
      </c>
      <c r="H1885" s="801">
        <f>SUMIF('7. INVEST'!$B$17:$B$49,$C1870,'7. INVEST'!AN$17:AN$49)</f>
        <v>0</v>
      </c>
      <c r="I1885" s="801">
        <f>SUMIF('7. INVEST'!$B$17:$B$49,$C1870,'7. INVEST'!AO$17:AO$49)</f>
        <v>0</v>
      </c>
      <c r="J1885" s="801">
        <f>SUMIF('7. INVEST'!$B$17:$B$49,$C1870,'7. INVEST'!AP$17:AP$49)</f>
        <v>0</v>
      </c>
      <c r="K1885" s="801">
        <f>SUMIF('7. INVEST'!$B$17:$B$49,$C1870,'7. INVEST'!AQ$17:AQ$49)</f>
        <v>0</v>
      </c>
      <c r="L1885" s="801">
        <f>SUMIF('7. INVEST'!$B$17:$B$49,$C1870,'7. INVEST'!AR$17:AR$49)</f>
        <v>0</v>
      </c>
      <c r="M1885" s="796">
        <f t="shared" si="422"/>
        <v>0</v>
      </c>
    </row>
    <row r="1886" spans="2:15" s="3" customFormat="1" ht="13.2" x14ac:dyDescent="0.25">
      <c r="B1886" s="121" t="str">
        <f>IF('1. INTRO'!I$2="English",(IF('8. FACILIT'!AP$51&gt;0,"Facility","")),IF('8. FACILIT'!AP$51&gt;0,"Lokal",""))</f>
        <v/>
      </c>
      <c r="C1886" s="135">
        <f>SUMIF('5. PERSON'!$B$17:$B$192,$C1870,'5. PERSON'!DB$17:DB$192)+SUMIF('6. OPERATION'!$B$17:$B$149,$C1870,'6. OPERATION'!CE$17:CE$149)+SUMIF('8. FACILIT'!$B$18:$B$50,$C1870,'8. FACILIT'!AF$18:AF$50)</f>
        <v>0</v>
      </c>
      <c r="D1886" s="135">
        <f>SUMIF('5. PERSON'!$B$17:$B$192,$C1870,'5. PERSON'!DC$17:DC$192)+SUMIF('6. OPERATION'!$B$17:$B$149,$C1870,'6. OPERATION'!CF$17:CF$149)+SUMIF('8. FACILIT'!$B$18:$B$50,$C1870,'8. FACILIT'!AG$18:AG$50)</f>
        <v>0</v>
      </c>
      <c r="E1886" s="135">
        <f>SUMIF('5. PERSON'!$B$17:$B$192,$C1870,'5. PERSON'!DD$17:DD$192)+SUMIF('6. OPERATION'!$B$17:$B$149,$C1870,'6. OPERATION'!CG$17:CG$149)+SUMIF('8. FACILIT'!$B$18:$B$50,$C1870,'8. FACILIT'!AH$18:AH$50)</f>
        <v>0</v>
      </c>
      <c r="F1886" s="135">
        <f>SUMIF('5. PERSON'!$B$17:$B$192,$C1870,'5. PERSON'!DE$17:DE$192)+SUMIF('6. OPERATION'!$B$17:$B$149,$C1870,'6. OPERATION'!CH$17:CH$149)+SUMIF('8. FACILIT'!$B$18:$B$50,$C1870,'8. FACILIT'!AI$18:AI$50)</f>
        <v>0</v>
      </c>
      <c r="G1886" s="135">
        <f>SUMIF('5. PERSON'!$B$17:$B$192,$C1870,'5. PERSON'!DF$17:DF$192)+SUMIF('6. OPERATION'!$B$17:$B$149,$C1870,'6. OPERATION'!CI$17:CI$149)+SUMIF('8. FACILIT'!$B$18:$B$50,$C1870,'8. FACILIT'!AJ$18:AJ$50)</f>
        <v>0</v>
      </c>
      <c r="H1886" s="135">
        <f>SUMIF('5. PERSON'!$B$17:$B$192,$C1870,'5. PERSON'!DG$17:DG$192)+SUMIF('6. OPERATION'!$B$17:$B$149,$C1870,'6. OPERATION'!CJ$17:CJ$149)+SUMIF('8. FACILIT'!$B$18:$B$50,$C1870,'8. FACILIT'!AK$18:AK$50)</f>
        <v>0</v>
      </c>
      <c r="I1886" s="135">
        <f>SUMIF('5. PERSON'!$B$17:$B$192,$C1870,'5. PERSON'!DH$17:DH$192)+SUMIF('6. OPERATION'!$B$17:$B$149,$C1870,'6. OPERATION'!CK$17:CK$149)+SUMIF('8. FACILIT'!$B$18:$B$50,$C1870,'8. FACILIT'!AL$18:AL$50)</f>
        <v>0</v>
      </c>
      <c r="J1886" s="135">
        <f>SUMIF('5. PERSON'!$B$17:$B$192,$C1870,'5. PERSON'!DI$17:DI$192)+SUMIF('6. OPERATION'!$B$17:$B$149,$C1870,'6. OPERATION'!CL$17:CL$149)+SUMIF('8. FACILIT'!$B$18:$B$50,$C1870,'8. FACILIT'!AM$18:AM$50)</f>
        <v>0</v>
      </c>
      <c r="K1886" s="135">
        <f>SUMIF('5. PERSON'!$B$17:$B$192,$C1870,'5. PERSON'!DJ$17:DJ$192)+SUMIF('6. OPERATION'!$B$17:$B$149,$C1870,'6. OPERATION'!CM$17:CM$149)+SUMIF('8. FACILIT'!$B$18:$B$50,$C1870,'8. FACILIT'!AN$18:AN$50)</f>
        <v>0</v>
      </c>
      <c r="L1886" s="135">
        <f>SUMIF('5. PERSON'!$B$17:$B$192,$C1870,'5. PERSON'!DK$17:DK$192)+SUMIF('6. OPERATION'!$B$17:$B$149,$C1870,'6. OPERATION'!CN$17:CN$149)+SUMIF('8. FACILIT'!$B$18:$B$50,$C1870,'8. FACILIT'!AO$18:AO$50)</f>
        <v>0</v>
      </c>
      <c r="M1886" s="117">
        <f t="shared" si="422"/>
        <v>0</v>
      </c>
    </row>
    <row r="1887" spans="2:15" s="1" customFormat="1" ht="13.2" x14ac:dyDescent="0.25">
      <c r="B1887" s="797" t="str">
        <f>IF('1. INTRO'!I$2="English",(IF(('5. PERSON'!CN$193+'6. OPERATION'!BQ$150)&gt;0,"Indirect","")),IF(('5. PERSON'!CN$193+'6. OPERATION'!BQ$150)&gt;0,"Indirekt",""))</f>
        <v/>
      </c>
      <c r="C1887" s="798">
        <f>SUMIF('5. PERSON'!$B$17:$B$192,$C1870,'5. PERSON'!CD$17:CD$192)+SUMIF('6. OPERATION'!$B$17:$B$149,$C1870,'6. OPERATION'!BG$17:BG$149)</f>
        <v>0</v>
      </c>
      <c r="D1887" s="798">
        <f>SUMIF('5. PERSON'!$B$17:$B$192,$C1870,'5. PERSON'!CE$17:CE$192)+SUMIF('6. OPERATION'!$B$17:$B$149,$C1870,'6. OPERATION'!BH$17:BH$149)</f>
        <v>0</v>
      </c>
      <c r="E1887" s="798">
        <f>SUMIF('5. PERSON'!$B$17:$B$192,$C1870,'5. PERSON'!CF$17:CF$192)+SUMIF('6. OPERATION'!$B$17:$B$149,$C1870,'6. OPERATION'!BI$17:BI$149)</f>
        <v>0</v>
      </c>
      <c r="F1887" s="798">
        <f>SUMIF('5. PERSON'!$B$17:$B$192,$C1870,'5. PERSON'!CG$17:CG$192)+SUMIF('6. OPERATION'!$B$17:$B$149,$C1870,'6. OPERATION'!BJ$17:BJ$149)</f>
        <v>0</v>
      </c>
      <c r="G1887" s="798">
        <f>SUMIF('5. PERSON'!$B$17:$B$192,$C1870,'5. PERSON'!CH$17:CH$192)+SUMIF('6. OPERATION'!$B$17:$B$149,$C1870,'6. OPERATION'!BK$17:BK$149)</f>
        <v>0</v>
      </c>
      <c r="H1887" s="798">
        <f>SUMIF('5. PERSON'!$B$17:$B$192,$C1870,'5. PERSON'!CI$17:CI$192)+SUMIF('6. OPERATION'!$B$17:$B$149,$C1870,'6. OPERATION'!BL$17:BL$149)</f>
        <v>0</v>
      </c>
      <c r="I1887" s="798">
        <f>SUMIF('5. PERSON'!$B$17:$B$192,$C1870,'5. PERSON'!CJ$17:CJ$192)+SUMIF('6. OPERATION'!$B$17:$B$149,$C1870,'6. OPERATION'!BM$17:BM$149)</f>
        <v>0</v>
      </c>
      <c r="J1887" s="798">
        <f>SUMIF('5. PERSON'!$B$17:$B$192,$C1870,'5. PERSON'!CK$17:CK$192)+SUMIF('6. OPERATION'!$B$17:$B$149,$C1870,'6. OPERATION'!BN$17:BN$149)</f>
        <v>0</v>
      </c>
      <c r="K1887" s="798">
        <f>SUMIF('5. PERSON'!$B$17:$B$192,$C1870,'5. PERSON'!CL$17:CL$192)+SUMIF('6. OPERATION'!$B$17:$B$149,$C1870,'6. OPERATION'!BO$17:BO$149)</f>
        <v>0</v>
      </c>
      <c r="L1887" s="798">
        <f>SUMIF('5. PERSON'!$B$17:$B$192,$C1870,'5. PERSON'!CM$17:CM$192)+SUMIF('6. OPERATION'!$B$17:$B$149,$C1870,'6. OPERATION'!BP$17:BP$149)</f>
        <v>0</v>
      </c>
      <c r="M1887" s="802">
        <f t="shared" si="422"/>
        <v>0</v>
      </c>
    </row>
    <row r="1888" spans="2:15" s="3" customFormat="1" ht="13.2" x14ac:dyDescent="0.25">
      <c r="B1888" s="124" t="s">
        <v>113</v>
      </c>
      <c r="C1888" s="102">
        <f>SUM(C1881:C1887)</f>
        <v>0</v>
      </c>
      <c r="D1888" s="102">
        <f t="shared" ref="D1888:M1888" si="423">SUM(D1881:D1887)</f>
        <v>0</v>
      </c>
      <c r="E1888" s="102">
        <f t="shared" si="423"/>
        <v>0</v>
      </c>
      <c r="F1888" s="102">
        <f t="shared" si="423"/>
        <v>0</v>
      </c>
      <c r="G1888" s="102">
        <f t="shared" si="423"/>
        <v>0</v>
      </c>
      <c r="H1888" s="102">
        <f t="shared" si="423"/>
        <v>0</v>
      </c>
      <c r="I1888" s="102">
        <f t="shared" si="423"/>
        <v>0</v>
      </c>
      <c r="J1888" s="102">
        <f t="shared" si="423"/>
        <v>0</v>
      </c>
      <c r="K1888" s="102">
        <f t="shared" si="423"/>
        <v>0</v>
      </c>
      <c r="L1888" s="102">
        <f t="shared" si="423"/>
        <v>0</v>
      </c>
      <c r="M1888" s="125">
        <f t="shared" si="423"/>
        <v>0</v>
      </c>
      <c r="N1888" s="23"/>
      <c r="O1888" s="23"/>
    </row>
    <row r="1889" spans="2:13" s="3" customFormat="1" ht="6" customHeight="1" x14ac:dyDescent="0.25">
      <c r="B1889" s="136"/>
      <c r="C1889" s="127"/>
      <c r="D1889" s="127"/>
      <c r="E1889" s="127"/>
      <c r="F1889" s="127"/>
      <c r="G1889" s="127"/>
      <c r="H1889" s="127"/>
      <c r="I1889" s="127"/>
      <c r="J1889" s="127"/>
      <c r="K1889" s="127"/>
      <c r="L1889" s="127"/>
      <c r="M1889" s="137"/>
    </row>
    <row r="1890" spans="2:13" s="3" customFormat="1" ht="13.2" x14ac:dyDescent="0.25">
      <c r="B1890" s="129" t="str">
        <f>IF('1. INTRO'!I$2="English","Full cost","Full kostnad")</f>
        <v>Full cost</v>
      </c>
      <c r="C1890" s="127"/>
      <c r="D1890" s="127"/>
      <c r="E1890" s="127"/>
      <c r="F1890" s="127"/>
      <c r="G1890" s="127"/>
      <c r="H1890" s="127"/>
      <c r="I1890" s="127"/>
      <c r="J1890" s="127"/>
      <c r="K1890" s="127"/>
      <c r="L1890" s="127"/>
      <c r="M1890" s="137"/>
    </row>
    <row r="1891" spans="2:13" s="3" customFormat="1" ht="13.2" x14ac:dyDescent="0.25">
      <c r="B1891" s="791" t="str">
        <f>IF('1. INTRO'!I$2="English","Salary including social costs (LKP)","Lön inklusive LKP")</f>
        <v>Salary including social costs (LKP)</v>
      </c>
      <c r="C1891" s="803">
        <f>C1873+C1882+C1883</f>
        <v>0</v>
      </c>
      <c r="D1891" s="803">
        <f t="shared" ref="D1891:L1891" si="424">D1873+D1882+D1883</f>
        <v>0</v>
      </c>
      <c r="E1891" s="803">
        <f t="shared" si="424"/>
        <v>0</v>
      </c>
      <c r="F1891" s="803">
        <f t="shared" si="424"/>
        <v>0</v>
      </c>
      <c r="G1891" s="803">
        <f t="shared" si="424"/>
        <v>0</v>
      </c>
      <c r="H1891" s="803">
        <f t="shared" si="424"/>
        <v>0</v>
      </c>
      <c r="I1891" s="803">
        <f t="shared" si="424"/>
        <v>0</v>
      </c>
      <c r="J1891" s="803">
        <f t="shared" si="424"/>
        <v>0</v>
      </c>
      <c r="K1891" s="803">
        <f t="shared" si="424"/>
        <v>0</v>
      </c>
      <c r="L1891" s="803">
        <f t="shared" si="424"/>
        <v>0</v>
      </c>
      <c r="M1891" s="793">
        <f>SUM(C1891:L1891)</f>
        <v>0</v>
      </c>
    </row>
    <row r="1892" spans="2:13" s="3" customFormat="1" ht="13.2" x14ac:dyDescent="0.25">
      <c r="B1892" s="80" t="str">
        <f>IF('1. INTRO'!I$2="English","Operating","Drift")</f>
        <v>Operating</v>
      </c>
      <c r="C1892" s="139">
        <f>C1874+C1884</f>
        <v>0</v>
      </c>
      <c r="D1892" s="139">
        <f t="shared" ref="D1892:L1892" si="425">D1874+D1884</f>
        <v>0</v>
      </c>
      <c r="E1892" s="139">
        <f t="shared" si="425"/>
        <v>0</v>
      </c>
      <c r="F1892" s="139">
        <f t="shared" si="425"/>
        <v>0</v>
      </c>
      <c r="G1892" s="139">
        <f t="shared" si="425"/>
        <v>0</v>
      </c>
      <c r="H1892" s="139">
        <f t="shared" si="425"/>
        <v>0</v>
      </c>
      <c r="I1892" s="139">
        <f t="shared" si="425"/>
        <v>0</v>
      </c>
      <c r="J1892" s="139">
        <f t="shared" si="425"/>
        <v>0</v>
      </c>
      <c r="K1892" s="139">
        <f t="shared" si="425"/>
        <v>0</v>
      </c>
      <c r="L1892" s="139">
        <f t="shared" si="425"/>
        <v>0</v>
      </c>
      <c r="M1892" s="117">
        <f>SUM(C1892:L1892)</f>
        <v>0</v>
      </c>
    </row>
    <row r="1893" spans="2:13" s="3" customFormat="1" ht="13.2" x14ac:dyDescent="0.25">
      <c r="B1893" s="794" t="str">
        <f>IF('1. INTRO'!I$2="English","Equipment","Utrustning")</f>
        <v>Equipment</v>
      </c>
      <c r="C1893" s="804">
        <f>C1875+C1885</f>
        <v>0</v>
      </c>
      <c r="D1893" s="804">
        <f t="shared" ref="D1893:L1893" si="426">D1875+D1885</f>
        <v>0</v>
      </c>
      <c r="E1893" s="804">
        <f t="shared" si="426"/>
        <v>0</v>
      </c>
      <c r="F1893" s="804">
        <f t="shared" si="426"/>
        <v>0</v>
      </c>
      <c r="G1893" s="804">
        <f t="shared" si="426"/>
        <v>0</v>
      </c>
      <c r="H1893" s="804">
        <f t="shared" si="426"/>
        <v>0</v>
      </c>
      <c r="I1893" s="804">
        <f t="shared" si="426"/>
        <v>0</v>
      </c>
      <c r="J1893" s="804">
        <f t="shared" si="426"/>
        <v>0</v>
      </c>
      <c r="K1893" s="804">
        <f t="shared" si="426"/>
        <v>0</v>
      </c>
      <c r="L1893" s="804">
        <f t="shared" si="426"/>
        <v>0</v>
      </c>
      <c r="M1893" s="796">
        <f>SUM(C1893:L1893)</f>
        <v>0</v>
      </c>
    </row>
    <row r="1894" spans="2:13" s="3" customFormat="1" ht="13.2" x14ac:dyDescent="0.25">
      <c r="B1894" s="80" t="str">
        <f>IF('1. INTRO'!I$2="English","Facility","Lokal")</f>
        <v>Facility</v>
      </c>
      <c r="C1894" s="139">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39">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39">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39">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39">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39">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39">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39">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39">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39">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117">
        <f>SUM(C1894:L1894)</f>
        <v>0</v>
      </c>
    </row>
    <row r="1895" spans="2:13" s="3" customFormat="1" ht="13.2" x14ac:dyDescent="0.25">
      <c r="B1895" s="805" t="str">
        <f>IF('1. INTRO'!I$2="English","Indirect","Indirekt")</f>
        <v>Indirect</v>
      </c>
      <c r="C1895" s="806">
        <f>SUMIF('5. PERSON'!$B$17:$B$192,$C1870,'5. PERSON'!BR$17:BR$192)+SUMIF('5. PERSON'!$B$17:$B$192,$C1870,'5. PERSON'!CD$17:CD$192)+SUMIF('6. OPERATION'!$B$17:$B$149,$C1870,'6. OPERATION'!AU$17:AU$149)+SUMIF('6. OPERATION'!$B$17:$B$149,$C1870,'6. OPERATION'!BG$17:BG$149)</f>
        <v>0</v>
      </c>
      <c r="D1895" s="806">
        <f>SUMIF('5. PERSON'!$B$17:$B$192,$C1870,'5. PERSON'!BS$17:BS$192)+SUMIF('5. PERSON'!$B$17:$B$192,$C1870,'5. PERSON'!CE$17:CE$192)+SUMIF('6. OPERATION'!$B$17:$B$149,$C1870,'6. OPERATION'!AV$17:AV$149)+SUMIF('6. OPERATION'!$B$17:$B$149,$C1870,'6. OPERATION'!BH$17:BH$149)</f>
        <v>0</v>
      </c>
      <c r="E1895" s="806">
        <f>SUMIF('5. PERSON'!$B$17:$B$192,$C1870,'5. PERSON'!BT$17:BT$192)+SUMIF('5. PERSON'!$B$17:$B$192,$C1870,'5. PERSON'!CF$17:CF$192)+SUMIF('6. OPERATION'!$B$17:$B$149,$C1870,'6. OPERATION'!AW$17:AW$149)+SUMIF('6. OPERATION'!$B$17:$B$149,$C1870,'6. OPERATION'!BI$17:BI$149)</f>
        <v>0</v>
      </c>
      <c r="F1895" s="806">
        <f>SUMIF('5. PERSON'!$B$17:$B$192,$C1870,'5. PERSON'!BU$17:BU$192)+SUMIF('5. PERSON'!$B$17:$B$192,$C1870,'5. PERSON'!CG$17:CG$192)+SUMIF('6. OPERATION'!$B$17:$B$149,$C1870,'6. OPERATION'!AX$17:AX$149)+SUMIF('6. OPERATION'!$B$17:$B$149,$C1870,'6. OPERATION'!BJ$17:BJ$149)</f>
        <v>0</v>
      </c>
      <c r="G1895" s="806">
        <f>SUMIF('5. PERSON'!$B$17:$B$192,$C1870,'5. PERSON'!BV$17:BV$192)+SUMIF('5. PERSON'!$B$17:$B$192,$C1870,'5. PERSON'!CH$17:CH$192)+SUMIF('6. OPERATION'!$B$17:$B$149,$C1870,'6. OPERATION'!AY$17:AY$149)+SUMIF('6. OPERATION'!$B$17:$B$149,$C1870,'6. OPERATION'!BK$17:BK$149)</f>
        <v>0</v>
      </c>
      <c r="H1895" s="806">
        <f>SUMIF('5. PERSON'!$B$17:$B$192,$C1870,'5. PERSON'!BW$17:BW$192)+SUMIF('5. PERSON'!$B$17:$B$192,$C1870,'5. PERSON'!CI$17:CI$192)+SUMIF('6. OPERATION'!$B$17:$B$149,$C1870,'6. OPERATION'!AZ$17:AZ$149)+SUMIF('6. OPERATION'!$B$17:$B$149,$C1870,'6. OPERATION'!BL$17:BL$149)</f>
        <v>0</v>
      </c>
      <c r="I1895" s="806">
        <f>SUMIF('5. PERSON'!$B$17:$B$192,$C1870,'5. PERSON'!BX$17:BX$192)+SUMIF('5. PERSON'!$B$17:$B$192,$C1870,'5. PERSON'!CJ$17:CJ$192)+SUMIF('6. OPERATION'!$B$17:$B$149,$C1870,'6. OPERATION'!BA$17:BA$149)+SUMIF('6. OPERATION'!$B$17:$B$149,$C1870,'6. OPERATION'!BM$17:BM$149)</f>
        <v>0</v>
      </c>
      <c r="J1895" s="806">
        <f>SUMIF('5. PERSON'!$B$17:$B$192,$C1870,'5. PERSON'!BY$17:BY$192)+SUMIF('5. PERSON'!$B$17:$B$192,$C1870,'5. PERSON'!CK$17:CK$192)+SUMIF('6. OPERATION'!$B$17:$B$149,$C1870,'6. OPERATION'!BB$17:BB$149)+SUMIF('6. OPERATION'!$B$17:$B$149,$C1870,'6. OPERATION'!BN$17:BN$149)</f>
        <v>0</v>
      </c>
      <c r="K1895" s="806">
        <f>SUMIF('5. PERSON'!$B$17:$B$192,$C1870,'5. PERSON'!BZ$17:BZ$192)+SUMIF('5. PERSON'!$B$17:$B$192,$C1870,'5. PERSON'!CL$17:CL$192)+SUMIF('6. OPERATION'!$B$17:$B$149,$C1870,'6. OPERATION'!BC$17:BC$149)+SUMIF('6. OPERATION'!$B$17:$B$149,$C1870,'6. OPERATION'!BO$17:BO$149)</f>
        <v>0</v>
      </c>
      <c r="L1895" s="806">
        <f>SUMIF('5. PERSON'!$B$17:$B$192,$C1870,'5. PERSON'!CA$17:CA$192)+SUMIF('5. PERSON'!$B$17:$B$192,$C1870,'5. PERSON'!CM$17:CM$192)+SUMIF('6. OPERATION'!$B$17:$B$149,$C1870,'6. OPERATION'!BD$17:BD$149)+SUMIF('6. OPERATION'!$B$17:$B$149,$C1870,'6. OPERATION'!BP$17:BP$149)</f>
        <v>0</v>
      </c>
      <c r="M1895" s="802">
        <f>SUM(C1895:L1895)</f>
        <v>0</v>
      </c>
    </row>
    <row r="1896" spans="2:13" s="3" customFormat="1" ht="13.2" x14ac:dyDescent="0.25">
      <c r="B1896" s="124" t="s">
        <v>113</v>
      </c>
      <c r="C1896" s="88">
        <f>SUM(C1891:C1895)</f>
        <v>0</v>
      </c>
      <c r="D1896" s="88">
        <f t="shared" ref="D1896:M1896" si="427">SUM(D1891:D1895)</f>
        <v>0</v>
      </c>
      <c r="E1896" s="88">
        <f t="shared" si="427"/>
        <v>0</v>
      </c>
      <c r="F1896" s="88">
        <f t="shared" si="427"/>
        <v>0</v>
      </c>
      <c r="G1896" s="88">
        <f t="shared" si="427"/>
        <v>0</v>
      </c>
      <c r="H1896" s="88">
        <f t="shared" si="427"/>
        <v>0</v>
      </c>
      <c r="I1896" s="88">
        <f t="shared" si="427"/>
        <v>0</v>
      </c>
      <c r="J1896" s="88">
        <f t="shared" si="427"/>
        <v>0</v>
      </c>
      <c r="K1896" s="88">
        <f t="shared" si="427"/>
        <v>0</v>
      </c>
      <c r="L1896" s="88">
        <f t="shared" si="427"/>
        <v>0</v>
      </c>
      <c r="M1896" s="142">
        <f t="shared" si="427"/>
        <v>0</v>
      </c>
    </row>
    <row r="1897" spans="2:13" s="3" customFormat="1" ht="13.2" x14ac:dyDescent="0.25">
      <c r="B1897" s="287"/>
      <c r="C1897" s="37"/>
      <c r="D1897" s="37"/>
      <c r="E1897" s="37"/>
      <c r="F1897" s="37"/>
      <c r="G1897" s="37"/>
      <c r="H1897" s="37"/>
      <c r="I1897" s="37"/>
      <c r="J1897" s="37"/>
      <c r="K1897" s="37"/>
      <c r="L1897" s="37"/>
      <c r="M1897" s="37"/>
    </row>
    <row r="1898" spans="2:13" s="3" customFormat="1" ht="12.75" customHeight="1" x14ac:dyDescent="0.25">
      <c r="B1898" s="656" t="str">
        <f>IF('1. INTRO'!I$2="English","Co-funding share in full cost ","Medfinansieringsandel i full kostnad ")</f>
        <v xml:space="preserve">Co-funding share in full cost </v>
      </c>
      <c r="C1898" s="143" t="str">
        <f t="shared" ref="C1898:M1898" si="428">IF(C1896&gt;0,C1888/C1896,"")</f>
        <v/>
      </c>
      <c r="D1898" s="143" t="str">
        <f t="shared" si="428"/>
        <v/>
      </c>
      <c r="E1898" s="143" t="str">
        <f t="shared" si="428"/>
        <v/>
      </c>
      <c r="F1898" s="143" t="str">
        <f t="shared" si="428"/>
        <v/>
      </c>
      <c r="G1898" s="143" t="str">
        <f t="shared" si="428"/>
        <v/>
      </c>
      <c r="H1898" s="143" t="str">
        <f t="shared" si="428"/>
        <v/>
      </c>
      <c r="I1898" s="143" t="str">
        <f t="shared" si="428"/>
        <v/>
      </c>
      <c r="J1898" s="143" t="str">
        <f t="shared" si="428"/>
        <v/>
      </c>
      <c r="K1898" s="143" t="str">
        <f t="shared" si="428"/>
        <v/>
      </c>
      <c r="L1898" s="143" t="str">
        <f t="shared" si="428"/>
        <v/>
      </c>
      <c r="M1898" s="143" t="str">
        <f t="shared" si="428"/>
        <v/>
      </c>
    </row>
    <row r="1899" spans="2:13" ht="12.75" customHeight="1" x14ac:dyDescent="0.2"/>
    <row r="1900" spans="2:13" ht="12.75" customHeight="1" x14ac:dyDescent="0.25">
      <c r="D1900" s="656" t="str">
        <f>IF('1. INTRO'!I$2="English","Co-funding need in average per year: ","Medfinansieringsbehov i genomsnitt per år: ")</f>
        <v xml:space="preserve">Co-funding need in average per year: </v>
      </c>
      <c r="E1900" s="807" t="str">
        <f>IF(M1888=0,"",M1888/(DATEDIF('2. START'!C$18,'2. START'!C$19,"d")/365))</f>
        <v/>
      </c>
      <c r="H1900" s="656" t="str">
        <f>IF('1. INTRO'!I$2="English","Co-funding need 1/3 of total: ","Medfinansieringsbehov 1/3 av totalt: ")</f>
        <v xml:space="preserve">Co-funding need 1/3 of total: </v>
      </c>
      <c r="I1900" s="807">
        <f>M1888/3</f>
        <v>0</v>
      </c>
      <c r="L1900" s="287" t="str">
        <f>IF('1. INTRO'!I$2="English","Co-funding need total: ","Medfinansieringsbehov totalt: ")</f>
        <v xml:space="preserve">Co-funding need total: </v>
      </c>
      <c r="M1900" s="807">
        <f>M1888</f>
        <v>0</v>
      </c>
    </row>
    <row r="1901" spans="2:13" ht="12.75" customHeight="1" x14ac:dyDescent="0.25">
      <c r="B1901" s="53" t="str">
        <f>IF('1. INTRO'!I$2="English","Co-funding sources","Medfinansieringskällor")</f>
        <v>Co-funding sources</v>
      </c>
    </row>
    <row r="1902" spans="2:13" ht="12.75" customHeight="1" x14ac:dyDescent="0.25">
      <c r="B1902" s="225"/>
      <c r="C1902" s="226"/>
      <c r="D1902" s="226"/>
      <c r="E1902" s="226"/>
      <c r="F1902" s="226"/>
      <c r="G1902" s="226"/>
      <c r="H1902" s="226"/>
      <c r="I1902" s="226"/>
      <c r="J1902" s="226"/>
      <c r="K1902" s="226"/>
      <c r="L1902" s="227"/>
      <c r="M1902" s="168">
        <f>SUM(C1902:L1902)</f>
        <v>0</v>
      </c>
    </row>
    <row r="1903" spans="2:13" ht="12.75" customHeight="1" x14ac:dyDescent="0.25">
      <c r="B1903" s="228"/>
      <c r="C1903" s="229"/>
      <c r="D1903" s="229"/>
      <c r="E1903" s="229"/>
      <c r="F1903" s="229"/>
      <c r="G1903" s="229"/>
      <c r="H1903" s="229"/>
      <c r="I1903" s="229"/>
      <c r="J1903" s="229"/>
      <c r="K1903" s="229"/>
      <c r="L1903" s="230"/>
      <c r="M1903" s="796">
        <f t="shared" ref="M1903:M1906" si="429">SUM(C1903:L1903)</f>
        <v>0</v>
      </c>
    </row>
    <row r="1904" spans="2:13" ht="12.75" customHeight="1" x14ac:dyDescent="0.25">
      <c r="B1904" s="231"/>
      <c r="C1904" s="232"/>
      <c r="D1904" s="232"/>
      <c r="E1904" s="232"/>
      <c r="F1904" s="232"/>
      <c r="G1904" s="232"/>
      <c r="H1904" s="232"/>
      <c r="I1904" s="232"/>
      <c r="J1904" s="232"/>
      <c r="K1904" s="232"/>
      <c r="L1904" s="233"/>
      <c r="M1904" s="117">
        <f t="shared" si="429"/>
        <v>0</v>
      </c>
    </row>
    <row r="1905" spans="2:13" ht="12.75" customHeight="1" x14ac:dyDescent="0.25">
      <c r="B1905" s="228"/>
      <c r="C1905" s="229"/>
      <c r="D1905" s="229"/>
      <c r="E1905" s="229"/>
      <c r="F1905" s="229"/>
      <c r="G1905" s="229"/>
      <c r="H1905" s="229"/>
      <c r="I1905" s="229"/>
      <c r="J1905" s="229"/>
      <c r="K1905" s="229"/>
      <c r="L1905" s="230"/>
      <c r="M1905" s="796">
        <f t="shared" si="429"/>
        <v>0</v>
      </c>
    </row>
    <row r="1906" spans="2:13" ht="12.75" customHeight="1" x14ac:dyDescent="0.25">
      <c r="B1906" s="93"/>
      <c r="C1906" s="232"/>
      <c r="D1906" s="232"/>
      <c r="E1906" s="232"/>
      <c r="F1906" s="232"/>
      <c r="G1906" s="232"/>
      <c r="H1906" s="232"/>
      <c r="I1906" s="232"/>
      <c r="J1906" s="232"/>
      <c r="K1906" s="232"/>
      <c r="L1906" s="233"/>
      <c r="M1906" s="117">
        <f t="shared" si="429"/>
        <v>0</v>
      </c>
    </row>
    <row r="1907" spans="2:13" ht="12.75" customHeight="1" x14ac:dyDescent="0.25">
      <c r="B1907" s="84" t="str">
        <f>IF('1. INTRO'!I$2="English","Total co-funding ","Total medfinansiering ")</f>
        <v xml:space="preserve">Total co-funding </v>
      </c>
      <c r="C1907" s="87">
        <f t="shared" ref="C1907:M1907" si="430">SUM(C1902:C1906)</f>
        <v>0</v>
      </c>
      <c r="D1907" s="87">
        <f t="shared" si="430"/>
        <v>0</v>
      </c>
      <c r="E1907" s="87">
        <f t="shared" si="430"/>
        <v>0</v>
      </c>
      <c r="F1907" s="87">
        <f t="shared" si="430"/>
        <v>0</v>
      </c>
      <c r="G1907" s="87">
        <f t="shared" si="430"/>
        <v>0</v>
      </c>
      <c r="H1907" s="87">
        <f t="shared" si="430"/>
        <v>0</v>
      </c>
      <c r="I1907" s="87">
        <f t="shared" si="430"/>
        <v>0</v>
      </c>
      <c r="J1907" s="87">
        <f t="shared" si="430"/>
        <v>0</v>
      </c>
      <c r="K1907" s="87">
        <f t="shared" si="430"/>
        <v>0</v>
      </c>
      <c r="L1907" s="87">
        <f t="shared" si="430"/>
        <v>0</v>
      </c>
      <c r="M1907" s="142">
        <f t="shared" si="430"/>
        <v>0</v>
      </c>
    </row>
    <row r="1908" spans="2:13" ht="12.75" customHeight="1" x14ac:dyDescent="0.2"/>
    <row r="1909" spans="2:13" ht="12.75" customHeight="1" x14ac:dyDescent="0.2">
      <c r="B1909" s="667" t="str">
        <f>IF('1. INTRO'!I$2="English","Calculation comments","Kalkylkommentarer")</f>
        <v>Calculation comments</v>
      </c>
    </row>
    <row r="1910" spans="2:13" ht="12.75" customHeight="1" x14ac:dyDescent="0.2">
      <c r="B1910" s="1142"/>
      <c r="C1910" s="1143"/>
      <c r="D1910" s="1143"/>
      <c r="E1910" s="1143"/>
      <c r="F1910" s="1143"/>
      <c r="G1910" s="1143"/>
      <c r="H1910" s="1143"/>
      <c r="I1910" s="1143"/>
      <c r="J1910" s="1143"/>
      <c r="K1910" s="1143"/>
      <c r="L1910" s="1143"/>
      <c r="M1910" s="1144"/>
    </row>
    <row r="1911" spans="2:13" ht="12.75" customHeight="1" x14ac:dyDescent="0.2">
      <c r="B1911" s="1145"/>
      <c r="C1911" s="1226"/>
      <c r="D1911" s="1226"/>
      <c r="E1911" s="1226"/>
      <c r="F1911" s="1226"/>
      <c r="G1911" s="1226"/>
      <c r="H1911" s="1226"/>
      <c r="I1911" s="1226"/>
      <c r="J1911" s="1226"/>
      <c r="K1911" s="1226"/>
      <c r="L1911" s="1226"/>
      <c r="M1911" s="1147"/>
    </row>
    <row r="1912" spans="2:13" ht="12.75" customHeight="1" x14ac:dyDescent="0.2">
      <c r="B1912" s="1145"/>
      <c r="C1912" s="1226"/>
      <c r="D1912" s="1226"/>
      <c r="E1912" s="1226"/>
      <c r="F1912" s="1226"/>
      <c r="G1912" s="1226"/>
      <c r="H1912" s="1226"/>
      <c r="I1912" s="1226"/>
      <c r="J1912" s="1226"/>
      <c r="K1912" s="1226"/>
      <c r="L1912" s="1226"/>
      <c r="M1912" s="1147"/>
    </row>
    <row r="1913" spans="2:13" ht="12.75" customHeight="1" x14ac:dyDescent="0.2">
      <c r="B1913" s="1145"/>
      <c r="C1913" s="1226"/>
      <c r="D1913" s="1226"/>
      <c r="E1913" s="1226"/>
      <c r="F1913" s="1226"/>
      <c r="G1913" s="1226"/>
      <c r="H1913" s="1226"/>
      <c r="I1913" s="1226"/>
      <c r="J1913" s="1226"/>
      <c r="K1913" s="1226"/>
      <c r="L1913" s="1226"/>
      <c r="M1913" s="1147"/>
    </row>
    <row r="1914" spans="2:13" ht="12.75" customHeight="1" x14ac:dyDescent="0.2">
      <c r="B1914" s="1148"/>
      <c r="C1914" s="1149"/>
      <c r="D1914" s="1149"/>
      <c r="E1914" s="1149"/>
      <c r="F1914" s="1149"/>
      <c r="G1914" s="1149"/>
      <c r="H1914" s="1149"/>
      <c r="I1914" s="1149"/>
      <c r="J1914" s="1149"/>
      <c r="K1914" s="1149"/>
      <c r="L1914" s="1149"/>
      <c r="M1914" s="1150"/>
    </row>
    <row r="1916" spans="2:13" s="3" customFormat="1" ht="12.75" customHeight="1" x14ac:dyDescent="0.25">
      <c r="B1916" s="313" t="str">
        <f>'3. PARTNER'!C$4</f>
        <v xml:space="preserve">Project: </v>
      </c>
      <c r="C1916" s="1062" t="str">
        <f>'3. PARTNER'!D$4</f>
        <v/>
      </c>
      <c r="D1916" s="1001"/>
      <c r="E1916" s="1001"/>
      <c r="F1916" s="1001"/>
      <c r="G1916" s="1001"/>
      <c r="H1916" s="1001"/>
      <c r="I1916" s="1001"/>
      <c r="J1916" s="1001"/>
      <c r="K1916" s="1001"/>
      <c r="L1916" s="1001"/>
      <c r="M1916" s="1001"/>
    </row>
    <row r="1917" spans="2:13" s="3" customFormat="1" ht="13.2" x14ac:dyDescent="0.25">
      <c r="B1917" s="313" t="str">
        <f>'3. PARTNER'!C$5</f>
        <v xml:space="preserve">Calculation for: </v>
      </c>
      <c r="C1917" s="1062" t="str">
        <f>'3. PARTNER'!D$5</f>
        <v>APPLICATION</v>
      </c>
      <c r="D1917" s="1001"/>
      <c r="E1917" s="268"/>
      <c r="F1917" s="268"/>
      <c r="G1917" s="268"/>
      <c r="H1917" s="268"/>
      <c r="I1917" s="268"/>
      <c r="J1917" s="268"/>
      <c r="K1917" s="268"/>
      <c r="L1917" s="268"/>
      <c r="M1917" s="268"/>
    </row>
    <row r="1918" spans="2:13" s="3" customFormat="1" ht="13.2" x14ac:dyDescent="0.25">
      <c r="B1918" s="35" t="str">
        <f>'3. PARTNER'!C$6</f>
        <v xml:space="preserve">Project leader: </v>
      </c>
      <c r="C1918" s="1062" t="str">
        <f>'3. PARTNER'!D$6</f>
        <v/>
      </c>
      <c r="D1918" s="1001"/>
      <c r="E1918" s="1001"/>
      <c r="F1918" s="1001"/>
      <c r="G1918" s="1001"/>
      <c r="H1918" s="1001"/>
      <c r="I1918" s="1001"/>
      <c r="J1918" s="1001"/>
      <c r="K1918" s="1001"/>
      <c r="L1918" s="1001"/>
      <c r="M1918" s="1001"/>
    </row>
    <row r="1919" spans="2:13" s="3" customFormat="1" ht="13.2" x14ac:dyDescent="0.25">
      <c r="B1919" s="313" t="str">
        <f>'5. PERSON'!B$7</f>
        <v xml:space="preserve">Amounts in: </v>
      </c>
      <c r="C1919" s="655" t="str">
        <f>'5. PERSON'!C$7</f>
        <v>SEK</v>
      </c>
      <c r="D1919" s="268"/>
      <c r="E1919" s="268"/>
      <c r="F1919" s="268"/>
      <c r="G1919" s="234"/>
      <c r="H1919" s="234"/>
      <c r="I1919" s="270"/>
      <c r="J1919" s="270"/>
      <c r="K1919" s="270"/>
      <c r="L1919" s="270"/>
      <c r="M1919" s="270"/>
    </row>
    <row r="1920" spans="2:13" s="3" customFormat="1" ht="13.2" x14ac:dyDescent="0.25">
      <c r="B1920" s="313"/>
      <c r="C1920" s="1053" t="str">
        <f>'3. PARTNER'!D$7</f>
        <v>Other basic data about the project is in sheet 2.</v>
      </c>
      <c r="D1920" s="1001"/>
      <c r="E1920" s="1001"/>
      <c r="F1920" s="1001"/>
      <c r="G1920" s="234"/>
      <c r="H1920" s="234"/>
      <c r="I1920" s="270"/>
      <c r="J1920" s="270"/>
      <c r="K1920" s="270"/>
      <c r="L1920" s="251" t="s">
        <v>4</v>
      </c>
      <c r="M1920" s="270"/>
    </row>
    <row r="1921" spans="2:15" ht="12.75" customHeight="1" x14ac:dyDescent="0.2">
      <c r="J1921" s="252" t="s">
        <v>322</v>
      </c>
      <c r="K1921" s="252" t="s">
        <v>323</v>
      </c>
      <c r="L1921" s="252" t="str">
        <f>IF('1. INTRO'!I$2="English","months","månader")</f>
        <v>months</v>
      </c>
    </row>
    <row r="1922" spans="2:15" s="3" customFormat="1" ht="13.8" x14ac:dyDescent="0.25">
      <c r="B1922" s="157" t="str">
        <f>IF('1. INTRO'!I$2="English","Project costs","Projektkostnader")</f>
        <v>Project costs</v>
      </c>
      <c r="C1922" s="668" t="str">
        <f>A51</f>
        <v>720VH</v>
      </c>
      <c r="D1922" s="1227" t="str">
        <f>B51</f>
        <v>Animal Biosciences</v>
      </c>
      <c r="E1922" s="1001"/>
      <c r="F1922" s="1004"/>
      <c r="G1922" s="37"/>
      <c r="H1922" s="37"/>
      <c r="I1922" s="37"/>
      <c r="J1922" s="643"/>
      <c r="K1922" s="643"/>
      <c r="L1922" s="642">
        <f>SUMIF('5. PERSON'!$B$17:$B$192,$C1922,'5. PERSON'!AE$17:AE$192)</f>
        <v>0</v>
      </c>
      <c r="M1922" s="680" t="s">
        <v>330</v>
      </c>
    </row>
    <row r="1923" spans="2:15" s="3" customFormat="1" ht="6" customHeight="1" x14ac:dyDescent="0.25">
      <c r="B1923" s="57"/>
      <c r="C1923" s="37"/>
      <c r="D1923" s="37"/>
      <c r="E1923" s="37"/>
      <c r="F1923" s="37"/>
      <c r="G1923" s="37"/>
      <c r="H1923" s="37"/>
      <c r="I1923" s="37"/>
      <c r="J1923" s="37"/>
      <c r="K1923" s="37"/>
      <c r="L1923" s="37"/>
      <c r="M1923" s="37"/>
    </row>
    <row r="1924" spans="2:15" s="3" customFormat="1" ht="13.2" x14ac:dyDescent="0.25">
      <c r="B1924" s="110" t="str">
        <f>IF('1. INTRO'!I$2="English","Costs to be covered by funding body","Kostnader att täckas av finansiär")</f>
        <v>Costs to be covered by funding body</v>
      </c>
      <c r="C1924" s="111">
        <f>'5. PERSON'!G$15</f>
        <v>1900</v>
      </c>
      <c r="D1924" s="111" t="str">
        <f>'5. PERSON'!H$15</f>
        <v/>
      </c>
      <c r="E1924" s="111" t="str">
        <f>'5. PERSON'!I$15</f>
        <v/>
      </c>
      <c r="F1924" s="111" t="str">
        <f>'5. PERSON'!J$15</f>
        <v/>
      </c>
      <c r="G1924" s="111" t="str">
        <f>'5. PERSON'!K$15</f>
        <v/>
      </c>
      <c r="H1924" s="111" t="str">
        <f>'5. PERSON'!L$15</f>
        <v/>
      </c>
      <c r="I1924" s="111" t="str">
        <f>'5. PERSON'!M$15</f>
        <v/>
      </c>
      <c r="J1924" s="111" t="str">
        <f>'5. PERSON'!N$15</f>
        <v/>
      </c>
      <c r="K1924" s="111" t="str">
        <f>'5. PERSON'!O$15</f>
        <v/>
      </c>
      <c r="L1924" s="111" t="str">
        <f>'5. PERSON'!P$15</f>
        <v/>
      </c>
      <c r="M1924" s="112" t="s">
        <v>2</v>
      </c>
    </row>
    <row r="1925" spans="2:15" s="3" customFormat="1" ht="12.75" customHeight="1" x14ac:dyDescent="0.25">
      <c r="B1925" s="791" t="str">
        <f>IF('1. INTRO'!I$2="English","Salary including social costs (LKP)","Lön inklusive LKP")</f>
        <v>Salary including social costs (LKP)</v>
      </c>
      <c r="C1925" s="792">
        <f>IF('2. START'!$C$14&gt;0,SUMIF('5. PERSON'!$B$17:$B$192,$C1922,'5. PERSON'!DN$17:DN$192),SUMIF('5. PERSON'!$B$17:$B$192,$C1922,'5. PERSON'!AT$17:AT$192))</f>
        <v>0</v>
      </c>
      <c r="D1925" s="792">
        <f>IF('2. START'!$C$14&gt;0,SUMIF('5. PERSON'!$B$17:$B$192,$C1922,'5. PERSON'!DO$17:DO$192),SUMIF('5. PERSON'!$B$17:$B$192,$C1922,'5. PERSON'!AU$17:AU$192))</f>
        <v>0</v>
      </c>
      <c r="E1925" s="792">
        <f>IF('2. START'!$C$14&gt;0,SUMIF('5. PERSON'!$B$17:$B$192,$C1922,'5. PERSON'!DP$17:DP$192),SUMIF('5. PERSON'!$B$17:$B$192,$C1922,'5. PERSON'!AV$17:AV$192))</f>
        <v>0</v>
      </c>
      <c r="F1925" s="792">
        <f>IF('2. START'!$C$14&gt;0,SUMIF('5. PERSON'!$B$17:$B$192,$C1922,'5. PERSON'!DQ$17:DQ$192),SUMIF('5. PERSON'!$B$17:$B$192,$C1922,'5. PERSON'!AW$17:AW$192))</f>
        <v>0</v>
      </c>
      <c r="G1925" s="792">
        <f>IF('2. START'!$C$14&gt;0,SUMIF('5. PERSON'!$B$17:$B$192,$C1922,'5. PERSON'!DR$17:DR$192),SUMIF('5. PERSON'!$B$17:$B$192,$C1922,'5. PERSON'!AX$17:AX$192))</f>
        <v>0</v>
      </c>
      <c r="H1925" s="792">
        <f>IF('2. START'!$C$14&gt;0,SUMIF('5. PERSON'!$B$17:$B$192,$C1922,'5. PERSON'!DS$17:DS$192),SUMIF('5. PERSON'!$B$17:$B$192,$C1922,'5. PERSON'!AY$17:AY$192))</f>
        <v>0</v>
      </c>
      <c r="I1925" s="792">
        <f>IF('2. START'!$C$14&gt;0,SUMIF('5. PERSON'!$B$17:$B$192,$C1922,'5. PERSON'!DT$17:DT$192),SUMIF('5. PERSON'!$B$17:$B$192,$C1922,'5. PERSON'!AZ$17:AZ$192))</f>
        <v>0</v>
      </c>
      <c r="J1925" s="792">
        <f>IF('2. START'!$C$14&gt;0,SUMIF('5. PERSON'!$B$17:$B$192,$C1922,'5. PERSON'!DU$17:DU$192),SUMIF('5. PERSON'!$B$17:$B$192,$C1922,'5. PERSON'!BA$17:BA$192))</f>
        <v>0</v>
      </c>
      <c r="K1925" s="792">
        <f>IF('2. START'!$C$14&gt;0,SUMIF('5. PERSON'!$B$17:$B$192,$C1922,'5. PERSON'!DV$17:DV$192),SUMIF('5. PERSON'!$B$17:$B$192,$C1922,'5. PERSON'!BB$17:BB$192))</f>
        <v>0</v>
      </c>
      <c r="L1925" s="792">
        <f>IF('2. START'!$C$14&gt;0,SUMIF('5. PERSON'!$B$17:$B$192,$C1922,'5. PERSON'!DW$17:DW$192),SUMIF('5. PERSON'!$B$17:$B$192,$C1922,'5. PERSON'!BC$17:BC$192))</f>
        <v>0</v>
      </c>
      <c r="M1925" s="793">
        <f t="shared" ref="M1925:M1930" si="431">SUM(C1925:L1925)</f>
        <v>0</v>
      </c>
      <c r="O1925" s="4"/>
    </row>
    <row r="1926" spans="2:15" s="3" customFormat="1" ht="12.75" customHeight="1" x14ac:dyDescent="0.25">
      <c r="B1926" s="80" t="str">
        <f>IF('1. INTRO'!I$2="English","Operating","Drift")</f>
        <v>Operating</v>
      </c>
      <c r="C1926" s="116">
        <f>SUMIF('6. OPERATION'!$B$17:$B$149,$C1922,'6. OPERATION'!W$17:W$149)</f>
        <v>0</v>
      </c>
      <c r="D1926" s="116">
        <f>SUMIF('6. OPERATION'!$B$17:$B$149,$C1922,'6. OPERATION'!X$17:X$149)</f>
        <v>0</v>
      </c>
      <c r="E1926" s="116">
        <f>SUMIF('6. OPERATION'!$B$17:$B$149,$C1922,'6. OPERATION'!Y$17:Y$149)</f>
        <v>0</v>
      </c>
      <c r="F1926" s="116">
        <f>SUMIF('6. OPERATION'!$B$17:$B$149,$C1922,'6. OPERATION'!Z$17:Z$149)</f>
        <v>0</v>
      </c>
      <c r="G1926" s="116">
        <f>SUMIF('6. OPERATION'!$B$17:$B$149,$C1922,'6. OPERATION'!AA$17:AA$149)</f>
        <v>0</v>
      </c>
      <c r="H1926" s="116">
        <f>SUMIF('6. OPERATION'!$B$17:$B$149,$C1922,'6. OPERATION'!AB$17:AB$149)</f>
        <v>0</v>
      </c>
      <c r="I1926" s="116">
        <f>SUMIF('6. OPERATION'!$B$17:$B$149,$C1922,'6. OPERATION'!AC$17:AC$149)</f>
        <v>0</v>
      </c>
      <c r="J1926" s="116">
        <f>SUMIF('6. OPERATION'!$B$17:$B$149,$C1922,'6. OPERATION'!AD$17:AD$149)</f>
        <v>0</v>
      </c>
      <c r="K1926" s="116">
        <f>SUMIF('6. OPERATION'!$B$17:$B$149,$C1922,'6. OPERATION'!AE$17:AE$149)</f>
        <v>0</v>
      </c>
      <c r="L1926" s="116">
        <f>SUMIF('6. OPERATION'!$B$17:$B$149,$C1922,'6. OPERATION'!AF$17:AF$149)</f>
        <v>0</v>
      </c>
      <c r="M1926" s="117">
        <f t="shared" si="431"/>
        <v>0</v>
      </c>
    </row>
    <row r="1927" spans="2:15" s="3" customFormat="1" ht="13.2" x14ac:dyDescent="0.25">
      <c r="B1927" s="794" t="str">
        <f>IF('1. INTRO'!I$2="English","Equipment","Utrustning")</f>
        <v>Equipment</v>
      </c>
      <c r="C1927" s="795">
        <f>SUMIF('7. INVEST'!$B$17:$B$49,$C1922,'7. INVEST'!W$17:W$49)</f>
        <v>0</v>
      </c>
      <c r="D1927" s="795">
        <f>SUMIF('7. INVEST'!$B$17:$B$49,$C1922,'7. INVEST'!X$17:X$49)</f>
        <v>0</v>
      </c>
      <c r="E1927" s="795">
        <f>SUMIF('7. INVEST'!$B$17:$B$49,$C1922,'7. INVEST'!Y$17:Y$49)</f>
        <v>0</v>
      </c>
      <c r="F1927" s="795">
        <f>SUMIF('7. INVEST'!$B$17:$B$49,$C1922,'7. INVEST'!Z$17:Z$49)</f>
        <v>0</v>
      </c>
      <c r="G1927" s="795">
        <f>SUMIF('7. INVEST'!$B$17:$B$49,$C1922,'7. INVEST'!AA$17:AA$49)</f>
        <v>0</v>
      </c>
      <c r="H1927" s="795">
        <f>SUMIF('7. INVEST'!$B$17:$B$49,$C1922,'7. INVEST'!AB$17:AB$49)</f>
        <v>0</v>
      </c>
      <c r="I1927" s="795">
        <f>SUMIF('7. INVEST'!$B$17:$B$49,$C1922,'7. INVEST'!AC$17:AC$49)</f>
        <v>0</v>
      </c>
      <c r="J1927" s="795">
        <f>SUMIF('7. INVEST'!$B$17:$B$49,$C1922,'7. INVEST'!AD$17:AD$49)</f>
        <v>0</v>
      </c>
      <c r="K1927" s="795">
        <f>SUMIF('7. INVEST'!$B$17:$B$49,$C1922,'7. INVEST'!AE$17:AE$49)</f>
        <v>0</v>
      </c>
      <c r="L1927" s="795">
        <f>SUMIF('7. INVEST'!$B$17:$B$49,$C1922,'7. INVEST'!AF$17:AF$49)</f>
        <v>0</v>
      </c>
      <c r="M1927" s="796">
        <f t="shared" si="431"/>
        <v>0</v>
      </c>
    </row>
    <row r="1928" spans="2:15" s="3" customFormat="1" ht="13.2" x14ac:dyDescent="0.25">
      <c r="B1928" s="121" t="str">
        <f>IF('1. INTRO'!I$2="English",(IF('2. START'!C$11="NO","Facility accepted as direct cost by funding body","Facility")),IF('2. START'!C$11="NO","Lokal accepterad som direkt kostnad av finansiär","Lokal"))</f>
        <v>Facility</v>
      </c>
      <c r="C1928" s="116">
        <f>IF('2. START'!$C$11="NO",SUMIF('8. FACILIT'!$B$18:$B$50,$C1922,'8. FACILIT'!T$18:T$50),SUMIF('5. PERSON'!$B$17:$B$192,$C1922,'5. PERSON'!CP$17:CP$192)+SUMIF('6. OPERATION'!$B$17:$B$149,$C1922,'6. OPERATION'!BS$17:BS$149)+SUMIF('8. FACILIT'!$B$18:$B$50,$C1922,'8. FACILIT'!T$18:T$50))</f>
        <v>0</v>
      </c>
      <c r="D1928" s="116">
        <f>IF('2. START'!$C$11="NO",SUMIF('8. FACILIT'!$B$18:$B$50,$C1922,'8. FACILIT'!U$18:U$50),SUMIF('5. PERSON'!$B$17:$B$192,$C1922,'5. PERSON'!CQ$17:CQ$192)+SUMIF('6. OPERATION'!$B$17:$B$149,$C1922,'6. OPERATION'!BT$17:BT$149)+SUMIF('8. FACILIT'!$B$18:$B$50,$C1922,'8. FACILIT'!U$18:U$50))</f>
        <v>0</v>
      </c>
      <c r="E1928" s="116">
        <f>IF('2. START'!$C$11="NO",SUMIF('8. FACILIT'!$B$18:$B$50,$C1922,'8. FACILIT'!V$18:V$50),SUMIF('5. PERSON'!$B$17:$B$192,$C1922,'5. PERSON'!CR$17:CR$192)+SUMIF('6. OPERATION'!$B$17:$B$149,$C1922,'6. OPERATION'!BU$17:BU$149)+SUMIF('8. FACILIT'!$B$18:$B$50,$C1922,'8. FACILIT'!V$18:V$50))</f>
        <v>0</v>
      </c>
      <c r="F1928" s="116">
        <f>IF('2. START'!$C$11="NO",SUMIF('8. FACILIT'!$B$18:$B$50,$C1922,'8. FACILIT'!W$18:W$50),SUMIF('5. PERSON'!$B$17:$B$192,$C1922,'5. PERSON'!CS$17:CS$192)+SUMIF('6. OPERATION'!$B$17:$B$149,$C1922,'6. OPERATION'!BV$17:BV$149)+SUMIF('8. FACILIT'!$B$18:$B$50,$C1922,'8. FACILIT'!W$18:W$50))</f>
        <v>0</v>
      </c>
      <c r="G1928" s="116">
        <f>IF('2. START'!$C$11="NO",SUMIF('8. FACILIT'!$B$18:$B$50,$C1922,'8. FACILIT'!X$18:X$50),SUMIF('5. PERSON'!$B$17:$B$192,$C1922,'5. PERSON'!CT$17:CT$192)+SUMIF('6. OPERATION'!$B$17:$B$149,$C1922,'6. OPERATION'!BW$17:BW$149)+SUMIF('8. FACILIT'!$B$18:$B$50,$C1922,'8. FACILIT'!X$18:X$50))</f>
        <v>0</v>
      </c>
      <c r="H1928" s="116">
        <f>IF('2. START'!$C$11="NO",SUMIF('8. FACILIT'!$B$18:$B$50,$C1922,'8. FACILIT'!Y$18:Y$50),SUMIF('5. PERSON'!$B$17:$B$192,$C1922,'5. PERSON'!CU$17:CU$192)+SUMIF('6. OPERATION'!$B$17:$B$149,$C1922,'6. OPERATION'!BX$17:BX$149)+SUMIF('8. FACILIT'!$B$18:$B$50,$C1922,'8. FACILIT'!Y$18:Y$50))</f>
        <v>0</v>
      </c>
      <c r="I1928" s="116">
        <f>IF('2. START'!$C$11="NO",SUMIF('8. FACILIT'!$B$18:$B$50,$C1922,'8. FACILIT'!Z$18:Z$50),SUMIF('5. PERSON'!$B$17:$B$192,$C1922,'5. PERSON'!CV$17:CV$192)+SUMIF('6. OPERATION'!$B$17:$B$149,$C1922,'6. OPERATION'!BY$17:BY$149)+SUMIF('8. FACILIT'!$B$18:$B$50,$C1922,'8. FACILIT'!Z$18:Z$50))</f>
        <v>0</v>
      </c>
      <c r="J1928" s="116">
        <f>IF('2. START'!$C$11="NO",SUMIF('8. FACILIT'!$B$18:$B$50,$C1922,'8. FACILIT'!AA$18:AA$50),SUMIF('5. PERSON'!$B$17:$B$192,$C1922,'5. PERSON'!CW$17:CW$192)+SUMIF('6. OPERATION'!$B$17:$B$149,$C1922,'6. OPERATION'!BZ$17:BZ$149)+SUMIF('8. FACILIT'!$B$18:$B$50,$C1922,'8. FACILIT'!AA$18:AA$50))</f>
        <v>0</v>
      </c>
      <c r="K1928" s="116">
        <f>IF('2. START'!$C$11="NO",SUMIF('8. FACILIT'!$B$18:$B$50,$C1922,'8. FACILIT'!AB$18:AB$50),SUMIF('5. PERSON'!$B$17:$B$192,$C1922,'5. PERSON'!CX$17:CX$192)+SUMIF('6. OPERATION'!$B$17:$B$149,$C1922,'6. OPERATION'!CA$17:CA$149)+SUMIF('8. FACILIT'!$B$18:$B$50,$C1922,'8. FACILIT'!AB$18:AB$50))</f>
        <v>0</v>
      </c>
      <c r="L1928" s="116">
        <f>IF('2. START'!$C$11="NO",SUMIF('8. FACILIT'!$B$18:$B$50,$C1922,'8. FACILIT'!AC$18:AC$50),SUMIF('5. PERSON'!$B$17:$B$192,$C1922,'5. PERSON'!CY$17:CY$192)+SUMIF('6. OPERATION'!$B$17:$B$149,$C1922,'6. OPERATION'!CB$17:CB$149)+SUMIF('8. FACILIT'!$B$18:$B$50,$C1922,'8. FACILIT'!AC$18:AC$50))</f>
        <v>0</v>
      </c>
      <c r="M1928" s="117">
        <f t="shared" si="431"/>
        <v>0</v>
      </c>
    </row>
    <row r="1929" spans="2:15" s="3" customFormat="1" ht="13.2" x14ac:dyDescent="0.25">
      <c r="B1929" s="797" t="str">
        <f>IF('1. INTRO'!I$2="English",(IF('2. START'!C$11="NO","Indirect and facility charge accepted as OH by funding body","Indirect")),IF('2. START'!C$11="NO","Indirekt och lokalpåslag accepterade som OH av finansiär","Indirekt"))</f>
        <v>Indirect</v>
      </c>
      <c r="C1929" s="798">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798">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798">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798">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798">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798">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798">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798">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798">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798">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796">
        <f t="shared" si="431"/>
        <v>0</v>
      </c>
    </row>
    <row r="1930" spans="2:15" s="3" customFormat="1" ht="13.2" x14ac:dyDescent="0.25">
      <c r="B1930" s="124" t="s">
        <v>113</v>
      </c>
      <c r="C1930" s="102">
        <f>SUM(C1925:C1929)</f>
        <v>0</v>
      </c>
      <c r="D1930" s="102">
        <f t="shared" ref="D1930:L1930" si="432">SUM(D1925:D1929)</f>
        <v>0</v>
      </c>
      <c r="E1930" s="102">
        <f t="shared" si="432"/>
        <v>0</v>
      </c>
      <c r="F1930" s="102">
        <f t="shared" si="432"/>
        <v>0</v>
      </c>
      <c r="G1930" s="102">
        <f t="shared" si="432"/>
        <v>0</v>
      </c>
      <c r="H1930" s="102">
        <f t="shared" si="432"/>
        <v>0</v>
      </c>
      <c r="I1930" s="102">
        <f t="shared" si="432"/>
        <v>0</v>
      </c>
      <c r="J1930" s="102">
        <f t="shared" si="432"/>
        <v>0</v>
      </c>
      <c r="K1930" s="102">
        <f t="shared" si="432"/>
        <v>0</v>
      </c>
      <c r="L1930" s="102">
        <f t="shared" si="432"/>
        <v>0</v>
      </c>
      <c r="M1930" s="125">
        <f t="shared" si="431"/>
        <v>0</v>
      </c>
    </row>
    <row r="1931" spans="2:15" s="3" customFormat="1" ht="6" customHeight="1" x14ac:dyDescent="0.25">
      <c r="B1931" s="126"/>
      <c r="C1931" s="127"/>
      <c r="D1931" s="127"/>
      <c r="E1931" s="127"/>
      <c r="F1931" s="127"/>
      <c r="G1931" s="127"/>
      <c r="H1931" s="127"/>
      <c r="I1931" s="127"/>
      <c r="J1931" s="127"/>
      <c r="K1931" s="127"/>
      <c r="L1931" s="127"/>
      <c r="M1931" s="128"/>
    </row>
    <row r="1932" spans="2:15" s="3" customFormat="1" ht="13.2" x14ac:dyDescent="0.25">
      <c r="B1932" s="129" t="str">
        <f>IF('1. INTRO'!I$2="English","Costs to be co-funded","Kostnader att medfinansiera")</f>
        <v>Costs to be co-funded</v>
      </c>
      <c r="C1932" s="86"/>
      <c r="D1932" s="86"/>
      <c r="E1932" s="86"/>
      <c r="F1932" s="86"/>
      <c r="G1932" s="86"/>
      <c r="H1932" s="86"/>
      <c r="I1932" s="86"/>
      <c r="J1932" s="86"/>
      <c r="K1932" s="86"/>
      <c r="L1932" s="86"/>
      <c r="M1932" s="130"/>
    </row>
    <row r="1933" spans="2:15" s="3" customFormat="1" ht="13.2" x14ac:dyDescent="0.25">
      <c r="B1933" s="799" t="str">
        <f>IF('1. INTRO'!I$2="English",(IF('2. START'!C$11="NO","Indirect and facility charge not accepted as OH by funding body","")),IF('2. START'!C$11="NO","Indirekt och lokalpåslag inte accepterade som OH av finansiär",""))</f>
        <v/>
      </c>
      <c r="C1933" s="800">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800">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800">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800">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800">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800">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800">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800">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800">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800">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793">
        <f t="shared" ref="M1933:M1939" si="433">SUM(C1933:L1933)</f>
        <v>0</v>
      </c>
    </row>
    <row r="1934" spans="2:15" s="3" customFormat="1" ht="12.75" customHeight="1" x14ac:dyDescent="0.25">
      <c r="B1934" s="132" t="str">
        <f>IF('1. INTRO'!I$2="English",(IF('2. START'!C$14&gt;0,"Social costs (LKP) not accepted by funding body","")),IF('2. START'!C$14&gt;0,"LKP som inte accepteras av finansiär",""))</f>
        <v/>
      </c>
      <c r="C1934" s="133">
        <f>IF('2. START'!$C$14&gt;0,SUMIF('5. PERSON'!$B$17:$B$192,$C1922,'5. PERSON'!AT$17:AT$192)-SUMIF('5. PERSON'!$B$17:$B$192,$C1922,'5. PERSON'!DN$17:DN$192),0)</f>
        <v>0</v>
      </c>
      <c r="D1934" s="133">
        <f>IF('2. START'!$C$14&gt;0,SUMIF('5. PERSON'!$B$17:$B$192,$C1922,'5. PERSON'!AU$17:AU$192)-SUMIF('5. PERSON'!$B$17:$B$192,$C1922,'5. PERSON'!DO$17:DO$192),0)</f>
        <v>0</v>
      </c>
      <c r="E1934" s="133">
        <f>IF('2. START'!$C$14&gt;0,SUMIF('5. PERSON'!$B$17:$B$192,$C1922,'5. PERSON'!AV$17:AV$192)-SUMIF('5. PERSON'!$B$17:$B$192,$C1922,'5. PERSON'!DP$17:DP$192),0)</f>
        <v>0</v>
      </c>
      <c r="F1934" s="133">
        <f>IF('2. START'!$C$14&gt;0,SUMIF('5. PERSON'!$B$17:$B$192,$C1922,'5. PERSON'!AW$17:AW$192)-SUMIF('5. PERSON'!$B$17:$B$192,$C1922,'5. PERSON'!DQ$17:DQ$192),0)</f>
        <v>0</v>
      </c>
      <c r="G1934" s="133">
        <f>IF('2. START'!$C$14&gt;0,SUMIF('5. PERSON'!$B$17:$B$192,$C1922,'5. PERSON'!AX$17:AX$192)-SUMIF('5. PERSON'!$B$17:$B$192,$C1922,'5. PERSON'!DR$17:DR$192),0)</f>
        <v>0</v>
      </c>
      <c r="H1934" s="133">
        <f>IF('2. START'!$C$14&gt;0,SUMIF('5. PERSON'!$B$17:$B$192,$C1922,'5. PERSON'!AY$17:AY$192)-SUMIF('5. PERSON'!$B$17:$B$192,$C1922,'5. PERSON'!DS$17:DS$192),0)</f>
        <v>0</v>
      </c>
      <c r="I1934" s="133">
        <f>IF('2. START'!$C$14&gt;0,SUMIF('5. PERSON'!$B$17:$B$192,$C1922,'5. PERSON'!AZ$17:AZ$192)-SUMIF('5. PERSON'!$B$17:$B$192,$C1922,'5. PERSON'!DT$17:DT$192),0)</f>
        <v>0</v>
      </c>
      <c r="J1934" s="133">
        <f>IF('2. START'!$C$14&gt;0,SUMIF('5. PERSON'!$B$17:$B$192,$C1922,'5. PERSON'!BA$17:BA$192)-SUMIF('5. PERSON'!$B$17:$B$192,$C1922,'5. PERSON'!DU$17:DU$192),0)</f>
        <v>0</v>
      </c>
      <c r="K1934" s="133">
        <f>IF('2. START'!$C$14&gt;0,SUMIF('5. PERSON'!$B$17:$B$192,$C1922,'5. PERSON'!BB$17:BB$192)-SUMIF('5. PERSON'!$B$17:$B$192,$C1922,'5. PERSON'!DV$17:DV$192),0)</f>
        <v>0</v>
      </c>
      <c r="L1934" s="133">
        <f>IF('2. START'!$C$14&gt;0,SUMIF('5. PERSON'!$B$17:$B$192,$C1922,'5. PERSON'!BC$17:BC$192)-SUMIF('5. PERSON'!$B$17:$B$192,$C1922,'5. PERSON'!DW$17:DW$192),0)</f>
        <v>0</v>
      </c>
      <c r="M1934" s="117">
        <f t="shared" si="433"/>
        <v>0</v>
      </c>
    </row>
    <row r="1935" spans="2:15" s="3" customFormat="1" ht="12.75" customHeight="1" x14ac:dyDescent="0.25">
      <c r="B1935" s="794" t="str">
        <f>IF('1. INTRO'!I$2="English",(IF('5. PERSON'!BP$193&gt;0,"Salary including social costs (LKP)","")),IF('5. PERSON'!BP$193&gt;0,"Lön inklusive LKP",""))</f>
        <v/>
      </c>
      <c r="C1935" s="801">
        <f>SUMIF('5. PERSON'!$B$17:$B$192,$C1922,'5. PERSON'!BF$17:BF$192)</f>
        <v>0</v>
      </c>
      <c r="D1935" s="801">
        <f>SUMIF('5. PERSON'!$B$17:$B$192,$C1922,'5. PERSON'!BG$17:BG$192)</f>
        <v>0</v>
      </c>
      <c r="E1935" s="801">
        <f>SUMIF('5. PERSON'!$B$17:$B$192,$C1922,'5. PERSON'!BH$17:BH$192)</f>
        <v>0</v>
      </c>
      <c r="F1935" s="801">
        <f>SUMIF('5. PERSON'!$B$17:$B$192,$C1922,'5. PERSON'!BI$17:BI$192)</f>
        <v>0</v>
      </c>
      <c r="G1935" s="801">
        <f>SUMIF('5. PERSON'!$B$17:$B$192,$C1922,'5. PERSON'!BJ$17:BJ$192)</f>
        <v>0</v>
      </c>
      <c r="H1935" s="801">
        <f>SUMIF('5. PERSON'!$B$17:$B$192,$C1922,'5. PERSON'!BK$17:BK$192)</f>
        <v>0</v>
      </c>
      <c r="I1935" s="801">
        <f>SUMIF('5. PERSON'!$B$17:$B$192,$C1922,'5. PERSON'!BL$17:BL$192)</f>
        <v>0</v>
      </c>
      <c r="J1935" s="801">
        <f>SUMIF('5. PERSON'!$B$17:$B$192,$C1922,'5. PERSON'!BM$17:BM$192)</f>
        <v>0</v>
      </c>
      <c r="K1935" s="801">
        <f>SUMIF('5. PERSON'!$B$17:$B$192,$C1922,'5. PERSON'!BN$17:BN$192)</f>
        <v>0</v>
      </c>
      <c r="L1935" s="801">
        <f>SUMIF('5. PERSON'!$B$17:$B$192,$C1922,'5. PERSON'!BO$17:BO$192)</f>
        <v>0</v>
      </c>
      <c r="M1935" s="796">
        <f t="shared" si="433"/>
        <v>0</v>
      </c>
    </row>
    <row r="1936" spans="2:15" s="3" customFormat="1" ht="13.2" x14ac:dyDescent="0.25">
      <c r="B1936" s="80" t="str">
        <f>IF('1. INTRO'!I$2="English",(IF('6. OPERATION'!AS$150&gt;0,"Operating","")),IF('6. OPERATION'!AS$150&gt;0,"Drift",""))</f>
        <v/>
      </c>
      <c r="C1936" s="135">
        <f>SUMIF('6. OPERATION'!$B$17:$B$149,$C1922,'6. OPERATION'!AI$17:AI$149)</f>
        <v>0</v>
      </c>
      <c r="D1936" s="135">
        <f>SUMIF('6. OPERATION'!$B$17:$B$149,$C1922,'6. OPERATION'!AJ$17:AJ$149)</f>
        <v>0</v>
      </c>
      <c r="E1936" s="135">
        <f>SUMIF('6. OPERATION'!$B$17:$B$149,$C1922,'6. OPERATION'!AK$17:AK$149)</f>
        <v>0</v>
      </c>
      <c r="F1936" s="135">
        <f>SUMIF('6. OPERATION'!$B$17:$B$149,$C1922,'6. OPERATION'!AL$17:AL$149)</f>
        <v>0</v>
      </c>
      <c r="G1936" s="135">
        <f>SUMIF('6. OPERATION'!$B$17:$B$149,$C1922,'6. OPERATION'!AM$17:AM$149)</f>
        <v>0</v>
      </c>
      <c r="H1936" s="135">
        <f>SUMIF('6. OPERATION'!$B$17:$B$149,$C1922,'6. OPERATION'!AN$17:AN$149)</f>
        <v>0</v>
      </c>
      <c r="I1936" s="135">
        <f>SUMIF('6. OPERATION'!$B$17:$B$149,$C1922,'6. OPERATION'!AO$17:AO$149)</f>
        <v>0</v>
      </c>
      <c r="J1936" s="135">
        <f>SUMIF('6. OPERATION'!$B$17:$B$149,$C1922,'6. OPERATION'!AP$17:AP$149)</f>
        <v>0</v>
      </c>
      <c r="K1936" s="135">
        <f>SUMIF('6. OPERATION'!$B$17:$B$149,$C1922,'6. OPERATION'!AQ$17:AQ$149)</f>
        <v>0</v>
      </c>
      <c r="L1936" s="135">
        <f>SUMIF('6. OPERATION'!$B$17:$B$149,$C1922,'6. OPERATION'!AR$17:AR$149)</f>
        <v>0</v>
      </c>
      <c r="M1936" s="117">
        <f t="shared" si="433"/>
        <v>0</v>
      </c>
    </row>
    <row r="1937" spans="2:15" s="3" customFormat="1" ht="13.2" x14ac:dyDescent="0.25">
      <c r="B1937" s="794" t="str">
        <f>IF('1. INTRO'!I$2="English",(IF('7. INVEST'!AS$50&gt;0,"Equipment","")),IF('7. INVEST'!AS$50&gt;0,"Utrustning",""))</f>
        <v/>
      </c>
      <c r="C1937" s="801">
        <f>SUMIF('7. INVEST'!$B$17:$B$49,$C1922,'7. INVEST'!AI$17:AI$49)</f>
        <v>0</v>
      </c>
      <c r="D1937" s="801">
        <f>SUMIF('7. INVEST'!$B$17:$B$49,$C1922,'7. INVEST'!AJ$17:AJ$49)</f>
        <v>0</v>
      </c>
      <c r="E1937" s="801">
        <f>SUMIF('7. INVEST'!$B$17:$B$49,$C1922,'7. INVEST'!AK$17:AK$49)</f>
        <v>0</v>
      </c>
      <c r="F1937" s="801">
        <f>SUMIF('7. INVEST'!$B$17:$B$49,$C1922,'7. INVEST'!AL$17:AL$49)</f>
        <v>0</v>
      </c>
      <c r="G1937" s="801">
        <f>SUMIF('7. INVEST'!$B$17:$B$49,$C1922,'7. INVEST'!AM$17:AM$49)</f>
        <v>0</v>
      </c>
      <c r="H1937" s="801">
        <f>SUMIF('7. INVEST'!$B$17:$B$49,$C1922,'7. INVEST'!AN$17:AN$49)</f>
        <v>0</v>
      </c>
      <c r="I1937" s="801">
        <f>SUMIF('7. INVEST'!$B$17:$B$49,$C1922,'7. INVEST'!AO$17:AO$49)</f>
        <v>0</v>
      </c>
      <c r="J1937" s="801">
        <f>SUMIF('7. INVEST'!$B$17:$B$49,$C1922,'7. INVEST'!AP$17:AP$49)</f>
        <v>0</v>
      </c>
      <c r="K1937" s="801">
        <f>SUMIF('7. INVEST'!$B$17:$B$49,$C1922,'7. INVEST'!AQ$17:AQ$49)</f>
        <v>0</v>
      </c>
      <c r="L1937" s="801">
        <f>SUMIF('7. INVEST'!$B$17:$B$49,$C1922,'7. INVEST'!AR$17:AR$49)</f>
        <v>0</v>
      </c>
      <c r="M1937" s="796">
        <f t="shared" si="433"/>
        <v>0</v>
      </c>
    </row>
    <row r="1938" spans="2:15" s="3" customFormat="1" ht="13.2" x14ac:dyDescent="0.25">
      <c r="B1938" s="121" t="str">
        <f>IF('1. INTRO'!I$2="English",(IF('8. FACILIT'!AP$51&gt;0,"Facility","")),IF('8. FACILIT'!AP$51&gt;0,"Lokal",""))</f>
        <v/>
      </c>
      <c r="C1938" s="135">
        <f>SUMIF('5. PERSON'!$B$17:$B$192,$C1922,'5. PERSON'!DB$17:DB$192)+SUMIF('6. OPERATION'!$B$17:$B$149,$C1922,'6. OPERATION'!CE$17:CE$149)+SUMIF('8. FACILIT'!$B$18:$B$50,$C1922,'8. FACILIT'!AF$18:AF$50)</f>
        <v>0</v>
      </c>
      <c r="D1938" s="135">
        <f>SUMIF('5. PERSON'!$B$17:$B$192,$C1922,'5. PERSON'!DC$17:DC$192)+SUMIF('6. OPERATION'!$B$17:$B$149,$C1922,'6. OPERATION'!CF$17:CF$149)+SUMIF('8. FACILIT'!$B$18:$B$50,$C1922,'8. FACILIT'!AG$18:AG$50)</f>
        <v>0</v>
      </c>
      <c r="E1938" s="135">
        <f>SUMIF('5. PERSON'!$B$17:$B$192,$C1922,'5. PERSON'!DD$17:DD$192)+SUMIF('6. OPERATION'!$B$17:$B$149,$C1922,'6. OPERATION'!CG$17:CG$149)+SUMIF('8. FACILIT'!$B$18:$B$50,$C1922,'8. FACILIT'!AH$18:AH$50)</f>
        <v>0</v>
      </c>
      <c r="F1938" s="135">
        <f>SUMIF('5. PERSON'!$B$17:$B$192,$C1922,'5. PERSON'!DE$17:DE$192)+SUMIF('6. OPERATION'!$B$17:$B$149,$C1922,'6. OPERATION'!CH$17:CH$149)+SUMIF('8. FACILIT'!$B$18:$B$50,$C1922,'8. FACILIT'!AI$18:AI$50)</f>
        <v>0</v>
      </c>
      <c r="G1938" s="135">
        <f>SUMIF('5. PERSON'!$B$17:$B$192,$C1922,'5. PERSON'!DF$17:DF$192)+SUMIF('6. OPERATION'!$B$17:$B$149,$C1922,'6. OPERATION'!CI$17:CI$149)+SUMIF('8. FACILIT'!$B$18:$B$50,$C1922,'8. FACILIT'!AJ$18:AJ$50)</f>
        <v>0</v>
      </c>
      <c r="H1938" s="135">
        <f>SUMIF('5. PERSON'!$B$17:$B$192,$C1922,'5. PERSON'!DG$17:DG$192)+SUMIF('6. OPERATION'!$B$17:$B$149,$C1922,'6. OPERATION'!CJ$17:CJ$149)+SUMIF('8. FACILIT'!$B$18:$B$50,$C1922,'8. FACILIT'!AK$18:AK$50)</f>
        <v>0</v>
      </c>
      <c r="I1938" s="135">
        <f>SUMIF('5. PERSON'!$B$17:$B$192,$C1922,'5. PERSON'!DH$17:DH$192)+SUMIF('6. OPERATION'!$B$17:$B$149,$C1922,'6. OPERATION'!CK$17:CK$149)+SUMIF('8. FACILIT'!$B$18:$B$50,$C1922,'8. FACILIT'!AL$18:AL$50)</f>
        <v>0</v>
      </c>
      <c r="J1938" s="135">
        <f>SUMIF('5. PERSON'!$B$17:$B$192,$C1922,'5. PERSON'!DI$17:DI$192)+SUMIF('6. OPERATION'!$B$17:$B$149,$C1922,'6. OPERATION'!CL$17:CL$149)+SUMIF('8. FACILIT'!$B$18:$B$50,$C1922,'8. FACILIT'!AM$18:AM$50)</f>
        <v>0</v>
      </c>
      <c r="K1938" s="135">
        <f>SUMIF('5. PERSON'!$B$17:$B$192,$C1922,'5. PERSON'!DJ$17:DJ$192)+SUMIF('6. OPERATION'!$B$17:$B$149,$C1922,'6. OPERATION'!CM$17:CM$149)+SUMIF('8. FACILIT'!$B$18:$B$50,$C1922,'8. FACILIT'!AN$18:AN$50)</f>
        <v>0</v>
      </c>
      <c r="L1938" s="135">
        <f>SUMIF('5. PERSON'!$B$17:$B$192,$C1922,'5. PERSON'!DK$17:DK$192)+SUMIF('6. OPERATION'!$B$17:$B$149,$C1922,'6. OPERATION'!CN$17:CN$149)+SUMIF('8. FACILIT'!$B$18:$B$50,$C1922,'8. FACILIT'!AO$18:AO$50)</f>
        <v>0</v>
      </c>
      <c r="M1938" s="117">
        <f t="shared" si="433"/>
        <v>0</v>
      </c>
    </row>
    <row r="1939" spans="2:15" s="1" customFormat="1" ht="13.2" x14ac:dyDescent="0.25">
      <c r="B1939" s="797" t="str">
        <f>IF('1. INTRO'!I$2="English",(IF(('5. PERSON'!CN$193+'6. OPERATION'!BQ$150)&gt;0,"Indirect","")),IF(('5. PERSON'!CN$193+'6. OPERATION'!BQ$150)&gt;0,"Indirekt",""))</f>
        <v/>
      </c>
      <c r="C1939" s="798">
        <f>SUMIF('5. PERSON'!$B$17:$B$192,$C1922,'5. PERSON'!CD$17:CD$192)+SUMIF('6. OPERATION'!$B$17:$B$149,$C1922,'6. OPERATION'!BG$17:BG$149)</f>
        <v>0</v>
      </c>
      <c r="D1939" s="798">
        <f>SUMIF('5. PERSON'!$B$17:$B$192,$C1922,'5. PERSON'!CE$17:CE$192)+SUMIF('6. OPERATION'!$B$17:$B$149,$C1922,'6. OPERATION'!BH$17:BH$149)</f>
        <v>0</v>
      </c>
      <c r="E1939" s="798">
        <f>SUMIF('5. PERSON'!$B$17:$B$192,$C1922,'5. PERSON'!CF$17:CF$192)+SUMIF('6. OPERATION'!$B$17:$B$149,$C1922,'6. OPERATION'!BI$17:BI$149)</f>
        <v>0</v>
      </c>
      <c r="F1939" s="798">
        <f>SUMIF('5. PERSON'!$B$17:$B$192,$C1922,'5. PERSON'!CG$17:CG$192)+SUMIF('6. OPERATION'!$B$17:$B$149,$C1922,'6. OPERATION'!BJ$17:BJ$149)</f>
        <v>0</v>
      </c>
      <c r="G1939" s="798">
        <f>SUMIF('5. PERSON'!$B$17:$B$192,$C1922,'5. PERSON'!CH$17:CH$192)+SUMIF('6. OPERATION'!$B$17:$B$149,$C1922,'6. OPERATION'!BK$17:BK$149)</f>
        <v>0</v>
      </c>
      <c r="H1939" s="798">
        <f>SUMIF('5. PERSON'!$B$17:$B$192,$C1922,'5. PERSON'!CI$17:CI$192)+SUMIF('6. OPERATION'!$B$17:$B$149,$C1922,'6. OPERATION'!BL$17:BL$149)</f>
        <v>0</v>
      </c>
      <c r="I1939" s="798">
        <f>SUMIF('5. PERSON'!$B$17:$B$192,$C1922,'5. PERSON'!CJ$17:CJ$192)+SUMIF('6. OPERATION'!$B$17:$B$149,$C1922,'6. OPERATION'!BM$17:BM$149)</f>
        <v>0</v>
      </c>
      <c r="J1939" s="798">
        <f>SUMIF('5. PERSON'!$B$17:$B$192,$C1922,'5. PERSON'!CK$17:CK$192)+SUMIF('6. OPERATION'!$B$17:$B$149,$C1922,'6. OPERATION'!BN$17:BN$149)</f>
        <v>0</v>
      </c>
      <c r="K1939" s="798">
        <f>SUMIF('5. PERSON'!$B$17:$B$192,$C1922,'5. PERSON'!CL$17:CL$192)+SUMIF('6. OPERATION'!$B$17:$B$149,$C1922,'6. OPERATION'!BO$17:BO$149)</f>
        <v>0</v>
      </c>
      <c r="L1939" s="798">
        <f>SUMIF('5. PERSON'!$B$17:$B$192,$C1922,'5. PERSON'!CM$17:CM$192)+SUMIF('6. OPERATION'!$B$17:$B$149,$C1922,'6. OPERATION'!BP$17:BP$149)</f>
        <v>0</v>
      </c>
      <c r="M1939" s="802">
        <f t="shared" si="433"/>
        <v>0</v>
      </c>
    </row>
    <row r="1940" spans="2:15" s="3" customFormat="1" ht="13.2" x14ac:dyDescent="0.25">
      <c r="B1940" s="124" t="s">
        <v>113</v>
      </c>
      <c r="C1940" s="102">
        <f>SUM(C1933:C1939)</f>
        <v>0</v>
      </c>
      <c r="D1940" s="102">
        <f t="shared" ref="D1940:M1940" si="434">SUM(D1933:D1939)</f>
        <v>0</v>
      </c>
      <c r="E1940" s="102">
        <f t="shared" si="434"/>
        <v>0</v>
      </c>
      <c r="F1940" s="102">
        <f t="shared" si="434"/>
        <v>0</v>
      </c>
      <c r="G1940" s="102">
        <f t="shared" si="434"/>
        <v>0</v>
      </c>
      <c r="H1940" s="102">
        <f t="shared" si="434"/>
        <v>0</v>
      </c>
      <c r="I1940" s="102">
        <f t="shared" si="434"/>
        <v>0</v>
      </c>
      <c r="J1940" s="102">
        <f t="shared" si="434"/>
        <v>0</v>
      </c>
      <c r="K1940" s="102">
        <f t="shared" si="434"/>
        <v>0</v>
      </c>
      <c r="L1940" s="102">
        <f t="shared" si="434"/>
        <v>0</v>
      </c>
      <c r="M1940" s="125">
        <f t="shared" si="434"/>
        <v>0</v>
      </c>
      <c r="N1940" s="23"/>
      <c r="O1940" s="23"/>
    </row>
    <row r="1941" spans="2:15" s="3" customFormat="1" ht="6" customHeight="1" x14ac:dyDescent="0.25">
      <c r="B1941" s="136"/>
      <c r="C1941" s="127"/>
      <c r="D1941" s="127"/>
      <c r="E1941" s="127"/>
      <c r="F1941" s="127"/>
      <c r="G1941" s="127"/>
      <c r="H1941" s="127"/>
      <c r="I1941" s="127"/>
      <c r="J1941" s="127"/>
      <c r="K1941" s="127"/>
      <c r="L1941" s="127"/>
      <c r="M1941" s="137"/>
    </row>
    <row r="1942" spans="2:15" s="3" customFormat="1" ht="13.2" x14ac:dyDescent="0.25">
      <c r="B1942" s="129" t="str">
        <f>IF('1. INTRO'!I$2="English","Full cost","Full kostnad")</f>
        <v>Full cost</v>
      </c>
      <c r="C1942" s="127"/>
      <c r="D1942" s="127"/>
      <c r="E1942" s="127"/>
      <c r="F1942" s="127"/>
      <c r="G1942" s="127"/>
      <c r="H1942" s="127"/>
      <c r="I1942" s="127"/>
      <c r="J1942" s="127"/>
      <c r="K1942" s="127"/>
      <c r="L1942" s="127"/>
      <c r="M1942" s="137"/>
    </row>
    <row r="1943" spans="2:15" s="3" customFormat="1" ht="13.2" x14ac:dyDescent="0.25">
      <c r="B1943" s="791" t="str">
        <f>IF('1. INTRO'!I$2="English","Salary including social costs (LKP)","Lön inklusive LKP")</f>
        <v>Salary including social costs (LKP)</v>
      </c>
      <c r="C1943" s="803">
        <f>C1925+C1934+C1935</f>
        <v>0</v>
      </c>
      <c r="D1943" s="803">
        <f t="shared" ref="D1943:L1943" si="435">D1925+D1934+D1935</f>
        <v>0</v>
      </c>
      <c r="E1943" s="803">
        <f t="shared" si="435"/>
        <v>0</v>
      </c>
      <c r="F1943" s="803">
        <f t="shared" si="435"/>
        <v>0</v>
      </c>
      <c r="G1943" s="803">
        <f t="shared" si="435"/>
        <v>0</v>
      </c>
      <c r="H1943" s="803">
        <f t="shared" si="435"/>
        <v>0</v>
      </c>
      <c r="I1943" s="803">
        <f t="shared" si="435"/>
        <v>0</v>
      </c>
      <c r="J1943" s="803">
        <f t="shared" si="435"/>
        <v>0</v>
      </c>
      <c r="K1943" s="803">
        <f t="shared" si="435"/>
        <v>0</v>
      </c>
      <c r="L1943" s="803">
        <f t="shared" si="435"/>
        <v>0</v>
      </c>
      <c r="M1943" s="793">
        <f>SUM(C1943:L1943)</f>
        <v>0</v>
      </c>
    </row>
    <row r="1944" spans="2:15" s="3" customFormat="1" ht="13.2" x14ac:dyDescent="0.25">
      <c r="B1944" s="80" t="str">
        <f>IF('1. INTRO'!I$2="English","Operating","Drift")</f>
        <v>Operating</v>
      </c>
      <c r="C1944" s="139">
        <f>C1926+C1936</f>
        <v>0</v>
      </c>
      <c r="D1944" s="139">
        <f t="shared" ref="D1944:L1944" si="436">D1926+D1936</f>
        <v>0</v>
      </c>
      <c r="E1944" s="139">
        <f t="shared" si="436"/>
        <v>0</v>
      </c>
      <c r="F1944" s="139">
        <f t="shared" si="436"/>
        <v>0</v>
      </c>
      <c r="G1944" s="139">
        <f t="shared" si="436"/>
        <v>0</v>
      </c>
      <c r="H1944" s="139">
        <f t="shared" si="436"/>
        <v>0</v>
      </c>
      <c r="I1944" s="139">
        <f t="shared" si="436"/>
        <v>0</v>
      </c>
      <c r="J1944" s="139">
        <f t="shared" si="436"/>
        <v>0</v>
      </c>
      <c r="K1944" s="139">
        <f t="shared" si="436"/>
        <v>0</v>
      </c>
      <c r="L1944" s="139">
        <f t="shared" si="436"/>
        <v>0</v>
      </c>
      <c r="M1944" s="117">
        <f>SUM(C1944:L1944)</f>
        <v>0</v>
      </c>
    </row>
    <row r="1945" spans="2:15" s="3" customFormat="1" ht="13.2" x14ac:dyDescent="0.25">
      <c r="B1945" s="794" t="str">
        <f>IF('1. INTRO'!I$2="English","Equipment","Utrustning")</f>
        <v>Equipment</v>
      </c>
      <c r="C1945" s="804">
        <f>C1927+C1937</f>
        <v>0</v>
      </c>
      <c r="D1945" s="804">
        <f t="shared" ref="D1945:L1945" si="437">D1927+D1937</f>
        <v>0</v>
      </c>
      <c r="E1945" s="804">
        <f t="shared" si="437"/>
        <v>0</v>
      </c>
      <c r="F1945" s="804">
        <f t="shared" si="437"/>
        <v>0</v>
      </c>
      <c r="G1945" s="804">
        <f t="shared" si="437"/>
        <v>0</v>
      </c>
      <c r="H1945" s="804">
        <f t="shared" si="437"/>
        <v>0</v>
      </c>
      <c r="I1945" s="804">
        <f t="shared" si="437"/>
        <v>0</v>
      </c>
      <c r="J1945" s="804">
        <f t="shared" si="437"/>
        <v>0</v>
      </c>
      <c r="K1945" s="804">
        <f t="shared" si="437"/>
        <v>0</v>
      </c>
      <c r="L1945" s="804">
        <f t="shared" si="437"/>
        <v>0</v>
      </c>
      <c r="M1945" s="796">
        <f>SUM(C1945:L1945)</f>
        <v>0</v>
      </c>
    </row>
    <row r="1946" spans="2:15" s="3" customFormat="1" ht="13.2" x14ac:dyDescent="0.25">
      <c r="B1946" s="80" t="str">
        <f>IF('1. INTRO'!I$2="English","Facility","Lokal")</f>
        <v>Facility</v>
      </c>
      <c r="C1946" s="139">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39">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39">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39">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39">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39">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39">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39">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39">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39">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117">
        <f>SUM(C1946:L1946)</f>
        <v>0</v>
      </c>
    </row>
    <row r="1947" spans="2:15" s="3" customFormat="1" ht="13.2" x14ac:dyDescent="0.25">
      <c r="B1947" s="805" t="str">
        <f>IF('1. INTRO'!I$2="English","Indirect","Indirekt")</f>
        <v>Indirect</v>
      </c>
      <c r="C1947" s="806">
        <f>SUMIF('5. PERSON'!$B$17:$B$192,$C1922,'5. PERSON'!BR$17:BR$192)+SUMIF('5. PERSON'!$B$17:$B$192,$C1922,'5. PERSON'!CD$17:CD$192)+SUMIF('6. OPERATION'!$B$17:$B$149,$C1922,'6. OPERATION'!AU$17:AU$149)+SUMIF('6. OPERATION'!$B$17:$B$149,$C1922,'6. OPERATION'!BG$17:BG$149)</f>
        <v>0</v>
      </c>
      <c r="D1947" s="806">
        <f>SUMIF('5. PERSON'!$B$17:$B$192,$C1922,'5. PERSON'!BS$17:BS$192)+SUMIF('5. PERSON'!$B$17:$B$192,$C1922,'5. PERSON'!CE$17:CE$192)+SUMIF('6. OPERATION'!$B$17:$B$149,$C1922,'6. OPERATION'!AV$17:AV$149)+SUMIF('6. OPERATION'!$B$17:$B$149,$C1922,'6. OPERATION'!BH$17:BH$149)</f>
        <v>0</v>
      </c>
      <c r="E1947" s="806">
        <f>SUMIF('5. PERSON'!$B$17:$B$192,$C1922,'5. PERSON'!BT$17:BT$192)+SUMIF('5. PERSON'!$B$17:$B$192,$C1922,'5. PERSON'!CF$17:CF$192)+SUMIF('6. OPERATION'!$B$17:$B$149,$C1922,'6. OPERATION'!AW$17:AW$149)+SUMIF('6. OPERATION'!$B$17:$B$149,$C1922,'6. OPERATION'!BI$17:BI$149)</f>
        <v>0</v>
      </c>
      <c r="F1947" s="806">
        <f>SUMIF('5. PERSON'!$B$17:$B$192,$C1922,'5. PERSON'!BU$17:BU$192)+SUMIF('5. PERSON'!$B$17:$B$192,$C1922,'5. PERSON'!CG$17:CG$192)+SUMIF('6. OPERATION'!$B$17:$B$149,$C1922,'6. OPERATION'!AX$17:AX$149)+SUMIF('6. OPERATION'!$B$17:$B$149,$C1922,'6. OPERATION'!BJ$17:BJ$149)</f>
        <v>0</v>
      </c>
      <c r="G1947" s="806">
        <f>SUMIF('5. PERSON'!$B$17:$B$192,$C1922,'5. PERSON'!BV$17:BV$192)+SUMIF('5. PERSON'!$B$17:$B$192,$C1922,'5. PERSON'!CH$17:CH$192)+SUMIF('6. OPERATION'!$B$17:$B$149,$C1922,'6. OPERATION'!AY$17:AY$149)+SUMIF('6. OPERATION'!$B$17:$B$149,$C1922,'6. OPERATION'!BK$17:BK$149)</f>
        <v>0</v>
      </c>
      <c r="H1947" s="806">
        <f>SUMIF('5. PERSON'!$B$17:$B$192,$C1922,'5. PERSON'!BW$17:BW$192)+SUMIF('5. PERSON'!$B$17:$B$192,$C1922,'5. PERSON'!CI$17:CI$192)+SUMIF('6. OPERATION'!$B$17:$B$149,$C1922,'6. OPERATION'!AZ$17:AZ$149)+SUMIF('6. OPERATION'!$B$17:$B$149,$C1922,'6. OPERATION'!BL$17:BL$149)</f>
        <v>0</v>
      </c>
      <c r="I1947" s="806">
        <f>SUMIF('5. PERSON'!$B$17:$B$192,$C1922,'5. PERSON'!BX$17:BX$192)+SUMIF('5. PERSON'!$B$17:$B$192,$C1922,'5. PERSON'!CJ$17:CJ$192)+SUMIF('6. OPERATION'!$B$17:$B$149,$C1922,'6. OPERATION'!BA$17:BA$149)+SUMIF('6. OPERATION'!$B$17:$B$149,$C1922,'6. OPERATION'!BM$17:BM$149)</f>
        <v>0</v>
      </c>
      <c r="J1947" s="806">
        <f>SUMIF('5. PERSON'!$B$17:$B$192,$C1922,'5. PERSON'!BY$17:BY$192)+SUMIF('5. PERSON'!$B$17:$B$192,$C1922,'5. PERSON'!CK$17:CK$192)+SUMIF('6. OPERATION'!$B$17:$B$149,$C1922,'6. OPERATION'!BB$17:BB$149)+SUMIF('6. OPERATION'!$B$17:$B$149,$C1922,'6. OPERATION'!BN$17:BN$149)</f>
        <v>0</v>
      </c>
      <c r="K1947" s="806">
        <f>SUMIF('5. PERSON'!$B$17:$B$192,$C1922,'5. PERSON'!BZ$17:BZ$192)+SUMIF('5. PERSON'!$B$17:$B$192,$C1922,'5. PERSON'!CL$17:CL$192)+SUMIF('6. OPERATION'!$B$17:$B$149,$C1922,'6. OPERATION'!BC$17:BC$149)+SUMIF('6. OPERATION'!$B$17:$B$149,$C1922,'6. OPERATION'!BO$17:BO$149)</f>
        <v>0</v>
      </c>
      <c r="L1947" s="806">
        <f>SUMIF('5. PERSON'!$B$17:$B$192,$C1922,'5. PERSON'!CA$17:CA$192)+SUMIF('5. PERSON'!$B$17:$B$192,$C1922,'5. PERSON'!CM$17:CM$192)+SUMIF('6. OPERATION'!$B$17:$B$149,$C1922,'6. OPERATION'!BD$17:BD$149)+SUMIF('6. OPERATION'!$B$17:$B$149,$C1922,'6. OPERATION'!BP$17:BP$149)</f>
        <v>0</v>
      </c>
      <c r="M1947" s="802">
        <f>SUM(C1947:L1947)</f>
        <v>0</v>
      </c>
    </row>
    <row r="1948" spans="2:15" s="3" customFormat="1" ht="13.2" x14ac:dyDescent="0.25">
      <c r="B1948" s="124" t="s">
        <v>113</v>
      </c>
      <c r="C1948" s="88">
        <f>SUM(C1943:C1947)</f>
        <v>0</v>
      </c>
      <c r="D1948" s="88">
        <f t="shared" ref="D1948:M1948" si="438">SUM(D1943:D1947)</f>
        <v>0</v>
      </c>
      <c r="E1948" s="88">
        <f t="shared" si="438"/>
        <v>0</v>
      </c>
      <c r="F1948" s="88">
        <f t="shared" si="438"/>
        <v>0</v>
      </c>
      <c r="G1948" s="88">
        <f t="shared" si="438"/>
        <v>0</v>
      </c>
      <c r="H1948" s="88">
        <f t="shared" si="438"/>
        <v>0</v>
      </c>
      <c r="I1948" s="88">
        <f t="shared" si="438"/>
        <v>0</v>
      </c>
      <c r="J1948" s="88">
        <f t="shared" si="438"/>
        <v>0</v>
      </c>
      <c r="K1948" s="88">
        <f t="shared" si="438"/>
        <v>0</v>
      </c>
      <c r="L1948" s="88">
        <f t="shared" si="438"/>
        <v>0</v>
      </c>
      <c r="M1948" s="142">
        <f t="shared" si="438"/>
        <v>0</v>
      </c>
    </row>
    <row r="1949" spans="2:15" s="3" customFormat="1" ht="13.2" x14ac:dyDescent="0.25">
      <c r="B1949" s="287"/>
      <c r="C1949" s="37"/>
      <c r="D1949" s="37"/>
      <c r="E1949" s="37"/>
      <c r="F1949" s="37"/>
      <c r="G1949" s="37"/>
      <c r="H1949" s="37"/>
      <c r="I1949" s="37"/>
      <c r="J1949" s="37"/>
      <c r="K1949" s="37"/>
      <c r="L1949" s="37"/>
      <c r="M1949" s="37"/>
    </row>
    <row r="1950" spans="2:15" s="3" customFormat="1" ht="12.75" customHeight="1" x14ac:dyDescent="0.25">
      <c r="B1950" s="656" t="str">
        <f>IF('1. INTRO'!I$2="English","Co-funding share in full cost ","Medfinansieringsandel i full kostnad ")</f>
        <v xml:space="preserve">Co-funding share in full cost </v>
      </c>
      <c r="C1950" s="143" t="str">
        <f t="shared" ref="C1950:M1950" si="439">IF(C1948&gt;0,C1940/C1948,"")</f>
        <v/>
      </c>
      <c r="D1950" s="143" t="str">
        <f t="shared" si="439"/>
        <v/>
      </c>
      <c r="E1950" s="143" t="str">
        <f t="shared" si="439"/>
        <v/>
      </c>
      <c r="F1950" s="143" t="str">
        <f t="shared" si="439"/>
        <v/>
      </c>
      <c r="G1950" s="143" t="str">
        <f t="shared" si="439"/>
        <v/>
      </c>
      <c r="H1950" s="143" t="str">
        <f t="shared" si="439"/>
        <v/>
      </c>
      <c r="I1950" s="143" t="str">
        <f t="shared" si="439"/>
        <v/>
      </c>
      <c r="J1950" s="143" t="str">
        <f t="shared" si="439"/>
        <v/>
      </c>
      <c r="K1950" s="143" t="str">
        <f t="shared" si="439"/>
        <v/>
      </c>
      <c r="L1950" s="143" t="str">
        <f t="shared" si="439"/>
        <v/>
      </c>
      <c r="M1950" s="143" t="str">
        <f t="shared" si="439"/>
        <v/>
      </c>
    </row>
    <row r="1951" spans="2:15" ht="12.75" customHeight="1" x14ac:dyDescent="0.2"/>
    <row r="1952" spans="2:15" ht="12.75" customHeight="1" x14ac:dyDescent="0.25">
      <c r="D1952" s="656" t="str">
        <f>IF('1. INTRO'!I$2="English","Co-funding need in average per year: ","Medfinansieringsbehov i genomsnitt per år: ")</f>
        <v xml:space="preserve">Co-funding need in average per year: </v>
      </c>
      <c r="E1952" s="807" t="str">
        <f>IF(M1940=0,"",M1940/(DATEDIF('2. START'!C$18,'2. START'!C$19,"d")/365))</f>
        <v/>
      </c>
      <c r="H1952" s="656" t="str">
        <f>IF('1. INTRO'!I$2="English","Co-funding need 1/3 of total: ","Medfinansieringsbehov 1/3 av totalt: ")</f>
        <v xml:space="preserve">Co-funding need 1/3 of total: </v>
      </c>
      <c r="I1952" s="807">
        <f>M1940/3</f>
        <v>0</v>
      </c>
      <c r="L1952" s="287" t="str">
        <f>IF('1. INTRO'!I$2="English","Co-funding need total: ","Medfinansieringsbehov totalt: ")</f>
        <v xml:space="preserve">Co-funding need total: </v>
      </c>
      <c r="M1952" s="807">
        <f>M1940</f>
        <v>0</v>
      </c>
    </row>
    <row r="1953" spans="2:13" ht="12.75" customHeight="1" x14ac:dyDescent="0.25">
      <c r="B1953" s="53" t="str">
        <f>IF('1. INTRO'!I$2="English","Co-funding sources","Medfinansieringskällor")</f>
        <v>Co-funding sources</v>
      </c>
    </row>
    <row r="1954" spans="2:13" ht="12.75" customHeight="1" x14ac:dyDescent="0.25">
      <c r="B1954" s="225"/>
      <c r="C1954" s="226"/>
      <c r="D1954" s="226"/>
      <c r="E1954" s="226"/>
      <c r="F1954" s="226"/>
      <c r="G1954" s="226"/>
      <c r="H1954" s="226"/>
      <c r="I1954" s="226"/>
      <c r="J1954" s="226"/>
      <c r="K1954" s="226"/>
      <c r="L1954" s="227"/>
      <c r="M1954" s="168">
        <f>SUM(C1954:L1954)</f>
        <v>0</v>
      </c>
    </row>
    <row r="1955" spans="2:13" ht="12.75" customHeight="1" x14ac:dyDescent="0.25">
      <c r="B1955" s="228"/>
      <c r="C1955" s="229"/>
      <c r="D1955" s="229"/>
      <c r="E1955" s="229"/>
      <c r="F1955" s="229"/>
      <c r="G1955" s="229"/>
      <c r="H1955" s="229"/>
      <c r="I1955" s="229"/>
      <c r="J1955" s="229"/>
      <c r="K1955" s="229"/>
      <c r="L1955" s="230"/>
      <c r="M1955" s="796">
        <f t="shared" ref="M1955:M1958" si="440">SUM(C1955:L1955)</f>
        <v>0</v>
      </c>
    </row>
    <row r="1956" spans="2:13" ht="12.75" customHeight="1" x14ac:dyDescent="0.25">
      <c r="B1956" s="231"/>
      <c r="C1956" s="232"/>
      <c r="D1956" s="232"/>
      <c r="E1956" s="232"/>
      <c r="F1956" s="232"/>
      <c r="G1956" s="232"/>
      <c r="H1956" s="232"/>
      <c r="I1956" s="232"/>
      <c r="J1956" s="232"/>
      <c r="K1956" s="232"/>
      <c r="L1956" s="233"/>
      <c r="M1956" s="117">
        <f t="shared" si="440"/>
        <v>0</v>
      </c>
    </row>
    <row r="1957" spans="2:13" ht="12.75" customHeight="1" x14ac:dyDescent="0.25">
      <c r="B1957" s="228"/>
      <c r="C1957" s="229"/>
      <c r="D1957" s="229"/>
      <c r="E1957" s="229"/>
      <c r="F1957" s="229"/>
      <c r="G1957" s="229"/>
      <c r="H1957" s="229"/>
      <c r="I1957" s="229"/>
      <c r="J1957" s="229"/>
      <c r="K1957" s="229"/>
      <c r="L1957" s="230"/>
      <c r="M1957" s="796">
        <f t="shared" si="440"/>
        <v>0</v>
      </c>
    </row>
    <row r="1958" spans="2:13" ht="12.75" customHeight="1" x14ac:dyDescent="0.25">
      <c r="B1958" s="93"/>
      <c r="C1958" s="232"/>
      <c r="D1958" s="232"/>
      <c r="E1958" s="232"/>
      <c r="F1958" s="232"/>
      <c r="G1958" s="232"/>
      <c r="H1958" s="232"/>
      <c r="I1958" s="232"/>
      <c r="J1958" s="232"/>
      <c r="K1958" s="232"/>
      <c r="L1958" s="233"/>
      <c r="M1958" s="117">
        <f t="shared" si="440"/>
        <v>0</v>
      </c>
    </row>
    <row r="1959" spans="2:13" ht="12.75" customHeight="1" x14ac:dyDescent="0.25">
      <c r="B1959" s="84" t="str">
        <f>IF('1. INTRO'!I$2="English","Total co-funding ","Total medfinansiering ")</f>
        <v xml:space="preserve">Total co-funding </v>
      </c>
      <c r="C1959" s="87">
        <f t="shared" ref="C1959:M1959" si="441">SUM(C1954:C1958)</f>
        <v>0</v>
      </c>
      <c r="D1959" s="87">
        <f t="shared" si="441"/>
        <v>0</v>
      </c>
      <c r="E1959" s="87">
        <f t="shared" si="441"/>
        <v>0</v>
      </c>
      <c r="F1959" s="87">
        <f t="shared" si="441"/>
        <v>0</v>
      </c>
      <c r="G1959" s="87">
        <f t="shared" si="441"/>
        <v>0</v>
      </c>
      <c r="H1959" s="87">
        <f t="shared" si="441"/>
        <v>0</v>
      </c>
      <c r="I1959" s="87">
        <f t="shared" si="441"/>
        <v>0</v>
      </c>
      <c r="J1959" s="87">
        <f t="shared" si="441"/>
        <v>0</v>
      </c>
      <c r="K1959" s="87">
        <f t="shared" si="441"/>
        <v>0</v>
      </c>
      <c r="L1959" s="87">
        <f t="shared" si="441"/>
        <v>0</v>
      </c>
      <c r="M1959" s="142">
        <f t="shared" si="441"/>
        <v>0</v>
      </c>
    </row>
    <row r="1960" spans="2:13" ht="12.75" customHeight="1" x14ac:dyDescent="0.2"/>
    <row r="1961" spans="2:13" ht="12.75" customHeight="1" x14ac:dyDescent="0.2">
      <c r="B1961" s="667" t="str">
        <f>IF('1. INTRO'!I$2="English","Calculation comments","Kalkylkommentarer")</f>
        <v>Calculation comments</v>
      </c>
    </row>
    <row r="1962" spans="2:13" ht="12.75" customHeight="1" x14ac:dyDescent="0.2">
      <c r="B1962" s="1142"/>
      <c r="C1962" s="1143"/>
      <c r="D1962" s="1143"/>
      <c r="E1962" s="1143"/>
      <c r="F1962" s="1143"/>
      <c r="G1962" s="1143"/>
      <c r="H1962" s="1143"/>
      <c r="I1962" s="1143"/>
      <c r="J1962" s="1143"/>
      <c r="K1962" s="1143"/>
      <c r="L1962" s="1143"/>
      <c r="M1962" s="1144"/>
    </row>
    <row r="1963" spans="2:13" ht="12.75" customHeight="1" x14ac:dyDescent="0.2">
      <c r="B1963" s="1145"/>
      <c r="C1963" s="1226"/>
      <c r="D1963" s="1226"/>
      <c r="E1963" s="1226"/>
      <c r="F1963" s="1226"/>
      <c r="G1963" s="1226"/>
      <c r="H1963" s="1226"/>
      <c r="I1963" s="1226"/>
      <c r="J1963" s="1226"/>
      <c r="K1963" s="1226"/>
      <c r="L1963" s="1226"/>
      <c r="M1963" s="1147"/>
    </row>
    <row r="1964" spans="2:13" ht="12.75" customHeight="1" x14ac:dyDescent="0.2">
      <c r="B1964" s="1145"/>
      <c r="C1964" s="1226"/>
      <c r="D1964" s="1226"/>
      <c r="E1964" s="1226"/>
      <c r="F1964" s="1226"/>
      <c r="G1964" s="1226"/>
      <c r="H1964" s="1226"/>
      <c r="I1964" s="1226"/>
      <c r="J1964" s="1226"/>
      <c r="K1964" s="1226"/>
      <c r="L1964" s="1226"/>
      <c r="M1964" s="1147"/>
    </row>
    <row r="1965" spans="2:13" ht="12.75" customHeight="1" x14ac:dyDescent="0.2">
      <c r="B1965" s="1145"/>
      <c r="C1965" s="1226"/>
      <c r="D1965" s="1226"/>
      <c r="E1965" s="1226"/>
      <c r="F1965" s="1226"/>
      <c r="G1965" s="1226"/>
      <c r="H1965" s="1226"/>
      <c r="I1965" s="1226"/>
      <c r="J1965" s="1226"/>
      <c r="K1965" s="1226"/>
      <c r="L1965" s="1226"/>
      <c r="M1965" s="1147"/>
    </row>
    <row r="1966" spans="2:13" ht="12.75" customHeight="1" x14ac:dyDescent="0.2">
      <c r="B1966" s="1148"/>
      <c r="C1966" s="1149"/>
      <c r="D1966" s="1149"/>
      <c r="E1966" s="1149"/>
      <c r="F1966" s="1149"/>
      <c r="G1966" s="1149"/>
      <c r="H1966" s="1149"/>
      <c r="I1966" s="1149"/>
      <c r="J1966" s="1149"/>
      <c r="K1966" s="1149"/>
      <c r="L1966" s="1149"/>
      <c r="M1966" s="1150"/>
    </row>
    <row r="1968" spans="2:13" s="3" customFormat="1" ht="12.75" customHeight="1" x14ac:dyDescent="0.25">
      <c r="B1968" s="313" t="str">
        <f>'3. PARTNER'!C$4</f>
        <v xml:space="preserve">Project: </v>
      </c>
      <c r="C1968" s="1062" t="str">
        <f>'3. PARTNER'!D$4</f>
        <v/>
      </c>
      <c r="D1968" s="1001"/>
      <c r="E1968" s="1001"/>
      <c r="F1968" s="1001"/>
      <c r="G1968" s="1001"/>
      <c r="H1968" s="1001"/>
      <c r="I1968" s="1001"/>
      <c r="J1968" s="1001"/>
      <c r="K1968" s="1001"/>
      <c r="L1968" s="1001"/>
      <c r="M1968" s="1001"/>
    </row>
    <row r="1969" spans="2:15" s="3" customFormat="1" ht="13.2" x14ac:dyDescent="0.25">
      <c r="B1969" s="313" t="str">
        <f>'3. PARTNER'!C$5</f>
        <v xml:space="preserve">Calculation for: </v>
      </c>
      <c r="C1969" s="1062" t="str">
        <f>'3. PARTNER'!D$5</f>
        <v>APPLICATION</v>
      </c>
      <c r="D1969" s="1001"/>
      <c r="E1969" s="268"/>
      <c r="F1969" s="268"/>
      <c r="G1969" s="268"/>
      <c r="H1969" s="268"/>
      <c r="I1969" s="268"/>
      <c r="J1969" s="268"/>
      <c r="K1969" s="268"/>
      <c r="L1969" s="268"/>
      <c r="M1969" s="268"/>
    </row>
    <row r="1970" spans="2:15" s="3" customFormat="1" ht="13.2" x14ac:dyDescent="0.25">
      <c r="B1970" s="35" t="str">
        <f>'3. PARTNER'!C$6</f>
        <v xml:space="preserve">Project leader: </v>
      </c>
      <c r="C1970" s="1062" t="str">
        <f>'3. PARTNER'!D$6</f>
        <v/>
      </c>
      <c r="D1970" s="1001"/>
      <c r="E1970" s="1001"/>
      <c r="F1970" s="1001"/>
      <c r="G1970" s="1001"/>
      <c r="H1970" s="1001"/>
      <c r="I1970" s="1001"/>
      <c r="J1970" s="1001"/>
      <c r="K1970" s="1001"/>
      <c r="L1970" s="1001"/>
      <c r="M1970" s="1001"/>
    </row>
    <row r="1971" spans="2:15" s="3" customFormat="1" ht="13.2" x14ac:dyDescent="0.25">
      <c r="B1971" s="313" t="str">
        <f>'5. PERSON'!B$7</f>
        <v xml:space="preserve">Amounts in: </v>
      </c>
      <c r="C1971" s="655" t="str">
        <f>'5. PERSON'!C$7</f>
        <v>SEK</v>
      </c>
      <c r="D1971" s="268"/>
      <c r="E1971" s="268"/>
      <c r="F1971" s="268"/>
      <c r="G1971" s="234"/>
      <c r="H1971" s="234"/>
      <c r="I1971" s="270"/>
      <c r="J1971" s="270"/>
      <c r="K1971" s="270"/>
      <c r="L1971" s="270"/>
      <c r="M1971" s="270"/>
    </row>
    <row r="1972" spans="2:15" s="3" customFormat="1" ht="13.2" x14ac:dyDescent="0.25">
      <c r="B1972" s="313"/>
      <c r="C1972" s="1053" t="str">
        <f>'3. PARTNER'!D$7</f>
        <v>Other basic data about the project is in sheet 2.</v>
      </c>
      <c r="D1972" s="1001"/>
      <c r="E1972" s="1001"/>
      <c r="F1972" s="1001"/>
      <c r="G1972" s="234"/>
      <c r="H1972" s="234"/>
      <c r="I1972" s="270"/>
      <c r="J1972" s="270"/>
      <c r="K1972" s="270"/>
      <c r="L1972" s="251" t="s">
        <v>4</v>
      </c>
      <c r="M1972" s="270"/>
    </row>
    <row r="1973" spans="2:15" ht="12.75" customHeight="1" x14ac:dyDescent="0.2">
      <c r="J1973" s="252" t="s">
        <v>322</v>
      </c>
      <c r="K1973" s="252" t="s">
        <v>323</v>
      </c>
      <c r="L1973" s="252" t="str">
        <f>IF('1. INTRO'!I$2="English","months","månader")</f>
        <v>months</v>
      </c>
    </row>
    <row r="1974" spans="2:15" s="3" customFormat="1" ht="13.8" x14ac:dyDescent="0.25">
      <c r="B1974" s="157" t="str">
        <f>IF('1. INTRO'!I$2="English","Project costs","Projektkostnader")</f>
        <v>Project costs</v>
      </c>
      <c r="C1974" s="668" t="str">
        <f>A52</f>
        <v>725VH</v>
      </c>
      <c r="D1974" s="1227" t="str">
        <f>B52</f>
        <v>Applied Animal Science and Welfare</v>
      </c>
      <c r="E1974" s="1001"/>
      <c r="F1974" s="1004"/>
      <c r="G1974" s="1004"/>
      <c r="H1974" s="37"/>
      <c r="I1974" s="37"/>
      <c r="J1974" s="643"/>
      <c r="K1974" s="643"/>
      <c r="L1974" s="642">
        <f>SUMIF('5. PERSON'!$B$17:$B$192,$C1974,'5. PERSON'!AE$17:AE$192)</f>
        <v>0</v>
      </c>
      <c r="M1974" s="680" t="s">
        <v>330</v>
      </c>
    </row>
    <row r="1975" spans="2:15" s="3" customFormat="1" ht="6" customHeight="1" x14ac:dyDescent="0.25">
      <c r="B1975" s="57"/>
      <c r="C1975" s="37"/>
      <c r="D1975" s="37"/>
      <c r="E1975" s="37"/>
      <c r="F1975" s="37"/>
      <c r="G1975" s="37"/>
      <c r="H1975" s="37"/>
      <c r="I1975" s="37"/>
      <c r="J1975" s="37"/>
      <c r="K1975" s="37"/>
      <c r="L1975" s="37"/>
      <c r="M1975" s="37"/>
    </row>
    <row r="1976" spans="2:15" s="3" customFormat="1" ht="13.2" x14ac:dyDescent="0.25">
      <c r="B1976" s="110" t="str">
        <f>IF('1. INTRO'!I$2="English","Costs to be covered by funding body","Kostnader att täckas av finansiär")</f>
        <v>Costs to be covered by funding body</v>
      </c>
      <c r="C1976" s="111">
        <f>'5. PERSON'!G$15</f>
        <v>1900</v>
      </c>
      <c r="D1976" s="111" t="str">
        <f>'5. PERSON'!H$15</f>
        <v/>
      </c>
      <c r="E1976" s="111" t="str">
        <f>'5. PERSON'!I$15</f>
        <v/>
      </c>
      <c r="F1976" s="111" t="str">
        <f>'5. PERSON'!J$15</f>
        <v/>
      </c>
      <c r="G1976" s="111" t="str">
        <f>'5. PERSON'!K$15</f>
        <v/>
      </c>
      <c r="H1976" s="111" t="str">
        <f>'5. PERSON'!L$15</f>
        <v/>
      </c>
      <c r="I1976" s="111" t="str">
        <f>'5. PERSON'!M$15</f>
        <v/>
      </c>
      <c r="J1976" s="111" t="str">
        <f>'5. PERSON'!N$15</f>
        <v/>
      </c>
      <c r="K1976" s="111" t="str">
        <f>'5. PERSON'!O$15</f>
        <v/>
      </c>
      <c r="L1976" s="111" t="str">
        <f>'5. PERSON'!P$15</f>
        <v/>
      </c>
      <c r="M1976" s="112" t="s">
        <v>2</v>
      </c>
    </row>
    <row r="1977" spans="2:15" s="3" customFormat="1" ht="12.75" customHeight="1" x14ac:dyDescent="0.25">
      <c r="B1977" s="791" t="str">
        <f>IF('1. INTRO'!I$2="English","Salary including social costs (LKP)","Lön inklusive LKP")</f>
        <v>Salary including social costs (LKP)</v>
      </c>
      <c r="C1977" s="792">
        <f>IF('2. START'!$C$14&gt;0,SUMIF('5. PERSON'!$B$17:$B$192,$C1974,'5. PERSON'!DN$17:DN$192),SUMIF('5. PERSON'!$B$17:$B$192,$C1974,'5. PERSON'!AT$17:AT$192))</f>
        <v>0</v>
      </c>
      <c r="D1977" s="792">
        <f>IF('2. START'!$C$14&gt;0,SUMIF('5. PERSON'!$B$17:$B$192,$C1974,'5. PERSON'!DO$17:DO$192),SUMIF('5. PERSON'!$B$17:$B$192,$C1974,'5. PERSON'!AU$17:AU$192))</f>
        <v>0</v>
      </c>
      <c r="E1977" s="792">
        <f>IF('2. START'!$C$14&gt;0,SUMIF('5. PERSON'!$B$17:$B$192,$C1974,'5. PERSON'!DP$17:DP$192),SUMIF('5. PERSON'!$B$17:$B$192,$C1974,'5. PERSON'!AV$17:AV$192))</f>
        <v>0</v>
      </c>
      <c r="F1977" s="792">
        <f>IF('2. START'!$C$14&gt;0,SUMIF('5. PERSON'!$B$17:$B$192,$C1974,'5. PERSON'!DQ$17:DQ$192),SUMIF('5. PERSON'!$B$17:$B$192,$C1974,'5. PERSON'!AW$17:AW$192))</f>
        <v>0</v>
      </c>
      <c r="G1977" s="792">
        <f>IF('2. START'!$C$14&gt;0,SUMIF('5. PERSON'!$B$17:$B$192,$C1974,'5. PERSON'!DR$17:DR$192),SUMIF('5. PERSON'!$B$17:$B$192,$C1974,'5. PERSON'!AX$17:AX$192))</f>
        <v>0</v>
      </c>
      <c r="H1977" s="792">
        <f>IF('2. START'!$C$14&gt;0,SUMIF('5. PERSON'!$B$17:$B$192,$C1974,'5. PERSON'!DS$17:DS$192),SUMIF('5. PERSON'!$B$17:$B$192,$C1974,'5. PERSON'!AY$17:AY$192))</f>
        <v>0</v>
      </c>
      <c r="I1977" s="792">
        <f>IF('2. START'!$C$14&gt;0,SUMIF('5. PERSON'!$B$17:$B$192,$C1974,'5. PERSON'!DT$17:DT$192),SUMIF('5. PERSON'!$B$17:$B$192,$C1974,'5. PERSON'!AZ$17:AZ$192))</f>
        <v>0</v>
      </c>
      <c r="J1977" s="792">
        <f>IF('2. START'!$C$14&gt;0,SUMIF('5. PERSON'!$B$17:$B$192,$C1974,'5. PERSON'!DU$17:DU$192),SUMIF('5. PERSON'!$B$17:$B$192,$C1974,'5. PERSON'!BA$17:BA$192))</f>
        <v>0</v>
      </c>
      <c r="K1977" s="792">
        <f>IF('2. START'!$C$14&gt;0,SUMIF('5. PERSON'!$B$17:$B$192,$C1974,'5. PERSON'!DV$17:DV$192),SUMIF('5. PERSON'!$B$17:$B$192,$C1974,'5. PERSON'!BB$17:BB$192))</f>
        <v>0</v>
      </c>
      <c r="L1977" s="792">
        <f>IF('2. START'!$C$14&gt;0,SUMIF('5. PERSON'!$B$17:$B$192,$C1974,'5. PERSON'!DW$17:DW$192),SUMIF('5. PERSON'!$B$17:$B$192,$C1974,'5. PERSON'!BC$17:BC$192))</f>
        <v>0</v>
      </c>
      <c r="M1977" s="793">
        <f t="shared" ref="M1977:M1982" si="442">SUM(C1977:L1977)</f>
        <v>0</v>
      </c>
      <c r="O1977" s="4"/>
    </row>
    <row r="1978" spans="2:15" s="3" customFormat="1" ht="12.75" customHeight="1" x14ac:dyDescent="0.25">
      <c r="B1978" s="80" t="str">
        <f>IF('1. INTRO'!I$2="English","Operating","Drift")</f>
        <v>Operating</v>
      </c>
      <c r="C1978" s="116">
        <f>SUMIF('6. OPERATION'!$B$17:$B$149,$C1974,'6. OPERATION'!W$17:W$149)</f>
        <v>0</v>
      </c>
      <c r="D1978" s="116">
        <f>SUMIF('6. OPERATION'!$B$17:$B$149,$C1974,'6. OPERATION'!X$17:X$149)</f>
        <v>0</v>
      </c>
      <c r="E1978" s="116">
        <f>SUMIF('6. OPERATION'!$B$17:$B$149,$C1974,'6. OPERATION'!Y$17:Y$149)</f>
        <v>0</v>
      </c>
      <c r="F1978" s="116">
        <f>SUMIF('6. OPERATION'!$B$17:$B$149,$C1974,'6. OPERATION'!Z$17:Z$149)</f>
        <v>0</v>
      </c>
      <c r="G1978" s="116">
        <f>SUMIF('6. OPERATION'!$B$17:$B$149,$C1974,'6. OPERATION'!AA$17:AA$149)</f>
        <v>0</v>
      </c>
      <c r="H1978" s="116">
        <f>SUMIF('6. OPERATION'!$B$17:$B$149,$C1974,'6. OPERATION'!AB$17:AB$149)</f>
        <v>0</v>
      </c>
      <c r="I1978" s="116">
        <f>SUMIF('6. OPERATION'!$B$17:$B$149,$C1974,'6. OPERATION'!AC$17:AC$149)</f>
        <v>0</v>
      </c>
      <c r="J1978" s="116">
        <f>SUMIF('6. OPERATION'!$B$17:$B$149,$C1974,'6. OPERATION'!AD$17:AD$149)</f>
        <v>0</v>
      </c>
      <c r="K1978" s="116">
        <f>SUMIF('6. OPERATION'!$B$17:$B$149,$C1974,'6. OPERATION'!AE$17:AE$149)</f>
        <v>0</v>
      </c>
      <c r="L1978" s="116">
        <f>SUMIF('6. OPERATION'!$B$17:$B$149,$C1974,'6. OPERATION'!AF$17:AF$149)</f>
        <v>0</v>
      </c>
      <c r="M1978" s="117">
        <f t="shared" si="442"/>
        <v>0</v>
      </c>
    </row>
    <row r="1979" spans="2:15" s="3" customFormat="1" ht="13.2" x14ac:dyDescent="0.25">
      <c r="B1979" s="794" t="str">
        <f>IF('1. INTRO'!I$2="English","Equipment","Utrustning")</f>
        <v>Equipment</v>
      </c>
      <c r="C1979" s="795">
        <f>SUMIF('7. INVEST'!$B$17:$B$49,$C1974,'7. INVEST'!W$17:W$49)</f>
        <v>0</v>
      </c>
      <c r="D1979" s="795">
        <f>SUMIF('7. INVEST'!$B$17:$B$49,$C1974,'7. INVEST'!X$17:X$49)</f>
        <v>0</v>
      </c>
      <c r="E1979" s="795">
        <f>SUMIF('7. INVEST'!$B$17:$B$49,$C1974,'7. INVEST'!Y$17:Y$49)</f>
        <v>0</v>
      </c>
      <c r="F1979" s="795">
        <f>SUMIF('7. INVEST'!$B$17:$B$49,$C1974,'7. INVEST'!Z$17:Z$49)</f>
        <v>0</v>
      </c>
      <c r="G1979" s="795">
        <f>SUMIF('7. INVEST'!$B$17:$B$49,$C1974,'7. INVEST'!AA$17:AA$49)</f>
        <v>0</v>
      </c>
      <c r="H1979" s="795">
        <f>SUMIF('7. INVEST'!$B$17:$B$49,$C1974,'7. INVEST'!AB$17:AB$49)</f>
        <v>0</v>
      </c>
      <c r="I1979" s="795">
        <f>SUMIF('7. INVEST'!$B$17:$B$49,$C1974,'7. INVEST'!AC$17:AC$49)</f>
        <v>0</v>
      </c>
      <c r="J1979" s="795">
        <f>SUMIF('7. INVEST'!$B$17:$B$49,$C1974,'7. INVEST'!AD$17:AD$49)</f>
        <v>0</v>
      </c>
      <c r="K1979" s="795">
        <f>SUMIF('7. INVEST'!$B$17:$B$49,$C1974,'7. INVEST'!AE$17:AE$49)</f>
        <v>0</v>
      </c>
      <c r="L1979" s="795">
        <f>SUMIF('7. INVEST'!$B$17:$B$49,$C1974,'7. INVEST'!AF$17:AF$49)</f>
        <v>0</v>
      </c>
      <c r="M1979" s="796">
        <f t="shared" si="442"/>
        <v>0</v>
      </c>
    </row>
    <row r="1980" spans="2:15" s="3" customFormat="1" ht="13.2" x14ac:dyDescent="0.25">
      <c r="B1980" s="121" t="str">
        <f>IF('1. INTRO'!I$2="English",(IF('2. START'!C$11="NO","Facility accepted as direct cost by funding body","Facility")),IF('2. START'!C$11="NO","Lokal accepterad som direkt kostnad av finansiär","Lokal"))</f>
        <v>Facility</v>
      </c>
      <c r="C1980" s="116">
        <f>IF('2. START'!$C$11="NO",SUMIF('8. FACILIT'!$B$18:$B$50,$C1974,'8. FACILIT'!T$18:T$50),SUMIF('5. PERSON'!$B$17:$B$192,$C1974,'5. PERSON'!CP$17:CP$192)+SUMIF('6. OPERATION'!$B$17:$B$149,$C1974,'6. OPERATION'!BS$17:BS$149)+SUMIF('8. FACILIT'!$B$18:$B$50,$C1974,'8. FACILIT'!T$18:T$50))</f>
        <v>0</v>
      </c>
      <c r="D1980" s="116">
        <f>IF('2. START'!$C$11="NO",SUMIF('8. FACILIT'!$B$18:$B$50,$C1974,'8. FACILIT'!U$18:U$50),SUMIF('5. PERSON'!$B$17:$B$192,$C1974,'5. PERSON'!CQ$17:CQ$192)+SUMIF('6. OPERATION'!$B$17:$B$149,$C1974,'6. OPERATION'!BT$17:BT$149)+SUMIF('8. FACILIT'!$B$18:$B$50,$C1974,'8. FACILIT'!U$18:U$50))</f>
        <v>0</v>
      </c>
      <c r="E1980" s="116">
        <f>IF('2. START'!$C$11="NO",SUMIF('8. FACILIT'!$B$18:$B$50,$C1974,'8. FACILIT'!V$18:V$50),SUMIF('5. PERSON'!$B$17:$B$192,$C1974,'5. PERSON'!CR$17:CR$192)+SUMIF('6. OPERATION'!$B$17:$B$149,$C1974,'6. OPERATION'!BU$17:BU$149)+SUMIF('8. FACILIT'!$B$18:$B$50,$C1974,'8. FACILIT'!V$18:V$50))</f>
        <v>0</v>
      </c>
      <c r="F1980" s="116">
        <f>IF('2. START'!$C$11="NO",SUMIF('8. FACILIT'!$B$18:$B$50,$C1974,'8. FACILIT'!W$18:W$50),SUMIF('5. PERSON'!$B$17:$B$192,$C1974,'5. PERSON'!CS$17:CS$192)+SUMIF('6. OPERATION'!$B$17:$B$149,$C1974,'6. OPERATION'!BV$17:BV$149)+SUMIF('8. FACILIT'!$B$18:$B$50,$C1974,'8. FACILIT'!W$18:W$50))</f>
        <v>0</v>
      </c>
      <c r="G1980" s="116">
        <f>IF('2. START'!$C$11="NO",SUMIF('8. FACILIT'!$B$18:$B$50,$C1974,'8. FACILIT'!X$18:X$50),SUMIF('5. PERSON'!$B$17:$B$192,$C1974,'5. PERSON'!CT$17:CT$192)+SUMIF('6. OPERATION'!$B$17:$B$149,$C1974,'6. OPERATION'!BW$17:BW$149)+SUMIF('8. FACILIT'!$B$18:$B$50,$C1974,'8. FACILIT'!X$18:X$50))</f>
        <v>0</v>
      </c>
      <c r="H1980" s="116">
        <f>IF('2. START'!$C$11="NO",SUMIF('8. FACILIT'!$B$18:$B$50,$C1974,'8. FACILIT'!Y$18:Y$50),SUMIF('5. PERSON'!$B$17:$B$192,$C1974,'5. PERSON'!CU$17:CU$192)+SUMIF('6. OPERATION'!$B$17:$B$149,$C1974,'6. OPERATION'!BX$17:BX$149)+SUMIF('8. FACILIT'!$B$18:$B$50,$C1974,'8. FACILIT'!Y$18:Y$50))</f>
        <v>0</v>
      </c>
      <c r="I1980" s="116">
        <f>IF('2. START'!$C$11="NO",SUMIF('8. FACILIT'!$B$18:$B$50,$C1974,'8. FACILIT'!Z$18:Z$50),SUMIF('5. PERSON'!$B$17:$B$192,$C1974,'5. PERSON'!CV$17:CV$192)+SUMIF('6. OPERATION'!$B$17:$B$149,$C1974,'6. OPERATION'!BY$17:BY$149)+SUMIF('8. FACILIT'!$B$18:$B$50,$C1974,'8. FACILIT'!Z$18:Z$50))</f>
        <v>0</v>
      </c>
      <c r="J1980" s="116">
        <f>IF('2. START'!$C$11="NO",SUMIF('8. FACILIT'!$B$18:$B$50,$C1974,'8. FACILIT'!AA$18:AA$50),SUMIF('5. PERSON'!$B$17:$B$192,$C1974,'5. PERSON'!CW$17:CW$192)+SUMIF('6. OPERATION'!$B$17:$B$149,$C1974,'6. OPERATION'!BZ$17:BZ$149)+SUMIF('8. FACILIT'!$B$18:$B$50,$C1974,'8. FACILIT'!AA$18:AA$50))</f>
        <v>0</v>
      </c>
      <c r="K1980" s="116">
        <f>IF('2. START'!$C$11="NO",SUMIF('8. FACILIT'!$B$18:$B$50,$C1974,'8. FACILIT'!AB$18:AB$50),SUMIF('5. PERSON'!$B$17:$B$192,$C1974,'5. PERSON'!CX$17:CX$192)+SUMIF('6. OPERATION'!$B$17:$B$149,$C1974,'6. OPERATION'!CA$17:CA$149)+SUMIF('8. FACILIT'!$B$18:$B$50,$C1974,'8. FACILIT'!AB$18:AB$50))</f>
        <v>0</v>
      </c>
      <c r="L1980" s="116">
        <f>IF('2. START'!$C$11="NO",SUMIF('8. FACILIT'!$B$18:$B$50,$C1974,'8. FACILIT'!AC$18:AC$50),SUMIF('5. PERSON'!$B$17:$B$192,$C1974,'5. PERSON'!CY$17:CY$192)+SUMIF('6. OPERATION'!$B$17:$B$149,$C1974,'6. OPERATION'!CB$17:CB$149)+SUMIF('8. FACILIT'!$B$18:$B$50,$C1974,'8. FACILIT'!AC$18:AC$50))</f>
        <v>0</v>
      </c>
      <c r="M1980" s="117">
        <f t="shared" si="442"/>
        <v>0</v>
      </c>
    </row>
    <row r="1981" spans="2:15" s="3" customFormat="1" ht="13.2" x14ac:dyDescent="0.25">
      <c r="B1981" s="797" t="str">
        <f>IF('1. INTRO'!I$2="English",(IF('2. START'!C$11="NO","Indirect and facility charge accepted as OH by funding body","Indirect")),IF('2. START'!C$11="NO","Indirekt och lokalpåslag accepterade som OH av finansiär","Indirekt"))</f>
        <v>Indirect</v>
      </c>
      <c r="C1981" s="798">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0</v>
      </c>
      <c r="D1981" s="798">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0</v>
      </c>
      <c r="E1981" s="798">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0</v>
      </c>
      <c r="F1981" s="798">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0</v>
      </c>
      <c r="G1981" s="798">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0</v>
      </c>
      <c r="H1981" s="798">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798">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798">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798">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798">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796">
        <f t="shared" si="442"/>
        <v>0</v>
      </c>
    </row>
    <row r="1982" spans="2:15" s="3" customFormat="1" ht="13.2" x14ac:dyDescent="0.25">
      <c r="B1982" s="124" t="s">
        <v>113</v>
      </c>
      <c r="C1982" s="102">
        <f>SUM(C1977:C1981)</f>
        <v>0</v>
      </c>
      <c r="D1982" s="102">
        <f t="shared" ref="D1982:L1982" si="443">SUM(D1977:D1981)</f>
        <v>0</v>
      </c>
      <c r="E1982" s="102">
        <f t="shared" si="443"/>
        <v>0</v>
      </c>
      <c r="F1982" s="102">
        <f t="shared" si="443"/>
        <v>0</v>
      </c>
      <c r="G1982" s="102">
        <f t="shared" si="443"/>
        <v>0</v>
      </c>
      <c r="H1982" s="102">
        <f t="shared" si="443"/>
        <v>0</v>
      </c>
      <c r="I1982" s="102">
        <f t="shared" si="443"/>
        <v>0</v>
      </c>
      <c r="J1982" s="102">
        <f t="shared" si="443"/>
        <v>0</v>
      </c>
      <c r="K1982" s="102">
        <f t="shared" si="443"/>
        <v>0</v>
      </c>
      <c r="L1982" s="102">
        <f t="shared" si="443"/>
        <v>0</v>
      </c>
      <c r="M1982" s="125">
        <f t="shared" si="442"/>
        <v>0</v>
      </c>
    </row>
    <row r="1983" spans="2:15" s="3" customFormat="1" ht="6" customHeight="1" x14ac:dyDescent="0.25">
      <c r="B1983" s="126"/>
      <c r="C1983" s="127"/>
      <c r="D1983" s="127"/>
      <c r="E1983" s="127"/>
      <c r="F1983" s="127"/>
      <c r="G1983" s="127"/>
      <c r="H1983" s="127"/>
      <c r="I1983" s="127"/>
      <c r="J1983" s="127"/>
      <c r="K1983" s="127"/>
      <c r="L1983" s="127"/>
      <c r="M1983" s="128"/>
    </row>
    <row r="1984" spans="2:15" s="3" customFormat="1" ht="13.2" x14ac:dyDescent="0.25">
      <c r="B1984" s="129" t="str">
        <f>IF('1. INTRO'!I$2="English","Costs to be co-funded","Kostnader att medfinansiera")</f>
        <v>Costs to be co-funded</v>
      </c>
      <c r="C1984" s="86"/>
      <c r="D1984" s="86"/>
      <c r="E1984" s="86"/>
      <c r="F1984" s="86"/>
      <c r="G1984" s="86"/>
      <c r="H1984" s="86"/>
      <c r="I1984" s="86"/>
      <c r="J1984" s="86"/>
      <c r="K1984" s="86"/>
      <c r="L1984" s="86"/>
      <c r="M1984" s="130"/>
    </row>
    <row r="1985" spans="2:15" s="3" customFormat="1" ht="13.2" x14ac:dyDescent="0.25">
      <c r="B1985" s="799" t="str">
        <f>IF('1. INTRO'!I$2="English",(IF('2. START'!C$11="NO","Indirect and facility charge not accepted as OH by funding body","")),IF('2. START'!C$11="NO","Indirekt och lokalpåslag inte accepterade som OH av finansiär",""))</f>
        <v/>
      </c>
      <c r="C1985" s="800">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0</v>
      </c>
      <c r="D1985" s="800">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0</v>
      </c>
      <c r="E1985" s="800">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0</v>
      </c>
      <c r="F1985" s="800">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0</v>
      </c>
      <c r="G1985" s="800">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0</v>
      </c>
      <c r="H1985" s="800">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800">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800">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800">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800">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793">
        <f t="shared" ref="M1985:M1991" si="444">SUM(C1985:L1985)</f>
        <v>0</v>
      </c>
    </row>
    <row r="1986" spans="2:15" s="3" customFormat="1" ht="12.75" customHeight="1" x14ac:dyDescent="0.25">
      <c r="B1986" s="132" t="str">
        <f>IF('1. INTRO'!I$2="English",(IF('2. START'!C$14&gt;0,"Social costs (LKP) not accepted by funding body","")),IF('2. START'!C$14&gt;0,"LKP som inte accepteras av finansiär",""))</f>
        <v/>
      </c>
      <c r="C1986" s="133">
        <f>IF('2. START'!$C$14&gt;0,SUMIF('5. PERSON'!$B$17:$B$192,$C1974,'5. PERSON'!AT$17:AT$192)-SUMIF('5. PERSON'!$B$17:$B$192,$C1974,'5. PERSON'!DN$17:DN$192),0)</f>
        <v>0</v>
      </c>
      <c r="D1986" s="133">
        <f>IF('2. START'!$C$14&gt;0,SUMIF('5. PERSON'!$B$17:$B$192,$C1974,'5. PERSON'!AU$17:AU$192)-SUMIF('5. PERSON'!$B$17:$B$192,$C1974,'5. PERSON'!DO$17:DO$192),0)</f>
        <v>0</v>
      </c>
      <c r="E1986" s="133">
        <f>IF('2. START'!$C$14&gt;0,SUMIF('5. PERSON'!$B$17:$B$192,$C1974,'5. PERSON'!AV$17:AV$192)-SUMIF('5. PERSON'!$B$17:$B$192,$C1974,'5. PERSON'!DP$17:DP$192),0)</f>
        <v>0</v>
      </c>
      <c r="F1986" s="133">
        <f>IF('2. START'!$C$14&gt;0,SUMIF('5. PERSON'!$B$17:$B$192,$C1974,'5. PERSON'!AW$17:AW$192)-SUMIF('5. PERSON'!$B$17:$B$192,$C1974,'5. PERSON'!DQ$17:DQ$192),0)</f>
        <v>0</v>
      </c>
      <c r="G1986" s="133">
        <f>IF('2. START'!$C$14&gt;0,SUMIF('5. PERSON'!$B$17:$B$192,$C1974,'5. PERSON'!AX$17:AX$192)-SUMIF('5. PERSON'!$B$17:$B$192,$C1974,'5. PERSON'!DR$17:DR$192),0)</f>
        <v>0</v>
      </c>
      <c r="H1986" s="133">
        <f>IF('2. START'!$C$14&gt;0,SUMIF('5. PERSON'!$B$17:$B$192,$C1974,'5. PERSON'!AY$17:AY$192)-SUMIF('5. PERSON'!$B$17:$B$192,$C1974,'5. PERSON'!DS$17:DS$192),0)</f>
        <v>0</v>
      </c>
      <c r="I1986" s="133">
        <f>IF('2. START'!$C$14&gt;0,SUMIF('5. PERSON'!$B$17:$B$192,$C1974,'5. PERSON'!AZ$17:AZ$192)-SUMIF('5. PERSON'!$B$17:$B$192,$C1974,'5. PERSON'!DT$17:DT$192),0)</f>
        <v>0</v>
      </c>
      <c r="J1986" s="133">
        <f>IF('2. START'!$C$14&gt;0,SUMIF('5. PERSON'!$B$17:$B$192,$C1974,'5. PERSON'!BA$17:BA$192)-SUMIF('5. PERSON'!$B$17:$B$192,$C1974,'5. PERSON'!DU$17:DU$192),0)</f>
        <v>0</v>
      </c>
      <c r="K1986" s="133">
        <f>IF('2. START'!$C$14&gt;0,SUMIF('5. PERSON'!$B$17:$B$192,$C1974,'5. PERSON'!BB$17:BB$192)-SUMIF('5. PERSON'!$B$17:$B$192,$C1974,'5. PERSON'!DV$17:DV$192),0)</f>
        <v>0</v>
      </c>
      <c r="L1986" s="133">
        <f>IF('2. START'!$C$14&gt;0,SUMIF('5. PERSON'!$B$17:$B$192,$C1974,'5. PERSON'!BC$17:BC$192)-SUMIF('5. PERSON'!$B$17:$B$192,$C1974,'5. PERSON'!DW$17:DW$192),0)</f>
        <v>0</v>
      </c>
      <c r="M1986" s="117">
        <f t="shared" si="444"/>
        <v>0</v>
      </c>
    </row>
    <row r="1987" spans="2:15" s="3" customFormat="1" ht="12.75" customHeight="1" x14ac:dyDescent="0.25">
      <c r="B1987" s="794" t="str">
        <f>IF('1. INTRO'!I$2="English",(IF('5. PERSON'!BP$193&gt;0,"Salary including social costs (LKP)","")),IF('5. PERSON'!BP$193&gt;0,"Lön inklusive LKP",""))</f>
        <v/>
      </c>
      <c r="C1987" s="801">
        <f>SUMIF('5. PERSON'!$B$17:$B$192,$C1974,'5. PERSON'!BF$17:BF$192)</f>
        <v>0</v>
      </c>
      <c r="D1987" s="801">
        <f>SUMIF('5. PERSON'!$B$17:$B$192,$C1974,'5. PERSON'!BG$17:BG$192)</f>
        <v>0</v>
      </c>
      <c r="E1987" s="801">
        <f>SUMIF('5. PERSON'!$B$17:$B$192,$C1974,'5. PERSON'!BH$17:BH$192)</f>
        <v>0</v>
      </c>
      <c r="F1987" s="801">
        <f>SUMIF('5. PERSON'!$B$17:$B$192,$C1974,'5. PERSON'!BI$17:BI$192)</f>
        <v>0</v>
      </c>
      <c r="G1987" s="801">
        <f>SUMIF('5. PERSON'!$B$17:$B$192,$C1974,'5. PERSON'!BJ$17:BJ$192)</f>
        <v>0</v>
      </c>
      <c r="H1987" s="801">
        <f>SUMIF('5. PERSON'!$B$17:$B$192,$C1974,'5. PERSON'!BK$17:BK$192)</f>
        <v>0</v>
      </c>
      <c r="I1987" s="801">
        <f>SUMIF('5. PERSON'!$B$17:$B$192,$C1974,'5. PERSON'!BL$17:BL$192)</f>
        <v>0</v>
      </c>
      <c r="J1987" s="801">
        <f>SUMIF('5. PERSON'!$B$17:$B$192,$C1974,'5. PERSON'!BM$17:BM$192)</f>
        <v>0</v>
      </c>
      <c r="K1987" s="801">
        <f>SUMIF('5. PERSON'!$B$17:$B$192,$C1974,'5. PERSON'!BN$17:BN$192)</f>
        <v>0</v>
      </c>
      <c r="L1987" s="801">
        <f>SUMIF('5. PERSON'!$B$17:$B$192,$C1974,'5. PERSON'!BO$17:BO$192)</f>
        <v>0</v>
      </c>
      <c r="M1987" s="796">
        <f t="shared" si="444"/>
        <v>0</v>
      </c>
    </row>
    <row r="1988" spans="2:15" s="3" customFormat="1" ht="13.2" x14ac:dyDescent="0.25">
      <c r="B1988" s="80" t="str">
        <f>IF('1. INTRO'!I$2="English",(IF('6. OPERATION'!AS$150&gt;0,"Operating","")),IF('6. OPERATION'!AS$150&gt;0,"Drift",""))</f>
        <v/>
      </c>
      <c r="C1988" s="135">
        <f>SUMIF('6. OPERATION'!$B$17:$B$149,$C1974,'6. OPERATION'!AI$17:AI$149)</f>
        <v>0</v>
      </c>
      <c r="D1988" s="135">
        <f>SUMIF('6. OPERATION'!$B$17:$B$149,$C1974,'6. OPERATION'!AJ$17:AJ$149)</f>
        <v>0</v>
      </c>
      <c r="E1988" s="135">
        <f>SUMIF('6. OPERATION'!$B$17:$B$149,$C1974,'6. OPERATION'!AK$17:AK$149)</f>
        <v>0</v>
      </c>
      <c r="F1988" s="135">
        <f>SUMIF('6. OPERATION'!$B$17:$B$149,$C1974,'6. OPERATION'!AL$17:AL$149)</f>
        <v>0</v>
      </c>
      <c r="G1988" s="135">
        <f>SUMIF('6. OPERATION'!$B$17:$B$149,$C1974,'6. OPERATION'!AM$17:AM$149)</f>
        <v>0</v>
      </c>
      <c r="H1988" s="135">
        <f>SUMIF('6. OPERATION'!$B$17:$B$149,$C1974,'6. OPERATION'!AN$17:AN$149)</f>
        <v>0</v>
      </c>
      <c r="I1988" s="135">
        <f>SUMIF('6. OPERATION'!$B$17:$B$149,$C1974,'6. OPERATION'!AO$17:AO$149)</f>
        <v>0</v>
      </c>
      <c r="J1988" s="135">
        <f>SUMIF('6. OPERATION'!$B$17:$B$149,$C1974,'6. OPERATION'!AP$17:AP$149)</f>
        <v>0</v>
      </c>
      <c r="K1988" s="135">
        <f>SUMIF('6. OPERATION'!$B$17:$B$149,$C1974,'6. OPERATION'!AQ$17:AQ$149)</f>
        <v>0</v>
      </c>
      <c r="L1988" s="135">
        <f>SUMIF('6. OPERATION'!$B$17:$B$149,$C1974,'6. OPERATION'!AR$17:AR$149)</f>
        <v>0</v>
      </c>
      <c r="M1988" s="117">
        <f t="shared" si="444"/>
        <v>0</v>
      </c>
    </row>
    <row r="1989" spans="2:15" s="3" customFormat="1" ht="13.2" x14ac:dyDescent="0.25">
      <c r="B1989" s="794" t="str">
        <f>IF('1. INTRO'!I$2="English",(IF('7. INVEST'!AS$50&gt;0,"Equipment","")),IF('7. INVEST'!AS$50&gt;0,"Utrustning",""))</f>
        <v/>
      </c>
      <c r="C1989" s="801">
        <f>SUMIF('7. INVEST'!$B$17:$B$49,$C1974,'7. INVEST'!AI$17:AI$49)</f>
        <v>0</v>
      </c>
      <c r="D1989" s="801">
        <f>SUMIF('7. INVEST'!$B$17:$B$49,$C1974,'7. INVEST'!AJ$17:AJ$49)</f>
        <v>0</v>
      </c>
      <c r="E1989" s="801">
        <f>SUMIF('7. INVEST'!$B$17:$B$49,$C1974,'7. INVEST'!AK$17:AK$49)</f>
        <v>0</v>
      </c>
      <c r="F1989" s="801">
        <f>SUMIF('7. INVEST'!$B$17:$B$49,$C1974,'7. INVEST'!AL$17:AL$49)</f>
        <v>0</v>
      </c>
      <c r="G1989" s="801">
        <f>SUMIF('7. INVEST'!$B$17:$B$49,$C1974,'7. INVEST'!AM$17:AM$49)</f>
        <v>0</v>
      </c>
      <c r="H1989" s="801">
        <f>SUMIF('7. INVEST'!$B$17:$B$49,$C1974,'7. INVEST'!AN$17:AN$49)</f>
        <v>0</v>
      </c>
      <c r="I1989" s="801">
        <f>SUMIF('7. INVEST'!$B$17:$B$49,$C1974,'7. INVEST'!AO$17:AO$49)</f>
        <v>0</v>
      </c>
      <c r="J1989" s="801">
        <f>SUMIF('7. INVEST'!$B$17:$B$49,$C1974,'7. INVEST'!AP$17:AP$49)</f>
        <v>0</v>
      </c>
      <c r="K1989" s="801">
        <f>SUMIF('7. INVEST'!$B$17:$B$49,$C1974,'7. INVEST'!AQ$17:AQ$49)</f>
        <v>0</v>
      </c>
      <c r="L1989" s="801">
        <f>SUMIF('7. INVEST'!$B$17:$B$49,$C1974,'7. INVEST'!AR$17:AR$49)</f>
        <v>0</v>
      </c>
      <c r="M1989" s="796">
        <f t="shared" si="444"/>
        <v>0</v>
      </c>
    </row>
    <row r="1990" spans="2:15" s="3" customFormat="1" ht="13.2" x14ac:dyDescent="0.25">
      <c r="B1990" s="121" t="str">
        <f>IF('1. INTRO'!I$2="English",(IF('8. FACILIT'!AP$51&gt;0,"Facility","")),IF('8. FACILIT'!AP$51&gt;0,"Lokal",""))</f>
        <v/>
      </c>
      <c r="C1990" s="135">
        <f>SUMIF('5. PERSON'!$B$17:$B$192,$C1974,'5. PERSON'!DB$17:DB$192)+SUMIF('6. OPERATION'!$B$17:$B$149,$C1974,'6. OPERATION'!CE$17:CE$149)+SUMIF('8. FACILIT'!$B$18:$B$50,$C1974,'8. FACILIT'!AF$18:AF$50)</f>
        <v>0</v>
      </c>
      <c r="D1990" s="135">
        <f>SUMIF('5. PERSON'!$B$17:$B$192,$C1974,'5. PERSON'!DC$17:DC$192)+SUMIF('6. OPERATION'!$B$17:$B$149,$C1974,'6. OPERATION'!CF$17:CF$149)+SUMIF('8. FACILIT'!$B$18:$B$50,$C1974,'8. FACILIT'!AG$18:AG$50)</f>
        <v>0</v>
      </c>
      <c r="E1990" s="135">
        <f>SUMIF('5. PERSON'!$B$17:$B$192,$C1974,'5. PERSON'!DD$17:DD$192)+SUMIF('6. OPERATION'!$B$17:$B$149,$C1974,'6. OPERATION'!CG$17:CG$149)+SUMIF('8. FACILIT'!$B$18:$B$50,$C1974,'8. FACILIT'!AH$18:AH$50)</f>
        <v>0</v>
      </c>
      <c r="F1990" s="135">
        <f>SUMIF('5. PERSON'!$B$17:$B$192,$C1974,'5. PERSON'!DE$17:DE$192)+SUMIF('6. OPERATION'!$B$17:$B$149,$C1974,'6. OPERATION'!CH$17:CH$149)+SUMIF('8. FACILIT'!$B$18:$B$50,$C1974,'8. FACILIT'!AI$18:AI$50)</f>
        <v>0</v>
      </c>
      <c r="G1990" s="135">
        <f>SUMIF('5. PERSON'!$B$17:$B$192,$C1974,'5. PERSON'!DF$17:DF$192)+SUMIF('6. OPERATION'!$B$17:$B$149,$C1974,'6. OPERATION'!CI$17:CI$149)+SUMIF('8. FACILIT'!$B$18:$B$50,$C1974,'8. FACILIT'!AJ$18:AJ$50)</f>
        <v>0</v>
      </c>
      <c r="H1990" s="135">
        <f>SUMIF('5. PERSON'!$B$17:$B$192,$C1974,'5. PERSON'!DG$17:DG$192)+SUMIF('6. OPERATION'!$B$17:$B$149,$C1974,'6. OPERATION'!CJ$17:CJ$149)+SUMIF('8. FACILIT'!$B$18:$B$50,$C1974,'8. FACILIT'!AK$18:AK$50)</f>
        <v>0</v>
      </c>
      <c r="I1990" s="135">
        <f>SUMIF('5. PERSON'!$B$17:$B$192,$C1974,'5. PERSON'!DH$17:DH$192)+SUMIF('6. OPERATION'!$B$17:$B$149,$C1974,'6. OPERATION'!CK$17:CK$149)+SUMIF('8. FACILIT'!$B$18:$B$50,$C1974,'8. FACILIT'!AL$18:AL$50)</f>
        <v>0</v>
      </c>
      <c r="J1990" s="135">
        <f>SUMIF('5. PERSON'!$B$17:$B$192,$C1974,'5. PERSON'!DI$17:DI$192)+SUMIF('6. OPERATION'!$B$17:$B$149,$C1974,'6. OPERATION'!CL$17:CL$149)+SUMIF('8. FACILIT'!$B$18:$B$50,$C1974,'8. FACILIT'!AM$18:AM$50)</f>
        <v>0</v>
      </c>
      <c r="K1990" s="135">
        <f>SUMIF('5. PERSON'!$B$17:$B$192,$C1974,'5. PERSON'!DJ$17:DJ$192)+SUMIF('6. OPERATION'!$B$17:$B$149,$C1974,'6. OPERATION'!CM$17:CM$149)+SUMIF('8. FACILIT'!$B$18:$B$50,$C1974,'8. FACILIT'!AN$18:AN$50)</f>
        <v>0</v>
      </c>
      <c r="L1990" s="135">
        <f>SUMIF('5. PERSON'!$B$17:$B$192,$C1974,'5. PERSON'!DK$17:DK$192)+SUMIF('6. OPERATION'!$B$17:$B$149,$C1974,'6. OPERATION'!CN$17:CN$149)+SUMIF('8. FACILIT'!$B$18:$B$50,$C1974,'8. FACILIT'!AO$18:AO$50)</f>
        <v>0</v>
      </c>
      <c r="M1990" s="117">
        <f t="shared" si="444"/>
        <v>0</v>
      </c>
    </row>
    <row r="1991" spans="2:15" s="1" customFormat="1" ht="13.2" x14ac:dyDescent="0.25">
      <c r="B1991" s="797" t="str">
        <f>IF('1. INTRO'!I$2="English",(IF(('5. PERSON'!CN$193+'6. OPERATION'!BQ$150)&gt;0,"Indirect","")),IF(('5. PERSON'!CN$193+'6. OPERATION'!BQ$150)&gt;0,"Indirekt",""))</f>
        <v/>
      </c>
      <c r="C1991" s="798">
        <f>SUMIF('5. PERSON'!$B$17:$B$192,$C1974,'5. PERSON'!CD$17:CD$192)+SUMIF('6. OPERATION'!$B$17:$B$149,$C1974,'6. OPERATION'!BG$17:BG$149)</f>
        <v>0</v>
      </c>
      <c r="D1991" s="798">
        <f>SUMIF('5. PERSON'!$B$17:$B$192,$C1974,'5. PERSON'!CE$17:CE$192)+SUMIF('6. OPERATION'!$B$17:$B$149,$C1974,'6. OPERATION'!BH$17:BH$149)</f>
        <v>0</v>
      </c>
      <c r="E1991" s="798">
        <f>SUMIF('5. PERSON'!$B$17:$B$192,$C1974,'5. PERSON'!CF$17:CF$192)+SUMIF('6. OPERATION'!$B$17:$B$149,$C1974,'6. OPERATION'!BI$17:BI$149)</f>
        <v>0</v>
      </c>
      <c r="F1991" s="798">
        <f>SUMIF('5. PERSON'!$B$17:$B$192,$C1974,'5. PERSON'!CG$17:CG$192)+SUMIF('6. OPERATION'!$B$17:$B$149,$C1974,'6. OPERATION'!BJ$17:BJ$149)</f>
        <v>0</v>
      </c>
      <c r="G1991" s="798">
        <f>SUMIF('5. PERSON'!$B$17:$B$192,$C1974,'5. PERSON'!CH$17:CH$192)+SUMIF('6. OPERATION'!$B$17:$B$149,$C1974,'6. OPERATION'!BK$17:BK$149)</f>
        <v>0</v>
      </c>
      <c r="H1991" s="798">
        <f>SUMIF('5. PERSON'!$B$17:$B$192,$C1974,'5. PERSON'!CI$17:CI$192)+SUMIF('6. OPERATION'!$B$17:$B$149,$C1974,'6. OPERATION'!BL$17:BL$149)</f>
        <v>0</v>
      </c>
      <c r="I1991" s="798">
        <f>SUMIF('5. PERSON'!$B$17:$B$192,$C1974,'5. PERSON'!CJ$17:CJ$192)+SUMIF('6. OPERATION'!$B$17:$B$149,$C1974,'6. OPERATION'!BM$17:BM$149)</f>
        <v>0</v>
      </c>
      <c r="J1991" s="798">
        <f>SUMIF('5. PERSON'!$B$17:$B$192,$C1974,'5. PERSON'!CK$17:CK$192)+SUMIF('6. OPERATION'!$B$17:$B$149,$C1974,'6. OPERATION'!BN$17:BN$149)</f>
        <v>0</v>
      </c>
      <c r="K1991" s="798">
        <f>SUMIF('5. PERSON'!$B$17:$B$192,$C1974,'5. PERSON'!CL$17:CL$192)+SUMIF('6. OPERATION'!$B$17:$B$149,$C1974,'6. OPERATION'!BO$17:BO$149)</f>
        <v>0</v>
      </c>
      <c r="L1991" s="798">
        <f>SUMIF('5. PERSON'!$B$17:$B$192,$C1974,'5. PERSON'!CM$17:CM$192)+SUMIF('6. OPERATION'!$B$17:$B$149,$C1974,'6. OPERATION'!BP$17:BP$149)</f>
        <v>0</v>
      </c>
      <c r="M1991" s="802">
        <f t="shared" si="444"/>
        <v>0</v>
      </c>
    </row>
    <row r="1992" spans="2:15" s="3" customFormat="1" ht="13.2" x14ac:dyDescent="0.25">
      <c r="B1992" s="124" t="s">
        <v>113</v>
      </c>
      <c r="C1992" s="102">
        <f>SUM(C1985:C1991)</f>
        <v>0</v>
      </c>
      <c r="D1992" s="102">
        <f t="shared" ref="D1992:M1992" si="445">SUM(D1985:D1991)</f>
        <v>0</v>
      </c>
      <c r="E1992" s="102">
        <f t="shared" si="445"/>
        <v>0</v>
      </c>
      <c r="F1992" s="102">
        <f t="shared" si="445"/>
        <v>0</v>
      </c>
      <c r="G1992" s="102">
        <f t="shared" si="445"/>
        <v>0</v>
      </c>
      <c r="H1992" s="102">
        <f t="shared" si="445"/>
        <v>0</v>
      </c>
      <c r="I1992" s="102">
        <f t="shared" si="445"/>
        <v>0</v>
      </c>
      <c r="J1992" s="102">
        <f t="shared" si="445"/>
        <v>0</v>
      </c>
      <c r="K1992" s="102">
        <f t="shared" si="445"/>
        <v>0</v>
      </c>
      <c r="L1992" s="102">
        <f t="shared" si="445"/>
        <v>0</v>
      </c>
      <c r="M1992" s="125">
        <f t="shared" si="445"/>
        <v>0</v>
      </c>
      <c r="N1992" s="23"/>
      <c r="O1992" s="23"/>
    </row>
    <row r="1993" spans="2:15" s="3" customFormat="1" ht="6" customHeight="1" x14ac:dyDescent="0.25">
      <c r="B1993" s="136"/>
      <c r="C1993" s="127"/>
      <c r="D1993" s="127"/>
      <c r="E1993" s="127"/>
      <c r="F1993" s="127"/>
      <c r="G1993" s="127"/>
      <c r="H1993" s="127"/>
      <c r="I1993" s="127"/>
      <c r="J1993" s="127"/>
      <c r="K1993" s="127"/>
      <c r="L1993" s="127"/>
      <c r="M1993" s="137"/>
    </row>
    <row r="1994" spans="2:15" s="3" customFormat="1" ht="13.2" x14ac:dyDescent="0.25">
      <c r="B1994" s="129" t="str">
        <f>IF('1. INTRO'!I$2="English","Full cost","Full kostnad")</f>
        <v>Full cost</v>
      </c>
      <c r="C1994" s="127"/>
      <c r="D1994" s="127"/>
      <c r="E1994" s="127"/>
      <c r="F1994" s="127"/>
      <c r="G1994" s="127"/>
      <c r="H1994" s="127"/>
      <c r="I1994" s="127"/>
      <c r="J1994" s="127"/>
      <c r="K1994" s="127"/>
      <c r="L1994" s="127"/>
      <c r="M1994" s="137"/>
    </row>
    <row r="1995" spans="2:15" s="3" customFormat="1" ht="13.2" x14ac:dyDescent="0.25">
      <c r="B1995" s="791" t="str">
        <f>IF('1. INTRO'!I$2="English","Salary including social costs (LKP)","Lön inklusive LKP")</f>
        <v>Salary including social costs (LKP)</v>
      </c>
      <c r="C1995" s="803">
        <f>C1977+C1986+C1987</f>
        <v>0</v>
      </c>
      <c r="D1995" s="803">
        <f t="shared" ref="D1995:L1995" si="446">D1977+D1986+D1987</f>
        <v>0</v>
      </c>
      <c r="E1995" s="803">
        <f t="shared" si="446"/>
        <v>0</v>
      </c>
      <c r="F1995" s="803">
        <f t="shared" si="446"/>
        <v>0</v>
      </c>
      <c r="G1995" s="803">
        <f t="shared" si="446"/>
        <v>0</v>
      </c>
      <c r="H1995" s="803">
        <f t="shared" si="446"/>
        <v>0</v>
      </c>
      <c r="I1995" s="803">
        <f t="shared" si="446"/>
        <v>0</v>
      </c>
      <c r="J1995" s="803">
        <f t="shared" si="446"/>
        <v>0</v>
      </c>
      <c r="K1995" s="803">
        <f t="shared" si="446"/>
        <v>0</v>
      </c>
      <c r="L1995" s="803">
        <f t="shared" si="446"/>
        <v>0</v>
      </c>
      <c r="M1995" s="793">
        <f>SUM(C1995:L1995)</f>
        <v>0</v>
      </c>
    </row>
    <row r="1996" spans="2:15" s="3" customFormat="1" ht="13.2" x14ac:dyDescent="0.25">
      <c r="B1996" s="80" t="str">
        <f>IF('1. INTRO'!I$2="English","Operating","Drift")</f>
        <v>Operating</v>
      </c>
      <c r="C1996" s="139">
        <f>C1978+C1988</f>
        <v>0</v>
      </c>
      <c r="D1996" s="139">
        <f t="shared" ref="D1996:L1996" si="447">D1978+D1988</f>
        <v>0</v>
      </c>
      <c r="E1996" s="139">
        <f t="shared" si="447"/>
        <v>0</v>
      </c>
      <c r="F1996" s="139">
        <f t="shared" si="447"/>
        <v>0</v>
      </c>
      <c r="G1996" s="139">
        <f t="shared" si="447"/>
        <v>0</v>
      </c>
      <c r="H1996" s="139">
        <f t="shared" si="447"/>
        <v>0</v>
      </c>
      <c r="I1996" s="139">
        <f t="shared" si="447"/>
        <v>0</v>
      </c>
      <c r="J1996" s="139">
        <f t="shared" si="447"/>
        <v>0</v>
      </c>
      <c r="K1996" s="139">
        <f t="shared" si="447"/>
        <v>0</v>
      </c>
      <c r="L1996" s="139">
        <f t="shared" si="447"/>
        <v>0</v>
      </c>
      <c r="M1996" s="117">
        <f>SUM(C1996:L1996)</f>
        <v>0</v>
      </c>
    </row>
    <row r="1997" spans="2:15" s="3" customFormat="1" ht="13.2" x14ac:dyDescent="0.25">
      <c r="B1997" s="794" t="str">
        <f>IF('1. INTRO'!I$2="English","Equipment","Utrustning")</f>
        <v>Equipment</v>
      </c>
      <c r="C1997" s="804">
        <f>C1979+C1989</f>
        <v>0</v>
      </c>
      <c r="D1997" s="804">
        <f t="shared" ref="D1997:L1997" si="448">D1979+D1989</f>
        <v>0</v>
      </c>
      <c r="E1997" s="804">
        <f t="shared" si="448"/>
        <v>0</v>
      </c>
      <c r="F1997" s="804">
        <f t="shared" si="448"/>
        <v>0</v>
      </c>
      <c r="G1997" s="804">
        <f t="shared" si="448"/>
        <v>0</v>
      </c>
      <c r="H1997" s="804">
        <f t="shared" si="448"/>
        <v>0</v>
      </c>
      <c r="I1997" s="804">
        <f t="shared" si="448"/>
        <v>0</v>
      </c>
      <c r="J1997" s="804">
        <f t="shared" si="448"/>
        <v>0</v>
      </c>
      <c r="K1997" s="804">
        <f t="shared" si="448"/>
        <v>0</v>
      </c>
      <c r="L1997" s="804">
        <f t="shared" si="448"/>
        <v>0</v>
      </c>
      <c r="M1997" s="796">
        <f>SUM(C1997:L1997)</f>
        <v>0</v>
      </c>
    </row>
    <row r="1998" spans="2:15" s="3" customFormat="1" ht="13.2" x14ac:dyDescent="0.25">
      <c r="B1998" s="80" t="str">
        <f>IF('1. INTRO'!I$2="English","Facility","Lokal")</f>
        <v>Facility</v>
      </c>
      <c r="C1998" s="139">
        <f>SUMIF('5. PERSON'!$B$17:$B$192,$C1974,'5. PERSON'!CP$17:CP$192)+SUMIF('5. PERSON'!$B$17:$B$192,$C1974,'5. PERSON'!DB$17:DB$192)+SUMIF('6. OPERATION'!$B$17:$B$149,$C1974,'6. OPERATION'!BS$17:BS$149)+SUMIF('6. OPERATION'!$B$17:$B$149,$C1974,'6. OPERATION'!CE$17:CE$149)+SUMIF('8. FACILIT'!$B$18:$B$50,$C1974,'8. FACILIT'!T$18:T$50)+SUMIF('8. FACILIT'!$B$18:$B$50,$C1974,'8. FACILIT'!AF$18:AF$50)</f>
        <v>0</v>
      </c>
      <c r="D1998" s="139">
        <f>SUMIF('5. PERSON'!$B$17:$B$192,$C1974,'5. PERSON'!CQ$17:CQ$192)+SUMIF('5. PERSON'!$B$17:$B$192,$C1974,'5. PERSON'!DC$17:DC$192)+SUMIF('6. OPERATION'!$B$17:$B$149,$C1974,'6. OPERATION'!BT$17:BT$149)+SUMIF('6. OPERATION'!$B$17:$B$149,$C1974,'6. OPERATION'!CF$17:CF$149)+SUMIF('8. FACILIT'!$B$18:$B$50,$C1974,'8. FACILIT'!U$18:U$50)+SUMIF('8. FACILIT'!$B$18:$B$50,$C1974,'8. FACILIT'!AG$18:AG$50)</f>
        <v>0</v>
      </c>
      <c r="E1998" s="139">
        <f>SUMIF('5. PERSON'!$B$17:$B$192,$C1974,'5. PERSON'!CR$17:CR$192)+SUMIF('5. PERSON'!$B$17:$B$192,$C1974,'5. PERSON'!DD$17:DD$192)+SUMIF('6. OPERATION'!$B$17:$B$149,$C1974,'6. OPERATION'!BU$17:BU$149)+SUMIF('6. OPERATION'!$B$17:$B$149,$C1974,'6. OPERATION'!CG$17:CG$149)+SUMIF('8. FACILIT'!$B$18:$B$50,$C1974,'8. FACILIT'!V$18:V$50)+SUMIF('8. FACILIT'!$B$18:$B$50,$C1974,'8. FACILIT'!AH$18:AH$50)</f>
        <v>0</v>
      </c>
      <c r="F1998" s="139">
        <f>SUMIF('5. PERSON'!$B$17:$B$192,$C1974,'5. PERSON'!CS$17:CS$192)+SUMIF('5. PERSON'!$B$17:$B$192,$C1974,'5. PERSON'!DE$17:DE$192)+SUMIF('6. OPERATION'!$B$17:$B$149,$C1974,'6. OPERATION'!BV$17:BV$149)+SUMIF('6. OPERATION'!$B$17:$B$149,$C1974,'6. OPERATION'!CH$17:CH$149)+SUMIF('8. FACILIT'!$B$18:$B$50,$C1974,'8. FACILIT'!W$18:W$50)+SUMIF('8. FACILIT'!$B$18:$B$50,$C1974,'8. FACILIT'!AI$18:AI$50)</f>
        <v>0</v>
      </c>
      <c r="G1998" s="139">
        <f>SUMIF('5. PERSON'!$B$17:$B$192,$C1974,'5. PERSON'!CT$17:CT$192)+SUMIF('5. PERSON'!$B$17:$B$192,$C1974,'5. PERSON'!DF$17:DF$192)+SUMIF('6. OPERATION'!$B$17:$B$149,$C1974,'6. OPERATION'!BW$17:BW$149)+SUMIF('6. OPERATION'!$B$17:$B$149,$C1974,'6. OPERATION'!CI$17:CI$149)+SUMIF('8. FACILIT'!$B$18:$B$50,$C1974,'8. FACILIT'!X$18:X$50)+SUMIF('8. FACILIT'!$B$18:$B$50,$C1974,'8. FACILIT'!AJ$18:AJ$50)</f>
        <v>0</v>
      </c>
      <c r="H1998" s="139">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39">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39">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39">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39">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117">
        <f>SUM(C1998:L1998)</f>
        <v>0</v>
      </c>
    </row>
    <row r="1999" spans="2:15" s="3" customFormat="1" ht="13.2" x14ac:dyDescent="0.25">
      <c r="B1999" s="805" t="str">
        <f>IF('1. INTRO'!I$2="English","Indirect","Indirekt")</f>
        <v>Indirect</v>
      </c>
      <c r="C1999" s="806">
        <f>SUMIF('5. PERSON'!$B$17:$B$192,$C1974,'5. PERSON'!BR$17:BR$192)+SUMIF('5. PERSON'!$B$17:$B$192,$C1974,'5. PERSON'!CD$17:CD$192)+SUMIF('6. OPERATION'!$B$17:$B$149,$C1974,'6. OPERATION'!AU$17:AU$149)+SUMIF('6. OPERATION'!$B$17:$B$149,$C1974,'6. OPERATION'!BG$17:BG$149)</f>
        <v>0</v>
      </c>
      <c r="D1999" s="806">
        <f>SUMIF('5. PERSON'!$B$17:$B$192,$C1974,'5. PERSON'!BS$17:BS$192)+SUMIF('5. PERSON'!$B$17:$B$192,$C1974,'5. PERSON'!CE$17:CE$192)+SUMIF('6. OPERATION'!$B$17:$B$149,$C1974,'6. OPERATION'!AV$17:AV$149)+SUMIF('6. OPERATION'!$B$17:$B$149,$C1974,'6. OPERATION'!BH$17:BH$149)</f>
        <v>0</v>
      </c>
      <c r="E1999" s="806">
        <f>SUMIF('5. PERSON'!$B$17:$B$192,$C1974,'5. PERSON'!BT$17:BT$192)+SUMIF('5. PERSON'!$B$17:$B$192,$C1974,'5. PERSON'!CF$17:CF$192)+SUMIF('6. OPERATION'!$B$17:$B$149,$C1974,'6. OPERATION'!AW$17:AW$149)+SUMIF('6. OPERATION'!$B$17:$B$149,$C1974,'6. OPERATION'!BI$17:BI$149)</f>
        <v>0</v>
      </c>
      <c r="F1999" s="806">
        <f>SUMIF('5. PERSON'!$B$17:$B$192,$C1974,'5. PERSON'!BU$17:BU$192)+SUMIF('5. PERSON'!$B$17:$B$192,$C1974,'5. PERSON'!CG$17:CG$192)+SUMIF('6. OPERATION'!$B$17:$B$149,$C1974,'6. OPERATION'!AX$17:AX$149)+SUMIF('6. OPERATION'!$B$17:$B$149,$C1974,'6. OPERATION'!BJ$17:BJ$149)</f>
        <v>0</v>
      </c>
      <c r="G1999" s="806">
        <f>SUMIF('5. PERSON'!$B$17:$B$192,$C1974,'5. PERSON'!BV$17:BV$192)+SUMIF('5. PERSON'!$B$17:$B$192,$C1974,'5. PERSON'!CH$17:CH$192)+SUMIF('6. OPERATION'!$B$17:$B$149,$C1974,'6. OPERATION'!AY$17:AY$149)+SUMIF('6. OPERATION'!$B$17:$B$149,$C1974,'6. OPERATION'!BK$17:BK$149)</f>
        <v>0</v>
      </c>
      <c r="H1999" s="806">
        <f>SUMIF('5. PERSON'!$B$17:$B$192,$C1974,'5. PERSON'!BW$17:BW$192)+SUMIF('5. PERSON'!$B$17:$B$192,$C1974,'5. PERSON'!CI$17:CI$192)+SUMIF('6. OPERATION'!$B$17:$B$149,$C1974,'6. OPERATION'!AZ$17:AZ$149)+SUMIF('6. OPERATION'!$B$17:$B$149,$C1974,'6. OPERATION'!BL$17:BL$149)</f>
        <v>0</v>
      </c>
      <c r="I1999" s="806">
        <f>SUMIF('5. PERSON'!$B$17:$B$192,$C1974,'5. PERSON'!BX$17:BX$192)+SUMIF('5. PERSON'!$B$17:$B$192,$C1974,'5. PERSON'!CJ$17:CJ$192)+SUMIF('6. OPERATION'!$B$17:$B$149,$C1974,'6. OPERATION'!BA$17:BA$149)+SUMIF('6. OPERATION'!$B$17:$B$149,$C1974,'6. OPERATION'!BM$17:BM$149)</f>
        <v>0</v>
      </c>
      <c r="J1999" s="806">
        <f>SUMIF('5. PERSON'!$B$17:$B$192,$C1974,'5. PERSON'!BY$17:BY$192)+SUMIF('5. PERSON'!$B$17:$B$192,$C1974,'5. PERSON'!CK$17:CK$192)+SUMIF('6. OPERATION'!$B$17:$B$149,$C1974,'6. OPERATION'!BB$17:BB$149)+SUMIF('6. OPERATION'!$B$17:$B$149,$C1974,'6. OPERATION'!BN$17:BN$149)</f>
        <v>0</v>
      </c>
      <c r="K1999" s="806">
        <f>SUMIF('5. PERSON'!$B$17:$B$192,$C1974,'5. PERSON'!BZ$17:BZ$192)+SUMIF('5. PERSON'!$B$17:$B$192,$C1974,'5. PERSON'!CL$17:CL$192)+SUMIF('6. OPERATION'!$B$17:$B$149,$C1974,'6. OPERATION'!BC$17:BC$149)+SUMIF('6. OPERATION'!$B$17:$B$149,$C1974,'6. OPERATION'!BO$17:BO$149)</f>
        <v>0</v>
      </c>
      <c r="L1999" s="806">
        <f>SUMIF('5. PERSON'!$B$17:$B$192,$C1974,'5. PERSON'!CA$17:CA$192)+SUMIF('5. PERSON'!$B$17:$B$192,$C1974,'5. PERSON'!CM$17:CM$192)+SUMIF('6. OPERATION'!$B$17:$B$149,$C1974,'6. OPERATION'!BD$17:BD$149)+SUMIF('6. OPERATION'!$B$17:$B$149,$C1974,'6. OPERATION'!BP$17:BP$149)</f>
        <v>0</v>
      </c>
      <c r="M1999" s="802">
        <f>SUM(C1999:L1999)</f>
        <v>0</v>
      </c>
    </row>
    <row r="2000" spans="2:15" s="3" customFormat="1" ht="13.2" x14ac:dyDescent="0.25">
      <c r="B2000" s="124" t="s">
        <v>113</v>
      </c>
      <c r="C2000" s="88">
        <f>SUM(C1995:C1999)</f>
        <v>0</v>
      </c>
      <c r="D2000" s="88">
        <f t="shared" ref="D2000:M2000" si="449">SUM(D1995:D1999)</f>
        <v>0</v>
      </c>
      <c r="E2000" s="88">
        <f t="shared" si="449"/>
        <v>0</v>
      </c>
      <c r="F2000" s="88">
        <f t="shared" si="449"/>
        <v>0</v>
      </c>
      <c r="G2000" s="88">
        <f t="shared" si="449"/>
        <v>0</v>
      </c>
      <c r="H2000" s="88">
        <f t="shared" si="449"/>
        <v>0</v>
      </c>
      <c r="I2000" s="88">
        <f t="shared" si="449"/>
        <v>0</v>
      </c>
      <c r="J2000" s="88">
        <f t="shared" si="449"/>
        <v>0</v>
      </c>
      <c r="K2000" s="88">
        <f t="shared" si="449"/>
        <v>0</v>
      </c>
      <c r="L2000" s="88">
        <f t="shared" si="449"/>
        <v>0</v>
      </c>
      <c r="M2000" s="142">
        <f t="shared" si="449"/>
        <v>0</v>
      </c>
    </row>
    <row r="2001" spans="2:13" s="3" customFormat="1" ht="13.2" x14ac:dyDescent="0.25">
      <c r="B2001" s="287"/>
      <c r="C2001" s="37"/>
      <c r="D2001" s="37"/>
      <c r="E2001" s="37"/>
      <c r="F2001" s="37"/>
      <c r="G2001" s="37"/>
      <c r="H2001" s="37"/>
      <c r="I2001" s="37"/>
      <c r="J2001" s="37"/>
      <c r="K2001" s="37"/>
      <c r="L2001" s="37"/>
      <c r="M2001" s="37"/>
    </row>
    <row r="2002" spans="2:13" s="3" customFormat="1" ht="12.75" customHeight="1" x14ac:dyDescent="0.25">
      <c r="B2002" s="656" t="str">
        <f>IF('1. INTRO'!I$2="English","Co-funding share in full cost ","Medfinansieringsandel i full kostnad ")</f>
        <v xml:space="preserve">Co-funding share in full cost </v>
      </c>
      <c r="C2002" s="143" t="str">
        <f t="shared" ref="C2002:M2002" si="450">IF(C2000&gt;0,C1992/C2000,"")</f>
        <v/>
      </c>
      <c r="D2002" s="143" t="str">
        <f t="shared" si="450"/>
        <v/>
      </c>
      <c r="E2002" s="143" t="str">
        <f t="shared" si="450"/>
        <v/>
      </c>
      <c r="F2002" s="143" t="str">
        <f t="shared" si="450"/>
        <v/>
      </c>
      <c r="G2002" s="143" t="str">
        <f t="shared" si="450"/>
        <v/>
      </c>
      <c r="H2002" s="143" t="str">
        <f t="shared" si="450"/>
        <v/>
      </c>
      <c r="I2002" s="143" t="str">
        <f t="shared" si="450"/>
        <v/>
      </c>
      <c r="J2002" s="143" t="str">
        <f t="shared" si="450"/>
        <v/>
      </c>
      <c r="K2002" s="143" t="str">
        <f t="shared" si="450"/>
        <v/>
      </c>
      <c r="L2002" s="143" t="str">
        <f t="shared" si="450"/>
        <v/>
      </c>
      <c r="M2002" s="143" t="str">
        <f t="shared" si="450"/>
        <v/>
      </c>
    </row>
    <row r="2003" spans="2:13" ht="12.75" customHeight="1" x14ac:dyDescent="0.2"/>
    <row r="2004" spans="2:13" ht="12.75" customHeight="1" x14ac:dyDescent="0.25">
      <c r="D2004" s="656" t="str">
        <f>IF('1. INTRO'!I$2="English","Co-funding need in average per year: ","Medfinansieringsbehov i genomsnitt per år: ")</f>
        <v xml:space="preserve">Co-funding need in average per year: </v>
      </c>
      <c r="E2004" s="807" t="str">
        <f>IF(M1992=0,"",M1992/(DATEDIF('2. START'!C$18,'2. START'!C$19,"d")/365))</f>
        <v/>
      </c>
      <c r="H2004" s="656" t="str">
        <f>IF('1. INTRO'!I$2="English","Co-funding need 1/3 of total: ","Medfinansieringsbehov 1/3 av totalt: ")</f>
        <v xml:space="preserve">Co-funding need 1/3 of total: </v>
      </c>
      <c r="I2004" s="807">
        <f>M1992/3</f>
        <v>0</v>
      </c>
      <c r="L2004" s="287" t="str">
        <f>IF('1. INTRO'!I$2="English","Co-funding need total: ","Medfinansieringsbehov totalt: ")</f>
        <v xml:space="preserve">Co-funding need total: </v>
      </c>
      <c r="M2004" s="807">
        <f>M1992</f>
        <v>0</v>
      </c>
    </row>
    <row r="2005" spans="2:13" ht="12.75" customHeight="1" x14ac:dyDescent="0.25">
      <c r="B2005" s="53" t="str">
        <f>IF('1. INTRO'!I$2="English","Co-funding sources","Medfinansieringskällor")</f>
        <v>Co-funding sources</v>
      </c>
    </row>
    <row r="2006" spans="2:13" ht="12.75" customHeight="1" x14ac:dyDescent="0.25">
      <c r="B2006" s="225"/>
      <c r="C2006" s="226"/>
      <c r="D2006" s="226"/>
      <c r="E2006" s="226"/>
      <c r="F2006" s="226"/>
      <c r="G2006" s="226"/>
      <c r="H2006" s="226"/>
      <c r="I2006" s="226"/>
      <c r="J2006" s="226"/>
      <c r="K2006" s="226"/>
      <c r="L2006" s="227"/>
      <c r="M2006" s="168">
        <f>SUM(C2006:L2006)</f>
        <v>0</v>
      </c>
    </row>
    <row r="2007" spans="2:13" ht="12.75" customHeight="1" x14ac:dyDescent="0.25">
      <c r="B2007" s="228"/>
      <c r="C2007" s="229"/>
      <c r="D2007" s="229"/>
      <c r="E2007" s="229"/>
      <c r="F2007" s="229"/>
      <c r="G2007" s="229"/>
      <c r="H2007" s="229"/>
      <c r="I2007" s="229"/>
      <c r="J2007" s="229"/>
      <c r="K2007" s="229"/>
      <c r="L2007" s="230"/>
      <c r="M2007" s="796">
        <f t="shared" ref="M2007:M2010" si="451">SUM(C2007:L2007)</f>
        <v>0</v>
      </c>
    </row>
    <row r="2008" spans="2:13" ht="12.75" customHeight="1" x14ac:dyDescent="0.25">
      <c r="B2008" s="231"/>
      <c r="C2008" s="232"/>
      <c r="D2008" s="232"/>
      <c r="E2008" s="232"/>
      <c r="F2008" s="232"/>
      <c r="G2008" s="232"/>
      <c r="H2008" s="232"/>
      <c r="I2008" s="232"/>
      <c r="J2008" s="232"/>
      <c r="K2008" s="232"/>
      <c r="L2008" s="233"/>
      <c r="M2008" s="117">
        <f t="shared" si="451"/>
        <v>0</v>
      </c>
    </row>
    <row r="2009" spans="2:13" ht="12.75" customHeight="1" x14ac:dyDescent="0.25">
      <c r="B2009" s="228"/>
      <c r="C2009" s="229"/>
      <c r="D2009" s="229"/>
      <c r="E2009" s="229"/>
      <c r="F2009" s="229"/>
      <c r="G2009" s="229"/>
      <c r="H2009" s="229"/>
      <c r="I2009" s="229"/>
      <c r="J2009" s="229"/>
      <c r="K2009" s="229"/>
      <c r="L2009" s="230"/>
      <c r="M2009" s="796">
        <f t="shared" si="451"/>
        <v>0</v>
      </c>
    </row>
    <row r="2010" spans="2:13" ht="12.75" customHeight="1" x14ac:dyDescent="0.25">
      <c r="B2010" s="93"/>
      <c r="C2010" s="232"/>
      <c r="D2010" s="232"/>
      <c r="E2010" s="232"/>
      <c r="F2010" s="232"/>
      <c r="G2010" s="232"/>
      <c r="H2010" s="232"/>
      <c r="I2010" s="232"/>
      <c r="J2010" s="232"/>
      <c r="K2010" s="232"/>
      <c r="L2010" s="233"/>
      <c r="M2010" s="117">
        <f t="shared" si="451"/>
        <v>0</v>
      </c>
    </row>
    <row r="2011" spans="2:13" ht="12.75" customHeight="1" x14ac:dyDescent="0.25">
      <c r="B2011" s="84" t="str">
        <f>IF('1. INTRO'!I$2="English","Total co-funding ","Total medfinansiering ")</f>
        <v xml:space="preserve">Total co-funding </v>
      </c>
      <c r="C2011" s="87">
        <f t="shared" ref="C2011:M2011" si="452">SUM(C2006:C2010)</f>
        <v>0</v>
      </c>
      <c r="D2011" s="87">
        <f t="shared" si="452"/>
        <v>0</v>
      </c>
      <c r="E2011" s="87">
        <f t="shared" si="452"/>
        <v>0</v>
      </c>
      <c r="F2011" s="87">
        <f t="shared" si="452"/>
        <v>0</v>
      </c>
      <c r="G2011" s="87">
        <f t="shared" si="452"/>
        <v>0</v>
      </c>
      <c r="H2011" s="87">
        <f t="shared" si="452"/>
        <v>0</v>
      </c>
      <c r="I2011" s="87">
        <f t="shared" si="452"/>
        <v>0</v>
      </c>
      <c r="J2011" s="87">
        <f t="shared" si="452"/>
        <v>0</v>
      </c>
      <c r="K2011" s="87">
        <f t="shared" si="452"/>
        <v>0</v>
      </c>
      <c r="L2011" s="87">
        <f t="shared" si="452"/>
        <v>0</v>
      </c>
      <c r="M2011" s="142">
        <f t="shared" si="452"/>
        <v>0</v>
      </c>
    </row>
    <row r="2012" spans="2:13" ht="12.75" customHeight="1" x14ac:dyDescent="0.2"/>
    <row r="2013" spans="2:13" ht="12.75" customHeight="1" x14ac:dyDescent="0.2">
      <c r="B2013" s="667" t="str">
        <f>IF('1. INTRO'!I$2="English","Calculation comments","Kalkylkommentarer")</f>
        <v>Calculation comments</v>
      </c>
    </row>
    <row r="2014" spans="2:13" ht="12.75" customHeight="1" x14ac:dyDescent="0.2">
      <c r="B2014" s="1142"/>
      <c r="C2014" s="1143"/>
      <c r="D2014" s="1143"/>
      <c r="E2014" s="1143"/>
      <c r="F2014" s="1143"/>
      <c r="G2014" s="1143"/>
      <c r="H2014" s="1143"/>
      <c r="I2014" s="1143"/>
      <c r="J2014" s="1143"/>
      <c r="K2014" s="1143"/>
      <c r="L2014" s="1143"/>
      <c r="M2014" s="1144"/>
    </row>
    <row r="2015" spans="2:13" ht="12.75" customHeight="1" x14ac:dyDescent="0.2">
      <c r="B2015" s="1145"/>
      <c r="C2015" s="1226"/>
      <c r="D2015" s="1226"/>
      <c r="E2015" s="1226"/>
      <c r="F2015" s="1226"/>
      <c r="G2015" s="1226"/>
      <c r="H2015" s="1226"/>
      <c r="I2015" s="1226"/>
      <c r="J2015" s="1226"/>
      <c r="K2015" s="1226"/>
      <c r="L2015" s="1226"/>
      <c r="M2015" s="1147"/>
    </row>
    <row r="2016" spans="2:13" ht="12.75" customHeight="1" x14ac:dyDescent="0.2">
      <c r="B2016" s="1145"/>
      <c r="C2016" s="1226"/>
      <c r="D2016" s="1226"/>
      <c r="E2016" s="1226"/>
      <c r="F2016" s="1226"/>
      <c r="G2016" s="1226"/>
      <c r="H2016" s="1226"/>
      <c r="I2016" s="1226"/>
      <c r="J2016" s="1226"/>
      <c r="K2016" s="1226"/>
      <c r="L2016" s="1226"/>
      <c r="M2016" s="1147"/>
    </row>
    <row r="2017" spans="2:15" ht="12.75" customHeight="1" x14ac:dyDescent="0.2">
      <c r="B2017" s="1145"/>
      <c r="C2017" s="1226"/>
      <c r="D2017" s="1226"/>
      <c r="E2017" s="1226"/>
      <c r="F2017" s="1226"/>
      <c r="G2017" s="1226"/>
      <c r="H2017" s="1226"/>
      <c r="I2017" s="1226"/>
      <c r="J2017" s="1226"/>
      <c r="K2017" s="1226"/>
      <c r="L2017" s="1226"/>
      <c r="M2017" s="1147"/>
    </row>
    <row r="2018" spans="2:15" ht="12.75" customHeight="1" x14ac:dyDescent="0.2">
      <c r="B2018" s="1148"/>
      <c r="C2018" s="1149"/>
      <c r="D2018" s="1149"/>
      <c r="E2018" s="1149"/>
      <c r="F2018" s="1149"/>
      <c r="G2018" s="1149"/>
      <c r="H2018" s="1149"/>
      <c r="I2018" s="1149"/>
      <c r="J2018" s="1149"/>
      <c r="K2018" s="1149"/>
      <c r="L2018" s="1149"/>
      <c r="M2018" s="1150"/>
    </row>
    <row r="2020" spans="2:15" s="3" customFormat="1" ht="12.75" customHeight="1" x14ac:dyDescent="0.25">
      <c r="B2020" s="313" t="str">
        <f>'3. PARTNER'!C$4</f>
        <v xml:space="preserve">Project: </v>
      </c>
      <c r="C2020" s="1062" t="str">
        <f>'3. PARTNER'!D$4</f>
        <v/>
      </c>
      <c r="D2020" s="1001"/>
      <c r="E2020" s="1001"/>
      <c r="F2020" s="1001"/>
      <c r="G2020" s="1001"/>
      <c r="H2020" s="1001"/>
      <c r="I2020" s="1001"/>
      <c r="J2020" s="1001"/>
      <c r="K2020" s="1001"/>
      <c r="L2020" s="1001"/>
      <c r="M2020" s="1001"/>
    </row>
    <row r="2021" spans="2:15" s="3" customFormat="1" ht="13.2" x14ac:dyDescent="0.25">
      <c r="B2021" s="313" t="str">
        <f>'3. PARTNER'!C$5</f>
        <v xml:space="preserve">Calculation for: </v>
      </c>
      <c r="C2021" s="1062" t="str">
        <f>'3. PARTNER'!D$5</f>
        <v>APPLICATION</v>
      </c>
      <c r="D2021" s="1001"/>
      <c r="E2021" s="268"/>
      <c r="F2021" s="268"/>
      <c r="G2021" s="268"/>
      <c r="H2021" s="268"/>
      <c r="I2021" s="268"/>
      <c r="J2021" s="268"/>
      <c r="K2021" s="268"/>
      <c r="L2021" s="268"/>
      <c r="M2021" s="268"/>
    </row>
    <row r="2022" spans="2:15" s="3" customFormat="1" ht="13.2" x14ac:dyDescent="0.25">
      <c r="B2022" s="35" t="str">
        <f>'3. PARTNER'!C$6</f>
        <v xml:space="preserve">Project leader: </v>
      </c>
      <c r="C2022" s="1062" t="str">
        <f>'3. PARTNER'!D$6</f>
        <v/>
      </c>
      <c r="D2022" s="1001"/>
      <c r="E2022" s="1001"/>
      <c r="F2022" s="1001"/>
      <c r="G2022" s="1001"/>
      <c r="H2022" s="1001"/>
      <c r="I2022" s="1001"/>
      <c r="J2022" s="1001"/>
      <c r="K2022" s="1001"/>
      <c r="L2022" s="1001"/>
      <c r="M2022" s="1001"/>
    </row>
    <row r="2023" spans="2:15" s="3" customFormat="1" ht="13.2" x14ac:dyDescent="0.25">
      <c r="B2023" s="313" t="str">
        <f>'5. PERSON'!B$7</f>
        <v xml:space="preserve">Amounts in: </v>
      </c>
      <c r="C2023" s="655" t="str">
        <f>'5. PERSON'!C$7</f>
        <v>SEK</v>
      </c>
      <c r="D2023" s="268"/>
      <c r="E2023" s="268"/>
      <c r="F2023" s="268"/>
      <c r="G2023" s="234"/>
      <c r="H2023" s="234"/>
      <c r="I2023" s="270"/>
      <c r="J2023" s="270"/>
      <c r="K2023" s="270"/>
      <c r="L2023" s="270"/>
      <c r="M2023" s="270"/>
    </row>
    <row r="2024" spans="2:15" s="3" customFormat="1" ht="13.2" x14ac:dyDescent="0.25">
      <c r="B2024" s="313"/>
      <c r="C2024" s="1053" t="str">
        <f>'3. PARTNER'!D$7</f>
        <v>Other basic data about the project is in sheet 2.</v>
      </c>
      <c r="D2024" s="1001"/>
      <c r="E2024" s="1001"/>
      <c r="F2024" s="1001"/>
      <c r="G2024" s="234"/>
      <c r="H2024" s="234"/>
      <c r="I2024" s="270"/>
      <c r="J2024" s="270"/>
      <c r="K2024" s="270"/>
      <c r="L2024" s="251" t="s">
        <v>4</v>
      </c>
      <c r="M2024" s="270"/>
    </row>
    <row r="2025" spans="2:15" ht="12.75" customHeight="1" x14ac:dyDescent="0.2">
      <c r="J2025" s="252" t="s">
        <v>322</v>
      </c>
      <c r="K2025" s="252" t="s">
        <v>323</v>
      </c>
      <c r="L2025" s="252" t="str">
        <f>IF('1. INTRO'!I$2="English","months","månader")</f>
        <v>months</v>
      </c>
    </row>
    <row r="2026" spans="2:15" s="3" customFormat="1" ht="13.8" x14ac:dyDescent="0.25">
      <c r="B2026" s="157" t="str">
        <f>IF('1. INTRO'!I$2="English","Project costs","Projektkostnader")</f>
        <v>Project costs</v>
      </c>
      <c r="C2026" s="668" t="str">
        <f>A53</f>
        <v>883VH</v>
      </c>
      <c r="D2026" s="1227" t="str">
        <f>B53</f>
        <v xml:space="preserve">The Swedish Livestock Research Centre, Lövsta </v>
      </c>
      <c r="E2026" s="1001"/>
      <c r="F2026" s="1001"/>
      <c r="G2026" s="1004"/>
      <c r="H2026" s="1004"/>
      <c r="I2026" s="37"/>
      <c r="J2026" s="643"/>
      <c r="K2026" s="643"/>
      <c r="L2026" s="642">
        <f>SUMIF('5. PERSON'!$B$17:$B$192,$C2026,'5. PERSON'!AE$17:AE$192)</f>
        <v>0</v>
      </c>
      <c r="M2026" s="680" t="s">
        <v>330</v>
      </c>
    </row>
    <row r="2027" spans="2:15" s="3" customFormat="1" ht="6" customHeight="1" x14ac:dyDescent="0.25">
      <c r="B2027" s="57"/>
      <c r="C2027" s="37"/>
      <c r="D2027" s="37"/>
      <c r="E2027" s="37"/>
      <c r="F2027" s="37"/>
      <c r="G2027" s="37"/>
      <c r="H2027" s="37"/>
      <c r="I2027" s="37"/>
      <c r="J2027" s="37"/>
      <c r="K2027" s="37"/>
      <c r="L2027" s="37"/>
      <c r="M2027" s="37"/>
    </row>
    <row r="2028" spans="2:15" s="3" customFormat="1" ht="13.2" x14ac:dyDescent="0.25">
      <c r="B2028" s="110" t="str">
        <f>IF('1. INTRO'!I$2="English","Costs to be covered by funding body","Kostnader att täckas av finansiär")</f>
        <v>Costs to be covered by funding body</v>
      </c>
      <c r="C2028" s="111">
        <f>'5. PERSON'!G$15</f>
        <v>1900</v>
      </c>
      <c r="D2028" s="111" t="str">
        <f>'5. PERSON'!H$15</f>
        <v/>
      </c>
      <c r="E2028" s="111" t="str">
        <f>'5. PERSON'!I$15</f>
        <v/>
      </c>
      <c r="F2028" s="111" t="str">
        <f>'5. PERSON'!J$15</f>
        <v/>
      </c>
      <c r="G2028" s="111" t="str">
        <f>'5. PERSON'!K$15</f>
        <v/>
      </c>
      <c r="H2028" s="111" t="str">
        <f>'5. PERSON'!L$15</f>
        <v/>
      </c>
      <c r="I2028" s="111" t="str">
        <f>'5. PERSON'!M$15</f>
        <v/>
      </c>
      <c r="J2028" s="111" t="str">
        <f>'5. PERSON'!N$15</f>
        <v/>
      </c>
      <c r="K2028" s="111" t="str">
        <f>'5. PERSON'!O$15</f>
        <v/>
      </c>
      <c r="L2028" s="111" t="str">
        <f>'5. PERSON'!P$15</f>
        <v/>
      </c>
      <c r="M2028" s="112" t="s">
        <v>2</v>
      </c>
    </row>
    <row r="2029" spans="2:15" s="3" customFormat="1" ht="12.75" customHeight="1" x14ac:dyDescent="0.25">
      <c r="B2029" s="791" t="str">
        <f>IF('1. INTRO'!I$2="English","Salary including social costs (LKP)","Lön inklusive LKP")</f>
        <v>Salary including social costs (LKP)</v>
      </c>
      <c r="C2029" s="792">
        <f>IF('2. START'!$C$14&gt;0,SUMIF('5. PERSON'!$B$17:$B$192,$C2026,'5. PERSON'!DN$17:DN$192),SUMIF('5. PERSON'!$B$17:$B$192,$C2026,'5. PERSON'!AT$17:AT$192))</f>
        <v>0</v>
      </c>
      <c r="D2029" s="792">
        <f>IF('2. START'!$C$14&gt;0,SUMIF('5. PERSON'!$B$17:$B$192,$C2026,'5. PERSON'!DO$17:DO$192),SUMIF('5. PERSON'!$B$17:$B$192,$C2026,'5. PERSON'!AU$17:AU$192))</f>
        <v>0</v>
      </c>
      <c r="E2029" s="792">
        <f>IF('2. START'!$C$14&gt;0,SUMIF('5. PERSON'!$B$17:$B$192,$C2026,'5. PERSON'!DP$17:DP$192),SUMIF('5. PERSON'!$B$17:$B$192,$C2026,'5. PERSON'!AV$17:AV$192))</f>
        <v>0</v>
      </c>
      <c r="F2029" s="792">
        <f>IF('2. START'!$C$14&gt;0,SUMIF('5. PERSON'!$B$17:$B$192,$C2026,'5. PERSON'!DQ$17:DQ$192),SUMIF('5. PERSON'!$B$17:$B$192,$C2026,'5. PERSON'!AW$17:AW$192))</f>
        <v>0</v>
      </c>
      <c r="G2029" s="792">
        <f>IF('2. START'!$C$14&gt;0,SUMIF('5. PERSON'!$B$17:$B$192,$C2026,'5. PERSON'!DR$17:DR$192),SUMIF('5. PERSON'!$B$17:$B$192,$C2026,'5. PERSON'!AX$17:AX$192))</f>
        <v>0</v>
      </c>
      <c r="H2029" s="792">
        <f>IF('2. START'!$C$14&gt;0,SUMIF('5. PERSON'!$B$17:$B$192,$C2026,'5. PERSON'!DS$17:DS$192),SUMIF('5. PERSON'!$B$17:$B$192,$C2026,'5. PERSON'!AY$17:AY$192))</f>
        <v>0</v>
      </c>
      <c r="I2029" s="792">
        <f>IF('2. START'!$C$14&gt;0,SUMIF('5. PERSON'!$B$17:$B$192,$C2026,'5. PERSON'!DT$17:DT$192),SUMIF('5. PERSON'!$B$17:$B$192,$C2026,'5. PERSON'!AZ$17:AZ$192))</f>
        <v>0</v>
      </c>
      <c r="J2029" s="792">
        <f>IF('2. START'!$C$14&gt;0,SUMIF('5. PERSON'!$B$17:$B$192,$C2026,'5. PERSON'!DU$17:DU$192),SUMIF('5. PERSON'!$B$17:$B$192,$C2026,'5. PERSON'!BA$17:BA$192))</f>
        <v>0</v>
      </c>
      <c r="K2029" s="792">
        <f>IF('2. START'!$C$14&gt;0,SUMIF('5. PERSON'!$B$17:$B$192,$C2026,'5. PERSON'!DV$17:DV$192),SUMIF('5. PERSON'!$B$17:$B$192,$C2026,'5. PERSON'!BB$17:BB$192))</f>
        <v>0</v>
      </c>
      <c r="L2029" s="792">
        <f>IF('2. START'!$C$14&gt;0,SUMIF('5. PERSON'!$B$17:$B$192,$C2026,'5. PERSON'!DW$17:DW$192),SUMIF('5. PERSON'!$B$17:$B$192,$C2026,'5. PERSON'!BC$17:BC$192))</f>
        <v>0</v>
      </c>
      <c r="M2029" s="793">
        <f t="shared" ref="M2029:M2034" si="453">SUM(C2029:L2029)</f>
        <v>0</v>
      </c>
      <c r="O2029" s="4"/>
    </row>
    <row r="2030" spans="2:15" s="3" customFormat="1" ht="12.75" customHeight="1" x14ac:dyDescent="0.25">
      <c r="B2030" s="80" t="str">
        <f>IF('1. INTRO'!I$2="English","Operating","Drift")</f>
        <v>Operating</v>
      </c>
      <c r="C2030" s="116">
        <f>SUMIF('6. OPERATION'!$B$17:$B$149,$C2026,'6. OPERATION'!W$17:W$149)</f>
        <v>0</v>
      </c>
      <c r="D2030" s="116">
        <f>SUMIF('6. OPERATION'!$B$17:$B$149,$C2026,'6. OPERATION'!X$17:X$149)</f>
        <v>0</v>
      </c>
      <c r="E2030" s="116">
        <f>SUMIF('6. OPERATION'!$B$17:$B$149,$C2026,'6. OPERATION'!Y$17:Y$149)</f>
        <v>0</v>
      </c>
      <c r="F2030" s="116">
        <f>SUMIF('6. OPERATION'!$B$17:$B$149,$C2026,'6. OPERATION'!Z$17:Z$149)</f>
        <v>0</v>
      </c>
      <c r="G2030" s="116">
        <f>SUMIF('6. OPERATION'!$B$17:$B$149,$C2026,'6. OPERATION'!AA$17:AA$149)</f>
        <v>0</v>
      </c>
      <c r="H2030" s="116">
        <f>SUMIF('6. OPERATION'!$B$17:$B$149,$C2026,'6. OPERATION'!AB$17:AB$149)</f>
        <v>0</v>
      </c>
      <c r="I2030" s="116">
        <f>SUMIF('6. OPERATION'!$B$17:$B$149,$C2026,'6. OPERATION'!AC$17:AC$149)</f>
        <v>0</v>
      </c>
      <c r="J2030" s="116">
        <f>SUMIF('6. OPERATION'!$B$17:$B$149,$C2026,'6. OPERATION'!AD$17:AD$149)</f>
        <v>0</v>
      </c>
      <c r="K2030" s="116">
        <f>SUMIF('6. OPERATION'!$B$17:$B$149,$C2026,'6. OPERATION'!AE$17:AE$149)</f>
        <v>0</v>
      </c>
      <c r="L2030" s="116">
        <f>SUMIF('6. OPERATION'!$B$17:$B$149,$C2026,'6. OPERATION'!AF$17:AF$149)</f>
        <v>0</v>
      </c>
      <c r="M2030" s="117">
        <f t="shared" si="453"/>
        <v>0</v>
      </c>
    </row>
    <row r="2031" spans="2:15" s="3" customFormat="1" ht="13.2" x14ac:dyDescent="0.25">
      <c r="B2031" s="794" t="str">
        <f>IF('1. INTRO'!I$2="English","Equipment","Utrustning")</f>
        <v>Equipment</v>
      </c>
      <c r="C2031" s="795">
        <f>SUMIF('7. INVEST'!$B$17:$B$49,$C2026,'7. INVEST'!W$17:W$49)</f>
        <v>0</v>
      </c>
      <c r="D2031" s="795">
        <f>SUMIF('7. INVEST'!$B$17:$B$49,$C2026,'7. INVEST'!X$17:X$49)</f>
        <v>0</v>
      </c>
      <c r="E2031" s="795">
        <f>SUMIF('7. INVEST'!$B$17:$B$49,$C2026,'7. INVEST'!Y$17:Y$49)</f>
        <v>0</v>
      </c>
      <c r="F2031" s="795">
        <f>SUMIF('7. INVEST'!$B$17:$B$49,$C2026,'7. INVEST'!Z$17:Z$49)</f>
        <v>0</v>
      </c>
      <c r="G2031" s="795">
        <f>SUMIF('7. INVEST'!$B$17:$B$49,$C2026,'7. INVEST'!AA$17:AA$49)</f>
        <v>0</v>
      </c>
      <c r="H2031" s="795">
        <f>SUMIF('7. INVEST'!$B$17:$B$49,$C2026,'7. INVEST'!AB$17:AB$49)</f>
        <v>0</v>
      </c>
      <c r="I2031" s="795">
        <f>SUMIF('7. INVEST'!$B$17:$B$49,$C2026,'7. INVEST'!AC$17:AC$49)</f>
        <v>0</v>
      </c>
      <c r="J2031" s="795">
        <f>SUMIF('7. INVEST'!$B$17:$B$49,$C2026,'7. INVEST'!AD$17:AD$49)</f>
        <v>0</v>
      </c>
      <c r="K2031" s="795">
        <f>SUMIF('7. INVEST'!$B$17:$B$49,$C2026,'7. INVEST'!AE$17:AE$49)</f>
        <v>0</v>
      </c>
      <c r="L2031" s="795">
        <f>SUMIF('7. INVEST'!$B$17:$B$49,$C2026,'7. INVEST'!AF$17:AF$49)</f>
        <v>0</v>
      </c>
      <c r="M2031" s="796">
        <f t="shared" si="453"/>
        <v>0</v>
      </c>
    </row>
    <row r="2032" spans="2:15" s="3" customFormat="1" ht="13.2" x14ac:dyDescent="0.25">
      <c r="B2032" s="121" t="str">
        <f>IF('1. INTRO'!I$2="English",(IF('2. START'!C$11="NO","Facility accepted as direct cost by funding body","Facility")),IF('2. START'!C$11="NO","Lokal accepterad som direkt kostnad av finansiär","Lokal"))</f>
        <v>Facility</v>
      </c>
      <c r="C2032" s="116">
        <f>IF('2. START'!$C$11="NO",SUMIF('8. FACILIT'!$B$18:$B$50,$C2026,'8. FACILIT'!T$18:T$50),SUMIF('5. PERSON'!$B$17:$B$192,$C2026,'5. PERSON'!CP$17:CP$192)+SUMIF('6. OPERATION'!$B$17:$B$149,$C2026,'6. OPERATION'!BS$17:BS$149)+SUMIF('8. FACILIT'!$B$18:$B$50,$C2026,'8. FACILIT'!T$18:T$50))</f>
        <v>0</v>
      </c>
      <c r="D2032" s="116">
        <f>IF('2. START'!$C$11="NO",SUMIF('8. FACILIT'!$B$18:$B$50,$C2026,'8. FACILIT'!U$18:U$50),SUMIF('5. PERSON'!$B$17:$B$192,$C2026,'5. PERSON'!CQ$17:CQ$192)+SUMIF('6. OPERATION'!$B$17:$B$149,$C2026,'6. OPERATION'!BT$17:BT$149)+SUMIF('8. FACILIT'!$B$18:$B$50,$C2026,'8. FACILIT'!U$18:U$50))</f>
        <v>0</v>
      </c>
      <c r="E2032" s="116">
        <f>IF('2. START'!$C$11="NO",SUMIF('8. FACILIT'!$B$18:$B$50,$C2026,'8. FACILIT'!V$18:V$50),SUMIF('5. PERSON'!$B$17:$B$192,$C2026,'5. PERSON'!CR$17:CR$192)+SUMIF('6. OPERATION'!$B$17:$B$149,$C2026,'6. OPERATION'!BU$17:BU$149)+SUMIF('8. FACILIT'!$B$18:$B$50,$C2026,'8. FACILIT'!V$18:V$50))</f>
        <v>0</v>
      </c>
      <c r="F2032" s="116">
        <f>IF('2. START'!$C$11="NO",SUMIF('8. FACILIT'!$B$18:$B$50,$C2026,'8. FACILIT'!W$18:W$50),SUMIF('5. PERSON'!$B$17:$B$192,$C2026,'5. PERSON'!CS$17:CS$192)+SUMIF('6. OPERATION'!$B$17:$B$149,$C2026,'6. OPERATION'!BV$17:BV$149)+SUMIF('8. FACILIT'!$B$18:$B$50,$C2026,'8. FACILIT'!W$18:W$50))</f>
        <v>0</v>
      </c>
      <c r="G2032" s="116">
        <f>IF('2. START'!$C$11="NO",SUMIF('8. FACILIT'!$B$18:$B$50,$C2026,'8. FACILIT'!X$18:X$50),SUMIF('5. PERSON'!$B$17:$B$192,$C2026,'5. PERSON'!CT$17:CT$192)+SUMIF('6. OPERATION'!$B$17:$B$149,$C2026,'6. OPERATION'!BW$17:BW$149)+SUMIF('8. FACILIT'!$B$18:$B$50,$C2026,'8. FACILIT'!X$18:X$50))</f>
        <v>0</v>
      </c>
      <c r="H2032" s="116">
        <f>IF('2. START'!$C$11="NO",SUMIF('8. FACILIT'!$B$18:$B$50,$C2026,'8. FACILIT'!Y$18:Y$50),SUMIF('5. PERSON'!$B$17:$B$192,$C2026,'5. PERSON'!CU$17:CU$192)+SUMIF('6. OPERATION'!$B$17:$B$149,$C2026,'6. OPERATION'!BX$17:BX$149)+SUMIF('8. FACILIT'!$B$18:$B$50,$C2026,'8. FACILIT'!Y$18:Y$50))</f>
        <v>0</v>
      </c>
      <c r="I2032" s="116">
        <f>IF('2. START'!$C$11="NO",SUMIF('8. FACILIT'!$B$18:$B$50,$C2026,'8. FACILIT'!Z$18:Z$50),SUMIF('5. PERSON'!$B$17:$B$192,$C2026,'5. PERSON'!CV$17:CV$192)+SUMIF('6. OPERATION'!$B$17:$B$149,$C2026,'6. OPERATION'!BY$17:BY$149)+SUMIF('8. FACILIT'!$B$18:$B$50,$C2026,'8. FACILIT'!Z$18:Z$50))</f>
        <v>0</v>
      </c>
      <c r="J2032" s="116">
        <f>IF('2. START'!$C$11="NO",SUMIF('8. FACILIT'!$B$18:$B$50,$C2026,'8. FACILIT'!AA$18:AA$50),SUMIF('5. PERSON'!$B$17:$B$192,$C2026,'5. PERSON'!CW$17:CW$192)+SUMIF('6. OPERATION'!$B$17:$B$149,$C2026,'6. OPERATION'!BZ$17:BZ$149)+SUMIF('8. FACILIT'!$B$18:$B$50,$C2026,'8. FACILIT'!AA$18:AA$50))</f>
        <v>0</v>
      </c>
      <c r="K2032" s="116">
        <f>IF('2. START'!$C$11="NO",SUMIF('8. FACILIT'!$B$18:$B$50,$C2026,'8. FACILIT'!AB$18:AB$50),SUMIF('5. PERSON'!$B$17:$B$192,$C2026,'5. PERSON'!CX$17:CX$192)+SUMIF('6. OPERATION'!$B$17:$B$149,$C2026,'6. OPERATION'!CA$17:CA$149)+SUMIF('8. FACILIT'!$B$18:$B$50,$C2026,'8. FACILIT'!AB$18:AB$50))</f>
        <v>0</v>
      </c>
      <c r="L2032" s="116">
        <f>IF('2. START'!$C$11="NO",SUMIF('8. FACILIT'!$B$18:$B$50,$C2026,'8. FACILIT'!AC$18:AC$50),SUMIF('5. PERSON'!$B$17:$B$192,$C2026,'5. PERSON'!CY$17:CY$192)+SUMIF('6. OPERATION'!$B$17:$B$149,$C2026,'6. OPERATION'!CB$17:CB$149)+SUMIF('8. FACILIT'!$B$18:$B$50,$C2026,'8. FACILIT'!AC$18:AC$50))</f>
        <v>0</v>
      </c>
      <c r="M2032" s="117">
        <f t="shared" si="453"/>
        <v>0</v>
      </c>
    </row>
    <row r="2033" spans="2:15" s="3" customFormat="1" ht="13.2" x14ac:dyDescent="0.25">
      <c r="B2033" s="797" t="str">
        <f>IF('1. INTRO'!I$2="English",(IF('2. START'!C$11="NO","Indirect and facility charge accepted as OH by funding body","Indirect")),IF('2. START'!C$11="NO","Indirekt och lokalpåslag accepterade som OH av finansiär","Indirekt"))</f>
        <v>Indirect</v>
      </c>
      <c r="C2033" s="798">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798">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798">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798">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798">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798">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798">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798">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798">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798">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796">
        <f t="shared" si="453"/>
        <v>0</v>
      </c>
    </row>
    <row r="2034" spans="2:15" s="3" customFormat="1" ht="13.2" x14ac:dyDescent="0.25">
      <c r="B2034" s="124" t="s">
        <v>113</v>
      </c>
      <c r="C2034" s="102">
        <f>SUM(C2029:C2033)</f>
        <v>0</v>
      </c>
      <c r="D2034" s="102">
        <f t="shared" ref="D2034:L2034" si="454">SUM(D2029:D2033)</f>
        <v>0</v>
      </c>
      <c r="E2034" s="102">
        <f t="shared" si="454"/>
        <v>0</v>
      </c>
      <c r="F2034" s="102">
        <f t="shared" si="454"/>
        <v>0</v>
      </c>
      <c r="G2034" s="102">
        <f t="shared" si="454"/>
        <v>0</v>
      </c>
      <c r="H2034" s="102">
        <f t="shared" si="454"/>
        <v>0</v>
      </c>
      <c r="I2034" s="102">
        <f t="shared" si="454"/>
        <v>0</v>
      </c>
      <c r="J2034" s="102">
        <f t="shared" si="454"/>
        <v>0</v>
      </c>
      <c r="K2034" s="102">
        <f t="shared" si="454"/>
        <v>0</v>
      </c>
      <c r="L2034" s="102">
        <f t="shared" si="454"/>
        <v>0</v>
      </c>
      <c r="M2034" s="125">
        <f t="shared" si="453"/>
        <v>0</v>
      </c>
    </row>
    <row r="2035" spans="2:15" s="3" customFormat="1" ht="6" customHeight="1" x14ac:dyDescent="0.25">
      <c r="B2035" s="126"/>
      <c r="C2035" s="127"/>
      <c r="D2035" s="127"/>
      <c r="E2035" s="127"/>
      <c r="F2035" s="127"/>
      <c r="G2035" s="127"/>
      <c r="H2035" s="127"/>
      <c r="I2035" s="127"/>
      <c r="J2035" s="127"/>
      <c r="K2035" s="127"/>
      <c r="L2035" s="127"/>
      <c r="M2035" s="128"/>
    </row>
    <row r="2036" spans="2:15" s="3" customFormat="1" ht="13.2" x14ac:dyDescent="0.25">
      <c r="B2036" s="129" t="str">
        <f>IF('1. INTRO'!I$2="English","Costs to be co-funded","Kostnader att medfinansiera")</f>
        <v>Costs to be co-funded</v>
      </c>
      <c r="C2036" s="86"/>
      <c r="D2036" s="86"/>
      <c r="E2036" s="86"/>
      <c r="F2036" s="86"/>
      <c r="G2036" s="86"/>
      <c r="H2036" s="86"/>
      <c r="I2036" s="86"/>
      <c r="J2036" s="86"/>
      <c r="K2036" s="86"/>
      <c r="L2036" s="86"/>
      <c r="M2036" s="130"/>
    </row>
    <row r="2037" spans="2:15" s="3" customFormat="1" ht="13.2" x14ac:dyDescent="0.25">
      <c r="B2037" s="799" t="str">
        <f>IF('1. INTRO'!I$2="English",(IF('2. START'!C$11="NO","Indirect and facility charge not accepted as OH by funding body","")),IF('2. START'!C$11="NO","Indirekt och lokalpåslag inte accepterade som OH av finansiär",""))</f>
        <v/>
      </c>
      <c r="C2037" s="800">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800">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800">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800">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800">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800">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800">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800">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800">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800">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793">
        <f t="shared" ref="M2037:M2043" si="455">SUM(C2037:L2037)</f>
        <v>0</v>
      </c>
    </row>
    <row r="2038" spans="2:15" s="3" customFormat="1" ht="12.75" customHeight="1" x14ac:dyDescent="0.25">
      <c r="B2038" s="132" t="str">
        <f>IF('1. INTRO'!I$2="English",(IF('2. START'!C$14&gt;0,"Social costs (LKP) not accepted by funding body","")),IF('2. START'!C$14&gt;0,"LKP som inte accepteras av finansiär",""))</f>
        <v/>
      </c>
      <c r="C2038" s="133">
        <f>IF('2. START'!$C$14&gt;0,SUMIF('5. PERSON'!$B$17:$B$192,$C2026,'5. PERSON'!AT$17:AT$192)-SUMIF('5. PERSON'!$B$17:$B$192,$C2026,'5. PERSON'!DN$17:DN$192),0)</f>
        <v>0</v>
      </c>
      <c r="D2038" s="133">
        <f>IF('2. START'!$C$14&gt;0,SUMIF('5. PERSON'!$B$17:$B$192,$C2026,'5. PERSON'!AU$17:AU$192)-SUMIF('5. PERSON'!$B$17:$B$192,$C2026,'5. PERSON'!DO$17:DO$192),0)</f>
        <v>0</v>
      </c>
      <c r="E2038" s="133">
        <f>IF('2. START'!$C$14&gt;0,SUMIF('5. PERSON'!$B$17:$B$192,$C2026,'5. PERSON'!AV$17:AV$192)-SUMIF('5. PERSON'!$B$17:$B$192,$C2026,'5. PERSON'!DP$17:DP$192),0)</f>
        <v>0</v>
      </c>
      <c r="F2038" s="133">
        <f>IF('2. START'!$C$14&gt;0,SUMIF('5. PERSON'!$B$17:$B$192,$C2026,'5. PERSON'!AW$17:AW$192)-SUMIF('5. PERSON'!$B$17:$B$192,$C2026,'5. PERSON'!DQ$17:DQ$192),0)</f>
        <v>0</v>
      </c>
      <c r="G2038" s="133">
        <f>IF('2. START'!$C$14&gt;0,SUMIF('5. PERSON'!$B$17:$B$192,$C2026,'5. PERSON'!AX$17:AX$192)-SUMIF('5. PERSON'!$B$17:$B$192,$C2026,'5. PERSON'!DR$17:DR$192),0)</f>
        <v>0</v>
      </c>
      <c r="H2038" s="133">
        <f>IF('2. START'!$C$14&gt;0,SUMIF('5. PERSON'!$B$17:$B$192,$C2026,'5. PERSON'!AY$17:AY$192)-SUMIF('5. PERSON'!$B$17:$B$192,$C2026,'5. PERSON'!DS$17:DS$192),0)</f>
        <v>0</v>
      </c>
      <c r="I2038" s="133">
        <f>IF('2. START'!$C$14&gt;0,SUMIF('5. PERSON'!$B$17:$B$192,$C2026,'5. PERSON'!AZ$17:AZ$192)-SUMIF('5. PERSON'!$B$17:$B$192,$C2026,'5. PERSON'!DT$17:DT$192),0)</f>
        <v>0</v>
      </c>
      <c r="J2038" s="133">
        <f>IF('2. START'!$C$14&gt;0,SUMIF('5. PERSON'!$B$17:$B$192,$C2026,'5. PERSON'!BA$17:BA$192)-SUMIF('5. PERSON'!$B$17:$B$192,$C2026,'5. PERSON'!DU$17:DU$192),0)</f>
        <v>0</v>
      </c>
      <c r="K2038" s="133">
        <f>IF('2. START'!$C$14&gt;0,SUMIF('5. PERSON'!$B$17:$B$192,$C2026,'5. PERSON'!BB$17:BB$192)-SUMIF('5. PERSON'!$B$17:$B$192,$C2026,'5. PERSON'!DV$17:DV$192),0)</f>
        <v>0</v>
      </c>
      <c r="L2038" s="133">
        <f>IF('2. START'!$C$14&gt;0,SUMIF('5. PERSON'!$B$17:$B$192,$C2026,'5. PERSON'!BC$17:BC$192)-SUMIF('5. PERSON'!$B$17:$B$192,$C2026,'5. PERSON'!DW$17:DW$192),0)</f>
        <v>0</v>
      </c>
      <c r="M2038" s="117">
        <f t="shared" si="455"/>
        <v>0</v>
      </c>
    </row>
    <row r="2039" spans="2:15" s="3" customFormat="1" ht="12.75" customHeight="1" x14ac:dyDescent="0.25">
      <c r="B2039" s="794" t="str">
        <f>IF('1. INTRO'!I$2="English",(IF('5. PERSON'!BP$193&gt;0,"Salary including social costs (LKP)","")),IF('5. PERSON'!BP$193&gt;0,"Lön inklusive LKP",""))</f>
        <v/>
      </c>
      <c r="C2039" s="801">
        <f>SUMIF('5. PERSON'!$B$17:$B$192,$C2026,'5. PERSON'!BF$17:BF$192)</f>
        <v>0</v>
      </c>
      <c r="D2039" s="801">
        <f>SUMIF('5. PERSON'!$B$17:$B$192,$C2026,'5. PERSON'!BG$17:BG$192)</f>
        <v>0</v>
      </c>
      <c r="E2039" s="801">
        <f>SUMIF('5. PERSON'!$B$17:$B$192,$C2026,'5. PERSON'!BH$17:BH$192)</f>
        <v>0</v>
      </c>
      <c r="F2039" s="801">
        <f>SUMIF('5. PERSON'!$B$17:$B$192,$C2026,'5. PERSON'!BI$17:BI$192)</f>
        <v>0</v>
      </c>
      <c r="G2039" s="801">
        <f>SUMIF('5. PERSON'!$B$17:$B$192,$C2026,'5. PERSON'!BJ$17:BJ$192)</f>
        <v>0</v>
      </c>
      <c r="H2039" s="801">
        <f>SUMIF('5. PERSON'!$B$17:$B$192,$C2026,'5. PERSON'!BK$17:BK$192)</f>
        <v>0</v>
      </c>
      <c r="I2039" s="801">
        <f>SUMIF('5. PERSON'!$B$17:$B$192,$C2026,'5. PERSON'!BL$17:BL$192)</f>
        <v>0</v>
      </c>
      <c r="J2039" s="801">
        <f>SUMIF('5. PERSON'!$B$17:$B$192,$C2026,'5. PERSON'!BM$17:BM$192)</f>
        <v>0</v>
      </c>
      <c r="K2039" s="801">
        <f>SUMIF('5. PERSON'!$B$17:$B$192,$C2026,'5. PERSON'!BN$17:BN$192)</f>
        <v>0</v>
      </c>
      <c r="L2039" s="801">
        <f>SUMIF('5. PERSON'!$B$17:$B$192,$C2026,'5. PERSON'!BO$17:BO$192)</f>
        <v>0</v>
      </c>
      <c r="M2039" s="796">
        <f t="shared" si="455"/>
        <v>0</v>
      </c>
    </row>
    <row r="2040" spans="2:15" s="3" customFormat="1" ht="13.2" x14ac:dyDescent="0.25">
      <c r="B2040" s="80" t="str">
        <f>IF('1. INTRO'!I$2="English",(IF('6. OPERATION'!AS$150&gt;0,"Operating","")),IF('6. OPERATION'!AS$150&gt;0,"Drift",""))</f>
        <v/>
      </c>
      <c r="C2040" s="135">
        <f>SUMIF('6. OPERATION'!$B$17:$B$149,$C2026,'6. OPERATION'!AI$17:AI$149)</f>
        <v>0</v>
      </c>
      <c r="D2040" s="135">
        <f>SUMIF('6. OPERATION'!$B$17:$B$149,$C2026,'6. OPERATION'!AJ$17:AJ$149)</f>
        <v>0</v>
      </c>
      <c r="E2040" s="135">
        <f>SUMIF('6. OPERATION'!$B$17:$B$149,$C2026,'6. OPERATION'!AK$17:AK$149)</f>
        <v>0</v>
      </c>
      <c r="F2040" s="135">
        <f>SUMIF('6. OPERATION'!$B$17:$B$149,$C2026,'6. OPERATION'!AL$17:AL$149)</f>
        <v>0</v>
      </c>
      <c r="G2040" s="135">
        <f>SUMIF('6. OPERATION'!$B$17:$B$149,$C2026,'6. OPERATION'!AM$17:AM$149)</f>
        <v>0</v>
      </c>
      <c r="H2040" s="135">
        <f>SUMIF('6. OPERATION'!$B$17:$B$149,$C2026,'6. OPERATION'!AN$17:AN$149)</f>
        <v>0</v>
      </c>
      <c r="I2040" s="135">
        <f>SUMIF('6. OPERATION'!$B$17:$B$149,$C2026,'6. OPERATION'!AO$17:AO$149)</f>
        <v>0</v>
      </c>
      <c r="J2040" s="135">
        <f>SUMIF('6. OPERATION'!$B$17:$B$149,$C2026,'6. OPERATION'!AP$17:AP$149)</f>
        <v>0</v>
      </c>
      <c r="K2040" s="135">
        <f>SUMIF('6. OPERATION'!$B$17:$B$149,$C2026,'6. OPERATION'!AQ$17:AQ$149)</f>
        <v>0</v>
      </c>
      <c r="L2040" s="135">
        <f>SUMIF('6. OPERATION'!$B$17:$B$149,$C2026,'6. OPERATION'!AR$17:AR$149)</f>
        <v>0</v>
      </c>
      <c r="M2040" s="117">
        <f t="shared" si="455"/>
        <v>0</v>
      </c>
    </row>
    <row r="2041" spans="2:15" s="3" customFormat="1" ht="13.2" x14ac:dyDescent="0.25">
      <c r="B2041" s="794" t="str">
        <f>IF('1. INTRO'!I$2="English",(IF('7. INVEST'!AS$50&gt;0,"Equipment","")),IF('7. INVEST'!AS$50&gt;0,"Utrustning",""))</f>
        <v/>
      </c>
      <c r="C2041" s="801">
        <f>SUMIF('7. INVEST'!$B$17:$B$49,$C2026,'7. INVEST'!AI$17:AI$49)</f>
        <v>0</v>
      </c>
      <c r="D2041" s="801">
        <f>SUMIF('7. INVEST'!$B$17:$B$49,$C2026,'7. INVEST'!AJ$17:AJ$49)</f>
        <v>0</v>
      </c>
      <c r="E2041" s="801">
        <f>SUMIF('7. INVEST'!$B$17:$B$49,$C2026,'7. INVEST'!AK$17:AK$49)</f>
        <v>0</v>
      </c>
      <c r="F2041" s="801">
        <f>SUMIF('7. INVEST'!$B$17:$B$49,$C2026,'7. INVEST'!AL$17:AL$49)</f>
        <v>0</v>
      </c>
      <c r="G2041" s="801">
        <f>SUMIF('7. INVEST'!$B$17:$B$49,$C2026,'7. INVEST'!AM$17:AM$49)</f>
        <v>0</v>
      </c>
      <c r="H2041" s="801">
        <f>SUMIF('7. INVEST'!$B$17:$B$49,$C2026,'7. INVEST'!AN$17:AN$49)</f>
        <v>0</v>
      </c>
      <c r="I2041" s="801">
        <f>SUMIF('7. INVEST'!$B$17:$B$49,$C2026,'7. INVEST'!AO$17:AO$49)</f>
        <v>0</v>
      </c>
      <c r="J2041" s="801">
        <f>SUMIF('7. INVEST'!$B$17:$B$49,$C2026,'7. INVEST'!AP$17:AP$49)</f>
        <v>0</v>
      </c>
      <c r="K2041" s="801">
        <f>SUMIF('7. INVEST'!$B$17:$B$49,$C2026,'7. INVEST'!AQ$17:AQ$49)</f>
        <v>0</v>
      </c>
      <c r="L2041" s="801">
        <f>SUMIF('7. INVEST'!$B$17:$B$49,$C2026,'7. INVEST'!AR$17:AR$49)</f>
        <v>0</v>
      </c>
      <c r="M2041" s="796">
        <f t="shared" si="455"/>
        <v>0</v>
      </c>
    </row>
    <row r="2042" spans="2:15" s="3" customFormat="1" ht="13.2" x14ac:dyDescent="0.25">
      <c r="B2042" s="121" t="str">
        <f>IF('1. INTRO'!I$2="English",(IF('8. FACILIT'!AP$51&gt;0,"Facility","")),IF('8. FACILIT'!AP$51&gt;0,"Lokal",""))</f>
        <v/>
      </c>
      <c r="C2042" s="135">
        <f>SUMIF('5. PERSON'!$B$17:$B$192,$C2026,'5. PERSON'!DB$17:DB$192)+SUMIF('6. OPERATION'!$B$17:$B$149,$C2026,'6. OPERATION'!CE$17:CE$149)+SUMIF('8. FACILIT'!$B$18:$B$50,$C2026,'8. FACILIT'!AF$18:AF$50)</f>
        <v>0</v>
      </c>
      <c r="D2042" s="135">
        <f>SUMIF('5. PERSON'!$B$17:$B$192,$C2026,'5. PERSON'!DC$17:DC$192)+SUMIF('6. OPERATION'!$B$17:$B$149,$C2026,'6. OPERATION'!CF$17:CF$149)+SUMIF('8. FACILIT'!$B$18:$B$50,$C2026,'8. FACILIT'!AG$18:AG$50)</f>
        <v>0</v>
      </c>
      <c r="E2042" s="135">
        <f>SUMIF('5. PERSON'!$B$17:$B$192,$C2026,'5. PERSON'!DD$17:DD$192)+SUMIF('6. OPERATION'!$B$17:$B$149,$C2026,'6. OPERATION'!CG$17:CG$149)+SUMIF('8. FACILIT'!$B$18:$B$50,$C2026,'8. FACILIT'!AH$18:AH$50)</f>
        <v>0</v>
      </c>
      <c r="F2042" s="135">
        <f>SUMIF('5. PERSON'!$B$17:$B$192,$C2026,'5. PERSON'!DE$17:DE$192)+SUMIF('6. OPERATION'!$B$17:$B$149,$C2026,'6. OPERATION'!CH$17:CH$149)+SUMIF('8. FACILIT'!$B$18:$B$50,$C2026,'8. FACILIT'!AI$18:AI$50)</f>
        <v>0</v>
      </c>
      <c r="G2042" s="135">
        <f>SUMIF('5. PERSON'!$B$17:$B$192,$C2026,'5. PERSON'!DF$17:DF$192)+SUMIF('6. OPERATION'!$B$17:$B$149,$C2026,'6. OPERATION'!CI$17:CI$149)+SUMIF('8. FACILIT'!$B$18:$B$50,$C2026,'8. FACILIT'!AJ$18:AJ$50)</f>
        <v>0</v>
      </c>
      <c r="H2042" s="135">
        <f>SUMIF('5. PERSON'!$B$17:$B$192,$C2026,'5. PERSON'!DG$17:DG$192)+SUMIF('6. OPERATION'!$B$17:$B$149,$C2026,'6. OPERATION'!CJ$17:CJ$149)+SUMIF('8. FACILIT'!$B$18:$B$50,$C2026,'8. FACILIT'!AK$18:AK$50)</f>
        <v>0</v>
      </c>
      <c r="I2042" s="135">
        <f>SUMIF('5. PERSON'!$B$17:$B$192,$C2026,'5. PERSON'!DH$17:DH$192)+SUMIF('6. OPERATION'!$B$17:$B$149,$C2026,'6. OPERATION'!CK$17:CK$149)+SUMIF('8. FACILIT'!$B$18:$B$50,$C2026,'8. FACILIT'!AL$18:AL$50)</f>
        <v>0</v>
      </c>
      <c r="J2042" s="135">
        <f>SUMIF('5. PERSON'!$B$17:$B$192,$C2026,'5. PERSON'!DI$17:DI$192)+SUMIF('6. OPERATION'!$B$17:$B$149,$C2026,'6. OPERATION'!CL$17:CL$149)+SUMIF('8. FACILIT'!$B$18:$B$50,$C2026,'8. FACILIT'!AM$18:AM$50)</f>
        <v>0</v>
      </c>
      <c r="K2042" s="135">
        <f>SUMIF('5. PERSON'!$B$17:$B$192,$C2026,'5. PERSON'!DJ$17:DJ$192)+SUMIF('6. OPERATION'!$B$17:$B$149,$C2026,'6. OPERATION'!CM$17:CM$149)+SUMIF('8. FACILIT'!$B$18:$B$50,$C2026,'8. FACILIT'!AN$18:AN$50)</f>
        <v>0</v>
      </c>
      <c r="L2042" s="135">
        <f>SUMIF('5. PERSON'!$B$17:$B$192,$C2026,'5. PERSON'!DK$17:DK$192)+SUMIF('6. OPERATION'!$B$17:$B$149,$C2026,'6. OPERATION'!CN$17:CN$149)+SUMIF('8. FACILIT'!$B$18:$B$50,$C2026,'8. FACILIT'!AO$18:AO$50)</f>
        <v>0</v>
      </c>
      <c r="M2042" s="117">
        <f t="shared" si="455"/>
        <v>0</v>
      </c>
    </row>
    <row r="2043" spans="2:15" s="1" customFormat="1" ht="13.2" x14ac:dyDescent="0.25">
      <c r="B2043" s="797" t="str">
        <f>IF('1. INTRO'!I$2="English",(IF(('5. PERSON'!CN$193+'6. OPERATION'!BQ$150)&gt;0,"Indirect","")),IF(('5. PERSON'!CN$193+'6. OPERATION'!BQ$150)&gt;0,"Indirekt",""))</f>
        <v/>
      </c>
      <c r="C2043" s="798">
        <f>SUMIF('5. PERSON'!$B$17:$B$192,$C2026,'5. PERSON'!CD$17:CD$192)+SUMIF('6. OPERATION'!$B$17:$B$149,$C2026,'6. OPERATION'!BG$17:BG$149)</f>
        <v>0</v>
      </c>
      <c r="D2043" s="798">
        <f>SUMIF('5. PERSON'!$B$17:$B$192,$C2026,'5. PERSON'!CE$17:CE$192)+SUMIF('6. OPERATION'!$B$17:$B$149,$C2026,'6. OPERATION'!BH$17:BH$149)</f>
        <v>0</v>
      </c>
      <c r="E2043" s="798">
        <f>SUMIF('5. PERSON'!$B$17:$B$192,$C2026,'5. PERSON'!CF$17:CF$192)+SUMIF('6. OPERATION'!$B$17:$B$149,$C2026,'6. OPERATION'!BI$17:BI$149)</f>
        <v>0</v>
      </c>
      <c r="F2043" s="798">
        <f>SUMIF('5. PERSON'!$B$17:$B$192,$C2026,'5. PERSON'!CG$17:CG$192)+SUMIF('6. OPERATION'!$B$17:$B$149,$C2026,'6. OPERATION'!BJ$17:BJ$149)</f>
        <v>0</v>
      </c>
      <c r="G2043" s="798">
        <f>SUMIF('5. PERSON'!$B$17:$B$192,$C2026,'5. PERSON'!CH$17:CH$192)+SUMIF('6. OPERATION'!$B$17:$B$149,$C2026,'6. OPERATION'!BK$17:BK$149)</f>
        <v>0</v>
      </c>
      <c r="H2043" s="798">
        <f>SUMIF('5. PERSON'!$B$17:$B$192,$C2026,'5. PERSON'!CI$17:CI$192)+SUMIF('6. OPERATION'!$B$17:$B$149,$C2026,'6. OPERATION'!BL$17:BL$149)</f>
        <v>0</v>
      </c>
      <c r="I2043" s="798">
        <f>SUMIF('5. PERSON'!$B$17:$B$192,$C2026,'5. PERSON'!CJ$17:CJ$192)+SUMIF('6. OPERATION'!$B$17:$B$149,$C2026,'6. OPERATION'!BM$17:BM$149)</f>
        <v>0</v>
      </c>
      <c r="J2043" s="798">
        <f>SUMIF('5. PERSON'!$B$17:$B$192,$C2026,'5. PERSON'!CK$17:CK$192)+SUMIF('6. OPERATION'!$B$17:$B$149,$C2026,'6. OPERATION'!BN$17:BN$149)</f>
        <v>0</v>
      </c>
      <c r="K2043" s="798">
        <f>SUMIF('5. PERSON'!$B$17:$B$192,$C2026,'5. PERSON'!CL$17:CL$192)+SUMIF('6. OPERATION'!$B$17:$B$149,$C2026,'6. OPERATION'!BO$17:BO$149)</f>
        <v>0</v>
      </c>
      <c r="L2043" s="798">
        <f>SUMIF('5. PERSON'!$B$17:$B$192,$C2026,'5. PERSON'!CM$17:CM$192)+SUMIF('6. OPERATION'!$B$17:$B$149,$C2026,'6. OPERATION'!BP$17:BP$149)</f>
        <v>0</v>
      </c>
      <c r="M2043" s="802">
        <f t="shared" si="455"/>
        <v>0</v>
      </c>
    </row>
    <row r="2044" spans="2:15" s="3" customFormat="1" ht="13.2" x14ac:dyDescent="0.25">
      <c r="B2044" s="124" t="s">
        <v>113</v>
      </c>
      <c r="C2044" s="102">
        <f>SUM(C2037:C2043)</f>
        <v>0</v>
      </c>
      <c r="D2044" s="102">
        <f t="shared" ref="D2044:M2044" si="456">SUM(D2037:D2043)</f>
        <v>0</v>
      </c>
      <c r="E2044" s="102">
        <f t="shared" si="456"/>
        <v>0</v>
      </c>
      <c r="F2044" s="102">
        <f t="shared" si="456"/>
        <v>0</v>
      </c>
      <c r="G2044" s="102">
        <f t="shared" si="456"/>
        <v>0</v>
      </c>
      <c r="H2044" s="102">
        <f t="shared" si="456"/>
        <v>0</v>
      </c>
      <c r="I2044" s="102">
        <f t="shared" si="456"/>
        <v>0</v>
      </c>
      <c r="J2044" s="102">
        <f t="shared" si="456"/>
        <v>0</v>
      </c>
      <c r="K2044" s="102">
        <f t="shared" si="456"/>
        <v>0</v>
      </c>
      <c r="L2044" s="102">
        <f t="shared" si="456"/>
        <v>0</v>
      </c>
      <c r="M2044" s="125">
        <f t="shared" si="456"/>
        <v>0</v>
      </c>
      <c r="N2044" s="23"/>
      <c r="O2044" s="23"/>
    </row>
    <row r="2045" spans="2:15" s="3" customFormat="1" ht="6" customHeight="1" x14ac:dyDescent="0.25">
      <c r="B2045" s="136"/>
      <c r="C2045" s="127"/>
      <c r="D2045" s="127"/>
      <c r="E2045" s="127"/>
      <c r="F2045" s="127"/>
      <c r="G2045" s="127"/>
      <c r="H2045" s="127"/>
      <c r="I2045" s="127"/>
      <c r="J2045" s="127"/>
      <c r="K2045" s="127"/>
      <c r="L2045" s="127"/>
      <c r="M2045" s="137"/>
    </row>
    <row r="2046" spans="2:15" s="3" customFormat="1" ht="13.2" x14ac:dyDescent="0.25">
      <c r="B2046" s="129" t="str">
        <f>IF('1. INTRO'!I$2="English","Full cost","Full kostnad")</f>
        <v>Full cost</v>
      </c>
      <c r="C2046" s="127"/>
      <c r="D2046" s="127"/>
      <c r="E2046" s="127"/>
      <c r="F2046" s="127"/>
      <c r="G2046" s="127"/>
      <c r="H2046" s="127"/>
      <c r="I2046" s="127"/>
      <c r="J2046" s="127"/>
      <c r="K2046" s="127"/>
      <c r="L2046" s="127"/>
      <c r="M2046" s="137"/>
    </row>
    <row r="2047" spans="2:15" s="3" customFormat="1" ht="13.2" x14ac:dyDescent="0.25">
      <c r="B2047" s="791" t="str">
        <f>IF('1. INTRO'!I$2="English","Salary including social costs (LKP)","Lön inklusive LKP")</f>
        <v>Salary including social costs (LKP)</v>
      </c>
      <c r="C2047" s="803">
        <f>C2029+C2038+C2039</f>
        <v>0</v>
      </c>
      <c r="D2047" s="803">
        <f t="shared" ref="D2047:L2047" si="457">D2029+D2038+D2039</f>
        <v>0</v>
      </c>
      <c r="E2047" s="803">
        <f t="shared" si="457"/>
        <v>0</v>
      </c>
      <c r="F2047" s="803">
        <f t="shared" si="457"/>
        <v>0</v>
      </c>
      <c r="G2047" s="803">
        <f t="shared" si="457"/>
        <v>0</v>
      </c>
      <c r="H2047" s="803">
        <f t="shared" si="457"/>
        <v>0</v>
      </c>
      <c r="I2047" s="803">
        <f t="shared" si="457"/>
        <v>0</v>
      </c>
      <c r="J2047" s="803">
        <f t="shared" si="457"/>
        <v>0</v>
      </c>
      <c r="K2047" s="803">
        <f t="shared" si="457"/>
        <v>0</v>
      </c>
      <c r="L2047" s="803">
        <f t="shared" si="457"/>
        <v>0</v>
      </c>
      <c r="M2047" s="793">
        <f>SUM(C2047:L2047)</f>
        <v>0</v>
      </c>
    </row>
    <row r="2048" spans="2:15" s="3" customFormat="1" ht="13.2" x14ac:dyDescent="0.25">
      <c r="B2048" s="80" t="str">
        <f>IF('1. INTRO'!I$2="English","Operating","Drift")</f>
        <v>Operating</v>
      </c>
      <c r="C2048" s="139">
        <f>C2030+C2040</f>
        <v>0</v>
      </c>
      <c r="D2048" s="139">
        <f t="shared" ref="D2048:L2048" si="458">D2030+D2040</f>
        <v>0</v>
      </c>
      <c r="E2048" s="139">
        <f t="shared" si="458"/>
        <v>0</v>
      </c>
      <c r="F2048" s="139">
        <f t="shared" si="458"/>
        <v>0</v>
      </c>
      <c r="G2048" s="139">
        <f t="shared" si="458"/>
        <v>0</v>
      </c>
      <c r="H2048" s="139">
        <f t="shared" si="458"/>
        <v>0</v>
      </c>
      <c r="I2048" s="139">
        <f t="shared" si="458"/>
        <v>0</v>
      </c>
      <c r="J2048" s="139">
        <f t="shared" si="458"/>
        <v>0</v>
      </c>
      <c r="K2048" s="139">
        <f t="shared" si="458"/>
        <v>0</v>
      </c>
      <c r="L2048" s="139">
        <f t="shared" si="458"/>
        <v>0</v>
      </c>
      <c r="M2048" s="117">
        <f>SUM(C2048:L2048)</f>
        <v>0</v>
      </c>
    </row>
    <row r="2049" spans="2:13" s="3" customFormat="1" ht="13.2" x14ac:dyDescent="0.25">
      <c r="B2049" s="794" t="str">
        <f>IF('1. INTRO'!I$2="English","Equipment","Utrustning")</f>
        <v>Equipment</v>
      </c>
      <c r="C2049" s="804">
        <f>C2031+C2041</f>
        <v>0</v>
      </c>
      <c r="D2049" s="804">
        <f t="shared" ref="D2049:L2049" si="459">D2031+D2041</f>
        <v>0</v>
      </c>
      <c r="E2049" s="804">
        <f t="shared" si="459"/>
        <v>0</v>
      </c>
      <c r="F2049" s="804">
        <f t="shared" si="459"/>
        <v>0</v>
      </c>
      <c r="G2049" s="804">
        <f t="shared" si="459"/>
        <v>0</v>
      </c>
      <c r="H2049" s="804">
        <f t="shared" si="459"/>
        <v>0</v>
      </c>
      <c r="I2049" s="804">
        <f t="shared" si="459"/>
        <v>0</v>
      </c>
      <c r="J2049" s="804">
        <f t="shared" si="459"/>
        <v>0</v>
      </c>
      <c r="K2049" s="804">
        <f t="shared" si="459"/>
        <v>0</v>
      </c>
      <c r="L2049" s="804">
        <f t="shared" si="459"/>
        <v>0</v>
      </c>
      <c r="M2049" s="796">
        <f>SUM(C2049:L2049)</f>
        <v>0</v>
      </c>
    </row>
    <row r="2050" spans="2:13" s="3" customFormat="1" ht="13.2" x14ac:dyDescent="0.25">
      <c r="B2050" s="80" t="str">
        <f>IF('1. INTRO'!I$2="English","Facility","Lokal")</f>
        <v>Facility</v>
      </c>
      <c r="C2050" s="139">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39">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39">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39">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39">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39">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39">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39">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39">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39">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117">
        <f>SUM(C2050:L2050)</f>
        <v>0</v>
      </c>
    </row>
    <row r="2051" spans="2:13" s="3" customFormat="1" ht="13.2" x14ac:dyDescent="0.25">
      <c r="B2051" s="805" t="str">
        <f>IF('1. INTRO'!I$2="English","Indirect","Indirekt")</f>
        <v>Indirect</v>
      </c>
      <c r="C2051" s="806">
        <f>SUMIF('5. PERSON'!$B$17:$B$192,$C2026,'5. PERSON'!BR$17:BR$192)+SUMIF('5. PERSON'!$B$17:$B$192,$C2026,'5. PERSON'!CD$17:CD$192)+SUMIF('6. OPERATION'!$B$17:$B$149,$C2026,'6. OPERATION'!AU$17:AU$149)+SUMIF('6. OPERATION'!$B$17:$B$149,$C2026,'6. OPERATION'!BG$17:BG$149)</f>
        <v>0</v>
      </c>
      <c r="D2051" s="806">
        <f>SUMIF('5. PERSON'!$B$17:$B$192,$C2026,'5. PERSON'!BS$17:BS$192)+SUMIF('5. PERSON'!$B$17:$B$192,$C2026,'5. PERSON'!CE$17:CE$192)+SUMIF('6. OPERATION'!$B$17:$B$149,$C2026,'6. OPERATION'!AV$17:AV$149)+SUMIF('6. OPERATION'!$B$17:$B$149,$C2026,'6. OPERATION'!BH$17:BH$149)</f>
        <v>0</v>
      </c>
      <c r="E2051" s="806">
        <f>SUMIF('5. PERSON'!$B$17:$B$192,$C2026,'5. PERSON'!BT$17:BT$192)+SUMIF('5. PERSON'!$B$17:$B$192,$C2026,'5. PERSON'!CF$17:CF$192)+SUMIF('6. OPERATION'!$B$17:$B$149,$C2026,'6. OPERATION'!AW$17:AW$149)+SUMIF('6. OPERATION'!$B$17:$B$149,$C2026,'6. OPERATION'!BI$17:BI$149)</f>
        <v>0</v>
      </c>
      <c r="F2051" s="806">
        <f>SUMIF('5. PERSON'!$B$17:$B$192,$C2026,'5. PERSON'!BU$17:BU$192)+SUMIF('5. PERSON'!$B$17:$B$192,$C2026,'5. PERSON'!CG$17:CG$192)+SUMIF('6. OPERATION'!$B$17:$B$149,$C2026,'6. OPERATION'!AX$17:AX$149)+SUMIF('6. OPERATION'!$B$17:$B$149,$C2026,'6. OPERATION'!BJ$17:BJ$149)</f>
        <v>0</v>
      </c>
      <c r="G2051" s="806">
        <f>SUMIF('5. PERSON'!$B$17:$B$192,$C2026,'5. PERSON'!BV$17:BV$192)+SUMIF('5. PERSON'!$B$17:$B$192,$C2026,'5. PERSON'!CH$17:CH$192)+SUMIF('6. OPERATION'!$B$17:$B$149,$C2026,'6. OPERATION'!AY$17:AY$149)+SUMIF('6. OPERATION'!$B$17:$B$149,$C2026,'6. OPERATION'!BK$17:BK$149)</f>
        <v>0</v>
      </c>
      <c r="H2051" s="806">
        <f>SUMIF('5. PERSON'!$B$17:$B$192,$C2026,'5. PERSON'!BW$17:BW$192)+SUMIF('5. PERSON'!$B$17:$B$192,$C2026,'5. PERSON'!CI$17:CI$192)+SUMIF('6. OPERATION'!$B$17:$B$149,$C2026,'6. OPERATION'!AZ$17:AZ$149)+SUMIF('6. OPERATION'!$B$17:$B$149,$C2026,'6. OPERATION'!BL$17:BL$149)</f>
        <v>0</v>
      </c>
      <c r="I2051" s="806">
        <f>SUMIF('5. PERSON'!$B$17:$B$192,$C2026,'5. PERSON'!BX$17:BX$192)+SUMIF('5. PERSON'!$B$17:$B$192,$C2026,'5. PERSON'!CJ$17:CJ$192)+SUMIF('6. OPERATION'!$B$17:$B$149,$C2026,'6. OPERATION'!BA$17:BA$149)+SUMIF('6. OPERATION'!$B$17:$B$149,$C2026,'6. OPERATION'!BM$17:BM$149)</f>
        <v>0</v>
      </c>
      <c r="J2051" s="806">
        <f>SUMIF('5. PERSON'!$B$17:$B$192,$C2026,'5. PERSON'!BY$17:BY$192)+SUMIF('5. PERSON'!$B$17:$B$192,$C2026,'5. PERSON'!CK$17:CK$192)+SUMIF('6. OPERATION'!$B$17:$B$149,$C2026,'6. OPERATION'!BB$17:BB$149)+SUMIF('6. OPERATION'!$B$17:$B$149,$C2026,'6. OPERATION'!BN$17:BN$149)</f>
        <v>0</v>
      </c>
      <c r="K2051" s="806">
        <f>SUMIF('5. PERSON'!$B$17:$B$192,$C2026,'5. PERSON'!BZ$17:BZ$192)+SUMIF('5. PERSON'!$B$17:$B$192,$C2026,'5. PERSON'!CL$17:CL$192)+SUMIF('6. OPERATION'!$B$17:$B$149,$C2026,'6. OPERATION'!BC$17:BC$149)+SUMIF('6. OPERATION'!$B$17:$B$149,$C2026,'6. OPERATION'!BO$17:BO$149)</f>
        <v>0</v>
      </c>
      <c r="L2051" s="806">
        <f>SUMIF('5. PERSON'!$B$17:$B$192,$C2026,'5. PERSON'!CA$17:CA$192)+SUMIF('5. PERSON'!$B$17:$B$192,$C2026,'5. PERSON'!CM$17:CM$192)+SUMIF('6. OPERATION'!$B$17:$B$149,$C2026,'6. OPERATION'!BD$17:BD$149)+SUMIF('6. OPERATION'!$B$17:$B$149,$C2026,'6. OPERATION'!BP$17:BP$149)</f>
        <v>0</v>
      </c>
      <c r="M2051" s="802">
        <f>SUM(C2051:L2051)</f>
        <v>0</v>
      </c>
    </row>
    <row r="2052" spans="2:13" s="3" customFormat="1" ht="13.2" x14ac:dyDescent="0.25">
      <c r="B2052" s="124" t="s">
        <v>113</v>
      </c>
      <c r="C2052" s="88">
        <f>SUM(C2047:C2051)</f>
        <v>0</v>
      </c>
      <c r="D2052" s="88">
        <f t="shared" ref="D2052:M2052" si="460">SUM(D2047:D2051)</f>
        <v>0</v>
      </c>
      <c r="E2052" s="88">
        <f t="shared" si="460"/>
        <v>0</v>
      </c>
      <c r="F2052" s="88">
        <f t="shared" si="460"/>
        <v>0</v>
      </c>
      <c r="G2052" s="88">
        <f t="shared" si="460"/>
        <v>0</v>
      </c>
      <c r="H2052" s="88">
        <f t="shared" si="460"/>
        <v>0</v>
      </c>
      <c r="I2052" s="88">
        <f t="shared" si="460"/>
        <v>0</v>
      </c>
      <c r="J2052" s="88">
        <f t="shared" si="460"/>
        <v>0</v>
      </c>
      <c r="K2052" s="88">
        <f t="shared" si="460"/>
        <v>0</v>
      </c>
      <c r="L2052" s="88">
        <f t="shared" si="460"/>
        <v>0</v>
      </c>
      <c r="M2052" s="142">
        <f t="shared" si="460"/>
        <v>0</v>
      </c>
    </row>
    <row r="2053" spans="2:13" s="3" customFormat="1" ht="13.2" x14ac:dyDescent="0.25">
      <c r="B2053" s="287"/>
      <c r="C2053" s="37"/>
      <c r="D2053" s="37"/>
      <c r="E2053" s="37"/>
      <c r="F2053" s="37"/>
      <c r="G2053" s="37"/>
      <c r="H2053" s="37"/>
      <c r="I2053" s="37"/>
      <c r="J2053" s="37"/>
      <c r="K2053" s="37"/>
      <c r="L2053" s="37"/>
      <c r="M2053" s="37"/>
    </row>
    <row r="2054" spans="2:13" s="3" customFormat="1" ht="12.75" customHeight="1" x14ac:dyDescent="0.25">
      <c r="B2054" s="656" t="str">
        <f>IF('1. INTRO'!I$2="English","Co-funding share in full cost ","Medfinansieringsandel i full kostnad ")</f>
        <v xml:space="preserve">Co-funding share in full cost </v>
      </c>
      <c r="C2054" s="143" t="str">
        <f t="shared" ref="C2054:M2054" si="461">IF(C2052&gt;0,C2044/C2052,"")</f>
        <v/>
      </c>
      <c r="D2054" s="143" t="str">
        <f t="shared" si="461"/>
        <v/>
      </c>
      <c r="E2054" s="143" t="str">
        <f t="shared" si="461"/>
        <v/>
      </c>
      <c r="F2054" s="143" t="str">
        <f t="shared" si="461"/>
        <v/>
      </c>
      <c r="G2054" s="143" t="str">
        <f t="shared" si="461"/>
        <v/>
      </c>
      <c r="H2054" s="143" t="str">
        <f t="shared" si="461"/>
        <v/>
      </c>
      <c r="I2054" s="143" t="str">
        <f t="shared" si="461"/>
        <v/>
      </c>
      <c r="J2054" s="143" t="str">
        <f t="shared" si="461"/>
        <v/>
      </c>
      <c r="K2054" s="143" t="str">
        <f t="shared" si="461"/>
        <v/>
      </c>
      <c r="L2054" s="143" t="str">
        <f t="shared" si="461"/>
        <v/>
      </c>
      <c r="M2054" s="143" t="str">
        <f t="shared" si="461"/>
        <v/>
      </c>
    </row>
    <row r="2055" spans="2:13" ht="12.75" customHeight="1" x14ac:dyDescent="0.2"/>
    <row r="2056" spans="2:13" ht="12.75" customHeight="1" x14ac:dyDescent="0.25">
      <c r="D2056" s="656" t="str">
        <f>IF('1. INTRO'!I$2="English","Co-funding need in average per year: ","Medfinansieringsbehov i genomsnitt per år: ")</f>
        <v xml:space="preserve">Co-funding need in average per year: </v>
      </c>
      <c r="E2056" s="807" t="str">
        <f>IF(M2044=0,"",M2044/(DATEDIF('2. START'!C$18,'2. START'!C$19,"d")/365))</f>
        <v/>
      </c>
      <c r="H2056" s="656" t="str">
        <f>IF('1. INTRO'!I$2="English","Co-funding need 1/3 of total: ","Medfinansieringsbehov 1/3 av totalt: ")</f>
        <v xml:space="preserve">Co-funding need 1/3 of total: </v>
      </c>
      <c r="I2056" s="807">
        <f>M2044/3</f>
        <v>0</v>
      </c>
      <c r="L2056" s="287" t="str">
        <f>IF('1. INTRO'!I$2="English","Co-funding need total: ","Medfinansieringsbehov totalt: ")</f>
        <v xml:space="preserve">Co-funding need total: </v>
      </c>
      <c r="M2056" s="807">
        <f>M2044</f>
        <v>0</v>
      </c>
    </row>
    <row r="2057" spans="2:13" ht="12.75" customHeight="1" x14ac:dyDescent="0.25">
      <c r="B2057" s="53" t="str">
        <f>IF('1. INTRO'!I$2="English","Co-funding sources","Medfinansieringskällor")</f>
        <v>Co-funding sources</v>
      </c>
    </row>
    <row r="2058" spans="2:13" ht="12.75" customHeight="1" x14ac:dyDescent="0.25">
      <c r="B2058" s="225"/>
      <c r="C2058" s="226"/>
      <c r="D2058" s="226"/>
      <c r="E2058" s="226"/>
      <c r="F2058" s="226"/>
      <c r="G2058" s="226"/>
      <c r="H2058" s="226"/>
      <c r="I2058" s="226"/>
      <c r="J2058" s="226"/>
      <c r="K2058" s="226"/>
      <c r="L2058" s="227"/>
      <c r="M2058" s="168">
        <f>SUM(C2058:L2058)</f>
        <v>0</v>
      </c>
    </row>
    <row r="2059" spans="2:13" ht="12.75" customHeight="1" x14ac:dyDescent="0.25">
      <c r="B2059" s="228"/>
      <c r="C2059" s="229"/>
      <c r="D2059" s="229"/>
      <c r="E2059" s="229"/>
      <c r="F2059" s="229"/>
      <c r="G2059" s="229"/>
      <c r="H2059" s="229"/>
      <c r="I2059" s="229"/>
      <c r="J2059" s="229"/>
      <c r="K2059" s="229"/>
      <c r="L2059" s="230"/>
      <c r="M2059" s="796">
        <f t="shared" ref="M2059:M2062" si="462">SUM(C2059:L2059)</f>
        <v>0</v>
      </c>
    </row>
    <row r="2060" spans="2:13" ht="12.75" customHeight="1" x14ac:dyDescent="0.25">
      <c r="B2060" s="231"/>
      <c r="C2060" s="232"/>
      <c r="D2060" s="232"/>
      <c r="E2060" s="232"/>
      <c r="F2060" s="232"/>
      <c r="G2060" s="232"/>
      <c r="H2060" s="232"/>
      <c r="I2060" s="232"/>
      <c r="J2060" s="232"/>
      <c r="K2060" s="232"/>
      <c r="L2060" s="233"/>
      <c r="M2060" s="117">
        <f t="shared" si="462"/>
        <v>0</v>
      </c>
    </row>
    <row r="2061" spans="2:13" ht="12.75" customHeight="1" x14ac:dyDescent="0.25">
      <c r="B2061" s="228"/>
      <c r="C2061" s="229"/>
      <c r="D2061" s="229"/>
      <c r="E2061" s="229"/>
      <c r="F2061" s="229"/>
      <c r="G2061" s="229"/>
      <c r="H2061" s="229"/>
      <c r="I2061" s="229"/>
      <c r="J2061" s="229"/>
      <c r="K2061" s="229"/>
      <c r="L2061" s="230"/>
      <c r="M2061" s="796">
        <f t="shared" si="462"/>
        <v>0</v>
      </c>
    </row>
    <row r="2062" spans="2:13" ht="12.75" customHeight="1" x14ac:dyDescent="0.25">
      <c r="B2062" s="93"/>
      <c r="C2062" s="232"/>
      <c r="D2062" s="232"/>
      <c r="E2062" s="232"/>
      <c r="F2062" s="232"/>
      <c r="G2062" s="232"/>
      <c r="H2062" s="232"/>
      <c r="I2062" s="232"/>
      <c r="J2062" s="232"/>
      <c r="K2062" s="232"/>
      <c r="L2062" s="233"/>
      <c r="M2062" s="117">
        <f t="shared" si="462"/>
        <v>0</v>
      </c>
    </row>
    <row r="2063" spans="2:13" ht="12.75" customHeight="1" x14ac:dyDescent="0.25">
      <c r="B2063" s="84" t="str">
        <f>IF('1. INTRO'!I$2="English","Total co-funding ","Total medfinansiering ")</f>
        <v xml:space="preserve">Total co-funding </v>
      </c>
      <c r="C2063" s="87">
        <f t="shared" ref="C2063:M2063" si="463">SUM(C2058:C2062)</f>
        <v>0</v>
      </c>
      <c r="D2063" s="87">
        <f t="shared" si="463"/>
        <v>0</v>
      </c>
      <c r="E2063" s="87">
        <f t="shared" si="463"/>
        <v>0</v>
      </c>
      <c r="F2063" s="87">
        <f t="shared" si="463"/>
        <v>0</v>
      </c>
      <c r="G2063" s="87">
        <f t="shared" si="463"/>
        <v>0</v>
      </c>
      <c r="H2063" s="87">
        <f t="shared" si="463"/>
        <v>0</v>
      </c>
      <c r="I2063" s="87">
        <f t="shared" si="463"/>
        <v>0</v>
      </c>
      <c r="J2063" s="87">
        <f t="shared" si="463"/>
        <v>0</v>
      </c>
      <c r="K2063" s="87">
        <f t="shared" si="463"/>
        <v>0</v>
      </c>
      <c r="L2063" s="87">
        <f t="shared" si="463"/>
        <v>0</v>
      </c>
      <c r="M2063" s="142">
        <f t="shared" si="463"/>
        <v>0</v>
      </c>
    </row>
    <row r="2064" spans="2:13" ht="12.75" customHeight="1" x14ac:dyDescent="0.2"/>
    <row r="2065" spans="2:13" ht="12.75" customHeight="1" x14ac:dyDescent="0.2">
      <c r="B2065" s="667" t="str">
        <f>IF('1. INTRO'!I$2="English","Calculation comments","Kalkylkommentarer")</f>
        <v>Calculation comments</v>
      </c>
    </row>
    <row r="2066" spans="2:13" ht="12.75" customHeight="1" x14ac:dyDescent="0.2">
      <c r="B2066" s="1142"/>
      <c r="C2066" s="1143"/>
      <c r="D2066" s="1143"/>
      <c r="E2066" s="1143"/>
      <c r="F2066" s="1143"/>
      <c r="G2066" s="1143"/>
      <c r="H2066" s="1143"/>
      <c r="I2066" s="1143"/>
      <c r="J2066" s="1143"/>
      <c r="K2066" s="1143"/>
      <c r="L2066" s="1143"/>
      <c r="M2066" s="1144"/>
    </row>
    <row r="2067" spans="2:13" ht="12.75" customHeight="1" x14ac:dyDescent="0.2">
      <c r="B2067" s="1145"/>
      <c r="C2067" s="1226"/>
      <c r="D2067" s="1226"/>
      <c r="E2067" s="1226"/>
      <c r="F2067" s="1226"/>
      <c r="G2067" s="1226"/>
      <c r="H2067" s="1226"/>
      <c r="I2067" s="1226"/>
      <c r="J2067" s="1226"/>
      <c r="K2067" s="1226"/>
      <c r="L2067" s="1226"/>
      <c r="M2067" s="1147"/>
    </row>
    <row r="2068" spans="2:13" ht="12.75" customHeight="1" x14ac:dyDescent="0.2">
      <c r="B2068" s="1145"/>
      <c r="C2068" s="1226"/>
      <c r="D2068" s="1226"/>
      <c r="E2068" s="1226"/>
      <c r="F2068" s="1226"/>
      <c r="G2068" s="1226"/>
      <c r="H2068" s="1226"/>
      <c r="I2068" s="1226"/>
      <c r="J2068" s="1226"/>
      <c r="K2068" s="1226"/>
      <c r="L2068" s="1226"/>
      <c r="M2068" s="1147"/>
    </row>
    <row r="2069" spans="2:13" ht="12.75" customHeight="1" x14ac:dyDescent="0.2">
      <c r="B2069" s="1145"/>
      <c r="C2069" s="1226"/>
      <c r="D2069" s="1226"/>
      <c r="E2069" s="1226"/>
      <c r="F2069" s="1226"/>
      <c r="G2069" s="1226"/>
      <c r="H2069" s="1226"/>
      <c r="I2069" s="1226"/>
      <c r="J2069" s="1226"/>
      <c r="K2069" s="1226"/>
      <c r="L2069" s="1226"/>
      <c r="M2069" s="1147"/>
    </row>
    <row r="2070" spans="2:13" ht="12.75" customHeight="1" x14ac:dyDescent="0.2">
      <c r="B2070" s="1148"/>
      <c r="C2070" s="1149"/>
      <c r="D2070" s="1149"/>
      <c r="E2070" s="1149"/>
      <c r="F2070" s="1149"/>
      <c r="G2070" s="1149"/>
      <c r="H2070" s="1149"/>
      <c r="I2070" s="1149"/>
      <c r="J2070" s="1149"/>
      <c r="K2070" s="1149"/>
      <c r="L2070" s="1149"/>
      <c r="M2070" s="1150"/>
    </row>
    <row r="2072" spans="2:13" s="3" customFormat="1" ht="12.75" customHeight="1" x14ac:dyDescent="0.25">
      <c r="B2072" s="313" t="str">
        <f>'3. PARTNER'!C$4</f>
        <v xml:space="preserve">Project: </v>
      </c>
      <c r="C2072" s="1062" t="str">
        <f>'3. PARTNER'!D$4</f>
        <v/>
      </c>
      <c r="D2072" s="1001"/>
      <c r="E2072" s="1001"/>
      <c r="F2072" s="1001"/>
      <c r="G2072" s="1001"/>
      <c r="H2072" s="1001"/>
      <c r="I2072" s="1001"/>
      <c r="J2072" s="1001"/>
      <c r="K2072" s="1001"/>
      <c r="L2072" s="1001"/>
      <c r="M2072" s="1001"/>
    </row>
    <row r="2073" spans="2:13" s="3" customFormat="1" ht="13.2" x14ac:dyDescent="0.25">
      <c r="B2073" s="313" t="str">
        <f>'3. PARTNER'!C$5</f>
        <v xml:space="preserve">Calculation for: </v>
      </c>
      <c r="C2073" s="1062" t="str">
        <f>'3. PARTNER'!D$5</f>
        <v>APPLICATION</v>
      </c>
      <c r="D2073" s="1001"/>
      <c r="E2073" s="268"/>
      <c r="F2073" s="268"/>
      <c r="G2073" s="268"/>
      <c r="H2073" s="268"/>
      <c r="I2073" s="268"/>
      <c r="J2073" s="268"/>
      <c r="K2073" s="268"/>
      <c r="L2073" s="268"/>
      <c r="M2073" s="268"/>
    </row>
    <row r="2074" spans="2:13" s="3" customFormat="1" ht="13.2" x14ac:dyDescent="0.25">
      <c r="B2074" s="35" t="str">
        <f>'3. PARTNER'!C$6</f>
        <v xml:space="preserve">Project leader: </v>
      </c>
      <c r="C2074" s="1062" t="str">
        <f>'3. PARTNER'!D$6</f>
        <v/>
      </c>
      <c r="D2074" s="1001"/>
      <c r="E2074" s="1001"/>
      <c r="F2074" s="1001"/>
      <c r="G2074" s="1001"/>
      <c r="H2074" s="1001"/>
      <c r="I2074" s="1001"/>
      <c r="J2074" s="1001"/>
      <c r="K2074" s="1001"/>
      <c r="L2074" s="1001"/>
      <c r="M2074" s="1001"/>
    </row>
    <row r="2075" spans="2:13" s="3" customFormat="1" ht="13.2" x14ac:dyDescent="0.25">
      <c r="B2075" s="313" t="str">
        <f>'5. PERSON'!B$7</f>
        <v xml:space="preserve">Amounts in: </v>
      </c>
      <c r="C2075" s="655" t="str">
        <f>'5. PERSON'!C$7</f>
        <v>SEK</v>
      </c>
      <c r="D2075" s="268"/>
      <c r="E2075" s="268"/>
      <c r="F2075" s="268"/>
      <c r="G2075" s="234"/>
      <c r="H2075" s="234"/>
      <c r="I2075" s="270"/>
      <c r="J2075" s="270"/>
      <c r="K2075" s="270"/>
      <c r="L2075" s="270"/>
      <c r="M2075" s="270"/>
    </row>
    <row r="2076" spans="2:13" s="3" customFormat="1" ht="13.2" x14ac:dyDescent="0.25">
      <c r="B2076" s="313"/>
      <c r="C2076" s="1053" t="str">
        <f>'3. PARTNER'!D$7</f>
        <v>Other basic data about the project is in sheet 2.</v>
      </c>
      <c r="D2076" s="1001"/>
      <c r="E2076" s="1001"/>
      <c r="F2076" s="1001"/>
      <c r="G2076" s="234"/>
      <c r="H2076" s="234"/>
      <c r="I2076" s="270"/>
      <c r="J2076" s="270"/>
      <c r="K2076" s="270"/>
      <c r="L2076" s="251" t="s">
        <v>4</v>
      </c>
      <c r="M2076" s="270"/>
    </row>
    <row r="2077" spans="2:13" ht="12.75" customHeight="1" x14ac:dyDescent="0.2">
      <c r="L2077" s="252" t="str">
        <f>IF('1. INTRO'!I$2="English","months","månader")</f>
        <v>months</v>
      </c>
    </row>
    <row r="2078" spans="2:13" s="3" customFormat="1" ht="13.8" x14ac:dyDescent="0.25">
      <c r="B2078" s="157" t="str">
        <f>IF('1. INTRO'!I$2="English","Project costs","Projektkostnader")</f>
        <v>Project costs</v>
      </c>
      <c r="C2078" s="1227" t="str">
        <f>B54</f>
        <v xml:space="preserve">VH-faculty </v>
      </c>
      <c r="D2078" s="1004"/>
      <c r="E2078" s="37"/>
      <c r="G2078" s="37"/>
      <c r="H2078" s="37"/>
      <c r="I2078" s="37"/>
      <c r="J2078" s="37"/>
      <c r="K2078" s="37"/>
      <c r="L2078" s="642">
        <f>L2026+L1974+L1922+L1870</f>
        <v>0</v>
      </c>
      <c r="M2078" s="680" t="s">
        <v>330</v>
      </c>
    </row>
    <row r="2079" spans="2:13" s="3" customFormat="1" ht="6" customHeight="1" x14ac:dyDescent="0.25">
      <c r="B2079" s="57"/>
      <c r="C2079" s="37"/>
      <c r="D2079" s="37"/>
      <c r="E2079" s="37"/>
      <c r="F2079" s="37"/>
      <c r="G2079" s="37"/>
      <c r="H2079" s="37"/>
      <c r="I2079" s="37"/>
      <c r="J2079" s="37"/>
      <c r="K2079" s="37"/>
      <c r="L2079" s="37"/>
      <c r="M2079" s="37"/>
    </row>
    <row r="2080" spans="2:13" s="3" customFormat="1" ht="13.2" x14ac:dyDescent="0.25">
      <c r="B2080" s="110" t="str">
        <f>IF('1. INTRO'!I$2="English","Costs to be covered by funding body","Kostnader att täckas av finansiär")</f>
        <v>Costs to be covered by funding body</v>
      </c>
      <c r="C2080" s="111">
        <f>'5. PERSON'!G$15</f>
        <v>1900</v>
      </c>
      <c r="D2080" s="111" t="str">
        <f>'5. PERSON'!H$15</f>
        <v/>
      </c>
      <c r="E2080" s="111" t="str">
        <f>'5. PERSON'!I$15</f>
        <v/>
      </c>
      <c r="F2080" s="111" t="str">
        <f>'5. PERSON'!J$15</f>
        <v/>
      </c>
      <c r="G2080" s="111" t="str">
        <f>'5. PERSON'!K$15</f>
        <v/>
      </c>
      <c r="H2080" s="111" t="str">
        <f>'5. PERSON'!L$15</f>
        <v/>
      </c>
      <c r="I2080" s="111" t="str">
        <f>'5. PERSON'!M$15</f>
        <v/>
      </c>
      <c r="J2080" s="111" t="str">
        <f>'5. PERSON'!N$15</f>
        <v/>
      </c>
      <c r="K2080" s="111" t="str">
        <f>'5. PERSON'!O$15</f>
        <v/>
      </c>
      <c r="L2080" s="111" t="str">
        <f>'5. PERSON'!P$15</f>
        <v/>
      </c>
      <c r="M2080" s="112" t="s">
        <v>2</v>
      </c>
    </row>
    <row r="2081" spans="2:15" s="3" customFormat="1" ht="12.75" customHeight="1" x14ac:dyDescent="0.25">
      <c r="B2081" s="791" t="str">
        <f>IF('1. INTRO'!I$2="English","Salary including social costs (LKP)","Lön inklusive LKP")</f>
        <v>Salary including social costs (LKP)</v>
      </c>
      <c r="C2081" s="808">
        <f>C1873+C1925+C1977+C2029</f>
        <v>0</v>
      </c>
      <c r="D2081" s="808">
        <f t="shared" ref="D2081:L2081" si="464">D1873+D1925+D1977+D2029</f>
        <v>0</v>
      </c>
      <c r="E2081" s="808">
        <f t="shared" si="464"/>
        <v>0</v>
      </c>
      <c r="F2081" s="808">
        <f t="shared" si="464"/>
        <v>0</v>
      </c>
      <c r="G2081" s="808">
        <f t="shared" si="464"/>
        <v>0</v>
      </c>
      <c r="H2081" s="808">
        <f t="shared" si="464"/>
        <v>0</v>
      </c>
      <c r="I2081" s="808">
        <f t="shared" si="464"/>
        <v>0</v>
      </c>
      <c r="J2081" s="808">
        <f t="shared" si="464"/>
        <v>0</v>
      </c>
      <c r="K2081" s="808">
        <f t="shared" si="464"/>
        <v>0</v>
      </c>
      <c r="L2081" s="808">
        <f t="shared" si="464"/>
        <v>0</v>
      </c>
      <c r="M2081" s="793">
        <f t="shared" ref="M2081:M2086" si="465">SUM(C2081:L2081)</f>
        <v>0</v>
      </c>
      <c r="O2081" s="4"/>
    </row>
    <row r="2082" spans="2:15" s="3" customFormat="1" ht="12.75" customHeight="1" x14ac:dyDescent="0.25">
      <c r="B2082" s="80" t="str">
        <f>IF('1. INTRO'!I$2="English","Operating","Drift")</f>
        <v>Operating</v>
      </c>
      <c r="C2082" s="171">
        <f>C1874+C1926+C1978+C2030</f>
        <v>0</v>
      </c>
      <c r="D2082" s="171">
        <f t="shared" ref="D2082:L2082" si="466">D1874+D1926+D1978+D2030</f>
        <v>0</v>
      </c>
      <c r="E2082" s="171">
        <f t="shared" si="466"/>
        <v>0</v>
      </c>
      <c r="F2082" s="171">
        <f t="shared" si="466"/>
        <v>0</v>
      </c>
      <c r="G2082" s="171">
        <f t="shared" si="466"/>
        <v>0</v>
      </c>
      <c r="H2082" s="171">
        <f t="shared" si="466"/>
        <v>0</v>
      </c>
      <c r="I2082" s="171">
        <f t="shared" si="466"/>
        <v>0</v>
      </c>
      <c r="J2082" s="171">
        <f t="shared" si="466"/>
        <v>0</v>
      </c>
      <c r="K2082" s="171">
        <f t="shared" si="466"/>
        <v>0</v>
      </c>
      <c r="L2082" s="171">
        <f t="shared" si="466"/>
        <v>0</v>
      </c>
      <c r="M2082" s="117">
        <f t="shared" si="465"/>
        <v>0</v>
      </c>
    </row>
    <row r="2083" spans="2:15" s="3" customFormat="1" ht="13.2" x14ac:dyDescent="0.25">
      <c r="B2083" s="794" t="str">
        <f>IF('1. INTRO'!I$2="English","Equipment","Utrustning")</f>
        <v>Equipment</v>
      </c>
      <c r="C2083" s="809">
        <f>C1875+C1927+C1979+C2031</f>
        <v>0</v>
      </c>
      <c r="D2083" s="809">
        <f t="shared" ref="D2083:L2083" si="467">D1875+D1927+D1979+D2031</f>
        <v>0</v>
      </c>
      <c r="E2083" s="809">
        <f t="shared" si="467"/>
        <v>0</v>
      </c>
      <c r="F2083" s="809">
        <f t="shared" si="467"/>
        <v>0</v>
      </c>
      <c r="G2083" s="809">
        <f t="shared" si="467"/>
        <v>0</v>
      </c>
      <c r="H2083" s="809">
        <f t="shared" si="467"/>
        <v>0</v>
      </c>
      <c r="I2083" s="809">
        <f t="shared" si="467"/>
        <v>0</v>
      </c>
      <c r="J2083" s="809">
        <f t="shared" si="467"/>
        <v>0</v>
      </c>
      <c r="K2083" s="809">
        <f t="shared" si="467"/>
        <v>0</v>
      </c>
      <c r="L2083" s="809">
        <f t="shared" si="467"/>
        <v>0</v>
      </c>
      <c r="M2083" s="796">
        <f t="shared" si="465"/>
        <v>0</v>
      </c>
    </row>
    <row r="2084" spans="2:15" s="3" customFormat="1" ht="13.2" x14ac:dyDescent="0.25">
      <c r="B2084" s="121" t="str">
        <f>IF('1. INTRO'!I$2="English",(IF('2. START'!C$11="NO","Facility accepted as direct cost by funding body","Facility")),IF('2. START'!C$11="NO","Lokal accepterad som direkt kostnad av finansiär","Lokal"))</f>
        <v>Facility</v>
      </c>
      <c r="C2084" s="171">
        <f>C1876+C1928+C1980+C2032</f>
        <v>0</v>
      </c>
      <c r="D2084" s="171">
        <f t="shared" ref="D2084:L2084" si="468">D1876+D1928+D1980+D2032</f>
        <v>0</v>
      </c>
      <c r="E2084" s="171">
        <f t="shared" si="468"/>
        <v>0</v>
      </c>
      <c r="F2084" s="171">
        <f t="shared" si="468"/>
        <v>0</v>
      </c>
      <c r="G2084" s="171">
        <f t="shared" si="468"/>
        <v>0</v>
      </c>
      <c r="H2084" s="171">
        <f t="shared" si="468"/>
        <v>0</v>
      </c>
      <c r="I2084" s="171">
        <f t="shared" si="468"/>
        <v>0</v>
      </c>
      <c r="J2084" s="171">
        <f t="shared" si="468"/>
        <v>0</v>
      </c>
      <c r="K2084" s="171">
        <f t="shared" si="468"/>
        <v>0</v>
      </c>
      <c r="L2084" s="171">
        <f t="shared" si="468"/>
        <v>0</v>
      </c>
      <c r="M2084" s="117">
        <f t="shared" si="465"/>
        <v>0</v>
      </c>
    </row>
    <row r="2085" spans="2:15" s="3" customFormat="1" ht="13.2" x14ac:dyDescent="0.25">
      <c r="B2085" s="797" t="str">
        <f>IF('1. INTRO'!I$2="English",(IF('2. START'!C$11="NO","Indirect and facility charge accepted as OH by funding body","Indirect")),IF('2. START'!C$11="NO","Indirekt och lokalpåslag accepterade som OH av finansiär","Indirekt"))</f>
        <v>Indirect</v>
      </c>
      <c r="C2085" s="810">
        <f>C1877+C1929+C1981+C2033</f>
        <v>0</v>
      </c>
      <c r="D2085" s="810">
        <f t="shared" ref="D2085:L2085" si="469">D1877+D1929+D1981+D2033</f>
        <v>0</v>
      </c>
      <c r="E2085" s="810">
        <f t="shared" si="469"/>
        <v>0</v>
      </c>
      <c r="F2085" s="810">
        <f t="shared" si="469"/>
        <v>0</v>
      </c>
      <c r="G2085" s="810">
        <f t="shared" si="469"/>
        <v>0</v>
      </c>
      <c r="H2085" s="810">
        <f t="shared" si="469"/>
        <v>0</v>
      </c>
      <c r="I2085" s="810">
        <f t="shared" si="469"/>
        <v>0</v>
      </c>
      <c r="J2085" s="810">
        <f t="shared" si="469"/>
        <v>0</v>
      </c>
      <c r="K2085" s="810">
        <f t="shared" si="469"/>
        <v>0</v>
      </c>
      <c r="L2085" s="810">
        <f t="shared" si="469"/>
        <v>0</v>
      </c>
      <c r="M2085" s="802">
        <f t="shared" si="465"/>
        <v>0</v>
      </c>
    </row>
    <row r="2086" spans="2:15" s="3" customFormat="1" ht="13.2" x14ac:dyDescent="0.25">
      <c r="B2086" s="124" t="s">
        <v>113</v>
      </c>
      <c r="C2086" s="161">
        <f>SUM(C2081:C2085)</f>
        <v>0</v>
      </c>
      <c r="D2086" s="161">
        <f t="shared" ref="D2086:L2086" si="470">SUM(D2081:D2085)</f>
        <v>0</v>
      </c>
      <c r="E2086" s="161">
        <f t="shared" si="470"/>
        <v>0</v>
      </c>
      <c r="F2086" s="161">
        <f t="shared" si="470"/>
        <v>0</v>
      </c>
      <c r="G2086" s="161">
        <f t="shared" si="470"/>
        <v>0</v>
      </c>
      <c r="H2086" s="161">
        <f t="shared" si="470"/>
        <v>0</v>
      </c>
      <c r="I2086" s="161">
        <f t="shared" si="470"/>
        <v>0</v>
      </c>
      <c r="J2086" s="161">
        <f t="shared" si="470"/>
        <v>0</v>
      </c>
      <c r="K2086" s="161">
        <f t="shared" si="470"/>
        <v>0</v>
      </c>
      <c r="L2086" s="161">
        <f t="shared" si="470"/>
        <v>0</v>
      </c>
      <c r="M2086" s="125">
        <f t="shared" si="465"/>
        <v>0</v>
      </c>
    </row>
    <row r="2087" spans="2:15" s="3" customFormat="1" ht="6" customHeight="1" x14ac:dyDescent="0.25">
      <c r="B2087" s="126"/>
      <c r="C2087" s="127"/>
      <c r="D2087" s="127"/>
      <c r="E2087" s="127"/>
      <c r="F2087" s="127"/>
      <c r="G2087" s="127"/>
      <c r="H2087" s="127"/>
      <c r="I2087" s="127"/>
      <c r="J2087" s="127"/>
      <c r="K2087" s="127"/>
      <c r="L2087" s="127"/>
      <c r="M2087" s="128"/>
    </row>
    <row r="2088" spans="2:15" s="3" customFormat="1" ht="13.2" x14ac:dyDescent="0.25">
      <c r="B2088" s="129" t="str">
        <f>IF('1. INTRO'!I$2="English","Costs to be co-funded","Kostnader att medfinansiera")</f>
        <v>Costs to be co-funded</v>
      </c>
      <c r="C2088" s="86"/>
      <c r="D2088" s="86"/>
      <c r="E2088" s="86"/>
      <c r="F2088" s="86"/>
      <c r="G2088" s="86"/>
      <c r="H2088" s="86"/>
      <c r="I2088" s="86"/>
      <c r="J2088" s="86"/>
      <c r="K2088" s="86"/>
      <c r="L2088" s="86"/>
      <c r="M2088" s="130"/>
    </row>
    <row r="2089" spans="2:15" s="3" customFormat="1" ht="13.2" x14ac:dyDescent="0.25">
      <c r="B2089" s="799" t="str">
        <f>IF('1. INTRO'!I$2="English",(IF('2. START'!C$11="NO","Indirect and facility charge not accepted as OH by funding body","")),IF('2. START'!C$11="NO","Indirekt och lokalpåslag inte accepterade som OH av finansiär",""))</f>
        <v/>
      </c>
      <c r="C2089" s="811">
        <f t="shared" ref="C2089:C2095" si="471">C1881+C1933+C1985+C2037</f>
        <v>0</v>
      </c>
      <c r="D2089" s="811">
        <f t="shared" ref="D2089:L2089" si="472">D1881+D1933+D1985+D2037</f>
        <v>0</v>
      </c>
      <c r="E2089" s="811">
        <f t="shared" si="472"/>
        <v>0</v>
      </c>
      <c r="F2089" s="811">
        <f t="shared" si="472"/>
        <v>0</v>
      </c>
      <c r="G2089" s="811">
        <f t="shared" si="472"/>
        <v>0</v>
      </c>
      <c r="H2089" s="811">
        <f t="shared" si="472"/>
        <v>0</v>
      </c>
      <c r="I2089" s="811">
        <f t="shared" si="472"/>
        <v>0</v>
      </c>
      <c r="J2089" s="811">
        <f t="shared" si="472"/>
        <v>0</v>
      </c>
      <c r="K2089" s="811">
        <f t="shared" si="472"/>
        <v>0</v>
      </c>
      <c r="L2089" s="811">
        <f t="shared" si="472"/>
        <v>0</v>
      </c>
      <c r="M2089" s="812">
        <f t="shared" ref="M2089:M2095" si="473">SUM(C2089:L2089)</f>
        <v>0</v>
      </c>
    </row>
    <row r="2090" spans="2:15" s="3" customFormat="1" ht="12.75" customHeight="1" x14ac:dyDescent="0.25">
      <c r="B2090" s="132" t="str">
        <f>IF('1. INTRO'!I$2="English",(IF('2. START'!C$14&gt;0,"Social costs (LKP) not accepted by funding body","")),IF('2. START'!C$14&gt;0,"LKP som inte accepteras av finansiär",""))</f>
        <v/>
      </c>
      <c r="C2090" s="181">
        <f t="shared" si="471"/>
        <v>0</v>
      </c>
      <c r="D2090" s="181">
        <f t="shared" ref="D2090:L2090" si="474">D1882+D1934+D1986+D2038</f>
        <v>0</v>
      </c>
      <c r="E2090" s="181">
        <f t="shared" si="474"/>
        <v>0</v>
      </c>
      <c r="F2090" s="181">
        <f t="shared" si="474"/>
        <v>0</v>
      </c>
      <c r="G2090" s="181">
        <f t="shared" si="474"/>
        <v>0</v>
      </c>
      <c r="H2090" s="181">
        <f t="shared" si="474"/>
        <v>0</v>
      </c>
      <c r="I2090" s="181">
        <f t="shared" si="474"/>
        <v>0</v>
      </c>
      <c r="J2090" s="181">
        <f t="shared" si="474"/>
        <v>0</v>
      </c>
      <c r="K2090" s="181">
        <f t="shared" si="474"/>
        <v>0</v>
      </c>
      <c r="L2090" s="181">
        <f t="shared" si="474"/>
        <v>0</v>
      </c>
      <c r="M2090" s="146">
        <f t="shared" si="473"/>
        <v>0</v>
      </c>
    </row>
    <row r="2091" spans="2:15" s="3" customFormat="1" ht="12.75" customHeight="1" x14ac:dyDescent="0.25">
      <c r="B2091" s="794" t="str">
        <f>IF('1. INTRO'!I$2="English",(IF('5. PERSON'!BP$193&gt;0,"Salary including social costs (LKP)","")),IF('5. PERSON'!BP$193&gt;0,"Lön inklusive LKP",""))</f>
        <v/>
      </c>
      <c r="C2091" s="813">
        <f t="shared" si="471"/>
        <v>0</v>
      </c>
      <c r="D2091" s="813">
        <f t="shared" ref="D2091:L2091" si="475">D1883+D1935+D1987+D2039</f>
        <v>0</v>
      </c>
      <c r="E2091" s="813">
        <f t="shared" si="475"/>
        <v>0</v>
      </c>
      <c r="F2091" s="813">
        <f t="shared" si="475"/>
        <v>0</v>
      </c>
      <c r="G2091" s="813">
        <f t="shared" si="475"/>
        <v>0</v>
      </c>
      <c r="H2091" s="813">
        <f t="shared" si="475"/>
        <v>0</v>
      </c>
      <c r="I2091" s="813">
        <f t="shared" si="475"/>
        <v>0</v>
      </c>
      <c r="J2091" s="813">
        <f t="shared" si="475"/>
        <v>0</v>
      </c>
      <c r="K2091" s="813">
        <f t="shared" si="475"/>
        <v>0</v>
      </c>
      <c r="L2091" s="813">
        <f t="shared" si="475"/>
        <v>0</v>
      </c>
      <c r="M2091" s="814">
        <f t="shared" si="473"/>
        <v>0</v>
      </c>
    </row>
    <row r="2092" spans="2:15" s="3" customFormat="1" ht="13.2" x14ac:dyDescent="0.25">
      <c r="B2092" s="80" t="str">
        <f>IF('1. INTRO'!I$2="English",(IF('6. OPERATION'!AS$150&gt;0,"Operating","")),IF('6. OPERATION'!AS$150&gt;0,"Drift",""))</f>
        <v/>
      </c>
      <c r="C2092" s="181">
        <f t="shared" si="471"/>
        <v>0</v>
      </c>
      <c r="D2092" s="181">
        <f t="shared" ref="D2092:L2092" si="476">D1884+D1936+D1988+D2040</f>
        <v>0</v>
      </c>
      <c r="E2092" s="181">
        <f t="shared" si="476"/>
        <v>0</v>
      </c>
      <c r="F2092" s="181">
        <f t="shared" si="476"/>
        <v>0</v>
      </c>
      <c r="G2092" s="181">
        <f t="shared" si="476"/>
        <v>0</v>
      </c>
      <c r="H2092" s="181">
        <f t="shared" si="476"/>
        <v>0</v>
      </c>
      <c r="I2092" s="181">
        <f t="shared" si="476"/>
        <v>0</v>
      </c>
      <c r="J2092" s="181">
        <f t="shared" si="476"/>
        <v>0</v>
      </c>
      <c r="K2092" s="181">
        <f t="shared" si="476"/>
        <v>0</v>
      </c>
      <c r="L2092" s="181">
        <f t="shared" si="476"/>
        <v>0</v>
      </c>
      <c r="M2092" s="146">
        <f t="shared" si="473"/>
        <v>0</v>
      </c>
    </row>
    <row r="2093" spans="2:15" s="3" customFormat="1" ht="13.2" x14ac:dyDescent="0.25">
      <c r="B2093" s="794" t="str">
        <f>IF('1. INTRO'!I$2="English",(IF('7. INVEST'!AS$50&gt;0,"Equipment","")),IF('7. INVEST'!AS$50&gt;0,"Utrustning",""))</f>
        <v/>
      </c>
      <c r="C2093" s="813">
        <f t="shared" si="471"/>
        <v>0</v>
      </c>
      <c r="D2093" s="813">
        <f t="shared" ref="D2093:L2093" si="477">D1885+D1937+D1989+D2041</f>
        <v>0</v>
      </c>
      <c r="E2093" s="813">
        <f t="shared" si="477"/>
        <v>0</v>
      </c>
      <c r="F2093" s="813">
        <f t="shared" si="477"/>
        <v>0</v>
      </c>
      <c r="G2093" s="813">
        <f t="shared" si="477"/>
        <v>0</v>
      </c>
      <c r="H2093" s="813">
        <f t="shared" si="477"/>
        <v>0</v>
      </c>
      <c r="I2093" s="813">
        <f t="shared" si="477"/>
        <v>0</v>
      </c>
      <c r="J2093" s="813">
        <f t="shared" si="477"/>
        <v>0</v>
      </c>
      <c r="K2093" s="813">
        <f t="shared" si="477"/>
        <v>0</v>
      </c>
      <c r="L2093" s="813">
        <f t="shared" si="477"/>
        <v>0</v>
      </c>
      <c r="M2093" s="814">
        <f t="shared" si="473"/>
        <v>0</v>
      </c>
    </row>
    <row r="2094" spans="2:15" s="3" customFormat="1" ht="13.2" x14ac:dyDescent="0.25">
      <c r="B2094" s="121" t="str">
        <f>IF('1. INTRO'!I$2="English",(IF('8. FACILIT'!AP$51&gt;0,"Facility","")),IF('8. FACILIT'!AP$51&gt;0,"Lokal",""))</f>
        <v/>
      </c>
      <c r="C2094" s="181">
        <f t="shared" si="471"/>
        <v>0</v>
      </c>
      <c r="D2094" s="181">
        <f t="shared" ref="D2094:L2094" si="478">D1886+D1938+D1990+D2042</f>
        <v>0</v>
      </c>
      <c r="E2094" s="181">
        <f t="shared" si="478"/>
        <v>0</v>
      </c>
      <c r="F2094" s="181">
        <f t="shared" si="478"/>
        <v>0</v>
      </c>
      <c r="G2094" s="181">
        <f t="shared" si="478"/>
        <v>0</v>
      </c>
      <c r="H2094" s="181">
        <f t="shared" si="478"/>
        <v>0</v>
      </c>
      <c r="I2094" s="181">
        <f t="shared" si="478"/>
        <v>0</v>
      </c>
      <c r="J2094" s="181">
        <f t="shared" si="478"/>
        <v>0</v>
      </c>
      <c r="K2094" s="181">
        <f t="shared" si="478"/>
        <v>0</v>
      </c>
      <c r="L2094" s="181">
        <f t="shared" si="478"/>
        <v>0</v>
      </c>
      <c r="M2094" s="146">
        <f t="shared" si="473"/>
        <v>0</v>
      </c>
    </row>
    <row r="2095" spans="2:15" s="1" customFormat="1" ht="13.2" x14ac:dyDescent="0.25">
      <c r="B2095" s="797" t="str">
        <f>IF('1. INTRO'!I$2="English",(IF(('5. PERSON'!CN$193+'6. OPERATION'!BQ$150)&gt;0,"Indirect","")),IF(('5. PERSON'!CN$193+'6. OPERATION'!BQ$150)&gt;0,"Indirekt",""))</f>
        <v/>
      </c>
      <c r="C2095" s="815">
        <f t="shared" si="471"/>
        <v>0</v>
      </c>
      <c r="D2095" s="815">
        <f t="shared" ref="D2095:L2095" si="479">D1887+D1939+D1991+D2043</f>
        <v>0</v>
      </c>
      <c r="E2095" s="815">
        <f t="shared" si="479"/>
        <v>0</v>
      </c>
      <c r="F2095" s="815">
        <f t="shared" si="479"/>
        <v>0</v>
      </c>
      <c r="G2095" s="815">
        <f t="shared" si="479"/>
        <v>0</v>
      </c>
      <c r="H2095" s="815">
        <f t="shared" si="479"/>
        <v>0</v>
      </c>
      <c r="I2095" s="815">
        <f t="shared" si="479"/>
        <v>0</v>
      </c>
      <c r="J2095" s="815">
        <f t="shared" si="479"/>
        <v>0</v>
      </c>
      <c r="K2095" s="815">
        <f t="shared" si="479"/>
        <v>0</v>
      </c>
      <c r="L2095" s="815">
        <f t="shared" si="479"/>
        <v>0</v>
      </c>
      <c r="M2095" s="816">
        <f t="shared" si="473"/>
        <v>0</v>
      </c>
    </row>
    <row r="2096" spans="2:15" s="3" customFormat="1" ht="13.2" x14ac:dyDescent="0.25">
      <c r="B2096" s="124" t="s">
        <v>113</v>
      </c>
      <c r="C2096" s="161">
        <f>SUM(C2089:C2095)</f>
        <v>0</v>
      </c>
      <c r="D2096" s="161">
        <f t="shared" ref="D2096:M2096" si="480">SUM(D2089:D2095)</f>
        <v>0</v>
      </c>
      <c r="E2096" s="161">
        <f t="shared" si="480"/>
        <v>0</v>
      </c>
      <c r="F2096" s="161">
        <f t="shared" si="480"/>
        <v>0</v>
      </c>
      <c r="G2096" s="161">
        <f t="shared" si="480"/>
        <v>0</v>
      </c>
      <c r="H2096" s="161">
        <f t="shared" si="480"/>
        <v>0</v>
      </c>
      <c r="I2096" s="161">
        <f t="shared" si="480"/>
        <v>0</v>
      </c>
      <c r="J2096" s="161">
        <f t="shared" si="480"/>
        <v>0</v>
      </c>
      <c r="K2096" s="161">
        <f t="shared" si="480"/>
        <v>0</v>
      </c>
      <c r="L2096" s="161">
        <f t="shared" si="480"/>
        <v>0</v>
      </c>
      <c r="M2096" s="125">
        <f t="shared" si="480"/>
        <v>0</v>
      </c>
      <c r="N2096" s="23"/>
      <c r="O2096" s="23"/>
    </row>
    <row r="2097" spans="2:13" s="3" customFormat="1" ht="6" customHeight="1" x14ac:dyDescent="0.25">
      <c r="B2097" s="136"/>
      <c r="C2097" s="127"/>
      <c r="D2097" s="127"/>
      <c r="E2097" s="127"/>
      <c r="F2097" s="127"/>
      <c r="G2097" s="127"/>
      <c r="H2097" s="127"/>
      <c r="I2097" s="127"/>
      <c r="J2097" s="127"/>
      <c r="K2097" s="127"/>
      <c r="L2097" s="127"/>
      <c r="M2097" s="137"/>
    </row>
    <row r="2098" spans="2:13" s="3" customFormat="1" ht="13.2" x14ac:dyDescent="0.25">
      <c r="B2098" s="129" t="str">
        <f>IF('1. INTRO'!I$2="English","Full cost","Full kostnad")</f>
        <v>Full cost</v>
      </c>
      <c r="C2098" s="127"/>
      <c r="D2098" s="127"/>
      <c r="E2098" s="127"/>
      <c r="F2098" s="127"/>
      <c r="G2098" s="127"/>
      <c r="H2098" s="127"/>
      <c r="I2098" s="127"/>
      <c r="J2098" s="127"/>
      <c r="K2098" s="127"/>
      <c r="L2098" s="127"/>
      <c r="M2098" s="137"/>
    </row>
    <row r="2099" spans="2:13" s="3" customFormat="1" ht="13.2" x14ac:dyDescent="0.25">
      <c r="B2099" s="791" t="str">
        <f>IF('1. INTRO'!I$2="English","Salary including social costs (LKP)","Lön inklusive LKP")</f>
        <v>Salary including social costs (LKP)</v>
      </c>
      <c r="C2099" s="817">
        <f>C1891+C1943+C1995+C2047</f>
        <v>0</v>
      </c>
      <c r="D2099" s="817">
        <f t="shared" ref="D2099:L2099" si="481">D1891+D1943+D1995+D2047</f>
        <v>0</v>
      </c>
      <c r="E2099" s="817">
        <f t="shared" si="481"/>
        <v>0</v>
      </c>
      <c r="F2099" s="817">
        <f t="shared" si="481"/>
        <v>0</v>
      </c>
      <c r="G2099" s="817">
        <f t="shared" si="481"/>
        <v>0</v>
      </c>
      <c r="H2099" s="817">
        <f t="shared" si="481"/>
        <v>0</v>
      </c>
      <c r="I2099" s="817">
        <f t="shared" si="481"/>
        <v>0</v>
      </c>
      <c r="J2099" s="817">
        <f t="shared" si="481"/>
        <v>0</v>
      </c>
      <c r="K2099" s="817">
        <f t="shared" si="481"/>
        <v>0</v>
      </c>
      <c r="L2099" s="817">
        <f t="shared" si="481"/>
        <v>0</v>
      </c>
      <c r="M2099" s="812">
        <f>SUM(C2099:L2099)</f>
        <v>0</v>
      </c>
    </row>
    <row r="2100" spans="2:13" s="3" customFormat="1" ht="13.2" x14ac:dyDescent="0.25">
      <c r="B2100" s="80" t="str">
        <f>IF('1. INTRO'!I$2="English","Operating","Drift")</f>
        <v>Operating</v>
      </c>
      <c r="C2100" s="189">
        <f>C1892+C1944+C1996+C2048</f>
        <v>0</v>
      </c>
      <c r="D2100" s="189">
        <f t="shared" ref="D2100:L2100" si="482">D1892+D1944+D1996+D2048</f>
        <v>0</v>
      </c>
      <c r="E2100" s="189">
        <f t="shared" si="482"/>
        <v>0</v>
      </c>
      <c r="F2100" s="189">
        <f t="shared" si="482"/>
        <v>0</v>
      </c>
      <c r="G2100" s="189">
        <f t="shared" si="482"/>
        <v>0</v>
      </c>
      <c r="H2100" s="189">
        <f t="shared" si="482"/>
        <v>0</v>
      </c>
      <c r="I2100" s="189">
        <f t="shared" si="482"/>
        <v>0</v>
      </c>
      <c r="J2100" s="189">
        <f t="shared" si="482"/>
        <v>0</v>
      </c>
      <c r="K2100" s="189">
        <f t="shared" si="482"/>
        <v>0</v>
      </c>
      <c r="L2100" s="189">
        <f t="shared" si="482"/>
        <v>0</v>
      </c>
      <c r="M2100" s="146">
        <f>SUM(C2100:L2100)</f>
        <v>0</v>
      </c>
    </row>
    <row r="2101" spans="2:13" s="3" customFormat="1" ht="13.2" x14ac:dyDescent="0.25">
      <c r="B2101" s="794" t="str">
        <f>IF('1. INTRO'!I$2="English","Equipment","Utrustning")</f>
        <v>Equipment</v>
      </c>
      <c r="C2101" s="818">
        <f>C1893+C1945+C1997+C2049</f>
        <v>0</v>
      </c>
      <c r="D2101" s="818">
        <f t="shared" ref="D2101:L2101" si="483">D1893+D1945+D1997+D2049</f>
        <v>0</v>
      </c>
      <c r="E2101" s="818">
        <f t="shared" si="483"/>
        <v>0</v>
      </c>
      <c r="F2101" s="818">
        <f t="shared" si="483"/>
        <v>0</v>
      </c>
      <c r="G2101" s="818">
        <f t="shared" si="483"/>
        <v>0</v>
      </c>
      <c r="H2101" s="818">
        <f t="shared" si="483"/>
        <v>0</v>
      </c>
      <c r="I2101" s="818">
        <f t="shared" si="483"/>
        <v>0</v>
      </c>
      <c r="J2101" s="818">
        <f t="shared" si="483"/>
        <v>0</v>
      </c>
      <c r="K2101" s="818">
        <f t="shared" si="483"/>
        <v>0</v>
      </c>
      <c r="L2101" s="818">
        <f t="shared" si="483"/>
        <v>0</v>
      </c>
      <c r="M2101" s="814">
        <f>SUM(C2101:L2101)</f>
        <v>0</v>
      </c>
    </row>
    <row r="2102" spans="2:13" s="3" customFormat="1" ht="13.2" x14ac:dyDescent="0.25">
      <c r="B2102" s="80" t="str">
        <f>IF('1. INTRO'!I$2="English","Facility","Lokal")</f>
        <v>Facility</v>
      </c>
      <c r="C2102" s="189">
        <f>C1894+C1946+C1998+C2050</f>
        <v>0</v>
      </c>
      <c r="D2102" s="189">
        <f t="shared" ref="D2102:L2102" si="484">D1894+D1946+D1998+D2050</f>
        <v>0</v>
      </c>
      <c r="E2102" s="189">
        <f t="shared" si="484"/>
        <v>0</v>
      </c>
      <c r="F2102" s="189">
        <f t="shared" si="484"/>
        <v>0</v>
      </c>
      <c r="G2102" s="189">
        <f t="shared" si="484"/>
        <v>0</v>
      </c>
      <c r="H2102" s="189">
        <f t="shared" si="484"/>
        <v>0</v>
      </c>
      <c r="I2102" s="189">
        <f t="shared" si="484"/>
        <v>0</v>
      </c>
      <c r="J2102" s="189">
        <f t="shared" si="484"/>
        <v>0</v>
      </c>
      <c r="K2102" s="189">
        <f t="shared" si="484"/>
        <v>0</v>
      </c>
      <c r="L2102" s="189">
        <f t="shared" si="484"/>
        <v>0</v>
      </c>
      <c r="M2102" s="146">
        <f>SUM(C2102:L2102)</f>
        <v>0</v>
      </c>
    </row>
    <row r="2103" spans="2:13" s="3" customFormat="1" ht="13.2" x14ac:dyDescent="0.25">
      <c r="B2103" s="805" t="str">
        <f>IF('1. INTRO'!I$2="English","Indirect","Indirekt")</f>
        <v>Indirect</v>
      </c>
      <c r="C2103" s="819">
        <f>C1895+C1947+C1999+C2051</f>
        <v>0</v>
      </c>
      <c r="D2103" s="819">
        <f t="shared" ref="D2103:L2103" si="485">D1895+D1947+D1999+D2051</f>
        <v>0</v>
      </c>
      <c r="E2103" s="819">
        <f t="shared" si="485"/>
        <v>0</v>
      </c>
      <c r="F2103" s="819">
        <f t="shared" si="485"/>
        <v>0</v>
      </c>
      <c r="G2103" s="819">
        <f t="shared" si="485"/>
        <v>0</v>
      </c>
      <c r="H2103" s="819">
        <f t="shared" si="485"/>
        <v>0</v>
      </c>
      <c r="I2103" s="819">
        <f t="shared" si="485"/>
        <v>0</v>
      </c>
      <c r="J2103" s="819">
        <f t="shared" si="485"/>
        <v>0</v>
      </c>
      <c r="K2103" s="819">
        <f t="shared" si="485"/>
        <v>0</v>
      </c>
      <c r="L2103" s="819">
        <f t="shared" si="485"/>
        <v>0</v>
      </c>
      <c r="M2103" s="816">
        <f>SUM(C2103:L2103)</f>
        <v>0</v>
      </c>
    </row>
    <row r="2104" spans="2:13" s="3" customFormat="1" ht="13.2" x14ac:dyDescent="0.25">
      <c r="B2104" s="124" t="s">
        <v>113</v>
      </c>
      <c r="C2104" s="104">
        <f t="shared" ref="C2104:M2104" si="486">SUM(C2099:C2103)</f>
        <v>0</v>
      </c>
      <c r="D2104" s="104">
        <f t="shared" si="486"/>
        <v>0</v>
      </c>
      <c r="E2104" s="104">
        <f t="shared" si="486"/>
        <v>0</v>
      </c>
      <c r="F2104" s="104">
        <f t="shared" si="486"/>
        <v>0</v>
      </c>
      <c r="G2104" s="104">
        <f t="shared" si="486"/>
        <v>0</v>
      </c>
      <c r="H2104" s="104">
        <f t="shared" si="486"/>
        <v>0</v>
      </c>
      <c r="I2104" s="104">
        <f t="shared" si="486"/>
        <v>0</v>
      </c>
      <c r="J2104" s="104">
        <f t="shared" si="486"/>
        <v>0</v>
      </c>
      <c r="K2104" s="104">
        <f t="shared" si="486"/>
        <v>0</v>
      </c>
      <c r="L2104" s="104">
        <f t="shared" si="486"/>
        <v>0</v>
      </c>
      <c r="M2104" s="142">
        <f t="shared" si="486"/>
        <v>0</v>
      </c>
    </row>
    <row r="2105" spans="2:13" s="3" customFormat="1" ht="13.2" x14ac:dyDescent="0.25">
      <c r="B2105" s="124"/>
      <c r="C2105" s="154"/>
      <c r="D2105" s="154"/>
      <c r="E2105" s="154"/>
      <c r="F2105" s="154"/>
      <c r="G2105" s="154"/>
      <c r="H2105" s="154"/>
      <c r="I2105" s="154"/>
      <c r="J2105" s="154"/>
      <c r="K2105" s="154"/>
      <c r="L2105" s="154"/>
      <c r="M2105" s="137"/>
    </row>
    <row r="2106" spans="2:13" ht="12.75" customHeight="1" x14ac:dyDescent="0.25">
      <c r="D2106" s="656" t="str">
        <f>IF('1. INTRO'!I$2="English","Co-funding need in average per year: ","Medfinansieringsbehov i genomsnitt per år: ")</f>
        <v xml:space="preserve">Co-funding need in average per year: </v>
      </c>
      <c r="E2106" s="807" t="str">
        <f>IF(M2096=0,"",M2096/(DATEDIF('2. START'!C$18,'2. START'!C$19,"d")/365))</f>
        <v/>
      </c>
      <c r="H2106" s="656" t="str">
        <f>IF('1. INTRO'!I$2="English","Co-funding need 1/3 of total: ","Medfinansieringsbehov 1/3 av totalt: ")</f>
        <v xml:space="preserve">Co-funding need 1/3 of total: </v>
      </c>
      <c r="I2106" s="807">
        <f>M2096/3</f>
        <v>0</v>
      </c>
      <c r="L2106" s="287" t="str">
        <f>IF('1. INTRO'!I$2="English","Co-funding need total: ","Medfinansieringsbehov totalt: ")</f>
        <v xml:space="preserve">Co-funding need total: </v>
      </c>
      <c r="M2106" s="807">
        <f>M2096</f>
        <v>0</v>
      </c>
    </row>
    <row r="2108" spans="2:13" s="3" customFormat="1" ht="12.75" customHeight="1" x14ac:dyDescent="0.25">
      <c r="B2108" s="313" t="str">
        <f>'3. PARTNER'!C$4</f>
        <v xml:space="preserve">Project: </v>
      </c>
      <c r="C2108" s="1062" t="str">
        <f>'3. PARTNER'!D$4</f>
        <v/>
      </c>
      <c r="D2108" s="1001"/>
      <c r="E2108" s="1001"/>
      <c r="F2108" s="1001"/>
      <c r="G2108" s="1001"/>
      <c r="H2108" s="1001"/>
      <c r="I2108" s="1001"/>
      <c r="J2108" s="1001"/>
      <c r="K2108" s="1001"/>
      <c r="L2108" s="1001"/>
      <c r="M2108" s="1001"/>
    </row>
    <row r="2109" spans="2:13" s="3" customFormat="1" ht="13.2" x14ac:dyDescent="0.25">
      <c r="B2109" s="313" t="str">
        <f>'3. PARTNER'!C$5</f>
        <v xml:space="preserve">Calculation for: </v>
      </c>
      <c r="C2109" s="1062" t="str">
        <f>'3. PARTNER'!D$5</f>
        <v>APPLICATION</v>
      </c>
      <c r="D2109" s="1001"/>
      <c r="E2109" s="268"/>
      <c r="F2109" s="268"/>
      <c r="G2109" s="268"/>
      <c r="H2109" s="268"/>
      <c r="I2109" s="268"/>
      <c r="J2109" s="268"/>
      <c r="K2109" s="268"/>
      <c r="L2109" s="268"/>
      <c r="M2109" s="268"/>
    </row>
    <row r="2110" spans="2:13" s="3" customFormat="1" ht="13.2" x14ac:dyDescent="0.25">
      <c r="B2110" s="35" t="str">
        <f>'3. PARTNER'!C$6</f>
        <v xml:space="preserve">Project leader: </v>
      </c>
      <c r="C2110" s="1062" t="str">
        <f>'3. PARTNER'!D$6</f>
        <v/>
      </c>
      <c r="D2110" s="1001"/>
      <c r="E2110" s="1001"/>
      <c r="F2110" s="1001"/>
      <c r="G2110" s="1001"/>
      <c r="H2110" s="1001"/>
      <c r="I2110" s="1001"/>
      <c r="J2110" s="1001"/>
      <c r="K2110" s="1001"/>
      <c r="L2110" s="1001"/>
      <c r="M2110" s="1001"/>
    </row>
    <row r="2111" spans="2:13" s="3" customFormat="1" ht="13.2" x14ac:dyDescent="0.25">
      <c r="B2111" s="313" t="str">
        <f>'5. PERSON'!B$7</f>
        <v xml:space="preserve">Amounts in: </v>
      </c>
      <c r="C2111" s="655" t="str">
        <f>'5. PERSON'!C$7</f>
        <v>SEK</v>
      </c>
      <c r="D2111" s="268"/>
      <c r="E2111" s="268"/>
      <c r="F2111" s="268"/>
      <c r="G2111" s="234"/>
      <c r="H2111" s="234"/>
      <c r="I2111" s="270"/>
      <c r="J2111" s="270"/>
      <c r="K2111" s="270"/>
      <c r="L2111" s="270"/>
      <c r="M2111" s="270"/>
    </row>
    <row r="2112" spans="2:13" s="3" customFormat="1" ht="13.2" x14ac:dyDescent="0.25">
      <c r="B2112" s="313"/>
      <c r="C2112" s="1053" t="str">
        <f>'3. PARTNER'!D$7</f>
        <v>Other basic data about the project is in sheet 2.</v>
      </c>
      <c r="D2112" s="1001"/>
      <c r="E2112" s="1001"/>
      <c r="F2112" s="1001"/>
      <c r="G2112" s="234"/>
      <c r="H2112" s="234"/>
      <c r="I2112" s="270"/>
      <c r="J2112" s="270"/>
      <c r="K2112" s="270"/>
      <c r="L2112" s="251" t="s">
        <v>4</v>
      </c>
      <c r="M2112" s="270"/>
    </row>
    <row r="2113" spans="2:15" ht="12.75" customHeight="1" x14ac:dyDescent="0.2">
      <c r="J2113" s="252" t="s">
        <v>322</v>
      </c>
      <c r="K2113" s="252" t="s">
        <v>323</v>
      </c>
      <c r="L2113" s="252" t="str">
        <f>IF('1. INTRO'!I$2="English","months","månader")</f>
        <v>months</v>
      </c>
    </row>
    <row r="2114" spans="2:15" s="3" customFormat="1" ht="13.8" x14ac:dyDescent="0.25">
      <c r="B2114" s="157" t="str">
        <f>IF('1. INTRO'!I$2="English","Project costs","Projektkostnader")</f>
        <v>Project costs</v>
      </c>
      <c r="C2114" s="668" t="str">
        <f>A55</f>
        <v>100GEM</v>
      </c>
      <c r="D2114" s="1227" t="str">
        <f>B55</f>
        <v>University administration</v>
      </c>
      <c r="E2114" s="1001"/>
      <c r="F2114" s="1001"/>
      <c r="G2114" s="1004"/>
      <c r="H2114" s="37"/>
      <c r="I2114" s="37"/>
      <c r="J2114" s="643"/>
      <c r="K2114" s="643"/>
      <c r="L2114" s="642">
        <f>SUMIF('5. PERSON'!$B$17:$B$192,$C2114,'5. PERSON'!AE$17:AE$192)</f>
        <v>0</v>
      </c>
      <c r="M2114" s="680" t="s">
        <v>330</v>
      </c>
    </row>
    <row r="2115" spans="2:15" s="3" customFormat="1" ht="6" customHeight="1" x14ac:dyDescent="0.25">
      <c r="B2115" s="57"/>
      <c r="C2115" s="37"/>
      <c r="D2115" s="37"/>
      <c r="E2115" s="37"/>
      <c r="F2115" s="37"/>
      <c r="G2115" s="37"/>
      <c r="H2115" s="37"/>
      <c r="I2115" s="37"/>
      <c r="J2115" s="37"/>
      <c r="K2115" s="37"/>
      <c r="L2115" s="37"/>
      <c r="M2115" s="37"/>
    </row>
    <row r="2116" spans="2:15" s="3" customFormat="1" ht="13.2" x14ac:dyDescent="0.25">
      <c r="B2116" s="110" t="str">
        <f>IF('1. INTRO'!I$2="English","Costs to be covered by funding body","Kostnader att täckas av finansiär")</f>
        <v>Costs to be covered by funding body</v>
      </c>
      <c r="C2116" s="111">
        <f>'5. PERSON'!G$15</f>
        <v>1900</v>
      </c>
      <c r="D2116" s="111" t="str">
        <f>'5. PERSON'!H$15</f>
        <v/>
      </c>
      <c r="E2116" s="111" t="str">
        <f>'5. PERSON'!I$15</f>
        <v/>
      </c>
      <c r="F2116" s="111" t="str">
        <f>'5. PERSON'!J$15</f>
        <v/>
      </c>
      <c r="G2116" s="111" t="str">
        <f>'5. PERSON'!K$15</f>
        <v/>
      </c>
      <c r="H2116" s="111" t="str">
        <f>'5. PERSON'!L$15</f>
        <v/>
      </c>
      <c r="I2116" s="111" t="str">
        <f>'5. PERSON'!M$15</f>
        <v/>
      </c>
      <c r="J2116" s="111" t="str">
        <f>'5. PERSON'!N$15</f>
        <v/>
      </c>
      <c r="K2116" s="111" t="str">
        <f>'5. PERSON'!O$15</f>
        <v/>
      </c>
      <c r="L2116" s="111" t="str">
        <f>'5. PERSON'!P$15</f>
        <v/>
      </c>
      <c r="M2116" s="112" t="s">
        <v>2</v>
      </c>
    </row>
    <row r="2117" spans="2:15" s="3" customFormat="1" ht="12.75" customHeight="1" x14ac:dyDescent="0.25">
      <c r="B2117" s="820" t="str">
        <f>IF('1. INTRO'!I$2="English","Salary including social costs (LKP)","Lön inklusive LKP")</f>
        <v>Salary including social costs (LKP)</v>
      </c>
      <c r="C2117" s="821">
        <f>IF('2. START'!$C$14&gt;0,SUMIF('5. PERSON'!$B$17:$B$192,$C2114,'5. PERSON'!DN$17:DN$192),SUMIF('5. PERSON'!$B$17:$B$192,$C2114,'5. PERSON'!AT$17:AT$192))</f>
        <v>0</v>
      </c>
      <c r="D2117" s="821">
        <f>IF('2. START'!$C$14&gt;0,SUMIF('5. PERSON'!$B$17:$B$192,$C2114,'5. PERSON'!DO$17:DO$192),SUMIF('5. PERSON'!$B$17:$B$192,$C2114,'5. PERSON'!AU$17:AU$192))</f>
        <v>0</v>
      </c>
      <c r="E2117" s="821">
        <f>IF('2. START'!$C$14&gt;0,SUMIF('5. PERSON'!$B$17:$B$192,$C2114,'5. PERSON'!DP$17:DP$192),SUMIF('5. PERSON'!$B$17:$B$192,$C2114,'5. PERSON'!AV$17:AV$192))</f>
        <v>0</v>
      </c>
      <c r="F2117" s="821">
        <f>IF('2. START'!$C$14&gt;0,SUMIF('5. PERSON'!$B$17:$B$192,$C2114,'5. PERSON'!DQ$17:DQ$192),SUMIF('5. PERSON'!$B$17:$B$192,$C2114,'5. PERSON'!AW$17:AW$192))</f>
        <v>0</v>
      </c>
      <c r="G2117" s="821">
        <f>IF('2. START'!$C$14&gt;0,SUMIF('5. PERSON'!$B$17:$B$192,$C2114,'5. PERSON'!DR$17:DR$192),SUMIF('5. PERSON'!$B$17:$B$192,$C2114,'5. PERSON'!AX$17:AX$192))</f>
        <v>0</v>
      </c>
      <c r="H2117" s="821">
        <f>IF('2. START'!$C$14&gt;0,SUMIF('5. PERSON'!$B$17:$B$192,$C2114,'5. PERSON'!DS$17:DS$192),SUMIF('5. PERSON'!$B$17:$B$192,$C2114,'5. PERSON'!AY$17:AY$192))</f>
        <v>0</v>
      </c>
      <c r="I2117" s="821">
        <f>IF('2. START'!$C$14&gt;0,SUMIF('5. PERSON'!$B$17:$B$192,$C2114,'5. PERSON'!DT$17:DT$192),SUMIF('5. PERSON'!$B$17:$B$192,$C2114,'5. PERSON'!AZ$17:AZ$192))</f>
        <v>0</v>
      </c>
      <c r="J2117" s="821">
        <f>IF('2. START'!$C$14&gt;0,SUMIF('5. PERSON'!$B$17:$B$192,$C2114,'5. PERSON'!DU$17:DU$192),SUMIF('5. PERSON'!$B$17:$B$192,$C2114,'5. PERSON'!BA$17:BA$192))</f>
        <v>0</v>
      </c>
      <c r="K2117" s="821">
        <f>IF('2. START'!$C$14&gt;0,SUMIF('5. PERSON'!$B$17:$B$192,$C2114,'5. PERSON'!DV$17:DV$192),SUMIF('5. PERSON'!$B$17:$B$192,$C2114,'5. PERSON'!BB$17:BB$192))</f>
        <v>0</v>
      </c>
      <c r="L2117" s="821">
        <f>IF('2. START'!$C$14&gt;0,SUMIF('5. PERSON'!$B$17:$B$192,$C2114,'5. PERSON'!DW$17:DW$192),SUMIF('5. PERSON'!$B$17:$B$192,$C2114,'5. PERSON'!BC$17:BC$192))</f>
        <v>0</v>
      </c>
      <c r="M2117" s="822">
        <f t="shared" ref="M2117:M2122" si="487">SUM(C2117:L2117)</f>
        <v>0</v>
      </c>
      <c r="O2117" s="4"/>
    </row>
    <row r="2118" spans="2:15" s="3" customFormat="1" ht="12.75" customHeight="1" x14ac:dyDescent="0.25">
      <c r="B2118" s="80" t="str">
        <f>IF('1. INTRO'!I$2="English","Operating","Drift")</f>
        <v>Operating</v>
      </c>
      <c r="C2118" s="116">
        <f>SUMIF('6. OPERATION'!$B$17:$B$149,$C2114,'6. OPERATION'!W$17:W$149)</f>
        <v>0</v>
      </c>
      <c r="D2118" s="116">
        <f>SUMIF('6. OPERATION'!$B$17:$B$149,$C2114,'6. OPERATION'!X$17:X$149)</f>
        <v>0</v>
      </c>
      <c r="E2118" s="116">
        <f>SUMIF('6. OPERATION'!$B$17:$B$149,$C2114,'6. OPERATION'!Y$17:Y$149)</f>
        <v>0</v>
      </c>
      <c r="F2118" s="116">
        <f>SUMIF('6. OPERATION'!$B$17:$B$149,$C2114,'6. OPERATION'!Z$17:Z$149)</f>
        <v>0</v>
      </c>
      <c r="G2118" s="116">
        <f>SUMIF('6. OPERATION'!$B$17:$B$149,$C2114,'6. OPERATION'!AA$17:AA$149)</f>
        <v>0</v>
      </c>
      <c r="H2118" s="116">
        <f>SUMIF('6. OPERATION'!$B$17:$B$149,$C2114,'6. OPERATION'!AB$17:AB$149)</f>
        <v>0</v>
      </c>
      <c r="I2118" s="116">
        <f>SUMIF('6. OPERATION'!$B$17:$B$149,$C2114,'6. OPERATION'!AC$17:AC$149)</f>
        <v>0</v>
      </c>
      <c r="J2118" s="116">
        <f>SUMIF('6. OPERATION'!$B$17:$B$149,$C2114,'6. OPERATION'!AD$17:AD$149)</f>
        <v>0</v>
      </c>
      <c r="K2118" s="116">
        <f>SUMIF('6. OPERATION'!$B$17:$B$149,$C2114,'6. OPERATION'!AE$17:AE$149)</f>
        <v>0</v>
      </c>
      <c r="L2118" s="116">
        <f>SUMIF('6. OPERATION'!$B$17:$B$149,$C2114,'6. OPERATION'!AF$17:AF$149)</f>
        <v>0</v>
      </c>
      <c r="M2118" s="117">
        <f t="shared" si="487"/>
        <v>0</v>
      </c>
    </row>
    <row r="2119" spans="2:15" s="3" customFormat="1" ht="13.2" x14ac:dyDescent="0.25">
      <c r="B2119" s="823" t="str">
        <f>IF('1. INTRO'!I$2="English","Equipment","Utrustning")</f>
        <v>Equipment</v>
      </c>
      <c r="C2119" s="824">
        <f>SUMIF('7. INVEST'!$B$17:$B$49,$C2114,'7. INVEST'!W$17:W$49)</f>
        <v>0</v>
      </c>
      <c r="D2119" s="824">
        <f>SUMIF('7. INVEST'!$B$17:$B$49,$C2114,'7. INVEST'!X$17:X$49)</f>
        <v>0</v>
      </c>
      <c r="E2119" s="824">
        <f>SUMIF('7. INVEST'!$B$17:$B$49,$C2114,'7. INVEST'!Y$17:Y$49)</f>
        <v>0</v>
      </c>
      <c r="F2119" s="824">
        <f>SUMIF('7. INVEST'!$B$17:$B$49,$C2114,'7. INVEST'!Z$17:Z$49)</f>
        <v>0</v>
      </c>
      <c r="G2119" s="824">
        <f>SUMIF('7. INVEST'!$B$17:$B$49,$C2114,'7. INVEST'!AA$17:AA$49)</f>
        <v>0</v>
      </c>
      <c r="H2119" s="824">
        <f>SUMIF('7. INVEST'!$B$17:$B$49,$C2114,'7. INVEST'!AB$17:AB$49)</f>
        <v>0</v>
      </c>
      <c r="I2119" s="824">
        <f>SUMIF('7. INVEST'!$B$17:$B$49,$C2114,'7. INVEST'!AC$17:AC$49)</f>
        <v>0</v>
      </c>
      <c r="J2119" s="824">
        <f>SUMIF('7. INVEST'!$B$17:$B$49,$C2114,'7. INVEST'!AD$17:AD$49)</f>
        <v>0</v>
      </c>
      <c r="K2119" s="824">
        <f>SUMIF('7. INVEST'!$B$17:$B$49,$C2114,'7. INVEST'!AE$17:AE$49)</f>
        <v>0</v>
      </c>
      <c r="L2119" s="824">
        <f>SUMIF('7. INVEST'!$B$17:$B$49,$C2114,'7. INVEST'!AF$17:AF$49)</f>
        <v>0</v>
      </c>
      <c r="M2119" s="825">
        <f t="shared" si="487"/>
        <v>0</v>
      </c>
    </row>
    <row r="2120" spans="2:15" s="3" customFormat="1" ht="13.2" x14ac:dyDescent="0.25">
      <c r="B2120" s="121" t="str">
        <f>IF('1. INTRO'!I$2="English",(IF('2. START'!C$11="NO","Facility accepted as direct cost by funding body","Facility")),IF('2. START'!C$11="NO","Lokal accepterad som direkt kostnad av finansiär","Lokal"))</f>
        <v>Facility</v>
      </c>
      <c r="C2120" s="116">
        <f>IF('2. START'!$C$11="NO",SUMIF('8. FACILIT'!$B$18:$B$50,$C2114,'8. FACILIT'!T$18:T$50),SUMIF('5. PERSON'!$B$17:$B$192,$C2114,'5. PERSON'!CP$17:CP$192)+SUMIF('6. OPERATION'!$B$17:$B$149,$C2114,'6. OPERATION'!BS$17:BS$149)+SUMIF('8. FACILIT'!$B$18:$B$50,$C2114,'8. FACILIT'!T$18:T$50))</f>
        <v>0</v>
      </c>
      <c r="D2120" s="116">
        <f>IF('2. START'!$C$11="NO",SUMIF('8. FACILIT'!$B$18:$B$50,$C2114,'8. FACILIT'!U$18:U$50),SUMIF('5. PERSON'!$B$17:$B$192,$C2114,'5. PERSON'!CQ$17:CQ$192)+SUMIF('6. OPERATION'!$B$17:$B$149,$C2114,'6. OPERATION'!BT$17:BT$149)+SUMIF('8. FACILIT'!$B$18:$B$50,$C2114,'8. FACILIT'!U$18:U$50))</f>
        <v>0</v>
      </c>
      <c r="E2120" s="116">
        <f>IF('2. START'!$C$11="NO",SUMIF('8. FACILIT'!$B$18:$B$50,$C2114,'8. FACILIT'!V$18:V$50),SUMIF('5. PERSON'!$B$17:$B$192,$C2114,'5. PERSON'!CR$17:CR$192)+SUMIF('6. OPERATION'!$B$17:$B$149,$C2114,'6. OPERATION'!BU$17:BU$149)+SUMIF('8. FACILIT'!$B$18:$B$50,$C2114,'8. FACILIT'!V$18:V$50))</f>
        <v>0</v>
      </c>
      <c r="F2120" s="116">
        <f>IF('2. START'!$C$11="NO",SUMIF('8. FACILIT'!$B$18:$B$50,$C2114,'8. FACILIT'!W$18:W$50),SUMIF('5. PERSON'!$B$17:$B$192,$C2114,'5. PERSON'!CS$17:CS$192)+SUMIF('6. OPERATION'!$B$17:$B$149,$C2114,'6. OPERATION'!BV$17:BV$149)+SUMIF('8. FACILIT'!$B$18:$B$50,$C2114,'8. FACILIT'!W$18:W$50))</f>
        <v>0</v>
      </c>
      <c r="G2120" s="116">
        <f>IF('2. START'!$C$11="NO",SUMIF('8. FACILIT'!$B$18:$B$50,$C2114,'8. FACILIT'!X$18:X$50),SUMIF('5. PERSON'!$B$17:$B$192,$C2114,'5. PERSON'!CT$17:CT$192)+SUMIF('6. OPERATION'!$B$17:$B$149,$C2114,'6. OPERATION'!BW$17:BW$149)+SUMIF('8. FACILIT'!$B$18:$B$50,$C2114,'8. FACILIT'!X$18:X$50))</f>
        <v>0</v>
      </c>
      <c r="H2120" s="116">
        <f>IF('2. START'!$C$11="NO",SUMIF('8. FACILIT'!$B$18:$B$50,$C2114,'8. FACILIT'!Y$18:Y$50),SUMIF('5. PERSON'!$B$17:$B$192,$C2114,'5. PERSON'!CU$17:CU$192)+SUMIF('6. OPERATION'!$B$17:$B$149,$C2114,'6. OPERATION'!BX$17:BX$149)+SUMIF('8. FACILIT'!$B$18:$B$50,$C2114,'8. FACILIT'!Y$18:Y$50))</f>
        <v>0</v>
      </c>
      <c r="I2120" s="116">
        <f>IF('2. START'!$C$11="NO",SUMIF('8. FACILIT'!$B$18:$B$50,$C2114,'8. FACILIT'!Z$18:Z$50),SUMIF('5. PERSON'!$B$17:$B$192,$C2114,'5. PERSON'!CV$17:CV$192)+SUMIF('6. OPERATION'!$B$17:$B$149,$C2114,'6. OPERATION'!BY$17:BY$149)+SUMIF('8. FACILIT'!$B$18:$B$50,$C2114,'8. FACILIT'!Z$18:Z$50))</f>
        <v>0</v>
      </c>
      <c r="J2120" s="116">
        <f>IF('2. START'!$C$11="NO",SUMIF('8. FACILIT'!$B$18:$B$50,$C2114,'8. FACILIT'!AA$18:AA$50),SUMIF('5. PERSON'!$B$17:$B$192,$C2114,'5. PERSON'!CW$17:CW$192)+SUMIF('6. OPERATION'!$B$17:$B$149,$C2114,'6. OPERATION'!BZ$17:BZ$149)+SUMIF('8. FACILIT'!$B$18:$B$50,$C2114,'8. FACILIT'!AA$18:AA$50))</f>
        <v>0</v>
      </c>
      <c r="K2120" s="116">
        <f>IF('2. START'!$C$11="NO",SUMIF('8. FACILIT'!$B$18:$B$50,$C2114,'8. FACILIT'!AB$18:AB$50),SUMIF('5. PERSON'!$B$17:$B$192,$C2114,'5. PERSON'!CX$17:CX$192)+SUMIF('6. OPERATION'!$B$17:$B$149,$C2114,'6. OPERATION'!CA$17:CA$149)+SUMIF('8. FACILIT'!$B$18:$B$50,$C2114,'8. FACILIT'!AB$18:AB$50))</f>
        <v>0</v>
      </c>
      <c r="L2120" s="116">
        <f>IF('2. START'!$C$11="NO",SUMIF('8. FACILIT'!$B$18:$B$50,$C2114,'8. FACILIT'!AC$18:AC$50),SUMIF('5. PERSON'!$B$17:$B$192,$C2114,'5. PERSON'!CY$17:CY$192)+SUMIF('6. OPERATION'!$B$17:$B$149,$C2114,'6. OPERATION'!CB$17:CB$149)+SUMIF('8. FACILIT'!$B$18:$B$50,$C2114,'8. FACILIT'!AC$18:AC$50))</f>
        <v>0</v>
      </c>
      <c r="M2120" s="117">
        <f t="shared" si="487"/>
        <v>0</v>
      </c>
    </row>
    <row r="2121" spans="2:15" s="3" customFormat="1" ht="13.2" x14ac:dyDescent="0.25">
      <c r="B2121" s="826" t="str">
        <f>IF('1. INTRO'!I$2="English",(IF('2. START'!C$11="NO","Indirect and facility charge accepted as OH by funding body","Indirect")),IF('2. START'!C$11="NO","Indirekt och lokalpåslag accepterade som OH av finansiär","Indirekt"))</f>
        <v>Indirect</v>
      </c>
      <c r="C2121" s="827">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827">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827">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827">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827">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827">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827">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827">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827">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827">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825">
        <f t="shared" si="487"/>
        <v>0</v>
      </c>
    </row>
    <row r="2122" spans="2:15" s="3" customFormat="1" ht="13.2" x14ac:dyDescent="0.25">
      <c r="B2122" s="124" t="s">
        <v>113</v>
      </c>
      <c r="C2122" s="102">
        <f>SUM(C2117:C2121)</f>
        <v>0</v>
      </c>
      <c r="D2122" s="102">
        <f t="shared" ref="D2122:L2122" si="488">SUM(D2117:D2121)</f>
        <v>0</v>
      </c>
      <c r="E2122" s="102">
        <f t="shared" si="488"/>
        <v>0</v>
      </c>
      <c r="F2122" s="102">
        <f t="shared" si="488"/>
        <v>0</v>
      </c>
      <c r="G2122" s="102">
        <f t="shared" si="488"/>
        <v>0</v>
      </c>
      <c r="H2122" s="102">
        <f t="shared" si="488"/>
        <v>0</v>
      </c>
      <c r="I2122" s="102">
        <f t="shared" si="488"/>
        <v>0</v>
      </c>
      <c r="J2122" s="102">
        <f t="shared" si="488"/>
        <v>0</v>
      </c>
      <c r="K2122" s="102">
        <f t="shared" si="488"/>
        <v>0</v>
      </c>
      <c r="L2122" s="102">
        <f t="shared" si="488"/>
        <v>0</v>
      </c>
      <c r="M2122" s="125">
        <f t="shared" si="487"/>
        <v>0</v>
      </c>
    </row>
    <row r="2123" spans="2:15" s="3" customFormat="1" ht="6" customHeight="1" x14ac:dyDescent="0.25">
      <c r="B2123" s="126"/>
      <c r="C2123" s="127"/>
      <c r="D2123" s="127"/>
      <c r="E2123" s="127"/>
      <c r="F2123" s="127"/>
      <c r="G2123" s="127"/>
      <c r="H2123" s="127"/>
      <c r="I2123" s="127"/>
      <c r="J2123" s="127"/>
      <c r="K2123" s="127"/>
      <c r="L2123" s="127"/>
      <c r="M2123" s="128"/>
    </row>
    <row r="2124" spans="2:15" s="3" customFormat="1" ht="13.2" x14ac:dyDescent="0.25">
      <c r="B2124" s="129" t="str">
        <f>IF('1. INTRO'!I$2="English","Costs to be co-funded","Kostnader att medfinansiera")</f>
        <v>Costs to be co-funded</v>
      </c>
      <c r="C2124" s="86"/>
      <c r="D2124" s="86"/>
      <c r="E2124" s="86"/>
      <c r="F2124" s="86"/>
      <c r="G2124" s="86"/>
      <c r="H2124" s="86"/>
      <c r="I2124" s="86"/>
      <c r="J2124" s="86"/>
      <c r="K2124" s="86"/>
      <c r="L2124" s="86"/>
      <c r="M2124" s="130"/>
    </row>
    <row r="2125" spans="2:15" s="3" customFormat="1" ht="13.2" x14ac:dyDescent="0.25">
      <c r="B2125" s="828" t="str">
        <f>IF('1. INTRO'!I$2="English",(IF('2. START'!C$11="NO","Indirect and facility charge not accepted as OH by funding body","")),IF('2. START'!C$11="NO","Indirekt och lokalpåslag inte accepterade som OH av finansiär",""))</f>
        <v/>
      </c>
      <c r="C2125" s="829">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829">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829">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829">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829">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829">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829">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829">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829">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829">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822">
        <f t="shared" ref="M2125:M2131" si="489">SUM(C2125:L2125)</f>
        <v>0</v>
      </c>
    </row>
    <row r="2126" spans="2:15" s="3" customFormat="1" ht="12.75" customHeight="1" x14ac:dyDescent="0.25">
      <c r="B2126" s="132" t="str">
        <f>IF('1. INTRO'!I$2="English",(IF('2. START'!C$14&gt;0,"Social costs (LKP) not accepted by funding body","")),IF('2. START'!C$14&gt;0,"LKP som inte accepteras av finansiär",""))</f>
        <v/>
      </c>
      <c r="C2126" s="133">
        <f>IF('2. START'!$C$14&gt;0,SUMIF('5. PERSON'!$B$17:$B$192,$C2114,'5. PERSON'!AT$17:AT$192)-SUMIF('5. PERSON'!$B$17:$B$192,$C2114,'5. PERSON'!DN$17:DN$192),0)</f>
        <v>0</v>
      </c>
      <c r="D2126" s="133">
        <f>IF('2. START'!$C$14&gt;0,SUMIF('5. PERSON'!$B$17:$B$192,$C2114,'5. PERSON'!AU$17:AU$192)-SUMIF('5. PERSON'!$B$17:$B$192,$C2114,'5. PERSON'!DO$17:DO$192),0)</f>
        <v>0</v>
      </c>
      <c r="E2126" s="133">
        <f>IF('2. START'!$C$14&gt;0,SUMIF('5. PERSON'!$B$17:$B$192,$C2114,'5. PERSON'!AV$17:AV$192)-SUMIF('5. PERSON'!$B$17:$B$192,$C2114,'5. PERSON'!DP$17:DP$192),0)</f>
        <v>0</v>
      </c>
      <c r="F2126" s="133">
        <f>IF('2. START'!$C$14&gt;0,SUMIF('5. PERSON'!$B$17:$B$192,$C2114,'5. PERSON'!AW$17:AW$192)-SUMIF('5. PERSON'!$B$17:$B$192,$C2114,'5. PERSON'!DQ$17:DQ$192),0)</f>
        <v>0</v>
      </c>
      <c r="G2126" s="133">
        <f>IF('2. START'!$C$14&gt;0,SUMIF('5. PERSON'!$B$17:$B$192,$C2114,'5. PERSON'!AX$17:AX$192)-SUMIF('5. PERSON'!$B$17:$B$192,$C2114,'5. PERSON'!DR$17:DR$192),0)</f>
        <v>0</v>
      </c>
      <c r="H2126" s="133">
        <f>IF('2. START'!$C$14&gt;0,SUMIF('5. PERSON'!$B$17:$B$192,$C2114,'5. PERSON'!AY$17:AY$192)-SUMIF('5. PERSON'!$B$17:$B$192,$C2114,'5. PERSON'!DS$17:DS$192),0)</f>
        <v>0</v>
      </c>
      <c r="I2126" s="133">
        <f>IF('2. START'!$C$14&gt;0,SUMIF('5. PERSON'!$B$17:$B$192,$C2114,'5. PERSON'!AZ$17:AZ$192)-SUMIF('5. PERSON'!$B$17:$B$192,$C2114,'5. PERSON'!DT$17:DT$192),0)</f>
        <v>0</v>
      </c>
      <c r="J2126" s="133">
        <f>IF('2. START'!$C$14&gt;0,SUMIF('5. PERSON'!$B$17:$B$192,$C2114,'5. PERSON'!BA$17:BA$192)-SUMIF('5. PERSON'!$B$17:$B$192,$C2114,'5. PERSON'!DU$17:DU$192),0)</f>
        <v>0</v>
      </c>
      <c r="K2126" s="133">
        <f>IF('2. START'!$C$14&gt;0,SUMIF('5. PERSON'!$B$17:$B$192,$C2114,'5. PERSON'!BB$17:BB$192)-SUMIF('5. PERSON'!$B$17:$B$192,$C2114,'5. PERSON'!DV$17:DV$192),0)</f>
        <v>0</v>
      </c>
      <c r="L2126" s="133">
        <f>IF('2. START'!$C$14&gt;0,SUMIF('5. PERSON'!$B$17:$B$192,$C2114,'5. PERSON'!BC$17:BC$192)-SUMIF('5. PERSON'!$B$17:$B$192,$C2114,'5. PERSON'!DW$17:DW$192),0)</f>
        <v>0</v>
      </c>
      <c r="M2126" s="117">
        <f t="shared" si="489"/>
        <v>0</v>
      </c>
    </row>
    <row r="2127" spans="2:15" s="3" customFormat="1" ht="12.75" customHeight="1" x14ac:dyDescent="0.25">
      <c r="B2127" s="823" t="str">
        <f>IF('1. INTRO'!I$2="English",(IF('5. PERSON'!BP$193&gt;0,"Salary including social costs (LKP)","")),IF('5. PERSON'!BP$193&gt;0,"Lön inklusive LKP",""))</f>
        <v/>
      </c>
      <c r="C2127" s="830">
        <f>SUMIF('5. PERSON'!$B$17:$B$192,$C2114,'5. PERSON'!BF$17:BF$192)</f>
        <v>0</v>
      </c>
      <c r="D2127" s="830">
        <f>SUMIF('5. PERSON'!$B$17:$B$192,$C2114,'5. PERSON'!BG$17:BG$192)</f>
        <v>0</v>
      </c>
      <c r="E2127" s="830">
        <f>SUMIF('5. PERSON'!$B$17:$B$192,$C2114,'5. PERSON'!BH$17:BH$192)</f>
        <v>0</v>
      </c>
      <c r="F2127" s="830">
        <f>SUMIF('5. PERSON'!$B$17:$B$192,$C2114,'5. PERSON'!BI$17:BI$192)</f>
        <v>0</v>
      </c>
      <c r="G2127" s="830">
        <f>SUMIF('5. PERSON'!$B$17:$B$192,$C2114,'5. PERSON'!BJ$17:BJ$192)</f>
        <v>0</v>
      </c>
      <c r="H2127" s="830">
        <f>SUMIF('5. PERSON'!$B$17:$B$192,$C2114,'5. PERSON'!BK$17:BK$192)</f>
        <v>0</v>
      </c>
      <c r="I2127" s="830">
        <f>SUMIF('5. PERSON'!$B$17:$B$192,$C2114,'5. PERSON'!BL$17:BL$192)</f>
        <v>0</v>
      </c>
      <c r="J2127" s="830">
        <f>SUMIF('5. PERSON'!$B$17:$B$192,$C2114,'5. PERSON'!BM$17:BM$192)</f>
        <v>0</v>
      </c>
      <c r="K2127" s="830">
        <f>SUMIF('5. PERSON'!$B$17:$B$192,$C2114,'5. PERSON'!BN$17:BN$192)</f>
        <v>0</v>
      </c>
      <c r="L2127" s="830">
        <f>SUMIF('5. PERSON'!$B$17:$B$192,$C2114,'5. PERSON'!BO$17:BO$192)</f>
        <v>0</v>
      </c>
      <c r="M2127" s="825">
        <f t="shared" si="489"/>
        <v>0</v>
      </c>
    </row>
    <row r="2128" spans="2:15" s="3" customFormat="1" ht="13.2" x14ac:dyDescent="0.25">
      <c r="B2128" s="80" t="str">
        <f>IF('1. INTRO'!I$2="English",(IF('6. OPERATION'!AS$150&gt;0,"Operating","")),IF('6. OPERATION'!AS$150&gt;0,"Drift",""))</f>
        <v/>
      </c>
      <c r="C2128" s="135">
        <f>SUMIF('6. OPERATION'!$B$17:$B$149,$C2114,'6. OPERATION'!AI$17:AI$149)</f>
        <v>0</v>
      </c>
      <c r="D2128" s="135">
        <f>SUMIF('6. OPERATION'!$B$17:$B$149,$C2114,'6. OPERATION'!AJ$17:AJ$149)</f>
        <v>0</v>
      </c>
      <c r="E2128" s="135">
        <f>SUMIF('6. OPERATION'!$B$17:$B$149,$C2114,'6. OPERATION'!AK$17:AK$149)</f>
        <v>0</v>
      </c>
      <c r="F2128" s="135">
        <f>SUMIF('6. OPERATION'!$B$17:$B$149,$C2114,'6. OPERATION'!AL$17:AL$149)</f>
        <v>0</v>
      </c>
      <c r="G2128" s="135">
        <f>SUMIF('6. OPERATION'!$B$17:$B$149,$C2114,'6. OPERATION'!AM$17:AM$149)</f>
        <v>0</v>
      </c>
      <c r="H2128" s="135">
        <f>SUMIF('6. OPERATION'!$B$17:$B$149,$C2114,'6. OPERATION'!AN$17:AN$149)</f>
        <v>0</v>
      </c>
      <c r="I2128" s="135">
        <f>SUMIF('6. OPERATION'!$B$17:$B$149,$C2114,'6. OPERATION'!AO$17:AO$149)</f>
        <v>0</v>
      </c>
      <c r="J2128" s="135">
        <f>SUMIF('6. OPERATION'!$B$17:$B$149,$C2114,'6. OPERATION'!AP$17:AP$149)</f>
        <v>0</v>
      </c>
      <c r="K2128" s="135">
        <f>SUMIF('6. OPERATION'!$B$17:$B$149,$C2114,'6. OPERATION'!AQ$17:AQ$149)</f>
        <v>0</v>
      </c>
      <c r="L2128" s="135">
        <f>SUMIF('6. OPERATION'!$B$17:$B$149,$C2114,'6. OPERATION'!AR$17:AR$149)</f>
        <v>0</v>
      </c>
      <c r="M2128" s="117">
        <f t="shared" si="489"/>
        <v>0</v>
      </c>
    </row>
    <row r="2129" spans="2:15" s="3" customFormat="1" ht="13.2" x14ac:dyDescent="0.25">
      <c r="B2129" s="823" t="str">
        <f>IF('1. INTRO'!I$2="English",(IF('7. INVEST'!AS$50&gt;0,"Equipment","")),IF('7. INVEST'!AS$50&gt;0,"Utrustning",""))</f>
        <v/>
      </c>
      <c r="C2129" s="830">
        <f>SUMIF('7. INVEST'!$B$17:$B$49,$C2114,'7. INVEST'!AI$17:AI$49)</f>
        <v>0</v>
      </c>
      <c r="D2129" s="830">
        <f>SUMIF('7. INVEST'!$B$17:$B$49,$C2114,'7. INVEST'!AJ$17:AJ$49)</f>
        <v>0</v>
      </c>
      <c r="E2129" s="830">
        <f>SUMIF('7. INVEST'!$B$17:$B$49,$C2114,'7. INVEST'!AK$17:AK$49)</f>
        <v>0</v>
      </c>
      <c r="F2129" s="830">
        <f>SUMIF('7. INVEST'!$B$17:$B$49,$C2114,'7. INVEST'!AL$17:AL$49)</f>
        <v>0</v>
      </c>
      <c r="G2129" s="830">
        <f>SUMIF('7. INVEST'!$B$17:$B$49,$C2114,'7. INVEST'!AM$17:AM$49)</f>
        <v>0</v>
      </c>
      <c r="H2129" s="830">
        <f>SUMIF('7. INVEST'!$B$17:$B$49,$C2114,'7. INVEST'!AN$17:AN$49)</f>
        <v>0</v>
      </c>
      <c r="I2129" s="830">
        <f>SUMIF('7. INVEST'!$B$17:$B$49,$C2114,'7. INVEST'!AO$17:AO$49)</f>
        <v>0</v>
      </c>
      <c r="J2129" s="830">
        <f>SUMIF('7. INVEST'!$B$17:$B$49,$C2114,'7. INVEST'!AP$17:AP$49)</f>
        <v>0</v>
      </c>
      <c r="K2129" s="830">
        <f>SUMIF('7. INVEST'!$B$17:$B$49,$C2114,'7. INVEST'!AQ$17:AQ$49)</f>
        <v>0</v>
      </c>
      <c r="L2129" s="830">
        <f>SUMIF('7. INVEST'!$B$17:$B$49,$C2114,'7. INVEST'!AR$17:AR$49)</f>
        <v>0</v>
      </c>
      <c r="M2129" s="825">
        <f t="shared" si="489"/>
        <v>0</v>
      </c>
    </row>
    <row r="2130" spans="2:15" s="3" customFormat="1" ht="13.2" x14ac:dyDescent="0.25">
      <c r="B2130" s="121" t="str">
        <f>IF('1. INTRO'!I$2="English",(IF('8. FACILIT'!AP$51&gt;0,"Facility","")),IF('8. FACILIT'!AP$51&gt;0,"Lokal",""))</f>
        <v/>
      </c>
      <c r="C2130" s="135">
        <f>SUMIF('5. PERSON'!$B$17:$B$192,$C2114,'5. PERSON'!DB$17:DB$192)+SUMIF('6. OPERATION'!$B$17:$B$149,$C2114,'6. OPERATION'!CE$17:CE$149)+SUMIF('8. FACILIT'!$B$18:$B$50,$C2114,'8. FACILIT'!AF$18:AF$50)</f>
        <v>0</v>
      </c>
      <c r="D2130" s="135">
        <f>SUMIF('5. PERSON'!$B$17:$B$192,$C2114,'5. PERSON'!DC$17:DC$192)+SUMIF('6. OPERATION'!$B$17:$B$149,$C2114,'6. OPERATION'!CF$17:CF$149)+SUMIF('8. FACILIT'!$B$18:$B$50,$C2114,'8. FACILIT'!AG$18:AG$50)</f>
        <v>0</v>
      </c>
      <c r="E2130" s="135">
        <f>SUMIF('5. PERSON'!$B$17:$B$192,$C2114,'5. PERSON'!DD$17:DD$192)+SUMIF('6. OPERATION'!$B$17:$B$149,$C2114,'6. OPERATION'!CG$17:CG$149)+SUMIF('8. FACILIT'!$B$18:$B$50,$C2114,'8. FACILIT'!AH$18:AH$50)</f>
        <v>0</v>
      </c>
      <c r="F2130" s="135">
        <f>SUMIF('5. PERSON'!$B$17:$B$192,$C2114,'5. PERSON'!DE$17:DE$192)+SUMIF('6. OPERATION'!$B$17:$B$149,$C2114,'6. OPERATION'!CH$17:CH$149)+SUMIF('8. FACILIT'!$B$18:$B$50,$C2114,'8. FACILIT'!AI$18:AI$50)</f>
        <v>0</v>
      </c>
      <c r="G2130" s="135">
        <f>SUMIF('5. PERSON'!$B$17:$B$192,$C2114,'5. PERSON'!DF$17:DF$192)+SUMIF('6. OPERATION'!$B$17:$B$149,$C2114,'6. OPERATION'!CI$17:CI$149)+SUMIF('8. FACILIT'!$B$18:$B$50,$C2114,'8. FACILIT'!AJ$18:AJ$50)</f>
        <v>0</v>
      </c>
      <c r="H2130" s="135">
        <f>SUMIF('5. PERSON'!$B$17:$B$192,$C2114,'5. PERSON'!DG$17:DG$192)+SUMIF('6. OPERATION'!$B$17:$B$149,$C2114,'6. OPERATION'!CJ$17:CJ$149)+SUMIF('8. FACILIT'!$B$18:$B$50,$C2114,'8. FACILIT'!AK$18:AK$50)</f>
        <v>0</v>
      </c>
      <c r="I2130" s="135">
        <f>SUMIF('5. PERSON'!$B$17:$B$192,$C2114,'5. PERSON'!DH$17:DH$192)+SUMIF('6. OPERATION'!$B$17:$B$149,$C2114,'6. OPERATION'!CK$17:CK$149)+SUMIF('8. FACILIT'!$B$18:$B$50,$C2114,'8. FACILIT'!AL$18:AL$50)</f>
        <v>0</v>
      </c>
      <c r="J2130" s="135">
        <f>SUMIF('5. PERSON'!$B$17:$B$192,$C2114,'5. PERSON'!DI$17:DI$192)+SUMIF('6. OPERATION'!$B$17:$B$149,$C2114,'6. OPERATION'!CL$17:CL$149)+SUMIF('8. FACILIT'!$B$18:$B$50,$C2114,'8. FACILIT'!AM$18:AM$50)</f>
        <v>0</v>
      </c>
      <c r="K2130" s="135">
        <f>SUMIF('5. PERSON'!$B$17:$B$192,$C2114,'5. PERSON'!DJ$17:DJ$192)+SUMIF('6. OPERATION'!$B$17:$B$149,$C2114,'6. OPERATION'!CM$17:CM$149)+SUMIF('8. FACILIT'!$B$18:$B$50,$C2114,'8. FACILIT'!AN$18:AN$50)</f>
        <v>0</v>
      </c>
      <c r="L2130" s="135">
        <f>SUMIF('5. PERSON'!$B$17:$B$192,$C2114,'5. PERSON'!DK$17:DK$192)+SUMIF('6. OPERATION'!$B$17:$B$149,$C2114,'6. OPERATION'!CN$17:CN$149)+SUMIF('8. FACILIT'!$B$18:$B$50,$C2114,'8. FACILIT'!AO$18:AO$50)</f>
        <v>0</v>
      </c>
      <c r="M2130" s="117">
        <f t="shared" si="489"/>
        <v>0</v>
      </c>
    </row>
    <row r="2131" spans="2:15" s="1" customFormat="1" ht="13.2" x14ac:dyDescent="0.25">
      <c r="B2131" s="826" t="str">
        <f>IF('1. INTRO'!I$2="English",(IF(('5. PERSON'!CN$193+'6. OPERATION'!BQ$150)&gt;0,"Indirect","")),IF(('5. PERSON'!CN$193+'6. OPERATION'!BQ$150)&gt;0,"Indirekt",""))</f>
        <v/>
      </c>
      <c r="C2131" s="827">
        <f>SUMIF('5. PERSON'!$B$17:$B$192,$C2114,'5. PERSON'!CD$17:CD$192)+SUMIF('6. OPERATION'!$B$17:$B$149,$C2114,'6. OPERATION'!BG$17:BG$149)</f>
        <v>0</v>
      </c>
      <c r="D2131" s="827">
        <f>SUMIF('5. PERSON'!$B$17:$B$192,$C2114,'5. PERSON'!CE$17:CE$192)+SUMIF('6. OPERATION'!$B$17:$B$149,$C2114,'6. OPERATION'!BH$17:BH$149)</f>
        <v>0</v>
      </c>
      <c r="E2131" s="827">
        <f>SUMIF('5. PERSON'!$B$17:$B$192,$C2114,'5. PERSON'!CF$17:CF$192)+SUMIF('6. OPERATION'!$B$17:$B$149,$C2114,'6. OPERATION'!BI$17:BI$149)</f>
        <v>0</v>
      </c>
      <c r="F2131" s="827">
        <f>SUMIF('5. PERSON'!$B$17:$B$192,$C2114,'5. PERSON'!CG$17:CG$192)+SUMIF('6. OPERATION'!$B$17:$B$149,$C2114,'6. OPERATION'!BJ$17:BJ$149)</f>
        <v>0</v>
      </c>
      <c r="G2131" s="827">
        <f>SUMIF('5. PERSON'!$B$17:$B$192,$C2114,'5. PERSON'!CH$17:CH$192)+SUMIF('6. OPERATION'!$B$17:$B$149,$C2114,'6. OPERATION'!BK$17:BK$149)</f>
        <v>0</v>
      </c>
      <c r="H2131" s="827">
        <f>SUMIF('5. PERSON'!$B$17:$B$192,$C2114,'5. PERSON'!CI$17:CI$192)+SUMIF('6. OPERATION'!$B$17:$B$149,$C2114,'6. OPERATION'!BL$17:BL$149)</f>
        <v>0</v>
      </c>
      <c r="I2131" s="827">
        <f>SUMIF('5. PERSON'!$B$17:$B$192,$C2114,'5. PERSON'!CJ$17:CJ$192)+SUMIF('6. OPERATION'!$B$17:$B$149,$C2114,'6. OPERATION'!BM$17:BM$149)</f>
        <v>0</v>
      </c>
      <c r="J2131" s="827">
        <f>SUMIF('5. PERSON'!$B$17:$B$192,$C2114,'5. PERSON'!CK$17:CK$192)+SUMIF('6. OPERATION'!$B$17:$B$149,$C2114,'6. OPERATION'!BN$17:BN$149)</f>
        <v>0</v>
      </c>
      <c r="K2131" s="827">
        <f>SUMIF('5. PERSON'!$B$17:$B$192,$C2114,'5. PERSON'!CL$17:CL$192)+SUMIF('6. OPERATION'!$B$17:$B$149,$C2114,'6. OPERATION'!BO$17:BO$149)</f>
        <v>0</v>
      </c>
      <c r="L2131" s="827">
        <f>SUMIF('5. PERSON'!$B$17:$B$192,$C2114,'5. PERSON'!CM$17:CM$192)+SUMIF('6. OPERATION'!$B$17:$B$149,$C2114,'6. OPERATION'!BP$17:BP$149)</f>
        <v>0</v>
      </c>
      <c r="M2131" s="831">
        <f t="shared" si="489"/>
        <v>0</v>
      </c>
    </row>
    <row r="2132" spans="2:15" s="3" customFormat="1" ht="13.2" x14ac:dyDescent="0.25">
      <c r="B2132" s="124" t="s">
        <v>113</v>
      </c>
      <c r="C2132" s="102">
        <f>SUM(C2125:C2131)</f>
        <v>0</v>
      </c>
      <c r="D2132" s="102">
        <f t="shared" ref="D2132:M2132" si="490">SUM(D2125:D2131)</f>
        <v>0</v>
      </c>
      <c r="E2132" s="102">
        <f t="shared" si="490"/>
        <v>0</v>
      </c>
      <c r="F2132" s="102">
        <f t="shared" si="490"/>
        <v>0</v>
      </c>
      <c r="G2132" s="102">
        <f t="shared" si="490"/>
        <v>0</v>
      </c>
      <c r="H2132" s="102">
        <f t="shared" si="490"/>
        <v>0</v>
      </c>
      <c r="I2132" s="102">
        <f t="shared" si="490"/>
        <v>0</v>
      </c>
      <c r="J2132" s="102">
        <f t="shared" si="490"/>
        <v>0</v>
      </c>
      <c r="K2132" s="102">
        <f t="shared" si="490"/>
        <v>0</v>
      </c>
      <c r="L2132" s="102">
        <f t="shared" si="490"/>
        <v>0</v>
      </c>
      <c r="M2132" s="125">
        <f t="shared" si="490"/>
        <v>0</v>
      </c>
      <c r="N2132" s="23"/>
      <c r="O2132" s="23"/>
    </row>
    <row r="2133" spans="2:15" s="3" customFormat="1" ht="6" customHeight="1" x14ac:dyDescent="0.25">
      <c r="B2133" s="136"/>
      <c r="C2133" s="127"/>
      <c r="D2133" s="127"/>
      <c r="E2133" s="127"/>
      <c r="F2133" s="127"/>
      <c r="G2133" s="127"/>
      <c r="H2133" s="127"/>
      <c r="I2133" s="127"/>
      <c r="J2133" s="127"/>
      <c r="K2133" s="127"/>
      <c r="L2133" s="127"/>
      <c r="M2133" s="137"/>
    </row>
    <row r="2134" spans="2:15" s="3" customFormat="1" ht="13.2" x14ac:dyDescent="0.25">
      <c r="B2134" s="129" t="str">
        <f>IF('1. INTRO'!I$2="English","Full cost","Full kostnad")</f>
        <v>Full cost</v>
      </c>
      <c r="C2134" s="127"/>
      <c r="D2134" s="127"/>
      <c r="E2134" s="127"/>
      <c r="F2134" s="127"/>
      <c r="G2134" s="127"/>
      <c r="H2134" s="127"/>
      <c r="I2134" s="127"/>
      <c r="J2134" s="127"/>
      <c r="K2134" s="127"/>
      <c r="L2134" s="127"/>
      <c r="M2134" s="137"/>
    </row>
    <row r="2135" spans="2:15" s="3" customFormat="1" ht="13.2" x14ac:dyDescent="0.25">
      <c r="B2135" s="820" t="str">
        <f>IF('1. INTRO'!I$2="English","Salary including social costs (LKP)","Lön inklusive LKP")</f>
        <v>Salary including social costs (LKP)</v>
      </c>
      <c r="C2135" s="832">
        <f>C2117+C2126+C2127</f>
        <v>0</v>
      </c>
      <c r="D2135" s="832">
        <f t="shared" ref="D2135:L2135" si="491">D2117+D2126+D2127</f>
        <v>0</v>
      </c>
      <c r="E2135" s="832">
        <f t="shared" si="491"/>
        <v>0</v>
      </c>
      <c r="F2135" s="832">
        <f t="shared" si="491"/>
        <v>0</v>
      </c>
      <c r="G2135" s="832">
        <f t="shared" si="491"/>
        <v>0</v>
      </c>
      <c r="H2135" s="832">
        <f t="shared" si="491"/>
        <v>0</v>
      </c>
      <c r="I2135" s="832">
        <f t="shared" si="491"/>
        <v>0</v>
      </c>
      <c r="J2135" s="832">
        <f t="shared" si="491"/>
        <v>0</v>
      </c>
      <c r="K2135" s="832">
        <f t="shared" si="491"/>
        <v>0</v>
      </c>
      <c r="L2135" s="832">
        <f t="shared" si="491"/>
        <v>0</v>
      </c>
      <c r="M2135" s="822">
        <f>SUM(C2135:L2135)</f>
        <v>0</v>
      </c>
    </row>
    <row r="2136" spans="2:15" s="3" customFormat="1" ht="13.2" x14ac:dyDescent="0.25">
      <c r="B2136" s="80" t="str">
        <f>IF('1. INTRO'!I$2="English","Operating","Drift")</f>
        <v>Operating</v>
      </c>
      <c r="C2136" s="139">
        <f>C2118+C2128</f>
        <v>0</v>
      </c>
      <c r="D2136" s="139">
        <f t="shared" ref="D2136:L2136" si="492">D2118+D2128</f>
        <v>0</v>
      </c>
      <c r="E2136" s="139">
        <f t="shared" si="492"/>
        <v>0</v>
      </c>
      <c r="F2136" s="139">
        <f t="shared" si="492"/>
        <v>0</v>
      </c>
      <c r="G2136" s="139">
        <f t="shared" si="492"/>
        <v>0</v>
      </c>
      <c r="H2136" s="139">
        <f t="shared" si="492"/>
        <v>0</v>
      </c>
      <c r="I2136" s="139">
        <f t="shared" si="492"/>
        <v>0</v>
      </c>
      <c r="J2136" s="139">
        <f t="shared" si="492"/>
        <v>0</v>
      </c>
      <c r="K2136" s="139">
        <f t="shared" si="492"/>
        <v>0</v>
      </c>
      <c r="L2136" s="139">
        <f t="shared" si="492"/>
        <v>0</v>
      </c>
      <c r="M2136" s="117">
        <f>SUM(C2136:L2136)</f>
        <v>0</v>
      </c>
    </row>
    <row r="2137" spans="2:15" s="3" customFormat="1" ht="13.2" x14ac:dyDescent="0.25">
      <c r="B2137" s="823" t="str">
        <f>IF('1. INTRO'!I$2="English","Equipment","Utrustning")</f>
        <v>Equipment</v>
      </c>
      <c r="C2137" s="833">
        <f>C2119+C2129</f>
        <v>0</v>
      </c>
      <c r="D2137" s="833">
        <f t="shared" ref="D2137:L2137" si="493">D2119+D2129</f>
        <v>0</v>
      </c>
      <c r="E2137" s="833">
        <f t="shared" si="493"/>
        <v>0</v>
      </c>
      <c r="F2137" s="833">
        <f t="shared" si="493"/>
        <v>0</v>
      </c>
      <c r="G2137" s="833">
        <f t="shared" si="493"/>
        <v>0</v>
      </c>
      <c r="H2137" s="833">
        <f t="shared" si="493"/>
        <v>0</v>
      </c>
      <c r="I2137" s="833">
        <f t="shared" si="493"/>
        <v>0</v>
      </c>
      <c r="J2137" s="833">
        <f t="shared" si="493"/>
        <v>0</v>
      </c>
      <c r="K2137" s="833">
        <f t="shared" si="493"/>
        <v>0</v>
      </c>
      <c r="L2137" s="833">
        <f t="shared" si="493"/>
        <v>0</v>
      </c>
      <c r="M2137" s="825">
        <f>SUM(C2137:L2137)</f>
        <v>0</v>
      </c>
    </row>
    <row r="2138" spans="2:15" s="3" customFormat="1" ht="13.2" x14ac:dyDescent="0.25">
      <c r="B2138" s="80" t="str">
        <f>IF('1. INTRO'!I$2="English","Facility","Lokal")</f>
        <v>Facility</v>
      </c>
      <c r="C2138" s="139">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39">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39">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39">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39">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39">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39">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39">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39">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39">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117">
        <f>SUM(C2138:L2138)</f>
        <v>0</v>
      </c>
    </row>
    <row r="2139" spans="2:15" s="3" customFormat="1" ht="13.2" x14ac:dyDescent="0.25">
      <c r="B2139" s="834" t="str">
        <f>IF('1. INTRO'!I$2="English","Indirect","Indirekt")</f>
        <v>Indirect</v>
      </c>
      <c r="C2139" s="835">
        <f>SUMIF('5. PERSON'!$B$17:$B$192,$C2114,'5. PERSON'!BR$17:BR$192)+SUMIF('5. PERSON'!$B$17:$B$192,$C2114,'5. PERSON'!CD$17:CD$192)+SUMIF('6. OPERATION'!$B$17:$B$149,$C2114,'6. OPERATION'!AU$17:AU$149)+SUMIF('6. OPERATION'!$B$17:$B$149,$C2114,'6. OPERATION'!BG$17:BG$149)</f>
        <v>0</v>
      </c>
      <c r="D2139" s="835">
        <f>SUMIF('5. PERSON'!$B$17:$B$192,$C2114,'5. PERSON'!BS$17:BS$192)+SUMIF('5. PERSON'!$B$17:$B$192,$C2114,'5. PERSON'!CE$17:CE$192)+SUMIF('6. OPERATION'!$B$17:$B$149,$C2114,'6. OPERATION'!AV$17:AV$149)+SUMIF('6. OPERATION'!$B$17:$B$149,$C2114,'6. OPERATION'!BH$17:BH$149)</f>
        <v>0</v>
      </c>
      <c r="E2139" s="835">
        <f>SUMIF('5. PERSON'!$B$17:$B$192,$C2114,'5. PERSON'!BT$17:BT$192)+SUMIF('5. PERSON'!$B$17:$B$192,$C2114,'5. PERSON'!CF$17:CF$192)+SUMIF('6. OPERATION'!$B$17:$B$149,$C2114,'6. OPERATION'!AW$17:AW$149)+SUMIF('6. OPERATION'!$B$17:$B$149,$C2114,'6. OPERATION'!BI$17:BI$149)</f>
        <v>0</v>
      </c>
      <c r="F2139" s="835">
        <f>SUMIF('5. PERSON'!$B$17:$B$192,$C2114,'5. PERSON'!BU$17:BU$192)+SUMIF('5. PERSON'!$B$17:$B$192,$C2114,'5. PERSON'!CG$17:CG$192)+SUMIF('6. OPERATION'!$B$17:$B$149,$C2114,'6. OPERATION'!AX$17:AX$149)+SUMIF('6. OPERATION'!$B$17:$B$149,$C2114,'6. OPERATION'!BJ$17:BJ$149)</f>
        <v>0</v>
      </c>
      <c r="G2139" s="835">
        <f>SUMIF('5. PERSON'!$B$17:$B$192,$C2114,'5. PERSON'!BV$17:BV$192)+SUMIF('5. PERSON'!$B$17:$B$192,$C2114,'5. PERSON'!CH$17:CH$192)+SUMIF('6. OPERATION'!$B$17:$B$149,$C2114,'6. OPERATION'!AY$17:AY$149)+SUMIF('6. OPERATION'!$B$17:$B$149,$C2114,'6. OPERATION'!BK$17:BK$149)</f>
        <v>0</v>
      </c>
      <c r="H2139" s="835">
        <f>SUMIF('5. PERSON'!$B$17:$B$192,$C2114,'5. PERSON'!BW$17:BW$192)+SUMIF('5. PERSON'!$B$17:$B$192,$C2114,'5. PERSON'!CI$17:CI$192)+SUMIF('6. OPERATION'!$B$17:$B$149,$C2114,'6. OPERATION'!AZ$17:AZ$149)+SUMIF('6. OPERATION'!$B$17:$B$149,$C2114,'6. OPERATION'!BL$17:BL$149)</f>
        <v>0</v>
      </c>
      <c r="I2139" s="835">
        <f>SUMIF('5. PERSON'!$B$17:$B$192,$C2114,'5. PERSON'!BX$17:BX$192)+SUMIF('5. PERSON'!$B$17:$B$192,$C2114,'5. PERSON'!CJ$17:CJ$192)+SUMIF('6. OPERATION'!$B$17:$B$149,$C2114,'6. OPERATION'!BA$17:BA$149)+SUMIF('6. OPERATION'!$B$17:$B$149,$C2114,'6. OPERATION'!BM$17:BM$149)</f>
        <v>0</v>
      </c>
      <c r="J2139" s="835">
        <f>SUMIF('5. PERSON'!$B$17:$B$192,$C2114,'5. PERSON'!BY$17:BY$192)+SUMIF('5. PERSON'!$B$17:$B$192,$C2114,'5. PERSON'!CK$17:CK$192)+SUMIF('6. OPERATION'!$B$17:$B$149,$C2114,'6. OPERATION'!BB$17:BB$149)+SUMIF('6. OPERATION'!$B$17:$B$149,$C2114,'6. OPERATION'!BN$17:BN$149)</f>
        <v>0</v>
      </c>
      <c r="K2139" s="835">
        <f>SUMIF('5. PERSON'!$B$17:$B$192,$C2114,'5. PERSON'!BZ$17:BZ$192)+SUMIF('5. PERSON'!$B$17:$B$192,$C2114,'5. PERSON'!CL$17:CL$192)+SUMIF('6. OPERATION'!$B$17:$B$149,$C2114,'6. OPERATION'!BC$17:BC$149)+SUMIF('6. OPERATION'!$B$17:$B$149,$C2114,'6. OPERATION'!BO$17:BO$149)</f>
        <v>0</v>
      </c>
      <c r="L2139" s="835">
        <f>SUMIF('5. PERSON'!$B$17:$B$192,$C2114,'5. PERSON'!CA$17:CA$192)+SUMIF('5. PERSON'!$B$17:$B$192,$C2114,'5. PERSON'!CM$17:CM$192)+SUMIF('6. OPERATION'!$B$17:$B$149,$C2114,'6. OPERATION'!BD$17:BD$149)+SUMIF('6. OPERATION'!$B$17:$B$149,$C2114,'6. OPERATION'!BP$17:BP$149)</f>
        <v>0</v>
      </c>
      <c r="M2139" s="831">
        <f>SUM(C2139:L2139)</f>
        <v>0</v>
      </c>
    </row>
    <row r="2140" spans="2:15" s="3" customFormat="1" ht="13.2" x14ac:dyDescent="0.25">
      <c r="B2140" s="124" t="s">
        <v>113</v>
      </c>
      <c r="C2140" s="88">
        <f>SUM(C2135:C2139)</f>
        <v>0</v>
      </c>
      <c r="D2140" s="88">
        <f t="shared" ref="D2140:M2140" si="494">SUM(D2135:D2139)</f>
        <v>0</v>
      </c>
      <c r="E2140" s="88">
        <f t="shared" si="494"/>
        <v>0</v>
      </c>
      <c r="F2140" s="88">
        <f t="shared" si="494"/>
        <v>0</v>
      </c>
      <c r="G2140" s="88">
        <f t="shared" si="494"/>
        <v>0</v>
      </c>
      <c r="H2140" s="88">
        <f t="shared" si="494"/>
        <v>0</v>
      </c>
      <c r="I2140" s="88">
        <f t="shared" si="494"/>
        <v>0</v>
      </c>
      <c r="J2140" s="88">
        <f t="shared" si="494"/>
        <v>0</v>
      </c>
      <c r="K2140" s="88">
        <f t="shared" si="494"/>
        <v>0</v>
      </c>
      <c r="L2140" s="88">
        <f t="shared" si="494"/>
        <v>0</v>
      </c>
      <c r="M2140" s="142">
        <f t="shared" si="494"/>
        <v>0</v>
      </c>
    </row>
    <row r="2141" spans="2:15" s="3" customFormat="1" ht="13.2" x14ac:dyDescent="0.25">
      <c r="B2141" s="287"/>
      <c r="C2141" s="37"/>
      <c r="D2141" s="37"/>
      <c r="E2141" s="37"/>
      <c r="F2141" s="37"/>
      <c r="G2141" s="37"/>
      <c r="H2141" s="37"/>
      <c r="I2141" s="37"/>
      <c r="J2141" s="37"/>
      <c r="K2141" s="37"/>
      <c r="L2141" s="37"/>
      <c r="M2141" s="37"/>
    </row>
    <row r="2142" spans="2:15" s="3" customFormat="1" ht="12.75" customHeight="1" x14ac:dyDescent="0.25">
      <c r="B2142" s="656" t="str">
        <f>IF('1. INTRO'!I$2="English","Co-funding share in full cost ","Medfinansieringsandel i full kostnad ")</f>
        <v xml:space="preserve">Co-funding share in full cost </v>
      </c>
      <c r="C2142" s="143" t="str">
        <f t="shared" ref="C2142:M2142" si="495">IF(C2140&gt;0,C2132/C2140,"")</f>
        <v/>
      </c>
      <c r="D2142" s="143" t="str">
        <f t="shared" si="495"/>
        <v/>
      </c>
      <c r="E2142" s="143" t="str">
        <f t="shared" si="495"/>
        <v/>
      </c>
      <c r="F2142" s="143" t="str">
        <f t="shared" si="495"/>
        <v/>
      </c>
      <c r="G2142" s="143" t="str">
        <f t="shared" si="495"/>
        <v/>
      </c>
      <c r="H2142" s="143" t="str">
        <f t="shared" si="495"/>
        <v/>
      </c>
      <c r="I2142" s="143" t="str">
        <f t="shared" si="495"/>
        <v/>
      </c>
      <c r="J2142" s="143" t="str">
        <f t="shared" si="495"/>
        <v/>
      </c>
      <c r="K2142" s="143" t="str">
        <f t="shared" si="495"/>
        <v/>
      </c>
      <c r="L2142" s="143" t="str">
        <f t="shared" si="495"/>
        <v/>
      </c>
      <c r="M2142" s="143" t="str">
        <f t="shared" si="495"/>
        <v/>
      </c>
    </row>
    <row r="2143" spans="2:15" ht="12.75" customHeight="1" x14ac:dyDescent="0.2"/>
    <row r="2144" spans="2:15" ht="12.75" customHeight="1" x14ac:dyDescent="0.25">
      <c r="D2144" s="656" t="str">
        <f>IF('1. INTRO'!I$2="English","Co-funding need in average per year: ","Medfinansieringsbehov i genomsnitt per år: ")</f>
        <v xml:space="preserve">Co-funding need in average per year: </v>
      </c>
      <c r="E2144" s="836" t="str">
        <f>IF(M2132=0,"",M2132/(DATEDIF('2. START'!C$18,'2. START'!C$19,"d")/365))</f>
        <v/>
      </c>
      <c r="H2144" s="656" t="str">
        <f>IF('1. INTRO'!I$2="English","Co-funding need 1/3 of total: ","Medfinansieringsbehov 1/3 av totalt: ")</f>
        <v xml:space="preserve">Co-funding need 1/3 of total: </v>
      </c>
      <c r="I2144" s="836">
        <f>M2132/3</f>
        <v>0</v>
      </c>
      <c r="L2144" s="287" t="str">
        <f>IF('1. INTRO'!I$2="English","Co-funding need total: ","Medfinansieringsbehov totalt: ")</f>
        <v xml:space="preserve">Co-funding need total: </v>
      </c>
      <c r="M2144" s="836">
        <f>M2132</f>
        <v>0</v>
      </c>
    </row>
    <row r="2145" spans="2:13" ht="12.75" customHeight="1" x14ac:dyDescent="0.25">
      <c r="B2145" s="53" t="str">
        <f>IF('1. INTRO'!I$2="English","Co-funding sources","Medfinansieringskällor")</f>
        <v>Co-funding sources</v>
      </c>
    </row>
    <row r="2146" spans="2:13" ht="12.75" customHeight="1" x14ac:dyDescent="0.25">
      <c r="B2146" s="225"/>
      <c r="C2146" s="226"/>
      <c r="D2146" s="226"/>
      <c r="E2146" s="226"/>
      <c r="F2146" s="226"/>
      <c r="G2146" s="226"/>
      <c r="H2146" s="226"/>
      <c r="I2146" s="226"/>
      <c r="J2146" s="226"/>
      <c r="K2146" s="226"/>
      <c r="L2146" s="227"/>
      <c r="M2146" s="168">
        <f>SUM(C2146:L2146)</f>
        <v>0</v>
      </c>
    </row>
    <row r="2147" spans="2:13" ht="12.75" customHeight="1" x14ac:dyDescent="0.25">
      <c r="B2147" s="228"/>
      <c r="C2147" s="229"/>
      <c r="D2147" s="229"/>
      <c r="E2147" s="229"/>
      <c r="F2147" s="229"/>
      <c r="G2147" s="229"/>
      <c r="H2147" s="229"/>
      <c r="I2147" s="229"/>
      <c r="J2147" s="229"/>
      <c r="K2147" s="229"/>
      <c r="L2147" s="230"/>
      <c r="M2147" s="825">
        <f t="shared" ref="M2147:M2150" si="496">SUM(C2147:L2147)</f>
        <v>0</v>
      </c>
    </row>
    <row r="2148" spans="2:13" ht="12.75" customHeight="1" x14ac:dyDescent="0.25">
      <c r="B2148" s="231"/>
      <c r="C2148" s="232"/>
      <c r="D2148" s="232"/>
      <c r="E2148" s="232"/>
      <c r="F2148" s="232"/>
      <c r="G2148" s="232"/>
      <c r="H2148" s="232"/>
      <c r="I2148" s="232"/>
      <c r="J2148" s="232"/>
      <c r="K2148" s="232"/>
      <c r="L2148" s="233"/>
      <c r="M2148" s="117">
        <f t="shared" si="496"/>
        <v>0</v>
      </c>
    </row>
    <row r="2149" spans="2:13" ht="12.75" customHeight="1" x14ac:dyDescent="0.25">
      <c r="B2149" s="228"/>
      <c r="C2149" s="229"/>
      <c r="D2149" s="229"/>
      <c r="E2149" s="229"/>
      <c r="F2149" s="229"/>
      <c r="G2149" s="229"/>
      <c r="H2149" s="229"/>
      <c r="I2149" s="229"/>
      <c r="J2149" s="229"/>
      <c r="K2149" s="229"/>
      <c r="L2149" s="230"/>
      <c r="M2149" s="825">
        <f t="shared" si="496"/>
        <v>0</v>
      </c>
    </row>
    <row r="2150" spans="2:13" ht="12.75" customHeight="1" x14ac:dyDescent="0.25">
      <c r="B2150" s="93"/>
      <c r="C2150" s="232"/>
      <c r="D2150" s="232"/>
      <c r="E2150" s="232"/>
      <c r="F2150" s="232"/>
      <c r="G2150" s="232"/>
      <c r="H2150" s="232"/>
      <c r="I2150" s="232"/>
      <c r="J2150" s="232"/>
      <c r="K2150" s="232"/>
      <c r="L2150" s="233"/>
      <c r="M2150" s="117">
        <f t="shared" si="496"/>
        <v>0</v>
      </c>
    </row>
    <row r="2151" spans="2:13" ht="12.75" customHeight="1" x14ac:dyDescent="0.25">
      <c r="B2151" s="84" t="str">
        <f>IF('1. INTRO'!I$2="English","Total co-funding ","Total medfinansiering ")</f>
        <v xml:space="preserve">Total co-funding </v>
      </c>
      <c r="C2151" s="87">
        <f t="shared" ref="C2151:M2151" si="497">SUM(C2146:C2150)</f>
        <v>0</v>
      </c>
      <c r="D2151" s="87">
        <f t="shared" si="497"/>
        <v>0</v>
      </c>
      <c r="E2151" s="87">
        <f t="shared" si="497"/>
        <v>0</v>
      </c>
      <c r="F2151" s="87">
        <f t="shared" si="497"/>
        <v>0</v>
      </c>
      <c r="G2151" s="87">
        <f t="shared" si="497"/>
        <v>0</v>
      </c>
      <c r="H2151" s="87">
        <f t="shared" si="497"/>
        <v>0</v>
      </c>
      <c r="I2151" s="87">
        <f t="shared" si="497"/>
        <v>0</v>
      </c>
      <c r="J2151" s="87">
        <f t="shared" si="497"/>
        <v>0</v>
      </c>
      <c r="K2151" s="87">
        <f t="shared" si="497"/>
        <v>0</v>
      </c>
      <c r="L2151" s="87">
        <f t="shared" si="497"/>
        <v>0</v>
      </c>
      <c r="M2151" s="142">
        <f t="shared" si="497"/>
        <v>0</v>
      </c>
    </row>
    <row r="2152" spans="2:13" ht="12.75" customHeight="1" x14ac:dyDescent="0.2"/>
    <row r="2153" spans="2:13" ht="12.75" customHeight="1" x14ac:dyDescent="0.2">
      <c r="B2153" s="667" t="str">
        <f>IF('1. INTRO'!I$2="English","Calculation comments","Kalkylkommentarer")</f>
        <v>Calculation comments</v>
      </c>
    </row>
    <row r="2154" spans="2:13" ht="12.75" customHeight="1" x14ac:dyDescent="0.2">
      <c r="B2154" s="1142"/>
      <c r="C2154" s="1143"/>
      <c r="D2154" s="1143"/>
      <c r="E2154" s="1143"/>
      <c r="F2154" s="1143"/>
      <c r="G2154" s="1143"/>
      <c r="H2154" s="1143"/>
      <c r="I2154" s="1143"/>
      <c r="J2154" s="1143"/>
      <c r="K2154" s="1143"/>
      <c r="L2154" s="1143"/>
      <c r="M2154" s="1144"/>
    </row>
    <row r="2155" spans="2:13" ht="12.75" customHeight="1" x14ac:dyDescent="0.2">
      <c r="B2155" s="1145"/>
      <c r="C2155" s="1226"/>
      <c r="D2155" s="1226"/>
      <c r="E2155" s="1226"/>
      <c r="F2155" s="1226"/>
      <c r="G2155" s="1226"/>
      <c r="H2155" s="1226"/>
      <c r="I2155" s="1226"/>
      <c r="J2155" s="1226"/>
      <c r="K2155" s="1226"/>
      <c r="L2155" s="1226"/>
      <c r="M2155" s="1147"/>
    </row>
    <row r="2156" spans="2:13" ht="12.75" customHeight="1" x14ac:dyDescent="0.2">
      <c r="B2156" s="1145"/>
      <c r="C2156" s="1226"/>
      <c r="D2156" s="1226"/>
      <c r="E2156" s="1226"/>
      <c r="F2156" s="1226"/>
      <c r="G2156" s="1226"/>
      <c r="H2156" s="1226"/>
      <c r="I2156" s="1226"/>
      <c r="J2156" s="1226"/>
      <c r="K2156" s="1226"/>
      <c r="L2156" s="1226"/>
      <c r="M2156" s="1147"/>
    </row>
    <row r="2157" spans="2:13" ht="12.75" customHeight="1" x14ac:dyDescent="0.2">
      <c r="B2157" s="1145"/>
      <c r="C2157" s="1226"/>
      <c r="D2157" s="1226"/>
      <c r="E2157" s="1226"/>
      <c r="F2157" s="1226"/>
      <c r="G2157" s="1226"/>
      <c r="H2157" s="1226"/>
      <c r="I2157" s="1226"/>
      <c r="J2157" s="1226"/>
      <c r="K2157" s="1226"/>
      <c r="L2157" s="1226"/>
      <c r="M2157" s="1147"/>
    </row>
    <row r="2158" spans="2:13" ht="12.75" customHeight="1" x14ac:dyDescent="0.2">
      <c r="B2158" s="1148"/>
      <c r="C2158" s="1149"/>
      <c r="D2158" s="1149"/>
      <c r="E2158" s="1149"/>
      <c r="F2158" s="1149"/>
      <c r="G2158" s="1149"/>
      <c r="H2158" s="1149"/>
      <c r="I2158" s="1149"/>
      <c r="J2158" s="1149"/>
      <c r="K2158" s="1149"/>
      <c r="L2158" s="1149"/>
      <c r="M2158" s="1150"/>
    </row>
    <row r="2160" spans="2:13" s="3" customFormat="1" ht="12.75" customHeight="1" x14ac:dyDescent="0.25">
      <c r="B2160" s="313" t="str">
        <f>'3. PARTNER'!C$4</f>
        <v xml:space="preserve">Project: </v>
      </c>
      <c r="C2160" s="1062" t="str">
        <f>'3. PARTNER'!D$4</f>
        <v/>
      </c>
      <c r="D2160" s="1001"/>
      <c r="E2160" s="1001"/>
      <c r="F2160" s="1001"/>
      <c r="G2160" s="1001"/>
      <c r="H2160" s="1001"/>
      <c r="I2160" s="1001"/>
      <c r="J2160" s="1001"/>
      <c r="K2160" s="1001"/>
      <c r="L2160" s="1001"/>
      <c r="M2160" s="1001"/>
    </row>
    <row r="2161" spans="2:15" s="3" customFormat="1" ht="13.2" x14ac:dyDescent="0.25">
      <c r="B2161" s="313" t="str">
        <f>'3. PARTNER'!C$5</f>
        <v xml:space="preserve">Calculation for: </v>
      </c>
      <c r="C2161" s="1062" t="str">
        <f>'3. PARTNER'!D$5</f>
        <v>APPLICATION</v>
      </c>
      <c r="D2161" s="1001"/>
      <c r="E2161" s="268"/>
      <c r="F2161" s="268"/>
      <c r="G2161" s="268"/>
      <c r="H2161" s="268"/>
      <c r="I2161" s="268"/>
      <c r="J2161" s="268"/>
      <c r="K2161" s="268"/>
      <c r="L2161" s="268"/>
      <c r="M2161" s="268"/>
    </row>
    <row r="2162" spans="2:15" s="3" customFormat="1" ht="13.2" x14ac:dyDescent="0.25">
      <c r="B2162" s="35" t="str">
        <f>'3. PARTNER'!C$6</f>
        <v xml:space="preserve">Project leader: </v>
      </c>
      <c r="C2162" s="1062" t="str">
        <f>'3. PARTNER'!D$6</f>
        <v/>
      </c>
      <c r="D2162" s="1001"/>
      <c r="E2162" s="1001"/>
      <c r="F2162" s="1001"/>
      <c r="G2162" s="1001"/>
      <c r="H2162" s="1001"/>
      <c r="I2162" s="1001"/>
      <c r="J2162" s="1001"/>
      <c r="K2162" s="1001"/>
      <c r="L2162" s="1001"/>
      <c r="M2162" s="1001"/>
    </row>
    <row r="2163" spans="2:15" s="3" customFormat="1" ht="13.2" x14ac:dyDescent="0.25">
      <c r="B2163" s="313" t="str">
        <f>'5. PERSON'!B$7</f>
        <v xml:space="preserve">Amounts in: </v>
      </c>
      <c r="C2163" s="655" t="str">
        <f>'5. PERSON'!C$7</f>
        <v>SEK</v>
      </c>
      <c r="D2163" s="268"/>
      <c r="E2163" s="268"/>
      <c r="F2163" s="268"/>
      <c r="G2163" s="234"/>
      <c r="H2163" s="234"/>
      <c r="I2163" s="270"/>
      <c r="J2163" s="270"/>
      <c r="K2163" s="270"/>
      <c r="L2163" s="270"/>
      <c r="M2163" s="270"/>
    </row>
    <row r="2164" spans="2:15" s="3" customFormat="1" ht="13.2" x14ac:dyDescent="0.25">
      <c r="B2164" s="313"/>
      <c r="C2164" s="1053" t="str">
        <f>'3. PARTNER'!D$7</f>
        <v>Other basic data about the project is in sheet 2.</v>
      </c>
      <c r="D2164" s="1001"/>
      <c r="E2164" s="1001"/>
      <c r="F2164" s="1001"/>
      <c r="G2164" s="234"/>
      <c r="H2164" s="234"/>
      <c r="I2164" s="270"/>
      <c r="J2164" s="270"/>
      <c r="K2164" s="270"/>
      <c r="L2164" s="251" t="s">
        <v>4</v>
      </c>
      <c r="M2164" s="270"/>
    </row>
    <row r="2165" spans="2:15" ht="12.75" customHeight="1" x14ac:dyDescent="0.2">
      <c r="J2165" s="252" t="s">
        <v>322</v>
      </c>
      <c r="K2165" s="252" t="s">
        <v>323</v>
      </c>
      <c r="L2165" s="252" t="str">
        <f>IF('1. INTRO'!I$2="English","months","månader")</f>
        <v>months</v>
      </c>
    </row>
    <row r="2166" spans="2:15" s="3" customFormat="1" ht="13.8" x14ac:dyDescent="0.25">
      <c r="B2166" s="157" t="str">
        <f>IF('1. INTRO'!I$2="English","Project costs","Projektkostnader")</f>
        <v>Project costs</v>
      </c>
      <c r="C2166" s="668" t="str">
        <f>A56</f>
        <v>150GEM</v>
      </c>
      <c r="D2166" s="1227" t="str">
        <f>B56</f>
        <v>SLU-library</v>
      </c>
      <c r="E2166" s="1001"/>
      <c r="G2166" s="37"/>
      <c r="H2166" s="37"/>
      <c r="I2166" s="37"/>
      <c r="J2166" s="643"/>
      <c r="K2166" s="643"/>
      <c r="L2166" s="642">
        <f>SUMIF('5. PERSON'!$B$17:$B$192,$C2166,'5. PERSON'!AE$17:AE$192)</f>
        <v>0</v>
      </c>
      <c r="M2166" s="680" t="s">
        <v>330</v>
      </c>
    </row>
    <row r="2167" spans="2:15" s="3" customFormat="1" ht="6" customHeight="1" x14ac:dyDescent="0.25">
      <c r="B2167" s="57"/>
      <c r="C2167" s="37"/>
      <c r="D2167" s="37"/>
      <c r="E2167" s="37"/>
      <c r="F2167" s="37"/>
      <c r="G2167" s="37"/>
      <c r="H2167" s="37"/>
      <c r="I2167" s="37"/>
      <c r="J2167" s="37"/>
      <c r="K2167" s="37"/>
      <c r="L2167" s="37"/>
      <c r="M2167" s="37"/>
    </row>
    <row r="2168" spans="2:15" s="3" customFormat="1" ht="13.2" x14ac:dyDescent="0.25">
      <c r="B2168" s="110" t="str">
        <f>IF('1. INTRO'!I$2="English","Costs to be covered by funding body","Kostnader att täckas av finansiär")</f>
        <v>Costs to be covered by funding body</v>
      </c>
      <c r="C2168" s="111">
        <f>'5. PERSON'!G$15</f>
        <v>1900</v>
      </c>
      <c r="D2168" s="111" t="str">
        <f>'5. PERSON'!H$15</f>
        <v/>
      </c>
      <c r="E2168" s="111" t="str">
        <f>'5. PERSON'!I$15</f>
        <v/>
      </c>
      <c r="F2168" s="111" t="str">
        <f>'5. PERSON'!J$15</f>
        <v/>
      </c>
      <c r="G2168" s="111" t="str">
        <f>'5. PERSON'!K$15</f>
        <v/>
      </c>
      <c r="H2168" s="111" t="str">
        <f>'5. PERSON'!L$15</f>
        <v/>
      </c>
      <c r="I2168" s="111" t="str">
        <f>'5. PERSON'!M$15</f>
        <v/>
      </c>
      <c r="J2168" s="111" t="str">
        <f>'5. PERSON'!N$15</f>
        <v/>
      </c>
      <c r="K2168" s="111" t="str">
        <f>'5. PERSON'!O$15</f>
        <v/>
      </c>
      <c r="L2168" s="111" t="str">
        <f>'5. PERSON'!P$15</f>
        <v/>
      </c>
      <c r="M2168" s="112" t="s">
        <v>2</v>
      </c>
    </row>
    <row r="2169" spans="2:15" s="3" customFormat="1" ht="12.75" customHeight="1" x14ac:dyDescent="0.25">
      <c r="B2169" s="820" t="str">
        <f>IF('1. INTRO'!I$2="English","Salary including social costs (LKP)","Lön inklusive LKP")</f>
        <v>Salary including social costs (LKP)</v>
      </c>
      <c r="C2169" s="821">
        <f>IF('2. START'!$C$14&gt;0,SUMIF('5. PERSON'!$B$17:$B$192,$C2166,'5. PERSON'!DN$17:DN$192),SUMIF('5. PERSON'!$B$17:$B$192,$C2166,'5. PERSON'!AT$17:AT$192))</f>
        <v>0</v>
      </c>
      <c r="D2169" s="821">
        <f>IF('2. START'!$C$14&gt;0,SUMIF('5. PERSON'!$B$17:$B$192,$C2166,'5. PERSON'!DO$17:DO$192),SUMIF('5. PERSON'!$B$17:$B$192,$C2166,'5. PERSON'!AU$17:AU$192))</f>
        <v>0</v>
      </c>
      <c r="E2169" s="821">
        <f>IF('2. START'!$C$14&gt;0,SUMIF('5. PERSON'!$B$17:$B$192,$C2166,'5. PERSON'!DP$17:DP$192),SUMIF('5. PERSON'!$B$17:$B$192,$C2166,'5. PERSON'!AV$17:AV$192))</f>
        <v>0</v>
      </c>
      <c r="F2169" s="821">
        <f>IF('2. START'!$C$14&gt;0,SUMIF('5. PERSON'!$B$17:$B$192,$C2166,'5. PERSON'!DQ$17:DQ$192),SUMIF('5. PERSON'!$B$17:$B$192,$C2166,'5. PERSON'!AW$17:AW$192))</f>
        <v>0</v>
      </c>
      <c r="G2169" s="821">
        <f>IF('2. START'!$C$14&gt;0,SUMIF('5. PERSON'!$B$17:$B$192,$C2166,'5. PERSON'!DR$17:DR$192),SUMIF('5. PERSON'!$B$17:$B$192,$C2166,'5. PERSON'!AX$17:AX$192))</f>
        <v>0</v>
      </c>
      <c r="H2169" s="821">
        <f>IF('2. START'!$C$14&gt;0,SUMIF('5. PERSON'!$B$17:$B$192,$C2166,'5. PERSON'!DS$17:DS$192),SUMIF('5. PERSON'!$B$17:$B$192,$C2166,'5. PERSON'!AY$17:AY$192))</f>
        <v>0</v>
      </c>
      <c r="I2169" s="821">
        <f>IF('2. START'!$C$14&gt;0,SUMIF('5. PERSON'!$B$17:$B$192,$C2166,'5. PERSON'!DT$17:DT$192),SUMIF('5. PERSON'!$B$17:$B$192,$C2166,'5. PERSON'!AZ$17:AZ$192))</f>
        <v>0</v>
      </c>
      <c r="J2169" s="821">
        <f>IF('2. START'!$C$14&gt;0,SUMIF('5. PERSON'!$B$17:$B$192,$C2166,'5. PERSON'!DU$17:DU$192),SUMIF('5. PERSON'!$B$17:$B$192,$C2166,'5. PERSON'!BA$17:BA$192))</f>
        <v>0</v>
      </c>
      <c r="K2169" s="821">
        <f>IF('2. START'!$C$14&gt;0,SUMIF('5. PERSON'!$B$17:$B$192,$C2166,'5. PERSON'!DV$17:DV$192),SUMIF('5. PERSON'!$B$17:$B$192,$C2166,'5. PERSON'!BB$17:BB$192))</f>
        <v>0</v>
      </c>
      <c r="L2169" s="821">
        <f>IF('2. START'!$C$14&gt;0,SUMIF('5. PERSON'!$B$17:$B$192,$C2166,'5. PERSON'!DW$17:DW$192),SUMIF('5. PERSON'!$B$17:$B$192,$C2166,'5. PERSON'!BC$17:BC$192))</f>
        <v>0</v>
      </c>
      <c r="M2169" s="822">
        <f t="shared" ref="M2169:M2174" si="498">SUM(C2169:L2169)</f>
        <v>0</v>
      </c>
      <c r="O2169" s="4"/>
    </row>
    <row r="2170" spans="2:15" s="3" customFormat="1" ht="12.75" customHeight="1" x14ac:dyDescent="0.25">
      <c r="B2170" s="80" t="str">
        <f>IF('1. INTRO'!I$2="English","Operating","Drift")</f>
        <v>Operating</v>
      </c>
      <c r="C2170" s="116">
        <f>SUMIF('6. OPERATION'!$B$17:$B$149,$C2166,'6. OPERATION'!W$17:W$149)</f>
        <v>0</v>
      </c>
      <c r="D2170" s="116">
        <f>SUMIF('6. OPERATION'!$B$17:$B$149,$C2166,'6. OPERATION'!X$17:X$149)</f>
        <v>0</v>
      </c>
      <c r="E2170" s="116">
        <f>SUMIF('6. OPERATION'!$B$17:$B$149,$C2166,'6. OPERATION'!Y$17:Y$149)</f>
        <v>0</v>
      </c>
      <c r="F2170" s="116">
        <f>SUMIF('6. OPERATION'!$B$17:$B$149,$C2166,'6. OPERATION'!Z$17:Z$149)</f>
        <v>0</v>
      </c>
      <c r="G2170" s="116">
        <f>SUMIF('6. OPERATION'!$B$17:$B$149,$C2166,'6. OPERATION'!AA$17:AA$149)</f>
        <v>0</v>
      </c>
      <c r="H2170" s="116">
        <f>SUMIF('6. OPERATION'!$B$17:$B$149,$C2166,'6. OPERATION'!AB$17:AB$149)</f>
        <v>0</v>
      </c>
      <c r="I2170" s="116">
        <f>SUMIF('6. OPERATION'!$B$17:$B$149,$C2166,'6. OPERATION'!AC$17:AC$149)</f>
        <v>0</v>
      </c>
      <c r="J2170" s="116">
        <f>SUMIF('6. OPERATION'!$B$17:$B$149,$C2166,'6. OPERATION'!AD$17:AD$149)</f>
        <v>0</v>
      </c>
      <c r="K2170" s="116">
        <f>SUMIF('6. OPERATION'!$B$17:$B$149,$C2166,'6. OPERATION'!AE$17:AE$149)</f>
        <v>0</v>
      </c>
      <c r="L2170" s="116">
        <f>SUMIF('6. OPERATION'!$B$17:$B$149,$C2166,'6. OPERATION'!AF$17:AF$149)</f>
        <v>0</v>
      </c>
      <c r="M2170" s="117">
        <f t="shared" si="498"/>
        <v>0</v>
      </c>
    </row>
    <row r="2171" spans="2:15" s="3" customFormat="1" ht="13.2" x14ac:dyDescent="0.25">
      <c r="B2171" s="823" t="str">
        <f>IF('1. INTRO'!I$2="English","Equipment","Utrustning")</f>
        <v>Equipment</v>
      </c>
      <c r="C2171" s="824">
        <f>SUMIF('7. INVEST'!$B$17:$B$49,$C2166,'7. INVEST'!W$17:W$49)</f>
        <v>0</v>
      </c>
      <c r="D2171" s="824">
        <f>SUMIF('7. INVEST'!$B$17:$B$49,$C2166,'7. INVEST'!X$17:X$49)</f>
        <v>0</v>
      </c>
      <c r="E2171" s="824">
        <f>SUMIF('7. INVEST'!$B$17:$B$49,$C2166,'7. INVEST'!Y$17:Y$49)</f>
        <v>0</v>
      </c>
      <c r="F2171" s="824">
        <f>SUMIF('7. INVEST'!$B$17:$B$49,$C2166,'7. INVEST'!Z$17:Z$49)</f>
        <v>0</v>
      </c>
      <c r="G2171" s="824">
        <f>SUMIF('7. INVEST'!$B$17:$B$49,$C2166,'7. INVEST'!AA$17:AA$49)</f>
        <v>0</v>
      </c>
      <c r="H2171" s="824">
        <f>SUMIF('7. INVEST'!$B$17:$B$49,$C2166,'7. INVEST'!AB$17:AB$49)</f>
        <v>0</v>
      </c>
      <c r="I2171" s="824">
        <f>SUMIF('7. INVEST'!$B$17:$B$49,$C2166,'7. INVEST'!AC$17:AC$49)</f>
        <v>0</v>
      </c>
      <c r="J2171" s="824">
        <f>SUMIF('7. INVEST'!$B$17:$B$49,$C2166,'7. INVEST'!AD$17:AD$49)</f>
        <v>0</v>
      </c>
      <c r="K2171" s="824">
        <f>SUMIF('7. INVEST'!$B$17:$B$49,$C2166,'7. INVEST'!AE$17:AE$49)</f>
        <v>0</v>
      </c>
      <c r="L2171" s="824">
        <f>SUMIF('7. INVEST'!$B$17:$B$49,$C2166,'7. INVEST'!AF$17:AF$49)</f>
        <v>0</v>
      </c>
      <c r="M2171" s="825">
        <f t="shared" si="498"/>
        <v>0</v>
      </c>
    </row>
    <row r="2172" spans="2:15" s="3" customFormat="1" ht="13.2" x14ac:dyDescent="0.25">
      <c r="B2172" s="121" t="str">
        <f>IF('1. INTRO'!I$2="English",(IF('2. START'!C$11="NO","Facility accepted as direct cost by funding body","Facility")),IF('2. START'!C$11="NO","Lokal accepterad som direkt kostnad av finansiär","Lokal"))</f>
        <v>Facility</v>
      </c>
      <c r="C2172" s="116">
        <f>IF('2. START'!$C$11="NO",SUMIF('8. FACILIT'!$B$18:$B$50,$C2166,'8. FACILIT'!T$18:T$50),SUMIF('5. PERSON'!$B$17:$B$192,$C2166,'5. PERSON'!CP$17:CP$192)+SUMIF('6. OPERATION'!$B$17:$B$149,$C2166,'6. OPERATION'!BS$17:BS$149)+SUMIF('8. FACILIT'!$B$18:$B$50,$C2166,'8. FACILIT'!T$18:T$50))</f>
        <v>0</v>
      </c>
      <c r="D2172" s="116">
        <f>IF('2. START'!$C$11="NO",SUMIF('8. FACILIT'!$B$18:$B$50,$C2166,'8. FACILIT'!U$18:U$50),SUMIF('5. PERSON'!$B$17:$B$192,$C2166,'5. PERSON'!CQ$17:CQ$192)+SUMIF('6. OPERATION'!$B$17:$B$149,$C2166,'6. OPERATION'!BT$17:BT$149)+SUMIF('8. FACILIT'!$B$18:$B$50,$C2166,'8. FACILIT'!U$18:U$50))</f>
        <v>0</v>
      </c>
      <c r="E2172" s="116">
        <f>IF('2. START'!$C$11="NO",SUMIF('8. FACILIT'!$B$18:$B$50,$C2166,'8. FACILIT'!V$18:V$50),SUMIF('5. PERSON'!$B$17:$B$192,$C2166,'5. PERSON'!CR$17:CR$192)+SUMIF('6. OPERATION'!$B$17:$B$149,$C2166,'6. OPERATION'!BU$17:BU$149)+SUMIF('8. FACILIT'!$B$18:$B$50,$C2166,'8. FACILIT'!V$18:V$50))</f>
        <v>0</v>
      </c>
      <c r="F2172" s="116">
        <f>IF('2. START'!$C$11="NO",SUMIF('8. FACILIT'!$B$18:$B$50,$C2166,'8. FACILIT'!W$18:W$50),SUMIF('5. PERSON'!$B$17:$B$192,$C2166,'5. PERSON'!CS$17:CS$192)+SUMIF('6. OPERATION'!$B$17:$B$149,$C2166,'6. OPERATION'!BV$17:BV$149)+SUMIF('8. FACILIT'!$B$18:$B$50,$C2166,'8. FACILIT'!W$18:W$50))</f>
        <v>0</v>
      </c>
      <c r="G2172" s="116">
        <f>IF('2. START'!$C$11="NO",SUMIF('8. FACILIT'!$B$18:$B$50,$C2166,'8. FACILIT'!X$18:X$50),SUMIF('5. PERSON'!$B$17:$B$192,$C2166,'5. PERSON'!CT$17:CT$192)+SUMIF('6. OPERATION'!$B$17:$B$149,$C2166,'6. OPERATION'!BW$17:BW$149)+SUMIF('8. FACILIT'!$B$18:$B$50,$C2166,'8. FACILIT'!X$18:X$50))</f>
        <v>0</v>
      </c>
      <c r="H2172" s="116">
        <f>IF('2. START'!$C$11="NO",SUMIF('8. FACILIT'!$B$18:$B$50,$C2166,'8. FACILIT'!Y$18:Y$50),SUMIF('5. PERSON'!$B$17:$B$192,$C2166,'5. PERSON'!CU$17:CU$192)+SUMIF('6. OPERATION'!$B$17:$B$149,$C2166,'6. OPERATION'!BX$17:BX$149)+SUMIF('8. FACILIT'!$B$18:$B$50,$C2166,'8. FACILIT'!Y$18:Y$50))</f>
        <v>0</v>
      </c>
      <c r="I2172" s="116">
        <f>IF('2. START'!$C$11="NO",SUMIF('8. FACILIT'!$B$18:$B$50,$C2166,'8. FACILIT'!Z$18:Z$50),SUMIF('5. PERSON'!$B$17:$B$192,$C2166,'5. PERSON'!CV$17:CV$192)+SUMIF('6. OPERATION'!$B$17:$B$149,$C2166,'6. OPERATION'!BY$17:BY$149)+SUMIF('8. FACILIT'!$B$18:$B$50,$C2166,'8. FACILIT'!Z$18:Z$50))</f>
        <v>0</v>
      </c>
      <c r="J2172" s="116">
        <f>IF('2. START'!$C$11="NO",SUMIF('8. FACILIT'!$B$18:$B$50,$C2166,'8. FACILIT'!AA$18:AA$50),SUMIF('5. PERSON'!$B$17:$B$192,$C2166,'5. PERSON'!CW$17:CW$192)+SUMIF('6. OPERATION'!$B$17:$B$149,$C2166,'6. OPERATION'!BZ$17:BZ$149)+SUMIF('8. FACILIT'!$B$18:$B$50,$C2166,'8. FACILIT'!AA$18:AA$50))</f>
        <v>0</v>
      </c>
      <c r="K2172" s="116">
        <f>IF('2. START'!$C$11="NO",SUMIF('8. FACILIT'!$B$18:$B$50,$C2166,'8. FACILIT'!AB$18:AB$50),SUMIF('5. PERSON'!$B$17:$B$192,$C2166,'5. PERSON'!CX$17:CX$192)+SUMIF('6. OPERATION'!$B$17:$B$149,$C2166,'6. OPERATION'!CA$17:CA$149)+SUMIF('8. FACILIT'!$B$18:$B$50,$C2166,'8. FACILIT'!AB$18:AB$50))</f>
        <v>0</v>
      </c>
      <c r="L2172" s="116">
        <f>IF('2. START'!$C$11="NO",SUMIF('8. FACILIT'!$B$18:$B$50,$C2166,'8. FACILIT'!AC$18:AC$50),SUMIF('5. PERSON'!$B$17:$B$192,$C2166,'5. PERSON'!CY$17:CY$192)+SUMIF('6. OPERATION'!$B$17:$B$149,$C2166,'6. OPERATION'!CB$17:CB$149)+SUMIF('8. FACILIT'!$B$18:$B$50,$C2166,'8. FACILIT'!AC$18:AC$50))</f>
        <v>0</v>
      </c>
      <c r="M2172" s="117">
        <f t="shared" si="498"/>
        <v>0</v>
      </c>
    </row>
    <row r="2173" spans="2:15" s="3" customFormat="1" ht="13.2" x14ac:dyDescent="0.25">
      <c r="B2173" s="826" t="str">
        <f>IF('1. INTRO'!I$2="English",(IF('2. START'!C$11="NO","Indirect and facility charge accepted as OH by funding body","Indirect")),IF('2. START'!C$11="NO","Indirekt och lokalpåslag accepterade som OH av finansiär","Indirekt"))</f>
        <v>Indirect</v>
      </c>
      <c r="C2173" s="827">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827">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827">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827">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827">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827">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827">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827">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827">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827">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825">
        <f t="shared" si="498"/>
        <v>0</v>
      </c>
    </row>
    <row r="2174" spans="2:15" s="3" customFormat="1" ht="13.2" x14ac:dyDescent="0.25">
      <c r="B2174" s="124" t="s">
        <v>113</v>
      </c>
      <c r="C2174" s="102">
        <f>SUM(C2169:C2173)</f>
        <v>0</v>
      </c>
      <c r="D2174" s="102">
        <f t="shared" ref="D2174:L2174" si="499">SUM(D2169:D2173)</f>
        <v>0</v>
      </c>
      <c r="E2174" s="102">
        <f t="shared" si="499"/>
        <v>0</v>
      </c>
      <c r="F2174" s="102">
        <f t="shared" si="499"/>
        <v>0</v>
      </c>
      <c r="G2174" s="102">
        <f t="shared" si="499"/>
        <v>0</v>
      </c>
      <c r="H2174" s="102">
        <f t="shared" si="499"/>
        <v>0</v>
      </c>
      <c r="I2174" s="102">
        <f t="shared" si="499"/>
        <v>0</v>
      </c>
      <c r="J2174" s="102">
        <f t="shared" si="499"/>
        <v>0</v>
      </c>
      <c r="K2174" s="102">
        <f t="shared" si="499"/>
        <v>0</v>
      </c>
      <c r="L2174" s="102">
        <f t="shared" si="499"/>
        <v>0</v>
      </c>
      <c r="M2174" s="125">
        <f t="shared" si="498"/>
        <v>0</v>
      </c>
    </row>
    <row r="2175" spans="2:15" s="3" customFormat="1" ht="6" customHeight="1" x14ac:dyDescent="0.25">
      <c r="B2175" s="126"/>
      <c r="C2175" s="127"/>
      <c r="D2175" s="127"/>
      <c r="E2175" s="127"/>
      <c r="F2175" s="127"/>
      <c r="G2175" s="127"/>
      <c r="H2175" s="127"/>
      <c r="I2175" s="127"/>
      <c r="J2175" s="127"/>
      <c r="K2175" s="127"/>
      <c r="L2175" s="127"/>
      <c r="M2175" s="128"/>
    </row>
    <row r="2176" spans="2:15" s="3" customFormat="1" ht="13.2" x14ac:dyDescent="0.25">
      <c r="B2176" s="129" t="str">
        <f>IF('1. INTRO'!I$2="English","Costs to be co-funded","Kostnader att medfinansiera")</f>
        <v>Costs to be co-funded</v>
      </c>
      <c r="C2176" s="86"/>
      <c r="D2176" s="86"/>
      <c r="E2176" s="86"/>
      <c r="F2176" s="86"/>
      <c r="G2176" s="86"/>
      <c r="H2176" s="86"/>
      <c r="I2176" s="86"/>
      <c r="J2176" s="86"/>
      <c r="K2176" s="86"/>
      <c r="L2176" s="86"/>
      <c r="M2176" s="130"/>
    </row>
    <row r="2177" spans="2:15" s="3" customFormat="1" ht="13.2" x14ac:dyDescent="0.25">
      <c r="B2177" s="828" t="str">
        <f>IF('1. INTRO'!I$2="English",(IF('2. START'!C$11="NO","Indirect and facility charge not accepted as OH by funding body","")),IF('2. START'!C$11="NO","Indirekt och lokalpåslag inte accepterade som OH av finansiär",""))</f>
        <v/>
      </c>
      <c r="C2177" s="829">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829">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829">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829">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829">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829">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829">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829">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829">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829">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822">
        <f t="shared" ref="M2177:M2183" si="500">SUM(C2177:L2177)</f>
        <v>0</v>
      </c>
    </row>
    <row r="2178" spans="2:15" s="3" customFormat="1" ht="12.75" customHeight="1" x14ac:dyDescent="0.25">
      <c r="B2178" s="132" t="str">
        <f>IF('1. INTRO'!I$2="English",(IF('2. START'!C$14&gt;0,"Social costs (LKP) not accepted by funding body","")),IF('2. START'!C$14&gt;0,"LKP som inte accepteras av finansiär",""))</f>
        <v/>
      </c>
      <c r="C2178" s="133">
        <f>IF('2. START'!$C$14&gt;0,SUMIF('5. PERSON'!$B$17:$B$192,$C2166,'5. PERSON'!AT$17:AT$192)-SUMIF('5. PERSON'!$B$17:$B$192,$C2166,'5. PERSON'!DN$17:DN$192),0)</f>
        <v>0</v>
      </c>
      <c r="D2178" s="133">
        <f>IF('2. START'!$C$14&gt;0,SUMIF('5. PERSON'!$B$17:$B$192,$C2166,'5. PERSON'!AU$17:AU$192)-SUMIF('5. PERSON'!$B$17:$B$192,$C2166,'5. PERSON'!DO$17:DO$192),0)</f>
        <v>0</v>
      </c>
      <c r="E2178" s="133">
        <f>IF('2. START'!$C$14&gt;0,SUMIF('5. PERSON'!$B$17:$B$192,$C2166,'5. PERSON'!AV$17:AV$192)-SUMIF('5. PERSON'!$B$17:$B$192,$C2166,'5. PERSON'!DP$17:DP$192),0)</f>
        <v>0</v>
      </c>
      <c r="F2178" s="133">
        <f>IF('2. START'!$C$14&gt;0,SUMIF('5. PERSON'!$B$17:$B$192,$C2166,'5. PERSON'!AW$17:AW$192)-SUMIF('5. PERSON'!$B$17:$B$192,$C2166,'5. PERSON'!DQ$17:DQ$192),0)</f>
        <v>0</v>
      </c>
      <c r="G2178" s="133">
        <f>IF('2. START'!$C$14&gt;0,SUMIF('5. PERSON'!$B$17:$B$192,$C2166,'5. PERSON'!AX$17:AX$192)-SUMIF('5. PERSON'!$B$17:$B$192,$C2166,'5. PERSON'!DR$17:DR$192),0)</f>
        <v>0</v>
      </c>
      <c r="H2178" s="133">
        <f>IF('2. START'!$C$14&gt;0,SUMIF('5. PERSON'!$B$17:$B$192,$C2166,'5. PERSON'!AY$17:AY$192)-SUMIF('5. PERSON'!$B$17:$B$192,$C2166,'5. PERSON'!DS$17:DS$192),0)</f>
        <v>0</v>
      </c>
      <c r="I2178" s="133">
        <f>IF('2. START'!$C$14&gt;0,SUMIF('5. PERSON'!$B$17:$B$192,$C2166,'5. PERSON'!AZ$17:AZ$192)-SUMIF('5. PERSON'!$B$17:$B$192,$C2166,'5. PERSON'!DT$17:DT$192),0)</f>
        <v>0</v>
      </c>
      <c r="J2178" s="133">
        <f>IF('2. START'!$C$14&gt;0,SUMIF('5. PERSON'!$B$17:$B$192,$C2166,'5. PERSON'!BA$17:BA$192)-SUMIF('5. PERSON'!$B$17:$B$192,$C2166,'5. PERSON'!DU$17:DU$192),0)</f>
        <v>0</v>
      </c>
      <c r="K2178" s="133">
        <f>IF('2. START'!$C$14&gt;0,SUMIF('5. PERSON'!$B$17:$B$192,$C2166,'5. PERSON'!BB$17:BB$192)-SUMIF('5. PERSON'!$B$17:$B$192,$C2166,'5. PERSON'!DV$17:DV$192),0)</f>
        <v>0</v>
      </c>
      <c r="L2178" s="133">
        <f>IF('2. START'!$C$14&gt;0,SUMIF('5. PERSON'!$B$17:$B$192,$C2166,'5. PERSON'!BC$17:BC$192)-SUMIF('5. PERSON'!$B$17:$B$192,$C2166,'5. PERSON'!DW$17:DW$192),0)</f>
        <v>0</v>
      </c>
      <c r="M2178" s="117">
        <f t="shared" si="500"/>
        <v>0</v>
      </c>
    </row>
    <row r="2179" spans="2:15" s="3" customFormat="1" ht="12.75" customHeight="1" x14ac:dyDescent="0.25">
      <c r="B2179" s="823" t="str">
        <f>IF('1. INTRO'!I$2="English",(IF('5. PERSON'!BP$193&gt;0,"Salary including social costs (LKP)","")),IF('5. PERSON'!BP$193&gt;0,"Lön inklusive LKP",""))</f>
        <v/>
      </c>
      <c r="C2179" s="830">
        <f>SUMIF('5. PERSON'!$B$17:$B$192,$C2166,'5. PERSON'!BF$17:BF$192)</f>
        <v>0</v>
      </c>
      <c r="D2179" s="830">
        <f>SUMIF('5. PERSON'!$B$17:$B$192,$C2166,'5. PERSON'!BG$17:BG$192)</f>
        <v>0</v>
      </c>
      <c r="E2179" s="830">
        <f>SUMIF('5. PERSON'!$B$17:$B$192,$C2166,'5. PERSON'!BH$17:BH$192)</f>
        <v>0</v>
      </c>
      <c r="F2179" s="830">
        <f>SUMIF('5. PERSON'!$B$17:$B$192,$C2166,'5. PERSON'!BI$17:BI$192)</f>
        <v>0</v>
      </c>
      <c r="G2179" s="830">
        <f>SUMIF('5. PERSON'!$B$17:$B$192,$C2166,'5. PERSON'!BJ$17:BJ$192)</f>
        <v>0</v>
      </c>
      <c r="H2179" s="830">
        <f>SUMIF('5. PERSON'!$B$17:$B$192,$C2166,'5. PERSON'!BK$17:BK$192)</f>
        <v>0</v>
      </c>
      <c r="I2179" s="830">
        <f>SUMIF('5. PERSON'!$B$17:$B$192,$C2166,'5. PERSON'!BL$17:BL$192)</f>
        <v>0</v>
      </c>
      <c r="J2179" s="830">
        <f>SUMIF('5. PERSON'!$B$17:$B$192,$C2166,'5. PERSON'!BM$17:BM$192)</f>
        <v>0</v>
      </c>
      <c r="K2179" s="830">
        <f>SUMIF('5. PERSON'!$B$17:$B$192,$C2166,'5. PERSON'!BN$17:BN$192)</f>
        <v>0</v>
      </c>
      <c r="L2179" s="830">
        <f>SUMIF('5. PERSON'!$B$17:$B$192,$C2166,'5. PERSON'!BO$17:BO$192)</f>
        <v>0</v>
      </c>
      <c r="M2179" s="825">
        <f t="shared" si="500"/>
        <v>0</v>
      </c>
    </row>
    <row r="2180" spans="2:15" s="3" customFormat="1" ht="13.2" x14ac:dyDescent="0.25">
      <c r="B2180" s="80" t="str">
        <f>IF('1. INTRO'!I$2="English",(IF('6. OPERATION'!AS$150&gt;0,"Operating","")),IF('6. OPERATION'!AS$150&gt;0,"Drift",""))</f>
        <v/>
      </c>
      <c r="C2180" s="135">
        <f>SUMIF('6. OPERATION'!$B$17:$B$149,$C2166,'6. OPERATION'!AI$17:AI$149)</f>
        <v>0</v>
      </c>
      <c r="D2180" s="135">
        <f>SUMIF('6. OPERATION'!$B$17:$B$149,$C2166,'6. OPERATION'!AJ$17:AJ$149)</f>
        <v>0</v>
      </c>
      <c r="E2180" s="135">
        <f>SUMIF('6. OPERATION'!$B$17:$B$149,$C2166,'6. OPERATION'!AK$17:AK$149)</f>
        <v>0</v>
      </c>
      <c r="F2180" s="135">
        <f>SUMIF('6. OPERATION'!$B$17:$B$149,$C2166,'6. OPERATION'!AL$17:AL$149)</f>
        <v>0</v>
      </c>
      <c r="G2180" s="135">
        <f>SUMIF('6. OPERATION'!$B$17:$B$149,$C2166,'6. OPERATION'!AM$17:AM$149)</f>
        <v>0</v>
      </c>
      <c r="H2180" s="135">
        <f>SUMIF('6. OPERATION'!$B$17:$B$149,$C2166,'6. OPERATION'!AN$17:AN$149)</f>
        <v>0</v>
      </c>
      <c r="I2180" s="135">
        <f>SUMIF('6. OPERATION'!$B$17:$B$149,$C2166,'6. OPERATION'!AO$17:AO$149)</f>
        <v>0</v>
      </c>
      <c r="J2180" s="135">
        <f>SUMIF('6. OPERATION'!$B$17:$B$149,$C2166,'6. OPERATION'!AP$17:AP$149)</f>
        <v>0</v>
      </c>
      <c r="K2180" s="135">
        <f>SUMIF('6. OPERATION'!$B$17:$B$149,$C2166,'6. OPERATION'!AQ$17:AQ$149)</f>
        <v>0</v>
      </c>
      <c r="L2180" s="135">
        <f>SUMIF('6. OPERATION'!$B$17:$B$149,$C2166,'6. OPERATION'!AR$17:AR$149)</f>
        <v>0</v>
      </c>
      <c r="M2180" s="117">
        <f t="shared" si="500"/>
        <v>0</v>
      </c>
    </row>
    <row r="2181" spans="2:15" s="3" customFormat="1" ht="13.2" x14ac:dyDescent="0.25">
      <c r="B2181" s="823" t="str">
        <f>IF('1. INTRO'!I$2="English",(IF('7. INVEST'!AS$50&gt;0,"Equipment","")),IF('7. INVEST'!AS$50&gt;0,"Utrustning",""))</f>
        <v/>
      </c>
      <c r="C2181" s="830">
        <f>SUMIF('7. INVEST'!$B$17:$B$49,$C2166,'7. INVEST'!AI$17:AI$49)</f>
        <v>0</v>
      </c>
      <c r="D2181" s="830">
        <f>SUMIF('7. INVEST'!$B$17:$B$49,$C2166,'7. INVEST'!AJ$17:AJ$49)</f>
        <v>0</v>
      </c>
      <c r="E2181" s="830">
        <f>SUMIF('7. INVEST'!$B$17:$B$49,$C2166,'7. INVEST'!AK$17:AK$49)</f>
        <v>0</v>
      </c>
      <c r="F2181" s="830">
        <f>SUMIF('7. INVEST'!$B$17:$B$49,$C2166,'7. INVEST'!AL$17:AL$49)</f>
        <v>0</v>
      </c>
      <c r="G2181" s="830">
        <f>SUMIF('7. INVEST'!$B$17:$B$49,$C2166,'7. INVEST'!AM$17:AM$49)</f>
        <v>0</v>
      </c>
      <c r="H2181" s="830">
        <f>SUMIF('7. INVEST'!$B$17:$B$49,$C2166,'7. INVEST'!AN$17:AN$49)</f>
        <v>0</v>
      </c>
      <c r="I2181" s="830">
        <f>SUMIF('7. INVEST'!$B$17:$B$49,$C2166,'7. INVEST'!AO$17:AO$49)</f>
        <v>0</v>
      </c>
      <c r="J2181" s="830">
        <f>SUMIF('7. INVEST'!$B$17:$B$49,$C2166,'7. INVEST'!AP$17:AP$49)</f>
        <v>0</v>
      </c>
      <c r="K2181" s="830">
        <f>SUMIF('7. INVEST'!$B$17:$B$49,$C2166,'7. INVEST'!AQ$17:AQ$49)</f>
        <v>0</v>
      </c>
      <c r="L2181" s="830">
        <f>SUMIF('7. INVEST'!$B$17:$B$49,$C2166,'7. INVEST'!AR$17:AR$49)</f>
        <v>0</v>
      </c>
      <c r="M2181" s="825">
        <f t="shared" si="500"/>
        <v>0</v>
      </c>
    </row>
    <row r="2182" spans="2:15" s="3" customFormat="1" ht="13.2" x14ac:dyDescent="0.25">
      <c r="B2182" s="121" t="str">
        <f>IF('1. INTRO'!I$2="English",(IF('8. FACILIT'!AP$51&gt;0,"Facility","")),IF('8. FACILIT'!AP$51&gt;0,"Lokal",""))</f>
        <v/>
      </c>
      <c r="C2182" s="135">
        <f>SUMIF('5. PERSON'!$B$17:$B$192,$C2166,'5. PERSON'!DB$17:DB$192)+SUMIF('6. OPERATION'!$B$17:$B$149,$C2166,'6. OPERATION'!CE$17:CE$149)+SUMIF('8. FACILIT'!$B$18:$B$50,$C2166,'8. FACILIT'!AF$18:AF$50)</f>
        <v>0</v>
      </c>
      <c r="D2182" s="135">
        <f>SUMIF('5. PERSON'!$B$17:$B$192,$C2166,'5. PERSON'!DC$17:DC$192)+SUMIF('6. OPERATION'!$B$17:$B$149,$C2166,'6. OPERATION'!CF$17:CF$149)+SUMIF('8. FACILIT'!$B$18:$B$50,$C2166,'8. FACILIT'!AG$18:AG$50)</f>
        <v>0</v>
      </c>
      <c r="E2182" s="135">
        <f>SUMIF('5. PERSON'!$B$17:$B$192,$C2166,'5. PERSON'!DD$17:DD$192)+SUMIF('6. OPERATION'!$B$17:$B$149,$C2166,'6. OPERATION'!CG$17:CG$149)+SUMIF('8. FACILIT'!$B$18:$B$50,$C2166,'8. FACILIT'!AH$18:AH$50)</f>
        <v>0</v>
      </c>
      <c r="F2182" s="135">
        <f>SUMIF('5. PERSON'!$B$17:$B$192,$C2166,'5. PERSON'!DE$17:DE$192)+SUMIF('6. OPERATION'!$B$17:$B$149,$C2166,'6. OPERATION'!CH$17:CH$149)+SUMIF('8. FACILIT'!$B$18:$B$50,$C2166,'8. FACILIT'!AI$18:AI$50)</f>
        <v>0</v>
      </c>
      <c r="G2182" s="135">
        <f>SUMIF('5. PERSON'!$B$17:$B$192,$C2166,'5. PERSON'!DF$17:DF$192)+SUMIF('6. OPERATION'!$B$17:$B$149,$C2166,'6. OPERATION'!CI$17:CI$149)+SUMIF('8. FACILIT'!$B$18:$B$50,$C2166,'8. FACILIT'!AJ$18:AJ$50)</f>
        <v>0</v>
      </c>
      <c r="H2182" s="135">
        <f>SUMIF('5. PERSON'!$B$17:$B$192,$C2166,'5. PERSON'!DG$17:DG$192)+SUMIF('6. OPERATION'!$B$17:$B$149,$C2166,'6. OPERATION'!CJ$17:CJ$149)+SUMIF('8. FACILIT'!$B$18:$B$50,$C2166,'8. FACILIT'!AK$18:AK$50)</f>
        <v>0</v>
      </c>
      <c r="I2182" s="135">
        <f>SUMIF('5. PERSON'!$B$17:$B$192,$C2166,'5. PERSON'!DH$17:DH$192)+SUMIF('6. OPERATION'!$B$17:$B$149,$C2166,'6. OPERATION'!CK$17:CK$149)+SUMIF('8. FACILIT'!$B$18:$B$50,$C2166,'8. FACILIT'!AL$18:AL$50)</f>
        <v>0</v>
      </c>
      <c r="J2182" s="135">
        <f>SUMIF('5. PERSON'!$B$17:$B$192,$C2166,'5. PERSON'!DI$17:DI$192)+SUMIF('6. OPERATION'!$B$17:$B$149,$C2166,'6. OPERATION'!CL$17:CL$149)+SUMIF('8. FACILIT'!$B$18:$B$50,$C2166,'8. FACILIT'!AM$18:AM$50)</f>
        <v>0</v>
      </c>
      <c r="K2182" s="135">
        <f>SUMIF('5. PERSON'!$B$17:$B$192,$C2166,'5. PERSON'!DJ$17:DJ$192)+SUMIF('6. OPERATION'!$B$17:$B$149,$C2166,'6. OPERATION'!CM$17:CM$149)+SUMIF('8. FACILIT'!$B$18:$B$50,$C2166,'8. FACILIT'!AN$18:AN$50)</f>
        <v>0</v>
      </c>
      <c r="L2182" s="135">
        <f>SUMIF('5. PERSON'!$B$17:$B$192,$C2166,'5. PERSON'!DK$17:DK$192)+SUMIF('6. OPERATION'!$B$17:$B$149,$C2166,'6. OPERATION'!CN$17:CN$149)+SUMIF('8. FACILIT'!$B$18:$B$50,$C2166,'8. FACILIT'!AO$18:AO$50)</f>
        <v>0</v>
      </c>
      <c r="M2182" s="117">
        <f t="shared" si="500"/>
        <v>0</v>
      </c>
    </row>
    <row r="2183" spans="2:15" s="1" customFormat="1" ht="13.2" x14ac:dyDescent="0.25">
      <c r="B2183" s="826" t="str">
        <f>IF('1. INTRO'!I$2="English",(IF(('5. PERSON'!CN$193+'6. OPERATION'!BQ$150)&gt;0,"Indirect","")),IF(('5. PERSON'!CN$193+'6. OPERATION'!BQ$150)&gt;0,"Indirekt",""))</f>
        <v/>
      </c>
      <c r="C2183" s="827">
        <f>SUMIF('5. PERSON'!$B$17:$B$192,$C2166,'5. PERSON'!CD$17:CD$192)+SUMIF('6. OPERATION'!$B$17:$B$149,$C2166,'6. OPERATION'!BG$17:BG$149)</f>
        <v>0</v>
      </c>
      <c r="D2183" s="827">
        <f>SUMIF('5. PERSON'!$B$17:$B$192,$C2166,'5. PERSON'!CE$17:CE$192)+SUMIF('6. OPERATION'!$B$17:$B$149,$C2166,'6. OPERATION'!BH$17:BH$149)</f>
        <v>0</v>
      </c>
      <c r="E2183" s="827">
        <f>SUMIF('5. PERSON'!$B$17:$B$192,$C2166,'5. PERSON'!CF$17:CF$192)+SUMIF('6. OPERATION'!$B$17:$B$149,$C2166,'6. OPERATION'!BI$17:BI$149)</f>
        <v>0</v>
      </c>
      <c r="F2183" s="827">
        <f>SUMIF('5. PERSON'!$B$17:$B$192,$C2166,'5. PERSON'!CG$17:CG$192)+SUMIF('6. OPERATION'!$B$17:$B$149,$C2166,'6. OPERATION'!BJ$17:BJ$149)</f>
        <v>0</v>
      </c>
      <c r="G2183" s="827">
        <f>SUMIF('5. PERSON'!$B$17:$B$192,$C2166,'5. PERSON'!CH$17:CH$192)+SUMIF('6. OPERATION'!$B$17:$B$149,$C2166,'6. OPERATION'!BK$17:BK$149)</f>
        <v>0</v>
      </c>
      <c r="H2183" s="827">
        <f>SUMIF('5. PERSON'!$B$17:$B$192,$C2166,'5. PERSON'!CI$17:CI$192)+SUMIF('6. OPERATION'!$B$17:$B$149,$C2166,'6. OPERATION'!BL$17:BL$149)</f>
        <v>0</v>
      </c>
      <c r="I2183" s="827">
        <f>SUMIF('5. PERSON'!$B$17:$B$192,$C2166,'5. PERSON'!CJ$17:CJ$192)+SUMIF('6. OPERATION'!$B$17:$B$149,$C2166,'6. OPERATION'!BM$17:BM$149)</f>
        <v>0</v>
      </c>
      <c r="J2183" s="827">
        <f>SUMIF('5. PERSON'!$B$17:$B$192,$C2166,'5. PERSON'!CK$17:CK$192)+SUMIF('6. OPERATION'!$B$17:$B$149,$C2166,'6. OPERATION'!BN$17:BN$149)</f>
        <v>0</v>
      </c>
      <c r="K2183" s="827">
        <f>SUMIF('5. PERSON'!$B$17:$B$192,$C2166,'5. PERSON'!CL$17:CL$192)+SUMIF('6. OPERATION'!$B$17:$B$149,$C2166,'6. OPERATION'!BO$17:BO$149)</f>
        <v>0</v>
      </c>
      <c r="L2183" s="827">
        <f>SUMIF('5. PERSON'!$B$17:$B$192,$C2166,'5. PERSON'!CM$17:CM$192)+SUMIF('6. OPERATION'!$B$17:$B$149,$C2166,'6. OPERATION'!BP$17:BP$149)</f>
        <v>0</v>
      </c>
      <c r="M2183" s="831">
        <f t="shared" si="500"/>
        <v>0</v>
      </c>
    </row>
    <row r="2184" spans="2:15" s="3" customFormat="1" ht="13.2" x14ac:dyDescent="0.25">
      <c r="B2184" s="124" t="s">
        <v>113</v>
      </c>
      <c r="C2184" s="102">
        <f>SUM(C2177:C2183)</f>
        <v>0</v>
      </c>
      <c r="D2184" s="102">
        <f t="shared" ref="D2184:M2184" si="501">SUM(D2177:D2183)</f>
        <v>0</v>
      </c>
      <c r="E2184" s="102">
        <f t="shared" si="501"/>
        <v>0</v>
      </c>
      <c r="F2184" s="102">
        <f t="shared" si="501"/>
        <v>0</v>
      </c>
      <c r="G2184" s="102">
        <f t="shared" si="501"/>
        <v>0</v>
      </c>
      <c r="H2184" s="102">
        <f t="shared" si="501"/>
        <v>0</v>
      </c>
      <c r="I2184" s="102">
        <f t="shared" si="501"/>
        <v>0</v>
      </c>
      <c r="J2184" s="102">
        <f t="shared" si="501"/>
        <v>0</v>
      </c>
      <c r="K2184" s="102">
        <f t="shared" si="501"/>
        <v>0</v>
      </c>
      <c r="L2184" s="102">
        <f t="shared" si="501"/>
        <v>0</v>
      </c>
      <c r="M2184" s="125">
        <f t="shared" si="501"/>
        <v>0</v>
      </c>
      <c r="N2184" s="23"/>
      <c r="O2184" s="23"/>
    </row>
    <row r="2185" spans="2:15" s="3" customFormat="1" ht="6" customHeight="1" x14ac:dyDescent="0.25">
      <c r="B2185" s="136"/>
      <c r="C2185" s="127"/>
      <c r="D2185" s="127"/>
      <c r="E2185" s="127"/>
      <c r="F2185" s="127"/>
      <c r="G2185" s="127"/>
      <c r="H2185" s="127"/>
      <c r="I2185" s="127"/>
      <c r="J2185" s="127"/>
      <c r="K2185" s="127"/>
      <c r="L2185" s="127"/>
      <c r="M2185" s="137"/>
    </row>
    <row r="2186" spans="2:15" s="3" customFormat="1" ht="13.2" x14ac:dyDescent="0.25">
      <c r="B2186" s="129" t="str">
        <f>IF('1. INTRO'!I$2="English","Full cost","Full kostnad")</f>
        <v>Full cost</v>
      </c>
      <c r="C2186" s="127"/>
      <c r="D2186" s="127"/>
      <c r="E2186" s="127"/>
      <c r="F2186" s="127"/>
      <c r="G2186" s="127"/>
      <c r="H2186" s="127"/>
      <c r="I2186" s="127"/>
      <c r="J2186" s="127"/>
      <c r="K2186" s="127"/>
      <c r="L2186" s="127"/>
      <c r="M2186" s="137"/>
    </row>
    <row r="2187" spans="2:15" s="3" customFormat="1" ht="13.2" x14ac:dyDescent="0.25">
      <c r="B2187" s="820" t="str">
        <f>IF('1. INTRO'!I$2="English","Salary including social costs (LKP)","Lön inklusive LKP")</f>
        <v>Salary including social costs (LKP)</v>
      </c>
      <c r="C2187" s="832">
        <f>C2169+C2178+C2179</f>
        <v>0</v>
      </c>
      <c r="D2187" s="832">
        <f t="shared" ref="D2187:L2187" si="502">D2169+D2178+D2179</f>
        <v>0</v>
      </c>
      <c r="E2187" s="832">
        <f t="shared" si="502"/>
        <v>0</v>
      </c>
      <c r="F2187" s="832">
        <f t="shared" si="502"/>
        <v>0</v>
      </c>
      <c r="G2187" s="832">
        <f t="shared" si="502"/>
        <v>0</v>
      </c>
      <c r="H2187" s="832">
        <f t="shared" si="502"/>
        <v>0</v>
      </c>
      <c r="I2187" s="832">
        <f t="shared" si="502"/>
        <v>0</v>
      </c>
      <c r="J2187" s="832">
        <f t="shared" si="502"/>
        <v>0</v>
      </c>
      <c r="K2187" s="832">
        <f t="shared" si="502"/>
        <v>0</v>
      </c>
      <c r="L2187" s="832">
        <f t="shared" si="502"/>
        <v>0</v>
      </c>
      <c r="M2187" s="822">
        <f>SUM(C2187:L2187)</f>
        <v>0</v>
      </c>
    </row>
    <row r="2188" spans="2:15" s="3" customFormat="1" ht="13.2" x14ac:dyDescent="0.25">
      <c r="B2188" s="80" t="str">
        <f>IF('1. INTRO'!I$2="English","Operating","Drift")</f>
        <v>Operating</v>
      </c>
      <c r="C2188" s="139">
        <f>C2170+C2180</f>
        <v>0</v>
      </c>
      <c r="D2188" s="139">
        <f t="shared" ref="D2188:L2188" si="503">D2170+D2180</f>
        <v>0</v>
      </c>
      <c r="E2188" s="139">
        <f t="shared" si="503"/>
        <v>0</v>
      </c>
      <c r="F2188" s="139">
        <f t="shared" si="503"/>
        <v>0</v>
      </c>
      <c r="G2188" s="139">
        <f t="shared" si="503"/>
        <v>0</v>
      </c>
      <c r="H2188" s="139">
        <f t="shared" si="503"/>
        <v>0</v>
      </c>
      <c r="I2188" s="139">
        <f t="shared" si="503"/>
        <v>0</v>
      </c>
      <c r="J2188" s="139">
        <f t="shared" si="503"/>
        <v>0</v>
      </c>
      <c r="K2188" s="139">
        <f t="shared" si="503"/>
        <v>0</v>
      </c>
      <c r="L2188" s="139">
        <f t="shared" si="503"/>
        <v>0</v>
      </c>
      <c r="M2188" s="117">
        <f>SUM(C2188:L2188)</f>
        <v>0</v>
      </c>
    </row>
    <row r="2189" spans="2:15" s="3" customFormat="1" ht="13.2" x14ac:dyDescent="0.25">
      <c r="B2189" s="823" t="str">
        <f>IF('1. INTRO'!I$2="English","Equipment","Utrustning")</f>
        <v>Equipment</v>
      </c>
      <c r="C2189" s="833">
        <f>C2171+C2181</f>
        <v>0</v>
      </c>
      <c r="D2189" s="833">
        <f t="shared" ref="D2189:L2189" si="504">D2171+D2181</f>
        <v>0</v>
      </c>
      <c r="E2189" s="833">
        <f t="shared" si="504"/>
        <v>0</v>
      </c>
      <c r="F2189" s="833">
        <f t="shared" si="504"/>
        <v>0</v>
      </c>
      <c r="G2189" s="833">
        <f t="shared" si="504"/>
        <v>0</v>
      </c>
      <c r="H2189" s="833">
        <f t="shared" si="504"/>
        <v>0</v>
      </c>
      <c r="I2189" s="833">
        <f t="shared" si="504"/>
        <v>0</v>
      </c>
      <c r="J2189" s="833">
        <f t="shared" si="504"/>
        <v>0</v>
      </c>
      <c r="K2189" s="833">
        <f t="shared" si="504"/>
        <v>0</v>
      </c>
      <c r="L2189" s="833">
        <f t="shared" si="504"/>
        <v>0</v>
      </c>
      <c r="M2189" s="825">
        <f>SUM(C2189:L2189)</f>
        <v>0</v>
      </c>
    </row>
    <row r="2190" spans="2:15" s="3" customFormat="1" ht="13.2" x14ac:dyDescent="0.25">
      <c r="B2190" s="80" t="str">
        <f>IF('1. INTRO'!I$2="English","Facility","Lokal")</f>
        <v>Facility</v>
      </c>
      <c r="C2190" s="139">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39">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39">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39">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39">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39">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39">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39">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39">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39">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117">
        <f>SUM(C2190:L2190)</f>
        <v>0</v>
      </c>
    </row>
    <row r="2191" spans="2:15" s="3" customFormat="1" ht="13.2" x14ac:dyDescent="0.25">
      <c r="B2191" s="834" t="str">
        <f>IF('1. INTRO'!I$2="English","Indirect","Indirekt")</f>
        <v>Indirect</v>
      </c>
      <c r="C2191" s="835">
        <f>SUMIF('5. PERSON'!$B$17:$B$192,$C2166,'5. PERSON'!BR$17:BR$192)+SUMIF('5. PERSON'!$B$17:$B$192,$C2166,'5. PERSON'!CD$17:CD$192)+SUMIF('6. OPERATION'!$B$17:$B$149,$C2166,'6. OPERATION'!AU$17:AU$149)+SUMIF('6. OPERATION'!$B$17:$B$149,$C2166,'6. OPERATION'!BG$17:BG$149)</f>
        <v>0</v>
      </c>
      <c r="D2191" s="835">
        <f>SUMIF('5. PERSON'!$B$17:$B$192,$C2166,'5. PERSON'!BS$17:BS$192)+SUMIF('5. PERSON'!$B$17:$B$192,$C2166,'5. PERSON'!CE$17:CE$192)+SUMIF('6. OPERATION'!$B$17:$B$149,$C2166,'6. OPERATION'!AV$17:AV$149)+SUMIF('6. OPERATION'!$B$17:$B$149,$C2166,'6. OPERATION'!BH$17:BH$149)</f>
        <v>0</v>
      </c>
      <c r="E2191" s="835">
        <f>SUMIF('5. PERSON'!$B$17:$B$192,$C2166,'5. PERSON'!BT$17:BT$192)+SUMIF('5. PERSON'!$B$17:$B$192,$C2166,'5. PERSON'!CF$17:CF$192)+SUMIF('6. OPERATION'!$B$17:$B$149,$C2166,'6. OPERATION'!AW$17:AW$149)+SUMIF('6. OPERATION'!$B$17:$B$149,$C2166,'6. OPERATION'!BI$17:BI$149)</f>
        <v>0</v>
      </c>
      <c r="F2191" s="835">
        <f>SUMIF('5. PERSON'!$B$17:$B$192,$C2166,'5. PERSON'!BU$17:BU$192)+SUMIF('5. PERSON'!$B$17:$B$192,$C2166,'5. PERSON'!CG$17:CG$192)+SUMIF('6. OPERATION'!$B$17:$B$149,$C2166,'6. OPERATION'!AX$17:AX$149)+SUMIF('6. OPERATION'!$B$17:$B$149,$C2166,'6. OPERATION'!BJ$17:BJ$149)</f>
        <v>0</v>
      </c>
      <c r="G2191" s="835">
        <f>SUMIF('5. PERSON'!$B$17:$B$192,$C2166,'5. PERSON'!BV$17:BV$192)+SUMIF('5. PERSON'!$B$17:$B$192,$C2166,'5. PERSON'!CH$17:CH$192)+SUMIF('6. OPERATION'!$B$17:$B$149,$C2166,'6. OPERATION'!AY$17:AY$149)+SUMIF('6. OPERATION'!$B$17:$B$149,$C2166,'6. OPERATION'!BK$17:BK$149)</f>
        <v>0</v>
      </c>
      <c r="H2191" s="835">
        <f>SUMIF('5. PERSON'!$B$17:$B$192,$C2166,'5. PERSON'!BW$17:BW$192)+SUMIF('5. PERSON'!$B$17:$B$192,$C2166,'5. PERSON'!CI$17:CI$192)+SUMIF('6. OPERATION'!$B$17:$B$149,$C2166,'6. OPERATION'!AZ$17:AZ$149)+SUMIF('6. OPERATION'!$B$17:$B$149,$C2166,'6. OPERATION'!BL$17:BL$149)</f>
        <v>0</v>
      </c>
      <c r="I2191" s="835">
        <f>SUMIF('5. PERSON'!$B$17:$B$192,$C2166,'5. PERSON'!BX$17:BX$192)+SUMIF('5. PERSON'!$B$17:$B$192,$C2166,'5. PERSON'!CJ$17:CJ$192)+SUMIF('6. OPERATION'!$B$17:$B$149,$C2166,'6. OPERATION'!BA$17:BA$149)+SUMIF('6. OPERATION'!$B$17:$B$149,$C2166,'6. OPERATION'!BM$17:BM$149)</f>
        <v>0</v>
      </c>
      <c r="J2191" s="835">
        <f>SUMIF('5. PERSON'!$B$17:$B$192,$C2166,'5. PERSON'!BY$17:BY$192)+SUMIF('5. PERSON'!$B$17:$B$192,$C2166,'5. PERSON'!CK$17:CK$192)+SUMIF('6. OPERATION'!$B$17:$B$149,$C2166,'6. OPERATION'!BB$17:BB$149)+SUMIF('6. OPERATION'!$B$17:$B$149,$C2166,'6. OPERATION'!BN$17:BN$149)</f>
        <v>0</v>
      </c>
      <c r="K2191" s="835">
        <f>SUMIF('5. PERSON'!$B$17:$B$192,$C2166,'5. PERSON'!BZ$17:BZ$192)+SUMIF('5. PERSON'!$B$17:$B$192,$C2166,'5. PERSON'!CL$17:CL$192)+SUMIF('6. OPERATION'!$B$17:$B$149,$C2166,'6. OPERATION'!BC$17:BC$149)+SUMIF('6. OPERATION'!$B$17:$B$149,$C2166,'6. OPERATION'!BO$17:BO$149)</f>
        <v>0</v>
      </c>
      <c r="L2191" s="835">
        <f>SUMIF('5. PERSON'!$B$17:$B$192,$C2166,'5. PERSON'!CA$17:CA$192)+SUMIF('5. PERSON'!$B$17:$B$192,$C2166,'5. PERSON'!CM$17:CM$192)+SUMIF('6. OPERATION'!$B$17:$B$149,$C2166,'6. OPERATION'!BD$17:BD$149)+SUMIF('6. OPERATION'!$B$17:$B$149,$C2166,'6. OPERATION'!BP$17:BP$149)</f>
        <v>0</v>
      </c>
      <c r="M2191" s="831">
        <f>SUM(C2191:L2191)</f>
        <v>0</v>
      </c>
    </row>
    <row r="2192" spans="2:15" s="3" customFormat="1" ht="13.2" x14ac:dyDescent="0.25">
      <c r="B2192" s="124" t="s">
        <v>113</v>
      </c>
      <c r="C2192" s="88">
        <f>SUM(C2187:C2191)</f>
        <v>0</v>
      </c>
      <c r="D2192" s="88">
        <f t="shared" ref="D2192:M2192" si="505">SUM(D2187:D2191)</f>
        <v>0</v>
      </c>
      <c r="E2192" s="88">
        <f t="shared" si="505"/>
        <v>0</v>
      </c>
      <c r="F2192" s="88">
        <f t="shared" si="505"/>
        <v>0</v>
      </c>
      <c r="G2192" s="88">
        <f t="shared" si="505"/>
        <v>0</v>
      </c>
      <c r="H2192" s="88">
        <f t="shared" si="505"/>
        <v>0</v>
      </c>
      <c r="I2192" s="88">
        <f t="shared" si="505"/>
        <v>0</v>
      </c>
      <c r="J2192" s="88">
        <f t="shared" si="505"/>
        <v>0</v>
      </c>
      <c r="K2192" s="88">
        <f t="shared" si="505"/>
        <v>0</v>
      </c>
      <c r="L2192" s="88">
        <f t="shared" si="505"/>
        <v>0</v>
      </c>
      <c r="M2192" s="142">
        <f t="shared" si="505"/>
        <v>0</v>
      </c>
    </row>
    <row r="2193" spans="2:13" s="3" customFormat="1" ht="13.2" x14ac:dyDescent="0.25">
      <c r="B2193" s="287"/>
      <c r="C2193" s="37"/>
      <c r="D2193" s="37"/>
      <c r="E2193" s="37"/>
      <c r="F2193" s="37"/>
      <c r="G2193" s="37"/>
      <c r="H2193" s="37"/>
      <c r="I2193" s="37"/>
      <c r="J2193" s="37"/>
      <c r="K2193" s="37"/>
      <c r="L2193" s="37"/>
      <c r="M2193" s="37"/>
    </row>
    <row r="2194" spans="2:13" s="3" customFormat="1" ht="12.75" customHeight="1" x14ac:dyDescent="0.25">
      <c r="B2194" s="656" t="str">
        <f>IF('1. INTRO'!I$2="English","Co-funding share in full cost ","Medfinansieringsandel i full kostnad ")</f>
        <v xml:space="preserve">Co-funding share in full cost </v>
      </c>
      <c r="C2194" s="143" t="str">
        <f t="shared" ref="C2194:M2194" si="506">IF(C2192&gt;0,C2184/C2192,"")</f>
        <v/>
      </c>
      <c r="D2194" s="143" t="str">
        <f t="shared" si="506"/>
        <v/>
      </c>
      <c r="E2194" s="143" t="str">
        <f t="shared" si="506"/>
        <v/>
      </c>
      <c r="F2194" s="143" t="str">
        <f t="shared" si="506"/>
        <v/>
      </c>
      <c r="G2194" s="143" t="str">
        <f t="shared" si="506"/>
        <v/>
      </c>
      <c r="H2194" s="143" t="str">
        <f t="shared" si="506"/>
        <v/>
      </c>
      <c r="I2194" s="143" t="str">
        <f t="shared" si="506"/>
        <v/>
      </c>
      <c r="J2194" s="143" t="str">
        <f t="shared" si="506"/>
        <v/>
      </c>
      <c r="K2194" s="143" t="str">
        <f t="shared" si="506"/>
        <v/>
      </c>
      <c r="L2194" s="143" t="str">
        <f t="shared" si="506"/>
        <v/>
      </c>
      <c r="M2194" s="143" t="str">
        <f t="shared" si="506"/>
        <v/>
      </c>
    </row>
    <row r="2195" spans="2:13" ht="12.75" customHeight="1" x14ac:dyDescent="0.2"/>
    <row r="2196" spans="2:13" ht="12.75" customHeight="1" x14ac:dyDescent="0.25">
      <c r="D2196" s="676" t="str">
        <f>IF('1. INTRO'!I$2="English","Co-funding need in average per year: ","Medfinansieringsbehov i genomsnitt per år: ")</f>
        <v xml:space="preserve">Co-funding need in average per year: </v>
      </c>
      <c r="E2196" s="836" t="str">
        <f>IF(M2184=0,"",M2184/(DATEDIF('2. START'!C$18,'2. START'!C$19,"d")/365))</f>
        <v/>
      </c>
      <c r="H2196" s="676" t="str">
        <f>IF('1. INTRO'!I$2="English","Co-funding need 1/3 of total: ","Medfinansieringsbehov 1/3 av totalt: ")</f>
        <v xml:space="preserve">Co-funding need 1/3 of total: </v>
      </c>
      <c r="I2196" s="836">
        <f>M2184/3</f>
        <v>0</v>
      </c>
      <c r="L2196" s="287" t="str">
        <f>IF('1. INTRO'!I$2="English","Co-funding need total: ","Medfinansieringsbehov totalt: ")</f>
        <v xml:space="preserve">Co-funding need total: </v>
      </c>
      <c r="M2196" s="836">
        <f>M2184</f>
        <v>0</v>
      </c>
    </row>
    <row r="2197" spans="2:13" ht="12.75" customHeight="1" x14ac:dyDescent="0.25">
      <c r="B2197" s="53" t="str">
        <f>IF('1. INTRO'!I$2="English","Co-funding sources","Medfinansieringskällor")</f>
        <v>Co-funding sources</v>
      </c>
    </row>
    <row r="2198" spans="2:13" ht="12.75" customHeight="1" x14ac:dyDescent="0.25">
      <c r="B2198" s="225"/>
      <c r="C2198" s="226"/>
      <c r="D2198" s="226"/>
      <c r="E2198" s="226"/>
      <c r="F2198" s="226"/>
      <c r="G2198" s="226"/>
      <c r="H2198" s="226"/>
      <c r="I2198" s="226"/>
      <c r="J2198" s="226"/>
      <c r="K2198" s="226"/>
      <c r="L2198" s="227"/>
      <c r="M2198" s="168">
        <f>SUM(C2198:L2198)</f>
        <v>0</v>
      </c>
    </row>
    <row r="2199" spans="2:13" ht="12.75" customHeight="1" x14ac:dyDescent="0.25">
      <c r="B2199" s="228"/>
      <c r="C2199" s="229"/>
      <c r="D2199" s="229"/>
      <c r="E2199" s="229"/>
      <c r="F2199" s="229"/>
      <c r="G2199" s="229"/>
      <c r="H2199" s="229"/>
      <c r="I2199" s="229"/>
      <c r="J2199" s="229"/>
      <c r="K2199" s="229"/>
      <c r="L2199" s="230"/>
      <c r="M2199" s="825">
        <f t="shared" ref="M2199:M2202" si="507">SUM(C2199:L2199)</f>
        <v>0</v>
      </c>
    </row>
    <row r="2200" spans="2:13" ht="12.75" customHeight="1" x14ac:dyDescent="0.25">
      <c r="B2200" s="231"/>
      <c r="C2200" s="232"/>
      <c r="D2200" s="232"/>
      <c r="E2200" s="232"/>
      <c r="F2200" s="232"/>
      <c r="G2200" s="232"/>
      <c r="H2200" s="232"/>
      <c r="I2200" s="232"/>
      <c r="J2200" s="232"/>
      <c r="K2200" s="232"/>
      <c r="L2200" s="233"/>
      <c r="M2200" s="117">
        <f t="shared" si="507"/>
        <v>0</v>
      </c>
    </row>
    <row r="2201" spans="2:13" ht="12.75" customHeight="1" x14ac:dyDescent="0.25">
      <c r="B2201" s="228"/>
      <c r="C2201" s="229"/>
      <c r="D2201" s="229"/>
      <c r="E2201" s="229"/>
      <c r="F2201" s="229"/>
      <c r="G2201" s="229"/>
      <c r="H2201" s="229"/>
      <c r="I2201" s="229"/>
      <c r="J2201" s="229"/>
      <c r="K2201" s="229"/>
      <c r="L2201" s="230"/>
      <c r="M2201" s="825">
        <f t="shared" si="507"/>
        <v>0</v>
      </c>
    </row>
    <row r="2202" spans="2:13" ht="12.75" customHeight="1" x14ac:dyDescent="0.25">
      <c r="B2202" s="93"/>
      <c r="C2202" s="232"/>
      <c r="D2202" s="232"/>
      <c r="E2202" s="232"/>
      <c r="F2202" s="232"/>
      <c r="G2202" s="232"/>
      <c r="H2202" s="232"/>
      <c r="I2202" s="232"/>
      <c r="J2202" s="232"/>
      <c r="K2202" s="232"/>
      <c r="L2202" s="233"/>
      <c r="M2202" s="117">
        <f t="shared" si="507"/>
        <v>0</v>
      </c>
    </row>
    <row r="2203" spans="2:13" ht="12.75" customHeight="1" x14ac:dyDescent="0.25">
      <c r="B2203" s="84" t="str">
        <f>IF('1. INTRO'!I$2="English","Total co-funding ","Total medfinansiering ")</f>
        <v xml:space="preserve">Total co-funding </v>
      </c>
      <c r="C2203" s="87">
        <f t="shared" ref="C2203:M2203" si="508">SUM(C2198:C2202)</f>
        <v>0</v>
      </c>
      <c r="D2203" s="87">
        <f t="shared" si="508"/>
        <v>0</v>
      </c>
      <c r="E2203" s="87">
        <f t="shared" si="508"/>
        <v>0</v>
      </c>
      <c r="F2203" s="87">
        <f t="shared" si="508"/>
        <v>0</v>
      </c>
      <c r="G2203" s="87">
        <f t="shared" si="508"/>
        <v>0</v>
      </c>
      <c r="H2203" s="87">
        <f t="shared" si="508"/>
        <v>0</v>
      </c>
      <c r="I2203" s="87">
        <f t="shared" si="508"/>
        <v>0</v>
      </c>
      <c r="J2203" s="87">
        <f t="shared" si="508"/>
        <v>0</v>
      </c>
      <c r="K2203" s="87">
        <f t="shared" si="508"/>
        <v>0</v>
      </c>
      <c r="L2203" s="87">
        <f t="shared" si="508"/>
        <v>0</v>
      </c>
      <c r="M2203" s="142">
        <f t="shared" si="508"/>
        <v>0</v>
      </c>
    </row>
    <row r="2204" spans="2:13" ht="12.75" customHeight="1" x14ac:dyDescent="0.2"/>
    <row r="2205" spans="2:13" ht="12.75" customHeight="1" x14ac:dyDescent="0.2">
      <c r="B2205" s="667" t="str">
        <f>IF('1. INTRO'!I$2="English","Calculation comments","Kalkylkommentarer")</f>
        <v>Calculation comments</v>
      </c>
    </row>
    <row r="2206" spans="2:13" ht="12.75" customHeight="1" x14ac:dyDescent="0.2">
      <c r="B2206" s="1142"/>
      <c r="C2206" s="1143"/>
      <c r="D2206" s="1143"/>
      <c r="E2206" s="1143"/>
      <c r="F2206" s="1143"/>
      <c r="G2206" s="1143"/>
      <c r="H2206" s="1143"/>
      <c r="I2206" s="1143"/>
      <c r="J2206" s="1143"/>
      <c r="K2206" s="1143"/>
      <c r="L2206" s="1143"/>
      <c r="M2206" s="1144"/>
    </row>
    <row r="2207" spans="2:13" ht="12.75" customHeight="1" x14ac:dyDescent="0.2">
      <c r="B2207" s="1145"/>
      <c r="C2207" s="1226"/>
      <c r="D2207" s="1226"/>
      <c r="E2207" s="1226"/>
      <c r="F2207" s="1226"/>
      <c r="G2207" s="1226"/>
      <c r="H2207" s="1226"/>
      <c r="I2207" s="1226"/>
      <c r="J2207" s="1226"/>
      <c r="K2207" s="1226"/>
      <c r="L2207" s="1226"/>
      <c r="M2207" s="1147"/>
    </row>
    <row r="2208" spans="2:13" ht="12.75" customHeight="1" x14ac:dyDescent="0.2">
      <c r="B2208" s="1145"/>
      <c r="C2208" s="1226"/>
      <c r="D2208" s="1226"/>
      <c r="E2208" s="1226"/>
      <c r="F2208" s="1226"/>
      <c r="G2208" s="1226"/>
      <c r="H2208" s="1226"/>
      <c r="I2208" s="1226"/>
      <c r="J2208" s="1226"/>
      <c r="K2208" s="1226"/>
      <c r="L2208" s="1226"/>
      <c r="M2208" s="1147"/>
    </row>
    <row r="2209" spans="2:15" ht="12.75" customHeight="1" x14ac:dyDescent="0.2">
      <c r="B2209" s="1145"/>
      <c r="C2209" s="1226"/>
      <c r="D2209" s="1226"/>
      <c r="E2209" s="1226"/>
      <c r="F2209" s="1226"/>
      <c r="G2209" s="1226"/>
      <c r="H2209" s="1226"/>
      <c r="I2209" s="1226"/>
      <c r="J2209" s="1226"/>
      <c r="K2209" s="1226"/>
      <c r="L2209" s="1226"/>
      <c r="M2209" s="1147"/>
    </row>
    <row r="2210" spans="2:15" ht="12.75" customHeight="1" x14ac:dyDescent="0.2">
      <c r="B2210" s="1148"/>
      <c r="C2210" s="1149"/>
      <c r="D2210" s="1149"/>
      <c r="E2210" s="1149"/>
      <c r="F2210" s="1149"/>
      <c r="G2210" s="1149"/>
      <c r="H2210" s="1149"/>
      <c r="I2210" s="1149"/>
      <c r="J2210" s="1149"/>
      <c r="K2210" s="1149"/>
      <c r="L2210" s="1149"/>
      <c r="M2210" s="1150"/>
    </row>
    <row r="2212" spans="2:15" s="3" customFormat="1" ht="12.75" customHeight="1" x14ac:dyDescent="0.25">
      <c r="B2212" s="313" t="str">
        <f>'3. PARTNER'!C$4</f>
        <v xml:space="preserve">Project: </v>
      </c>
      <c r="C2212" s="1062" t="str">
        <f>'3. PARTNER'!D$4</f>
        <v/>
      </c>
      <c r="D2212" s="1001"/>
      <c r="E2212" s="1001"/>
      <c r="F2212" s="1001"/>
      <c r="G2212" s="1001"/>
      <c r="H2212" s="1001"/>
      <c r="I2212" s="1001"/>
      <c r="J2212" s="1001"/>
      <c r="K2212" s="1001"/>
      <c r="L2212" s="1001"/>
      <c r="M2212" s="1001"/>
    </row>
    <row r="2213" spans="2:15" s="3" customFormat="1" ht="13.2" x14ac:dyDescent="0.25">
      <c r="B2213" s="313" t="str">
        <f>'3. PARTNER'!C$5</f>
        <v xml:space="preserve">Calculation for: </v>
      </c>
      <c r="C2213" s="1062" t="str">
        <f>'3. PARTNER'!D$5</f>
        <v>APPLICATION</v>
      </c>
      <c r="D2213" s="1001"/>
      <c r="E2213" s="268"/>
      <c r="F2213" s="268"/>
      <c r="G2213" s="268"/>
      <c r="H2213" s="268"/>
      <c r="I2213" s="268"/>
      <c r="J2213" s="268"/>
      <c r="K2213" s="268"/>
      <c r="L2213" s="268"/>
      <c r="M2213" s="268"/>
    </row>
    <row r="2214" spans="2:15" s="3" customFormat="1" ht="13.2" x14ac:dyDescent="0.25">
      <c r="B2214" s="35" t="str">
        <f>'3. PARTNER'!C$6</f>
        <v xml:space="preserve">Project leader: </v>
      </c>
      <c r="C2214" s="1062" t="str">
        <f>'3. PARTNER'!D$6</f>
        <v/>
      </c>
      <c r="D2214" s="1001"/>
      <c r="E2214" s="1001"/>
      <c r="F2214" s="1001"/>
      <c r="G2214" s="1001"/>
      <c r="H2214" s="1001"/>
      <c r="I2214" s="1001"/>
      <c r="J2214" s="1001"/>
      <c r="K2214" s="1001"/>
      <c r="L2214" s="1001"/>
      <c r="M2214" s="1001"/>
    </row>
    <row r="2215" spans="2:15" s="3" customFormat="1" ht="13.2" x14ac:dyDescent="0.25">
      <c r="B2215" s="313" t="str">
        <f>'5. PERSON'!B$7</f>
        <v xml:space="preserve">Amounts in: </v>
      </c>
      <c r="C2215" s="655" t="str">
        <f>'5. PERSON'!C$7</f>
        <v>SEK</v>
      </c>
      <c r="D2215" s="268"/>
      <c r="E2215" s="268"/>
      <c r="F2215" s="268"/>
      <c r="G2215" s="234"/>
      <c r="H2215" s="234"/>
      <c r="I2215" s="270"/>
      <c r="J2215" s="270"/>
      <c r="K2215" s="270"/>
      <c r="L2215" s="270"/>
      <c r="M2215" s="270"/>
    </row>
    <row r="2216" spans="2:15" s="3" customFormat="1" ht="13.2" x14ac:dyDescent="0.25">
      <c r="B2216" s="313"/>
      <c r="C2216" s="1053" t="str">
        <f>'3. PARTNER'!D$7</f>
        <v>Other basic data about the project is in sheet 2.</v>
      </c>
      <c r="D2216" s="1001"/>
      <c r="E2216" s="1001"/>
      <c r="F2216" s="1001"/>
      <c r="G2216" s="234"/>
      <c r="H2216" s="234"/>
      <c r="I2216" s="270"/>
      <c r="J2216" s="270"/>
      <c r="K2216" s="270"/>
      <c r="L2216" s="251" t="s">
        <v>4</v>
      </c>
      <c r="M2216" s="270"/>
    </row>
    <row r="2217" spans="2:15" ht="12.75" customHeight="1" x14ac:dyDescent="0.2">
      <c r="L2217" s="252" t="str">
        <f>IF('1. INTRO'!I$2="English","months","månader")</f>
        <v>months</v>
      </c>
    </row>
    <row r="2218" spans="2:15" s="3" customFormat="1" ht="13.8" x14ac:dyDescent="0.25">
      <c r="B2218" s="157" t="str">
        <f>IF('1. INTRO'!I$2="English","Project costs","Projektkostnader")</f>
        <v>Project costs</v>
      </c>
      <c r="C2218" s="1259" t="str">
        <f>B57</f>
        <v xml:space="preserve">SLU-common support </v>
      </c>
      <c r="D2218" s="1004"/>
      <c r="E2218" s="1004"/>
      <c r="G2218" s="37"/>
      <c r="H2218" s="37"/>
      <c r="I2218" s="37"/>
      <c r="J2218" s="37"/>
      <c r="K2218" s="37"/>
      <c r="L2218" s="642">
        <f>L2166+L2114</f>
        <v>0</v>
      </c>
      <c r="M2218" s="680" t="s">
        <v>330</v>
      </c>
    </row>
    <row r="2219" spans="2:15" s="3" customFormat="1" ht="6" customHeight="1" x14ac:dyDescent="0.25">
      <c r="B2219" s="57"/>
      <c r="C2219" s="37"/>
      <c r="D2219" s="37"/>
      <c r="E2219" s="37"/>
      <c r="F2219" s="37"/>
      <c r="G2219" s="37"/>
      <c r="H2219" s="37"/>
      <c r="I2219" s="37"/>
      <c r="J2219" s="37"/>
      <c r="K2219" s="37"/>
      <c r="L2219" s="37"/>
      <c r="M2219" s="37"/>
    </row>
    <row r="2220" spans="2:15" s="3" customFormat="1" ht="13.2" x14ac:dyDescent="0.25">
      <c r="B2220" s="110" t="str">
        <f>IF('1. INTRO'!I$2="English","Costs to be covered by funding body","Kostnader att täckas av finansiär")</f>
        <v>Costs to be covered by funding body</v>
      </c>
      <c r="C2220" s="111">
        <f>'5. PERSON'!G$15</f>
        <v>1900</v>
      </c>
      <c r="D2220" s="111" t="str">
        <f>'5. PERSON'!H$15</f>
        <v/>
      </c>
      <c r="E2220" s="111" t="str">
        <f>'5. PERSON'!I$15</f>
        <v/>
      </c>
      <c r="F2220" s="111" t="str">
        <f>'5. PERSON'!J$15</f>
        <v/>
      </c>
      <c r="G2220" s="111" t="str">
        <f>'5. PERSON'!K$15</f>
        <v/>
      </c>
      <c r="H2220" s="111" t="str">
        <f>'5. PERSON'!L$15</f>
        <v/>
      </c>
      <c r="I2220" s="111" t="str">
        <f>'5. PERSON'!M$15</f>
        <v/>
      </c>
      <c r="J2220" s="111" t="str">
        <f>'5. PERSON'!N$15</f>
        <v/>
      </c>
      <c r="K2220" s="111" t="str">
        <f>'5. PERSON'!O$15</f>
        <v/>
      </c>
      <c r="L2220" s="111" t="str">
        <f>'5. PERSON'!P$15</f>
        <v/>
      </c>
      <c r="M2220" s="112" t="s">
        <v>2</v>
      </c>
    </row>
    <row r="2221" spans="2:15" s="3" customFormat="1" ht="12.75" customHeight="1" x14ac:dyDescent="0.25">
      <c r="B2221" s="820" t="str">
        <f>IF('1. INTRO'!I$2="English","Salary including social costs (LKP)","Lön inklusive LKP")</f>
        <v>Salary including social costs (LKP)</v>
      </c>
      <c r="C2221" s="837">
        <f>C2117+C2169</f>
        <v>0</v>
      </c>
      <c r="D2221" s="837">
        <f t="shared" ref="D2221:L2221" si="509">D2117+D2169</f>
        <v>0</v>
      </c>
      <c r="E2221" s="837">
        <f t="shared" si="509"/>
        <v>0</v>
      </c>
      <c r="F2221" s="837">
        <f t="shared" si="509"/>
        <v>0</v>
      </c>
      <c r="G2221" s="837">
        <f t="shared" si="509"/>
        <v>0</v>
      </c>
      <c r="H2221" s="837">
        <f t="shared" si="509"/>
        <v>0</v>
      </c>
      <c r="I2221" s="837">
        <f t="shared" si="509"/>
        <v>0</v>
      </c>
      <c r="J2221" s="837">
        <f t="shared" si="509"/>
        <v>0</v>
      </c>
      <c r="K2221" s="837">
        <f t="shared" si="509"/>
        <v>0</v>
      </c>
      <c r="L2221" s="837">
        <f t="shared" si="509"/>
        <v>0</v>
      </c>
      <c r="M2221" s="838">
        <f t="shared" ref="M2221:M2226" si="510">SUM(C2221:L2221)</f>
        <v>0</v>
      </c>
      <c r="O2221" s="4"/>
    </row>
    <row r="2222" spans="2:15" s="3" customFormat="1" ht="12.75" customHeight="1" x14ac:dyDescent="0.25">
      <c r="B2222" s="80" t="str">
        <f>IF('1. INTRO'!I$2="English","Operating","Drift")</f>
        <v>Operating</v>
      </c>
      <c r="C2222" s="171">
        <f>C2118+C2170</f>
        <v>0</v>
      </c>
      <c r="D2222" s="171">
        <f t="shared" ref="D2222:L2222" si="511">D2118+D2170</f>
        <v>0</v>
      </c>
      <c r="E2222" s="171">
        <f t="shared" si="511"/>
        <v>0</v>
      </c>
      <c r="F2222" s="171">
        <f t="shared" si="511"/>
        <v>0</v>
      </c>
      <c r="G2222" s="171">
        <f t="shared" si="511"/>
        <v>0</v>
      </c>
      <c r="H2222" s="171">
        <f t="shared" si="511"/>
        <v>0</v>
      </c>
      <c r="I2222" s="171">
        <f t="shared" si="511"/>
        <v>0</v>
      </c>
      <c r="J2222" s="171">
        <f t="shared" si="511"/>
        <v>0</v>
      </c>
      <c r="K2222" s="171">
        <f t="shared" si="511"/>
        <v>0</v>
      </c>
      <c r="L2222" s="171">
        <f t="shared" si="511"/>
        <v>0</v>
      </c>
      <c r="M2222" s="146">
        <f t="shared" si="510"/>
        <v>0</v>
      </c>
    </row>
    <row r="2223" spans="2:15" s="3" customFormat="1" ht="13.2" x14ac:dyDescent="0.25">
      <c r="B2223" s="823" t="str">
        <f>IF('1. INTRO'!I$2="English","Equipment","Utrustning")</f>
        <v>Equipment</v>
      </c>
      <c r="C2223" s="839">
        <f>C2119+C2171</f>
        <v>0</v>
      </c>
      <c r="D2223" s="839">
        <f t="shared" ref="D2223:L2223" si="512">D2119+D2171</f>
        <v>0</v>
      </c>
      <c r="E2223" s="839">
        <f t="shared" si="512"/>
        <v>0</v>
      </c>
      <c r="F2223" s="839">
        <f t="shared" si="512"/>
        <v>0</v>
      </c>
      <c r="G2223" s="839">
        <f t="shared" si="512"/>
        <v>0</v>
      </c>
      <c r="H2223" s="839">
        <f t="shared" si="512"/>
        <v>0</v>
      </c>
      <c r="I2223" s="839">
        <f t="shared" si="512"/>
        <v>0</v>
      </c>
      <c r="J2223" s="839">
        <f t="shared" si="512"/>
        <v>0</v>
      </c>
      <c r="K2223" s="839">
        <f t="shared" si="512"/>
        <v>0</v>
      </c>
      <c r="L2223" s="839">
        <f t="shared" si="512"/>
        <v>0</v>
      </c>
      <c r="M2223" s="840">
        <f t="shared" si="510"/>
        <v>0</v>
      </c>
    </row>
    <row r="2224" spans="2:15" s="3" customFormat="1" ht="13.2" x14ac:dyDescent="0.25">
      <c r="B2224" s="121" t="str">
        <f>IF('1. INTRO'!I$2="English",(IF('2. START'!C$11="NO","Facility accepted as direct cost by funding body","Facility")),IF('2. START'!C$11="NO","Lokal accepterad som direkt kostnad av finansiär","Lokal"))</f>
        <v>Facility</v>
      </c>
      <c r="C2224" s="171">
        <f>C2120+C2172</f>
        <v>0</v>
      </c>
      <c r="D2224" s="171">
        <f t="shared" ref="D2224:L2224" si="513">D2120+D2172</f>
        <v>0</v>
      </c>
      <c r="E2224" s="171">
        <f t="shared" si="513"/>
        <v>0</v>
      </c>
      <c r="F2224" s="171">
        <f t="shared" si="513"/>
        <v>0</v>
      </c>
      <c r="G2224" s="171">
        <f t="shared" si="513"/>
        <v>0</v>
      </c>
      <c r="H2224" s="171">
        <f t="shared" si="513"/>
        <v>0</v>
      </c>
      <c r="I2224" s="171">
        <f t="shared" si="513"/>
        <v>0</v>
      </c>
      <c r="J2224" s="171">
        <f t="shared" si="513"/>
        <v>0</v>
      </c>
      <c r="K2224" s="171">
        <f t="shared" si="513"/>
        <v>0</v>
      </c>
      <c r="L2224" s="171">
        <f t="shared" si="513"/>
        <v>0</v>
      </c>
      <c r="M2224" s="146">
        <f t="shared" si="510"/>
        <v>0</v>
      </c>
    </row>
    <row r="2225" spans="2:15" s="3" customFormat="1" ht="13.2" x14ac:dyDescent="0.25">
      <c r="B2225" s="826" t="str">
        <f>IF('1. INTRO'!I$2="English",(IF('2. START'!C$11="NO","Indirect and facility charge accepted as OH by funding body","Indirect")),IF('2. START'!C$11="NO","Indirekt och lokalpåslag accepterade som OH av finansiär","Indirekt"))</f>
        <v>Indirect</v>
      </c>
      <c r="C2225" s="841">
        <f>C2121+C2173</f>
        <v>0</v>
      </c>
      <c r="D2225" s="841">
        <f t="shared" ref="D2225:L2225" si="514">D2121+D2173</f>
        <v>0</v>
      </c>
      <c r="E2225" s="841">
        <f t="shared" si="514"/>
        <v>0</v>
      </c>
      <c r="F2225" s="841">
        <f t="shared" si="514"/>
        <v>0</v>
      </c>
      <c r="G2225" s="841">
        <f t="shared" si="514"/>
        <v>0</v>
      </c>
      <c r="H2225" s="841">
        <f t="shared" si="514"/>
        <v>0</v>
      </c>
      <c r="I2225" s="841">
        <f t="shared" si="514"/>
        <v>0</v>
      </c>
      <c r="J2225" s="841">
        <f t="shared" si="514"/>
        <v>0</v>
      </c>
      <c r="K2225" s="841">
        <f t="shared" si="514"/>
        <v>0</v>
      </c>
      <c r="L2225" s="841">
        <f t="shared" si="514"/>
        <v>0</v>
      </c>
      <c r="M2225" s="842">
        <f t="shared" si="510"/>
        <v>0</v>
      </c>
    </row>
    <row r="2226" spans="2:15" s="3" customFormat="1" ht="13.2" x14ac:dyDescent="0.25">
      <c r="B2226" s="124" t="s">
        <v>113</v>
      </c>
      <c r="C2226" s="161">
        <f>SUM(C2221:C2225)</f>
        <v>0</v>
      </c>
      <c r="D2226" s="161">
        <f t="shared" ref="D2226:L2226" si="515">SUM(D2221:D2225)</f>
        <v>0</v>
      </c>
      <c r="E2226" s="161">
        <f t="shared" si="515"/>
        <v>0</v>
      </c>
      <c r="F2226" s="161">
        <f t="shared" si="515"/>
        <v>0</v>
      </c>
      <c r="G2226" s="161">
        <f t="shared" si="515"/>
        <v>0</v>
      </c>
      <c r="H2226" s="161">
        <f t="shared" si="515"/>
        <v>0</v>
      </c>
      <c r="I2226" s="161">
        <f t="shared" si="515"/>
        <v>0</v>
      </c>
      <c r="J2226" s="161">
        <f t="shared" si="515"/>
        <v>0</v>
      </c>
      <c r="K2226" s="161">
        <f t="shared" si="515"/>
        <v>0</v>
      </c>
      <c r="L2226" s="161">
        <f t="shared" si="515"/>
        <v>0</v>
      </c>
      <c r="M2226" s="125">
        <f t="shared" si="510"/>
        <v>0</v>
      </c>
    </row>
    <row r="2227" spans="2:15" s="3" customFormat="1" ht="6" customHeight="1" x14ac:dyDescent="0.25">
      <c r="B2227" s="126"/>
      <c r="C2227" s="127"/>
      <c r="D2227" s="127"/>
      <c r="E2227" s="127"/>
      <c r="F2227" s="127"/>
      <c r="G2227" s="127"/>
      <c r="H2227" s="127"/>
      <c r="I2227" s="127"/>
      <c r="J2227" s="127"/>
      <c r="K2227" s="127"/>
      <c r="L2227" s="127"/>
      <c r="M2227" s="128"/>
    </row>
    <row r="2228" spans="2:15" s="3" customFormat="1" ht="13.2" x14ac:dyDescent="0.25">
      <c r="B2228" s="129" t="str">
        <f>IF('1. INTRO'!I$2="English","Costs to be co-funded","Kostnader att medfinansiera")</f>
        <v>Costs to be co-funded</v>
      </c>
      <c r="C2228" s="86"/>
      <c r="D2228" s="86"/>
      <c r="E2228" s="86"/>
      <c r="F2228" s="86"/>
      <c r="G2228" s="86"/>
      <c r="H2228" s="86"/>
      <c r="I2228" s="86"/>
      <c r="J2228" s="86"/>
      <c r="K2228" s="86"/>
      <c r="L2228" s="86"/>
      <c r="M2228" s="130"/>
    </row>
    <row r="2229" spans="2:15" s="3" customFormat="1" ht="13.2" x14ac:dyDescent="0.25">
      <c r="B2229" s="828" t="str">
        <f>IF('1. INTRO'!I$2="English",(IF('2. START'!C$11="NO","Indirect and facility charge not accepted as OH by funding body","")),IF('2. START'!C$11="NO","Indirekt och lokalpåslag inte accepterade som OH av finansiär",""))</f>
        <v/>
      </c>
      <c r="C2229" s="843">
        <f t="shared" ref="C2229:C2235" si="516">C2125+C2177</f>
        <v>0</v>
      </c>
      <c r="D2229" s="843">
        <f t="shared" ref="D2229:L2229" si="517">D2125+D2177</f>
        <v>0</v>
      </c>
      <c r="E2229" s="843">
        <f t="shared" si="517"/>
        <v>0</v>
      </c>
      <c r="F2229" s="843">
        <f t="shared" si="517"/>
        <v>0</v>
      </c>
      <c r="G2229" s="843">
        <f t="shared" si="517"/>
        <v>0</v>
      </c>
      <c r="H2229" s="843">
        <f t="shared" si="517"/>
        <v>0</v>
      </c>
      <c r="I2229" s="843">
        <f t="shared" si="517"/>
        <v>0</v>
      </c>
      <c r="J2229" s="843">
        <f t="shared" si="517"/>
        <v>0</v>
      </c>
      <c r="K2229" s="843">
        <f t="shared" si="517"/>
        <v>0</v>
      </c>
      <c r="L2229" s="843">
        <f t="shared" si="517"/>
        <v>0</v>
      </c>
      <c r="M2229" s="838">
        <f t="shared" ref="M2229:M2235" si="518">SUM(C2229:L2229)</f>
        <v>0</v>
      </c>
    </row>
    <row r="2230" spans="2:15" s="3" customFormat="1" ht="12.75" customHeight="1" x14ac:dyDescent="0.25">
      <c r="B2230" s="132" t="str">
        <f>IF('1. INTRO'!I$2="English",(IF('2. START'!C$14&gt;0,"Social costs (LKP) not accepted by funding body","")),IF('2. START'!C$14&gt;0,"LKP som inte accepteras av finansiär",""))</f>
        <v/>
      </c>
      <c r="C2230" s="192">
        <f t="shared" si="516"/>
        <v>0</v>
      </c>
      <c r="D2230" s="192">
        <f t="shared" ref="D2230:L2230" si="519">D2126+D2178</f>
        <v>0</v>
      </c>
      <c r="E2230" s="192">
        <f t="shared" si="519"/>
        <v>0</v>
      </c>
      <c r="F2230" s="192">
        <f t="shared" si="519"/>
        <v>0</v>
      </c>
      <c r="G2230" s="192">
        <f t="shared" si="519"/>
        <v>0</v>
      </c>
      <c r="H2230" s="192">
        <f t="shared" si="519"/>
        <v>0</v>
      </c>
      <c r="I2230" s="192">
        <f t="shared" si="519"/>
        <v>0</v>
      </c>
      <c r="J2230" s="192">
        <f t="shared" si="519"/>
        <v>0</v>
      </c>
      <c r="K2230" s="192">
        <f t="shared" si="519"/>
        <v>0</v>
      </c>
      <c r="L2230" s="192">
        <f t="shared" si="519"/>
        <v>0</v>
      </c>
      <c r="M2230" s="146">
        <f t="shared" si="518"/>
        <v>0</v>
      </c>
    </row>
    <row r="2231" spans="2:15" s="3" customFormat="1" ht="12.75" customHeight="1" x14ac:dyDescent="0.25">
      <c r="B2231" s="823" t="str">
        <f>IF('1. INTRO'!I$2="English",(IF('5. PERSON'!BP$193&gt;0,"Salary including social costs (LKP)","")),IF('5. PERSON'!BP$193&gt;0,"Lön inklusive LKP",""))</f>
        <v/>
      </c>
      <c r="C2231" s="844">
        <f t="shared" si="516"/>
        <v>0</v>
      </c>
      <c r="D2231" s="844">
        <f t="shared" ref="D2231:L2231" si="520">D2127+D2179</f>
        <v>0</v>
      </c>
      <c r="E2231" s="844">
        <f t="shared" si="520"/>
        <v>0</v>
      </c>
      <c r="F2231" s="844">
        <f t="shared" si="520"/>
        <v>0</v>
      </c>
      <c r="G2231" s="844">
        <f t="shared" si="520"/>
        <v>0</v>
      </c>
      <c r="H2231" s="844">
        <f t="shared" si="520"/>
        <v>0</v>
      </c>
      <c r="I2231" s="844">
        <f t="shared" si="520"/>
        <v>0</v>
      </c>
      <c r="J2231" s="844">
        <f t="shared" si="520"/>
        <v>0</v>
      </c>
      <c r="K2231" s="844">
        <f t="shared" si="520"/>
        <v>0</v>
      </c>
      <c r="L2231" s="844">
        <f t="shared" si="520"/>
        <v>0</v>
      </c>
      <c r="M2231" s="840">
        <f t="shared" si="518"/>
        <v>0</v>
      </c>
    </row>
    <row r="2232" spans="2:15" s="3" customFormat="1" ht="13.2" x14ac:dyDescent="0.25">
      <c r="B2232" s="80" t="str">
        <f>IF('1. INTRO'!I$2="English",(IF('6. OPERATION'!AS$150&gt;0,"Operating","")),IF('6. OPERATION'!AS$150&gt;0,"Drift",""))</f>
        <v/>
      </c>
      <c r="C2232" s="192">
        <f t="shared" si="516"/>
        <v>0</v>
      </c>
      <c r="D2232" s="192">
        <f t="shared" ref="D2232:L2232" si="521">D2128+D2180</f>
        <v>0</v>
      </c>
      <c r="E2232" s="192">
        <f t="shared" si="521"/>
        <v>0</v>
      </c>
      <c r="F2232" s="192">
        <f t="shared" si="521"/>
        <v>0</v>
      </c>
      <c r="G2232" s="192">
        <f t="shared" si="521"/>
        <v>0</v>
      </c>
      <c r="H2232" s="192">
        <f t="shared" si="521"/>
        <v>0</v>
      </c>
      <c r="I2232" s="192">
        <f t="shared" si="521"/>
        <v>0</v>
      </c>
      <c r="J2232" s="192">
        <f t="shared" si="521"/>
        <v>0</v>
      </c>
      <c r="K2232" s="192">
        <f t="shared" si="521"/>
        <v>0</v>
      </c>
      <c r="L2232" s="192">
        <f t="shared" si="521"/>
        <v>0</v>
      </c>
      <c r="M2232" s="146">
        <f t="shared" si="518"/>
        <v>0</v>
      </c>
    </row>
    <row r="2233" spans="2:15" s="3" customFormat="1" ht="13.2" x14ac:dyDescent="0.25">
      <c r="B2233" s="823" t="str">
        <f>IF('1. INTRO'!I$2="English",(IF('7. INVEST'!AS$50&gt;0,"Equipment","")),IF('7. INVEST'!AS$50&gt;0,"Utrustning",""))</f>
        <v/>
      </c>
      <c r="C2233" s="844">
        <f t="shared" si="516"/>
        <v>0</v>
      </c>
      <c r="D2233" s="844">
        <f t="shared" ref="D2233:L2233" si="522">D2129+D2181</f>
        <v>0</v>
      </c>
      <c r="E2233" s="844">
        <f t="shared" si="522"/>
        <v>0</v>
      </c>
      <c r="F2233" s="844">
        <f t="shared" si="522"/>
        <v>0</v>
      </c>
      <c r="G2233" s="844">
        <f t="shared" si="522"/>
        <v>0</v>
      </c>
      <c r="H2233" s="844">
        <f t="shared" si="522"/>
        <v>0</v>
      </c>
      <c r="I2233" s="844">
        <f t="shared" si="522"/>
        <v>0</v>
      </c>
      <c r="J2233" s="844">
        <f t="shared" si="522"/>
        <v>0</v>
      </c>
      <c r="K2233" s="844">
        <f t="shared" si="522"/>
        <v>0</v>
      </c>
      <c r="L2233" s="844">
        <f t="shared" si="522"/>
        <v>0</v>
      </c>
      <c r="M2233" s="840">
        <f t="shared" si="518"/>
        <v>0</v>
      </c>
    </row>
    <row r="2234" spans="2:15" s="3" customFormat="1" ht="13.2" x14ac:dyDescent="0.25">
      <c r="B2234" s="121" t="str">
        <f>IF('1. INTRO'!I$2="English",(IF('8. FACILIT'!AP$51&gt;0,"Facility","")),IF('8. FACILIT'!AP$51&gt;0,"Lokal",""))</f>
        <v/>
      </c>
      <c r="C2234" s="192">
        <f t="shared" si="516"/>
        <v>0</v>
      </c>
      <c r="D2234" s="192">
        <f t="shared" ref="D2234:L2234" si="523">D2130+D2182</f>
        <v>0</v>
      </c>
      <c r="E2234" s="192">
        <f t="shared" si="523"/>
        <v>0</v>
      </c>
      <c r="F2234" s="192">
        <f t="shared" si="523"/>
        <v>0</v>
      </c>
      <c r="G2234" s="192">
        <f t="shared" si="523"/>
        <v>0</v>
      </c>
      <c r="H2234" s="192">
        <f t="shared" si="523"/>
        <v>0</v>
      </c>
      <c r="I2234" s="192">
        <f t="shared" si="523"/>
        <v>0</v>
      </c>
      <c r="J2234" s="192">
        <f t="shared" si="523"/>
        <v>0</v>
      </c>
      <c r="K2234" s="192">
        <f t="shared" si="523"/>
        <v>0</v>
      </c>
      <c r="L2234" s="192">
        <f t="shared" si="523"/>
        <v>0</v>
      </c>
      <c r="M2234" s="146">
        <f t="shared" si="518"/>
        <v>0</v>
      </c>
    </row>
    <row r="2235" spans="2:15" s="1" customFormat="1" ht="13.2" x14ac:dyDescent="0.25">
      <c r="B2235" s="826" t="str">
        <f>IF('1. INTRO'!I$2="English",(IF(('5. PERSON'!CN$193+'6. OPERATION'!BQ$150)&gt;0,"Indirect","")),IF(('5. PERSON'!CN$193+'6. OPERATION'!BQ$150)&gt;0,"Indirekt",""))</f>
        <v/>
      </c>
      <c r="C2235" s="845">
        <f t="shared" si="516"/>
        <v>0</v>
      </c>
      <c r="D2235" s="845">
        <f t="shared" ref="D2235:L2235" si="524">D2131+D2183</f>
        <v>0</v>
      </c>
      <c r="E2235" s="845">
        <f t="shared" si="524"/>
        <v>0</v>
      </c>
      <c r="F2235" s="845">
        <f t="shared" si="524"/>
        <v>0</v>
      </c>
      <c r="G2235" s="845">
        <f t="shared" si="524"/>
        <v>0</v>
      </c>
      <c r="H2235" s="845">
        <f t="shared" si="524"/>
        <v>0</v>
      </c>
      <c r="I2235" s="845">
        <f t="shared" si="524"/>
        <v>0</v>
      </c>
      <c r="J2235" s="845">
        <f t="shared" si="524"/>
        <v>0</v>
      </c>
      <c r="K2235" s="845">
        <f t="shared" si="524"/>
        <v>0</v>
      </c>
      <c r="L2235" s="845">
        <f t="shared" si="524"/>
        <v>0</v>
      </c>
      <c r="M2235" s="842">
        <f t="shared" si="518"/>
        <v>0</v>
      </c>
    </row>
    <row r="2236" spans="2:15" s="3" customFormat="1" ht="13.2" x14ac:dyDescent="0.25">
      <c r="B2236" s="124" t="s">
        <v>113</v>
      </c>
      <c r="C2236" s="161">
        <f>SUM(C2229:C2235)</f>
        <v>0</v>
      </c>
      <c r="D2236" s="161">
        <f t="shared" ref="D2236:M2236" si="525">SUM(D2229:D2235)</f>
        <v>0</v>
      </c>
      <c r="E2236" s="161">
        <f t="shared" si="525"/>
        <v>0</v>
      </c>
      <c r="F2236" s="161">
        <f t="shared" si="525"/>
        <v>0</v>
      </c>
      <c r="G2236" s="161">
        <f t="shared" si="525"/>
        <v>0</v>
      </c>
      <c r="H2236" s="161">
        <f t="shared" si="525"/>
        <v>0</v>
      </c>
      <c r="I2236" s="161">
        <f t="shared" si="525"/>
        <v>0</v>
      </c>
      <c r="J2236" s="161">
        <f t="shared" si="525"/>
        <v>0</v>
      </c>
      <c r="K2236" s="161">
        <f t="shared" si="525"/>
        <v>0</v>
      </c>
      <c r="L2236" s="161">
        <f t="shared" si="525"/>
        <v>0</v>
      </c>
      <c r="M2236" s="125">
        <f t="shared" si="525"/>
        <v>0</v>
      </c>
      <c r="N2236" s="23"/>
      <c r="O2236" s="23"/>
    </row>
    <row r="2237" spans="2:15" s="3" customFormat="1" ht="6" customHeight="1" x14ac:dyDescent="0.25">
      <c r="B2237" s="136"/>
      <c r="C2237" s="127"/>
      <c r="D2237" s="127"/>
      <c r="E2237" s="127"/>
      <c r="F2237" s="127"/>
      <c r="G2237" s="127"/>
      <c r="H2237" s="127"/>
      <c r="I2237" s="127"/>
      <c r="J2237" s="127"/>
      <c r="K2237" s="127"/>
      <c r="L2237" s="127"/>
      <c r="M2237" s="137"/>
    </row>
    <row r="2238" spans="2:15" s="3" customFormat="1" ht="13.2" x14ac:dyDescent="0.25">
      <c r="B2238" s="129" t="str">
        <f>IF('1. INTRO'!I$2="English","Full cost","Full kostnad")</f>
        <v>Full cost</v>
      </c>
      <c r="C2238" s="127"/>
      <c r="D2238" s="127"/>
      <c r="E2238" s="127"/>
      <c r="F2238" s="127"/>
      <c r="G2238" s="127"/>
      <c r="H2238" s="127"/>
      <c r="I2238" s="127"/>
      <c r="J2238" s="127"/>
      <c r="K2238" s="127"/>
      <c r="L2238" s="127"/>
      <c r="M2238" s="137"/>
    </row>
    <row r="2239" spans="2:15" s="3" customFormat="1" ht="13.2" x14ac:dyDescent="0.25">
      <c r="B2239" s="820" t="str">
        <f>IF('1. INTRO'!I$2="English","Salary including social costs (LKP)","Lön inklusive LKP")</f>
        <v>Salary including social costs (LKP)</v>
      </c>
      <c r="C2239" s="846">
        <f>C2135+C2187</f>
        <v>0</v>
      </c>
      <c r="D2239" s="846">
        <f t="shared" ref="D2239:L2239" si="526">D2135+D2187</f>
        <v>0</v>
      </c>
      <c r="E2239" s="846">
        <f t="shared" si="526"/>
        <v>0</v>
      </c>
      <c r="F2239" s="846">
        <f t="shared" si="526"/>
        <v>0</v>
      </c>
      <c r="G2239" s="846">
        <f t="shared" si="526"/>
        <v>0</v>
      </c>
      <c r="H2239" s="846">
        <f t="shared" si="526"/>
        <v>0</v>
      </c>
      <c r="I2239" s="846">
        <f t="shared" si="526"/>
        <v>0</v>
      </c>
      <c r="J2239" s="846">
        <f t="shared" si="526"/>
        <v>0</v>
      </c>
      <c r="K2239" s="846">
        <f t="shared" si="526"/>
        <v>0</v>
      </c>
      <c r="L2239" s="846">
        <f t="shared" si="526"/>
        <v>0</v>
      </c>
      <c r="M2239" s="838">
        <f>SUM(C2239:L2239)</f>
        <v>0</v>
      </c>
    </row>
    <row r="2240" spans="2:15" s="3" customFormat="1" ht="13.2" x14ac:dyDescent="0.25">
      <c r="B2240" s="80" t="str">
        <f>IF('1. INTRO'!I$2="English","Operating","Drift")</f>
        <v>Operating</v>
      </c>
      <c r="C2240" s="189">
        <f>C2136+C2188</f>
        <v>0</v>
      </c>
      <c r="D2240" s="189">
        <f t="shared" ref="D2240:L2240" si="527">D2136+D2188</f>
        <v>0</v>
      </c>
      <c r="E2240" s="189">
        <f t="shared" si="527"/>
        <v>0</v>
      </c>
      <c r="F2240" s="189">
        <f t="shared" si="527"/>
        <v>0</v>
      </c>
      <c r="G2240" s="189">
        <f t="shared" si="527"/>
        <v>0</v>
      </c>
      <c r="H2240" s="189">
        <f t="shared" si="527"/>
        <v>0</v>
      </c>
      <c r="I2240" s="189">
        <f t="shared" si="527"/>
        <v>0</v>
      </c>
      <c r="J2240" s="189">
        <f t="shared" si="527"/>
        <v>0</v>
      </c>
      <c r="K2240" s="189">
        <f t="shared" si="527"/>
        <v>0</v>
      </c>
      <c r="L2240" s="189">
        <f t="shared" si="527"/>
        <v>0</v>
      </c>
      <c r="M2240" s="146">
        <f>SUM(C2240:L2240)</f>
        <v>0</v>
      </c>
    </row>
    <row r="2241" spans="2:13" s="3" customFormat="1" ht="13.2" x14ac:dyDescent="0.25">
      <c r="B2241" s="823" t="str">
        <f>IF('1. INTRO'!I$2="English","Equipment","Utrustning")</f>
        <v>Equipment</v>
      </c>
      <c r="C2241" s="847">
        <f>C2137+C2189</f>
        <v>0</v>
      </c>
      <c r="D2241" s="847">
        <f t="shared" ref="D2241:L2241" si="528">D2137+D2189</f>
        <v>0</v>
      </c>
      <c r="E2241" s="847">
        <f t="shared" si="528"/>
        <v>0</v>
      </c>
      <c r="F2241" s="847">
        <f t="shared" si="528"/>
        <v>0</v>
      </c>
      <c r="G2241" s="847">
        <f t="shared" si="528"/>
        <v>0</v>
      </c>
      <c r="H2241" s="847">
        <f t="shared" si="528"/>
        <v>0</v>
      </c>
      <c r="I2241" s="847">
        <f t="shared" si="528"/>
        <v>0</v>
      </c>
      <c r="J2241" s="847">
        <f t="shared" si="528"/>
        <v>0</v>
      </c>
      <c r="K2241" s="847">
        <f t="shared" si="528"/>
        <v>0</v>
      </c>
      <c r="L2241" s="847">
        <f t="shared" si="528"/>
        <v>0</v>
      </c>
      <c r="M2241" s="840">
        <f>SUM(C2241:L2241)</f>
        <v>0</v>
      </c>
    </row>
    <row r="2242" spans="2:13" s="3" customFormat="1" ht="13.2" x14ac:dyDescent="0.25">
      <c r="B2242" s="80" t="str">
        <f>IF('1. INTRO'!I$2="English","Facility","Lokal")</f>
        <v>Facility</v>
      </c>
      <c r="C2242" s="189">
        <f>C2138+C2190</f>
        <v>0</v>
      </c>
      <c r="D2242" s="189">
        <f t="shared" ref="D2242:L2242" si="529">D2138+D2190</f>
        <v>0</v>
      </c>
      <c r="E2242" s="189">
        <f t="shared" si="529"/>
        <v>0</v>
      </c>
      <c r="F2242" s="189">
        <f t="shared" si="529"/>
        <v>0</v>
      </c>
      <c r="G2242" s="189">
        <f t="shared" si="529"/>
        <v>0</v>
      </c>
      <c r="H2242" s="189">
        <f t="shared" si="529"/>
        <v>0</v>
      </c>
      <c r="I2242" s="189">
        <f t="shared" si="529"/>
        <v>0</v>
      </c>
      <c r="J2242" s="189">
        <f t="shared" si="529"/>
        <v>0</v>
      </c>
      <c r="K2242" s="189">
        <f t="shared" si="529"/>
        <v>0</v>
      </c>
      <c r="L2242" s="189">
        <f t="shared" si="529"/>
        <v>0</v>
      </c>
      <c r="M2242" s="146">
        <f>SUM(C2242:L2242)</f>
        <v>0</v>
      </c>
    </row>
    <row r="2243" spans="2:13" s="3" customFormat="1" ht="13.2" x14ac:dyDescent="0.25">
      <c r="B2243" s="834" t="str">
        <f>IF('1. INTRO'!I$2="English","Indirect","Indirekt")</f>
        <v>Indirect</v>
      </c>
      <c r="C2243" s="848">
        <f>C2139+C2191</f>
        <v>0</v>
      </c>
      <c r="D2243" s="848">
        <f t="shared" ref="D2243:L2243" si="530">D2139+D2191</f>
        <v>0</v>
      </c>
      <c r="E2243" s="848">
        <f t="shared" si="530"/>
        <v>0</v>
      </c>
      <c r="F2243" s="848">
        <f t="shared" si="530"/>
        <v>0</v>
      </c>
      <c r="G2243" s="848">
        <f t="shared" si="530"/>
        <v>0</v>
      </c>
      <c r="H2243" s="848">
        <f t="shared" si="530"/>
        <v>0</v>
      </c>
      <c r="I2243" s="848">
        <f t="shared" si="530"/>
        <v>0</v>
      </c>
      <c r="J2243" s="848">
        <f t="shared" si="530"/>
        <v>0</v>
      </c>
      <c r="K2243" s="848">
        <f t="shared" si="530"/>
        <v>0</v>
      </c>
      <c r="L2243" s="848">
        <f t="shared" si="530"/>
        <v>0</v>
      </c>
      <c r="M2243" s="842">
        <f>SUM(C2243:L2243)</f>
        <v>0</v>
      </c>
    </row>
    <row r="2244" spans="2:13" s="3" customFormat="1" ht="13.2" x14ac:dyDescent="0.25">
      <c r="B2244" s="124" t="s">
        <v>113</v>
      </c>
      <c r="C2244" s="104">
        <f t="shared" ref="C2244:M2244" si="531">SUM(C2239:C2243)</f>
        <v>0</v>
      </c>
      <c r="D2244" s="104">
        <f t="shared" si="531"/>
        <v>0</v>
      </c>
      <c r="E2244" s="104">
        <f t="shared" si="531"/>
        <v>0</v>
      </c>
      <c r="F2244" s="104">
        <f t="shared" si="531"/>
        <v>0</v>
      </c>
      <c r="G2244" s="104">
        <f t="shared" si="531"/>
        <v>0</v>
      </c>
      <c r="H2244" s="104">
        <f t="shared" si="531"/>
        <v>0</v>
      </c>
      <c r="I2244" s="104">
        <f t="shared" si="531"/>
        <v>0</v>
      </c>
      <c r="J2244" s="104">
        <f t="shared" si="531"/>
        <v>0</v>
      </c>
      <c r="K2244" s="104">
        <f t="shared" si="531"/>
        <v>0</v>
      </c>
      <c r="L2244" s="104">
        <f t="shared" si="531"/>
        <v>0</v>
      </c>
      <c r="M2244" s="142">
        <f t="shared" si="531"/>
        <v>0</v>
      </c>
    </row>
    <row r="2245" spans="2:13" s="3" customFormat="1" ht="13.2" x14ac:dyDescent="0.25">
      <c r="B2245" s="124"/>
      <c r="C2245" s="154"/>
      <c r="D2245" s="154"/>
      <c r="E2245" s="154"/>
      <c r="F2245" s="154"/>
      <c r="G2245" s="154"/>
      <c r="H2245" s="154"/>
      <c r="I2245" s="154"/>
      <c r="J2245" s="154"/>
      <c r="K2245" s="154"/>
      <c r="L2245" s="154"/>
      <c r="M2245" s="137"/>
    </row>
    <row r="2246" spans="2:13" ht="12.75" customHeight="1" x14ac:dyDescent="0.25">
      <c r="D2246" s="676" t="str">
        <f>IF('1. INTRO'!I$2="English","Co-funding need in average per year: ","Medfinansieringsbehov i genomsnitt per år: ")</f>
        <v xml:space="preserve">Co-funding need in average per year: </v>
      </c>
      <c r="E2246" s="836" t="str">
        <f>IF(M2236=0,"",M2236/(DATEDIF('2. START'!C$18,'2. START'!C$19,"d")/365))</f>
        <v/>
      </c>
      <c r="H2246" s="676" t="str">
        <f>IF('1. INTRO'!I$2="English","Co-funding need 1/3 of total: ","Medfinansieringsbehov 1/3 av totalt: ")</f>
        <v xml:space="preserve">Co-funding need 1/3 of total: </v>
      </c>
      <c r="I2246" s="836">
        <f>M2236/3</f>
        <v>0</v>
      </c>
      <c r="L2246" s="287" t="str">
        <f>IF('1. INTRO'!I$2="English","Co-funding need total: ","Medfinansieringsbehov totalt: ")</f>
        <v xml:space="preserve">Co-funding need total: </v>
      </c>
      <c r="M2246" s="836">
        <f>M2236</f>
        <v>0</v>
      </c>
    </row>
    <row r="2247" spans="2:13" s="3" customFormat="1" ht="13.2" x14ac:dyDescent="0.25">
      <c r="B2247" s="124"/>
      <c r="C2247" s="154"/>
      <c r="D2247" s="154"/>
      <c r="E2247" s="154"/>
      <c r="F2247" s="154"/>
      <c r="G2247" s="154"/>
      <c r="H2247" s="154"/>
      <c r="I2247" s="154"/>
      <c r="J2247" s="154"/>
      <c r="K2247" s="154"/>
      <c r="L2247" s="154"/>
      <c r="M2247" s="137"/>
    </row>
    <row r="2248" spans="2:13" s="3" customFormat="1" ht="12.75" customHeight="1" x14ac:dyDescent="0.25">
      <c r="B2248" s="313" t="str">
        <f>'3. PARTNER'!C$4</f>
        <v xml:space="preserve">Project: </v>
      </c>
      <c r="C2248" s="1062" t="str">
        <f>'3. PARTNER'!D$4</f>
        <v/>
      </c>
      <c r="D2248" s="1001"/>
      <c r="E2248" s="1001"/>
      <c r="F2248" s="1001"/>
      <c r="G2248" s="1001"/>
      <c r="H2248" s="1001"/>
      <c r="I2248" s="1001"/>
      <c r="J2248" s="1001"/>
      <c r="K2248" s="1001"/>
      <c r="L2248" s="1001"/>
      <c r="M2248" s="1001"/>
    </row>
    <row r="2249" spans="2:13" s="3" customFormat="1" ht="13.2" x14ac:dyDescent="0.25">
      <c r="B2249" s="313" t="str">
        <f>'3. PARTNER'!C$5</f>
        <v xml:space="preserve">Calculation for: </v>
      </c>
      <c r="C2249" s="1062" t="str">
        <f>'3. PARTNER'!D$5</f>
        <v>APPLICATION</v>
      </c>
      <c r="D2249" s="1001"/>
      <c r="E2249" s="268"/>
      <c r="F2249" s="268"/>
      <c r="G2249" s="268"/>
      <c r="H2249" s="268"/>
      <c r="I2249" s="268"/>
      <c r="J2249" s="268"/>
      <c r="K2249" s="268"/>
      <c r="L2249" s="268"/>
      <c r="M2249" s="268"/>
    </row>
    <row r="2250" spans="2:13" s="3" customFormat="1" ht="13.2" x14ac:dyDescent="0.25">
      <c r="B2250" s="35" t="str">
        <f>'3. PARTNER'!C$6</f>
        <v xml:space="preserve">Project leader: </v>
      </c>
      <c r="C2250" s="1062" t="str">
        <f>'3. PARTNER'!D$6</f>
        <v/>
      </c>
      <c r="D2250" s="1001"/>
      <c r="E2250" s="1001"/>
      <c r="F2250" s="1001"/>
      <c r="G2250" s="1001"/>
      <c r="H2250" s="1001"/>
      <c r="I2250" s="1001"/>
      <c r="J2250" s="1001"/>
      <c r="K2250" s="1001"/>
      <c r="L2250" s="1001"/>
      <c r="M2250" s="1001"/>
    </row>
    <row r="2251" spans="2:13" s="3" customFormat="1" ht="13.2" x14ac:dyDescent="0.25">
      <c r="B2251" s="313" t="str">
        <f>'5. PERSON'!B$7</f>
        <v xml:space="preserve">Amounts in: </v>
      </c>
      <c r="C2251" s="655" t="str">
        <f>'5. PERSON'!C$7</f>
        <v>SEK</v>
      </c>
      <c r="D2251" s="268"/>
      <c r="E2251" s="268"/>
      <c r="F2251" s="268"/>
      <c r="G2251" s="234"/>
      <c r="H2251" s="234"/>
      <c r="I2251" s="270"/>
      <c r="J2251" s="270"/>
      <c r="K2251" s="270"/>
      <c r="L2251" s="270"/>
      <c r="M2251" s="270"/>
    </row>
    <row r="2252" spans="2:13" s="3" customFormat="1" ht="13.2" x14ac:dyDescent="0.25">
      <c r="B2252" s="313"/>
      <c r="C2252" s="1053" t="str">
        <f>'3. PARTNER'!D$7</f>
        <v>Other basic data about the project is in sheet 2.</v>
      </c>
      <c r="D2252" s="1001"/>
      <c r="E2252" s="1001"/>
      <c r="F2252" s="1001"/>
      <c r="G2252" s="234"/>
      <c r="H2252" s="234"/>
      <c r="I2252" s="270"/>
      <c r="J2252" s="270"/>
      <c r="K2252" s="270"/>
      <c r="L2252" s="251" t="s">
        <v>4</v>
      </c>
      <c r="M2252" s="270"/>
    </row>
    <row r="2253" spans="2:13" ht="12.75" customHeight="1" x14ac:dyDescent="0.2">
      <c r="L2253" s="252" t="str">
        <f>IF('1. INTRO'!I$2="English","months","månader")</f>
        <v>months</v>
      </c>
    </row>
    <row r="2254" spans="2:13" s="3" customFormat="1" ht="13.8" x14ac:dyDescent="0.25">
      <c r="B2254" s="157" t="str">
        <f>IF('1. INTRO'!I$2="English","Project costs","Projektkostnader")</f>
        <v>Project costs</v>
      </c>
      <c r="C2254" s="157" t="str">
        <f>B58</f>
        <v xml:space="preserve">SLU total </v>
      </c>
      <c r="E2254" s="37"/>
      <c r="G2254" s="37"/>
      <c r="H2254" s="37"/>
      <c r="I2254" s="37"/>
      <c r="J2254" s="37"/>
      <c r="K2254" s="37"/>
      <c r="L2254" s="642">
        <f>L514+L1174+L1834+L2078+L2218</f>
        <v>0</v>
      </c>
      <c r="M2254" s="680" t="s">
        <v>330</v>
      </c>
    </row>
    <row r="2255" spans="2:13" s="3" customFormat="1" ht="6" customHeight="1" x14ac:dyDescent="0.25">
      <c r="B2255" s="57"/>
      <c r="C2255" s="37"/>
      <c r="D2255" s="37"/>
      <c r="E2255" s="37"/>
      <c r="F2255" s="37"/>
      <c r="G2255" s="37"/>
      <c r="H2255" s="37"/>
      <c r="I2255" s="37"/>
      <c r="J2255" s="37"/>
      <c r="K2255" s="37"/>
      <c r="L2255" s="37"/>
      <c r="M2255" s="37"/>
    </row>
    <row r="2256" spans="2:13" s="3" customFormat="1" ht="13.2" x14ac:dyDescent="0.25">
      <c r="B2256" s="110" t="str">
        <f>IF('1. INTRO'!I$2="English","Costs to be covered by funding body","Kostnader att täckas av finansiär")</f>
        <v>Costs to be covered by funding body</v>
      </c>
      <c r="C2256" s="111">
        <f>'5. PERSON'!G$15</f>
        <v>1900</v>
      </c>
      <c r="D2256" s="111" t="str">
        <f>'5. PERSON'!H$15</f>
        <v/>
      </c>
      <c r="E2256" s="111" t="str">
        <f>'5. PERSON'!I$15</f>
        <v/>
      </c>
      <c r="F2256" s="111" t="str">
        <f>'5. PERSON'!J$15</f>
        <v/>
      </c>
      <c r="G2256" s="111" t="str">
        <f>'5. PERSON'!K$15</f>
        <v/>
      </c>
      <c r="H2256" s="111" t="str">
        <f>'5. PERSON'!L$15</f>
        <v/>
      </c>
      <c r="I2256" s="111" t="str">
        <f>'5. PERSON'!M$15</f>
        <v/>
      </c>
      <c r="J2256" s="111" t="str">
        <f>'5. PERSON'!N$15</f>
        <v/>
      </c>
      <c r="K2256" s="111" t="str">
        <f>'5. PERSON'!O$15</f>
        <v/>
      </c>
      <c r="L2256" s="111" t="str">
        <f>'5. PERSON'!P$15</f>
        <v/>
      </c>
      <c r="M2256" s="112" t="s">
        <v>2</v>
      </c>
    </row>
    <row r="2257" spans="2:15" s="3" customFormat="1" ht="12.75" customHeight="1" x14ac:dyDescent="0.25">
      <c r="B2257" s="113" t="str">
        <f>IF('1. INTRO'!I$2="English","Salary including social costs (LKP)","Lön inklusive LKP")</f>
        <v>Salary including social costs (LKP)</v>
      </c>
      <c r="C2257" s="165">
        <f t="shared" ref="C2257:L2257" si="532">C517+C1177+C1837+C2081+C2221</f>
        <v>0</v>
      </c>
      <c r="D2257" s="114">
        <f t="shared" si="532"/>
        <v>0</v>
      </c>
      <c r="E2257" s="163">
        <f t="shared" si="532"/>
        <v>0</v>
      </c>
      <c r="F2257" s="114">
        <f t="shared" si="532"/>
        <v>0</v>
      </c>
      <c r="G2257" s="163">
        <f t="shared" si="532"/>
        <v>0</v>
      </c>
      <c r="H2257" s="114">
        <f t="shared" si="532"/>
        <v>0</v>
      </c>
      <c r="I2257" s="163">
        <f t="shared" si="532"/>
        <v>0</v>
      </c>
      <c r="J2257" s="114">
        <f t="shared" si="532"/>
        <v>0</v>
      </c>
      <c r="K2257" s="163">
        <f t="shared" si="532"/>
        <v>0</v>
      </c>
      <c r="L2257" s="114">
        <f t="shared" si="532"/>
        <v>0</v>
      </c>
      <c r="M2257" s="145">
        <f t="shared" ref="M2257:M2262" si="533">SUM(C2257:L2257)</f>
        <v>0</v>
      </c>
      <c r="O2257" s="4"/>
    </row>
    <row r="2258" spans="2:15" s="3" customFormat="1" ht="12.75" customHeight="1" x14ac:dyDescent="0.25">
      <c r="B2258" s="80" t="str">
        <f>IF('1. INTRO'!I$2="English","Operating","Drift")</f>
        <v>Operating</v>
      </c>
      <c r="C2258" s="171">
        <f t="shared" ref="C2258:L2258" si="534">C518+C1178+C1838+C2082+C2222</f>
        <v>0</v>
      </c>
      <c r="D2258" s="116">
        <f t="shared" si="534"/>
        <v>0</v>
      </c>
      <c r="E2258" s="109">
        <f t="shared" si="534"/>
        <v>0</v>
      </c>
      <c r="F2258" s="116">
        <f t="shared" si="534"/>
        <v>0</v>
      </c>
      <c r="G2258" s="109">
        <f t="shared" si="534"/>
        <v>0</v>
      </c>
      <c r="H2258" s="116">
        <f t="shared" si="534"/>
        <v>0</v>
      </c>
      <c r="I2258" s="109">
        <f t="shared" si="534"/>
        <v>0</v>
      </c>
      <c r="J2258" s="116">
        <f t="shared" si="534"/>
        <v>0</v>
      </c>
      <c r="K2258" s="109">
        <f t="shared" si="534"/>
        <v>0</v>
      </c>
      <c r="L2258" s="116">
        <f t="shared" si="534"/>
        <v>0</v>
      </c>
      <c r="M2258" s="146">
        <f t="shared" si="533"/>
        <v>0</v>
      </c>
    </row>
    <row r="2259" spans="2:15" s="3" customFormat="1" ht="13.2" x14ac:dyDescent="0.25">
      <c r="B2259" s="118" t="str">
        <f>IF('1. INTRO'!I$2="English","Equipment","Utrustning")</f>
        <v>Equipment</v>
      </c>
      <c r="C2259" s="166">
        <f t="shared" ref="C2259:L2259" si="535">C519+C1179+C1839+C2083+C2223</f>
        <v>0</v>
      </c>
      <c r="D2259" s="119">
        <f t="shared" si="535"/>
        <v>0</v>
      </c>
      <c r="E2259" s="162">
        <f t="shared" si="535"/>
        <v>0</v>
      </c>
      <c r="F2259" s="119">
        <f t="shared" si="535"/>
        <v>0</v>
      </c>
      <c r="G2259" s="162">
        <f t="shared" si="535"/>
        <v>0</v>
      </c>
      <c r="H2259" s="119">
        <f t="shared" si="535"/>
        <v>0</v>
      </c>
      <c r="I2259" s="162">
        <f t="shared" si="535"/>
        <v>0</v>
      </c>
      <c r="J2259" s="119">
        <f t="shared" si="535"/>
        <v>0</v>
      </c>
      <c r="K2259" s="162">
        <f t="shared" si="535"/>
        <v>0</v>
      </c>
      <c r="L2259" s="119">
        <f t="shared" si="535"/>
        <v>0</v>
      </c>
      <c r="M2259" s="147">
        <f t="shared" si="533"/>
        <v>0</v>
      </c>
    </row>
    <row r="2260" spans="2:15" s="3" customFormat="1" ht="13.2" x14ac:dyDescent="0.25">
      <c r="B2260" s="121" t="str">
        <f>IF('1. INTRO'!I$2="English",(IF('2. START'!C$11="NO","Facility accepted as direct cost by funding body","Facility")),IF('2. START'!C$11="NO","Lokal accepterad som direkt kostnad av finansiär","Lokal"))</f>
        <v>Facility</v>
      </c>
      <c r="C2260" s="171">
        <f t="shared" ref="C2260:L2260" si="536">C520+C1180+C1840+C2084+C2224</f>
        <v>0</v>
      </c>
      <c r="D2260" s="116">
        <f t="shared" si="536"/>
        <v>0</v>
      </c>
      <c r="E2260" s="109">
        <f t="shared" si="536"/>
        <v>0</v>
      </c>
      <c r="F2260" s="116">
        <f t="shared" si="536"/>
        <v>0</v>
      </c>
      <c r="G2260" s="109">
        <f t="shared" si="536"/>
        <v>0</v>
      </c>
      <c r="H2260" s="116">
        <f t="shared" si="536"/>
        <v>0</v>
      </c>
      <c r="I2260" s="109">
        <f t="shared" si="536"/>
        <v>0</v>
      </c>
      <c r="J2260" s="116">
        <f t="shared" si="536"/>
        <v>0</v>
      </c>
      <c r="K2260" s="109">
        <f t="shared" si="536"/>
        <v>0</v>
      </c>
      <c r="L2260" s="116">
        <f t="shared" si="536"/>
        <v>0</v>
      </c>
      <c r="M2260" s="146">
        <f t="shared" si="533"/>
        <v>0</v>
      </c>
    </row>
    <row r="2261" spans="2:15" s="3" customFormat="1" ht="13.2" x14ac:dyDescent="0.25">
      <c r="B2261" s="122" t="str">
        <f>IF('1. INTRO'!I$2="English",(IF('2. START'!C$11="NO","Indirect and facility charge accepted as OH by funding body","Indirect")),IF('2. START'!C$11="NO","Indirekt och lokalpåslag accepterade som OH av finansiär","Indirekt"))</f>
        <v>Indirect</v>
      </c>
      <c r="C2261" s="170">
        <f t="shared" ref="C2261:L2261" si="537">C521+C1181+C1841+C2085+C2225</f>
        <v>0</v>
      </c>
      <c r="D2261" s="107">
        <f t="shared" si="537"/>
        <v>0</v>
      </c>
      <c r="E2261" s="164">
        <f t="shared" si="537"/>
        <v>0</v>
      </c>
      <c r="F2261" s="107">
        <f t="shared" si="537"/>
        <v>0</v>
      </c>
      <c r="G2261" s="164">
        <f t="shared" si="537"/>
        <v>0</v>
      </c>
      <c r="H2261" s="107">
        <f t="shared" si="537"/>
        <v>0</v>
      </c>
      <c r="I2261" s="164">
        <f t="shared" si="537"/>
        <v>0</v>
      </c>
      <c r="J2261" s="107">
        <f t="shared" si="537"/>
        <v>0</v>
      </c>
      <c r="K2261" s="164">
        <f t="shared" si="537"/>
        <v>0</v>
      </c>
      <c r="L2261" s="107">
        <f t="shared" si="537"/>
        <v>0</v>
      </c>
      <c r="M2261" s="148">
        <f t="shared" si="533"/>
        <v>0</v>
      </c>
    </row>
    <row r="2262" spans="2:15" s="3" customFormat="1" ht="13.2" x14ac:dyDescent="0.25">
      <c r="B2262" s="124" t="s">
        <v>113</v>
      </c>
      <c r="C2262" s="161">
        <f>SUM(C2257:C2261)</f>
        <v>0</v>
      </c>
      <c r="D2262" s="161">
        <f t="shared" ref="D2262:L2262" si="538">SUM(D2257:D2261)</f>
        <v>0</v>
      </c>
      <c r="E2262" s="161">
        <f t="shared" si="538"/>
        <v>0</v>
      </c>
      <c r="F2262" s="161">
        <f t="shared" si="538"/>
        <v>0</v>
      </c>
      <c r="G2262" s="161">
        <f t="shared" si="538"/>
        <v>0</v>
      </c>
      <c r="H2262" s="161">
        <f t="shared" si="538"/>
        <v>0</v>
      </c>
      <c r="I2262" s="161">
        <f t="shared" si="538"/>
        <v>0</v>
      </c>
      <c r="J2262" s="161">
        <f t="shared" si="538"/>
        <v>0</v>
      </c>
      <c r="K2262" s="161">
        <f t="shared" si="538"/>
        <v>0</v>
      </c>
      <c r="L2262" s="161">
        <f t="shared" si="538"/>
        <v>0</v>
      </c>
      <c r="M2262" s="125">
        <f t="shared" si="533"/>
        <v>0</v>
      </c>
    </row>
    <row r="2263" spans="2:15" s="3" customFormat="1" ht="6" customHeight="1" x14ac:dyDescent="0.25">
      <c r="B2263" s="126"/>
      <c r="C2263" s="127"/>
      <c r="D2263" s="127"/>
      <c r="E2263" s="127"/>
      <c r="F2263" s="127"/>
      <c r="G2263" s="127"/>
      <c r="H2263" s="127"/>
      <c r="I2263" s="127"/>
      <c r="J2263" s="127"/>
      <c r="K2263" s="127"/>
      <c r="L2263" s="127"/>
      <c r="M2263" s="128"/>
    </row>
    <row r="2264" spans="2:15" s="3" customFormat="1" ht="13.2" x14ac:dyDescent="0.25">
      <c r="B2264" s="129" t="str">
        <f>IF('1. INTRO'!I$2="English","Costs to be co-funded","Kostnader att medfinansiera")</f>
        <v>Costs to be co-funded</v>
      </c>
      <c r="C2264" s="86"/>
      <c r="D2264" s="86"/>
      <c r="E2264" s="86"/>
      <c r="F2264" s="86"/>
      <c r="G2264" s="86"/>
      <c r="H2264" s="86"/>
      <c r="I2264" s="86"/>
      <c r="J2264" s="86"/>
      <c r="K2264" s="86"/>
      <c r="L2264" s="86"/>
      <c r="M2264" s="130"/>
    </row>
    <row r="2265" spans="2:15" s="3" customFormat="1" ht="13.2" x14ac:dyDescent="0.25">
      <c r="B2265" s="159" t="str">
        <f>IF('1. INTRO'!I$2="English",(IF('2. START'!C$11="NO","Indirect and facility charge not accepted as OH by funding body","")),IF('2. START'!C$11="NO","Indirekt och lokalpåslag inte accepterade som OH av finansiär",""))</f>
        <v/>
      </c>
      <c r="C2265" s="173">
        <f t="shared" ref="C2265:L2265" si="539">C525+C1185+C1845+C2089+C2229</f>
        <v>0</v>
      </c>
      <c r="D2265" s="173">
        <f t="shared" si="539"/>
        <v>0</v>
      </c>
      <c r="E2265" s="173">
        <f t="shared" si="539"/>
        <v>0</v>
      </c>
      <c r="F2265" s="173">
        <f t="shared" si="539"/>
        <v>0</v>
      </c>
      <c r="G2265" s="173">
        <f t="shared" si="539"/>
        <v>0</v>
      </c>
      <c r="H2265" s="173">
        <f t="shared" si="539"/>
        <v>0</v>
      </c>
      <c r="I2265" s="173">
        <f t="shared" si="539"/>
        <v>0</v>
      </c>
      <c r="J2265" s="173">
        <f t="shared" si="539"/>
        <v>0</v>
      </c>
      <c r="K2265" s="173">
        <f t="shared" si="539"/>
        <v>0</v>
      </c>
      <c r="L2265" s="173">
        <f t="shared" si="539"/>
        <v>0</v>
      </c>
      <c r="M2265" s="145">
        <f t="shared" ref="M2265:M2271" si="540">SUM(C2265:L2265)</f>
        <v>0</v>
      </c>
    </row>
    <row r="2266" spans="2:15" s="3" customFormat="1" ht="12.75" customHeight="1" x14ac:dyDescent="0.25">
      <c r="B2266" s="132" t="str">
        <f>IF('1. INTRO'!I$2="English",(IF('2. START'!C$14&gt;0,"Social costs (LKP) not accepted by funding body","")),IF('2. START'!C$14&gt;0,"LKP som inte accepteras av finansiär",""))</f>
        <v/>
      </c>
      <c r="C2266" s="192">
        <f t="shared" ref="C2266:L2266" si="541">C526+C1186+C1846+C2090+C2230</f>
        <v>0</v>
      </c>
      <c r="D2266" s="181">
        <f t="shared" si="541"/>
        <v>0</v>
      </c>
      <c r="E2266" s="182">
        <f t="shared" si="541"/>
        <v>0</v>
      </c>
      <c r="F2266" s="181">
        <f t="shared" si="541"/>
        <v>0</v>
      </c>
      <c r="G2266" s="182">
        <f t="shared" si="541"/>
        <v>0</v>
      </c>
      <c r="H2266" s="181">
        <f t="shared" si="541"/>
        <v>0</v>
      </c>
      <c r="I2266" s="182">
        <f t="shared" si="541"/>
        <v>0</v>
      </c>
      <c r="J2266" s="181">
        <f t="shared" si="541"/>
        <v>0</v>
      </c>
      <c r="K2266" s="182">
        <f t="shared" si="541"/>
        <v>0</v>
      </c>
      <c r="L2266" s="181">
        <f t="shared" si="541"/>
        <v>0</v>
      </c>
      <c r="M2266" s="146">
        <f t="shared" si="540"/>
        <v>0</v>
      </c>
    </row>
    <row r="2267" spans="2:15" s="3" customFormat="1" ht="12.75" customHeight="1" x14ac:dyDescent="0.25">
      <c r="B2267" s="118" t="str">
        <f>IF('1. INTRO'!I$2="English",(IF('5. PERSON'!BP$193&gt;0,"Salary including social costs (LKP)","")),IF('5. PERSON'!BP$193&gt;0,"Lön inklusive LKP",""))</f>
        <v/>
      </c>
      <c r="C2267" s="175">
        <f t="shared" ref="C2267:L2267" si="542">C527+C1187+C1847+C2091+C2231</f>
        <v>0</v>
      </c>
      <c r="D2267" s="179">
        <f t="shared" si="542"/>
        <v>0</v>
      </c>
      <c r="E2267" s="172">
        <f t="shared" si="542"/>
        <v>0</v>
      </c>
      <c r="F2267" s="179">
        <f t="shared" si="542"/>
        <v>0</v>
      </c>
      <c r="G2267" s="172">
        <f t="shared" si="542"/>
        <v>0</v>
      </c>
      <c r="H2267" s="179">
        <f t="shared" si="542"/>
        <v>0</v>
      </c>
      <c r="I2267" s="172">
        <f t="shared" si="542"/>
        <v>0</v>
      </c>
      <c r="J2267" s="179">
        <f t="shared" si="542"/>
        <v>0</v>
      </c>
      <c r="K2267" s="172">
        <f t="shared" si="542"/>
        <v>0</v>
      </c>
      <c r="L2267" s="179">
        <f t="shared" si="542"/>
        <v>0</v>
      </c>
      <c r="M2267" s="147">
        <f t="shared" si="540"/>
        <v>0</v>
      </c>
    </row>
    <row r="2268" spans="2:15" s="3" customFormat="1" ht="13.2" x14ac:dyDescent="0.25">
      <c r="B2268" s="80" t="str">
        <f>IF('1. INTRO'!I$2="English",(IF('6. OPERATION'!AS$150&gt;0,"Operating","")),IF('6. OPERATION'!AS$150&gt;0,"Drift",""))</f>
        <v/>
      </c>
      <c r="C2268" s="192">
        <f t="shared" ref="C2268:L2268" si="543">C528+C1188+C1848+C2092+C2232</f>
        <v>0</v>
      </c>
      <c r="D2268" s="181">
        <f t="shared" si="543"/>
        <v>0</v>
      </c>
      <c r="E2268" s="182">
        <f t="shared" si="543"/>
        <v>0</v>
      </c>
      <c r="F2268" s="181">
        <f t="shared" si="543"/>
        <v>0</v>
      </c>
      <c r="G2268" s="182">
        <f t="shared" si="543"/>
        <v>0</v>
      </c>
      <c r="H2268" s="181">
        <f t="shared" si="543"/>
        <v>0</v>
      </c>
      <c r="I2268" s="182">
        <f t="shared" si="543"/>
        <v>0</v>
      </c>
      <c r="J2268" s="181">
        <f t="shared" si="543"/>
        <v>0</v>
      </c>
      <c r="K2268" s="182">
        <f t="shared" si="543"/>
        <v>0</v>
      </c>
      <c r="L2268" s="181">
        <f t="shared" si="543"/>
        <v>0</v>
      </c>
      <c r="M2268" s="146">
        <f t="shared" si="540"/>
        <v>0</v>
      </c>
    </row>
    <row r="2269" spans="2:15" s="3" customFormat="1" ht="13.2" x14ac:dyDescent="0.25">
      <c r="B2269" s="118" t="str">
        <f>IF('1. INTRO'!I$2="English",(IF('7. INVEST'!AS$50&gt;0,"Equipment","")),IF('7. INVEST'!AS$50&gt;0,"Utrustning",""))</f>
        <v/>
      </c>
      <c r="C2269" s="175">
        <f t="shared" ref="C2269:L2269" si="544">C529+C1189+C1849+C2093+C2233</f>
        <v>0</v>
      </c>
      <c r="D2269" s="179">
        <f t="shared" si="544"/>
        <v>0</v>
      </c>
      <c r="E2269" s="172">
        <f t="shared" si="544"/>
        <v>0</v>
      </c>
      <c r="F2269" s="179">
        <f t="shared" si="544"/>
        <v>0</v>
      </c>
      <c r="G2269" s="172">
        <f t="shared" si="544"/>
        <v>0</v>
      </c>
      <c r="H2269" s="179">
        <f t="shared" si="544"/>
        <v>0</v>
      </c>
      <c r="I2269" s="172">
        <f t="shared" si="544"/>
        <v>0</v>
      </c>
      <c r="J2269" s="179">
        <f t="shared" si="544"/>
        <v>0</v>
      </c>
      <c r="K2269" s="172">
        <f t="shared" si="544"/>
        <v>0</v>
      </c>
      <c r="L2269" s="179">
        <f t="shared" si="544"/>
        <v>0</v>
      </c>
      <c r="M2269" s="147">
        <f t="shared" si="540"/>
        <v>0</v>
      </c>
    </row>
    <row r="2270" spans="2:15" s="3" customFormat="1" ht="13.2" x14ac:dyDescent="0.25">
      <c r="B2270" s="121" t="str">
        <f>IF('1. INTRO'!I$2="English",(IF('8. FACILIT'!AP$51&gt;0,"Facility","")),IF('8. FACILIT'!AP$51&gt;0,"Lokal",""))</f>
        <v/>
      </c>
      <c r="C2270" s="192">
        <f t="shared" ref="C2270:L2270" si="545">C530+C1190+C1850+C2094+C2234</f>
        <v>0</v>
      </c>
      <c r="D2270" s="181">
        <f t="shared" si="545"/>
        <v>0</v>
      </c>
      <c r="E2270" s="182">
        <f t="shared" si="545"/>
        <v>0</v>
      </c>
      <c r="F2270" s="181">
        <f t="shared" si="545"/>
        <v>0</v>
      </c>
      <c r="G2270" s="182">
        <f t="shared" si="545"/>
        <v>0</v>
      </c>
      <c r="H2270" s="181">
        <f t="shared" si="545"/>
        <v>0</v>
      </c>
      <c r="I2270" s="182">
        <f t="shared" si="545"/>
        <v>0</v>
      </c>
      <c r="J2270" s="181">
        <f t="shared" si="545"/>
        <v>0</v>
      </c>
      <c r="K2270" s="182">
        <f t="shared" si="545"/>
        <v>0</v>
      </c>
      <c r="L2270" s="181">
        <f t="shared" si="545"/>
        <v>0</v>
      </c>
      <c r="M2270" s="146">
        <f t="shared" si="540"/>
        <v>0</v>
      </c>
    </row>
    <row r="2271" spans="2:15" s="1" customFormat="1" ht="13.2" x14ac:dyDescent="0.25">
      <c r="B2271" s="122" t="str">
        <f>IF('1. INTRO'!I$2="English",(IF(('5. PERSON'!CN$193+'6. OPERATION'!BQ$150)&gt;0,"Indirect","")),IF(('5. PERSON'!CN$193+'6. OPERATION'!BQ$150)&gt;0,"Indirekt",""))</f>
        <v/>
      </c>
      <c r="C2271" s="176">
        <f t="shared" ref="C2271:L2271" si="546">C531+C1191+C1851+C2095+C2235</f>
        <v>0</v>
      </c>
      <c r="D2271" s="180">
        <f t="shared" si="546"/>
        <v>0</v>
      </c>
      <c r="E2271" s="177">
        <f t="shared" si="546"/>
        <v>0</v>
      </c>
      <c r="F2271" s="180">
        <f t="shared" si="546"/>
        <v>0</v>
      </c>
      <c r="G2271" s="177">
        <f t="shared" si="546"/>
        <v>0</v>
      </c>
      <c r="H2271" s="180">
        <f t="shared" si="546"/>
        <v>0</v>
      </c>
      <c r="I2271" s="177">
        <f t="shared" si="546"/>
        <v>0</v>
      </c>
      <c r="J2271" s="180">
        <f t="shared" si="546"/>
        <v>0</v>
      </c>
      <c r="K2271" s="177">
        <f t="shared" si="546"/>
        <v>0</v>
      </c>
      <c r="L2271" s="180">
        <f t="shared" si="546"/>
        <v>0</v>
      </c>
      <c r="M2271" s="148">
        <f t="shared" si="540"/>
        <v>0</v>
      </c>
    </row>
    <row r="2272" spans="2:15" s="3" customFormat="1" ht="13.2" x14ac:dyDescent="0.25">
      <c r="B2272" s="124" t="s">
        <v>113</v>
      </c>
      <c r="C2272" s="161">
        <f>SUM(C2265:C2271)</f>
        <v>0</v>
      </c>
      <c r="D2272" s="161">
        <f t="shared" ref="D2272:M2272" si="547">SUM(D2265:D2271)</f>
        <v>0</v>
      </c>
      <c r="E2272" s="161">
        <f t="shared" si="547"/>
        <v>0</v>
      </c>
      <c r="F2272" s="161">
        <f t="shared" si="547"/>
        <v>0</v>
      </c>
      <c r="G2272" s="161">
        <f t="shared" si="547"/>
        <v>0</v>
      </c>
      <c r="H2272" s="161">
        <f t="shared" si="547"/>
        <v>0</v>
      </c>
      <c r="I2272" s="161">
        <f t="shared" si="547"/>
        <v>0</v>
      </c>
      <c r="J2272" s="161">
        <f t="shared" si="547"/>
        <v>0</v>
      </c>
      <c r="K2272" s="161">
        <f t="shared" si="547"/>
        <v>0</v>
      </c>
      <c r="L2272" s="161">
        <f t="shared" si="547"/>
        <v>0</v>
      </c>
      <c r="M2272" s="125">
        <f t="shared" si="547"/>
        <v>0</v>
      </c>
      <c r="N2272" s="23"/>
      <c r="O2272" s="23"/>
    </row>
    <row r="2273" spans="2:13" s="3" customFormat="1" ht="6" customHeight="1" x14ac:dyDescent="0.25">
      <c r="B2273" s="136"/>
      <c r="C2273" s="127"/>
      <c r="D2273" s="127"/>
      <c r="E2273" s="127"/>
      <c r="F2273" s="127"/>
      <c r="G2273" s="127"/>
      <c r="H2273" s="127"/>
      <c r="I2273" s="127"/>
      <c r="J2273" s="127"/>
      <c r="K2273" s="127"/>
      <c r="L2273" s="127"/>
      <c r="M2273" s="137"/>
    </row>
    <row r="2274" spans="2:13" s="3" customFormat="1" ht="13.2" x14ac:dyDescent="0.25">
      <c r="B2274" s="129" t="str">
        <f>IF('1. INTRO'!I$2="English","Full cost","Full kostnad")</f>
        <v>Full cost</v>
      </c>
      <c r="C2274" s="127"/>
      <c r="D2274" s="127"/>
      <c r="E2274" s="127"/>
      <c r="F2274" s="127"/>
      <c r="G2274" s="127"/>
      <c r="H2274" s="127"/>
      <c r="I2274" s="127"/>
      <c r="J2274" s="127"/>
      <c r="K2274" s="127"/>
      <c r="L2274" s="127"/>
      <c r="M2274" s="137"/>
    </row>
    <row r="2275" spans="2:13" s="3" customFormat="1" ht="13.2" x14ac:dyDescent="0.25">
      <c r="B2275" s="113" t="str">
        <f>IF('1. INTRO'!I$2="English","Salary including social costs (LKP)","Lön inklusive LKP")</f>
        <v>Salary including social costs (LKP)</v>
      </c>
      <c r="C2275" s="184">
        <f t="shared" ref="C2275:L2275" si="548">C535+C1195+C1855+C2099+C2239</f>
        <v>0</v>
      </c>
      <c r="D2275" s="138">
        <f t="shared" si="548"/>
        <v>0</v>
      </c>
      <c r="E2275" s="185">
        <f t="shared" si="548"/>
        <v>0</v>
      </c>
      <c r="F2275" s="138">
        <f t="shared" si="548"/>
        <v>0</v>
      </c>
      <c r="G2275" s="185">
        <f t="shared" si="548"/>
        <v>0</v>
      </c>
      <c r="H2275" s="138">
        <f t="shared" si="548"/>
        <v>0</v>
      </c>
      <c r="I2275" s="185">
        <f t="shared" si="548"/>
        <v>0</v>
      </c>
      <c r="J2275" s="138">
        <f t="shared" si="548"/>
        <v>0</v>
      </c>
      <c r="K2275" s="185">
        <f t="shared" si="548"/>
        <v>0</v>
      </c>
      <c r="L2275" s="138">
        <f t="shared" si="548"/>
        <v>0</v>
      </c>
      <c r="M2275" s="145">
        <f>SUM(C2275:L2275)</f>
        <v>0</v>
      </c>
    </row>
    <row r="2276" spans="2:13" s="3" customFormat="1" ht="13.2" x14ac:dyDescent="0.25">
      <c r="B2276" s="80" t="str">
        <f>IF('1. INTRO'!I$2="English","Operating","Drift")</f>
        <v>Operating</v>
      </c>
      <c r="C2276" s="189">
        <f t="shared" ref="C2276:L2276" si="549">C536+C1196+C1856+C2100+C2240</f>
        <v>0</v>
      </c>
      <c r="D2276" s="190">
        <f t="shared" si="549"/>
        <v>0</v>
      </c>
      <c r="E2276" s="191">
        <f t="shared" si="549"/>
        <v>0</v>
      </c>
      <c r="F2276" s="190">
        <f t="shared" si="549"/>
        <v>0</v>
      </c>
      <c r="G2276" s="191">
        <f t="shared" si="549"/>
        <v>0</v>
      </c>
      <c r="H2276" s="190">
        <f t="shared" si="549"/>
        <v>0</v>
      </c>
      <c r="I2276" s="191">
        <f t="shared" si="549"/>
        <v>0</v>
      </c>
      <c r="J2276" s="190">
        <f t="shared" si="549"/>
        <v>0</v>
      </c>
      <c r="K2276" s="191">
        <f t="shared" si="549"/>
        <v>0</v>
      </c>
      <c r="L2276" s="190">
        <f t="shared" si="549"/>
        <v>0</v>
      </c>
      <c r="M2276" s="146">
        <f>SUM(C2276:L2276)</f>
        <v>0</v>
      </c>
    </row>
    <row r="2277" spans="2:13" s="3" customFormat="1" ht="13.2" x14ac:dyDescent="0.25">
      <c r="B2277" s="118" t="str">
        <f>IF('1. INTRO'!I$2="English","Equipment","Utrustning")</f>
        <v>Equipment</v>
      </c>
      <c r="C2277" s="186">
        <f t="shared" ref="C2277:L2277" si="550">C537+C1197+C1857+C2101+C2241</f>
        <v>0</v>
      </c>
      <c r="D2277" s="140">
        <f t="shared" si="550"/>
        <v>0</v>
      </c>
      <c r="E2277" s="183">
        <f t="shared" si="550"/>
        <v>0</v>
      </c>
      <c r="F2277" s="140">
        <f t="shared" si="550"/>
        <v>0</v>
      </c>
      <c r="G2277" s="183">
        <f t="shared" si="550"/>
        <v>0</v>
      </c>
      <c r="H2277" s="140">
        <f t="shared" si="550"/>
        <v>0</v>
      </c>
      <c r="I2277" s="183">
        <f t="shared" si="550"/>
        <v>0</v>
      </c>
      <c r="J2277" s="140">
        <f t="shared" si="550"/>
        <v>0</v>
      </c>
      <c r="K2277" s="183">
        <f t="shared" si="550"/>
        <v>0</v>
      </c>
      <c r="L2277" s="140">
        <f t="shared" si="550"/>
        <v>0</v>
      </c>
      <c r="M2277" s="147">
        <f>SUM(C2277:L2277)</f>
        <v>0</v>
      </c>
    </row>
    <row r="2278" spans="2:13" s="3" customFormat="1" ht="13.2" x14ac:dyDescent="0.25">
      <c r="B2278" s="80" t="str">
        <f>IF('1. INTRO'!I$2="English","Facility","Lokal")</f>
        <v>Facility</v>
      </c>
      <c r="C2278" s="189">
        <f t="shared" ref="C2278:L2278" si="551">C538+C1198+C1858+C2102+C2242</f>
        <v>0</v>
      </c>
      <c r="D2278" s="190">
        <f t="shared" si="551"/>
        <v>0</v>
      </c>
      <c r="E2278" s="191">
        <f t="shared" si="551"/>
        <v>0</v>
      </c>
      <c r="F2278" s="190">
        <f t="shared" si="551"/>
        <v>0</v>
      </c>
      <c r="G2278" s="191">
        <f t="shared" si="551"/>
        <v>0</v>
      </c>
      <c r="H2278" s="190">
        <f t="shared" si="551"/>
        <v>0</v>
      </c>
      <c r="I2278" s="191">
        <f t="shared" si="551"/>
        <v>0</v>
      </c>
      <c r="J2278" s="190">
        <f t="shared" si="551"/>
        <v>0</v>
      </c>
      <c r="K2278" s="191">
        <f t="shared" si="551"/>
        <v>0</v>
      </c>
      <c r="L2278" s="190">
        <f t="shared" si="551"/>
        <v>0</v>
      </c>
      <c r="M2278" s="146">
        <f>SUM(C2278:L2278)</f>
        <v>0</v>
      </c>
    </row>
    <row r="2279" spans="2:13" s="3" customFormat="1" ht="13.2" x14ac:dyDescent="0.25">
      <c r="B2279" s="601" t="str">
        <f>IF('1. INTRO'!I$2="English","Indirect","Indirekt")</f>
        <v>Indirect</v>
      </c>
      <c r="C2279" s="187">
        <f t="shared" ref="C2279:L2279" si="552">C539+C1199+C1859+C2103+C2243</f>
        <v>0</v>
      </c>
      <c r="D2279" s="141">
        <f t="shared" si="552"/>
        <v>0</v>
      </c>
      <c r="E2279" s="188">
        <f t="shared" si="552"/>
        <v>0</v>
      </c>
      <c r="F2279" s="141">
        <f t="shared" si="552"/>
        <v>0</v>
      </c>
      <c r="G2279" s="188">
        <f t="shared" si="552"/>
        <v>0</v>
      </c>
      <c r="H2279" s="141">
        <f t="shared" si="552"/>
        <v>0</v>
      </c>
      <c r="I2279" s="188">
        <f t="shared" si="552"/>
        <v>0</v>
      </c>
      <c r="J2279" s="141">
        <f t="shared" si="552"/>
        <v>0</v>
      </c>
      <c r="K2279" s="188">
        <f t="shared" si="552"/>
        <v>0</v>
      </c>
      <c r="L2279" s="141">
        <f t="shared" si="552"/>
        <v>0</v>
      </c>
      <c r="M2279" s="148">
        <f>SUM(C2279:L2279)</f>
        <v>0</v>
      </c>
    </row>
    <row r="2280" spans="2:13" s="3" customFormat="1" ht="13.2" x14ac:dyDescent="0.25">
      <c r="B2280" s="124" t="s">
        <v>113</v>
      </c>
      <c r="C2280" s="104">
        <f t="shared" ref="C2280:M2280" si="553">SUM(C2275:C2279)</f>
        <v>0</v>
      </c>
      <c r="D2280" s="104">
        <f t="shared" si="553"/>
        <v>0</v>
      </c>
      <c r="E2280" s="104">
        <f t="shared" si="553"/>
        <v>0</v>
      </c>
      <c r="F2280" s="104">
        <f t="shared" si="553"/>
        <v>0</v>
      </c>
      <c r="G2280" s="104">
        <f t="shared" si="553"/>
        <v>0</v>
      </c>
      <c r="H2280" s="104">
        <f t="shared" si="553"/>
        <v>0</v>
      </c>
      <c r="I2280" s="104">
        <f t="shared" si="553"/>
        <v>0</v>
      </c>
      <c r="J2280" s="104">
        <f t="shared" si="553"/>
        <v>0</v>
      </c>
      <c r="K2280" s="104">
        <f t="shared" si="553"/>
        <v>0</v>
      </c>
      <c r="L2280" s="104">
        <f t="shared" si="553"/>
        <v>0</v>
      </c>
      <c r="M2280" s="142">
        <f t="shared" si="553"/>
        <v>0</v>
      </c>
    </row>
    <row r="2281" spans="2:13" s="3" customFormat="1" ht="13.2" x14ac:dyDescent="0.25">
      <c r="B2281" s="124"/>
      <c r="C2281" s="154"/>
      <c r="D2281" s="154"/>
      <c r="E2281" s="154"/>
      <c r="F2281" s="154"/>
      <c r="G2281" s="154"/>
      <c r="H2281" s="154"/>
      <c r="I2281" s="154"/>
      <c r="J2281" s="154"/>
      <c r="K2281" s="154"/>
      <c r="L2281" s="154"/>
      <c r="M2281" s="137"/>
    </row>
    <row r="2282" spans="2:13" ht="12.75" customHeight="1" x14ac:dyDescent="0.25">
      <c r="D2282" s="676" t="str">
        <f>IF('1. INTRO'!I$2="English","Co-funding need in average per year: ","Medfinansieringsbehov i genomsnitt per år: ")</f>
        <v xml:space="preserve">Co-funding need in average per year: </v>
      </c>
      <c r="E2282" s="92" t="str">
        <f>IF(M2272=0,"",M2272/(DATEDIF('2. START'!C$18,'2. START'!C$19,"d")/365))</f>
        <v/>
      </c>
      <c r="H2282" s="676" t="str">
        <f>IF('1. INTRO'!I$2="English","Co-funding need 1/3 of total: ","Medfinansieringsbehov 1/3 av totalt: ")</f>
        <v xml:space="preserve">Co-funding need 1/3 of total: </v>
      </c>
      <c r="I2282" s="92">
        <f>M2272/3</f>
        <v>0</v>
      </c>
      <c r="L2282" s="287" t="str">
        <f>IF('1. INTRO'!I$2="English","Co-funding need total: ","Medfinansieringsbehov totalt: ")</f>
        <v xml:space="preserve">Co-funding need total: </v>
      </c>
      <c r="M2282" s="92">
        <f>M2272</f>
        <v>0</v>
      </c>
    </row>
    <row r="2283" spans="2:13" ht="12.75" customHeight="1" x14ac:dyDescent="0.2"/>
    <row r="2284" spans="2:13" s="3" customFormat="1" ht="12.75" customHeight="1" x14ac:dyDescent="0.25">
      <c r="B2284" s="313" t="str">
        <f>'3. PARTNER'!C$4</f>
        <v xml:space="preserve">Project: </v>
      </c>
      <c r="C2284" s="1062" t="str">
        <f>'3. PARTNER'!D$4</f>
        <v/>
      </c>
      <c r="D2284" s="1001"/>
      <c r="E2284" s="1001"/>
      <c r="F2284" s="1001"/>
      <c r="G2284" s="1001"/>
      <c r="H2284" s="1001"/>
      <c r="I2284" s="1001"/>
      <c r="J2284" s="1001"/>
      <c r="K2284" s="1001"/>
      <c r="L2284" s="1001"/>
      <c r="M2284" s="1001"/>
    </row>
    <row r="2285" spans="2:13" s="3" customFormat="1" ht="13.2" x14ac:dyDescent="0.25">
      <c r="B2285" s="313" t="str">
        <f>'3. PARTNER'!C$5</f>
        <v xml:space="preserve">Calculation for: </v>
      </c>
      <c r="C2285" s="1062" t="str">
        <f>'3. PARTNER'!D$5</f>
        <v>APPLICATION</v>
      </c>
      <c r="D2285" s="1001"/>
      <c r="E2285" s="268"/>
      <c r="F2285" s="268"/>
      <c r="G2285" s="268"/>
      <c r="H2285" s="268"/>
      <c r="I2285" s="268"/>
      <c r="J2285" s="268"/>
      <c r="K2285" s="268"/>
      <c r="L2285" s="268"/>
      <c r="M2285" s="268"/>
    </row>
    <row r="2286" spans="2:13" s="3" customFormat="1" ht="13.2" x14ac:dyDescent="0.25">
      <c r="B2286" s="35" t="str">
        <f>'3. PARTNER'!C$6</f>
        <v xml:space="preserve">Project leader: </v>
      </c>
      <c r="C2286" s="1062" t="str">
        <f>'3. PARTNER'!D$6</f>
        <v/>
      </c>
      <c r="D2286" s="1001"/>
      <c r="E2286" s="1001"/>
      <c r="F2286" s="1001"/>
      <c r="G2286" s="1001"/>
      <c r="H2286" s="1001"/>
      <c r="I2286" s="1001"/>
      <c r="J2286" s="1001"/>
      <c r="K2286" s="1001"/>
      <c r="L2286" s="1001"/>
      <c r="M2286" s="1001"/>
    </row>
    <row r="2287" spans="2:13" s="3" customFormat="1" ht="13.2" x14ac:dyDescent="0.25">
      <c r="B2287" s="313" t="str">
        <f>'5. PERSON'!B$7</f>
        <v xml:space="preserve">Amounts in: </v>
      </c>
      <c r="C2287" s="655" t="str">
        <f>'5. PERSON'!C$7</f>
        <v>SEK</v>
      </c>
      <c r="D2287" s="268"/>
      <c r="E2287" s="268"/>
      <c r="F2287" s="268"/>
      <c r="G2287" s="234"/>
      <c r="H2287" s="234"/>
      <c r="I2287" s="270"/>
      <c r="J2287" s="270"/>
      <c r="K2287" s="270"/>
      <c r="L2287" s="270"/>
      <c r="M2287" s="270"/>
    </row>
    <row r="2288" spans="2:13" s="3" customFormat="1" ht="13.2" x14ac:dyDescent="0.25">
      <c r="B2288" s="313"/>
      <c r="C2288" s="1053" t="str">
        <f>'3. PARTNER'!D$7</f>
        <v>Other basic data about the project is in sheet 2.</v>
      </c>
      <c r="D2288" s="1001"/>
      <c r="E2288" s="1001"/>
      <c r="F2288" s="1001"/>
      <c r="G2288" s="234"/>
      <c r="H2288" s="234"/>
      <c r="I2288" s="270"/>
      <c r="J2288" s="270"/>
      <c r="K2288" s="270"/>
      <c r="L2288" s="251" t="s">
        <v>4</v>
      </c>
      <c r="M2288" s="270"/>
    </row>
    <row r="2289" spans="2:15" ht="12.75" customHeight="1" x14ac:dyDescent="0.2">
      <c r="L2289" s="252" t="str">
        <f>IF('1. INTRO'!I$2="English","months","månader")</f>
        <v>months</v>
      </c>
    </row>
    <row r="2290" spans="2:15" s="3" customFormat="1" ht="13.8" x14ac:dyDescent="0.25">
      <c r="B2290" s="157" t="str">
        <f>IF('1. INTRO'!I$2="English","Project costs","Projektkostnader")</f>
        <v>Project costs</v>
      </c>
      <c r="C2290" s="668" t="str">
        <f>A59</f>
        <v>EXT101</v>
      </c>
      <c r="D2290" s="1227" t="str">
        <f>B59</f>
        <v/>
      </c>
      <c r="E2290" s="1004"/>
      <c r="F2290" s="1004"/>
      <c r="G2290" s="1004"/>
      <c r="H2290" s="1004"/>
      <c r="I2290" s="37"/>
      <c r="J2290" s="37"/>
      <c r="K2290" s="37"/>
      <c r="L2290" s="642">
        <f>SUMIF('5. PERSON'!$B$17:$B$192,$C2290,'5. PERSON'!AE$17:AE$192)</f>
        <v>0</v>
      </c>
      <c r="M2290" s="680" t="s">
        <v>330</v>
      </c>
    </row>
    <row r="2291" spans="2:15" s="3" customFormat="1" ht="6" customHeight="1" x14ac:dyDescent="0.25">
      <c r="B2291" s="57"/>
      <c r="C2291" s="37"/>
      <c r="D2291" s="37"/>
      <c r="E2291" s="37"/>
      <c r="F2291" s="37"/>
      <c r="G2291" s="37"/>
      <c r="H2291" s="37"/>
      <c r="I2291" s="37"/>
      <c r="J2291" s="37"/>
      <c r="K2291" s="37"/>
      <c r="L2291" s="37"/>
      <c r="M2291" s="37"/>
    </row>
    <row r="2292" spans="2:15" s="3" customFormat="1" ht="13.2" x14ac:dyDescent="0.25">
      <c r="B2292" s="110" t="str">
        <f>IF('1. INTRO'!I$2="English","Costs to be covered by funding body","Kostnader att täckas av finansiär")</f>
        <v>Costs to be covered by funding body</v>
      </c>
      <c r="C2292" s="111">
        <f>'5. PERSON'!G$15</f>
        <v>1900</v>
      </c>
      <c r="D2292" s="111" t="str">
        <f>'5. PERSON'!H$15</f>
        <v/>
      </c>
      <c r="E2292" s="111" t="str">
        <f>'5. PERSON'!I$15</f>
        <v/>
      </c>
      <c r="F2292" s="111" t="str">
        <f>'5. PERSON'!J$15</f>
        <v/>
      </c>
      <c r="G2292" s="111" t="str">
        <f>'5. PERSON'!K$15</f>
        <v/>
      </c>
      <c r="H2292" s="111" t="str">
        <f>'5. PERSON'!L$15</f>
        <v/>
      </c>
      <c r="I2292" s="111" t="str">
        <f>'5. PERSON'!M$15</f>
        <v/>
      </c>
      <c r="J2292" s="111" t="str">
        <f>'5. PERSON'!N$15</f>
        <v/>
      </c>
      <c r="K2292" s="111" t="str">
        <f>'5. PERSON'!O$15</f>
        <v/>
      </c>
      <c r="L2292" s="111" t="str">
        <f>'5. PERSON'!P$15</f>
        <v/>
      </c>
      <c r="M2292" s="112" t="s">
        <v>2</v>
      </c>
    </row>
    <row r="2293" spans="2:15" s="3" customFormat="1" ht="12.75" customHeight="1" x14ac:dyDescent="0.25">
      <c r="B2293" s="113" t="str">
        <f>IF('1. INTRO'!I$2="English","Salary including social costs (LKP)","Lön inklusive LKP")</f>
        <v>Salary including social costs (LKP)</v>
      </c>
      <c r="C2293" s="114">
        <f>IF('2. START'!$C$14&gt;0,SUMIF('5. PERSON'!$B$17:$B$192,$C2290,'5. PERSON'!DN$17:DN$192),SUMIF('5. PERSON'!$B$17:$B$192,$C2290,'5. PERSON'!AT$17:AT$192))</f>
        <v>0</v>
      </c>
      <c r="D2293" s="114">
        <f>IF('2. START'!$C$14&gt;0,SUMIF('5. PERSON'!$B$17:$B$192,$C2290,'5. PERSON'!DO$17:DO$192),SUMIF('5. PERSON'!$B$17:$B$192,$C2290,'5. PERSON'!AU$17:AU$192))</f>
        <v>0</v>
      </c>
      <c r="E2293" s="114">
        <f>IF('2. START'!$C$14&gt;0,SUMIF('5. PERSON'!$B$17:$B$192,$C2290,'5. PERSON'!DP$17:DP$192),SUMIF('5. PERSON'!$B$17:$B$192,$C2290,'5. PERSON'!AV$17:AV$192))</f>
        <v>0</v>
      </c>
      <c r="F2293" s="114">
        <f>IF('2. START'!$C$14&gt;0,SUMIF('5. PERSON'!$B$17:$B$192,$C2290,'5. PERSON'!DQ$17:DQ$192),SUMIF('5. PERSON'!$B$17:$B$192,$C2290,'5. PERSON'!AW$17:AW$192))</f>
        <v>0</v>
      </c>
      <c r="G2293" s="114">
        <f>IF('2. START'!$C$14&gt;0,SUMIF('5. PERSON'!$B$17:$B$192,$C2290,'5. PERSON'!DR$17:DR$192),SUMIF('5. PERSON'!$B$17:$B$192,$C2290,'5. PERSON'!AX$17:AX$192))</f>
        <v>0</v>
      </c>
      <c r="H2293" s="114">
        <f>IF('2. START'!$C$14&gt;0,SUMIF('5. PERSON'!$B$17:$B$192,$C2290,'5. PERSON'!DS$17:DS$192),SUMIF('5. PERSON'!$B$17:$B$192,$C2290,'5. PERSON'!AY$17:AY$192))</f>
        <v>0</v>
      </c>
      <c r="I2293" s="114">
        <f>IF('2. START'!$C$14&gt;0,SUMIF('5. PERSON'!$B$17:$B$192,$C2290,'5. PERSON'!DT$17:DT$192),SUMIF('5. PERSON'!$B$17:$B$192,$C2290,'5. PERSON'!AZ$17:AZ$192))</f>
        <v>0</v>
      </c>
      <c r="J2293" s="114">
        <f>IF('2. START'!$C$14&gt;0,SUMIF('5. PERSON'!$B$17:$B$192,$C2290,'5. PERSON'!DU$17:DU$192),SUMIF('5. PERSON'!$B$17:$B$192,$C2290,'5. PERSON'!BA$17:BA$192))</f>
        <v>0</v>
      </c>
      <c r="K2293" s="114">
        <f>IF('2. START'!$C$14&gt;0,SUMIF('5. PERSON'!$B$17:$B$192,$C2290,'5. PERSON'!DV$17:DV$192),SUMIF('5. PERSON'!$B$17:$B$192,$C2290,'5. PERSON'!BB$17:BB$192))</f>
        <v>0</v>
      </c>
      <c r="L2293" s="114">
        <f>IF('2. START'!$C$14&gt;0,SUMIF('5. PERSON'!$B$17:$B$192,$C2290,'5. PERSON'!DW$17:DW$192),SUMIF('5. PERSON'!$B$17:$B$192,$C2290,'5. PERSON'!BC$17:BC$192))</f>
        <v>0</v>
      </c>
      <c r="M2293" s="115">
        <f t="shared" ref="M2293:M2298" si="554">SUM(C2293:L2293)</f>
        <v>0</v>
      </c>
      <c r="O2293" s="4"/>
    </row>
    <row r="2294" spans="2:15" s="3" customFormat="1" ht="12.75" customHeight="1" x14ac:dyDescent="0.25">
      <c r="B2294" s="80" t="str">
        <f>IF('1. INTRO'!I$2="English","Operating","Drift")</f>
        <v>Operating</v>
      </c>
      <c r="C2294" s="116">
        <f>SUMIF('6. OPERATION'!$B$17:$B$149,$C2290,'6. OPERATION'!W$17:W$149)</f>
        <v>0</v>
      </c>
      <c r="D2294" s="116">
        <f>SUMIF('6. OPERATION'!$B$17:$B$149,$C2290,'6. OPERATION'!X$17:X$149)</f>
        <v>0</v>
      </c>
      <c r="E2294" s="116">
        <f>SUMIF('6. OPERATION'!$B$17:$B$149,$C2290,'6. OPERATION'!Y$17:Y$149)</f>
        <v>0</v>
      </c>
      <c r="F2294" s="116">
        <f>SUMIF('6. OPERATION'!$B$17:$B$149,$C2290,'6. OPERATION'!Z$17:Z$149)</f>
        <v>0</v>
      </c>
      <c r="G2294" s="116">
        <f>SUMIF('6. OPERATION'!$B$17:$B$149,$C2290,'6. OPERATION'!AA$17:AA$149)</f>
        <v>0</v>
      </c>
      <c r="H2294" s="116">
        <f>SUMIF('6. OPERATION'!$B$17:$B$149,$C2290,'6. OPERATION'!AB$17:AB$149)</f>
        <v>0</v>
      </c>
      <c r="I2294" s="116">
        <f>SUMIF('6. OPERATION'!$B$17:$B$149,$C2290,'6. OPERATION'!AC$17:AC$149)</f>
        <v>0</v>
      </c>
      <c r="J2294" s="116">
        <f>SUMIF('6. OPERATION'!$B$17:$B$149,$C2290,'6. OPERATION'!AD$17:AD$149)</f>
        <v>0</v>
      </c>
      <c r="K2294" s="116">
        <f>SUMIF('6. OPERATION'!$B$17:$B$149,$C2290,'6. OPERATION'!AE$17:AE$149)</f>
        <v>0</v>
      </c>
      <c r="L2294" s="116">
        <f>SUMIF('6. OPERATION'!$B$17:$B$149,$C2290,'6. OPERATION'!AF$17:AF$149)</f>
        <v>0</v>
      </c>
      <c r="M2294" s="117">
        <f t="shared" si="554"/>
        <v>0</v>
      </c>
    </row>
    <row r="2295" spans="2:15" s="3" customFormat="1" ht="13.2" x14ac:dyDescent="0.25">
      <c r="B2295" s="118" t="str">
        <f>IF('1. INTRO'!I$2="English","Equipment","Utrustning")</f>
        <v>Equipment</v>
      </c>
      <c r="C2295" s="119">
        <f>SUMIF('7. INVEST'!$B$17:$B$49,$C2290,'7. INVEST'!W$17:W$49)</f>
        <v>0</v>
      </c>
      <c r="D2295" s="119">
        <f>SUMIF('7. INVEST'!$B$17:$B$49,$C2290,'7. INVEST'!X$17:X$49)</f>
        <v>0</v>
      </c>
      <c r="E2295" s="119">
        <f>SUMIF('7. INVEST'!$B$17:$B$49,$C2290,'7. INVEST'!Y$17:Y$49)</f>
        <v>0</v>
      </c>
      <c r="F2295" s="119">
        <f>SUMIF('7. INVEST'!$B$17:$B$49,$C2290,'7. INVEST'!Z$17:Z$49)</f>
        <v>0</v>
      </c>
      <c r="G2295" s="119">
        <f>SUMIF('7. INVEST'!$B$17:$B$49,$C2290,'7. INVEST'!AA$17:AA$49)</f>
        <v>0</v>
      </c>
      <c r="H2295" s="119">
        <f>SUMIF('7. INVEST'!$B$17:$B$49,$C2290,'7. INVEST'!AB$17:AB$49)</f>
        <v>0</v>
      </c>
      <c r="I2295" s="119">
        <f>SUMIF('7. INVEST'!$B$17:$B$49,$C2290,'7. INVEST'!AC$17:AC$49)</f>
        <v>0</v>
      </c>
      <c r="J2295" s="119">
        <f>SUMIF('7. INVEST'!$B$17:$B$49,$C2290,'7. INVEST'!AD$17:AD$49)</f>
        <v>0</v>
      </c>
      <c r="K2295" s="119">
        <f>SUMIF('7. INVEST'!$B$17:$B$49,$C2290,'7. INVEST'!AE$17:AE$49)</f>
        <v>0</v>
      </c>
      <c r="L2295" s="119">
        <f>SUMIF('7. INVEST'!$B$17:$B$49,$C2290,'7. INVEST'!AF$17:AF$49)</f>
        <v>0</v>
      </c>
      <c r="M2295" s="120">
        <f t="shared" si="554"/>
        <v>0</v>
      </c>
    </row>
    <row r="2296" spans="2:15" s="3" customFormat="1" ht="13.2" x14ac:dyDescent="0.25">
      <c r="B2296" s="121" t="str">
        <f>IF('1. INTRO'!I$2="English",(IF('2. START'!C$11="NO","Facility accepted as direct cost by funding body","Facility")),IF('2. START'!C$11="NO","Lokal accepterad som direkt kostnad av finansiär","Lokal"))</f>
        <v>Facility</v>
      </c>
      <c r="C2296" s="116">
        <f>IF('2. START'!$C$11="NO",SUMIF('8. FACILIT'!$B$18:$B$50,$C2290,'8. FACILIT'!T$18:T$50),SUMIF('5. PERSON'!$B$17:$B$192,$C2290,'5. PERSON'!CP$17:CP$192)+SUMIF('6. OPERATION'!$B$17:$B$149,$C2290,'6. OPERATION'!BS$17:BS$149)+SUMIF('8. FACILIT'!$B$18:$B$50,$C2290,'8. FACILIT'!T$18:T$50))</f>
        <v>0</v>
      </c>
      <c r="D2296" s="116">
        <f>IF('2. START'!$C$11="NO",SUMIF('8. FACILIT'!$B$18:$B$50,$C2290,'8. FACILIT'!U$18:U$50),SUMIF('5. PERSON'!$B$17:$B$192,$C2290,'5. PERSON'!CQ$17:CQ$192)+SUMIF('6. OPERATION'!$B$17:$B$149,$C2290,'6. OPERATION'!BT$17:BT$149)+SUMIF('8. FACILIT'!$B$18:$B$50,$C2290,'8. FACILIT'!U$18:U$50))</f>
        <v>0</v>
      </c>
      <c r="E2296" s="116">
        <f>IF('2. START'!$C$11="NO",SUMIF('8. FACILIT'!$B$18:$B$50,$C2290,'8. FACILIT'!V$18:V$50),SUMIF('5. PERSON'!$B$17:$B$192,$C2290,'5. PERSON'!CR$17:CR$192)+SUMIF('6. OPERATION'!$B$17:$B$149,$C2290,'6. OPERATION'!BU$17:BU$149)+SUMIF('8. FACILIT'!$B$18:$B$50,$C2290,'8. FACILIT'!V$18:V$50))</f>
        <v>0</v>
      </c>
      <c r="F2296" s="116">
        <f>IF('2. START'!$C$11="NO",SUMIF('8. FACILIT'!$B$18:$B$50,$C2290,'8. FACILIT'!W$18:W$50),SUMIF('5. PERSON'!$B$17:$B$192,$C2290,'5. PERSON'!CS$17:CS$192)+SUMIF('6. OPERATION'!$B$17:$B$149,$C2290,'6. OPERATION'!BV$17:BV$149)+SUMIF('8. FACILIT'!$B$18:$B$50,$C2290,'8. FACILIT'!W$18:W$50))</f>
        <v>0</v>
      </c>
      <c r="G2296" s="116">
        <f>IF('2. START'!$C$11="NO",SUMIF('8. FACILIT'!$B$18:$B$50,$C2290,'8. FACILIT'!X$18:X$50),SUMIF('5. PERSON'!$B$17:$B$192,$C2290,'5. PERSON'!CT$17:CT$192)+SUMIF('6. OPERATION'!$B$17:$B$149,$C2290,'6. OPERATION'!BW$17:BW$149)+SUMIF('8. FACILIT'!$B$18:$B$50,$C2290,'8. FACILIT'!X$18:X$50))</f>
        <v>0</v>
      </c>
      <c r="H2296" s="116">
        <f>IF('2. START'!$C$11="NO",SUMIF('8. FACILIT'!$B$18:$B$50,$C2290,'8. FACILIT'!Y$18:Y$50),SUMIF('5. PERSON'!$B$17:$B$192,$C2290,'5. PERSON'!CU$17:CU$192)+SUMIF('6. OPERATION'!$B$17:$B$149,$C2290,'6. OPERATION'!BX$17:BX$149)+SUMIF('8. FACILIT'!$B$18:$B$50,$C2290,'8. FACILIT'!Y$18:Y$50))</f>
        <v>0</v>
      </c>
      <c r="I2296" s="116">
        <f>IF('2. START'!$C$11="NO",SUMIF('8. FACILIT'!$B$18:$B$50,$C2290,'8. FACILIT'!Z$18:Z$50),SUMIF('5. PERSON'!$B$17:$B$192,$C2290,'5. PERSON'!CV$17:CV$192)+SUMIF('6. OPERATION'!$B$17:$B$149,$C2290,'6. OPERATION'!BY$17:BY$149)+SUMIF('8. FACILIT'!$B$18:$B$50,$C2290,'8. FACILIT'!Z$18:Z$50))</f>
        <v>0</v>
      </c>
      <c r="J2296" s="116">
        <f>IF('2. START'!$C$11="NO",SUMIF('8. FACILIT'!$B$18:$B$50,$C2290,'8. FACILIT'!AA$18:AA$50),SUMIF('5. PERSON'!$B$17:$B$192,$C2290,'5. PERSON'!CW$17:CW$192)+SUMIF('6. OPERATION'!$B$17:$B$149,$C2290,'6. OPERATION'!BZ$17:BZ$149)+SUMIF('8. FACILIT'!$B$18:$B$50,$C2290,'8. FACILIT'!AA$18:AA$50))</f>
        <v>0</v>
      </c>
      <c r="K2296" s="116">
        <f>IF('2. START'!$C$11="NO",SUMIF('8. FACILIT'!$B$18:$B$50,$C2290,'8. FACILIT'!AB$18:AB$50),SUMIF('5. PERSON'!$B$17:$B$192,$C2290,'5. PERSON'!CX$17:CX$192)+SUMIF('6. OPERATION'!$B$17:$B$149,$C2290,'6. OPERATION'!CA$17:CA$149)+SUMIF('8. FACILIT'!$B$18:$B$50,$C2290,'8. FACILIT'!AB$18:AB$50))</f>
        <v>0</v>
      </c>
      <c r="L2296" s="116">
        <f>IF('2. START'!$C$11="NO",SUMIF('8. FACILIT'!$B$18:$B$50,$C2290,'8. FACILIT'!AC$18:AC$50),SUMIF('5. PERSON'!$B$17:$B$192,$C2290,'5. PERSON'!CY$17:CY$192)+SUMIF('6. OPERATION'!$B$17:$B$149,$C2290,'6. OPERATION'!CB$17:CB$149)+SUMIF('8. FACILIT'!$B$18:$B$50,$C2290,'8. FACILIT'!AC$18:AC$50))</f>
        <v>0</v>
      </c>
      <c r="M2296" s="117">
        <f t="shared" si="554"/>
        <v>0</v>
      </c>
    </row>
    <row r="2297" spans="2:15" s="3" customFormat="1" ht="13.2" x14ac:dyDescent="0.25">
      <c r="B2297" s="122" t="str">
        <f>IF('1. INTRO'!I$2="English",(IF('2. START'!C$11="NO","Indirect and facility charge accepted as OH by funding body","Indirect")),IF('2. START'!C$11="NO","Indirekt och lokalpåslag accepterade som OH av finansiär","Indirekt"))</f>
        <v>Indirect</v>
      </c>
      <c r="C2297" s="107">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0</v>
      </c>
      <c r="D2297" s="107">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0</v>
      </c>
      <c r="E2297" s="107">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0</v>
      </c>
      <c r="F2297" s="107">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0</v>
      </c>
      <c r="G2297" s="107">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0</v>
      </c>
      <c r="H2297" s="107">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107">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107">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107">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107">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120">
        <f t="shared" si="554"/>
        <v>0</v>
      </c>
    </row>
    <row r="2298" spans="2:15" s="3" customFormat="1" ht="13.2" x14ac:dyDescent="0.25">
      <c r="B2298" s="124" t="s">
        <v>113</v>
      </c>
      <c r="C2298" s="102">
        <f>SUM(C2293:C2297)</f>
        <v>0</v>
      </c>
      <c r="D2298" s="102">
        <f t="shared" ref="D2298:L2298" si="555">SUM(D2293:D2297)</f>
        <v>0</v>
      </c>
      <c r="E2298" s="102">
        <f t="shared" si="555"/>
        <v>0</v>
      </c>
      <c r="F2298" s="102">
        <f t="shared" si="555"/>
        <v>0</v>
      </c>
      <c r="G2298" s="102">
        <f t="shared" si="555"/>
        <v>0</v>
      </c>
      <c r="H2298" s="102">
        <f t="shared" si="555"/>
        <v>0</v>
      </c>
      <c r="I2298" s="102">
        <f t="shared" si="555"/>
        <v>0</v>
      </c>
      <c r="J2298" s="102">
        <f t="shared" si="555"/>
        <v>0</v>
      </c>
      <c r="K2298" s="102">
        <f t="shared" si="555"/>
        <v>0</v>
      </c>
      <c r="L2298" s="102">
        <f t="shared" si="555"/>
        <v>0</v>
      </c>
      <c r="M2298" s="125">
        <f t="shared" si="554"/>
        <v>0</v>
      </c>
    </row>
    <row r="2299" spans="2:15" s="3" customFormat="1" ht="6" customHeight="1" x14ac:dyDescent="0.25">
      <c r="B2299" s="126"/>
      <c r="C2299" s="127"/>
      <c r="D2299" s="127"/>
      <c r="E2299" s="127"/>
      <c r="F2299" s="127"/>
      <c r="G2299" s="127"/>
      <c r="H2299" s="127"/>
      <c r="I2299" s="127"/>
      <c r="J2299" s="127"/>
      <c r="K2299" s="127"/>
      <c r="L2299" s="127"/>
      <c r="M2299" s="128"/>
    </row>
    <row r="2300" spans="2:15" s="3" customFormat="1" ht="13.2" x14ac:dyDescent="0.25">
      <c r="B2300" s="129" t="str">
        <f>IF('1. INTRO'!I$2="English","Costs to be co-funded","Kostnader att medfinansiera")</f>
        <v>Costs to be co-funded</v>
      </c>
      <c r="C2300" s="86"/>
      <c r="D2300" s="86"/>
      <c r="E2300" s="86"/>
      <c r="F2300" s="86"/>
      <c r="G2300" s="86"/>
      <c r="H2300" s="86"/>
      <c r="I2300" s="86"/>
      <c r="J2300" s="86"/>
      <c r="K2300" s="86"/>
      <c r="L2300" s="86"/>
      <c r="M2300" s="130"/>
    </row>
    <row r="2301" spans="2:15" s="3" customFormat="1" ht="13.2" x14ac:dyDescent="0.25">
      <c r="B2301" s="159" t="str">
        <f>IF('1. INTRO'!I$2="English",(IF('2. START'!C$11="NO","Indirect and facility charge not accepted as OH by funding body","")),IF('2. START'!C$11="NO","Indirekt och lokalpåslag inte accepterade som OH av finansiär",""))</f>
        <v/>
      </c>
      <c r="C2301" s="131">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0</v>
      </c>
      <c r="D2301" s="131">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0</v>
      </c>
      <c r="E2301" s="131">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0</v>
      </c>
      <c r="F2301" s="131">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0</v>
      </c>
      <c r="G2301" s="131">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0</v>
      </c>
      <c r="H2301" s="131">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31">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31">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31">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31">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115">
        <f t="shared" ref="M2301:M2307" si="556">SUM(C2301:L2301)</f>
        <v>0</v>
      </c>
    </row>
    <row r="2302" spans="2:15" s="3" customFormat="1" ht="12.75" customHeight="1" x14ac:dyDescent="0.25">
      <c r="B2302" s="132" t="str">
        <f>IF('1. INTRO'!I$2="English",(IF('2. START'!C$14&gt;0,"Social costs (LKP) not accepted by funding body","")),IF('2. START'!C$14&gt;0,"LKP som inte accepteras av finansiär",""))</f>
        <v/>
      </c>
      <c r="C2302" s="133">
        <f>IF('2. START'!$C$14&gt;0,SUMIF('5. PERSON'!$B$17:$B$192,$C2290,'5. PERSON'!AT$17:AT$192)-SUMIF('5. PERSON'!$B$17:$B$192,$C2290,'5. PERSON'!DN$17:DN$192),0)</f>
        <v>0</v>
      </c>
      <c r="D2302" s="133">
        <f>IF('2. START'!$C$14&gt;0,SUMIF('5. PERSON'!$B$17:$B$192,$C2290,'5. PERSON'!AU$17:AU$192)-SUMIF('5. PERSON'!$B$17:$B$192,$C2290,'5. PERSON'!DO$17:DO$192),0)</f>
        <v>0</v>
      </c>
      <c r="E2302" s="133">
        <f>IF('2. START'!$C$14&gt;0,SUMIF('5. PERSON'!$B$17:$B$192,$C2290,'5. PERSON'!AV$17:AV$192)-SUMIF('5. PERSON'!$B$17:$B$192,$C2290,'5. PERSON'!DP$17:DP$192),0)</f>
        <v>0</v>
      </c>
      <c r="F2302" s="133">
        <f>IF('2. START'!$C$14&gt;0,SUMIF('5. PERSON'!$B$17:$B$192,$C2290,'5. PERSON'!AW$17:AW$192)-SUMIF('5. PERSON'!$B$17:$B$192,$C2290,'5. PERSON'!DQ$17:DQ$192),0)</f>
        <v>0</v>
      </c>
      <c r="G2302" s="133">
        <f>IF('2. START'!$C$14&gt;0,SUMIF('5. PERSON'!$B$17:$B$192,$C2290,'5. PERSON'!AX$17:AX$192)-SUMIF('5. PERSON'!$B$17:$B$192,$C2290,'5. PERSON'!DR$17:DR$192),0)</f>
        <v>0</v>
      </c>
      <c r="H2302" s="133">
        <f>IF('2. START'!$C$14&gt;0,SUMIF('5. PERSON'!$B$17:$B$192,$C2290,'5. PERSON'!AY$17:AY$192)-SUMIF('5. PERSON'!$B$17:$B$192,$C2290,'5. PERSON'!DS$17:DS$192),0)</f>
        <v>0</v>
      </c>
      <c r="I2302" s="133">
        <f>IF('2. START'!$C$14&gt;0,SUMIF('5. PERSON'!$B$17:$B$192,$C2290,'5. PERSON'!AZ$17:AZ$192)-SUMIF('5. PERSON'!$B$17:$B$192,$C2290,'5. PERSON'!DT$17:DT$192),0)</f>
        <v>0</v>
      </c>
      <c r="J2302" s="133">
        <f>IF('2. START'!$C$14&gt;0,SUMIF('5. PERSON'!$B$17:$B$192,$C2290,'5. PERSON'!BA$17:BA$192)-SUMIF('5. PERSON'!$B$17:$B$192,$C2290,'5. PERSON'!DU$17:DU$192),0)</f>
        <v>0</v>
      </c>
      <c r="K2302" s="133">
        <f>IF('2. START'!$C$14&gt;0,SUMIF('5. PERSON'!$B$17:$B$192,$C2290,'5. PERSON'!BB$17:BB$192)-SUMIF('5. PERSON'!$B$17:$B$192,$C2290,'5. PERSON'!DV$17:DV$192),0)</f>
        <v>0</v>
      </c>
      <c r="L2302" s="133">
        <f>IF('2. START'!$C$14&gt;0,SUMIF('5. PERSON'!$B$17:$B$192,$C2290,'5. PERSON'!BC$17:BC$192)-SUMIF('5. PERSON'!$B$17:$B$192,$C2290,'5. PERSON'!DW$17:DW$192),0)</f>
        <v>0</v>
      </c>
      <c r="M2302" s="117">
        <f t="shared" si="556"/>
        <v>0</v>
      </c>
    </row>
    <row r="2303" spans="2:15" s="3" customFormat="1" ht="12.75" customHeight="1" x14ac:dyDescent="0.25">
      <c r="B2303" s="118" t="str">
        <f>IF('1. INTRO'!I$2="English",(IF('5. PERSON'!BP$193&gt;0,"Salary including social costs (LKP)","")),IF('5. PERSON'!BP$193&gt;0,"Lön inklusive LKP",""))</f>
        <v/>
      </c>
      <c r="C2303" s="134">
        <f>SUMIF('5. PERSON'!$B$17:$B$192,$C2290,'5. PERSON'!BF$17:BF$192)</f>
        <v>0</v>
      </c>
      <c r="D2303" s="134">
        <f>SUMIF('5. PERSON'!$B$17:$B$192,$C2290,'5. PERSON'!BG$17:BG$192)</f>
        <v>0</v>
      </c>
      <c r="E2303" s="134">
        <f>SUMIF('5. PERSON'!$B$17:$B$192,$C2290,'5. PERSON'!BH$17:BH$192)</f>
        <v>0</v>
      </c>
      <c r="F2303" s="134">
        <f>SUMIF('5. PERSON'!$B$17:$B$192,$C2290,'5. PERSON'!BI$17:BI$192)</f>
        <v>0</v>
      </c>
      <c r="G2303" s="134">
        <f>SUMIF('5. PERSON'!$B$17:$B$192,$C2290,'5. PERSON'!BJ$17:BJ$192)</f>
        <v>0</v>
      </c>
      <c r="H2303" s="134">
        <f>SUMIF('5. PERSON'!$B$17:$B$192,$C2290,'5. PERSON'!BK$17:BK$192)</f>
        <v>0</v>
      </c>
      <c r="I2303" s="134">
        <f>SUMIF('5. PERSON'!$B$17:$B$192,$C2290,'5. PERSON'!BL$17:BL$192)</f>
        <v>0</v>
      </c>
      <c r="J2303" s="134">
        <f>SUMIF('5. PERSON'!$B$17:$B$192,$C2290,'5. PERSON'!BM$17:BM$192)</f>
        <v>0</v>
      </c>
      <c r="K2303" s="134">
        <f>SUMIF('5. PERSON'!$B$17:$B$192,$C2290,'5. PERSON'!BN$17:BN$192)</f>
        <v>0</v>
      </c>
      <c r="L2303" s="134">
        <f>SUMIF('5. PERSON'!$B$17:$B$192,$C2290,'5. PERSON'!BO$17:BO$192)</f>
        <v>0</v>
      </c>
      <c r="M2303" s="120">
        <f t="shared" si="556"/>
        <v>0</v>
      </c>
    </row>
    <row r="2304" spans="2:15" s="3" customFormat="1" ht="13.2" x14ac:dyDescent="0.25">
      <c r="B2304" s="80" t="str">
        <f>IF('1. INTRO'!I$2="English",(IF('6. OPERATION'!AS$150&gt;0,"Operating","")),IF('6. OPERATION'!AS$150&gt;0,"Drift",""))</f>
        <v/>
      </c>
      <c r="C2304" s="135">
        <f>SUMIF('6. OPERATION'!$B$17:$B$149,$C2290,'6. OPERATION'!AI$17:AI$149)</f>
        <v>0</v>
      </c>
      <c r="D2304" s="135">
        <f>SUMIF('6. OPERATION'!$B$17:$B$149,$C2290,'6. OPERATION'!AJ$17:AJ$149)</f>
        <v>0</v>
      </c>
      <c r="E2304" s="135">
        <f>SUMIF('6. OPERATION'!$B$17:$B$149,$C2290,'6. OPERATION'!AK$17:AK$149)</f>
        <v>0</v>
      </c>
      <c r="F2304" s="135">
        <f>SUMIF('6. OPERATION'!$B$17:$B$149,$C2290,'6. OPERATION'!AL$17:AL$149)</f>
        <v>0</v>
      </c>
      <c r="G2304" s="135">
        <f>SUMIF('6. OPERATION'!$B$17:$B$149,$C2290,'6. OPERATION'!AM$17:AM$149)</f>
        <v>0</v>
      </c>
      <c r="H2304" s="135">
        <f>SUMIF('6. OPERATION'!$B$17:$B$149,$C2290,'6. OPERATION'!AN$17:AN$149)</f>
        <v>0</v>
      </c>
      <c r="I2304" s="135">
        <f>SUMIF('6. OPERATION'!$B$17:$B$149,$C2290,'6. OPERATION'!AO$17:AO$149)</f>
        <v>0</v>
      </c>
      <c r="J2304" s="135">
        <f>SUMIF('6. OPERATION'!$B$17:$B$149,$C2290,'6. OPERATION'!AP$17:AP$149)</f>
        <v>0</v>
      </c>
      <c r="K2304" s="135">
        <f>SUMIF('6. OPERATION'!$B$17:$B$149,$C2290,'6. OPERATION'!AQ$17:AQ$149)</f>
        <v>0</v>
      </c>
      <c r="L2304" s="135">
        <f>SUMIF('6. OPERATION'!$B$17:$B$149,$C2290,'6. OPERATION'!AR$17:AR$149)</f>
        <v>0</v>
      </c>
      <c r="M2304" s="117">
        <f t="shared" si="556"/>
        <v>0</v>
      </c>
    </row>
    <row r="2305" spans="2:15" s="3" customFormat="1" ht="13.2" x14ac:dyDescent="0.25">
      <c r="B2305" s="118" t="str">
        <f>IF('1. INTRO'!I$2="English",(IF('7. INVEST'!AS$50&gt;0,"Equipment","")),IF('7. INVEST'!AS$50&gt;0,"Utrustning",""))</f>
        <v/>
      </c>
      <c r="C2305" s="134">
        <f>SUMIF('7. INVEST'!$B$17:$B$49,$C2290,'7. INVEST'!AI$17:AI$49)</f>
        <v>0</v>
      </c>
      <c r="D2305" s="134">
        <f>SUMIF('7. INVEST'!$B$17:$B$49,$C2290,'7. INVEST'!AJ$17:AJ$49)</f>
        <v>0</v>
      </c>
      <c r="E2305" s="134">
        <f>SUMIF('7. INVEST'!$B$17:$B$49,$C2290,'7. INVEST'!AK$17:AK$49)</f>
        <v>0</v>
      </c>
      <c r="F2305" s="134">
        <f>SUMIF('7. INVEST'!$B$17:$B$49,$C2290,'7. INVEST'!AL$17:AL$49)</f>
        <v>0</v>
      </c>
      <c r="G2305" s="134">
        <f>SUMIF('7. INVEST'!$B$17:$B$49,$C2290,'7. INVEST'!AM$17:AM$49)</f>
        <v>0</v>
      </c>
      <c r="H2305" s="134">
        <f>SUMIF('7. INVEST'!$B$17:$B$49,$C2290,'7. INVEST'!AN$17:AN$49)</f>
        <v>0</v>
      </c>
      <c r="I2305" s="134">
        <f>SUMIF('7. INVEST'!$B$17:$B$49,$C2290,'7. INVEST'!AO$17:AO$49)</f>
        <v>0</v>
      </c>
      <c r="J2305" s="134">
        <f>SUMIF('7. INVEST'!$B$17:$B$49,$C2290,'7. INVEST'!AP$17:AP$49)</f>
        <v>0</v>
      </c>
      <c r="K2305" s="134">
        <f>SUMIF('7. INVEST'!$B$17:$B$49,$C2290,'7. INVEST'!AQ$17:AQ$49)</f>
        <v>0</v>
      </c>
      <c r="L2305" s="134">
        <f>SUMIF('7. INVEST'!$B$17:$B$49,$C2290,'7. INVEST'!AR$17:AR$49)</f>
        <v>0</v>
      </c>
      <c r="M2305" s="120">
        <f t="shared" si="556"/>
        <v>0</v>
      </c>
    </row>
    <row r="2306" spans="2:15" s="3" customFormat="1" ht="13.2" x14ac:dyDescent="0.25">
      <c r="B2306" s="121" t="str">
        <f>IF('1. INTRO'!I$2="English",(IF('8. FACILIT'!AP$51&gt;0,"Facility","")),IF('8. FACILIT'!AP$51&gt;0,"Lokal",""))</f>
        <v/>
      </c>
      <c r="C2306" s="135">
        <f>SUMIF('5. PERSON'!$B$17:$B$192,$C2290,'5. PERSON'!DB$17:DB$192)+SUMIF('6. OPERATION'!$B$17:$B$149,$C2290,'6. OPERATION'!CE$17:CE$149)+SUMIF('8. FACILIT'!$B$18:$B$50,$C2290,'8. FACILIT'!AF$18:AF$50)</f>
        <v>0</v>
      </c>
      <c r="D2306" s="135">
        <f>SUMIF('5. PERSON'!$B$17:$B$192,$C2290,'5. PERSON'!DC$17:DC$192)+SUMIF('6. OPERATION'!$B$17:$B$149,$C2290,'6. OPERATION'!CF$17:CF$149)+SUMIF('8. FACILIT'!$B$18:$B$50,$C2290,'8. FACILIT'!AG$18:AG$50)</f>
        <v>0</v>
      </c>
      <c r="E2306" s="135">
        <f>SUMIF('5. PERSON'!$B$17:$B$192,$C2290,'5. PERSON'!DD$17:DD$192)+SUMIF('6. OPERATION'!$B$17:$B$149,$C2290,'6. OPERATION'!CG$17:CG$149)+SUMIF('8. FACILIT'!$B$18:$B$50,$C2290,'8. FACILIT'!AH$18:AH$50)</f>
        <v>0</v>
      </c>
      <c r="F2306" s="135">
        <f>SUMIF('5. PERSON'!$B$17:$B$192,$C2290,'5. PERSON'!DE$17:DE$192)+SUMIF('6. OPERATION'!$B$17:$B$149,$C2290,'6. OPERATION'!CH$17:CH$149)+SUMIF('8. FACILIT'!$B$18:$B$50,$C2290,'8. FACILIT'!AI$18:AI$50)</f>
        <v>0</v>
      </c>
      <c r="G2306" s="135">
        <f>SUMIF('5. PERSON'!$B$17:$B$192,$C2290,'5. PERSON'!DF$17:DF$192)+SUMIF('6. OPERATION'!$B$17:$B$149,$C2290,'6. OPERATION'!CI$17:CI$149)+SUMIF('8. FACILIT'!$B$18:$B$50,$C2290,'8. FACILIT'!AJ$18:AJ$50)</f>
        <v>0</v>
      </c>
      <c r="H2306" s="135">
        <f>SUMIF('5. PERSON'!$B$17:$B$192,$C2290,'5. PERSON'!DG$17:DG$192)+SUMIF('6. OPERATION'!$B$17:$B$149,$C2290,'6. OPERATION'!CJ$17:CJ$149)+SUMIF('8. FACILIT'!$B$18:$B$50,$C2290,'8. FACILIT'!AK$18:AK$50)</f>
        <v>0</v>
      </c>
      <c r="I2306" s="135">
        <f>SUMIF('5. PERSON'!$B$17:$B$192,$C2290,'5. PERSON'!DH$17:DH$192)+SUMIF('6. OPERATION'!$B$17:$B$149,$C2290,'6. OPERATION'!CK$17:CK$149)+SUMIF('8. FACILIT'!$B$18:$B$50,$C2290,'8. FACILIT'!AL$18:AL$50)</f>
        <v>0</v>
      </c>
      <c r="J2306" s="135">
        <f>SUMIF('5. PERSON'!$B$17:$B$192,$C2290,'5. PERSON'!DI$17:DI$192)+SUMIF('6. OPERATION'!$B$17:$B$149,$C2290,'6. OPERATION'!CL$17:CL$149)+SUMIF('8. FACILIT'!$B$18:$B$50,$C2290,'8. FACILIT'!AM$18:AM$50)</f>
        <v>0</v>
      </c>
      <c r="K2306" s="135">
        <f>SUMIF('5. PERSON'!$B$17:$B$192,$C2290,'5. PERSON'!DJ$17:DJ$192)+SUMIF('6. OPERATION'!$B$17:$B$149,$C2290,'6. OPERATION'!CM$17:CM$149)+SUMIF('8. FACILIT'!$B$18:$B$50,$C2290,'8. FACILIT'!AN$18:AN$50)</f>
        <v>0</v>
      </c>
      <c r="L2306" s="135">
        <f>SUMIF('5. PERSON'!$B$17:$B$192,$C2290,'5. PERSON'!DK$17:DK$192)+SUMIF('6. OPERATION'!$B$17:$B$149,$C2290,'6. OPERATION'!CN$17:CN$149)+SUMIF('8. FACILIT'!$B$18:$B$50,$C2290,'8. FACILIT'!AO$18:AO$50)</f>
        <v>0</v>
      </c>
      <c r="M2306" s="117">
        <f t="shared" si="556"/>
        <v>0</v>
      </c>
    </row>
    <row r="2307" spans="2:15" s="1" customFormat="1" ht="13.2" x14ac:dyDescent="0.25">
      <c r="B2307" s="122" t="str">
        <f>IF('1. INTRO'!I$2="English",(IF(('5. PERSON'!CN$193+'6. OPERATION'!BQ$150)&gt;0,"Indirect","")),IF(('5. PERSON'!CN$193+'6. OPERATION'!BQ$150)&gt;0,"Indirekt",""))</f>
        <v/>
      </c>
      <c r="C2307" s="107">
        <f>SUMIF('5. PERSON'!$B$17:$B$192,$C2290,'5. PERSON'!CD$17:CD$192)+SUMIF('6. OPERATION'!$B$17:$B$149,$C2290,'6. OPERATION'!BG$17:BG$149)</f>
        <v>0</v>
      </c>
      <c r="D2307" s="107">
        <f>SUMIF('5. PERSON'!$B$17:$B$192,$C2290,'5. PERSON'!CE$17:CE$192)+SUMIF('6. OPERATION'!$B$17:$B$149,$C2290,'6. OPERATION'!BH$17:BH$149)</f>
        <v>0</v>
      </c>
      <c r="E2307" s="107">
        <f>SUMIF('5. PERSON'!$B$17:$B$192,$C2290,'5. PERSON'!CF$17:CF$192)+SUMIF('6. OPERATION'!$B$17:$B$149,$C2290,'6. OPERATION'!BI$17:BI$149)</f>
        <v>0</v>
      </c>
      <c r="F2307" s="107">
        <f>SUMIF('5. PERSON'!$B$17:$B$192,$C2290,'5. PERSON'!CG$17:CG$192)+SUMIF('6. OPERATION'!$B$17:$B$149,$C2290,'6. OPERATION'!BJ$17:BJ$149)</f>
        <v>0</v>
      </c>
      <c r="G2307" s="107">
        <f>SUMIF('5. PERSON'!$B$17:$B$192,$C2290,'5. PERSON'!CH$17:CH$192)+SUMIF('6. OPERATION'!$B$17:$B$149,$C2290,'6. OPERATION'!BK$17:BK$149)</f>
        <v>0</v>
      </c>
      <c r="H2307" s="107">
        <f>SUMIF('5. PERSON'!$B$17:$B$192,$C2290,'5. PERSON'!CI$17:CI$192)+SUMIF('6. OPERATION'!$B$17:$B$149,$C2290,'6. OPERATION'!BL$17:BL$149)</f>
        <v>0</v>
      </c>
      <c r="I2307" s="107">
        <f>SUMIF('5. PERSON'!$B$17:$B$192,$C2290,'5. PERSON'!CJ$17:CJ$192)+SUMIF('6. OPERATION'!$B$17:$B$149,$C2290,'6. OPERATION'!BM$17:BM$149)</f>
        <v>0</v>
      </c>
      <c r="J2307" s="107">
        <f>SUMIF('5. PERSON'!$B$17:$B$192,$C2290,'5. PERSON'!CK$17:CK$192)+SUMIF('6. OPERATION'!$B$17:$B$149,$C2290,'6. OPERATION'!BN$17:BN$149)</f>
        <v>0</v>
      </c>
      <c r="K2307" s="107">
        <f>SUMIF('5. PERSON'!$B$17:$B$192,$C2290,'5. PERSON'!CL$17:CL$192)+SUMIF('6. OPERATION'!$B$17:$B$149,$C2290,'6. OPERATION'!BO$17:BO$149)</f>
        <v>0</v>
      </c>
      <c r="L2307" s="107">
        <f>SUMIF('5. PERSON'!$B$17:$B$192,$C2290,'5. PERSON'!CM$17:CM$192)+SUMIF('6. OPERATION'!$B$17:$B$149,$C2290,'6. OPERATION'!BP$17:BP$149)</f>
        <v>0</v>
      </c>
      <c r="M2307" s="123">
        <f t="shared" si="556"/>
        <v>0</v>
      </c>
    </row>
    <row r="2308" spans="2:15" s="3" customFormat="1" ht="13.2" x14ac:dyDescent="0.25">
      <c r="B2308" s="124" t="s">
        <v>113</v>
      </c>
      <c r="C2308" s="102">
        <f>SUM(C2301:C2307)</f>
        <v>0</v>
      </c>
      <c r="D2308" s="102">
        <f t="shared" ref="D2308:M2308" si="557">SUM(D2301:D2307)</f>
        <v>0</v>
      </c>
      <c r="E2308" s="102">
        <f t="shared" si="557"/>
        <v>0</v>
      </c>
      <c r="F2308" s="102">
        <f t="shared" si="557"/>
        <v>0</v>
      </c>
      <c r="G2308" s="102">
        <f t="shared" si="557"/>
        <v>0</v>
      </c>
      <c r="H2308" s="102">
        <f t="shared" si="557"/>
        <v>0</v>
      </c>
      <c r="I2308" s="102">
        <f t="shared" si="557"/>
        <v>0</v>
      </c>
      <c r="J2308" s="102">
        <f t="shared" si="557"/>
        <v>0</v>
      </c>
      <c r="K2308" s="102">
        <f t="shared" si="557"/>
        <v>0</v>
      </c>
      <c r="L2308" s="102">
        <f t="shared" si="557"/>
        <v>0</v>
      </c>
      <c r="M2308" s="125">
        <f t="shared" si="557"/>
        <v>0</v>
      </c>
      <c r="N2308" s="23"/>
      <c r="O2308" s="23"/>
    </row>
    <row r="2309" spans="2:15" s="3" customFormat="1" ht="6" customHeight="1" x14ac:dyDescent="0.25">
      <c r="B2309" s="136"/>
      <c r="C2309" s="127"/>
      <c r="D2309" s="127"/>
      <c r="E2309" s="127"/>
      <c r="F2309" s="127"/>
      <c r="G2309" s="127"/>
      <c r="H2309" s="127"/>
      <c r="I2309" s="127"/>
      <c r="J2309" s="127"/>
      <c r="K2309" s="127"/>
      <c r="L2309" s="127"/>
      <c r="M2309" s="137"/>
    </row>
    <row r="2310" spans="2:15" s="3" customFormat="1" ht="13.2" x14ac:dyDescent="0.25">
      <c r="B2310" s="129" t="str">
        <f>IF('1. INTRO'!I$2="English","Full cost","Full kostnad")</f>
        <v>Full cost</v>
      </c>
      <c r="C2310" s="127"/>
      <c r="D2310" s="127"/>
      <c r="E2310" s="127"/>
      <c r="F2310" s="127"/>
      <c r="G2310" s="127"/>
      <c r="H2310" s="127"/>
      <c r="I2310" s="127"/>
      <c r="J2310" s="127"/>
      <c r="K2310" s="127"/>
      <c r="L2310" s="127"/>
      <c r="M2310" s="137"/>
    </row>
    <row r="2311" spans="2:15" s="3" customFormat="1" ht="13.2" x14ac:dyDescent="0.25">
      <c r="B2311" s="113" t="str">
        <f>IF('1. INTRO'!I$2="English","Salary including social costs (LKP)","Lön inklusive LKP")</f>
        <v>Salary including social costs (LKP)</v>
      </c>
      <c r="C2311" s="138">
        <f>C2293+C2302+C2303</f>
        <v>0</v>
      </c>
      <c r="D2311" s="138">
        <f t="shared" ref="D2311:L2311" si="558">D2293+D2302+D2303</f>
        <v>0</v>
      </c>
      <c r="E2311" s="138">
        <f t="shared" si="558"/>
        <v>0</v>
      </c>
      <c r="F2311" s="138">
        <f t="shared" si="558"/>
        <v>0</v>
      </c>
      <c r="G2311" s="138">
        <f t="shared" si="558"/>
        <v>0</v>
      </c>
      <c r="H2311" s="138">
        <f t="shared" si="558"/>
        <v>0</v>
      </c>
      <c r="I2311" s="138">
        <f t="shared" si="558"/>
        <v>0</v>
      </c>
      <c r="J2311" s="138">
        <f t="shared" si="558"/>
        <v>0</v>
      </c>
      <c r="K2311" s="138">
        <f t="shared" si="558"/>
        <v>0</v>
      </c>
      <c r="L2311" s="138">
        <f t="shared" si="558"/>
        <v>0</v>
      </c>
      <c r="M2311" s="115">
        <f>SUM(C2311:L2311)</f>
        <v>0</v>
      </c>
    </row>
    <row r="2312" spans="2:15" s="3" customFormat="1" ht="13.2" x14ac:dyDescent="0.25">
      <c r="B2312" s="80" t="str">
        <f>IF('1. INTRO'!I$2="English","Operating","Drift")</f>
        <v>Operating</v>
      </c>
      <c r="C2312" s="139">
        <f>C2294+C2304</f>
        <v>0</v>
      </c>
      <c r="D2312" s="139">
        <f t="shared" ref="D2312:L2312" si="559">D2294+D2304</f>
        <v>0</v>
      </c>
      <c r="E2312" s="139">
        <f t="shared" si="559"/>
        <v>0</v>
      </c>
      <c r="F2312" s="139">
        <f t="shared" si="559"/>
        <v>0</v>
      </c>
      <c r="G2312" s="139">
        <f t="shared" si="559"/>
        <v>0</v>
      </c>
      <c r="H2312" s="139">
        <f t="shared" si="559"/>
        <v>0</v>
      </c>
      <c r="I2312" s="139">
        <f t="shared" si="559"/>
        <v>0</v>
      </c>
      <c r="J2312" s="139">
        <f t="shared" si="559"/>
        <v>0</v>
      </c>
      <c r="K2312" s="139">
        <f t="shared" si="559"/>
        <v>0</v>
      </c>
      <c r="L2312" s="139">
        <f t="shared" si="559"/>
        <v>0</v>
      </c>
      <c r="M2312" s="117">
        <f>SUM(C2312:L2312)</f>
        <v>0</v>
      </c>
    </row>
    <row r="2313" spans="2:15" s="3" customFormat="1" ht="13.2" x14ac:dyDescent="0.25">
      <c r="B2313" s="118" t="str">
        <f>IF('1. INTRO'!I$2="English","Equipment","Utrustning")</f>
        <v>Equipment</v>
      </c>
      <c r="C2313" s="140">
        <f>C2295+C2305</f>
        <v>0</v>
      </c>
      <c r="D2313" s="140">
        <f t="shared" ref="D2313:L2313" si="560">D2295+D2305</f>
        <v>0</v>
      </c>
      <c r="E2313" s="140">
        <f t="shared" si="560"/>
        <v>0</v>
      </c>
      <c r="F2313" s="140">
        <f t="shared" si="560"/>
        <v>0</v>
      </c>
      <c r="G2313" s="140">
        <f t="shared" si="560"/>
        <v>0</v>
      </c>
      <c r="H2313" s="140">
        <f t="shared" si="560"/>
        <v>0</v>
      </c>
      <c r="I2313" s="140">
        <f t="shared" si="560"/>
        <v>0</v>
      </c>
      <c r="J2313" s="140">
        <f t="shared" si="560"/>
        <v>0</v>
      </c>
      <c r="K2313" s="140">
        <f t="shared" si="560"/>
        <v>0</v>
      </c>
      <c r="L2313" s="140">
        <f t="shared" si="560"/>
        <v>0</v>
      </c>
      <c r="M2313" s="120">
        <f>SUM(C2313:L2313)</f>
        <v>0</v>
      </c>
    </row>
    <row r="2314" spans="2:15" s="3" customFormat="1" ht="13.2" x14ac:dyDescent="0.25">
      <c r="B2314" s="80" t="str">
        <f>IF('1. INTRO'!I$2="English","Facility","Lokal")</f>
        <v>Facility</v>
      </c>
      <c r="C2314" s="139">
        <f>SUMIF('5. PERSON'!$B$17:$B$192,$C2290,'5. PERSON'!CP$17:CP$192)+SUMIF('5. PERSON'!$B$17:$B$192,$C2290,'5. PERSON'!DB$17:DB$192)+SUMIF('6. OPERATION'!$B$17:$B$149,$C2290,'6. OPERATION'!BS$17:BS$149)+SUMIF('6. OPERATION'!$B$17:$B$149,$C2290,'6. OPERATION'!CE$17:CE$149)+SUMIF('8. FACILIT'!$B$18:$B$50,$C2290,'8. FACILIT'!T$18:T$50)+SUMIF('8. FACILIT'!$B$18:$B$50,$C2290,'8. FACILIT'!AF$18:AF$50)</f>
        <v>0</v>
      </c>
      <c r="D2314" s="139">
        <f>SUMIF('5. PERSON'!$B$17:$B$192,$C2290,'5. PERSON'!CQ$17:CQ$192)+SUMIF('5. PERSON'!$B$17:$B$192,$C2290,'5. PERSON'!DC$17:DC$192)+SUMIF('6. OPERATION'!$B$17:$B$149,$C2290,'6. OPERATION'!BT$17:BT$149)+SUMIF('6. OPERATION'!$B$17:$B$149,$C2290,'6. OPERATION'!CF$17:CF$149)+SUMIF('8. FACILIT'!$B$18:$B$50,$C2290,'8. FACILIT'!U$18:U$50)+SUMIF('8. FACILIT'!$B$18:$B$50,$C2290,'8. FACILIT'!AG$18:AG$50)</f>
        <v>0</v>
      </c>
      <c r="E2314" s="139">
        <f>SUMIF('5. PERSON'!$B$17:$B$192,$C2290,'5. PERSON'!CR$17:CR$192)+SUMIF('5. PERSON'!$B$17:$B$192,$C2290,'5. PERSON'!DD$17:DD$192)+SUMIF('6. OPERATION'!$B$17:$B$149,$C2290,'6. OPERATION'!BU$17:BU$149)+SUMIF('6. OPERATION'!$B$17:$B$149,$C2290,'6. OPERATION'!CG$17:CG$149)+SUMIF('8. FACILIT'!$B$18:$B$50,$C2290,'8. FACILIT'!V$18:V$50)+SUMIF('8. FACILIT'!$B$18:$B$50,$C2290,'8. FACILIT'!AH$18:AH$50)</f>
        <v>0</v>
      </c>
      <c r="F2314" s="139">
        <f>SUMIF('5. PERSON'!$B$17:$B$192,$C2290,'5. PERSON'!CS$17:CS$192)+SUMIF('5. PERSON'!$B$17:$B$192,$C2290,'5. PERSON'!DE$17:DE$192)+SUMIF('6. OPERATION'!$B$17:$B$149,$C2290,'6. OPERATION'!BV$17:BV$149)+SUMIF('6. OPERATION'!$B$17:$B$149,$C2290,'6. OPERATION'!CH$17:CH$149)+SUMIF('8. FACILIT'!$B$18:$B$50,$C2290,'8. FACILIT'!W$18:W$50)+SUMIF('8. FACILIT'!$B$18:$B$50,$C2290,'8. FACILIT'!AI$18:AI$50)</f>
        <v>0</v>
      </c>
      <c r="G2314" s="139">
        <f>SUMIF('5. PERSON'!$B$17:$B$192,$C2290,'5. PERSON'!CT$17:CT$192)+SUMIF('5. PERSON'!$B$17:$B$192,$C2290,'5. PERSON'!DF$17:DF$192)+SUMIF('6. OPERATION'!$B$17:$B$149,$C2290,'6. OPERATION'!BW$17:BW$149)+SUMIF('6. OPERATION'!$B$17:$B$149,$C2290,'6. OPERATION'!CI$17:CI$149)+SUMIF('8. FACILIT'!$B$18:$B$50,$C2290,'8. FACILIT'!X$18:X$50)+SUMIF('8. FACILIT'!$B$18:$B$50,$C2290,'8. FACILIT'!AJ$18:AJ$50)</f>
        <v>0</v>
      </c>
      <c r="H2314" s="139">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39">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39">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39">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39">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117">
        <f>SUM(C2314:L2314)</f>
        <v>0</v>
      </c>
    </row>
    <row r="2315" spans="2:15" s="3" customFormat="1" ht="13.2" x14ac:dyDescent="0.25">
      <c r="B2315" s="601" t="str">
        <f>IF('1. INTRO'!I$2="English","Indirect","Indirekt")</f>
        <v>Indirect</v>
      </c>
      <c r="C2315" s="141">
        <f>SUMIF('5. PERSON'!$B$17:$B$192,$C2290,'5. PERSON'!BR$17:BR$192)+SUMIF('5. PERSON'!$B$17:$B$192,$C2290,'5. PERSON'!CD$17:CD$192)+SUMIF('6. OPERATION'!$B$17:$B$149,$C2290,'6. OPERATION'!AU$17:AU$149)+SUMIF('6. OPERATION'!$B$17:$B$149,$C2290,'6. OPERATION'!BG$17:BG$149)</f>
        <v>0</v>
      </c>
      <c r="D2315" s="141">
        <f>SUMIF('5. PERSON'!$B$17:$B$192,$C2290,'5. PERSON'!BS$17:BS$192)+SUMIF('5. PERSON'!$B$17:$B$192,$C2290,'5. PERSON'!CE$17:CE$192)+SUMIF('6. OPERATION'!$B$17:$B$149,$C2290,'6. OPERATION'!AV$17:AV$149)+SUMIF('6. OPERATION'!$B$17:$B$149,$C2290,'6. OPERATION'!BH$17:BH$149)</f>
        <v>0</v>
      </c>
      <c r="E2315" s="141">
        <f>SUMIF('5. PERSON'!$B$17:$B$192,$C2290,'5. PERSON'!BT$17:BT$192)+SUMIF('5. PERSON'!$B$17:$B$192,$C2290,'5. PERSON'!CF$17:CF$192)+SUMIF('6. OPERATION'!$B$17:$B$149,$C2290,'6. OPERATION'!AW$17:AW$149)+SUMIF('6. OPERATION'!$B$17:$B$149,$C2290,'6. OPERATION'!BI$17:BI$149)</f>
        <v>0</v>
      </c>
      <c r="F2315" s="141">
        <f>SUMIF('5. PERSON'!$B$17:$B$192,$C2290,'5. PERSON'!BU$17:BU$192)+SUMIF('5. PERSON'!$B$17:$B$192,$C2290,'5. PERSON'!CG$17:CG$192)+SUMIF('6. OPERATION'!$B$17:$B$149,$C2290,'6. OPERATION'!AX$17:AX$149)+SUMIF('6. OPERATION'!$B$17:$B$149,$C2290,'6. OPERATION'!BJ$17:BJ$149)</f>
        <v>0</v>
      </c>
      <c r="G2315" s="141">
        <f>SUMIF('5. PERSON'!$B$17:$B$192,$C2290,'5. PERSON'!BV$17:BV$192)+SUMIF('5. PERSON'!$B$17:$B$192,$C2290,'5. PERSON'!CH$17:CH$192)+SUMIF('6. OPERATION'!$B$17:$B$149,$C2290,'6. OPERATION'!AY$17:AY$149)+SUMIF('6. OPERATION'!$B$17:$B$149,$C2290,'6. OPERATION'!BK$17:BK$149)</f>
        <v>0</v>
      </c>
      <c r="H2315" s="141">
        <f>SUMIF('5. PERSON'!$B$17:$B$192,$C2290,'5. PERSON'!BW$17:BW$192)+SUMIF('5. PERSON'!$B$17:$B$192,$C2290,'5. PERSON'!CI$17:CI$192)+SUMIF('6. OPERATION'!$B$17:$B$149,$C2290,'6. OPERATION'!AZ$17:AZ$149)+SUMIF('6. OPERATION'!$B$17:$B$149,$C2290,'6. OPERATION'!BL$17:BL$149)</f>
        <v>0</v>
      </c>
      <c r="I2315" s="141">
        <f>SUMIF('5. PERSON'!$B$17:$B$192,$C2290,'5. PERSON'!BX$17:BX$192)+SUMIF('5. PERSON'!$B$17:$B$192,$C2290,'5. PERSON'!CJ$17:CJ$192)+SUMIF('6. OPERATION'!$B$17:$B$149,$C2290,'6. OPERATION'!BA$17:BA$149)+SUMIF('6. OPERATION'!$B$17:$B$149,$C2290,'6. OPERATION'!BM$17:BM$149)</f>
        <v>0</v>
      </c>
      <c r="J2315" s="141">
        <f>SUMIF('5. PERSON'!$B$17:$B$192,$C2290,'5. PERSON'!BY$17:BY$192)+SUMIF('5. PERSON'!$B$17:$B$192,$C2290,'5. PERSON'!CK$17:CK$192)+SUMIF('6. OPERATION'!$B$17:$B$149,$C2290,'6. OPERATION'!BB$17:BB$149)+SUMIF('6. OPERATION'!$B$17:$B$149,$C2290,'6. OPERATION'!BN$17:BN$149)</f>
        <v>0</v>
      </c>
      <c r="K2315" s="141">
        <f>SUMIF('5. PERSON'!$B$17:$B$192,$C2290,'5. PERSON'!BZ$17:BZ$192)+SUMIF('5. PERSON'!$B$17:$B$192,$C2290,'5. PERSON'!CL$17:CL$192)+SUMIF('6. OPERATION'!$B$17:$B$149,$C2290,'6. OPERATION'!BC$17:BC$149)+SUMIF('6. OPERATION'!$B$17:$B$149,$C2290,'6. OPERATION'!BO$17:BO$149)</f>
        <v>0</v>
      </c>
      <c r="L2315" s="141">
        <f>SUMIF('5. PERSON'!$B$17:$B$192,$C2290,'5. PERSON'!CA$17:CA$192)+SUMIF('5. PERSON'!$B$17:$B$192,$C2290,'5. PERSON'!CM$17:CM$192)+SUMIF('6. OPERATION'!$B$17:$B$149,$C2290,'6. OPERATION'!BD$17:BD$149)+SUMIF('6. OPERATION'!$B$17:$B$149,$C2290,'6. OPERATION'!BP$17:BP$149)</f>
        <v>0</v>
      </c>
      <c r="M2315" s="123">
        <f>SUM(C2315:L2315)</f>
        <v>0</v>
      </c>
    </row>
    <row r="2316" spans="2:15" s="3" customFormat="1" ht="13.2" x14ac:dyDescent="0.25">
      <c r="B2316" s="124" t="s">
        <v>113</v>
      </c>
      <c r="C2316" s="88">
        <f>SUM(C2311:C2315)</f>
        <v>0</v>
      </c>
      <c r="D2316" s="88">
        <f t="shared" ref="D2316:M2316" si="561">SUM(D2311:D2315)</f>
        <v>0</v>
      </c>
      <c r="E2316" s="88">
        <f t="shared" si="561"/>
        <v>0</v>
      </c>
      <c r="F2316" s="88">
        <f t="shared" si="561"/>
        <v>0</v>
      </c>
      <c r="G2316" s="88">
        <f t="shared" si="561"/>
        <v>0</v>
      </c>
      <c r="H2316" s="88">
        <f t="shared" si="561"/>
        <v>0</v>
      </c>
      <c r="I2316" s="88">
        <f t="shared" si="561"/>
        <v>0</v>
      </c>
      <c r="J2316" s="88">
        <f t="shared" si="561"/>
        <v>0</v>
      </c>
      <c r="K2316" s="88">
        <f t="shared" si="561"/>
        <v>0</v>
      </c>
      <c r="L2316" s="88">
        <f t="shared" si="561"/>
        <v>0</v>
      </c>
      <c r="M2316" s="142">
        <f t="shared" si="561"/>
        <v>0</v>
      </c>
    </row>
    <row r="2317" spans="2:15" s="3" customFormat="1" ht="13.2" x14ac:dyDescent="0.25">
      <c r="B2317" s="287"/>
      <c r="C2317" s="37"/>
      <c r="D2317" s="37"/>
      <c r="E2317" s="37"/>
      <c r="F2317" s="37"/>
      <c r="G2317" s="37"/>
      <c r="H2317" s="37"/>
      <c r="I2317" s="37"/>
      <c r="J2317" s="37"/>
      <c r="K2317" s="37"/>
      <c r="L2317" s="37"/>
      <c r="M2317" s="37"/>
    </row>
    <row r="2318" spans="2:15" s="3" customFormat="1" ht="12.75" customHeight="1" x14ac:dyDescent="0.25">
      <c r="B2318" s="656" t="str">
        <f>IF('1. INTRO'!I$2="English","Co-funding share in full cost ","Medfinansieringsandel i full kostnad ")</f>
        <v xml:space="preserve">Co-funding share in full cost </v>
      </c>
      <c r="C2318" s="143" t="str">
        <f t="shared" ref="C2318:M2318" si="562">IF(C2316&gt;0,C2308/C2316,"")</f>
        <v/>
      </c>
      <c r="D2318" s="143" t="str">
        <f t="shared" si="562"/>
        <v/>
      </c>
      <c r="E2318" s="143" t="str">
        <f t="shared" si="562"/>
        <v/>
      </c>
      <c r="F2318" s="143" t="str">
        <f t="shared" si="562"/>
        <v/>
      </c>
      <c r="G2318" s="143" t="str">
        <f t="shared" si="562"/>
        <v/>
      </c>
      <c r="H2318" s="143" t="str">
        <f t="shared" si="562"/>
        <v/>
      </c>
      <c r="I2318" s="143" t="str">
        <f t="shared" si="562"/>
        <v/>
      </c>
      <c r="J2318" s="143" t="str">
        <f t="shared" si="562"/>
        <v/>
      </c>
      <c r="K2318" s="143" t="str">
        <f t="shared" si="562"/>
        <v/>
      </c>
      <c r="L2318" s="143" t="str">
        <f t="shared" si="562"/>
        <v/>
      </c>
      <c r="M2318" s="143" t="str">
        <f t="shared" si="562"/>
        <v/>
      </c>
    </row>
    <row r="2319" spans="2:15" ht="12.75" customHeight="1" x14ac:dyDescent="0.2"/>
    <row r="2320" spans="2:15" ht="12.75" customHeight="1" x14ac:dyDescent="0.25">
      <c r="D2320" s="676" t="str">
        <f>IF('1. INTRO'!I$2="English","Co-funding need in average per year: ","Medfinansieringsbehov i genomsnitt per år: ")</f>
        <v xml:space="preserve">Co-funding need in average per year: </v>
      </c>
      <c r="E2320" s="92" t="str">
        <f>IF(M2308=0,"",M2308/(DATEDIF('2. START'!C$18,'2. START'!C$19,"d")/365))</f>
        <v/>
      </c>
      <c r="H2320" s="676" t="str">
        <f>IF('1. INTRO'!I$2="English","Co-funding need 1/3 of total: ","Medfinansieringsbehov 1/3 av totalt: ")</f>
        <v xml:space="preserve">Co-funding need 1/3 of total: </v>
      </c>
      <c r="I2320" s="92">
        <f>M2308/3</f>
        <v>0</v>
      </c>
      <c r="L2320" s="287" t="str">
        <f>IF('1. INTRO'!I$2="English","Co-funding need total: ","Medfinansieringsbehov totalt: ")</f>
        <v xml:space="preserve">Co-funding need total: </v>
      </c>
      <c r="M2320" s="92">
        <f>M2308</f>
        <v>0</v>
      </c>
    </row>
    <row r="2321" spans="2:13" ht="12.75" customHeight="1" x14ac:dyDescent="0.25">
      <c r="B2321" s="53" t="str">
        <f>IF('1. INTRO'!I$2="English","Co-funding sources","Medfinansieringskällor")</f>
        <v>Co-funding sources</v>
      </c>
    </row>
    <row r="2322" spans="2:13" ht="12.75" customHeight="1" x14ac:dyDescent="0.25">
      <c r="B2322" s="225"/>
      <c r="C2322" s="226"/>
      <c r="D2322" s="226"/>
      <c r="E2322" s="226"/>
      <c r="F2322" s="226"/>
      <c r="G2322" s="226"/>
      <c r="H2322" s="226"/>
      <c r="I2322" s="226"/>
      <c r="J2322" s="226"/>
      <c r="K2322" s="226"/>
      <c r="L2322" s="227"/>
      <c r="M2322" s="168">
        <f>SUM(C2322:L2322)</f>
        <v>0</v>
      </c>
    </row>
    <row r="2323" spans="2:13" ht="12.75" customHeight="1" x14ac:dyDescent="0.25">
      <c r="B2323" s="228"/>
      <c r="C2323" s="229"/>
      <c r="D2323" s="229"/>
      <c r="E2323" s="229"/>
      <c r="F2323" s="229"/>
      <c r="G2323" s="229"/>
      <c r="H2323" s="229"/>
      <c r="I2323" s="229"/>
      <c r="J2323" s="229"/>
      <c r="K2323" s="229"/>
      <c r="L2323" s="230"/>
      <c r="M2323" s="120">
        <f t="shared" ref="M2323:M2326" si="563">SUM(C2323:L2323)</f>
        <v>0</v>
      </c>
    </row>
    <row r="2324" spans="2:13" ht="12.75" customHeight="1" x14ac:dyDescent="0.25">
      <c r="B2324" s="231"/>
      <c r="C2324" s="232"/>
      <c r="D2324" s="232"/>
      <c r="E2324" s="232"/>
      <c r="F2324" s="232"/>
      <c r="G2324" s="232"/>
      <c r="H2324" s="232"/>
      <c r="I2324" s="232"/>
      <c r="J2324" s="232"/>
      <c r="K2324" s="232"/>
      <c r="L2324" s="233"/>
      <c r="M2324" s="117">
        <f t="shared" si="563"/>
        <v>0</v>
      </c>
    </row>
    <row r="2325" spans="2:13" ht="12.75" customHeight="1" x14ac:dyDescent="0.25">
      <c r="B2325" s="228"/>
      <c r="C2325" s="229"/>
      <c r="D2325" s="229"/>
      <c r="E2325" s="229"/>
      <c r="F2325" s="229"/>
      <c r="G2325" s="229"/>
      <c r="H2325" s="229"/>
      <c r="I2325" s="229"/>
      <c r="J2325" s="229"/>
      <c r="K2325" s="229"/>
      <c r="L2325" s="230"/>
      <c r="M2325" s="120">
        <f t="shared" si="563"/>
        <v>0</v>
      </c>
    </row>
    <row r="2326" spans="2:13" ht="12.75" customHeight="1" x14ac:dyDescent="0.25">
      <c r="B2326" s="93"/>
      <c r="C2326" s="232"/>
      <c r="D2326" s="232"/>
      <c r="E2326" s="232"/>
      <c r="F2326" s="232"/>
      <c r="G2326" s="232"/>
      <c r="H2326" s="232"/>
      <c r="I2326" s="232"/>
      <c r="J2326" s="232"/>
      <c r="K2326" s="232"/>
      <c r="L2326" s="233"/>
      <c r="M2326" s="117">
        <f t="shared" si="563"/>
        <v>0</v>
      </c>
    </row>
    <row r="2327" spans="2:13" ht="12.75" customHeight="1" x14ac:dyDescent="0.25">
      <c r="B2327" s="84" t="str">
        <f>IF('1. INTRO'!I$2="English","Total co-funding ","Total medfinansiering ")</f>
        <v xml:space="preserve">Total co-funding </v>
      </c>
      <c r="C2327" s="87">
        <f t="shared" ref="C2327:M2327" si="564">SUM(C2322:C2326)</f>
        <v>0</v>
      </c>
      <c r="D2327" s="87">
        <f t="shared" si="564"/>
        <v>0</v>
      </c>
      <c r="E2327" s="87">
        <f t="shared" si="564"/>
        <v>0</v>
      </c>
      <c r="F2327" s="87">
        <f t="shared" si="564"/>
        <v>0</v>
      </c>
      <c r="G2327" s="87">
        <f t="shared" si="564"/>
        <v>0</v>
      </c>
      <c r="H2327" s="87">
        <f t="shared" si="564"/>
        <v>0</v>
      </c>
      <c r="I2327" s="87">
        <f t="shared" si="564"/>
        <v>0</v>
      </c>
      <c r="J2327" s="87">
        <f t="shared" si="564"/>
        <v>0</v>
      </c>
      <c r="K2327" s="87">
        <f t="shared" si="564"/>
        <v>0</v>
      </c>
      <c r="L2327" s="87">
        <f t="shared" si="564"/>
        <v>0</v>
      </c>
      <c r="M2327" s="142">
        <f t="shared" si="564"/>
        <v>0</v>
      </c>
    </row>
    <row r="2328" spans="2:13" ht="12.75" customHeight="1" x14ac:dyDescent="0.2"/>
    <row r="2329" spans="2:13" ht="12.75" customHeight="1" x14ac:dyDescent="0.2">
      <c r="B2329" s="667" t="str">
        <f>IF('1. INTRO'!I$2="English","Calculation comments","Kalkylkommentarer")</f>
        <v>Calculation comments</v>
      </c>
    </row>
    <row r="2330" spans="2:13" ht="12.75" customHeight="1" x14ac:dyDescent="0.2">
      <c r="B2330" s="1142"/>
      <c r="C2330" s="1143"/>
      <c r="D2330" s="1143"/>
      <c r="E2330" s="1143"/>
      <c r="F2330" s="1143"/>
      <c r="G2330" s="1143"/>
      <c r="H2330" s="1143"/>
      <c r="I2330" s="1143"/>
      <c r="J2330" s="1143"/>
      <c r="K2330" s="1143"/>
      <c r="L2330" s="1143"/>
      <c r="M2330" s="1144"/>
    </row>
    <row r="2331" spans="2:13" ht="12.75" customHeight="1" x14ac:dyDescent="0.2">
      <c r="B2331" s="1145"/>
      <c r="C2331" s="1226"/>
      <c r="D2331" s="1226"/>
      <c r="E2331" s="1226"/>
      <c r="F2331" s="1226"/>
      <c r="G2331" s="1226"/>
      <c r="H2331" s="1226"/>
      <c r="I2331" s="1226"/>
      <c r="J2331" s="1226"/>
      <c r="K2331" s="1226"/>
      <c r="L2331" s="1226"/>
      <c r="M2331" s="1147"/>
    </row>
    <row r="2332" spans="2:13" ht="12.75" customHeight="1" x14ac:dyDescent="0.2">
      <c r="B2332" s="1145"/>
      <c r="C2332" s="1226"/>
      <c r="D2332" s="1226"/>
      <c r="E2332" s="1226"/>
      <c r="F2332" s="1226"/>
      <c r="G2332" s="1226"/>
      <c r="H2332" s="1226"/>
      <c r="I2332" s="1226"/>
      <c r="J2332" s="1226"/>
      <c r="K2332" s="1226"/>
      <c r="L2332" s="1226"/>
      <c r="M2332" s="1147"/>
    </row>
    <row r="2333" spans="2:13" ht="12.75" customHeight="1" x14ac:dyDescent="0.2">
      <c r="B2333" s="1145"/>
      <c r="C2333" s="1226"/>
      <c r="D2333" s="1226"/>
      <c r="E2333" s="1226"/>
      <c r="F2333" s="1226"/>
      <c r="G2333" s="1226"/>
      <c r="H2333" s="1226"/>
      <c r="I2333" s="1226"/>
      <c r="J2333" s="1226"/>
      <c r="K2333" s="1226"/>
      <c r="L2333" s="1226"/>
      <c r="M2333" s="1147"/>
    </row>
    <row r="2334" spans="2:13" ht="12.75" customHeight="1" x14ac:dyDescent="0.2">
      <c r="B2334" s="1148"/>
      <c r="C2334" s="1149"/>
      <c r="D2334" s="1149"/>
      <c r="E2334" s="1149"/>
      <c r="F2334" s="1149"/>
      <c r="G2334" s="1149"/>
      <c r="H2334" s="1149"/>
      <c r="I2334" s="1149"/>
      <c r="J2334" s="1149"/>
      <c r="K2334" s="1149"/>
      <c r="L2334" s="1149"/>
      <c r="M2334" s="1150"/>
    </row>
    <row r="2335" spans="2:13" ht="12.75" customHeight="1" x14ac:dyDescent="0.2">
      <c r="B2335" s="169"/>
      <c r="C2335" s="169"/>
      <c r="D2335" s="169"/>
      <c r="E2335" s="169"/>
      <c r="F2335" s="169"/>
      <c r="G2335" s="169"/>
      <c r="H2335" s="169"/>
      <c r="I2335" s="169"/>
      <c r="J2335" s="169"/>
      <c r="K2335" s="169"/>
      <c r="L2335" s="169"/>
      <c r="M2335" s="169"/>
    </row>
    <row r="2336" spans="2:13" s="3" customFormat="1" ht="12.75" customHeight="1" x14ac:dyDescent="0.25">
      <c r="B2336" s="313" t="str">
        <f>'3. PARTNER'!C$4</f>
        <v xml:space="preserve">Project: </v>
      </c>
      <c r="C2336" s="1062" t="str">
        <f>'3. PARTNER'!D$4</f>
        <v/>
      </c>
      <c r="D2336" s="1001"/>
      <c r="E2336" s="1001"/>
      <c r="F2336" s="1001"/>
      <c r="G2336" s="1001"/>
      <c r="H2336" s="1001"/>
      <c r="I2336" s="1001"/>
      <c r="J2336" s="1001"/>
      <c r="K2336" s="1001"/>
      <c r="L2336" s="1001"/>
      <c r="M2336" s="1001"/>
    </row>
    <row r="2337" spans="2:15" s="3" customFormat="1" ht="13.2" x14ac:dyDescent="0.25">
      <c r="B2337" s="313" t="str">
        <f>'3. PARTNER'!C$5</f>
        <v xml:space="preserve">Calculation for: </v>
      </c>
      <c r="C2337" s="1062" t="str">
        <f>'3. PARTNER'!D$5</f>
        <v>APPLICATION</v>
      </c>
      <c r="D2337" s="1001"/>
      <c r="E2337" s="268"/>
      <c r="F2337" s="268"/>
      <c r="G2337" s="268"/>
      <c r="H2337" s="268"/>
      <c r="I2337" s="268"/>
      <c r="J2337" s="268"/>
      <c r="K2337" s="268"/>
      <c r="L2337" s="268"/>
      <c r="M2337" s="268"/>
    </row>
    <row r="2338" spans="2:15" s="3" customFormat="1" ht="13.2" x14ac:dyDescent="0.25">
      <c r="B2338" s="35" t="str">
        <f>'3. PARTNER'!C$6</f>
        <v xml:space="preserve">Project leader: </v>
      </c>
      <c r="C2338" s="1062" t="str">
        <f>'3. PARTNER'!D$6</f>
        <v/>
      </c>
      <c r="D2338" s="1001"/>
      <c r="E2338" s="1001"/>
      <c r="F2338" s="1001"/>
      <c r="G2338" s="1001"/>
      <c r="H2338" s="1001"/>
      <c r="I2338" s="1001"/>
      <c r="J2338" s="1001"/>
      <c r="K2338" s="1001"/>
      <c r="L2338" s="1001"/>
      <c r="M2338" s="1001"/>
    </row>
    <row r="2339" spans="2:15" s="3" customFormat="1" ht="13.2" x14ac:dyDescent="0.25">
      <c r="B2339" s="313" t="str">
        <f>'5. PERSON'!B$7</f>
        <v xml:space="preserve">Amounts in: </v>
      </c>
      <c r="C2339" s="655" t="str">
        <f>'5. PERSON'!C$7</f>
        <v>SEK</v>
      </c>
      <c r="D2339" s="268"/>
      <c r="E2339" s="268"/>
      <c r="F2339" s="268"/>
      <c r="G2339" s="234"/>
      <c r="H2339" s="234"/>
      <c r="I2339" s="270"/>
      <c r="J2339" s="270"/>
      <c r="K2339" s="270"/>
      <c r="L2339" s="270"/>
      <c r="M2339" s="270"/>
    </row>
    <row r="2340" spans="2:15" s="3" customFormat="1" ht="13.2" x14ac:dyDescent="0.25">
      <c r="B2340" s="313"/>
      <c r="C2340" s="1053" t="str">
        <f>'3. PARTNER'!D$7</f>
        <v>Other basic data about the project is in sheet 2.</v>
      </c>
      <c r="D2340" s="1001"/>
      <c r="E2340" s="1001"/>
      <c r="F2340" s="1001"/>
      <c r="G2340" s="234"/>
      <c r="H2340" s="234"/>
      <c r="I2340" s="270"/>
      <c r="J2340" s="270"/>
      <c r="K2340" s="270"/>
      <c r="L2340" s="251" t="s">
        <v>4</v>
      </c>
      <c r="M2340" s="270"/>
    </row>
    <row r="2341" spans="2:15" ht="12.75" customHeight="1" x14ac:dyDescent="0.2">
      <c r="L2341" s="252" t="str">
        <f>IF('1. INTRO'!I$2="English","months","månader")</f>
        <v>months</v>
      </c>
    </row>
    <row r="2342" spans="2:15" s="3" customFormat="1" ht="13.8" x14ac:dyDescent="0.25">
      <c r="B2342" s="157" t="str">
        <f>IF('1. INTRO'!I$2="English","Project costs","Projektkostnader")</f>
        <v>Project costs</v>
      </c>
      <c r="C2342" s="668" t="str">
        <f>A60</f>
        <v>EXT102</v>
      </c>
      <c r="D2342" s="1227" t="str">
        <f>B60</f>
        <v/>
      </c>
      <c r="E2342" s="1004"/>
      <c r="F2342" s="1004"/>
      <c r="G2342" s="1004"/>
      <c r="H2342" s="1004"/>
      <c r="I2342" s="37"/>
      <c r="J2342" s="37"/>
      <c r="K2342" s="37"/>
      <c r="L2342" s="642">
        <f>SUMIF('5. PERSON'!$B$17:$B$192,$C2342,'5. PERSON'!AE$17:AE$192)</f>
        <v>0</v>
      </c>
      <c r="M2342" s="680" t="s">
        <v>330</v>
      </c>
    </row>
    <row r="2343" spans="2:15" s="3" customFormat="1" ht="6" customHeight="1" x14ac:dyDescent="0.25">
      <c r="B2343" s="57"/>
      <c r="C2343" s="37"/>
      <c r="D2343" s="37"/>
      <c r="E2343" s="37"/>
      <c r="F2343" s="37"/>
      <c r="G2343" s="37"/>
      <c r="H2343" s="37"/>
      <c r="I2343" s="37"/>
      <c r="J2343" s="37"/>
      <c r="K2343" s="37"/>
      <c r="L2343" s="37"/>
      <c r="M2343" s="37"/>
    </row>
    <row r="2344" spans="2:15" s="3" customFormat="1" ht="13.2" x14ac:dyDescent="0.25">
      <c r="B2344" s="110" t="str">
        <f>IF('1. INTRO'!I$2="English","Costs to be covered by funding body","Kostnader att täckas av finansiär")</f>
        <v>Costs to be covered by funding body</v>
      </c>
      <c r="C2344" s="111">
        <f>'5. PERSON'!G$15</f>
        <v>1900</v>
      </c>
      <c r="D2344" s="111" t="str">
        <f>'5. PERSON'!H$15</f>
        <v/>
      </c>
      <c r="E2344" s="111" t="str">
        <f>'5. PERSON'!I$15</f>
        <v/>
      </c>
      <c r="F2344" s="111" t="str">
        <f>'5. PERSON'!J$15</f>
        <v/>
      </c>
      <c r="G2344" s="111" t="str">
        <f>'5. PERSON'!K$15</f>
        <v/>
      </c>
      <c r="H2344" s="111" t="str">
        <f>'5. PERSON'!L$15</f>
        <v/>
      </c>
      <c r="I2344" s="111" t="str">
        <f>'5. PERSON'!M$15</f>
        <v/>
      </c>
      <c r="J2344" s="111" t="str">
        <f>'5. PERSON'!N$15</f>
        <v/>
      </c>
      <c r="K2344" s="111" t="str">
        <f>'5. PERSON'!O$15</f>
        <v/>
      </c>
      <c r="L2344" s="111" t="str">
        <f>'5. PERSON'!P$15</f>
        <v/>
      </c>
      <c r="M2344" s="112" t="s">
        <v>2</v>
      </c>
    </row>
    <row r="2345" spans="2:15" s="3" customFormat="1" ht="12.75" customHeight="1" x14ac:dyDescent="0.25">
      <c r="B2345" s="113" t="str">
        <f>IF('1. INTRO'!I$2="English","Salary including social costs (LKP)","Lön inklusive LKP")</f>
        <v>Salary including social costs (LKP)</v>
      </c>
      <c r="C2345" s="114">
        <f>IF('2. START'!$C$14&gt;0,SUMIF('5. PERSON'!$B$17:$B$192,$C2342,'5. PERSON'!DN$17:DN$192),SUMIF('5. PERSON'!$B$17:$B$192,$C2342,'5. PERSON'!AT$17:AT$192))</f>
        <v>0</v>
      </c>
      <c r="D2345" s="114">
        <f>IF('2. START'!$C$14&gt;0,SUMIF('5. PERSON'!$B$17:$B$192,$C2342,'5. PERSON'!DO$17:DO$192),SUMIF('5. PERSON'!$B$17:$B$192,$C2342,'5. PERSON'!AU$17:AU$192))</f>
        <v>0</v>
      </c>
      <c r="E2345" s="114">
        <f>IF('2. START'!$C$14&gt;0,SUMIF('5. PERSON'!$B$17:$B$192,$C2342,'5. PERSON'!DP$17:DP$192),SUMIF('5. PERSON'!$B$17:$B$192,$C2342,'5. PERSON'!AV$17:AV$192))</f>
        <v>0</v>
      </c>
      <c r="F2345" s="114">
        <f>IF('2. START'!$C$14&gt;0,SUMIF('5. PERSON'!$B$17:$B$192,$C2342,'5. PERSON'!DQ$17:DQ$192),SUMIF('5. PERSON'!$B$17:$B$192,$C2342,'5. PERSON'!AW$17:AW$192))</f>
        <v>0</v>
      </c>
      <c r="G2345" s="114">
        <f>IF('2. START'!$C$14&gt;0,SUMIF('5. PERSON'!$B$17:$B$192,$C2342,'5. PERSON'!DR$17:DR$192),SUMIF('5. PERSON'!$B$17:$B$192,$C2342,'5. PERSON'!AX$17:AX$192))</f>
        <v>0</v>
      </c>
      <c r="H2345" s="114">
        <f>IF('2. START'!$C$14&gt;0,SUMIF('5. PERSON'!$B$17:$B$192,$C2342,'5. PERSON'!DS$17:DS$192),SUMIF('5. PERSON'!$B$17:$B$192,$C2342,'5. PERSON'!AY$17:AY$192))</f>
        <v>0</v>
      </c>
      <c r="I2345" s="114">
        <f>IF('2. START'!$C$14&gt;0,SUMIF('5. PERSON'!$B$17:$B$192,$C2342,'5. PERSON'!DT$17:DT$192),SUMIF('5. PERSON'!$B$17:$B$192,$C2342,'5. PERSON'!AZ$17:AZ$192))</f>
        <v>0</v>
      </c>
      <c r="J2345" s="114">
        <f>IF('2. START'!$C$14&gt;0,SUMIF('5. PERSON'!$B$17:$B$192,$C2342,'5. PERSON'!DU$17:DU$192),SUMIF('5. PERSON'!$B$17:$B$192,$C2342,'5. PERSON'!BA$17:BA$192))</f>
        <v>0</v>
      </c>
      <c r="K2345" s="114">
        <f>IF('2. START'!$C$14&gt;0,SUMIF('5. PERSON'!$B$17:$B$192,$C2342,'5. PERSON'!DV$17:DV$192),SUMIF('5. PERSON'!$B$17:$B$192,$C2342,'5. PERSON'!BB$17:BB$192))</f>
        <v>0</v>
      </c>
      <c r="L2345" s="114">
        <f>IF('2. START'!$C$14&gt;0,SUMIF('5. PERSON'!$B$17:$B$192,$C2342,'5. PERSON'!DW$17:DW$192),SUMIF('5. PERSON'!$B$17:$B$192,$C2342,'5. PERSON'!BC$17:BC$192))</f>
        <v>0</v>
      </c>
      <c r="M2345" s="115">
        <f t="shared" ref="M2345:M2350" si="565">SUM(C2345:L2345)</f>
        <v>0</v>
      </c>
      <c r="O2345" s="4"/>
    </row>
    <row r="2346" spans="2:15" s="3" customFormat="1" ht="12.75" customHeight="1" x14ac:dyDescent="0.25">
      <c r="B2346" s="80" t="str">
        <f>IF('1. INTRO'!I$2="English","Operating","Drift")</f>
        <v>Operating</v>
      </c>
      <c r="C2346" s="116">
        <f>SUMIF('6. OPERATION'!$B$17:$B$149,$C2342,'6. OPERATION'!W$17:W$149)</f>
        <v>0</v>
      </c>
      <c r="D2346" s="116">
        <f>SUMIF('6. OPERATION'!$B$17:$B$149,$C2342,'6. OPERATION'!X$17:X$149)</f>
        <v>0</v>
      </c>
      <c r="E2346" s="116">
        <f>SUMIF('6. OPERATION'!$B$17:$B$149,$C2342,'6. OPERATION'!Y$17:Y$149)</f>
        <v>0</v>
      </c>
      <c r="F2346" s="116">
        <f>SUMIF('6. OPERATION'!$B$17:$B$149,$C2342,'6. OPERATION'!Z$17:Z$149)</f>
        <v>0</v>
      </c>
      <c r="G2346" s="116">
        <f>SUMIF('6. OPERATION'!$B$17:$B$149,$C2342,'6. OPERATION'!AA$17:AA$149)</f>
        <v>0</v>
      </c>
      <c r="H2346" s="116">
        <f>SUMIF('6. OPERATION'!$B$17:$B$149,$C2342,'6. OPERATION'!AB$17:AB$149)</f>
        <v>0</v>
      </c>
      <c r="I2346" s="116">
        <f>SUMIF('6. OPERATION'!$B$17:$B$149,$C2342,'6. OPERATION'!AC$17:AC$149)</f>
        <v>0</v>
      </c>
      <c r="J2346" s="116">
        <f>SUMIF('6. OPERATION'!$B$17:$B$149,$C2342,'6. OPERATION'!AD$17:AD$149)</f>
        <v>0</v>
      </c>
      <c r="K2346" s="116">
        <f>SUMIF('6. OPERATION'!$B$17:$B$149,$C2342,'6. OPERATION'!AE$17:AE$149)</f>
        <v>0</v>
      </c>
      <c r="L2346" s="116">
        <f>SUMIF('6. OPERATION'!$B$17:$B$149,$C2342,'6. OPERATION'!AF$17:AF$149)</f>
        <v>0</v>
      </c>
      <c r="M2346" s="117">
        <f t="shared" si="565"/>
        <v>0</v>
      </c>
    </row>
    <row r="2347" spans="2:15" s="3" customFormat="1" ht="13.2" x14ac:dyDescent="0.25">
      <c r="B2347" s="118" t="str">
        <f>IF('1. INTRO'!I$2="English","Equipment","Utrustning")</f>
        <v>Equipment</v>
      </c>
      <c r="C2347" s="119">
        <f>SUMIF('7. INVEST'!$B$17:$B$49,$C2342,'7. INVEST'!W$17:W$49)</f>
        <v>0</v>
      </c>
      <c r="D2347" s="119">
        <f>SUMIF('7. INVEST'!$B$17:$B$49,$C2342,'7. INVEST'!X$17:X$49)</f>
        <v>0</v>
      </c>
      <c r="E2347" s="119">
        <f>SUMIF('7. INVEST'!$B$17:$B$49,$C2342,'7. INVEST'!Y$17:Y$49)</f>
        <v>0</v>
      </c>
      <c r="F2347" s="119">
        <f>SUMIF('7. INVEST'!$B$17:$B$49,$C2342,'7. INVEST'!Z$17:Z$49)</f>
        <v>0</v>
      </c>
      <c r="G2347" s="119">
        <f>SUMIF('7. INVEST'!$B$17:$B$49,$C2342,'7. INVEST'!AA$17:AA$49)</f>
        <v>0</v>
      </c>
      <c r="H2347" s="119">
        <f>SUMIF('7. INVEST'!$B$17:$B$49,$C2342,'7. INVEST'!AB$17:AB$49)</f>
        <v>0</v>
      </c>
      <c r="I2347" s="119">
        <f>SUMIF('7. INVEST'!$B$17:$B$49,$C2342,'7. INVEST'!AC$17:AC$49)</f>
        <v>0</v>
      </c>
      <c r="J2347" s="119">
        <f>SUMIF('7. INVEST'!$B$17:$B$49,$C2342,'7. INVEST'!AD$17:AD$49)</f>
        <v>0</v>
      </c>
      <c r="K2347" s="119">
        <f>SUMIF('7. INVEST'!$B$17:$B$49,$C2342,'7. INVEST'!AE$17:AE$49)</f>
        <v>0</v>
      </c>
      <c r="L2347" s="119">
        <f>SUMIF('7. INVEST'!$B$17:$B$49,$C2342,'7. INVEST'!AF$17:AF$49)</f>
        <v>0</v>
      </c>
      <c r="M2347" s="120">
        <f t="shared" si="565"/>
        <v>0</v>
      </c>
    </row>
    <row r="2348" spans="2:15" s="3" customFormat="1" ht="13.2" x14ac:dyDescent="0.25">
      <c r="B2348" s="121" t="str">
        <f>IF('1. INTRO'!I$2="English",(IF('2. START'!C$11="NO","Facility accepted as direct cost by funding body","Facility")),IF('2. START'!C$11="NO","Lokal accepterad som direkt kostnad av finansiär","Lokal"))</f>
        <v>Facility</v>
      </c>
      <c r="C2348" s="116">
        <f>IF('2. START'!$C$11="NO",SUMIF('8. FACILIT'!$B$18:$B$50,$C2342,'8. FACILIT'!T$18:T$50),SUMIF('5. PERSON'!$B$17:$B$192,$C2342,'5. PERSON'!CP$17:CP$192)+SUMIF('6. OPERATION'!$B$17:$B$149,$C2342,'6. OPERATION'!BS$17:BS$149)+SUMIF('8. FACILIT'!$B$18:$B$50,$C2342,'8. FACILIT'!T$18:T$50))</f>
        <v>0</v>
      </c>
      <c r="D2348" s="116">
        <f>IF('2. START'!$C$11="NO",SUMIF('8. FACILIT'!$B$18:$B$50,$C2342,'8. FACILIT'!U$18:U$50),SUMIF('5. PERSON'!$B$17:$B$192,$C2342,'5. PERSON'!CQ$17:CQ$192)+SUMIF('6. OPERATION'!$B$17:$B$149,$C2342,'6. OPERATION'!BT$17:BT$149)+SUMIF('8. FACILIT'!$B$18:$B$50,$C2342,'8. FACILIT'!U$18:U$50))</f>
        <v>0</v>
      </c>
      <c r="E2348" s="116">
        <f>IF('2. START'!$C$11="NO",SUMIF('8. FACILIT'!$B$18:$B$50,$C2342,'8. FACILIT'!V$18:V$50),SUMIF('5. PERSON'!$B$17:$B$192,$C2342,'5. PERSON'!CR$17:CR$192)+SUMIF('6. OPERATION'!$B$17:$B$149,$C2342,'6. OPERATION'!BU$17:BU$149)+SUMIF('8. FACILIT'!$B$18:$B$50,$C2342,'8. FACILIT'!V$18:V$50))</f>
        <v>0</v>
      </c>
      <c r="F2348" s="116">
        <f>IF('2. START'!$C$11="NO",SUMIF('8. FACILIT'!$B$18:$B$50,$C2342,'8. FACILIT'!W$18:W$50),SUMIF('5. PERSON'!$B$17:$B$192,$C2342,'5. PERSON'!CS$17:CS$192)+SUMIF('6. OPERATION'!$B$17:$B$149,$C2342,'6. OPERATION'!BV$17:BV$149)+SUMIF('8. FACILIT'!$B$18:$B$50,$C2342,'8. FACILIT'!W$18:W$50))</f>
        <v>0</v>
      </c>
      <c r="G2348" s="116">
        <f>IF('2. START'!$C$11="NO",SUMIF('8. FACILIT'!$B$18:$B$50,$C2342,'8. FACILIT'!X$18:X$50),SUMIF('5. PERSON'!$B$17:$B$192,$C2342,'5. PERSON'!CT$17:CT$192)+SUMIF('6. OPERATION'!$B$17:$B$149,$C2342,'6. OPERATION'!BW$17:BW$149)+SUMIF('8. FACILIT'!$B$18:$B$50,$C2342,'8. FACILIT'!X$18:X$50))</f>
        <v>0</v>
      </c>
      <c r="H2348" s="116">
        <f>IF('2. START'!$C$11="NO",SUMIF('8. FACILIT'!$B$18:$B$50,$C2342,'8. FACILIT'!Y$18:Y$50),SUMIF('5. PERSON'!$B$17:$B$192,$C2342,'5. PERSON'!CU$17:CU$192)+SUMIF('6. OPERATION'!$B$17:$B$149,$C2342,'6. OPERATION'!BX$17:BX$149)+SUMIF('8. FACILIT'!$B$18:$B$50,$C2342,'8. FACILIT'!Y$18:Y$50))</f>
        <v>0</v>
      </c>
      <c r="I2348" s="116">
        <f>IF('2. START'!$C$11="NO",SUMIF('8. FACILIT'!$B$18:$B$50,$C2342,'8. FACILIT'!Z$18:Z$50),SUMIF('5. PERSON'!$B$17:$B$192,$C2342,'5. PERSON'!CV$17:CV$192)+SUMIF('6. OPERATION'!$B$17:$B$149,$C2342,'6. OPERATION'!BY$17:BY$149)+SUMIF('8. FACILIT'!$B$18:$B$50,$C2342,'8. FACILIT'!Z$18:Z$50))</f>
        <v>0</v>
      </c>
      <c r="J2348" s="116">
        <f>IF('2. START'!$C$11="NO",SUMIF('8. FACILIT'!$B$18:$B$50,$C2342,'8. FACILIT'!AA$18:AA$50),SUMIF('5. PERSON'!$B$17:$B$192,$C2342,'5. PERSON'!CW$17:CW$192)+SUMIF('6. OPERATION'!$B$17:$B$149,$C2342,'6. OPERATION'!BZ$17:BZ$149)+SUMIF('8. FACILIT'!$B$18:$B$50,$C2342,'8. FACILIT'!AA$18:AA$50))</f>
        <v>0</v>
      </c>
      <c r="K2348" s="116">
        <f>IF('2. START'!$C$11="NO",SUMIF('8. FACILIT'!$B$18:$B$50,$C2342,'8. FACILIT'!AB$18:AB$50),SUMIF('5. PERSON'!$B$17:$B$192,$C2342,'5. PERSON'!CX$17:CX$192)+SUMIF('6. OPERATION'!$B$17:$B$149,$C2342,'6. OPERATION'!CA$17:CA$149)+SUMIF('8. FACILIT'!$B$18:$B$50,$C2342,'8. FACILIT'!AB$18:AB$50))</f>
        <v>0</v>
      </c>
      <c r="L2348" s="116">
        <f>IF('2. START'!$C$11="NO",SUMIF('8. FACILIT'!$B$18:$B$50,$C2342,'8. FACILIT'!AC$18:AC$50),SUMIF('5. PERSON'!$B$17:$B$192,$C2342,'5. PERSON'!CY$17:CY$192)+SUMIF('6. OPERATION'!$B$17:$B$149,$C2342,'6. OPERATION'!CB$17:CB$149)+SUMIF('8. FACILIT'!$B$18:$B$50,$C2342,'8. FACILIT'!AC$18:AC$50))</f>
        <v>0</v>
      </c>
      <c r="M2348" s="117">
        <f t="shared" si="565"/>
        <v>0</v>
      </c>
    </row>
    <row r="2349" spans="2:15" s="3" customFormat="1" ht="13.2" x14ac:dyDescent="0.25">
      <c r="B2349" s="122" t="str">
        <f>IF('1. INTRO'!I$2="English",(IF('2. START'!C$11="NO","Indirect and facility charge accepted as OH by funding body","Indirect")),IF('2. START'!C$11="NO","Indirekt och lokalpåslag accepterade som OH av finansiär","Indirekt"))</f>
        <v>Indirect</v>
      </c>
      <c r="C2349" s="107">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0</v>
      </c>
      <c r="D2349" s="107">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0</v>
      </c>
      <c r="E2349" s="107">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0</v>
      </c>
      <c r="F2349" s="107">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0</v>
      </c>
      <c r="G2349" s="107">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0</v>
      </c>
      <c r="H2349" s="107">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107">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107">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107">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107">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120">
        <f t="shared" si="565"/>
        <v>0</v>
      </c>
    </row>
    <row r="2350" spans="2:15" s="3" customFormat="1" ht="13.2" x14ac:dyDescent="0.25">
      <c r="B2350" s="124" t="s">
        <v>113</v>
      </c>
      <c r="C2350" s="102">
        <f>SUM(C2345:C2349)</f>
        <v>0</v>
      </c>
      <c r="D2350" s="102">
        <f t="shared" ref="D2350:L2350" si="566">SUM(D2345:D2349)</f>
        <v>0</v>
      </c>
      <c r="E2350" s="102">
        <f t="shared" si="566"/>
        <v>0</v>
      </c>
      <c r="F2350" s="102">
        <f t="shared" si="566"/>
        <v>0</v>
      </c>
      <c r="G2350" s="102">
        <f t="shared" si="566"/>
        <v>0</v>
      </c>
      <c r="H2350" s="102">
        <f t="shared" si="566"/>
        <v>0</v>
      </c>
      <c r="I2350" s="102">
        <f t="shared" si="566"/>
        <v>0</v>
      </c>
      <c r="J2350" s="102">
        <f t="shared" si="566"/>
        <v>0</v>
      </c>
      <c r="K2350" s="102">
        <f t="shared" si="566"/>
        <v>0</v>
      </c>
      <c r="L2350" s="102">
        <f t="shared" si="566"/>
        <v>0</v>
      </c>
      <c r="M2350" s="125">
        <f t="shared" si="565"/>
        <v>0</v>
      </c>
    </row>
    <row r="2351" spans="2:15" s="3" customFormat="1" ht="6" customHeight="1" x14ac:dyDescent="0.25">
      <c r="B2351" s="126"/>
      <c r="C2351" s="127"/>
      <c r="D2351" s="127"/>
      <c r="E2351" s="127"/>
      <c r="F2351" s="127"/>
      <c r="G2351" s="127"/>
      <c r="H2351" s="127"/>
      <c r="I2351" s="127"/>
      <c r="J2351" s="127"/>
      <c r="K2351" s="127"/>
      <c r="L2351" s="127"/>
      <c r="M2351" s="128"/>
    </row>
    <row r="2352" spans="2:15" s="3" customFormat="1" ht="13.2" x14ac:dyDescent="0.25">
      <c r="B2352" s="129" t="str">
        <f>IF('1. INTRO'!I$2="English","Costs to be co-funded","Kostnader att medfinansiera")</f>
        <v>Costs to be co-funded</v>
      </c>
      <c r="C2352" s="86"/>
      <c r="D2352" s="86"/>
      <c r="E2352" s="86"/>
      <c r="F2352" s="86"/>
      <c r="G2352" s="86"/>
      <c r="H2352" s="86"/>
      <c r="I2352" s="86"/>
      <c r="J2352" s="86"/>
      <c r="K2352" s="86"/>
      <c r="L2352" s="86"/>
      <c r="M2352" s="130"/>
    </row>
    <row r="2353" spans="2:15" s="3" customFormat="1" ht="13.2" x14ac:dyDescent="0.25">
      <c r="B2353" s="159" t="str">
        <f>IF('1. INTRO'!I$2="English",(IF('2. START'!C$11="NO","Indirect and facility charge not accepted as OH by funding body","")),IF('2. START'!C$11="NO","Indirekt och lokalpåslag inte accepterade som OH av finansiär",""))</f>
        <v/>
      </c>
      <c r="C2353" s="131">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0</v>
      </c>
      <c r="D2353" s="131">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0</v>
      </c>
      <c r="E2353" s="131">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0</v>
      </c>
      <c r="F2353" s="131">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0</v>
      </c>
      <c r="G2353" s="131">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0</v>
      </c>
      <c r="H2353" s="131">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31">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31">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31">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31">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115">
        <f t="shared" ref="M2353:M2359" si="567">SUM(C2353:L2353)</f>
        <v>0</v>
      </c>
    </row>
    <row r="2354" spans="2:15" s="3" customFormat="1" ht="12.75" customHeight="1" x14ac:dyDescent="0.25">
      <c r="B2354" s="132" t="str">
        <f>IF('1. INTRO'!I$2="English",(IF('2. START'!C$14&gt;0,"Social costs (LKP) not accepted by funding body","")),IF('2. START'!C$14&gt;0,"LKP som inte accepteras av finansiär",""))</f>
        <v/>
      </c>
      <c r="C2354" s="133">
        <f>IF('2. START'!$C$14&gt;0,SUMIF('5. PERSON'!$B$17:$B$192,$C2342,'5. PERSON'!AT$17:AT$192)-SUMIF('5. PERSON'!$B$17:$B$192,$C2342,'5. PERSON'!DN$17:DN$192),0)</f>
        <v>0</v>
      </c>
      <c r="D2354" s="133">
        <f>IF('2. START'!$C$14&gt;0,SUMIF('5. PERSON'!$B$17:$B$192,$C2342,'5. PERSON'!AU$17:AU$192)-SUMIF('5. PERSON'!$B$17:$B$192,$C2342,'5. PERSON'!DO$17:DO$192),0)</f>
        <v>0</v>
      </c>
      <c r="E2354" s="133">
        <f>IF('2. START'!$C$14&gt;0,SUMIF('5. PERSON'!$B$17:$B$192,$C2342,'5. PERSON'!AV$17:AV$192)-SUMIF('5. PERSON'!$B$17:$B$192,$C2342,'5. PERSON'!DP$17:DP$192),0)</f>
        <v>0</v>
      </c>
      <c r="F2354" s="133">
        <f>IF('2. START'!$C$14&gt;0,SUMIF('5. PERSON'!$B$17:$B$192,$C2342,'5. PERSON'!AW$17:AW$192)-SUMIF('5. PERSON'!$B$17:$B$192,$C2342,'5. PERSON'!DQ$17:DQ$192),0)</f>
        <v>0</v>
      </c>
      <c r="G2354" s="133">
        <f>IF('2. START'!$C$14&gt;0,SUMIF('5. PERSON'!$B$17:$B$192,$C2342,'5. PERSON'!AX$17:AX$192)-SUMIF('5. PERSON'!$B$17:$B$192,$C2342,'5. PERSON'!DR$17:DR$192),0)</f>
        <v>0</v>
      </c>
      <c r="H2354" s="133">
        <f>IF('2. START'!$C$14&gt;0,SUMIF('5. PERSON'!$B$17:$B$192,$C2342,'5. PERSON'!AY$17:AY$192)-SUMIF('5. PERSON'!$B$17:$B$192,$C2342,'5. PERSON'!DS$17:DS$192),0)</f>
        <v>0</v>
      </c>
      <c r="I2354" s="133">
        <f>IF('2. START'!$C$14&gt;0,SUMIF('5. PERSON'!$B$17:$B$192,$C2342,'5. PERSON'!AZ$17:AZ$192)-SUMIF('5. PERSON'!$B$17:$B$192,$C2342,'5. PERSON'!DT$17:DT$192),0)</f>
        <v>0</v>
      </c>
      <c r="J2354" s="133">
        <f>IF('2. START'!$C$14&gt;0,SUMIF('5. PERSON'!$B$17:$B$192,$C2342,'5. PERSON'!BA$17:BA$192)-SUMIF('5. PERSON'!$B$17:$B$192,$C2342,'5. PERSON'!DU$17:DU$192),0)</f>
        <v>0</v>
      </c>
      <c r="K2354" s="133">
        <f>IF('2. START'!$C$14&gt;0,SUMIF('5. PERSON'!$B$17:$B$192,$C2342,'5. PERSON'!BB$17:BB$192)-SUMIF('5. PERSON'!$B$17:$B$192,$C2342,'5. PERSON'!DV$17:DV$192),0)</f>
        <v>0</v>
      </c>
      <c r="L2354" s="133">
        <f>IF('2. START'!$C$14&gt;0,SUMIF('5. PERSON'!$B$17:$B$192,$C2342,'5. PERSON'!BC$17:BC$192)-SUMIF('5. PERSON'!$B$17:$B$192,$C2342,'5. PERSON'!DW$17:DW$192),0)</f>
        <v>0</v>
      </c>
      <c r="M2354" s="117">
        <f t="shared" si="567"/>
        <v>0</v>
      </c>
    </row>
    <row r="2355" spans="2:15" s="3" customFormat="1" ht="12.75" customHeight="1" x14ac:dyDescent="0.25">
      <c r="B2355" s="118" t="str">
        <f>IF('1. INTRO'!I$2="English",(IF('5. PERSON'!BP$193&gt;0,"Salary including social costs (LKP)","")),IF('5. PERSON'!BP$193&gt;0,"Lön inklusive LKP",""))</f>
        <v/>
      </c>
      <c r="C2355" s="134">
        <f>SUMIF('5. PERSON'!$B$17:$B$192,$C2342,'5. PERSON'!BF$17:BF$192)</f>
        <v>0</v>
      </c>
      <c r="D2355" s="134">
        <f>SUMIF('5. PERSON'!$B$17:$B$192,$C2342,'5. PERSON'!BG$17:BG$192)</f>
        <v>0</v>
      </c>
      <c r="E2355" s="134">
        <f>SUMIF('5. PERSON'!$B$17:$B$192,$C2342,'5. PERSON'!BH$17:BH$192)</f>
        <v>0</v>
      </c>
      <c r="F2355" s="134">
        <f>SUMIF('5. PERSON'!$B$17:$B$192,$C2342,'5. PERSON'!BI$17:BI$192)</f>
        <v>0</v>
      </c>
      <c r="G2355" s="134">
        <f>SUMIF('5. PERSON'!$B$17:$B$192,$C2342,'5. PERSON'!BJ$17:BJ$192)</f>
        <v>0</v>
      </c>
      <c r="H2355" s="134">
        <f>SUMIF('5. PERSON'!$B$17:$B$192,$C2342,'5. PERSON'!BK$17:BK$192)</f>
        <v>0</v>
      </c>
      <c r="I2355" s="134">
        <f>SUMIF('5. PERSON'!$B$17:$B$192,$C2342,'5. PERSON'!BL$17:BL$192)</f>
        <v>0</v>
      </c>
      <c r="J2355" s="134">
        <f>SUMIF('5. PERSON'!$B$17:$B$192,$C2342,'5. PERSON'!BM$17:BM$192)</f>
        <v>0</v>
      </c>
      <c r="K2355" s="134">
        <f>SUMIF('5. PERSON'!$B$17:$B$192,$C2342,'5. PERSON'!BN$17:BN$192)</f>
        <v>0</v>
      </c>
      <c r="L2355" s="134">
        <f>SUMIF('5. PERSON'!$B$17:$B$192,$C2342,'5. PERSON'!BO$17:BO$192)</f>
        <v>0</v>
      </c>
      <c r="M2355" s="120">
        <f t="shared" si="567"/>
        <v>0</v>
      </c>
    </row>
    <row r="2356" spans="2:15" s="3" customFormat="1" ht="13.2" x14ac:dyDescent="0.25">
      <c r="B2356" s="80" t="str">
        <f>IF('1. INTRO'!I$2="English",(IF('6. OPERATION'!AS$150&gt;0,"Operating","")),IF('6. OPERATION'!AS$150&gt;0,"Drift",""))</f>
        <v/>
      </c>
      <c r="C2356" s="135">
        <f>SUMIF('6. OPERATION'!$B$17:$B$149,$C2342,'6. OPERATION'!AI$17:AI$149)</f>
        <v>0</v>
      </c>
      <c r="D2356" s="135">
        <f>SUMIF('6. OPERATION'!$B$17:$B$149,$C2342,'6. OPERATION'!AJ$17:AJ$149)</f>
        <v>0</v>
      </c>
      <c r="E2356" s="135">
        <f>SUMIF('6. OPERATION'!$B$17:$B$149,$C2342,'6. OPERATION'!AK$17:AK$149)</f>
        <v>0</v>
      </c>
      <c r="F2356" s="135">
        <f>SUMIF('6. OPERATION'!$B$17:$B$149,$C2342,'6. OPERATION'!AL$17:AL$149)</f>
        <v>0</v>
      </c>
      <c r="G2356" s="135">
        <f>SUMIF('6. OPERATION'!$B$17:$B$149,$C2342,'6. OPERATION'!AM$17:AM$149)</f>
        <v>0</v>
      </c>
      <c r="H2356" s="135">
        <f>SUMIF('6. OPERATION'!$B$17:$B$149,$C2342,'6. OPERATION'!AN$17:AN$149)</f>
        <v>0</v>
      </c>
      <c r="I2356" s="135">
        <f>SUMIF('6. OPERATION'!$B$17:$B$149,$C2342,'6. OPERATION'!AO$17:AO$149)</f>
        <v>0</v>
      </c>
      <c r="J2356" s="135">
        <f>SUMIF('6. OPERATION'!$B$17:$B$149,$C2342,'6. OPERATION'!AP$17:AP$149)</f>
        <v>0</v>
      </c>
      <c r="K2356" s="135">
        <f>SUMIF('6. OPERATION'!$B$17:$B$149,$C2342,'6. OPERATION'!AQ$17:AQ$149)</f>
        <v>0</v>
      </c>
      <c r="L2356" s="135">
        <f>SUMIF('6. OPERATION'!$B$17:$B$149,$C2342,'6. OPERATION'!AR$17:AR$149)</f>
        <v>0</v>
      </c>
      <c r="M2356" s="117">
        <f t="shared" si="567"/>
        <v>0</v>
      </c>
    </row>
    <row r="2357" spans="2:15" s="3" customFormat="1" ht="13.2" x14ac:dyDescent="0.25">
      <c r="B2357" s="118" t="str">
        <f>IF('1. INTRO'!I$2="English",(IF('7. INVEST'!AS$50&gt;0,"Equipment","")),IF('7. INVEST'!AS$50&gt;0,"Utrustning",""))</f>
        <v/>
      </c>
      <c r="C2357" s="134">
        <f>SUMIF('7. INVEST'!$B$17:$B$49,$C2342,'7. INVEST'!AI$17:AI$49)</f>
        <v>0</v>
      </c>
      <c r="D2357" s="134">
        <f>SUMIF('7. INVEST'!$B$17:$B$49,$C2342,'7. INVEST'!AJ$17:AJ$49)</f>
        <v>0</v>
      </c>
      <c r="E2357" s="134">
        <f>SUMIF('7. INVEST'!$B$17:$B$49,$C2342,'7. INVEST'!AK$17:AK$49)</f>
        <v>0</v>
      </c>
      <c r="F2357" s="134">
        <f>SUMIF('7. INVEST'!$B$17:$B$49,$C2342,'7. INVEST'!AL$17:AL$49)</f>
        <v>0</v>
      </c>
      <c r="G2357" s="134">
        <f>SUMIF('7. INVEST'!$B$17:$B$49,$C2342,'7. INVEST'!AM$17:AM$49)</f>
        <v>0</v>
      </c>
      <c r="H2357" s="134">
        <f>SUMIF('7. INVEST'!$B$17:$B$49,$C2342,'7. INVEST'!AN$17:AN$49)</f>
        <v>0</v>
      </c>
      <c r="I2357" s="134">
        <f>SUMIF('7. INVEST'!$B$17:$B$49,$C2342,'7. INVEST'!AO$17:AO$49)</f>
        <v>0</v>
      </c>
      <c r="J2357" s="134">
        <f>SUMIF('7. INVEST'!$B$17:$B$49,$C2342,'7. INVEST'!AP$17:AP$49)</f>
        <v>0</v>
      </c>
      <c r="K2357" s="134">
        <f>SUMIF('7. INVEST'!$B$17:$B$49,$C2342,'7. INVEST'!AQ$17:AQ$49)</f>
        <v>0</v>
      </c>
      <c r="L2357" s="134">
        <f>SUMIF('7. INVEST'!$B$17:$B$49,$C2342,'7. INVEST'!AR$17:AR$49)</f>
        <v>0</v>
      </c>
      <c r="M2357" s="120">
        <f t="shared" si="567"/>
        <v>0</v>
      </c>
    </row>
    <row r="2358" spans="2:15" s="3" customFormat="1" ht="13.2" x14ac:dyDescent="0.25">
      <c r="B2358" s="121" t="str">
        <f>IF('1. INTRO'!I$2="English",(IF('8. FACILIT'!AP$51&gt;0,"Facility","")),IF('8. FACILIT'!AP$51&gt;0,"Lokal",""))</f>
        <v/>
      </c>
      <c r="C2358" s="135">
        <f>SUMIF('5. PERSON'!$B$17:$B$192,$C2342,'5. PERSON'!DB$17:DB$192)+SUMIF('6. OPERATION'!$B$17:$B$149,$C2342,'6. OPERATION'!CE$17:CE$149)+SUMIF('8. FACILIT'!$B$18:$B$50,$C2342,'8. FACILIT'!AF$18:AF$50)</f>
        <v>0</v>
      </c>
      <c r="D2358" s="135">
        <f>SUMIF('5. PERSON'!$B$17:$B$192,$C2342,'5. PERSON'!DC$17:DC$192)+SUMIF('6. OPERATION'!$B$17:$B$149,$C2342,'6. OPERATION'!CF$17:CF$149)+SUMIF('8. FACILIT'!$B$18:$B$50,$C2342,'8. FACILIT'!AG$18:AG$50)</f>
        <v>0</v>
      </c>
      <c r="E2358" s="135">
        <f>SUMIF('5. PERSON'!$B$17:$B$192,$C2342,'5. PERSON'!DD$17:DD$192)+SUMIF('6. OPERATION'!$B$17:$B$149,$C2342,'6. OPERATION'!CG$17:CG$149)+SUMIF('8. FACILIT'!$B$18:$B$50,$C2342,'8. FACILIT'!AH$18:AH$50)</f>
        <v>0</v>
      </c>
      <c r="F2358" s="135">
        <f>SUMIF('5. PERSON'!$B$17:$B$192,$C2342,'5. PERSON'!DE$17:DE$192)+SUMIF('6. OPERATION'!$B$17:$B$149,$C2342,'6. OPERATION'!CH$17:CH$149)+SUMIF('8. FACILIT'!$B$18:$B$50,$C2342,'8. FACILIT'!AI$18:AI$50)</f>
        <v>0</v>
      </c>
      <c r="G2358" s="135">
        <f>SUMIF('5. PERSON'!$B$17:$B$192,$C2342,'5. PERSON'!DF$17:DF$192)+SUMIF('6. OPERATION'!$B$17:$B$149,$C2342,'6. OPERATION'!CI$17:CI$149)+SUMIF('8. FACILIT'!$B$18:$B$50,$C2342,'8. FACILIT'!AJ$18:AJ$50)</f>
        <v>0</v>
      </c>
      <c r="H2358" s="135">
        <f>SUMIF('5. PERSON'!$B$17:$B$192,$C2342,'5. PERSON'!DG$17:DG$192)+SUMIF('6. OPERATION'!$B$17:$B$149,$C2342,'6. OPERATION'!CJ$17:CJ$149)+SUMIF('8. FACILIT'!$B$18:$B$50,$C2342,'8. FACILIT'!AK$18:AK$50)</f>
        <v>0</v>
      </c>
      <c r="I2358" s="135">
        <f>SUMIF('5. PERSON'!$B$17:$B$192,$C2342,'5. PERSON'!DH$17:DH$192)+SUMIF('6. OPERATION'!$B$17:$B$149,$C2342,'6. OPERATION'!CK$17:CK$149)+SUMIF('8. FACILIT'!$B$18:$B$50,$C2342,'8. FACILIT'!AL$18:AL$50)</f>
        <v>0</v>
      </c>
      <c r="J2358" s="135">
        <f>SUMIF('5. PERSON'!$B$17:$B$192,$C2342,'5. PERSON'!DI$17:DI$192)+SUMIF('6. OPERATION'!$B$17:$B$149,$C2342,'6. OPERATION'!CL$17:CL$149)+SUMIF('8. FACILIT'!$B$18:$B$50,$C2342,'8. FACILIT'!AM$18:AM$50)</f>
        <v>0</v>
      </c>
      <c r="K2358" s="135">
        <f>SUMIF('5. PERSON'!$B$17:$B$192,$C2342,'5. PERSON'!DJ$17:DJ$192)+SUMIF('6. OPERATION'!$B$17:$B$149,$C2342,'6. OPERATION'!CM$17:CM$149)+SUMIF('8. FACILIT'!$B$18:$B$50,$C2342,'8. FACILIT'!AN$18:AN$50)</f>
        <v>0</v>
      </c>
      <c r="L2358" s="135">
        <f>SUMIF('5. PERSON'!$B$17:$B$192,$C2342,'5. PERSON'!DK$17:DK$192)+SUMIF('6. OPERATION'!$B$17:$B$149,$C2342,'6. OPERATION'!CN$17:CN$149)+SUMIF('8. FACILIT'!$B$18:$B$50,$C2342,'8. FACILIT'!AO$18:AO$50)</f>
        <v>0</v>
      </c>
      <c r="M2358" s="117">
        <f t="shared" si="567"/>
        <v>0</v>
      </c>
    </row>
    <row r="2359" spans="2:15" s="1" customFormat="1" ht="13.2" x14ac:dyDescent="0.25">
      <c r="B2359" s="122" t="str">
        <f>IF('1. INTRO'!I$2="English",(IF(('5. PERSON'!CN$193+'6. OPERATION'!BQ$150)&gt;0,"Indirect","")),IF(('5. PERSON'!CN$193+'6. OPERATION'!BQ$150)&gt;0,"Indirekt",""))</f>
        <v/>
      </c>
      <c r="C2359" s="107">
        <f>SUMIF('5. PERSON'!$B$17:$B$192,$C2342,'5. PERSON'!CD$17:CD$192)+SUMIF('6. OPERATION'!$B$17:$B$149,$C2342,'6. OPERATION'!BG$17:BG$149)</f>
        <v>0</v>
      </c>
      <c r="D2359" s="107">
        <f>SUMIF('5. PERSON'!$B$17:$B$192,$C2342,'5. PERSON'!CE$17:CE$192)+SUMIF('6. OPERATION'!$B$17:$B$149,$C2342,'6. OPERATION'!BH$17:BH$149)</f>
        <v>0</v>
      </c>
      <c r="E2359" s="107">
        <f>SUMIF('5. PERSON'!$B$17:$B$192,$C2342,'5. PERSON'!CF$17:CF$192)+SUMIF('6. OPERATION'!$B$17:$B$149,$C2342,'6. OPERATION'!BI$17:BI$149)</f>
        <v>0</v>
      </c>
      <c r="F2359" s="107">
        <f>SUMIF('5. PERSON'!$B$17:$B$192,$C2342,'5. PERSON'!CG$17:CG$192)+SUMIF('6. OPERATION'!$B$17:$B$149,$C2342,'6. OPERATION'!BJ$17:BJ$149)</f>
        <v>0</v>
      </c>
      <c r="G2359" s="107">
        <f>SUMIF('5. PERSON'!$B$17:$B$192,$C2342,'5. PERSON'!CH$17:CH$192)+SUMIF('6. OPERATION'!$B$17:$B$149,$C2342,'6. OPERATION'!BK$17:BK$149)</f>
        <v>0</v>
      </c>
      <c r="H2359" s="107">
        <f>SUMIF('5. PERSON'!$B$17:$B$192,$C2342,'5. PERSON'!CI$17:CI$192)+SUMIF('6. OPERATION'!$B$17:$B$149,$C2342,'6. OPERATION'!BL$17:BL$149)</f>
        <v>0</v>
      </c>
      <c r="I2359" s="107">
        <f>SUMIF('5. PERSON'!$B$17:$B$192,$C2342,'5. PERSON'!CJ$17:CJ$192)+SUMIF('6. OPERATION'!$B$17:$B$149,$C2342,'6. OPERATION'!BM$17:BM$149)</f>
        <v>0</v>
      </c>
      <c r="J2359" s="107">
        <f>SUMIF('5. PERSON'!$B$17:$B$192,$C2342,'5. PERSON'!CK$17:CK$192)+SUMIF('6. OPERATION'!$B$17:$B$149,$C2342,'6. OPERATION'!BN$17:BN$149)</f>
        <v>0</v>
      </c>
      <c r="K2359" s="107">
        <f>SUMIF('5. PERSON'!$B$17:$B$192,$C2342,'5. PERSON'!CL$17:CL$192)+SUMIF('6. OPERATION'!$B$17:$B$149,$C2342,'6. OPERATION'!BO$17:BO$149)</f>
        <v>0</v>
      </c>
      <c r="L2359" s="107">
        <f>SUMIF('5. PERSON'!$B$17:$B$192,$C2342,'5. PERSON'!CM$17:CM$192)+SUMIF('6. OPERATION'!$B$17:$B$149,$C2342,'6. OPERATION'!BP$17:BP$149)</f>
        <v>0</v>
      </c>
      <c r="M2359" s="123">
        <f t="shared" si="567"/>
        <v>0</v>
      </c>
    </row>
    <row r="2360" spans="2:15" s="3" customFormat="1" ht="13.2" x14ac:dyDescent="0.25">
      <c r="B2360" s="124" t="s">
        <v>113</v>
      </c>
      <c r="C2360" s="102">
        <f>SUM(C2353:C2359)</f>
        <v>0</v>
      </c>
      <c r="D2360" s="102">
        <f t="shared" ref="D2360:L2360" si="568">SUM(D2353:D2359)</f>
        <v>0</v>
      </c>
      <c r="E2360" s="102">
        <f t="shared" si="568"/>
        <v>0</v>
      </c>
      <c r="F2360" s="102">
        <f t="shared" si="568"/>
        <v>0</v>
      </c>
      <c r="G2360" s="102">
        <f t="shared" si="568"/>
        <v>0</v>
      </c>
      <c r="H2360" s="102">
        <f t="shared" si="568"/>
        <v>0</v>
      </c>
      <c r="I2360" s="102">
        <f t="shared" si="568"/>
        <v>0</v>
      </c>
      <c r="J2360" s="102">
        <f t="shared" si="568"/>
        <v>0</v>
      </c>
      <c r="K2360" s="102">
        <f t="shared" si="568"/>
        <v>0</v>
      </c>
      <c r="L2360" s="102">
        <f t="shared" si="568"/>
        <v>0</v>
      </c>
      <c r="M2360" s="125">
        <f t="shared" ref="M2360" si="569">SUM(M2353:M2359)</f>
        <v>0</v>
      </c>
      <c r="N2360" s="23"/>
      <c r="O2360" s="23"/>
    </row>
    <row r="2361" spans="2:15" s="3" customFormat="1" ht="6" customHeight="1" x14ac:dyDescent="0.25">
      <c r="B2361" s="136"/>
      <c r="C2361" s="127"/>
      <c r="D2361" s="127"/>
      <c r="E2361" s="127"/>
      <c r="F2361" s="127"/>
      <c r="G2361" s="127"/>
      <c r="H2361" s="127"/>
      <c r="I2361" s="127"/>
      <c r="J2361" s="127"/>
      <c r="K2361" s="127"/>
      <c r="L2361" s="127"/>
      <c r="M2361" s="137"/>
    </row>
    <row r="2362" spans="2:15" s="3" customFormat="1" ht="13.2" x14ac:dyDescent="0.25">
      <c r="B2362" s="129" t="str">
        <f>IF('1. INTRO'!I$2="English","Full cost","Full kostnad")</f>
        <v>Full cost</v>
      </c>
      <c r="C2362" s="127"/>
      <c r="D2362" s="127"/>
      <c r="E2362" s="127"/>
      <c r="F2362" s="127"/>
      <c r="G2362" s="127"/>
      <c r="H2362" s="127"/>
      <c r="I2362" s="127"/>
      <c r="J2362" s="127"/>
      <c r="K2362" s="127"/>
      <c r="L2362" s="127"/>
      <c r="M2362" s="137"/>
    </row>
    <row r="2363" spans="2:15" s="3" customFormat="1" ht="13.2" x14ac:dyDescent="0.25">
      <c r="B2363" s="113" t="str">
        <f>IF('1. INTRO'!I$2="English","Salary including social costs (LKP)","Lön inklusive LKP")</f>
        <v>Salary including social costs (LKP)</v>
      </c>
      <c r="C2363" s="138">
        <f>C2345+C2354+C2355</f>
        <v>0</v>
      </c>
      <c r="D2363" s="138">
        <f t="shared" ref="D2363:L2363" si="570">D2345+D2354+D2355</f>
        <v>0</v>
      </c>
      <c r="E2363" s="138">
        <f t="shared" si="570"/>
        <v>0</v>
      </c>
      <c r="F2363" s="138">
        <f t="shared" si="570"/>
        <v>0</v>
      </c>
      <c r="G2363" s="138">
        <f t="shared" si="570"/>
        <v>0</v>
      </c>
      <c r="H2363" s="138">
        <f t="shared" si="570"/>
        <v>0</v>
      </c>
      <c r="I2363" s="138">
        <f t="shared" si="570"/>
        <v>0</v>
      </c>
      <c r="J2363" s="138">
        <f t="shared" si="570"/>
        <v>0</v>
      </c>
      <c r="K2363" s="138">
        <f t="shared" si="570"/>
        <v>0</v>
      </c>
      <c r="L2363" s="138">
        <f t="shared" si="570"/>
        <v>0</v>
      </c>
      <c r="M2363" s="115">
        <f>SUM(C2363:L2363)</f>
        <v>0</v>
      </c>
    </row>
    <row r="2364" spans="2:15" s="3" customFormat="1" ht="13.2" x14ac:dyDescent="0.25">
      <c r="B2364" s="80" t="str">
        <f>IF('1. INTRO'!I$2="English","Operating","Drift")</f>
        <v>Operating</v>
      </c>
      <c r="C2364" s="139">
        <f>C2346+C2356</f>
        <v>0</v>
      </c>
      <c r="D2364" s="139">
        <f t="shared" ref="D2364:L2364" si="571">D2346+D2356</f>
        <v>0</v>
      </c>
      <c r="E2364" s="139">
        <f t="shared" si="571"/>
        <v>0</v>
      </c>
      <c r="F2364" s="139">
        <f t="shared" si="571"/>
        <v>0</v>
      </c>
      <c r="G2364" s="139">
        <f t="shared" si="571"/>
        <v>0</v>
      </c>
      <c r="H2364" s="139">
        <f t="shared" si="571"/>
        <v>0</v>
      </c>
      <c r="I2364" s="139">
        <f t="shared" si="571"/>
        <v>0</v>
      </c>
      <c r="J2364" s="139">
        <f t="shared" si="571"/>
        <v>0</v>
      </c>
      <c r="K2364" s="139">
        <f t="shared" si="571"/>
        <v>0</v>
      </c>
      <c r="L2364" s="139">
        <f t="shared" si="571"/>
        <v>0</v>
      </c>
      <c r="M2364" s="117">
        <f>SUM(C2364:L2364)</f>
        <v>0</v>
      </c>
    </row>
    <row r="2365" spans="2:15" s="3" customFormat="1" ht="13.2" x14ac:dyDescent="0.25">
      <c r="B2365" s="118" t="str">
        <f>IF('1. INTRO'!I$2="English","Equipment","Utrustning")</f>
        <v>Equipment</v>
      </c>
      <c r="C2365" s="140">
        <f>C2347+C2357</f>
        <v>0</v>
      </c>
      <c r="D2365" s="140">
        <f t="shared" ref="D2365:L2365" si="572">D2347+D2357</f>
        <v>0</v>
      </c>
      <c r="E2365" s="140">
        <f t="shared" si="572"/>
        <v>0</v>
      </c>
      <c r="F2365" s="140">
        <f t="shared" si="572"/>
        <v>0</v>
      </c>
      <c r="G2365" s="140">
        <f t="shared" si="572"/>
        <v>0</v>
      </c>
      <c r="H2365" s="140">
        <f t="shared" si="572"/>
        <v>0</v>
      </c>
      <c r="I2365" s="140">
        <f t="shared" si="572"/>
        <v>0</v>
      </c>
      <c r="J2365" s="140">
        <f t="shared" si="572"/>
        <v>0</v>
      </c>
      <c r="K2365" s="140">
        <f t="shared" si="572"/>
        <v>0</v>
      </c>
      <c r="L2365" s="140">
        <f t="shared" si="572"/>
        <v>0</v>
      </c>
      <c r="M2365" s="120">
        <f>SUM(C2365:L2365)</f>
        <v>0</v>
      </c>
    </row>
    <row r="2366" spans="2:15" s="3" customFormat="1" ht="13.2" x14ac:dyDescent="0.25">
      <c r="B2366" s="80" t="str">
        <f>IF('1. INTRO'!I$2="English","Facility","Lokal")</f>
        <v>Facility</v>
      </c>
      <c r="C2366" s="139">
        <f>SUMIF('5. PERSON'!$B$17:$B$192,$C2342,'5. PERSON'!CP$17:CP$192)+SUMIF('5. PERSON'!$B$17:$B$192,$C2342,'5. PERSON'!DB$17:DB$192)+SUMIF('6. OPERATION'!$B$17:$B$149,$C2342,'6. OPERATION'!BS$17:BS$149)+SUMIF('6. OPERATION'!$B$17:$B$149,$C2342,'6. OPERATION'!CE$17:CE$149)+SUMIF('8. FACILIT'!$B$18:$B$50,$C2342,'8. FACILIT'!T$18:T$50)+SUMIF('8. FACILIT'!$B$18:$B$50,$C2342,'8. FACILIT'!AF$18:AF$50)</f>
        <v>0</v>
      </c>
      <c r="D2366" s="139">
        <f>SUMIF('5. PERSON'!$B$17:$B$192,$C2342,'5. PERSON'!CQ$17:CQ$192)+SUMIF('5. PERSON'!$B$17:$B$192,$C2342,'5. PERSON'!DC$17:DC$192)+SUMIF('6. OPERATION'!$B$17:$B$149,$C2342,'6. OPERATION'!BT$17:BT$149)+SUMIF('6. OPERATION'!$B$17:$B$149,$C2342,'6. OPERATION'!CF$17:CF$149)+SUMIF('8. FACILIT'!$B$18:$B$50,$C2342,'8. FACILIT'!U$18:U$50)+SUMIF('8. FACILIT'!$B$18:$B$50,$C2342,'8. FACILIT'!AG$18:AG$50)</f>
        <v>0</v>
      </c>
      <c r="E2366" s="139">
        <f>SUMIF('5. PERSON'!$B$17:$B$192,$C2342,'5. PERSON'!CR$17:CR$192)+SUMIF('5. PERSON'!$B$17:$B$192,$C2342,'5. PERSON'!DD$17:DD$192)+SUMIF('6. OPERATION'!$B$17:$B$149,$C2342,'6. OPERATION'!BU$17:BU$149)+SUMIF('6. OPERATION'!$B$17:$B$149,$C2342,'6. OPERATION'!CG$17:CG$149)+SUMIF('8. FACILIT'!$B$18:$B$50,$C2342,'8. FACILIT'!V$18:V$50)+SUMIF('8. FACILIT'!$B$18:$B$50,$C2342,'8. FACILIT'!AH$18:AH$50)</f>
        <v>0</v>
      </c>
      <c r="F2366" s="139">
        <f>SUMIF('5. PERSON'!$B$17:$B$192,$C2342,'5. PERSON'!CS$17:CS$192)+SUMIF('5. PERSON'!$B$17:$B$192,$C2342,'5. PERSON'!DE$17:DE$192)+SUMIF('6. OPERATION'!$B$17:$B$149,$C2342,'6. OPERATION'!BV$17:BV$149)+SUMIF('6. OPERATION'!$B$17:$B$149,$C2342,'6. OPERATION'!CH$17:CH$149)+SUMIF('8. FACILIT'!$B$18:$B$50,$C2342,'8. FACILIT'!W$18:W$50)+SUMIF('8. FACILIT'!$B$18:$B$50,$C2342,'8. FACILIT'!AI$18:AI$50)</f>
        <v>0</v>
      </c>
      <c r="G2366" s="139">
        <f>SUMIF('5. PERSON'!$B$17:$B$192,$C2342,'5. PERSON'!CT$17:CT$192)+SUMIF('5. PERSON'!$B$17:$B$192,$C2342,'5. PERSON'!DF$17:DF$192)+SUMIF('6. OPERATION'!$B$17:$B$149,$C2342,'6. OPERATION'!BW$17:BW$149)+SUMIF('6. OPERATION'!$B$17:$B$149,$C2342,'6. OPERATION'!CI$17:CI$149)+SUMIF('8. FACILIT'!$B$18:$B$50,$C2342,'8. FACILIT'!X$18:X$50)+SUMIF('8. FACILIT'!$B$18:$B$50,$C2342,'8. FACILIT'!AJ$18:AJ$50)</f>
        <v>0</v>
      </c>
      <c r="H2366" s="139">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39">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39">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39">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39">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117">
        <f>SUM(C2366:L2366)</f>
        <v>0</v>
      </c>
    </row>
    <row r="2367" spans="2:15" s="3" customFormat="1" ht="13.2" x14ac:dyDescent="0.25">
      <c r="B2367" s="601" t="str">
        <f>IF('1. INTRO'!I$2="English","Indirect","Indirekt")</f>
        <v>Indirect</v>
      </c>
      <c r="C2367" s="141">
        <f>SUMIF('5. PERSON'!$B$17:$B$192,$C2342,'5. PERSON'!BR$17:BR$192)+SUMIF('5. PERSON'!$B$17:$B$192,$C2342,'5. PERSON'!CD$17:CD$192)+SUMIF('6. OPERATION'!$B$17:$B$149,$C2342,'6. OPERATION'!AU$17:AU$149)+SUMIF('6. OPERATION'!$B$17:$B$149,$C2342,'6. OPERATION'!BG$17:BG$149)</f>
        <v>0</v>
      </c>
      <c r="D2367" s="141">
        <f>SUMIF('5. PERSON'!$B$17:$B$192,$C2342,'5. PERSON'!BS$17:BS$192)+SUMIF('5. PERSON'!$B$17:$B$192,$C2342,'5. PERSON'!CE$17:CE$192)+SUMIF('6. OPERATION'!$B$17:$B$149,$C2342,'6. OPERATION'!AV$17:AV$149)+SUMIF('6. OPERATION'!$B$17:$B$149,$C2342,'6. OPERATION'!BH$17:BH$149)</f>
        <v>0</v>
      </c>
      <c r="E2367" s="141">
        <f>SUMIF('5. PERSON'!$B$17:$B$192,$C2342,'5. PERSON'!BT$17:BT$192)+SUMIF('5. PERSON'!$B$17:$B$192,$C2342,'5. PERSON'!CF$17:CF$192)+SUMIF('6. OPERATION'!$B$17:$B$149,$C2342,'6. OPERATION'!AW$17:AW$149)+SUMIF('6. OPERATION'!$B$17:$B$149,$C2342,'6. OPERATION'!BI$17:BI$149)</f>
        <v>0</v>
      </c>
      <c r="F2367" s="141">
        <f>SUMIF('5. PERSON'!$B$17:$B$192,$C2342,'5. PERSON'!BU$17:BU$192)+SUMIF('5. PERSON'!$B$17:$B$192,$C2342,'5. PERSON'!CG$17:CG$192)+SUMIF('6. OPERATION'!$B$17:$B$149,$C2342,'6. OPERATION'!AX$17:AX$149)+SUMIF('6. OPERATION'!$B$17:$B$149,$C2342,'6. OPERATION'!BJ$17:BJ$149)</f>
        <v>0</v>
      </c>
      <c r="G2367" s="141">
        <f>SUMIF('5. PERSON'!$B$17:$B$192,$C2342,'5. PERSON'!BV$17:BV$192)+SUMIF('5. PERSON'!$B$17:$B$192,$C2342,'5. PERSON'!CH$17:CH$192)+SUMIF('6. OPERATION'!$B$17:$B$149,$C2342,'6. OPERATION'!AY$17:AY$149)+SUMIF('6. OPERATION'!$B$17:$B$149,$C2342,'6. OPERATION'!BK$17:BK$149)</f>
        <v>0</v>
      </c>
      <c r="H2367" s="141">
        <f>SUMIF('5. PERSON'!$B$17:$B$192,$C2342,'5. PERSON'!BW$17:BW$192)+SUMIF('5. PERSON'!$B$17:$B$192,$C2342,'5. PERSON'!CI$17:CI$192)+SUMIF('6. OPERATION'!$B$17:$B$149,$C2342,'6. OPERATION'!AZ$17:AZ$149)+SUMIF('6. OPERATION'!$B$17:$B$149,$C2342,'6. OPERATION'!BL$17:BL$149)</f>
        <v>0</v>
      </c>
      <c r="I2367" s="141">
        <f>SUMIF('5. PERSON'!$B$17:$B$192,$C2342,'5. PERSON'!BX$17:BX$192)+SUMIF('5. PERSON'!$B$17:$B$192,$C2342,'5. PERSON'!CJ$17:CJ$192)+SUMIF('6. OPERATION'!$B$17:$B$149,$C2342,'6. OPERATION'!BA$17:BA$149)+SUMIF('6. OPERATION'!$B$17:$B$149,$C2342,'6. OPERATION'!BM$17:BM$149)</f>
        <v>0</v>
      </c>
      <c r="J2367" s="141">
        <f>SUMIF('5. PERSON'!$B$17:$B$192,$C2342,'5. PERSON'!BY$17:BY$192)+SUMIF('5. PERSON'!$B$17:$B$192,$C2342,'5. PERSON'!CK$17:CK$192)+SUMIF('6. OPERATION'!$B$17:$B$149,$C2342,'6. OPERATION'!BB$17:BB$149)+SUMIF('6. OPERATION'!$B$17:$B$149,$C2342,'6. OPERATION'!BN$17:BN$149)</f>
        <v>0</v>
      </c>
      <c r="K2367" s="141">
        <f>SUMIF('5. PERSON'!$B$17:$B$192,$C2342,'5. PERSON'!BZ$17:BZ$192)+SUMIF('5. PERSON'!$B$17:$B$192,$C2342,'5. PERSON'!CL$17:CL$192)+SUMIF('6. OPERATION'!$B$17:$B$149,$C2342,'6. OPERATION'!BC$17:BC$149)+SUMIF('6. OPERATION'!$B$17:$B$149,$C2342,'6. OPERATION'!BO$17:BO$149)</f>
        <v>0</v>
      </c>
      <c r="L2367" s="141">
        <f>SUMIF('5. PERSON'!$B$17:$B$192,$C2342,'5. PERSON'!CA$17:CA$192)+SUMIF('5. PERSON'!$B$17:$B$192,$C2342,'5. PERSON'!CM$17:CM$192)+SUMIF('6. OPERATION'!$B$17:$B$149,$C2342,'6. OPERATION'!BD$17:BD$149)+SUMIF('6. OPERATION'!$B$17:$B$149,$C2342,'6. OPERATION'!BP$17:BP$149)</f>
        <v>0</v>
      </c>
      <c r="M2367" s="123">
        <f>SUM(C2367:L2367)</f>
        <v>0</v>
      </c>
    </row>
    <row r="2368" spans="2:15" s="3" customFormat="1" ht="13.2" x14ac:dyDescent="0.25">
      <c r="B2368" s="124" t="s">
        <v>113</v>
      </c>
      <c r="C2368" s="88">
        <f>SUM(C2363:C2367)</f>
        <v>0</v>
      </c>
      <c r="D2368" s="88">
        <f t="shared" ref="D2368:M2368" si="573">SUM(D2363:D2367)</f>
        <v>0</v>
      </c>
      <c r="E2368" s="88">
        <f t="shared" si="573"/>
        <v>0</v>
      </c>
      <c r="F2368" s="88">
        <f t="shared" si="573"/>
        <v>0</v>
      </c>
      <c r="G2368" s="88">
        <f t="shared" si="573"/>
        <v>0</v>
      </c>
      <c r="H2368" s="88">
        <f t="shared" si="573"/>
        <v>0</v>
      </c>
      <c r="I2368" s="88">
        <f t="shared" si="573"/>
        <v>0</v>
      </c>
      <c r="J2368" s="88">
        <f t="shared" si="573"/>
        <v>0</v>
      </c>
      <c r="K2368" s="88">
        <f t="shared" si="573"/>
        <v>0</v>
      </c>
      <c r="L2368" s="88">
        <f t="shared" si="573"/>
        <v>0</v>
      </c>
      <c r="M2368" s="142">
        <f t="shared" si="573"/>
        <v>0</v>
      </c>
    </row>
    <row r="2369" spans="2:13" s="3" customFormat="1" ht="13.2" x14ac:dyDescent="0.25">
      <c r="B2369" s="287"/>
      <c r="C2369" s="37"/>
      <c r="D2369" s="37"/>
      <c r="E2369" s="37"/>
      <c r="F2369" s="37"/>
      <c r="G2369" s="37"/>
      <c r="H2369" s="37"/>
      <c r="I2369" s="37"/>
      <c r="J2369" s="37"/>
      <c r="K2369" s="37"/>
      <c r="L2369" s="37"/>
      <c r="M2369" s="37"/>
    </row>
    <row r="2370" spans="2:13" s="3" customFormat="1" ht="12.75" customHeight="1" x14ac:dyDescent="0.25">
      <c r="B2370" s="656" t="str">
        <f>IF('1. INTRO'!I$2="English","Co-funding share in full cost ","Medfinansieringsandel i full kostnad ")</f>
        <v xml:space="preserve">Co-funding share in full cost </v>
      </c>
      <c r="C2370" s="143" t="str">
        <f t="shared" ref="C2370:M2370" si="574">IF(C2368&gt;0,C2360/C2368,"")</f>
        <v/>
      </c>
      <c r="D2370" s="143" t="str">
        <f t="shared" si="574"/>
        <v/>
      </c>
      <c r="E2370" s="143" t="str">
        <f t="shared" si="574"/>
        <v/>
      </c>
      <c r="F2370" s="143" t="str">
        <f t="shared" si="574"/>
        <v/>
      </c>
      <c r="G2370" s="143" t="str">
        <f t="shared" si="574"/>
        <v/>
      </c>
      <c r="H2370" s="143" t="str">
        <f t="shared" si="574"/>
        <v/>
      </c>
      <c r="I2370" s="143" t="str">
        <f t="shared" si="574"/>
        <v/>
      </c>
      <c r="J2370" s="143" t="str">
        <f t="shared" si="574"/>
        <v/>
      </c>
      <c r="K2370" s="143" t="str">
        <f t="shared" si="574"/>
        <v/>
      </c>
      <c r="L2370" s="143" t="str">
        <f t="shared" si="574"/>
        <v/>
      </c>
      <c r="M2370" s="143" t="str">
        <f t="shared" si="574"/>
        <v/>
      </c>
    </row>
    <row r="2371" spans="2:13" ht="12.75" customHeight="1" x14ac:dyDescent="0.2"/>
    <row r="2372" spans="2:13" ht="12.75" customHeight="1" x14ac:dyDescent="0.25">
      <c r="D2372" s="676" t="str">
        <f>IF('1. INTRO'!I$2="English","Co-funding need in average per year: ","Medfinansieringsbehov i genomsnitt per år: ")</f>
        <v xml:space="preserve">Co-funding need in average per year: </v>
      </c>
      <c r="E2372" s="92" t="str">
        <f>IF(M2360=0,"",M2360/(DATEDIF('2. START'!C$18,'2. START'!C$19,"d")/365))</f>
        <v/>
      </c>
      <c r="H2372" s="676" t="str">
        <f>IF('1. INTRO'!I$2="English","Co-funding need 1/3 of total: ","Medfinansieringsbehov 1/3 av totalt: ")</f>
        <v xml:space="preserve">Co-funding need 1/3 of total: </v>
      </c>
      <c r="I2372" s="92">
        <f>M2360/3</f>
        <v>0</v>
      </c>
      <c r="L2372" s="287" t="str">
        <f>IF('1. INTRO'!I$2="English","Co-funding need total: ","Medfinansieringsbehov totalt: ")</f>
        <v xml:space="preserve">Co-funding need total: </v>
      </c>
      <c r="M2372" s="92">
        <f>M2360</f>
        <v>0</v>
      </c>
    </row>
    <row r="2373" spans="2:13" ht="12.75" customHeight="1" x14ac:dyDescent="0.25">
      <c r="B2373" s="53" t="str">
        <f>IF('1. INTRO'!I$2="English","Co-funding sources","Medfinansieringskällor")</f>
        <v>Co-funding sources</v>
      </c>
    </row>
    <row r="2374" spans="2:13" ht="12.75" customHeight="1" x14ac:dyDescent="0.25">
      <c r="B2374" s="225"/>
      <c r="C2374" s="226"/>
      <c r="D2374" s="226"/>
      <c r="E2374" s="226"/>
      <c r="F2374" s="226"/>
      <c r="G2374" s="226"/>
      <c r="H2374" s="226"/>
      <c r="I2374" s="226"/>
      <c r="J2374" s="226"/>
      <c r="K2374" s="226"/>
      <c r="L2374" s="227"/>
      <c r="M2374" s="168">
        <f>SUM(C2374:L2374)</f>
        <v>0</v>
      </c>
    </row>
    <row r="2375" spans="2:13" ht="12.75" customHeight="1" x14ac:dyDescent="0.25">
      <c r="B2375" s="228"/>
      <c r="C2375" s="229"/>
      <c r="D2375" s="229"/>
      <c r="E2375" s="229"/>
      <c r="F2375" s="229"/>
      <c r="G2375" s="229"/>
      <c r="H2375" s="229"/>
      <c r="I2375" s="229"/>
      <c r="J2375" s="229"/>
      <c r="K2375" s="229"/>
      <c r="L2375" s="230"/>
      <c r="M2375" s="120">
        <f t="shared" ref="M2375:M2378" si="575">SUM(C2375:L2375)</f>
        <v>0</v>
      </c>
    </row>
    <row r="2376" spans="2:13" ht="12.75" customHeight="1" x14ac:dyDescent="0.25">
      <c r="B2376" s="231"/>
      <c r="C2376" s="232"/>
      <c r="D2376" s="232"/>
      <c r="E2376" s="232"/>
      <c r="F2376" s="232"/>
      <c r="G2376" s="232"/>
      <c r="H2376" s="232"/>
      <c r="I2376" s="232"/>
      <c r="J2376" s="232"/>
      <c r="K2376" s="232"/>
      <c r="L2376" s="233"/>
      <c r="M2376" s="117">
        <f t="shared" si="575"/>
        <v>0</v>
      </c>
    </row>
    <row r="2377" spans="2:13" ht="12.75" customHeight="1" x14ac:dyDescent="0.25">
      <c r="B2377" s="228"/>
      <c r="C2377" s="229"/>
      <c r="D2377" s="229"/>
      <c r="E2377" s="229"/>
      <c r="F2377" s="229"/>
      <c r="G2377" s="229"/>
      <c r="H2377" s="229"/>
      <c r="I2377" s="229"/>
      <c r="J2377" s="229"/>
      <c r="K2377" s="229"/>
      <c r="L2377" s="230"/>
      <c r="M2377" s="120">
        <f t="shared" si="575"/>
        <v>0</v>
      </c>
    </row>
    <row r="2378" spans="2:13" ht="12.75" customHeight="1" x14ac:dyDescent="0.25">
      <c r="B2378" s="93"/>
      <c r="C2378" s="232"/>
      <c r="D2378" s="232"/>
      <c r="E2378" s="232"/>
      <c r="F2378" s="232"/>
      <c r="G2378" s="232"/>
      <c r="H2378" s="232"/>
      <c r="I2378" s="232"/>
      <c r="J2378" s="232"/>
      <c r="K2378" s="232"/>
      <c r="L2378" s="233"/>
      <c r="M2378" s="117">
        <f t="shared" si="575"/>
        <v>0</v>
      </c>
    </row>
    <row r="2379" spans="2:13" ht="12.75" customHeight="1" x14ac:dyDescent="0.25">
      <c r="B2379" s="84" t="str">
        <f>IF('1. INTRO'!I$2="English","Total co-funding ","Total medfinansiering ")</f>
        <v xml:space="preserve">Total co-funding </v>
      </c>
      <c r="C2379" s="87">
        <f t="shared" ref="C2379:M2379" si="576">SUM(C2374:C2378)</f>
        <v>0</v>
      </c>
      <c r="D2379" s="87">
        <f t="shared" si="576"/>
        <v>0</v>
      </c>
      <c r="E2379" s="87">
        <f t="shared" si="576"/>
        <v>0</v>
      </c>
      <c r="F2379" s="87">
        <f t="shared" si="576"/>
        <v>0</v>
      </c>
      <c r="G2379" s="87">
        <f t="shared" si="576"/>
        <v>0</v>
      </c>
      <c r="H2379" s="87">
        <f t="shared" si="576"/>
        <v>0</v>
      </c>
      <c r="I2379" s="87">
        <f t="shared" si="576"/>
        <v>0</v>
      </c>
      <c r="J2379" s="87">
        <f t="shared" si="576"/>
        <v>0</v>
      </c>
      <c r="K2379" s="87">
        <f t="shared" si="576"/>
        <v>0</v>
      </c>
      <c r="L2379" s="87">
        <f t="shared" si="576"/>
        <v>0</v>
      </c>
      <c r="M2379" s="142">
        <f t="shared" si="576"/>
        <v>0</v>
      </c>
    </row>
    <row r="2380" spans="2:13" ht="12.75" customHeight="1" x14ac:dyDescent="0.2"/>
    <row r="2381" spans="2:13" ht="12.75" customHeight="1" x14ac:dyDescent="0.2">
      <c r="B2381" s="667" t="str">
        <f>IF('1. INTRO'!I$2="English","Calculation comments","Kalkylkommentarer")</f>
        <v>Calculation comments</v>
      </c>
      <c r="C2381" s="37" t="str">
        <f>B60</f>
        <v/>
      </c>
    </row>
    <row r="2382" spans="2:13" ht="12.75" customHeight="1" x14ac:dyDescent="0.2">
      <c r="B2382" s="1142"/>
      <c r="C2382" s="1143"/>
      <c r="D2382" s="1143"/>
      <c r="E2382" s="1143"/>
      <c r="F2382" s="1143"/>
      <c r="G2382" s="1143"/>
      <c r="H2382" s="1143"/>
      <c r="I2382" s="1143"/>
      <c r="J2382" s="1143"/>
      <c r="K2382" s="1143"/>
      <c r="L2382" s="1143"/>
      <c r="M2382" s="1144"/>
    </row>
    <row r="2383" spans="2:13" ht="12.75" customHeight="1" x14ac:dyDescent="0.2">
      <c r="B2383" s="1145"/>
      <c r="C2383" s="1226"/>
      <c r="D2383" s="1226"/>
      <c r="E2383" s="1226"/>
      <c r="F2383" s="1226"/>
      <c r="G2383" s="1226"/>
      <c r="H2383" s="1226"/>
      <c r="I2383" s="1226"/>
      <c r="J2383" s="1226"/>
      <c r="K2383" s="1226"/>
      <c r="L2383" s="1226"/>
      <c r="M2383" s="1147"/>
    </row>
    <row r="2384" spans="2:13" ht="12.75" customHeight="1" x14ac:dyDescent="0.2">
      <c r="B2384" s="1145"/>
      <c r="C2384" s="1226"/>
      <c r="D2384" s="1226"/>
      <c r="E2384" s="1226"/>
      <c r="F2384" s="1226"/>
      <c r="G2384" s="1226"/>
      <c r="H2384" s="1226"/>
      <c r="I2384" s="1226"/>
      <c r="J2384" s="1226"/>
      <c r="K2384" s="1226"/>
      <c r="L2384" s="1226"/>
      <c r="M2384" s="1147"/>
    </row>
    <row r="2385" spans="2:15" ht="12.75" customHeight="1" x14ac:dyDescent="0.2">
      <c r="B2385" s="1145"/>
      <c r="C2385" s="1226"/>
      <c r="D2385" s="1226"/>
      <c r="E2385" s="1226"/>
      <c r="F2385" s="1226"/>
      <c r="G2385" s="1226"/>
      <c r="H2385" s="1226"/>
      <c r="I2385" s="1226"/>
      <c r="J2385" s="1226"/>
      <c r="K2385" s="1226"/>
      <c r="L2385" s="1226"/>
      <c r="M2385" s="1147"/>
    </row>
    <row r="2386" spans="2:15" ht="12.75" customHeight="1" x14ac:dyDescent="0.2">
      <c r="B2386" s="1148"/>
      <c r="C2386" s="1149"/>
      <c r="D2386" s="1149"/>
      <c r="E2386" s="1149"/>
      <c r="F2386" s="1149"/>
      <c r="G2386" s="1149"/>
      <c r="H2386" s="1149"/>
      <c r="I2386" s="1149"/>
      <c r="J2386" s="1149"/>
      <c r="K2386" s="1149"/>
      <c r="L2386" s="1149"/>
      <c r="M2386" s="1150"/>
    </row>
    <row r="2388" spans="2:15" s="3" customFormat="1" ht="12.75" customHeight="1" x14ac:dyDescent="0.25">
      <c r="B2388" s="313" t="str">
        <f>'3. PARTNER'!C$4</f>
        <v xml:space="preserve">Project: </v>
      </c>
      <c r="C2388" s="1062" t="str">
        <f>'3. PARTNER'!D$4</f>
        <v/>
      </c>
      <c r="D2388" s="1001"/>
      <c r="E2388" s="1001"/>
      <c r="F2388" s="1001"/>
      <c r="G2388" s="1001"/>
      <c r="H2388" s="1001"/>
      <c r="I2388" s="1001"/>
      <c r="J2388" s="1001"/>
      <c r="K2388" s="1001"/>
      <c r="L2388" s="1001"/>
      <c r="M2388" s="1001"/>
    </row>
    <row r="2389" spans="2:15" s="3" customFormat="1" ht="13.2" x14ac:dyDescent="0.25">
      <c r="B2389" s="313" t="str">
        <f>'3. PARTNER'!C$5</f>
        <v xml:space="preserve">Calculation for: </v>
      </c>
      <c r="C2389" s="1062" t="str">
        <f>'3. PARTNER'!D$5</f>
        <v>APPLICATION</v>
      </c>
      <c r="D2389" s="1001"/>
      <c r="E2389" s="268"/>
      <c r="F2389" s="268"/>
      <c r="G2389" s="268"/>
      <c r="H2389" s="268"/>
      <c r="I2389" s="268"/>
      <c r="J2389" s="268"/>
      <c r="K2389" s="268"/>
      <c r="L2389" s="268"/>
      <c r="M2389" s="268"/>
    </row>
    <row r="2390" spans="2:15" s="3" customFormat="1" ht="13.2" x14ac:dyDescent="0.25">
      <c r="B2390" s="35" t="str">
        <f>'3. PARTNER'!C$6</f>
        <v xml:space="preserve">Project leader: </v>
      </c>
      <c r="C2390" s="1062" t="str">
        <f>'3. PARTNER'!D$6</f>
        <v/>
      </c>
      <c r="D2390" s="1001"/>
      <c r="E2390" s="1001"/>
      <c r="F2390" s="1001"/>
      <c r="G2390" s="1001"/>
      <c r="H2390" s="1001"/>
      <c r="I2390" s="1001"/>
      <c r="J2390" s="1001"/>
      <c r="K2390" s="1001"/>
      <c r="L2390" s="1001"/>
      <c r="M2390" s="1001"/>
    </row>
    <row r="2391" spans="2:15" s="3" customFormat="1" ht="13.2" x14ac:dyDescent="0.25">
      <c r="B2391" s="313" t="str">
        <f>'5. PERSON'!B$7</f>
        <v xml:space="preserve">Amounts in: </v>
      </c>
      <c r="C2391" s="655" t="str">
        <f>'5. PERSON'!C$7</f>
        <v>SEK</v>
      </c>
      <c r="D2391" s="268"/>
      <c r="E2391" s="268"/>
      <c r="F2391" s="268"/>
      <c r="G2391" s="234"/>
      <c r="H2391" s="234"/>
      <c r="I2391" s="270"/>
      <c r="J2391" s="270"/>
      <c r="K2391" s="270"/>
      <c r="L2391" s="270"/>
      <c r="M2391" s="270"/>
    </row>
    <row r="2392" spans="2:15" s="3" customFormat="1" ht="13.2" x14ac:dyDescent="0.25">
      <c r="B2392" s="313"/>
      <c r="C2392" s="1053" t="str">
        <f>'3. PARTNER'!D$7</f>
        <v>Other basic data about the project is in sheet 2.</v>
      </c>
      <c r="D2392" s="1001"/>
      <c r="E2392" s="1001"/>
      <c r="F2392" s="1001"/>
      <c r="G2392" s="234"/>
      <c r="H2392" s="234"/>
      <c r="I2392" s="270"/>
      <c r="J2392" s="270"/>
      <c r="K2392" s="270"/>
      <c r="L2392" s="251" t="s">
        <v>4</v>
      </c>
      <c r="M2392" s="270"/>
    </row>
    <row r="2393" spans="2:15" ht="12.75" customHeight="1" x14ac:dyDescent="0.2">
      <c r="L2393" s="252" t="str">
        <f>IF('1. INTRO'!I$2="English","months","månader")</f>
        <v>months</v>
      </c>
    </row>
    <row r="2394" spans="2:15" s="3" customFormat="1" ht="13.8" x14ac:dyDescent="0.25">
      <c r="B2394" s="157" t="str">
        <f>IF('1. INTRO'!I$2="English","Project costs","Projektkostnader")</f>
        <v>Project costs</v>
      </c>
      <c r="C2394" s="668" t="str">
        <f>A61</f>
        <v>EXT103</v>
      </c>
      <c r="D2394" s="1227" t="str">
        <f>B61</f>
        <v/>
      </c>
      <c r="E2394" s="1001"/>
      <c r="F2394" s="1001"/>
      <c r="G2394" s="1001"/>
      <c r="H2394" s="1001"/>
      <c r="I2394" s="37"/>
      <c r="J2394" s="37"/>
      <c r="K2394" s="37"/>
      <c r="L2394" s="642">
        <f>SUMIF('5. PERSON'!$B$17:$B$192,$C2394,'5. PERSON'!AE$17:AE$192)</f>
        <v>0</v>
      </c>
      <c r="M2394" s="680" t="s">
        <v>330</v>
      </c>
    </row>
    <row r="2395" spans="2:15" s="3" customFormat="1" ht="6" customHeight="1" x14ac:dyDescent="0.25">
      <c r="B2395" s="57"/>
      <c r="C2395" s="37"/>
      <c r="D2395" s="37"/>
      <c r="E2395" s="37"/>
      <c r="F2395" s="37"/>
      <c r="G2395" s="37"/>
      <c r="H2395" s="37"/>
      <c r="I2395" s="37"/>
      <c r="J2395" s="37"/>
      <c r="K2395" s="37"/>
      <c r="L2395" s="37"/>
      <c r="M2395" s="37"/>
    </row>
    <row r="2396" spans="2:15" s="3" customFormat="1" ht="13.2" x14ac:dyDescent="0.25">
      <c r="B2396" s="110" t="str">
        <f>IF('1. INTRO'!I$2="English","Costs to be covered by funding body","Kostnader att täckas av finansiär")</f>
        <v>Costs to be covered by funding body</v>
      </c>
      <c r="C2396" s="111">
        <f>'5. PERSON'!G$15</f>
        <v>1900</v>
      </c>
      <c r="D2396" s="111" t="str">
        <f>'5. PERSON'!H$15</f>
        <v/>
      </c>
      <c r="E2396" s="111" t="str">
        <f>'5. PERSON'!I$15</f>
        <v/>
      </c>
      <c r="F2396" s="111" t="str">
        <f>'5. PERSON'!J$15</f>
        <v/>
      </c>
      <c r="G2396" s="111" t="str">
        <f>'5. PERSON'!K$15</f>
        <v/>
      </c>
      <c r="H2396" s="111" t="str">
        <f>'5. PERSON'!L$15</f>
        <v/>
      </c>
      <c r="I2396" s="111" t="str">
        <f>'5. PERSON'!M$15</f>
        <v/>
      </c>
      <c r="J2396" s="111" t="str">
        <f>'5. PERSON'!N$15</f>
        <v/>
      </c>
      <c r="K2396" s="111" t="str">
        <f>'5. PERSON'!O$15</f>
        <v/>
      </c>
      <c r="L2396" s="111" t="str">
        <f>'5. PERSON'!P$15</f>
        <v/>
      </c>
      <c r="M2396" s="112" t="s">
        <v>2</v>
      </c>
    </row>
    <row r="2397" spans="2:15" s="3" customFormat="1" ht="12.75" customHeight="1" x14ac:dyDescent="0.25">
      <c r="B2397" s="113" t="str">
        <f>IF('1. INTRO'!I$2="English","Salary including social costs (LKP)","Lön inklusive LKP")</f>
        <v>Salary including social costs (LKP)</v>
      </c>
      <c r="C2397" s="114">
        <f>IF('2. START'!$C$14&gt;0,SUMIF('5. PERSON'!$B$17:$B$192,$C2394,'5. PERSON'!DN$17:DN$192),SUMIF('5. PERSON'!$B$17:$B$192,$C2394,'5. PERSON'!AT$17:AT$192))</f>
        <v>0</v>
      </c>
      <c r="D2397" s="114">
        <f>IF('2. START'!$C$14&gt;0,SUMIF('5. PERSON'!$B$17:$B$192,$C2394,'5. PERSON'!DO$17:DO$192),SUMIF('5. PERSON'!$B$17:$B$192,$C2394,'5. PERSON'!AU$17:AU$192))</f>
        <v>0</v>
      </c>
      <c r="E2397" s="114">
        <f>IF('2. START'!$C$14&gt;0,SUMIF('5. PERSON'!$B$17:$B$192,$C2394,'5. PERSON'!DP$17:DP$192),SUMIF('5. PERSON'!$B$17:$B$192,$C2394,'5. PERSON'!AV$17:AV$192))</f>
        <v>0</v>
      </c>
      <c r="F2397" s="114">
        <f>IF('2. START'!$C$14&gt;0,SUMIF('5. PERSON'!$B$17:$B$192,$C2394,'5. PERSON'!DQ$17:DQ$192),SUMIF('5. PERSON'!$B$17:$B$192,$C2394,'5. PERSON'!AW$17:AW$192))</f>
        <v>0</v>
      </c>
      <c r="G2397" s="114">
        <f>IF('2. START'!$C$14&gt;0,SUMIF('5. PERSON'!$B$17:$B$192,$C2394,'5. PERSON'!DR$17:DR$192),SUMIF('5. PERSON'!$B$17:$B$192,$C2394,'5. PERSON'!AX$17:AX$192))</f>
        <v>0</v>
      </c>
      <c r="H2397" s="114">
        <f>IF('2. START'!$C$14&gt;0,SUMIF('5. PERSON'!$B$17:$B$192,$C2394,'5. PERSON'!DS$17:DS$192),SUMIF('5. PERSON'!$B$17:$B$192,$C2394,'5. PERSON'!AY$17:AY$192))</f>
        <v>0</v>
      </c>
      <c r="I2397" s="114">
        <f>IF('2. START'!$C$14&gt;0,SUMIF('5. PERSON'!$B$17:$B$192,$C2394,'5. PERSON'!DT$17:DT$192),SUMIF('5. PERSON'!$B$17:$B$192,$C2394,'5. PERSON'!AZ$17:AZ$192))</f>
        <v>0</v>
      </c>
      <c r="J2397" s="114">
        <f>IF('2. START'!$C$14&gt;0,SUMIF('5. PERSON'!$B$17:$B$192,$C2394,'5. PERSON'!DU$17:DU$192),SUMIF('5. PERSON'!$B$17:$B$192,$C2394,'5. PERSON'!BA$17:BA$192))</f>
        <v>0</v>
      </c>
      <c r="K2397" s="114">
        <f>IF('2. START'!$C$14&gt;0,SUMIF('5. PERSON'!$B$17:$B$192,$C2394,'5. PERSON'!DV$17:DV$192),SUMIF('5. PERSON'!$B$17:$B$192,$C2394,'5. PERSON'!BB$17:BB$192))</f>
        <v>0</v>
      </c>
      <c r="L2397" s="114">
        <f>IF('2. START'!$C$14&gt;0,SUMIF('5. PERSON'!$B$17:$B$192,$C2394,'5. PERSON'!DW$17:DW$192),SUMIF('5. PERSON'!$B$17:$B$192,$C2394,'5. PERSON'!BC$17:BC$192))</f>
        <v>0</v>
      </c>
      <c r="M2397" s="115">
        <f t="shared" ref="M2397:M2402" si="577">SUM(C2397:L2397)</f>
        <v>0</v>
      </c>
      <c r="O2397" s="4"/>
    </row>
    <row r="2398" spans="2:15" s="3" customFormat="1" ht="12.75" customHeight="1" x14ac:dyDescent="0.25">
      <c r="B2398" s="80" t="str">
        <f>IF('1. INTRO'!I$2="English","Operating","Drift")</f>
        <v>Operating</v>
      </c>
      <c r="C2398" s="116">
        <f>SUMIF('6. OPERATION'!$B$17:$B$149,$C2394,'6. OPERATION'!W$17:W$149)</f>
        <v>0</v>
      </c>
      <c r="D2398" s="116">
        <f>SUMIF('6. OPERATION'!$B$17:$B$149,$C2394,'6. OPERATION'!X$17:X$149)</f>
        <v>0</v>
      </c>
      <c r="E2398" s="116">
        <f>SUMIF('6. OPERATION'!$B$17:$B$149,$C2394,'6. OPERATION'!Y$17:Y$149)</f>
        <v>0</v>
      </c>
      <c r="F2398" s="116">
        <f>SUMIF('6. OPERATION'!$B$17:$B$149,$C2394,'6. OPERATION'!Z$17:Z$149)</f>
        <v>0</v>
      </c>
      <c r="G2398" s="116">
        <f>SUMIF('6. OPERATION'!$B$17:$B$149,$C2394,'6. OPERATION'!AA$17:AA$149)</f>
        <v>0</v>
      </c>
      <c r="H2398" s="116">
        <f>SUMIF('6. OPERATION'!$B$17:$B$149,$C2394,'6. OPERATION'!AB$17:AB$149)</f>
        <v>0</v>
      </c>
      <c r="I2398" s="116">
        <f>SUMIF('6. OPERATION'!$B$17:$B$149,$C2394,'6. OPERATION'!AC$17:AC$149)</f>
        <v>0</v>
      </c>
      <c r="J2398" s="116">
        <f>SUMIF('6. OPERATION'!$B$17:$B$149,$C2394,'6. OPERATION'!AD$17:AD$149)</f>
        <v>0</v>
      </c>
      <c r="K2398" s="116">
        <f>SUMIF('6. OPERATION'!$B$17:$B$149,$C2394,'6. OPERATION'!AE$17:AE$149)</f>
        <v>0</v>
      </c>
      <c r="L2398" s="116">
        <f>SUMIF('6. OPERATION'!$B$17:$B$149,$C2394,'6. OPERATION'!AF$17:AF$149)</f>
        <v>0</v>
      </c>
      <c r="M2398" s="117">
        <f t="shared" si="577"/>
        <v>0</v>
      </c>
    </row>
    <row r="2399" spans="2:15" s="3" customFormat="1" ht="13.2" x14ac:dyDescent="0.25">
      <c r="B2399" s="118" t="str">
        <f>IF('1. INTRO'!I$2="English","Equipment","Utrustning")</f>
        <v>Equipment</v>
      </c>
      <c r="C2399" s="119">
        <f>SUMIF('7. INVEST'!$B$17:$B$49,$C2394,'7. INVEST'!W$17:W$49)</f>
        <v>0</v>
      </c>
      <c r="D2399" s="119">
        <f>SUMIF('7. INVEST'!$B$17:$B$49,$C2394,'7. INVEST'!X$17:X$49)</f>
        <v>0</v>
      </c>
      <c r="E2399" s="119">
        <f>SUMIF('7. INVEST'!$B$17:$B$49,$C2394,'7. INVEST'!Y$17:Y$49)</f>
        <v>0</v>
      </c>
      <c r="F2399" s="119">
        <f>SUMIF('7. INVEST'!$B$17:$B$49,$C2394,'7. INVEST'!Z$17:Z$49)</f>
        <v>0</v>
      </c>
      <c r="G2399" s="119">
        <f>SUMIF('7. INVEST'!$B$17:$B$49,$C2394,'7. INVEST'!AA$17:AA$49)</f>
        <v>0</v>
      </c>
      <c r="H2399" s="119">
        <f>SUMIF('7. INVEST'!$B$17:$B$49,$C2394,'7. INVEST'!AB$17:AB$49)</f>
        <v>0</v>
      </c>
      <c r="I2399" s="119">
        <f>SUMIF('7. INVEST'!$B$17:$B$49,$C2394,'7. INVEST'!AC$17:AC$49)</f>
        <v>0</v>
      </c>
      <c r="J2399" s="119">
        <f>SUMIF('7. INVEST'!$B$17:$B$49,$C2394,'7. INVEST'!AD$17:AD$49)</f>
        <v>0</v>
      </c>
      <c r="K2399" s="119">
        <f>SUMIF('7. INVEST'!$B$17:$B$49,$C2394,'7. INVEST'!AE$17:AE$49)</f>
        <v>0</v>
      </c>
      <c r="L2399" s="119">
        <f>SUMIF('7. INVEST'!$B$17:$B$49,$C2394,'7. INVEST'!AF$17:AF$49)</f>
        <v>0</v>
      </c>
      <c r="M2399" s="120">
        <f t="shared" si="577"/>
        <v>0</v>
      </c>
    </row>
    <row r="2400" spans="2:15" s="3" customFormat="1" ht="13.2" x14ac:dyDescent="0.25">
      <c r="B2400" s="121" t="str">
        <f>IF('1. INTRO'!I$2="English",(IF('2. START'!C$11="NO","Facility accepted as direct cost by funding body","Facility")),IF('2. START'!C$11="NO","Lokal accepterad som direkt kostnad av finansiär","Lokal"))</f>
        <v>Facility</v>
      </c>
      <c r="C2400" s="116">
        <f>IF('2. START'!$C$11="NO",SUMIF('8. FACILIT'!$B$18:$B$50,$C2394,'8. FACILIT'!T$18:T$50),SUMIF('5. PERSON'!$B$17:$B$192,$C2394,'5. PERSON'!CP$17:CP$192)+SUMIF('6. OPERATION'!$B$17:$B$149,$C2394,'6. OPERATION'!BS$17:BS$149)+SUMIF('8. FACILIT'!$B$18:$B$50,$C2394,'8. FACILIT'!T$18:T$50))</f>
        <v>0</v>
      </c>
      <c r="D2400" s="116">
        <f>IF('2. START'!$C$11="NO",SUMIF('8. FACILIT'!$B$18:$B$50,$C2394,'8. FACILIT'!U$18:U$50),SUMIF('5. PERSON'!$B$17:$B$192,$C2394,'5. PERSON'!CQ$17:CQ$192)+SUMIF('6. OPERATION'!$B$17:$B$149,$C2394,'6. OPERATION'!BT$17:BT$149)+SUMIF('8. FACILIT'!$B$18:$B$50,$C2394,'8. FACILIT'!U$18:U$50))</f>
        <v>0</v>
      </c>
      <c r="E2400" s="116">
        <f>IF('2. START'!$C$11="NO",SUMIF('8. FACILIT'!$B$18:$B$50,$C2394,'8. FACILIT'!V$18:V$50),SUMIF('5. PERSON'!$B$17:$B$192,$C2394,'5. PERSON'!CR$17:CR$192)+SUMIF('6. OPERATION'!$B$17:$B$149,$C2394,'6. OPERATION'!BU$17:BU$149)+SUMIF('8. FACILIT'!$B$18:$B$50,$C2394,'8. FACILIT'!V$18:V$50))</f>
        <v>0</v>
      </c>
      <c r="F2400" s="116">
        <f>IF('2. START'!$C$11="NO",SUMIF('8. FACILIT'!$B$18:$B$50,$C2394,'8. FACILIT'!W$18:W$50),SUMIF('5. PERSON'!$B$17:$B$192,$C2394,'5. PERSON'!CS$17:CS$192)+SUMIF('6. OPERATION'!$B$17:$B$149,$C2394,'6. OPERATION'!BV$17:BV$149)+SUMIF('8. FACILIT'!$B$18:$B$50,$C2394,'8. FACILIT'!W$18:W$50))</f>
        <v>0</v>
      </c>
      <c r="G2400" s="116">
        <f>IF('2. START'!$C$11="NO",SUMIF('8. FACILIT'!$B$18:$B$50,$C2394,'8. FACILIT'!X$18:X$50),SUMIF('5. PERSON'!$B$17:$B$192,$C2394,'5. PERSON'!CT$17:CT$192)+SUMIF('6. OPERATION'!$B$17:$B$149,$C2394,'6. OPERATION'!BW$17:BW$149)+SUMIF('8. FACILIT'!$B$18:$B$50,$C2394,'8. FACILIT'!X$18:X$50))</f>
        <v>0</v>
      </c>
      <c r="H2400" s="116">
        <f>IF('2. START'!$C$11="NO",SUMIF('8. FACILIT'!$B$18:$B$50,$C2394,'8. FACILIT'!Y$18:Y$50),SUMIF('5. PERSON'!$B$17:$B$192,$C2394,'5. PERSON'!CU$17:CU$192)+SUMIF('6. OPERATION'!$B$17:$B$149,$C2394,'6. OPERATION'!BX$17:BX$149)+SUMIF('8. FACILIT'!$B$18:$B$50,$C2394,'8. FACILIT'!Y$18:Y$50))</f>
        <v>0</v>
      </c>
      <c r="I2400" s="116">
        <f>IF('2. START'!$C$11="NO",SUMIF('8. FACILIT'!$B$18:$B$50,$C2394,'8. FACILIT'!Z$18:Z$50),SUMIF('5. PERSON'!$B$17:$B$192,$C2394,'5. PERSON'!CV$17:CV$192)+SUMIF('6. OPERATION'!$B$17:$B$149,$C2394,'6. OPERATION'!BY$17:BY$149)+SUMIF('8. FACILIT'!$B$18:$B$50,$C2394,'8. FACILIT'!Z$18:Z$50))</f>
        <v>0</v>
      </c>
      <c r="J2400" s="116">
        <f>IF('2. START'!$C$11="NO",SUMIF('8. FACILIT'!$B$18:$B$50,$C2394,'8. FACILIT'!AA$18:AA$50),SUMIF('5. PERSON'!$B$17:$B$192,$C2394,'5. PERSON'!CW$17:CW$192)+SUMIF('6. OPERATION'!$B$17:$B$149,$C2394,'6. OPERATION'!BZ$17:BZ$149)+SUMIF('8. FACILIT'!$B$18:$B$50,$C2394,'8. FACILIT'!AA$18:AA$50))</f>
        <v>0</v>
      </c>
      <c r="K2400" s="116">
        <f>IF('2. START'!$C$11="NO",SUMIF('8. FACILIT'!$B$18:$B$50,$C2394,'8. FACILIT'!AB$18:AB$50),SUMIF('5. PERSON'!$B$17:$B$192,$C2394,'5. PERSON'!CX$17:CX$192)+SUMIF('6. OPERATION'!$B$17:$B$149,$C2394,'6. OPERATION'!CA$17:CA$149)+SUMIF('8. FACILIT'!$B$18:$B$50,$C2394,'8. FACILIT'!AB$18:AB$50))</f>
        <v>0</v>
      </c>
      <c r="L2400" s="116">
        <f>IF('2. START'!$C$11="NO",SUMIF('8. FACILIT'!$B$18:$B$50,$C2394,'8. FACILIT'!AC$18:AC$50),SUMIF('5. PERSON'!$B$17:$B$192,$C2394,'5. PERSON'!CY$17:CY$192)+SUMIF('6. OPERATION'!$B$17:$B$149,$C2394,'6. OPERATION'!CB$17:CB$149)+SUMIF('8. FACILIT'!$B$18:$B$50,$C2394,'8. FACILIT'!AC$18:AC$50))</f>
        <v>0</v>
      </c>
      <c r="M2400" s="117">
        <f t="shared" si="577"/>
        <v>0</v>
      </c>
    </row>
    <row r="2401" spans="2:15" s="3" customFormat="1" ht="13.2" x14ac:dyDescent="0.25">
      <c r="B2401" s="122" t="str">
        <f>IF('1. INTRO'!I$2="English",(IF('2. START'!C$11="NO","Indirect and facility charge accepted as OH by funding body","Indirect")),IF('2. START'!C$11="NO","Indirekt och lokalpåslag accepterade som OH av finansiär","Indirekt"))</f>
        <v>Indirect</v>
      </c>
      <c r="C2401" s="107">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107">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107">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107">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107">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107">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107">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107">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107">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107">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120">
        <f t="shared" si="577"/>
        <v>0</v>
      </c>
    </row>
    <row r="2402" spans="2:15" s="3" customFormat="1" ht="13.2" x14ac:dyDescent="0.25">
      <c r="B2402" s="124" t="s">
        <v>113</v>
      </c>
      <c r="C2402" s="102">
        <f>SUM(C2397:C2401)</f>
        <v>0</v>
      </c>
      <c r="D2402" s="102">
        <f t="shared" ref="D2402:L2402" si="578">SUM(D2397:D2401)</f>
        <v>0</v>
      </c>
      <c r="E2402" s="102">
        <f t="shared" si="578"/>
        <v>0</v>
      </c>
      <c r="F2402" s="102">
        <f t="shared" si="578"/>
        <v>0</v>
      </c>
      <c r="G2402" s="102">
        <f t="shared" si="578"/>
        <v>0</v>
      </c>
      <c r="H2402" s="102">
        <f t="shared" si="578"/>
        <v>0</v>
      </c>
      <c r="I2402" s="102">
        <f t="shared" si="578"/>
        <v>0</v>
      </c>
      <c r="J2402" s="102">
        <f t="shared" si="578"/>
        <v>0</v>
      </c>
      <c r="K2402" s="102">
        <f t="shared" si="578"/>
        <v>0</v>
      </c>
      <c r="L2402" s="102">
        <f t="shared" si="578"/>
        <v>0</v>
      </c>
      <c r="M2402" s="125">
        <f t="shared" si="577"/>
        <v>0</v>
      </c>
    </row>
    <row r="2403" spans="2:15" s="3" customFormat="1" ht="6" customHeight="1" x14ac:dyDescent="0.25">
      <c r="B2403" s="126"/>
      <c r="C2403" s="127"/>
      <c r="D2403" s="127"/>
      <c r="E2403" s="127"/>
      <c r="F2403" s="127"/>
      <c r="G2403" s="127"/>
      <c r="H2403" s="127"/>
      <c r="I2403" s="127"/>
      <c r="J2403" s="127"/>
      <c r="K2403" s="127"/>
      <c r="L2403" s="127"/>
      <c r="M2403" s="128"/>
    </row>
    <row r="2404" spans="2:15" s="3" customFormat="1" ht="13.2" x14ac:dyDescent="0.25">
      <c r="B2404" s="129" t="str">
        <f>IF('1. INTRO'!I$2="English","Costs to be co-funded","Kostnader att medfinansiera")</f>
        <v>Costs to be co-funded</v>
      </c>
      <c r="C2404" s="86"/>
      <c r="D2404" s="86"/>
      <c r="E2404" s="86"/>
      <c r="F2404" s="86"/>
      <c r="G2404" s="86"/>
      <c r="H2404" s="86"/>
      <c r="I2404" s="86"/>
      <c r="J2404" s="86"/>
      <c r="K2404" s="86"/>
      <c r="L2404" s="86"/>
      <c r="M2404" s="130"/>
    </row>
    <row r="2405" spans="2:15" s="3" customFormat="1" ht="13.2" x14ac:dyDescent="0.25">
      <c r="B2405" s="159" t="str">
        <f>IF('1. INTRO'!I$2="English",(IF('2. START'!C$11="NO","Indirect and facility charge not accepted as OH by funding body","")),IF('2. START'!C$11="NO","Indirekt och lokalpåslag inte accepterade som OH av finansiär",""))</f>
        <v/>
      </c>
      <c r="C2405" s="131">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31">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31">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31">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31">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31">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31">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31">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31">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31">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115">
        <f t="shared" ref="M2405:M2411" si="579">SUM(C2405:L2405)</f>
        <v>0</v>
      </c>
    </row>
    <row r="2406" spans="2:15" s="3" customFormat="1" ht="12.75" customHeight="1" x14ac:dyDescent="0.25">
      <c r="B2406" s="132" t="str">
        <f>IF('1. INTRO'!I$2="English",(IF('2. START'!C$14&gt;0,"Social costs (LKP) not accepted by funding body","")),IF('2. START'!C$14&gt;0,"LKP som inte accepteras av finansiär",""))</f>
        <v/>
      </c>
      <c r="C2406" s="133">
        <f>IF('2. START'!$C$14&gt;0,SUMIF('5. PERSON'!$B$17:$B$192,$C2394,'5. PERSON'!AT$17:AT$192)-SUMIF('5. PERSON'!$B$17:$B$192,$C2394,'5. PERSON'!DN$17:DN$192),0)</f>
        <v>0</v>
      </c>
      <c r="D2406" s="133">
        <f>IF('2. START'!$C$14&gt;0,SUMIF('5. PERSON'!$B$17:$B$192,$C2394,'5. PERSON'!AU$17:AU$192)-SUMIF('5. PERSON'!$B$17:$B$192,$C2394,'5. PERSON'!DO$17:DO$192),0)</f>
        <v>0</v>
      </c>
      <c r="E2406" s="133">
        <f>IF('2. START'!$C$14&gt;0,SUMIF('5. PERSON'!$B$17:$B$192,$C2394,'5. PERSON'!AV$17:AV$192)-SUMIF('5. PERSON'!$B$17:$B$192,$C2394,'5. PERSON'!DP$17:DP$192),0)</f>
        <v>0</v>
      </c>
      <c r="F2406" s="133">
        <f>IF('2. START'!$C$14&gt;0,SUMIF('5. PERSON'!$B$17:$B$192,$C2394,'5. PERSON'!AW$17:AW$192)-SUMIF('5. PERSON'!$B$17:$B$192,$C2394,'5. PERSON'!DQ$17:DQ$192),0)</f>
        <v>0</v>
      </c>
      <c r="G2406" s="133">
        <f>IF('2. START'!$C$14&gt;0,SUMIF('5. PERSON'!$B$17:$B$192,$C2394,'5. PERSON'!AX$17:AX$192)-SUMIF('5. PERSON'!$B$17:$B$192,$C2394,'5. PERSON'!DR$17:DR$192),0)</f>
        <v>0</v>
      </c>
      <c r="H2406" s="133">
        <f>IF('2. START'!$C$14&gt;0,SUMIF('5. PERSON'!$B$17:$B$192,$C2394,'5. PERSON'!AY$17:AY$192)-SUMIF('5. PERSON'!$B$17:$B$192,$C2394,'5. PERSON'!DS$17:DS$192),0)</f>
        <v>0</v>
      </c>
      <c r="I2406" s="133">
        <f>IF('2. START'!$C$14&gt;0,SUMIF('5. PERSON'!$B$17:$B$192,$C2394,'5. PERSON'!AZ$17:AZ$192)-SUMIF('5. PERSON'!$B$17:$B$192,$C2394,'5. PERSON'!DT$17:DT$192),0)</f>
        <v>0</v>
      </c>
      <c r="J2406" s="133">
        <f>IF('2. START'!$C$14&gt;0,SUMIF('5. PERSON'!$B$17:$B$192,$C2394,'5. PERSON'!BA$17:BA$192)-SUMIF('5. PERSON'!$B$17:$B$192,$C2394,'5. PERSON'!DU$17:DU$192),0)</f>
        <v>0</v>
      </c>
      <c r="K2406" s="133">
        <f>IF('2. START'!$C$14&gt;0,SUMIF('5. PERSON'!$B$17:$B$192,$C2394,'5. PERSON'!BB$17:BB$192)-SUMIF('5. PERSON'!$B$17:$B$192,$C2394,'5. PERSON'!DV$17:DV$192),0)</f>
        <v>0</v>
      </c>
      <c r="L2406" s="133">
        <f>IF('2. START'!$C$14&gt;0,SUMIF('5. PERSON'!$B$17:$B$192,$C2394,'5. PERSON'!BC$17:BC$192)-SUMIF('5. PERSON'!$B$17:$B$192,$C2394,'5. PERSON'!DW$17:DW$192),0)</f>
        <v>0</v>
      </c>
      <c r="M2406" s="117">
        <f t="shared" si="579"/>
        <v>0</v>
      </c>
    </row>
    <row r="2407" spans="2:15" s="3" customFormat="1" ht="12.75" customHeight="1" x14ac:dyDescent="0.25">
      <c r="B2407" s="118" t="str">
        <f>IF('1. INTRO'!I$2="English",(IF('5. PERSON'!BP$193&gt;0,"Salary including social costs (LKP)","")),IF('5. PERSON'!BP$193&gt;0,"Lön inklusive LKP",""))</f>
        <v/>
      </c>
      <c r="C2407" s="134">
        <f>SUMIF('5. PERSON'!$B$17:$B$192,$C2394,'5. PERSON'!BF$17:BF$192)</f>
        <v>0</v>
      </c>
      <c r="D2407" s="134">
        <f>SUMIF('5. PERSON'!$B$17:$B$192,$C2394,'5. PERSON'!BG$17:BG$192)</f>
        <v>0</v>
      </c>
      <c r="E2407" s="134">
        <f>SUMIF('5. PERSON'!$B$17:$B$192,$C2394,'5. PERSON'!BH$17:BH$192)</f>
        <v>0</v>
      </c>
      <c r="F2407" s="134">
        <f>SUMIF('5. PERSON'!$B$17:$B$192,$C2394,'5. PERSON'!BI$17:BI$192)</f>
        <v>0</v>
      </c>
      <c r="G2407" s="134">
        <f>SUMIF('5. PERSON'!$B$17:$B$192,$C2394,'5. PERSON'!BJ$17:BJ$192)</f>
        <v>0</v>
      </c>
      <c r="H2407" s="134">
        <f>SUMIF('5. PERSON'!$B$17:$B$192,$C2394,'5. PERSON'!BK$17:BK$192)</f>
        <v>0</v>
      </c>
      <c r="I2407" s="134">
        <f>SUMIF('5. PERSON'!$B$17:$B$192,$C2394,'5. PERSON'!BL$17:BL$192)</f>
        <v>0</v>
      </c>
      <c r="J2407" s="134">
        <f>SUMIF('5. PERSON'!$B$17:$B$192,$C2394,'5. PERSON'!BM$17:BM$192)</f>
        <v>0</v>
      </c>
      <c r="K2407" s="134">
        <f>SUMIF('5. PERSON'!$B$17:$B$192,$C2394,'5. PERSON'!BN$17:BN$192)</f>
        <v>0</v>
      </c>
      <c r="L2407" s="134">
        <f>SUMIF('5. PERSON'!$B$17:$B$192,$C2394,'5. PERSON'!BO$17:BO$192)</f>
        <v>0</v>
      </c>
      <c r="M2407" s="120">
        <f t="shared" si="579"/>
        <v>0</v>
      </c>
    </row>
    <row r="2408" spans="2:15" s="3" customFormat="1" ht="13.2" x14ac:dyDescent="0.25">
      <c r="B2408" s="80" t="str">
        <f>IF('1. INTRO'!I$2="English",(IF('6. OPERATION'!AS$150&gt;0,"Operating","")),IF('6. OPERATION'!AS$150&gt;0,"Drift",""))</f>
        <v/>
      </c>
      <c r="C2408" s="135">
        <f>SUMIF('6. OPERATION'!$B$17:$B$149,$C2394,'6. OPERATION'!AI$17:AI$149)</f>
        <v>0</v>
      </c>
      <c r="D2408" s="135">
        <f>SUMIF('6. OPERATION'!$B$17:$B$149,$C2394,'6. OPERATION'!AJ$17:AJ$149)</f>
        <v>0</v>
      </c>
      <c r="E2408" s="135">
        <f>SUMIF('6. OPERATION'!$B$17:$B$149,$C2394,'6. OPERATION'!AK$17:AK$149)</f>
        <v>0</v>
      </c>
      <c r="F2408" s="135">
        <f>SUMIF('6. OPERATION'!$B$17:$B$149,$C2394,'6. OPERATION'!AL$17:AL$149)</f>
        <v>0</v>
      </c>
      <c r="G2408" s="135">
        <f>SUMIF('6. OPERATION'!$B$17:$B$149,$C2394,'6. OPERATION'!AM$17:AM$149)</f>
        <v>0</v>
      </c>
      <c r="H2408" s="135">
        <f>SUMIF('6. OPERATION'!$B$17:$B$149,$C2394,'6. OPERATION'!AN$17:AN$149)</f>
        <v>0</v>
      </c>
      <c r="I2408" s="135">
        <f>SUMIF('6. OPERATION'!$B$17:$B$149,$C2394,'6. OPERATION'!AO$17:AO$149)</f>
        <v>0</v>
      </c>
      <c r="J2408" s="135">
        <f>SUMIF('6. OPERATION'!$B$17:$B$149,$C2394,'6. OPERATION'!AP$17:AP$149)</f>
        <v>0</v>
      </c>
      <c r="K2408" s="135">
        <f>SUMIF('6. OPERATION'!$B$17:$B$149,$C2394,'6. OPERATION'!AQ$17:AQ$149)</f>
        <v>0</v>
      </c>
      <c r="L2408" s="135">
        <f>SUMIF('6. OPERATION'!$B$17:$B$149,$C2394,'6. OPERATION'!AR$17:AR$149)</f>
        <v>0</v>
      </c>
      <c r="M2408" s="117">
        <f t="shared" si="579"/>
        <v>0</v>
      </c>
    </row>
    <row r="2409" spans="2:15" s="3" customFormat="1" ht="13.2" x14ac:dyDescent="0.25">
      <c r="B2409" s="118" t="str">
        <f>IF('1. INTRO'!I$2="English",(IF('7. INVEST'!AS$50&gt;0,"Equipment","")),IF('7. INVEST'!AS$50&gt;0,"Utrustning",""))</f>
        <v/>
      </c>
      <c r="C2409" s="134">
        <f>SUMIF('7. INVEST'!$B$17:$B$49,$C2394,'7. INVEST'!AI$17:AI$49)</f>
        <v>0</v>
      </c>
      <c r="D2409" s="134">
        <f>SUMIF('7. INVEST'!$B$17:$B$49,$C2394,'7. INVEST'!AJ$17:AJ$49)</f>
        <v>0</v>
      </c>
      <c r="E2409" s="134">
        <f>SUMIF('7. INVEST'!$B$17:$B$49,$C2394,'7. INVEST'!AK$17:AK$49)</f>
        <v>0</v>
      </c>
      <c r="F2409" s="134">
        <f>SUMIF('7. INVEST'!$B$17:$B$49,$C2394,'7. INVEST'!AL$17:AL$49)</f>
        <v>0</v>
      </c>
      <c r="G2409" s="134">
        <f>SUMIF('7. INVEST'!$B$17:$B$49,$C2394,'7. INVEST'!AM$17:AM$49)</f>
        <v>0</v>
      </c>
      <c r="H2409" s="134">
        <f>SUMIF('7. INVEST'!$B$17:$B$49,$C2394,'7. INVEST'!AN$17:AN$49)</f>
        <v>0</v>
      </c>
      <c r="I2409" s="134">
        <f>SUMIF('7. INVEST'!$B$17:$B$49,$C2394,'7. INVEST'!AO$17:AO$49)</f>
        <v>0</v>
      </c>
      <c r="J2409" s="134">
        <f>SUMIF('7. INVEST'!$B$17:$B$49,$C2394,'7. INVEST'!AP$17:AP$49)</f>
        <v>0</v>
      </c>
      <c r="K2409" s="134">
        <f>SUMIF('7. INVEST'!$B$17:$B$49,$C2394,'7. INVEST'!AQ$17:AQ$49)</f>
        <v>0</v>
      </c>
      <c r="L2409" s="134">
        <f>SUMIF('7. INVEST'!$B$17:$B$49,$C2394,'7. INVEST'!AR$17:AR$49)</f>
        <v>0</v>
      </c>
      <c r="M2409" s="120">
        <f t="shared" si="579"/>
        <v>0</v>
      </c>
    </row>
    <row r="2410" spans="2:15" s="3" customFormat="1" ht="13.2" x14ac:dyDescent="0.25">
      <c r="B2410" s="121" t="str">
        <f>IF('1. INTRO'!I$2="English",(IF('8. FACILIT'!AP$51&gt;0,"Facility","")),IF('8. FACILIT'!AP$51&gt;0,"Lokal",""))</f>
        <v/>
      </c>
      <c r="C2410" s="135">
        <f>SUMIF('5. PERSON'!$B$17:$B$192,$C2394,'5. PERSON'!DB$17:DB$192)+SUMIF('6. OPERATION'!$B$17:$B$149,$C2394,'6. OPERATION'!CE$17:CE$149)+SUMIF('8. FACILIT'!$B$18:$B$50,$C2394,'8. FACILIT'!AF$18:AF$50)</f>
        <v>0</v>
      </c>
      <c r="D2410" s="135">
        <f>SUMIF('5. PERSON'!$B$17:$B$192,$C2394,'5. PERSON'!DC$17:DC$192)+SUMIF('6. OPERATION'!$B$17:$B$149,$C2394,'6. OPERATION'!CF$17:CF$149)+SUMIF('8. FACILIT'!$B$18:$B$50,$C2394,'8. FACILIT'!AG$18:AG$50)</f>
        <v>0</v>
      </c>
      <c r="E2410" s="135">
        <f>SUMIF('5. PERSON'!$B$17:$B$192,$C2394,'5. PERSON'!DD$17:DD$192)+SUMIF('6. OPERATION'!$B$17:$B$149,$C2394,'6. OPERATION'!CG$17:CG$149)+SUMIF('8. FACILIT'!$B$18:$B$50,$C2394,'8. FACILIT'!AH$18:AH$50)</f>
        <v>0</v>
      </c>
      <c r="F2410" s="135">
        <f>SUMIF('5. PERSON'!$B$17:$B$192,$C2394,'5. PERSON'!DE$17:DE$192)+SUMIF('6. OPERATION'!$B$17:$B$149,$C2394,'6. OPERATION'!CH$17:CH$149)+SUMIF('8. FACILIT'!$B$18:$B$50,$C2394,'8. FACILIT'!AI$18:AI$50)</f>
        <v>0</v>
      </c>
      <c r="G2410" s="135">
        <f>SUMIF('5. PERSON'!$B$17:$B$192,$C2394,'5. PERSON'!DF$17:DF$192)+SUMIF('6. OPERATION'!$B$17:$B$149,$C2394,'6. OPERATION'!CI$17:CI$149)+SUMIF('8. FACILIT'!$B$18:$B$50,$C2394,'8. FACILIT'!AJ$18:AJ$50)</f>
        <v>0</v>
      </c>
      <c r="H2410" s="135">
        <f>SUMIF('5. PERSON'!$B$17:$B$192,$C2394,'5. PERSON'!DG$17:DG$192)+SUMIF('6. OPERATION'!$B$17:$B$149,$C2394,'6. OPERATION'!CJ$17:CJ$149)+SUMIF('8. FACILIT'!$B$18:$B$50,$C2394,'8. FACILIT'!AK$18:AK$50)</f>
        <v>0</v>
      </c>
      <c r="I2410" s="135">
        <f>SUMIF('5. PERSON'!$B$17:$B$192,$C2394,'5. PERSON'!DH$17:DH$192)+SUMIF('6. OPERATION'!$B$17:$B$149,$C2394,'6. OPERATION'!CK$17:CK$149)+SUMIF('8. FACILIT'!$B$18:$B$50,$C2394,'8. FACILIT'!AL$18:AL$50)</f>
        <v>0</v>
      </c>
      <c r="J2410" s="135">
        <f>SUMIF('5. PERSON'!$B$17:$B$192,$C2394,'5. PERSON'!DI$17:DI$192)+SUMIF('6. OPERATION'!$B$17:$B$149,$C2394,'6. OPERATION'!CL$17:CL$149)+SUMIF('8. FACILIT'!$B$18:$B$50,$C2394,'8. FACILIT'!AM$18:AM$50)</f>
        <v>0</v>
      </c>
      <c r="K2410" s="135">
        <f>SUMIF('5. PERSON'!$B$17:$B$192,$C2394,'5. PERSON'!DJ$17:DJ$192)+SUMIF('6. OPERATION'!$B$17:$B$149,$C2394,'6. OPERATION'!CM$17:CM$149)+SUMIF('8. FACILIT'!$B$18:$B$50,$C2394,'8. FACILIT'!AN$18:AN$50)</f>
        <v>0</v>
      </c>
      <c r="L2410" s="135">
        <f>SUMIF('5. PERSON'!$B$17:$B$192,$C2394,'5. PERSON'!DK$17:DK$192)+SUMIF('6. OPERATION'!$B$17:$B$149,$C2394,'6. OPERATION'!CN$17:CN$149)+SUMIF('8. FACILIT'!$B$18:$B$50,$C2394,'8. FACILIT'!AO$18:AO$50)</f>
        <v>0</v>
      </c>
      <c r="M2410" s="117">
        <f t="shared" si="579"/>
        <v>0</v>
      </c>
    </row>
    <row r="2411" spans="2:15" s="1" customFormat="1" ht="13.2" x14ac:dyDescent="0.25">
      <c r="B2411" s="122" t="str">
        <f>IF('1. INTRO'!I$2="English",(IF(('5. PERSON'!CN$193+'6. OPERATION'!BQ$150)&gt;0,"Indirect","")),IF(('5. PERSON'!CN$193+'6. OPERATION'!BQ$150)&gt;0,"Indirekt",""))</f>
        <v/>
      </c>
      <c r="C2411" s="107">
        <f>SUMIF('5. PERSON'!$B$17:$B$192,$C2394,'5. PERSON'!CD$17:CD$192)+SUMIF('6. OPERATION'!$B$17:$B$149,$C2394,'6. OPERATION'!BG$17:BG$149)</f>
        <v>0</v>
      </c>
      <c r="D2411" s="107">
        <f>SUMIF('5. PERSON'!$B$17:$B$192,$C2394,'5. PERSON'!CE$17:CE$192)+SUMIF('6. OPERATION'!$B$17:$B$149,$C2394,'6. OPERATION'!BH$17:BH$149)</f>
        <v>0</v>
      </c>
      <c r="E2411" s="107">
        <f>SUMIF('5. PERSON'!$B$17:$B$192,$C2394,'5. PERSON'!CF$17:CF$192)+SUMIF('6. OPERATION'!$B$17:$B$149,$C2394,'6. OPERATION'!BI$17:BI$149)</f>
        <v>0</v>
      </c>
      <c r="F2411" s="107">
        <f>SUMIF('5. PERSON'!$B$17:$B$192,$C2394,'5. PERSON'!CG$17:CG$192)+SUMIF('6. OPERATION'!$B$17:$B$149,$C2394,'6. OPERATION'!BJ$17:BJ$149)</f>
        <v>0</v>
      </c>
      <c r="G2411" s="107">
        <f>SUMIF('5. PERSON'!$B$17:$B$192,$C2394,'5. PERSON'!CH$17:CH$192)+SUMIF('6. OPERATION'!$B$17:$B$149,$C2394,'6. OPERATION'!BK$17:BK$149)</f>
        <v>0</v>
      </c>
      <c r="H2411" s="107">
        <f>SUMIF('5. PERSON'!$B$17:$B$192,$C2394,'5. PERSON'!CI$17:CI$192)+SUMIF('6. OPERATION'!$B$17:$B$149,$C2394,'6. OPERATION'!BL$17:BL$149)</f>
        <v>0</v>
      </c>
      <c r="I2411" s="107">
        <f>SUMIF('5. PERSON'!$B$17:$B$192,$C2394,'5. PERSON'!CJ$17:CJ$192)+SUMIF('6. OPERATION'!$B$17:$B$149,$C2394,'6. OPERATION'!BM$17:BM$149)</f>
        <v>0</v>
      </c>
      <c r="J2411" s="107">
        <f>SUMIF('5. PERSON'!$B$17:$B$192,$C2394,'5. PERSON'!CK$17:CK$192)+SUMIF('6. OPERATION'!$B$17:$B$149,$C2394,'6. OPERATION'!BN$17:BN$149)</f>
        <v>0</v>
      </c>
      <c r="K2411" s="107">
        <f>SUMIF('5. PERSON'!$B$17:$B$192,$C2394,'5. PERSON'!CL$17:CL$192)+SUMIF('6. OPERATION'!$B$17:$B$149,$C2394,'6. OPERATION'!BO$17:BO$149)</f>
        <v>0</v>
      </c>
      <c r="L2411" s="107">
        <f>SUMIF('5. PERSON'!$B$17:$B$192,$C2394,'5. PERSON'!CM$17:CM$192)+SUMIF('6. OPERATION'!$B$17:$B$149,$C2394,'6. OPERATION'!BP$17:BP$149)</f>
        <v>0</v>
      </c>
      <c r="M2411" s="123">
        <f t="shared" si="579"/>
        <v>0</v>
      </c>
    </row>
    <row r="2412" spans="2:15" s="3" customFormat="1" ht="13.2" x14ac:dyDescent="0.25">
      <c r="B2412" s="124" t="s">
        <v>113</v>
      </c>
      <c r="C2412" s="102">
        <f>SUM(C2405:C2411)</f>
        <v>0</v>
      </c>
      <c r="D2412" s="102">
        <f t="shared" ref="D2412:L2412" si="580">SUM(D2405:D2411)</f>
        <v>0</v>
      </c>
      <c r="E2412" s="102">
        <f t="shared" si="580"/>
        <v>0</v>
      </c>
      <c r="F2412" s="102">
        <f t="shared" si="580"/>
        <v>0</v>
      </c>
      <c r="G2412" s="102">
        <f t="shared" si="580"/>
        <v>0</v>
      </c>
      <c r="H2412" s="102">
        <f t="shared" si="580"/>
        <v>0</v>
      </c>
      <c r="I2412" s="102">
        <f t="shared" si="580"/>
        <v>0</v>
      </c>
      <c r="J2412" s="102">
        <f t="shared" si="580"/>
        <v>0</v>
      </c>
      <c r="K2412" s="102">
        <f t="shared" si="580"/>
        <v>0</v>
      </c>
      <c r="L2412" s="102">
        <f t="shared" si="580"/>
        <v>0</v>
      </c>
      <c r="M2412" s="125">
        <f t="shared" ref="M2412" si="581">SUM(M2405:M2411)</f>
        <v>0</v>
      </c>
      <c r="N2412" s="23"/>
      <c r="O2412" s="23"/>
    </row>
    <row r="2413" spans="2:15" s="3" customFormat="1" ht="6" customHeight="1" x14ac:dyDescent="0.25">
      <c r="B2413" s="136"/>
      <c r="C2413" s="127"/>
      <c r="D2413" s="127"/>
      <c r="E2413" s="127"/>
      <c r="F2413" s="127"/>
      <c r="G2413" s="127"/>
      <c r="H2413" s="127"/>
      <c r="I2413" s="127"/>
      <c r="J2413" s="127"/>
      <c r="K2413" s="127"/>
      <c r="L2413" s="127"/>
      <c r="M2413" s="137"/>
    </row>
    <row r="2414" spans="2:15" s="3" customFormat="1" ht="13.2" x14ac:dyDescent="0.25">
      <c r="B2414" s="129" t="str">
        <f>IF('1. INTRO'!I$2="English","Full cost","Full kostnad")</f>
        <v>Full cost</v>
      </c>
      <c r="C2414" s="127"/>
      <c r="D2414" s="127"/>
      <c r="E2414" s="127"/>
      <c r="F2414" s="127"/>
      <c r="G2414" s="127"/>
      <c r="H2414" s="127"/>
      <c r="I2414" s="127"/>
      <c r="J2414" s="127"/>
      <c r="K2414" s="127"/>
      <c r="L2414" s="127"/>
      <c r="M2414" s="137"/>
    </row>
    <row r="2415" spans="2:15" s="3" customFormat="1" ht="13.2" x14ac:dyDescent="0.25">
      <c r="B2415" s="113" t="str">
        <f>IF('1. INTRO'!I$2="English","Salary including social costs (LKP)","Lön inklusive LKP")</f>
        <v>Salary including social costs (LKP)</v>
      </c>
      <c r="C2415" s="138">
        <f>C2397+C2406+C2407</f>
        <v>0</v>
      </c>
      <c r="D2415" s="138">
        <f t="shared" ref="D2415:L2415" si="582">D2397+D2406+D2407</f>
        <v>0</v>
      </c>
      <c r="E2415" s="138">
        <f t="shared" si="582"/>
        <v>0</v>
      </c>
      <c r="F2415" s="138">
        <f t="shared" si="582"/>
        <v>0</v>
      </c>
      <c r="G2415" s="138">
        <f t="shared" si="582"/>
        <v>0</v>
      </c>
      <c r="H2415" s="138">
        <f t="shared" si="582"/>
        <v>0</v>
      </c>
      <c r="I2415" s="138">
        <f t="shared" si="582"/>
        <v>0</v>
      </c>
      <c r="J2415" s="138">
        <f t="shared" si="582"/>
        <v>0</v>
      </c>
      <c r="K2415" s="138">
        <f t="shared" si="582"/>
        <v>0</v>
      </c>
      <c r="L2415" s="138">
        <f t="shared" si="582"/>
        <v>0</v>
      </c>
      <c r="M2415" s="115">
        <f>SUM(C2415:L2415)</f>
        <v>0</v>
      </c>
    </row>
    <row r="2416" spans="2:15" s="3" customFormat="1" ht="13.2" x14ac:dyDescent="0.25">
      <c r="B2416" s="80" t="str">
        <f>IF('1. INTRO'!I$2="English","Operating","Drift")</f>
        <v>Operating</v>
      </c>
      <c r="C2416" s="139">
        <f>C2398+C2408</f>
        <v>0</v>
      </c>
      <c r="D2416" s="139">
        <f t="shared" ref="D2416:L2416" si="583">D2398+D2408</f>
        <v>0</v>
      </c>
      <c r="E2416" s="139">
        <f t="shared" si="583"/>
        <v>0</v>
      </c>
      <c r="F2416" s="139">
        <f t="shared" si="583"/>
        <v>0</v>
      </c>
      <c r="G2416" s="139">
        <f t="shared" si="583"/>
        <v>0</v>
      </c>
      <c r="H2416" s="139">
        <f t="shared" si="583"/>
        <v>0</v>
      </c>
      <c r="I2416" s="139">
        <f t="shared" si="583"/>
        <v>0</v>
      </c>
      <c r="J2416" s="139">
        <f t="shared" si="583"/>
        <v>0</v>
      </c>
      <c r="K2416" s="139">
        <f t="shared" si="583"/>
        <v>0</v>
      </c>
      <c r="L2416" s="139">
        <f t="shared" si="583"/>
        <v>0</v>
      </c>
      <c r="M2416" s="117">
        <f>SUM(C2416:L2416)</f>
        <v>0</v>
      </c>
    </row>
    <row r="2417" spans="2:13" s="3" customFormat="1" ht="13.2" x14ac:dyDescent="0.25">
      <c r="B2417" s="118" t="str">
        <f>IF('1. INTRO'!I$2="English","Equipment","Utrustning")</f>
        <v>Equipment</v>
      </c>
      <c r="C2417" s="140">
        <f>C2399+C2409</f>
        <v>0</v>
      </c>
      <c r="D2417" s="140">
        <f t="shared" ref="D2417:L2417" si="584">D2399+D2409</f>
        <v>0</v>
      </c>
      <c r="E2417" s="140">
        <f t="shared" si="584"/>
        <v>0</v>
      </c>
      <c r="F2417" s="140">
        <f t="shared" si="584"/>
        <v>0</v>
      </c>
      <c r="G2417" s="140">
        <f t="shared" si="584"/>
        <v>0</v>
      </c>
      <c r="H2417" s="140">
        <f t="shared" si="584"/>
        <v>0</v>
      </c>
      <c r="I2417" s="140">
        <f t="shared" si="584"/>
        <v>0</v>
      </c>
      <c r="J2417" s="140">
        <f t="shared" si="584"/>
        <v>0</v>
      </c>
      <c r="K2417" s="140">
        <f t="shared" si="584"/>
        <v>0</v>
      </c>
      <c r="L2417" s="140">
        <f t="shared" si="584"/>
        <v>0</v>
      </c>
      <c r="M2417" s="120">
        <f>SUM(C2417:L2417)</f>
        <v>0</v>
      </c>
    </row>
    <row r="2418" spans="2:13" s="3" customFormat="1" ht="13.2" x14ac:dyDescent="0.25">
      <c r="B2418" s="80" t="str">
        <f>IF('1. INTRO'!I$2="English","Facility","Lokal")</f>
        <v>Facility</v>
      </c>
      <c r="C2418" s="139">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39">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39">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39">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39">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39">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39">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39">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39">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39">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117">
        <f>SUM(C2418:L2418)</f>
        <v>0</v>
      </c>
    </row>
    <row r="2419" spans="2:13" s="3" customFormat="1" ht="13.2" x14ac:dyDescent="0.25">
      <c r="B2419" s="601" t="str">
        <f>IF('1. INTRO'!I$2="English","Indirect","Indirekt")</f>
        <v>Indirect</v>
      </c>
      <c r="C2419" s="141">
        <f>SUMIF('5. PERSON'!$B$17:$B$192,$C2394,'5. PERSON'!BR$17:BR$192)+SUMIF('5. PERSON'!$B$17:$B$192,$C2394,'5. PERSON'!CD$17:CD$192)+SUMIF('6. OPERATION'!$B$17:$B$149,$C2394,'6. OPERATION'!AU$17:AU$149)+SUMIF('6. OPERATION'!$B$17:$B$149,$C2394,'6. OPERATION'!BG$17:BG$149)</f>
        <v>0</v>
      </c>
      <c r="D2419" s="141">
        <f>SUMIF('5. PERSON'!$B$17:$B$192,$C2394,'5. PERSON'!BS$17:BS$192)+SUMIF('5. PERSON'!$B$17:$B$192,$C2394,'5. PERSON'!CE$17:CE$192)+SUMIF('6. OPERATION'!$B$17:$B$149,$C2394,'6. OPERATION'!AV$17:AV$149)+SUMIF('6. OPERATION'!$B$17:$B$149,$C2394,'6. OPERATION'!BH$17:BH$149)</f>
        <v>0</v>
      </c>
      <c r="E2419" s="141">
        <f>SUMIF('5. PERSON'!$B$17:$B$192,$C2394,'5. PERSON'!BT$17:BT$192)+SUMIF('5. PERSON'!$B$17:$B$192,$C2394,'5. PERSON'!CF$17:CF$192)+SUMIF('6. OPERATION'!$B$17:$B$149,$C2394,'6. OPERATION'!AW$17:AW$149)+SUMIF('6. OPERATION'!$B$17:$B$149,$C2394,'6. OPERATION'!BI$17:BI$149)</f>
        <v>0</v>
      </c>
      <c r="F2419" s="141">
        <f>SUMIF('5. PERSON'!$B$17:$B$192,$C2394,'5. PERSON'!BU$17:BU$192)+SUMIF('5. PERSON'!$B$17:$B$192,$C2394,'5. PERSON'!CG$17:CG$192)+SUMIF('6. OPERATION'!$B$17:$B$149,$C2394,'6. OPERATION'!AX$17:AX$149)+SUMIF('6. OPERATION'!$B$17:$B$149,$C2394,'6. OPERATION'!BJ$17:BJ$149)</f>
        <v>0</v>
      </c>
      <c r="G2419" s="141">
        <f>SUMIF('5. PERSON'!$B$17:$B$192,$C2394,'5. PERSON'!BV$17:BV$192)+SUMIF('5. PERSON'!$B$17:$B$192,$C2394,'5. PERSON'!CH$17:CH$192)+SUMIF('6. OPERATION'!$B$17:$B$149,$C2394,'6. OPERATION'!AY$17:AY$149)+SUMIF('6. OPERATION'!$B$17:$B$149,$C2394,'6. OPERATION'!BK$17:BK$149)</f>
        <v>0</v>
      </c>
      <c r="H2419" s="141">
        <f>SUMIF('5. PERSON'!$B$17:$B$192,$C2394,'5. PERSON'!BW$17:BW$192)+SUMIF('5. PERSON'!$B$17:$B$192,$C2394,'5. PERSON'!CI$17:CI$192)+SUMIF('6. OPERATION'!$B$17:$B$149,$C2394,'6. OPERATION'!AZ$17:AZ$149)+SUMIF('6. OPERATION'!$B$17:$B$149,$C2394,'6. OPERATION'!BL$17:BL$149)</f>
        <v>0</v>
      </c>
      <c r="I2419" s="141">
        <f>SUMIF('5. PERSON'!$B$17:$B$192,$C2394,'5. PERSON'!BX$17:BX$192)+SUMIF('5. PERSON'!$B$17:$B$192,$C2394,'5. PERSON'!CJ$17:CJ$192)+SUMIF('6. OPERATION'!$B$17:$B$149,$C2394,'6. OPERATION'!BA$17:BA$149)+SUMIF('6. OPERATION'!$B$17:$B$149,$C2394,'6. OPERATION'!BM$17:BM$149)</f>
        <v>0</v>
      </c>
      <c r="J2419" s="141">
        <f>SUMIF('5. PERSON'!$B$17:$B$192,$C2394,'5. PERSON'!BY$17:BY$192)+SUMIF('5. PERSON'!$B$17:$B$192,$C2394,'5. PERSON'!CK$17:CK$192)+SUMIF('6. OPERATION'!$B$17:$B$149,$C2394,'6. OPERATION'!BB$17:BB$149)+SUMIF('6. OPERATION'!$B$17:$B$149,$C2394,'6. OPERATION'!BN$17:BN$149)</f>
        <v>0</v>
      </c>
      <c r="K2419" s="141">
        <f>SUMIF('5. PERSON'!$B$17:$B$192,$C2394,'5. PERSON'!BZ$17:BZ$192)+SUMIF('5. PERSON'!$B$17:$B$192,$C2394,'5. PERSON'!CL$17:CL$192)+SUMIF('6. OPERATION'!$B$17:$B$149,$C2394,'6. OPERATION'!BC$17:BC$149)+SUMIF('6. OPERATION'!$B$17:$B$149,$C2394,'6. OPERATION'!BO$17:BO$149)</f>
        <v>0</v>
      </c>
      <c r="L2419" s="141">
        <f>SUMIF('5. PERSON'!$B$17:$B$192,$C2394,'5. PERSON'!CA$17:CA$192)+SUMIF('5. PERSON'!$B$17:$B$192,$C2394,'5. PERSON'!CM$17:CM$192)+SUMIF('6. OPERATION'!$B$17:$B$149,$C2394,'6. OPERATION'!BD$17:BD$149)+SUMIF('6. OPERATION'!$B$17:$B$149,$C2394,'6. OPERATION'!BP$17:BP$149)</f>
        <v>0</v>
      </c>
      <c r="M2419" s="123">
        <f>SUM(C2419:L2419)</f>
        <v>0</v>
      </c>
    </row>
    <row r="2420" spans="2:13" s="3" customFormat="1" ht="13.2" x14ac:dyDescent="0.25">
      <c r="B2420" s="124" t="s">
        <v>113</v>
      </c>
      <c r="C2420" s="88">
        <f>SUM(C2415:C2419)</f>
        <v>0</v>
      </c>
      <c r="D2420" s="88">
        <f t="shared" ref="D2420:M2420" si="585">SUM(D2415:D2419)</f>
        <v>0</v>
      </c>
      <c r="E2420" s="88">
        <f t="shared" si="585"/>
        <v>0</v>
      </c>
      <c r="F2420" s="88">
        <f t="shared" si="585"/>
        <v>0</v>
      </c>
      <c r="G2420" s="88">
        <f t="shared" si="585"/>
        <v>0</v>
      </c>
      <c r="H2420" s="88">
        <f t="shared" si="585"/>
        <v>0</v>
      </c>
      <c r="I2420" s="88">
        <f t="shared" si="585"/>
        <v>0</v>
      </c>
      <c r="J2420" s="88">
        <f t="shared" si="585"/>
        <v>0</v>
      </c>
      <c r="K2420" s="88">
        <f t="shared" si="585"/>
        <v>0</v>
      </c>
      <c r="L2420" s="88">
        <f t="shared" si="585"/>
        <v>0</v>
      </c>
      <c r="M2420" s="142">
        <f t="shared" si="585"/>
        <v>0</v>
      </c>
    </row>
    <row r="2421" spans="2:13" s="3" customFormat="1" ht="13.2" x14ac:dyDescent="0.25">
      <c r="B2421" s="287"/>
      <c r="C2421" s="37"/>
      <c r="D2421" s="37"/>
      <c r="E2421" s="37"/>
      <c r="F2421" s="37"/>
      <c r="G2421" s="37"/>
      <c r="H2421" s="37"/>
      <c r="I2421" s="37"/>
      <c r="J2421" s="37"/>
      <c r="K2421" s="37"/>
      <c r="L2421" s="37"/>
      <c r="M2421" s="37"/>
    </row>
    <row r="2422" spans="2:13" s="3" customFormat="1" ht="12.75" customHeight="1" x14ac:dyDescent="0.25">
      <c r="B2422" s="656" t="str">
        <f>IF('1. INTRO'!I$2="English","Co-funding share in full cost ","Medfinansieringsandel i full kostnad ")</f>
        <v xml:space="preserve">Co-funding share in full cost </v>
      </c>
      <c r="C2422" s="143" t="str">
        <f t="shared" ref="C2422:M2422" si="586">IF(C2420&gt;0,C2412/C2420,"")</f>
        <v/>
      </c>
      <c r="D2422" s="143" t="str">
        <f t="shared" si="586"/>
        <v/>
      </c>
      <c r="E2422" s="143" t="str">
        <f t="shared" si="586"/>
        <v/>
      </c>
      <c r="F2422" s="143" t="str">
        <f t="shared" si="586"/>
        <v/>
      </c>
      <c r="G2422" s="143" t="str">
        <f t="shared" si="586"/>
        <v/>
      </c>
      <c r="H2422" s="143" t="str">
        <f t="shared" si="586"/>
        <v/>
      </c>
      <c r="I2422" s="143" t="str">
        <f t="shared" si="586"/>
        <v/>
      </c>
      <c r="J2422" s="143" t="str">
        <f t="shared" si="586"/>
        <v/>
      </c>
      <c r="K2422" s="143" t="str">
        <f t="shared" si="586"/>
        <v/>
      </c>
      <c r="L2422" s="143" t="str">
        <f t="shared" si="586"/>
        <v/>
      </c>
      <c r="M2422" s="143" t="str">
        <f t="shared" si="586"/>
        <v/>
      </c>
    </row>
    <row r="2423" spans="2:13" ht="12.75" customHeight="1" x14ac:dyDescent="0.2"/>
    <row r="2424" spans="2:13" ht="12.75" customHeight="1" x14ac:dyDescent="0.25">
      <c r="D2424" s="676" t="str">
        <f>IF('1. INTRO'!I$2="English","Co-funding need in average per year: ","Medfinansieringsbehov i genomsnitt per år: ")</f>
        <v xml:space="preserve">Co-funding need in average per year: </v>
      </c>
      <c r="E2424" s="92" t="str">
        <f>IF(M2412=0,"",M2412/(DATEDIF('2. START'!C$18,'2. START'!C$19,"d")/365))</f>
        <v/>
      </c>
      <c r="H2424" s="676" t="str">
        <f>IF('1. INTRO'!I$2="English","Co-funding need 1/3 of total: ","Medfinansieringsbehov 1/3 av totalt: ")</f>
        <v xml:space="preserve">Co-funding need 1/3 of total: </v>
      </c>
      <c r="I2424" s="92">
        <f>M2412/3</f>
        <v>0</v>
      </c>
      <c r="L2424" s="287" t="str">
        <f>IF('1. INTRO'!I$2="English","Co-funding need total: ","Medfinansieringsbehov totalt: ")</f>
        <v xml:space="preserve">Co-funding need total: </v>
      </c>
      <c r="M2424" s="92">
        <f>M2412</f>
        <v>0</v>
      </c>
    </row>
    <row r="2425" spans="2:13" ht="12.75" customHeight="1" x14ac:dyDescent="0.25">
      <c r="B2425" s="53" t="str">
        <f>IF('1. INTRO'!I$2="English","Co-funding sources","Medfinansieringskällor")</f>
        <v>Co-funding sources</v>
      </c>
    </row>
    <row r="2426" spans="2:13" ht="12.75" customHeight="1" x14ac:dyDescent="0.25">
      <c r="B2426" s="225"/>
      <c r="C2426" s="226"/>
      <c r="D2426" s="226"/>
      <c r="E2426" s="226"/>
      <c r="F2426" s="226"/>
      <c r="G2426" s="226"/>
      <c r="H2426" s="226"/>
      <c r="I2426" s="226"/>
      <c r="J2426" s="226"/>
      <c r="K2426" s="226"/>
      <c r="L2426" s="227"/>
      <c r="M2426" s="168">
        <f>SUM(C2426:L2426)</f>
        <v>0</v>
      </c>
    </row>
    <row r="2427" spans="2:13" ht="12.75" customHeight="1" x14ac:dyDescent="0.25">
      <c r="B2427" s="228"/>
      <c r="C2427" s="229"/>
      <c r="D2427" s="229"/>
      <c r="E2427" s="229"/>
      <c r="F2427" s="229"/>
      <c r="G2427" s="229"/>
      <c r="H2427" s="229"/>
      <c r="I2427" s="229"/>
      <c r="J2427" s="229"/>
      <c r="K2427" s="229"/>
      <c r="L2427" s="230"/>
      <c r="M2427" s="120">
        <f t="shared" ref="M2427:M2430" si="587">SUM(C2427:L2427)</f>
        <v>0</v>
      </c>
    </row>
    <row r="2428" spans="2:13" ht="12.75" customHeight="1" x14ac:dyDescent="0.25">
      <c r="B2428" s="231"/>
      <c r="C2428" s="232"/>
      <c r="D2428" s="232"/>
      <c r="E2428" s="232"/>
      <c r="F2428" s="232"/>
      <c r="G2428" s="232"/>
      <c r="H2428" s="232"/>
      <c r="I2428" s="232"/>
      <c r="J2428" s="232"/>
      <c r="K2428" s="232"/>
      <c r="L2428" s="233"/>
      <c r="M2428" s="117">
        <f t="shared" si="587"/>
        <v>0</v>
      </c>
    </row>
    <row r="2429" spans="2:13" ht="12.75" customHeight="1" x14ac:dyDescent="0.25">
      <c r="B2429" s="228"/>
      <c r="C2429" s="229"/>
      <c r="D2429" s="229"/>
      <c r="E2429" s="229"/>
      <c r="F2429" s="229"/>
      <c r="G2429" s="229"/>
      <c r="H2429" s="229"/>
      <c r="I2429" s="229"/>
      <c r="J2429" s="229"/>
      <c r="K2429" s="229"/>
      <c r="L2429" s="230"/>
      <c r="M2429" s="120">
        <f t="shared" si="587"/>
        <v>0</v>
      </c>
    </row>
    <row r="2430" spans="2:13" ht="12.75" customHeight="1" x14ac:dyDescent="0.25">
      <c r="B2430" s="93"/>
      <c r="C2430" s="232"/>
      <c r="D2430" s="232"/>
      <c r="E2430" s="232"/>
      <c r="F2430" s="232"/>
      <c r="G2430" s="232"/>
      <c r="H2430" s="232"/>
      <c r="I2430" s="232"/>
      <c r="J2430" s="232"/>
      <c r="K2430" s="232"/>
      <c r="L2430" s="233"/>
      <c r="M2430" s="117">
        <f t="shared" si="587"/>
        <v>0</v>
      </c>
    </row>
    <row r="2431" spans="2:13" ht="12.75" customHeight="1" x14ac:dyDescent="0.25">
      <c r="B2431" s="84" t="str">
        <f>IF('1. INTRO'!I$2="English","Total co-funding ","Total medfinansiering ")</f>
        <v xml:space="preserve">Total co-funding </v>
      </c>
      <c r="C2431" s="87">
        <f t="shared" ref="C2431:M2431" si="588">SUM(C2426:C2430)</f>
        <v>0</v>
      </c>
      <c r="D2431" s="87">
        <f t="shared" si="588"/>
        <v>0</v>
      </c>
      <c r="E2431" s="87">
        <f t="shared" si="588"/>
        <v>0</v>
      </c>
      <c r="F2431" s="87">
        <f t="shared" si="588"/>
        <v>0</v>
      </c>
      <c r="G2431" s="87">
        <f t="shared" si="588"/>
        <v>0</v>
      </c>
      <c r="H2431" s="87">
        <f t="shared" si="588"/>
        <v>0</v>
      </c>
      <c r="I2431" s="87">
        <f t="shared" si="588"/>
        <v>0</v>
      </c>
      <c r="J2431" s="87">
        <f t="shared" si="588"/>
        <v>0</v>
      </c>
      <c r="K2431" s="87">
        <f t="shared" si="588"/>
        <v>0</v>
      </c>
      <c r="L2431" s="87">
        <f t="shared" si="588"/>
        <v>0</v>
      </c>
      <c r="M2431" s="142">
        <f t="shared" si="588"/>
        <v>0</v>
      </c>
    </row>
    <row r="2432" spans="2:13" ht="12.75" customHeight="1" x14ac:dyDescent="0.2"/>
    <row r="2433" spans="2:13" ht="12.75" customHeight="1" x14ac:dyDescent="0.2">
      <c r="B2433" s="667" t="str">
        <f>IF('1. INTRO'!I$2="English","Calculation comments","Kalkylkommentarer")</f>
        <v>Calculation comments</v>
      </c>
      <c r="C2433" s="37" t="str">
        <f>B61</f>
        <v/>
      </c>
    </row>
    <row r="2434" spans="2:13" ht="12.75" customHeight="1" x14ac:dyDescent="0.2">
      <c r="B2434" s="1142"/>
      <c r="C2434" s="1143"/>
      <c r="D2434" s="1143"/>
      <c r="E2434" s="1143"/>
      <c r="F2434" s="1143"/>
      <c r="G2434" s="1143"/>
      <c r="H2434" s="1143"/>
      <c r="I2434" s="1143"/>
      <c r="J2434" s="1143"/>
      <c r="K2434" s="1143"/>
      <c r="L2434" s="1143"/>
      <c r="M2434" s="1144"/>
    </row>
    <row r="2435" spans="2:13" ht="12.75" customHeight="1" x14ac:dyDescent="0.2">
      <c r="B2435" s="1145"/>
      <c r="C2435" s="1226"/>
      <c r="D2435" s="1226"/>
      <c r="E2435" s="1226"/>
      <c r="F2435" s="1226"/>
      <c r="G2435" s="1226"/>
      <c r="H2435" s="1226"/>
      <c r="I2435" s="1226"/>
      <c r="J2435" s="1226"/>
      <c r="K2435" s="1226"/>
      <c r="L2435" s="1226"/>
      <c r="M2435" s="1147"/>
    </row>
    <row r="2436" spans="2:13" ht="12.75" customHeight="1" x14ac:dyDescent="0.2">
      <c r="B2436" s="1145"/>
      <c r="C2436" s="1226"/>
      <c r="D2436" s="1226"/>
      <c r="E2436" s="1226"/>
      <c r="F2436" s="1226"/>
      <c r="G2436" s="1226"/>
      <c r="H2436" s="1226"/>
      <c r="I2436" s="1226"/>
      <c r="J2436" s="1226"/>
      <c r="K2436" s="1226"/>
      <c r="L2436" s="1226"/>
      <c r="M2436" s="1147"/>
    </row>
    <row r="2437" spans="2:13" ht="12.75" customHeight="1" x14ac:dyDescent="0.2">
      <c r="B2437" s="1145"/>
      <c r="C2437" s="1226"/>
      <c r="D2437" s="1226"/>
      <c r="E2437" s="1226"/>
      <c r="F2437" s="1226"/>
      <c r="G2437" s="1226"/>
      <c r="H2437" s="1226"/>
      <c r="I2437" s="1226"/>
      <c r="J2437" s="1226"/>
      <c r="K2437" s="1226"/>
      <c r="L2437" s="1226"/>
      <c r="M2437" s="1147"/>
    </row>
    <row r="2438" spans="2:13" ht="12.75" customHeight="1" x14ac:dyDescent="0.2">
      <c r="B2438" s="1148"/>
      <c r="C2438" s="1149"/>
      <c r="D2438" s="1149"/>
      <c r="E2438" s="1149"/>
      <c r="F2438" s="1149"/>
      <c r="G2438" s="1149"/>
      <c r="H2438" s="1149"/>
      <c r="I2438" s="1149"/>
      <c r="J2438" s="1149"/>
      <c r="K2438" s="1149"/>
      <c r="L2438" s="1149"/>
      <c r="M2438" s="1150"/>
    </row>
    <row r="2440" spans="2:13" s="3" customFormat="1" ht="12.75" customHeight="1" x14ac:dyDescent="0.25">
      <c r="B2440" s="313" t="str">
        <f>'3. PARTNER'!C$4</f>
        <v xml:space="preserve">Project: </v>
      </c>
      <c r="C2440" s="1062" t="str">
        <f>'3. PARTNER'!D$4</f>
        <v/>
      </c>
      <c r="D2440" s="1001"/>
      <c r="E2440" s="1001"/>
      <c r="F2440" s="1001"/>
      <c r="G2440" s="1001"/>
      <c r="H2440" s="1001"/>
      <c r="I2440" s="1001"/>
      <c r="J2440" s="1001"/>
      <c r="K2440" s="1001"/>
      <c r="L2440" s="1001"/>
      <c r="M2440" s="1001"/>
    </row>
    <row r="2441" spans="2:13" s="3" customFormat="1" ht="13.2" x14ac:dyDescent="0.25">
      <c r="B2441" s="313" t="str">
        <f>'3. PARTNER'!C$5</f>
        <v xml:space="preserve">Calculation for: </v>
      </c>
      <c r="C2441" s="1062" t="str">
        <f>'3. PARTNER'!D$5</f>
        <v>APPLICATION</v>
      </c>
      <c r="D2441" s="1001"/>
      <c r="E2441" s="268"/>
      <c r="F2441" s="268"/>
      <c r="G2441" s="268"/>
      <c r="H2441" s="268"/>
      <c r="I2441" s="268"/>
      <c r="J2441" s="268"/>
      <c r="K2441" s="268"/>
      <c r="L2441" s="268"/>
      <c r="M2441" s="268"/>
    </row>
    <row r="2442" spans="2:13" s="3" customFormat="1" ht="13.2" x14ac:dyDescent="0.25">
      <c r="B2442" s="35" t="str">
        <f>'3. PARTNER'!C$6</f>
        <v xml:space="preserve">Project leader: </v>
      </c>
      <c r="C2442" s="1062" t="str">
        <f>'3. PARTNER'!D$6</f>
        <v/>
      </c>
      <c r="D2442" s="1001"/>
      <c r="E2442" s="1001"/>
      <c r="F2442" s="1001"/>
      <c r="G2442" s="1001"/>
      <c r="H2442" s="1001"/>
      <c r="I2442" s="1001"/>
      <c r="J2442" s="1001"/>
      <c r="K2442" s="1001"/>
      <c r="L2442" s="1001"/>
      <c r="M2442" s="1001"/>
    </row>
    <row r="2443" spans="2:13" s="3" customFormat="1" ht="13.2" x14ac:dyDescent="0.25">
      <c r="B2443" s="313" t="str">
        <f>'5. PERSON'!B$7</f>
        <v xml:space="preserve">Amounts in: </v>
      </c>
      <c r="C2443" s="655" t="str">
        <f>'5. PERSON'!C$7</f>
        <v>SEK</v>
      </c>
      <c r="D2443" s="268"/>
      <c r="E2443" s="268"/>
      <c r="F2443" s="268"/>
      <c r="G2443" s="234"/>
      <c r="H2443" s="234"/>
      <c r="I2443" s="270"/>
      <c r="J2443" s="270"/>
      <c r="K2443" s="270"/>
      <c r="L2443" s="270"/>
      <c r="M2443" s="270"/>
    </row>
    <row r="2444" spans="2:13" s="3" customFormat="1" ht="13.2" x14ac:dyDescent="0.25">
      <c r="B2444" s="313"/>
      <c r="C2444" s="1053" t="str">
        <f>'3. PARTNER'!D$7</f>
        <v>Other basic data about the project is in sheet 2.</v>
      </c>
      <c r="D2444" s="1001"/>
      <c r="E2444" s="1001"/>
      <c r="F2444" s="1001"/>
      <c r="G2444" s="234"/>
      <c r="H2444" s="234"/>
      <c r="I2444" s="270"/>
      <c r="J2444" s="270"/>
      <c r="K2444" s="270"/>
      <c r="L2444" s="251" t="s">
        <v>4</v>
      </c>
      <c r="M2444" s="270"/>
    </row>
    <row r="2445" spans="2:13" ht="12.75" customHeight="1" x14ac:dyDescent="0.2">
      <c r="L2445" s="252" t="str">
        <f>IF('1. INTRO'!I$2="English","months","månader")</f>
        <v>months</v>
      </c>
    </row>
    <row r="2446" spans="2:13" s="3" customFormat="1" ht="13.8" x14ac:dyDescent="0.25">
      <c r="B2446" s="157" t="str">
        <f>IF('1. INTRO'!I$2="English","Project costs","Projektkostnader")</f>
        <v>Project costs</v>
      </c>
      <c r="C2446" s="668" t="str">
        <f>A62</f>
        <v>EXT104</v>
      </c>
      <c r="D2446" s="1227" t="str">
        <f>B62</f>
        <v/>
      </c>
      <c r="E2446" s="1001"/>
      <c r="F2446" s="1001"/>
      <c r="G2446" s="1001"/>
      <c r="H2446" s="1001"/>
      <c r="I2446" s="37"/>
      <c r="J2446" s="37"/>
      <c r="K2446" s="37"/>
      <c r="L2446" s="642">
        <f>SUMIF('5. PERSON'!$B$17:$B$192,$C2446,'5. PERSON'!AE$17:AE$192)</f>
        <v>0</v>
      </c>
      <c r="M2446" s="680" t="s">
        <v>330</v>
      </c>
    </row>
    <row r="2447" spans="2:13" s="3" customFormat="1" ht="6" customHeight="1" x14ac:dyDescent="0.25">
      <c r="B2447" s="57"/>
      <c r="C2447" s="37"/>
      <c r="D2447" s="37"/>
      <c r="E2447" s="37"/>
      <c r="F2447" s="37"/>
      <c r="G2447" s="37"/>
      <c r="H2447" s="37"/>
      <c r="I2447" s="37"/>
      <c r="J2447" s="37"/>
      <c r="K2447" s="37"/>
      <c r="L2447" s="37"/>
      <c r="M2447" s="37"/>
    </row>
    <row r="2448" spans="2:13" s="3" customFormat="1" ht="13.2" x14ac:dyDescent="0.25">
      <c r="B2448" s="110" t="str">
        <f>IF('1. INTRO'!I$2="English","Costs to be covered by funding body","Kostnader att täckas av finansiär")</f>
        <v>Costs to be covered by funding body</v>
      </c>
      <c r="C2448" s="111">
        <f>'5. PERSON'!G$15</f>
        <v>1900</v>
      </c>
      <c r="D2448" s="111" t="str">
        <f>'5. PERSON'!H$15</f>
        <v/>
      </c>
      <c r="E2448" s="111" t="str">
        <f>'5. PERSON'!I$15</f>
        <v/>
      </c>
      <c r="F2448" s="111" t="str">
        <f>'5. PERSON'!J$15</f>
        <v/>
      </c>
      <c r="G2448" s="111" t="str">
        <f>'5. PERSON'!K$15</f>
        <v/>
      </c>
      <c r="H2448" s="111" t="str">
        <f>'5. PERSON'!L$15</f>
        <v/>
      </c>
      <c r="I2448" s="111" t="str">
        <f>'5. PERSON'!M$15</f>
        <v/>
      </c>
      <c r="J2448" s="111" t="str">
        <f>'5. PERSON'!N$15</f>
        <v/>
      </c>
      <c r="K2448" s="111" t="str">
        <f>'5. PERSON'!O$15</f>
        <v/>
      </c>
      <c r="L2448" s="111" t="str">
        <f>'5. PERSON'!P$15</f>
        <v/>
      </c>
      <c r="M2448" s="112" t="s">
        <v>2</v>
      </c>
    </row>
    <row r="2449" spans="2:15" s="3" customFormat="1" ht="12.75" customHeight="1" x14ac:dyDescent="0.25">
      <c r="B2449" s="113" t="str">
        <f>IF('1. INTRO'!I$2="English","Salary including social costs (LKP)","Lön inklusive LKP")</f>
        <v>Salary including social costs (LKP)</v>
      </c>
      <c r="C2449" s="114">
        <f>IF('2. START'!$C$14&gt;0,SUMIF('5. PERSON'!$B$17:$B$192,$C2446,'5. PERSON'!DN$17:DN$192),SUMIF('5. PERSON'!$B$17:$B$192,$C2446,'5. PERSON'!AT$17:AT$192))</f>
        <v>0</v>
      </c>
      <c r="D2449" s="114">
        <f>IF('2. START'!$C$14&gt;0,SUMIF('5. PERSON'!$B$17:$B$192,$C2446,'5. PERSON'!DO$17:DO$192),SUMIF('5. PERSON'!$B$17:$B$192,$C2446,'5. PERSON'!AU$17:AU$192))</f>
        <v>0</v>
      </c>
      <c r="E2449" s="114">
        <f>IF('2. START'!$C$14&gt;0,SUMIF('5. PERSON'!$B$17:$B$192,$C2446,'5. PERSON'!DP$17:DP$192),SUMIF('5. PERSON'!$B$17:$B$192,$C2446,'5. PERSON'!AV$17:AV$192))</f>
        <v>0</v>
      </c>
      <c r="F2449" s="114">
        <f>IF('2. START'!$C$14&gt;0,SUMIF('5. PERSON'!$B$17:$B$192,$C2446,'5. PERSON'!DQ$17:DQ$192),SUMIF('5. PERSON'!$B$17:$B$192,$C2446,'5. PERSON'!AW$17:AW$192))</f>
        <v>0</v>
      </c>
      <c r="G2449" s="114">
        <f>IF('2. START'!$C$14&gt;0,SUMIF('5. PERSON'!$B$17:$B$192,$C2446,'5. PERSON'!DR$17:DR$192),SUMIF('5. PERSON'!$B$17:$B$192,$C2446,'5. PERSON'!AX$17:AX$192))</f>
        <v>0</v>
      </c>
      <c r="H2449" s="114">
        <f>IF('2. START'!$C$14&gt;0,SUMIF('5. PERSON'!$B$17:$B$192,$C2446,'5. PERSON'!DS$17:DS$192),SUMIF('5. PERSON'!$B$17:$B$192,$C2446,'5. PERSON'!AY$17:AY$192))</f>
        <v>0</v>
      </c>
      <c r="I2449" s="114">
        <f>IF('2. START'!$C$14&gt;0,SUMIF('5. PERSON'!$B$17:$B$192,$C2446,'5. PERSON'!DT$17:DT$192),SUMIF('5. PERSON'!$B$17:$B$192,$C2446,'5. PERSON'!AZ$17:AZ$192))</f>
        <v>0</v>
      </c>
      <c r="J2449" s="114">
        <f>IF('2. START'!$C$14&gt;0,SUMIF('5. PERSON'!$B$17:$B$192,$C2446,'5. PERSON'!DU$17:DU$192),SUMIF('5. PERSON'!$B$17:$B$192,$C2446,'5. PERSON'!BA$17:BA$192))</f>
        <v>0</v>
      </c>
      <c r="K2449" s="114">
        <f>IF('2. START'!$C$14&gt;0,SUMIF('5. PERSON'!$B$17:$B$192,$C2446,'5. PERSON'!DV$17:DV$192),SUMIF('5. PERSON'!$B$17:$B$192,$C2446,'5. PERSON'!BB$17:BB$192))</f>
        <v>0</v>
      </c>
      <c r="L2449" s="114">
        <f>IF('2. START'!$C$14&gt;0,SUMIF('5. PERSON'!$B$17:$B$192,$C2446,'5. PERSON'!DW$17:DW$192),SUMIF('5. PERSON'!$B$17:$B$192,$C2446,'5. PERSON'!BC$17:BC$192))</f>
        <v>0</v>
      </c>
      <c r="M2449" s="115">
        <f t="shared" ref="M2449:M2454" si="589">SUM(C2449:L2449)</f>
        <v>0</v>
      </c>
      <c r="O2449" s="4"/>
    </row>
    <row r="2450" spans="2:15" s="3" customFormat="1" ht="12.75" customHeight="1" x14ac:dyDescent="0.25">
      <c r="B2450" s="80" t="str">
        <f>IF('1. INTRO'!I$2="English","Operating","Drift")</f>
        <v>Operating</v>
      </c>
      <c r="C2450" s="116">
        <f>SUMIF('6. OPERATION'!$B$17:$B$149,$C2446,'6. OPERATION'!W$17:W$149)</f>
        <v>0</v>
      </c>
      <c r="D2450" s="116">
        <f>SUMIF('6. OPERATION'!$B$17:$B$149,$C2446,'6. OPERATION'!X$17:X$149)</f>
        <v>0</v>
      </c>
      <c r="E2450" s="116">
        <f>SUMIF('6. OPERATION'!$B$17:$B$149,$C2446,'6. OPERATION'!Y$17:Y$149)</f>
        <v>0</v>
      </c>
      <c r="F2450" s="116">
        <f>SUMIF('6. OPERATION'!$B$17:$B$149,$C2446,'6. OPERATION'!Z$17:Z$149)</f>
        <v>0</v>
      </c>
      <c r="G2450" s="116">
        <f>SUMIF('6. OPERATION'!$B$17:$B$149,$C2446,'6. OPERATION'!AA$17:AA$149)</f>
        <v>0</v>
      </c>
      <c r="H2450" s="116">
        <f>SUMIF('6. OPERATION'!$B$17:$B$149,$C2446,'6. OPERATION'!AB$17:AB$149)</f>
        <v>0</v>
      </c>
      <c r="I2450" s="116">
        <f>SUMIF('6. OPERATION'!$B$17:$B$149,$C2446,'6. OPERATION'!AC$17:AC$149)</f>
        <v>0</v>
      </c>
      <c r="J2450" s="116">
        <f>SUMIF('6. OPERATION'!$B$17:$B$149,$C2446,'6. OPERATION'!AD$17:AD$149)</f>
        <v>0</v>
      </c>
      <c r="K2450" s="116">
        <f>SUMIF('6. OPERATION'!$B$17:$B$149,$C2446,'6. OPERATION'!AE$17:AE$149)</f>
        <v>0</v>
      </c>
      <c r="L2450" s="116">
        <f>SUMIF('6. OPERATION'!$B$17:$B$149,$C2446,'6. OPERATION'!AF$17:AF$149)</f>
        <v>0</v>
      </c>
      <c r="M2450" s="117">
        <f t="shared" si="589"/>
        <v>0</v>
      </c>
    </row>
    <row r="2451" spans="2:15" s="3" customFormat="1" ht="13.2" x14ac:dyDescent="0.25">
      <c r="B2451" s="118" t="str">
        <f>IF('1. INTRO'!I$2="English","Equipment","Utrustning")</f>
        <v>Equipment</v>
      </c>
      <c r="C2451" s="119">
        <f>SUMIF('7. INVEST'!$B$17:$B$49,$C2446,'7. INVEST'!W$17:W$49)</f>
        <v>0</v>
      </c>
      <c r="D2451" s="119">
        <f>SUMIF('7. INVEST'!$B$17:$B$49,$C2446,'7. INVEST'!X$17:X$49)</f>
        <v>0</v>
      </c>
      <c r="E2451" s="119">
        <f>SUMIF('7. INVEST'!$B$17:$B$49,$C2446,'7. INVEST'!Y$17:Y$49)</f>
        <v>0</v>
      </c>
      <c r="F2451" s="119">
        <f>SUMIF('7. INVEST'!$B$17:$B$49,$C2446,'7. INVEST'!Z$17:Z$49)</f>
        <v>0</v>
      </c>
      <c r="G2451" s="119">
        <f>SUMIF('7. INVEST'!$B$17:$B$49,$C2446,'7. INVEST'!AA$17:AA$49)</f>
        <v>0</v>
      </c>
      <c r="H2451" s="119">
        <f>SUMIF('7. INVEST'!$B$17:$B$49,$C2446,'7. INVEST'!AB$17:AB$49)</f>
        <v>0</v>
      </c>
      <c r="I2451" s="119">
        <f>SUMIF('7. INVEST'!$B$17:$B$49,$C2446,'7. INVEST'!AC$17:AC$49)</f>
        <v>0</v>
      </c>
      <c r="J2451" s="119">
        <f>SUMIF('7. INVEST'!$B$17:$B$49,$C2446,'7. INVEST'!AD$17:AD$49)</f>
        <v>0</v>
      </c>
      <c r="K2451" s="119">
        <f>SUMIF('7. INVEST'!$B$17:$B$49,$C2446,'7. INVEST'!AE$17:AE$49)</f>
        <v>0</v>
      </c>
      <c r="L2451" s="119">
        <f>SUMIF('7. INVEST'!$B$17:$B$49,$C2446,'7. INVEST'!AF$17:AF$49)</f>
        <v>0</v>
      </c>
      <c r="M2451" s="120">
        <f t="shared" si="589"/>
        <v>0</v>
      </c>
    </row>
    <row r="2452" spans="2:15" s="3" customFormat="1" ht="13.2" x14ac:dyDescent="0.25">
      <c r="B2452" s="121" t="str">
        <f>IF('1. INTRO'!I$2="English",(IF('2. START'!C$11="NO","Facility accepted as direct cost by funding body","Facility")),IF('2. START'!C$11="NO","Lokal accepterad som direkt kostnad av finansiär","Lokal"))</f>
        <v>Facility</v>
      </c>
      <c r="C2452" s="116">
        <f>IF('2. START'!$C$11="NO",SUMIF('8. FACILIT'!$B$18:$B$50,$C2446,'8. FACILIT'!T$18:T$50),SUMIF('5. PERSON'!$B$17:$B$192,$C2446,'5. PERSON'!CP$17:CP$192)+SUMIF('6. OPERATION'!$B$17:$B$149,$C2446,'6. OPERATION'!BS$17:BS$149)+SUMIF('8. FACILIT'!$B$18:$B$50,$C2446,'8. FACILIT'!T$18:T$50))</f>
        <v>0</v>
      </c>
      <c r="D2452" s="116">
        <f>IF('2. START'!$C$11="NO",SUMIF('8. FACILIT'!$B$18:$B$50,$C2446,'8. FACILIT'!U$18:U$50),SUMIF('5. PERSON'!$B$17:$B$192,$C2446,'5. PERSON'!CQ$17:CQ$192)+SUMIF('6. OPERATION'!$B$17:$B$149,$C2446,'6. OPERATION'!BT$17:BT$149)+SUMIF('8. FACILIT'!$B$18:$B$50,$C2446,'8. FACILIT'!U$18:U$50))</f>
        <v>0</v>
      </c>
      <c r="E2452" s="116">
        <f>IF('2. START'!$C$11="NO",SUMIF('8. FACILIT'!$B$18:$B$50,$C2446,'8. FACILIT'!V$18:V$50),SUMIF('5. PERSON'!$B$17:$B$192,$C2446,'5. PERSON'!CR$17:CR$192)+SUMIF('6. OPERATION'!$B$17:$B$149,$C2446,'6. OPERATION'!BU$17:BU$149)+SUMIF('8. FACILIT'!$B$18:$B$50,$C2446,'8. FACILIT'!V$18:V$50))</f>
        <v>0</v>
      </c>
      <c r="F2452" s="116">
        <f>IF('2. START'!$C$11="NO",SUMIF('8. FACILIT'!$B$18:$B$50,$C2446,'8. FACILIT'!W$18:W$50),SUMIF('5. PERSON'!$B$17:$B$192,$C2446,'5. PERSON'!CS$17:CS$192)+SUMIF('6. OPERATION'!$B$17:$B$149,$C2446,'6. OPERATION'!BV$17:BV$149)+SUMIF('8. FACILIT'!$B$18:$B$50,$C2446,'8. FACILIT'!W$18:W$50))</f>
        <v>0</v>
      </c>
      <c r="G2452" s="116">
        <f>IF('2. START'!$C$11="NO",SUMIF('8. FACILIT'!$B$18:$B$50,$C2446,'8. FACILIT'!X$18:X$50),SUMIF('5. PERSON'!$B$17:$B$192,$C2446,'5. PERSON'!CT$17:CT$192)+SUMIF('6. OPERATION'!$B$17:$B$149,$C2446,'6. OPERATION'!BW$17:BW$149)+SUMIF('8. FACILIT'!$B$18:$B$50,$C2446,'8. FACILIT'!X$18:X$50))</f>
        <v>0</v>
      </c>
      <c r="H2452" s="116">
        <f>IF('2. START'!$C$11="NO",SUMIF('8. FACILIT'!$B$18:$B$50,$C2446,'8. FACILIT'!Y$18:Y$50),SUMIF('5. PERSON'!$B$17:$B$192,$C2446,'5. PERSON'!CU$17:CU$192)+SUMIF('6. OPERATION'!$B$17:$B$149,$C2446,'6. OPERATION'!BX$17:BX$149)+SUMIF('8. FACILIT'!$B$18:$B$50,$C2446,'8. FACILIT'!Y$18:Y$50))</f>
        <v>0</v>
      </c>
      <c r="I2452" s="116">
        <f>IF('2. START'!$C$11="NO",SUMIF('8. FACILIT'!$B$18:$B$50,$C2446,'8. FACILIT'!Z$18:Z$50),SUMIF('5. PERSON'!$B$17:$B$192,$C2446,'5. PERSON'!CV$17:CV$192)+SUMIF('6. OPERATION'!$B$17:$B$149,$C2446,'6. OPERATION'!BY$17:BY$149)+SUMIF('8. FACILIT'!$B$18:$B$50,$C2446,'8. FACILIT'!Z$18:Z$50))</f>
        <v>0</v>
      </c>
      <c r="J2452" s="116">
        <f>IF('2. START'!$C$11="NO",SUMIF('8. FACILIT'!$B$18:$B$50,$C2446,'8. FACILIT'!AA$18:AA$50),SUMIF('5. PERSON'!$B$17:$B$192,$C2446,'5. PERSON'!CW$17:CW$192)+SUMIF('6. OPERATION'!$B$17:$B$149,$C2446,'6. OPERATION'!BZ$17:BZ$149)+SUMIF('8. FACILIT'!$B$18:$B$50,$C2446,'8. FACILIT'!AA$18:AA$50))</f>
        <v>0</v>
      </c>
      <c r="K2452" s="116">
        <f>IF('2. START'!$C$11="NO",SUMIF('8. FACILIT'!$B$18:$B$50,$C2446,'8. FACILIT'!AB$18:AB$50),SUMIF('5. PERSON'!$B$17:$B$192,$C2446,'5. PERSON'!CX$17:CX$192)+SUMIF('6. OPERATION'!$B$17:$B$149,$C2446,'6. OPERATION'!CA$17:CA$149)+SUMIF('8. FACILIT'!$B$18:$B$50,$C2446,'8. FACILIT'!AB$18:AB$50))</f>
        <v>0</v>
      </c>
      <c r="L2452" s="116">
        <f>IF('2. START'!$C$11="NO",SUMIF('8. FACILIT'!$B$18:$B$50,$C2446,'8. FACILIT'!AC$18:AC$50),SUMIF('5. PERSON'!$B$17:$B$192,$C2446,'5. PERSON'!CY$17:CY$192)+SUMIF('6. OPERATION'!$B$17:$B$149,$C2446,'6. OPERATION'!CB$17:CB$149)+SUMIF('8. FACILIT'!$B$18:$B$50,$C2446,'8. FACILIT'!AC$18:AC$50))</f>
        <v>0</v>
      </c>
      <c r="M2452" s="117">
        <f t="shared" si="589"/>
        <v>0</v>
      </c>
    </row>
    <row r="2453" spans="2:15" s="3" customFormat="1" ht="13.2" x14ac:dyDescent="0.25">
      <c r="B2453" s="122" t="str">
        <f>IF('1. INTRO'!I$2="English",(IF('2. START'!C$11="NO","Indirect and facility charge accepted as OH by funding body","Indirect")),IF('2. START'!C$11="NO","Indirekt och lokalpåslag accepterade som OH av finansiär","Indirekt"))</f>
        <v>Indirect</v>
      </c>
      <c r="C2453" s="107">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107">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107">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107">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107">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107">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107">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107">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107">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107">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120">
        <f t="shared" si="589"/>
        <v>0</v>
      </c>
    </row>
    <row r="2454" spans="2:15" s="3" customFormat="1" ht="13.2" x14ac:dyDescent="0.25">
      <c r="B2454" s="124" t="s">
        <v>113</v>
      </c>
      <c r="C2454" s="102">
        <f>SUM(C2449:C2453)</f>
        <v>0</v>
      </c>
      <c r="D2454" s="102">
        <f t="shared" ref="D2454:L2454" si="590">SUM(D2449:D2453)</f>
        <v>0</v>
      </c>
      <c r="E2454" s="102">
        <f t="shared" si="590"/>
        <v>0</v>
      </c>
      <c r="F2454" s="102">
        <f t="shared" si="590"/>
        <v>0</v>
      </c>
      <c r="G2454" s="102">
        <f t="shared" si="590"/>
        <v>0</v>
      </c>
      <c r="H2454" s="102">
        <f t="shared" si="590"/>
        <v>0</v>
      </c>
      <c r="I2454" s="102">
        <f t="shared" si="590"/>
        <v>0</v>
      </c>
      <c r="J2454" s="102">
        <f t="shared" si="590"/>
        <v>0</v>
      </c>
      <c r="K2454" s="102">
        <f t="shared" si="590"/>
        <v>0</v>
      </c>
      <c r="L2454" s="102">
        <f t="shared" si="590"/>
        <v>0</v>
      </c>
      <c r="M2454" s="125">
        <f t="shared" si="589"/>
        <v>0</v>
      </c>
    </row>
    <row r="2455" spans="2:15" s="3" customFormat="1" ht="6" customHeight="1" x14ac:dyDescent="0.25">
      <c r="B2455" s="126"/>
      <c r="C2455" s="127"/>
      <c r="D2455" s="127"/>
      <c r="E2455" s="127"/>
      <c r="F2455" s="127"/>
      <c r="G2455" s="127"/>
      <c r="H2455" s="127"/>
      <c r="I2455" s="127"/>
      <c r="J2455" s="127"/>
      <c r="K2455" s="127"/>
      <c r="L2455" s="127"/>
      <c r="M2455" s="128"/>
    </row>
    <row r="2456" spans="2:15" s="3" customFormat="1" ht="13.2" x14ac:dyDescent="0.25">
      <c r="B2456" s="129" t="str">
        <f>IF('1. INTRO'!I$2="English","Costs to be co-funded","Kostnader att medfinansiera")</f>
        <v>Costs to be co-funded</v>
      </c>
      <c r="C2456" s="86"/>
      <c r="D2456" s="86"/>
      <c r="E2456" s="86"/>
      <c r="F2456" s="86"/>
      <c r="G2456" s="86"/>
      <c r="H2456" s="86"/>
      <c r="I2456" s="86"/>
      <c r="J2456" s="86"/>
      <c r="K2456" s="86"/>
      <c r="L2456" s="86"/>
      <c r="M2456" s="130"/>
    </row>
    <row r="2457" spans="2:15" s="3" customFormat="1" ht="13.2" x14ac:dyDescent="0.25">
      <c r="B2457" s="159" t="str">
        <f>IF('1. INTRO'!I$2="English",(IF('2. START'!C$11="NO","Indirect and facility charge not accepted as OH by funding body","")),IF('2. START'!C$11="NO","Indirekt och lokalpåslag inte accepterade som OH av finansiär",""))</f>
        <v/>
      </c>
      <c r="C2457" s="131">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31">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31">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31">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31">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31">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31">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31">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31">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31">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115">
        <f t="shared" ref="M2457:M2463" si="591">SUM(C2457:L2457)</f>
        <v>0</v>
      </c>
    </row>
    <row r="2458" spans="2:15" s="3" customFormat="1" ht="12.75" customHeight="1" x14ac:dyDescent="0.25">
      <c r="B2458" s="132" t="str">
        <f>IF('1. INTRO'!I$2="English",(IF('2. START'!C$14&gt;0,"Social costs (LKP) not accepted by funding body","")),IF('2. START'!C$14&gt;0,"LKP som inte accepteras av finansiär",""))</f>
        <v/>
      </c>
      <c r="C2458" s="133">
        <f>IF('2. START'!$C$14&gt;0,SUMIF('5. PERSON'!$B$17:$B$192,$C2446,'5. PERSON'!AT$17:AT$192)-SUMIF('5. PERSON'!$B$17:$B$192,$C2446,'5. PERSON'!DN$17:DN$192),0)</f>
        <v>0</v>
      </c>
      <c r="D2458" s="133">
        <f>IF('2. START'!$C$14&gt;0,SUMIF('5. PERSON'!$B$17:$B$192,$C2446,'5. PERSON'!AU$17:AU$192)-SUMIF('5. PERSON'!$B$17:$B$192,$C2446,'5. PERSON'!DO$17:DO$192),0)</f>
        <v>0</v>
      </c>
      <c r="E2458" s="133">
        <f>IF('2. START'!$C$14&gt;0,SUMIF('5. PERSON'!$B$17:$B$192,$C2446,'5. PERSON'!AV$17:AV$192)-SUMIF('5. PERSON'!$B$17:$B$192,$C2446,'5. PERSON'!DP$17:DP$192),0)</f>
        <v>0</v>
      </c>
      <c r="F2458" s="133">
        <f>IF('2. START'!$C$14&gt;0,SUMIF('5. PERSON'!$B$17:$B$192,$C2446,'5. PERSON'!AW$17:AW$192)-SUMIF('5. PERSON'!$B$17:$B$192,$C2446,'5. PERSON'!DQ$17:DQ$192),0)</f>
        <v>0</v>
      </c>
      <c r="G2458" s="133">
        <f>IF('2. START'!$C$14&gt;0,SUMIF('5. PERSON'!$B$17:$B$192,$C2446,'5. PERSON'!AX$17:AX$192)-SUMIF('5. PERSON'!$B$17:$B$192,$C2446,'5. PERSON'!DR$17:DR$192),0)</f>
        <v>0</v>
      </c>
      <c r="H2458" s="133">
        <f>IF('2. START'!$C$14&gt;0,SUMIF('5. PERSON'!$B$17:$B$192,$C2446,'5. PERSON'!AY$17:AY$192)-SUMIF('5. PERSON'!$B$17:$B$192,$C2446,'5. PERSON'!DS$17:DS$192),0)</f>
        <v>0</v>
      </c>
      <c r="I2458" s="133">
        <f>IF('2. START'!$C$14&gt;0,SUMIF('5. PERSON'!$B$17:$B$192,$C2446,'5. PERSON'!AZ$17:AZ$192)-SUMIF('5. PERSON'!$B$17:$B$192,$C2446,'5. PERSON'!DT$17:DT$192),0)</f>
        <v>0</v>
      </c>
      <c r="J2458" s="133">
        <f>IF('2. START'!$C$14&gt;0,SUMIF('5. PERSON'!$B$17:$B$192,$C2446,'5. PERSON'!BA$17:BA$192)-SUMIF('5. PERSON'!$B$17:$B$192,$C2446,'5. PERSON'!DU$17:DU$192),0)</f>
        <v>0</v>
      </c>
      <c r="K2458" s="133">
        <f>IF('2. START'!$C$14&gt;0,SUMIF('5. PERSON'!$B$17:$B$192,$C2446,'5. PERSON'!BB$17:BB$192)-SUMIF('5. PERSON'!$B$17:$B$192,$C2446,'5. PERSON'!DV$17:DV$192),0)</f>
        <v>0</v>
      </c>
      <c r="L2458" s="133">
        <f>IF('2. START'!$C$14&gt;0,SUMIF('5. PERSON'!$B$17:$B$192,$C2446,'5. PERSON'!BC$17:BC$192)-SUMIF('5. PERSON'!$B$17:$B$192,$C2446,'5. PERSON'!DW$17:DW$192),0)</f>
        <v>0</v>
      </c>
      <c r="M2458" s="117">
        <f t="shared" si="591"/>
        <v>0</v>
      </c>
    </row>
    <row r="2459" spans="2:15" s="3" customFormat="1" ht="12.75" customHeight="1" x14ac:dyDescent="0.25">
      <c r="B2459" s="118" t="str">
        <f>IF('1. INTRO'!I$2="English",(IF('5. PERSON'!BP$193&gt;0,"Salary including social costs (LKP)","")),IF('5. PERSON'!BP$193&gt;0,"Lön inklusive LKP",""))</f>
        <v/>
      </c>
      <c r="C2459" s="134">
        <f>SUMIF('5. PERSON'!$B$17:$B$192,$C2446,'5. PERSON'!BF$17:BF$192)</f>
        <v>0</v>
      </c>
      <c r="D2459" s="134">
        <f>SUMIF('5. PERSON'!$B$17:$B$192,$C2446,'5. PERSON'!BG$17:BG$192)</f>
        <v>0</v>
      </c>
      <c r="E2459" s="134">
        <f>SUMIF('5. PERSON'!$B$17:$B$192,$C2446,'5. PERSON'!BH$17:BH$192)</f>
        <v>0</v>
      </c>
      <c r="F2459" s="134">
        <f>SUMIF('5. PERSON'!$B$17:$B$192,$C2446,'5. PERSON'!BI$17:BI$192)</f>
        <v>0</v>
      </c>
      <c r="G2459" s="134">
        <f>SUMIF('5. PERSON'!$B$17:$B$192,$C2446,'5. PERSON'!BJ$17:BJ$192)</f>
        <v>0</v>
      </c>
      <c r="H2459" s="134">
        <f>SUMIF('5. PERSON'!$B$17:$B$192,$C2446,'5. PERSON'!BK$17:BK$192)</f>
        <v>0</v>
      </c>
      <c r="I2459" s="134">
        <f>SUMIF('5. PERSON'!$B$17:$B$192,$C2446,'5. PERSON'!BL$17:BL$192)</f>
        <v>0</v>
      </c>
      <c r="J2459" s="134">
        <f>SUMIF('5. PERSON'!$B$17:$B$192,$C2446,'5. PERSON'!BM$17:BM$192)</f>
        <v>0</v>
      </c>
      <c r="K2459" s="134">
        <f>SUMIF('5. PERSON'!$B$17:$B$192,$C2446,'5. PERSON'!BN$17:BN$192)</f>
        <v>0</v>
      </c>
      <c r="L2459" s="134">
        <f>SUMIF('5. PERSON'!$B$17:$B$192,$C2446,'5. PERSON'!BO$17:BO$192)</f>
        <v>0</v>
      </c>
      <c r="M2459" s="120">
        <f t="shared" si="591"/>
        <v>0</v>
      </c>
    </row>
    <row r="2460" spans="2:15" s="3" customFormat="1" ht="13.2" x14ac:dyDescent="0.25">
      <c r="B2460" s="80" t="str">
        <f>IF('1. INTRO'!I$2="English",(IF('6. OPERATION'!AS$150&gt;0,"Operating","")),IF('6. OPERATION'!AS$150&gt;0,"Drift",""))</f>
        <v/>
      </c>
      <c r="C2460" s="135">
        <f>SUMIF('6. OPERATION'!$B$17:$B$149,$C2446,'6. OPERATION'!AI$17:AI$149)</f>
        <v>0</v>
      </c>
      <c r="D2460" s="135">
        <f>SUMIF('6. OPERATION'!$B$17:$B$149,$C2446,'6. OPERATION'!AJ$17:AJ$149)</f>
        <v>0</v>
      </c>
      <c r="E2460" s="135">
        <f>SUMIF('6. OPERATION'!$B$17:$B$149,$C2446,'6. OPERATION'!AK$17:AK$149)</f>
        <v>0</v>
      </c>
      <c r="F2460" s="135">
        <f>SUMIF('6. OPERATION'!$B$17:$B$149,$C2446,'6. OPERATION'!AL$17:AL$149)</f>
        <v>0</v>
      </c>
      <c r="G2460" s="135">
        <f>SUMIF('6. OPERATION'!$B$17:$B$149,$C2446,'6. OPERATION'!AM$17:AM$149)</f>
        <v>0</v>
      </c>
      <c r="H2460" s="135">
        <f>SUMIF('6. OPERATION'!$B$17:$B$149,$C2446,'6. OPERATION'!AN$17:AN$149)</f>
        <v>0</v>
      </c>
      <c r="I2460" s="135">
        <f>SUMIF('6. OPERATION'!$B$17:$B$149,$C2446,'6. OPERATION'!AO$17:AO$149)</f>
        <v>0</v>
      </c>
      <c r="J2460" s="135">
        <f>SUMIF('6. OPERATION'!$B$17:$B$149,$C2446,'6. OPERATION'!AP$17:AP$149)</f>
        <v>0</v>
      </c>
      <c r="K2460" s="135">
        <f>SUMIF('6. OPERATION'!$B$17:$B$149,$C2446,'6. OPERATION'!AQ$17:AQ$149)</f>
        <v>0</v>
      </c>
      <c r="L2460" s="135">
        <f>SUMIF('6. OPERATION'!$B$17:$B$149,$C2446,'6. OPERATION'!AR$17:AR$149)</f>
        <v>0</v>
      </c>
      <c r="M2460" s="117">
        <f t="shared" si="591"/>
        <v>0</v>
      </c>
    </row>
    <row r="2461" spans="2:15" s="3" customFormat="1" ht="13.2" x14ac:dyDescent="0.25">
      <c r="B2461" s="118" t="str">
        <f>IF('1. INTRO'!I$2="English",(IF('7. INVEST'!AS$50&gt;0,"Equipment","")),IF('7. INVEST'!AS$50&gt;0,"Utrustning",""))</f>
        <v/>
      </c>
      <c r="C2461" s="134">
        <f>SUMIF('7. INVEST'!$B$17:$B$49,$C2446,'7. INVEST'!AI$17:AI$49)</f>
        <v>0</v>
      </c>
      <c r="D2461" s="134">
        <f>SUMIF('7. INVEST'!$B$17:$B$49,$C2446,'7. INVEST'!AJ$17:AJ$49)</f>
        <v>0</v>
      </c>
      <c r="E2461" s="134">
        <f>SUMIF('7. INVEST'!$B$17:$B$49,$C2446,'7. INVEST'!AK$17:AK$49)</f>
        <v>0</v>
      </c>
      <c r="F2461" s="134">
        <f>SUMIF('7. INVEST'!$B$17:$B$49,$C2446,'7. INVEST'!AL$17:AL$49)</f>
        <v>0</v>
      </c>
      <c r="G2461" s="134">
        <f>SUMIF('7. INVEST'!$B$17:$B$49,$C2446,'7. INVEST'!AM$17:AM$49)</f>
        <v>0</v>
      </c>
      <c r="H2461" s="134">
        <f>SUMIF('7. INVEST'!$B$17:$B$49,$C2446,'7. INVEST'!AN$17:AN$49)</f>
        <v>0</v>
      </c>
      <c r="I2461" s="134">
        <f>SUMIF('7. INVEST'!$B$17:$B$49,$C2446,'7. INVEST'!AO$17:AO$49)</f>
        <v>0</v>
      </c>
      <c r="J2461" s="134">
        <f>SUMIF('7. INVEST'!$B$17:$B$49,$C2446,'7. INVEST'!AP$17:AP$49)</f>
        <v>0</v>
      </c>
      <c r="K2461" s="134">
        <f>SUMIF('7. INVEST'!$B$17:$B$49,$C2446,'7. INVEST'!AQ$17:AQ$49)</f>
        <v>0</v>
      </c>
      <c r="L2461" s="134">
        <f>SUMIF('7. INVEST'!$B$17:$B$49,$C2446,'7. INVEST'!AR$17:AR$49)</f>
        <v>0</v>
      </c>
      <c r="M2461" s="120">
        <f t="shared" si="591"/>
        <v>0</v>
      </c>
    </row>
    <row r="2462" spans="2:15" s="3" customFormat="1" ht="13.2" x14ac:dyDescent="0.25">
      <c r="B2462" s="121" t="str">
        <f>IF('1. INTRO'!I$2="English",(IF('8. FACILIT'!AP$51&gt;0,"Facility","")),IF('8. FACILIT'!AP$51&gt;0,"Lokal",""))</f>
        <v/>
      </c>
      <c r="C2462" s="135">
        <f>SUMIF('5. PERSON'!$B$17:$B$192,$C2446,'5. PERSON'!DB$17:DB$192)+SUMIF('6. OPERATION'!$B$17:$B$149,$C2446,'6. OPERATION'!CE$17:CE$149)+SUMIF('8. FACILIT'!$B$18:$B$50,$C2446,'8. FACILIT'!AF$18:AF$50)</f>
        <v>0</v>
      </c>
      <c r="D2462" s="135">
        <f>SUMIF('5. PERSON'!$B$17:$B$192,$C2446,'5. PERSON'!DC$17:DC$192)+SUMIF('6. OPERATION'!$B$17:$B$149,$C2446,'6. OPERATION'!CF$17:CF$149)+SUMIF('8. FACILIT'!$B$18:$B$50,$C2446,'8. FACILIT'!AG$18:AG$50)</f>
        <v>0</v>
      </c>
      <c r="E2462" s="135">
        <f>SUMIF('5. PERSON'!$B$17:$B$192,$C2446,'5. PERSON'!DD$17:DD$192)+SUMIF('6. OPERATION'!$B$17:$B$149,$C2446,'6. OPERATION'!CG$17:CG$149)+SUMIF('8. FACILIT'!$B$18:$B$50,$C2446,'8. FACILIT'!AH$18:AH$50)</f>
        <v>0</v>
      </c>
      <c r="F2462" s="135">
        <f>SUMIF('5. PERSON'!$B$17:$B$192,$C2446,'5. PERSON'!DE$17:DE$192)+SUMIF('6. OPERATION'!$B$17:$B$149,$C2446,'6. OPERATION'!CH$17:CH$149)+SUMIF('8. FACILIT'!$B$18:$B$50,$C2446,'8. FACILIT'!AI$18:AI$50)</f>
        <v>0</v>
      </c>
      <c r="G2462" s="135">
        <f>SUMIF('5. PERSON'!$B$17:$B$192,$C2446,'5. PERSON'!DF$17:DF$192)+SUMIF('6. OPERATION'!$B$17:$B$149,$C2446,'6. OPERATION'!CI$17:CI$149)+SUMIF('8. FACILIT'!$B$18:$B$50,$C2446,'8. FACILIT'!AJ$18:AJ$50)</f>
        <v>0</v>
      </c>
      <c r="H2462" s="135">
        <f>SUMIF('5. PERSON'!$B$17:$B$192,$C2446,'5. PERSON'!DG$17:DG$192)+SUMIF('6. OPERATION'!$B$17:$B$149,$C2446,'6. OPERATION'!CJ$17:CJ$149)+SUMIF('8. FACILIT'!$B$18:$B$50,$C2446,'8. FACILIT'!AK$18:AK$50)</f>
        <v>0</v>
      </c>
      <c r="I2462" s="135">
        <f>SUMIF('5. PERSON'!$B$17:$B$192,$C2446,'5. PERSON'!DH$17:DH$192)+SUMIF('6. OPERATION'!$B$17:$B$149,$C2446,'6. OPERATION'!CK$17:CK$149)+SUMIF('8. FACILIT'!$B$18:$B$50,$C2446,'8. FACILIT'!AL$18:AL$50)</f>
        <v>0</v>
      </c>
      <c r="J2462" s="135">
        <f>SUMIF('5. PERSON'!$B$17:$B$192,$C2446,'5. PERSON'!DI$17:DI$192)+SUMIF('6. OPERATION'!$B$17:$B$149,$C2446,'6. OPERATION'!CL$17:CL$149)+SUMIF('8. FACILIT'!$B$18:$B$50,$C2446,'8. FACILIT'!AM$18:AM$50)</f>
        <v>0</v>
      </c>
      <c r="K2462" s="135">
        <f>SUMIF('5. PERSON'!$B$17:$B$192,$C2446,'5. PERSON'!DJ$17:DJ$192)+SUMIF('6. OPERATION'!$B$17:$B$149,$C2446,'6. OPERATION'!CM$17:CM$149)+SUMIF('8. FACILIT'!$B$18:$B$50,$C2446,'8. FACILIT'!AN$18:AN$50)</f>
        <v>0</v>
      </c>
      <c r="L2462" s="135">
        <f>SUMIF('5. PERSON'!$B$17:$B$192,$C2446,'5. PERSON'!DK$17:DK$192)+SUMIF('6. OPERATION'!$B$17:$B$149,$C2446,'6. OPERATION'!CN$17:CN$149)+SUMIF('8. FACILIT'!$B$18:$B$50,$C2446,'8. FACILIT'!AO$18:AO$50)</f>
        <v>0</v>
      </c>
      <c r="M2462" s="117">
        <f t="shared" si="591"/>
        <v>0</v>
      </c>
    </row>
    <row r="2463" spans="2:15" s="1" customFormat="1" ht="13.2" x14ac:dyDescent="0.25">
      <c r="B2463" s="122" t="str">
        <f>IF('1. INTRO'!I$2="English",(IF(('5. PERSON'!CN$193+'6. OPERATION'!BQ$150)&gt;0,"Indirect","")),IF(('5. PERSON'!CN$193+'6. OPERATION'!BQ$150)&gt;0,"Indirekt",""))</f>
        <v/>
      </c>
      <c r="C2463" s="107">
        <f>SUMIF('5. PERSON'!$B$17:$B$192,$C2446,'5. PERSON'!CD$17:CD$192)+SUMIF('6. OPERATION'!$B$17:$B$149,$C2446,'6. OPERATION'!BG$17:BG$149)</f>
        <v>0</v>
      </c>
      <c r="D2463" s="107">
        <f>SUMIF('5. PERSON'!$B$17:$B$192,$C2446,'5. PERSON'!CE$17:CE$192)+SUMIF('6. OPERATION'!$B$17:$B$149,$C2446,'6. OPERATION'!BH$17:BH$149)</f>
        <v>0</v>
      </c>
      <c r="E2463" s="107">
        <f>SUMIF('5. PERSON'!$B$17:$B$192,$C2446,'5. PERSON'!CF$17:CF$192)+SUMIF('6. OPERATION'!$B$17:$B$149,$C2446,'6. OPERATION'!BI$17:BI$149)</f>
        <v>0</v>
      </c>
      <c r="F2463" s="107">
        <f>SUMIF('5. PERSON'!$B$17:$B$192,$C2446,'5. PERSON'!CG$17:CG$192)+SUMIF('6. OPERATION'!$B$17:$B$149,$C2446,'6. OPERATION'!BJ$17:BJ$149)</f>
        <v>0</v>
      </c>
      <c r="G2463" s="107">
        <f>SUMIF('5. PERSON'!$B$17:$B$192,$C2446,'5. PERSON'!CH$17:CH$192)+SUMIF('6. OPERATION'!$B$17:$B$149,$C2446,'6. OPERATION'!BK$17:BK$149)</f>
        <v>0</v>
      </c>
      <c r="H2463" s="107">
        <f>SUMIF('5. PERSON'!$B$17:$B$192,$C2446,'5. PERSON'!CI$17:CI$192)+SUMIF('6. OPERATION'!$B$17:$B$149,$C2446,'6. OPERATION'!BL$17:BL$149)</f>
        <v>0</v>
      </c>
      <c r="I2463" s="107">
        <f>SUMIF('5. PERSON'!$B$17:$B$192,$C2446,'5. PERSON'!CJ$17:CJ$192)+SUMIF('6. OPERATION'!$B$17:$B$149,$C2446,'6. OPERATION'!BM$17:BM$149)</f>
        <v>0</v>
      </c>
      <c r="J2463" s="107">
        <f>SUMIF('5. PERSON'!$B$17:$B$192,$C2446,'5. PERSON'!CK$17:CK$192)+SUMIF('6. OPERATION'!$B$17:$B$149,$C2446,'6. OPERATION'!BN$17:BN$149)</f>
        <v>0</v>
      </c>
      <c r="K2463" s="107">
        <f>SUMIF('5. PERSON'!$B$17:$B$192,$C2446,'5. PERSON'!CL$17:CL$192)+SUMIF('6. OPERATION'!$B$17:$B$149,$C2446,'6. OPERATION'!BO$17:BO$149)</f>
        <v>0</v>
      </c>
      <c r="L2463" s="107">
        <f>SUMIF('5. PERSON'!$B$17:$B$192,$C2446,'5. PERSON'!CM$17:CM$192)+SUMIF('6. OPERATION'!$B$17:$B$149,$C2446,'6. OPERATION'!BP$17:BP$149)</f>
        <v>0</v>
      </c>
      <c r="M2463" s="123">
        <f t="shared" si="591"/>
        <v>0</v>
      </c>
    </row>
    <row r="2464" spans="2:15" s="3" customFormat="1" ht="13.2" x14ac:dyDescent="0.25">
      <c r="B2464" s="124" t="s">
        <v>113</v>
      </c>
      <c r="C2464" s="102">
        <f>SUM(C2457:C2463)</f>
        <v>0</v>
      </c>
      <c r="D2464" s="102">
        <f t="shared" ref="D2464:L2464" si="592">SUM(D2457:D2463)</f>
        <v>0</v>
      </c>
      <c r="E2464" s="102">
        <f t="shared" si="592"/>
        <v>0</v>
      </c>
      <c r="F2464" s="102">
        <f t="shared" si="592"/>
        <v>0</v>
      </c>
      <c r="G2464" s="102">
        <f t="shared" si="592"/>
        <v>0</v>
      </c>
      <c r="H2464" s="102">
        <f t="shared" si="592"/>
        <v>0</v>
      </c>
      <c r="I2464" s="102">
        <f t="shared" si="592"/>
        <v>0</v>
      </c>
      <c r="J2464" s="102">
        <f t="shared" si="592"/>
        <v>0</v>
      </c>
      <c r="K2464" s="102">
        <f t="shared" si="592"/>
        <v>0</v>
      </c>
      <c r="L2464" s="102">
        <f t="shared" si="592"/>
        <v>0</v>
      </c>
      <c r="M2464" s="125">
        <f t="shared" ref="M2464" si="593">SUM(M2457:M2463)</f>
        <v>0</v>
      </c>
      <c r="N2464" s="23"/>
      <c r="O2464" s="23"/>
    </row>
    <row r="2465" spans="2:13" s="3" customFormat="1" ht="6" customHeight="1" x14ac:dyDescent="0.25">
      <c r="B2465" s="136"/>
      <c r="C2465" s="127"/>
      <c r="D2465" s="127"/>
      <c r="E2465" s="127"/>
      <c r="F2465" s="127"/>
      <c r="G2465" s="127"/>
      <c r="H2465" s="127"/>
      <c r="I2465" s="127"/>
      <c r="J2465" s="127"/>
      <c r="K2465" s="127"/>
      <c r="L2465" s="127"/>
      <c r="M2465" s="137"/>
    </row>
    <row r="2466" spans="2:13" s="3" customFormat="1" ht="13.2" x14ac:dyDescent="0.25">
      <c r="B2466" s="129" t="str">
        <f>IF('1. INTRO'!I$2="English","Full cost","Full kostnad")</f>
        <v>Full cost</v>
      </c>
      <c r="C2466" s="127"/>
      <c r="D2466" s="127"/>
      <c r="E2466" s="127"/>
      <c r="F2466" s="127"/>
      <c r="G2466" s="127"/>
      <c r="H2466" s="127"/>
      <c r="I2466" s="127"/>
      <c r="J2466" s="127"/>
      <c r="K2466" s="127"/>
      <c r="L2466" s="127"/>
      <c r="M2466" s="137"/>
    </row>
    <row r="2467" spans="2:13" s="3" customFormat="1" ht="13.2" x14ac:dyDescent="0.25">
      <c r="B2467" s="113" t="str">
        <f>IF('1. INTRO'!I$2="English","Salary including social costs (LKP)","Lön inklusive LKP")</f>
        <v>Salary including social costs (LKP)</v>
      </c>
      <c r="C2467" s="138">
        <f>C2449+C2458+C2459</f>
        <v>0</v>
      </c>
      <c r="D2467" s="138">
        <f t="shared" ref="D2467:L2467" si="594">D2449+D2458+D2459</f>
        <v>0</v>
      </c>
      <c r="E2467" s="138">
        <f t="shared" si="594"/>
        <v>0</v>
      </c>
      <c r="F2467" s="138">
        <f t="shared" si="594"/>
        <v>0</v>
      </c>
      <c r="G2467" s="138">
        <f t="shared" si="594"/>
        <v>0</v>
      </c>
      <c r="H2467" s="138">
        <f t="shared" si="594"/>
        <v>0</v>
      </c>
      <c r="I2467" s="138">
        <f t="shared" si="594"/>
        <v>0</v>
      </c>
      <c r="J2467" s="138">
        <f t="shared" si="594"/>
        <v>0</v>
      </c>
      <c r="K2467" s="138">
        <f t="shared" si="594"/>
        <v>0</v>
      </c>
      <c r="L2467" s="138">
        <f t="shared" si="594"/>
        <v>0</v>
      </c>
      <c r="M2467" s="115">
        <f>SUM(C2467:L2467)</f>
        <v>0</v>
      </c>
    </row>
    <row r="2468" spans="2:13" s="3" customFormat="1" ht="13.2" x14ac:dyDescent="0.25">
      <c r="B2468" s="80" t="str">
        <f>IF('1. INTRO'!I$2="English","Operating","Drift")</f>
        <v>Operating</v>
      </c>
      <c r="C2468" s="139">
        <f>C2450+C2460</f>
        <v>0</v>
      </c>
      <c r="D2468" s="139">
        <f t="shared" ref="D2468:L2468" si="595">D2450+D2460</f>
        <v>0</v>
      </c>
      <c r="E2468" s="139">
        <f t="shared" si="595"/>
        <v>0</v>
      </c>
      <c r="F2468" s="139">
        <f t="shared" si="595"/>
        <v>0</v>
      </c>
      <c r="G2468" s="139">
        <f t="shared" si="595"/>
        <v>0</v>
      </c>
      <c r="H2468" s="139">
        <f t="shared" si="595"/>
        <v>0</v>
      </c>
      <c r="I2468" s="139">
        <f t="shared" si="595"/>
        <v>0</v>
      </c>
      <c r="J2468" s="139">
        <f t="shared" si="595"/>
        <v>0</v>
      </c>
      <c r="K2468" s="139">
        <f t="shared" si="595"/>
        <v>0</v>
      </c>
      <c r="L2468" s="139">
        <f t="shared" si="595"/>
        <v>0</v>
      </c>
      <c r="M2468" s="117">
        <f>SUM(C2468:L2468)</f>
        <v>0</v>
      </c>
    </row>
    <row r="2469" spans="2:13" s="3" customFormat="1" ht="13.2" x14ac:dyDescent="0.25">
      <c r="B2469" s="118" t="str">
        <f>IF('1. INTRO'!I$2="English","Equipment","Utrustning")</f>
        <v>Equipment</v>
      </c>
      <c r="C2469" s="140">
        <f>C2451+C2461</f>
        <v>0</v>
      </c>
      <c r="D2469" s="140">
        <f t="shared" ref="D2469:L2469" si="596">D2451+D2461</f>
        <v>0</v>
      </c>
      <c r="E2469" s="140">
        <f t="shared" si="596"/>
        <v>0</v>
      </c>
      <c r="F2469" s="140">
        <f t="shared" si="596"/>
        <v>0</v>
      </c>
      <c r="G2469" s="140">
        <f t="shared" si="596"/>
        <v>0</v>
      </c>
      <c r="H2469" s="140">
        <f t="shared" si="596"/>
        <v>0</v>
      </c>
      <c r="I2469" s="140">
        <f t="shared" si="596"/>
        <v>0</v>
      </c>
      <c r="J2469" s="140">
        <f t="shared" si="596"/>
        <v>0</v>
      </c>
      <c r="K2469" s="140">
        <f t="shared" si="596"/>
        <v>0</v>
      </c>
      <c r="L2469" s="140">
        <f t="shared" si="596"/>
        <v>0</v>
      </c>
      <c r="M2469" s="120">
        <f>SUM(C2469:L2469)</f>
        <v>0</v>
      </c>
    </row>
    <row r="2470" spans="2:13" s="3" customFormat="1" ht="13.2" x14ac:dyDescent="0.25">
      <c r="B2470" s="80" t="str">
        <f>IF('1. INTRO'!I$2="English","Facility","Lokal")</f>
        <v>Facility</v>
      </c>
      <c r="C2470" s="139">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39">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39">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39">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39">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39">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39">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39">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39">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39">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117">
        <f>SUM(C2470:L2470)</f>
        <v>0</v>
      </c>
    </row>
    <row r="2471" spans="2:13" s="3" customFormat="1" ht="13.2" x14ac:dyDescent="0.25">
      <c r="B2471" s="601" t="str">
        <f>IF('1. INTRO'!I$2="English","Indirect","Indirekt")</f>
        <v>Indirect</v>
      </c>
      <c r="C2471" s="141">
        <f>SUMIF('5. PERSON'!$B$17:$B$192,$C2446,'5. PERSON'!BR$17:BR$192)+SUMIF('5. PERSON'!$B$17:$B$192,$C2446,'5. PERSON'!CD$17:CD$192)+SUMIF('6. OPERATION'!$B$17:$B$149,$C2446,'6. OPERATION'!AU$17:AU$149)+SUMIF('6. OPERATION'!$B$17:$B$149,$C2446,'6. OPERATION'!BG$17:BG$149)</f>
        <v>0</v>
      </c>
      <c r="D2471" s="141">
        <f>SUMIF('5. PERSON'!$B$17:$B$192,$C2446,'5. PERSON'!BS$17:BS$192)+SUMIF('5. PERSON'!$B$17:$B$192,$C2446,'5. PERSON'!CE$17:CE$192)+SUMIF('6. OPERATION'!$B$17:$B$149,$C2446,'6. OPERATION'!AV$17:AV$149)+SUMIF('6. OPERATION'!$B$17:$B$149,$C2446,'6. OPERATION'!BH$17:BH$149)</f>
        <v>0</v>
      </c>
      <c r="E2471" s="141">
        <f>SUMIF('5. PERSON'!$B$17:$B$192,$C2446,'5. PERSON'!BT$17:BT$192)+SUMIF('5. PERSON'!$B$17:$B$192,$C2446,'5. PERSON'!CF$17:CF$192)+SUMIF('6. OPERATION'!$B$17:$B$149,$C2446,'6. OPERATION'!AW$17:AW$149)+SUMIF('6. OPERATION'!$B$17:$B$149,$C2446,'6. OPERATION'!BI$17:BI$149)</f>
        <v>0</v>
      </c>
      <c r="F2471" s="141">
        <f>SUMIF('5. PERSON'!$B$17:$B$192,$C2446,'5. PERSON'!BU$17:BU$192)+SUMIF('5. PERSON'!$B$17:$B$192,$C2446,'5. PERSON'!CG$17:CG$192)+SUMIF('6. OPERATION'!$B$17:$B$149,$C2446,'6. OPERATION'!AX$17:AX$149)+SUMIF('6. OPERATION'!$B$17:$B$149,$C2446,'6. OPERATION'!BJ$17:BJ$149)</f>
        <v>0</v>
      </c>
      <c r="G2471" s="141">
        <f>SUMIF('5. PERSON'!$B$17:$B$192,$C2446,'5. PERSON'!BV$17:BV$192)+SUMIF('5. PERSON'!$B$17:$B$192,$C2446,'5. PERSON'!CH$17:CH$192)+SUMIF('6. OPERATION'!$B$17:$B$149,$C2446,'6. OPERATION'!AY$17:AY$149)+SUMIF('6. OPERATION'!$B$17:$B$149,$C2446,'6. OPERATION'!BK$17:BK$149)</f>
        <v>0</v>
      </c>
      <c r="H2471" s="141">
        <f>SUMIF('5. PERSON'!$B$17:$B$192,$C2446,'5. PERSON'!BW$17:BW$192)+SUMIF('5. PERSON'!$B$17:$B$192,$C2446,'5. PERSON'!CI$17:CI$192)+SUMIF('6. OPERATION'!$B$17:$B$149,$C2446,'6. OPERATION'!AZ$17:AZ$149)+SUMIF('6. OPERATION'!$B$17:$B$149,$C2446,'6. OPERATION'!BL$17:BL$149)</f>
        <v>0</v>
      </c>
      <c r="I2471" s="141">
        <f>SUMIF('5. PERSON'!$B$17:$B$192,$C2446,'5. PERSON'!BX$17:BX$192)+SUMIF('5. PERSON'!$B$17:$B$192,$C2446,'5. PERSON'!CJ$17:CJ$192)+SUMIF('6. OPERATION'!$B$17:$B$149,$C2446,'6. OPERATION'!BA$17:BA$149)+SUMIF('6. OPERATION'!$B$17:$B$149,$C2446,'6. OPERATION'!BM$17:BM$149)</f>
        <v>0</v>
      </c>
      <c r="J2471" s="141">
        <f>SUMIF('5. PERSON'!$B$17:$B$192,$C2446,'5. PERSON'!BY$17:BY$192)+SUMIF('5. PERSON'!$B$17:$B$192,$C2446,'5. PERSON'!CK$17:CK$192)+SUMIF('6. OPERATION'!$B$17:$B$149,$C2446,'6. OPERATION'!BB$17:BB$149)+SUMIF('6. OPERATION'!$B$17:$B$149,$C2446,'6. OPERATION'!BN$17:BN$149)</f>
        <v>0</v>
      </c>
      <c r="K2471" s="141">
        <f>SUMIF('5. PERSON'!$B$17:$B$192,$C2446,'5. PERSON'!BZ$17:BZ$192)+SUMIF('5. PERSON'!$B$17:$B$192,$C2446,'5. PERSON'!CL$17:CL$192)+SUMIF('6. OPERATION'!$B$17:$B$149,$C2446,'6. OPERATION'!BC$17:BC$149)+SUMIF('6. OPERATION'!$B$17:$B$149,$C2446,'6. OPERATION'!BO$17:BO$149)</f>
        <v>0</v>
      </c>
      <c r="L2471" s="141">
        <f>SUMIF('5. PERSON'!$B$17:$B$192,$C2446,'5. PERSON'!CA$17:CA$192)+SUMIF('5. PERSON'!$B$17:$B$192,$C2446,'5. PERSON'!CM$17:CM$192)+SUMIF('6. OPERATION'!$B$17:$B$149,$C2446,'6. OPERATION'!BD$17:BD$149)+SUMIF('6. OPERATION'!$B$17:$B$149,$C2446,'6. OPERATION'!BP$17:BP$149)</f>
        <v>0</v>
      </c>
      <c r="M2471" s="123">
        <f>SUM(C2471:L2471)</f>
        <v>0</v>
      </c>
    </row>
    <row r="2472" spans="2:13" s="3" customFormat="1" ht="13.2" x14ac:dyDescent="0.25">
      <c r="B2472" s="124" t="s">
        <v>113</v>
      </c>
      <c r="C2472" s="88">
        <f>SUM(C2467:C2471)</f>
        <v>0</v>
      </c>
      <c r="D2472" s="88">
        <f t="shared" ref="D2472:M2472" si="597">SUM(D2467:D2471)</f>
        <v>0</v>
      </c>
      <c r="E2472" s="88">
        <f t="shared" si="597"/>
        <v>0</v>
      </c>
      <c r="F2472" s="88">
        <f t="shared" si="597"/>
        <v>0</v>
      </c>
      <c r="G2472" s="88">
        <f t="shared" si="597"/>
        <v>0</v>
      </c>
      <c r="H2472" s="88">
        <f t="shared" si="597"/>
        <v>0</v>
      </c>
      <c r="I2472" s="88">
        <f t="shared" si="597"/>
        <v>0</v>
      </c>
      <c r="J2472" s="88">
        <f t="shared" si="597"/>
        <v>0</v>
      </c>
      <c r="K2472" s="88">
        <f t="shared" si="597"/>
        <v>0</v>
      </c>
      <c r="L2472" s="88">
        <f t="shared" si="597"/>
        <v>0</v>
      </c>
      <c r="M2472" s="142">
        <f t="shared" si="597"/>
        <v>0</v>
      </c>
    </row>
    <row r="2473" spans="2:13" s="3" customFormat="1" ht="13.2" x14ac:dyDescent="0.25">
      <c r="B2473" s="287"/>
      <c r="C2473" s="37"/>
      <c r="D2473" s="37"/>
      <c r="E2473" s="37"/>
      <c r="F2473" s="37"/>
      <c r="G2473" s="37"/>
      <c r="H2473" s="37"/>
      <c r="I2473" s="37"/>
      <c r="J2473" s="37"/>
      <c r="K2473" s="37"/>
      <c r="L2473" s="37"/>
      <c r="M2473" s="37"/>
    </row>
    <row r="2474" spans="2:13" s="3" customFormat="1" ht="12.75" customHeight="1" x14ac:dyDescent="0.25">
      <c r="B2474" s="656" t="str">
        <f>IF('1. INTRO'!I$2="English","Co-funding share in full cost ","Medfinansieringsandel i full kostnad ")</f>
        <v xml:space="preserve">Co-funding share in full cost </v>
      </c>
      <c r="C2474" s="143" t="str">
        <f t="shared" ref="C2474:M2474" si="598">IF(C2472&gt;0,C2464/C2472,"")</f>
        <v/>
      </c>
      <c r="D2474" s="143" t="str">
        <f t="shared" si="598"/>
        <v/>
      </c>
      <c r="E2474" s="143" t="str">
        <f t="shared" si="598"/>
        <v/>
      </c>
      <c r="F2474" s="143" t="str">
        <f t="shared" si="598"/>
        <v/>
      </c>
      <c r="G2474" s="143" t="str">
        <f t="shared" si="598"/>
        <v/>
      </c>
      <c r="H2474" s="143" t="str">
        <f t="shared" si="598"/>
        <v/>
      </c>
      <c r="I2474" s="143" t="str">
        <f t="shared" si="598"/>
        <v/>
      </c>
      <c r="J2474" s="143" t="str">
        <f t="shared" si="598"/>
        <v/>
      </c>
      <c r="K2474" s="143" t="str">
        <f t="shared" si="598"/>
        <v/>
      </c>
      <c r="L2474" s="143" t="str">
        <f t="shared" si="598"/>
        <v/>
      </c>
      <c r="M2474" s="143" t="str">
        <f t="shared" si="598"/>
        <v/>
      </c>
    </row>
    <row r="2475" spans="2:13" ht="12.75" customHeight="1" x14ac:dyDescent="0.2"/>
    <row r="2476" spans="2:13" ht="12.75" customHeight="1" x14ac:dyDescent="0.25">
      <c r="D2476" s="676" t="str">
        <f>IF('1. INTRO'!I$2="English","Co-funding need in average per year: ","Medfinansieringsbehov i genomsnitt per år: ")</f>
        <v xml:space="preserve">Co-funding need in average per year: </v>
      </c>
      <c r="E2476" s="92" t="str">
        <f>IF(M2464=0,"",M2464/(DATEDIF('2. START'!C$18,'2. START'!C$19,"d")/365))</f>
        <v/>
      </c>
      <c r="H2476" s="676" t="str">
        <f>IF('1. INTRO'!I$2="English","Co-funding need 1/3 of total: ","Medfinansieringsbehov 1/3 av totalt: ")</f>
        <v xml:space="preserve">Co-funding need 1/3 of total: </v>
      </c>
      <c r="I2476" s="92">
        <f>M2464/3</f>
        <v>0</v>
      </c>
      <c r="L2476" s="287" t="str">
        <f>IF('1. INTRO'!I$2="English","Co-funding need total: ","Medfinansieringsbehov totalt: ")</f>
        <v xml:space="preserve">Co-funding need total: </v>
      </c>
      <c r="M2476" s="92">
        <f>M2464</f>
        <v>0</v>
      </c>
    </row>
    <row r="2477" spans="2:13" ht="12.75" customHeight="1" x14ac:dyDescent="0.25">
      <c r="B2477" s="53" t="str">
        <f>IF('1. INTRO'!I$2="English","Co-funding sources","Medfinansieringskällor")</f>
        <v>Co-funding sources</v>
      </c>
    </row>
    <row r="2478" spans="2:13" ht="12.75" customHeight="1" x14ac:dyDescent="0.25">
      <c r="B2478" s="225"/>
      <c r="C2478" s="226"/>
      <c r="D2478" s="226"/>
      <c r="E2478" s="226"/>
      <c r="F2478" s="226"/>
      <c r="G2478" s="226"/>
      <c r="H2478" s="226"/>
      <c r="I2478" s="226"/>
      <c r="J2478" s="226"/>
      <c r="K2478" s="226"/>
      <c r="L2478" s="227"/>
      <c r="M2478" s="168">
        <f>SUM(C2478:L2478)</f>
        <v>0</v>
      </c>
    </row>
    <row r="2479" spans="2:13" ht="12.75" customHeight="1" x14ac:dyDescent="0.25">
      <c r="B2479" s="228"/>
      <c r="C2479" s="229"/>
      <c r="D2479" s="229"/>
      <c r="E2479" s="229"/>
      <c r="F2479" s="229"/>
      <c r="G2479" s="229"/>
      <c r="H2479" s="229"/>
      <c r="I2479" s="229"/>
      <c r="J2479" s="229"/>
      <c r="K2479" s="229"/>
      <c r="L2479" s="230"/>
      <c r="M2479" s="120">
        <f t="shared" ref="M2479:M2482" si="599">SUM(C2479:L2479)</f>
        <v>0</v>
      </c>
    </row>
    <row r="2480" spans="2:13" ht="12.75" customHeight="1" x14ac:dyDescent="0.25">
      <c r="B2480" s="231"/>
      <c r="C2480" s="232"/>
      <c r="D2480" s="232"/>
      <c r="E2480" s="232"/>
      <c r="F2480" s="232"/>
      <c r="G2480" s="232"/>
      <c r="H2480" s="232"/>
      <c r="I2480" s="232"/>
      <c r="J2480" s="232"/>
      <c r="K2480" s="232"/>
      <c r="L2480" s="233"/>
      <c r="M2480" s="117">
        <f t="shared" si="599"/>
        <v>0</v>
      </c>
    </row>
    <row r="2481" spans="2:13" ht="12.75" customHeight="1" x14ac:dyDescent="0.25">
      <c r="B2481" s="228"/>
      <c r="C2481" s="229"/>
      <c r="D2481" s="229"/>
      <c r="E2481" s="229"/>
      <c r="F2481" s="229"/>
      <c r="G2481" s="229"/>
      <c r="H2481" s="229"/>
      <c r="I2481" s="229"/>
      <c r="J2481" s="229"/>
      <c r="K2481" s="229"/>
      <c r="L2481" s="230"/>
      <c r="M2481" s="120">
        <f t="shared" si="599"/>
        <v>0</v>
      </c>
    </row>
    <row r="2482" spans="2:13" ht="12.75" customHeight="1" x14ac:dyDescent="0.25">
      <c r="B2482" s="93"/>
      <c r="C2482" s="232"/>
      <c r="D2482" s="232"/>
      <c r="E2482" s="232"/>
      <c r="F2482" s="232"/>
      <c r="G2482" s="232"/>
      <c r="H2482" s="232"/>
      <c r="I2482" s="232"/>
      <c r="J2482" s="232"/>
      <c r="K2482" s="232"/>
      <c r="L2482" s="233"/>
      <c r="M2482" s="117">
        <f t="shared" si="599"/>
        <v>0</v>
      </c>
    </row>
    <row r="2483" spans="2:13" ht="12.75" customHeight="1" x14ac:dyDescent="0.25">
      <c r="B2483" s="84" t="str">
        <f>IF('1. INTRO'!I$2="English","Total co-funding ","Total medfinansiering ")</f>
        <v xml:space="preserve">Total co-funding </v>
      </c>
      <c r="C2483" s="87">
        <f t="shared" ref="C2483:M2483" si="600">SUM(C2478:C2482)</f>
        <v>0</v>
      </c>
      <c r="D2483" s="87">
        <f t="shared" si="600"/>
        <v>0</v>
      </c>
      <c r="E2483" s="87">
        <f t="shared" si="600"/>
        <v>0</v>
      </c>
      <c r="F2483" s="87">
        <f t="shared" si="600"/>
        <v>0</v>
      </c>
      <c r="G2483" s="87">
        <f t="shared" si="600"/>
        <v>0</v>
      </c>
      <c r="H2483" s="87">
        <f t="shared" si="600"/>
        <v>0</v>
      </c>
      <c r="I2483" s="87">
        <f t="shared" si="600"/>
        <v>0</v>
      </c>
      <c r="J2483" s="87">
        <f t="shared" si="600"/>
        <v>0</v>
      </c>
      <c r="K2483" s="87">
        <f t="shared" si="600"/>
        <v>0</v>
      </c>
      <c r="L2483" s="87">
        <f t="shared" si="600"/>
        <v>0</v>
      </c>
      <c r="M2483" s="142">
        <f t="shared" si="600"/>
        <v>0</v>
      </c>
    </row>
    <row r="2484" spans="2:13" ht="12.75" customHeight="1" x14ac:dyDescent="0.2"/>
    <row r="2485" spans="2:13" ht="12.75" customHeight="1" x14ac:dyDescent="0.2">
      <c r="B2485" s="667" t="str">
        <f>IF('1. INTRO'!I$2="English","Calculation comments","Kalkylkommentarer")</f>
        <v>Calculation comments</v>
      </c>
      <c r="C2485" s="37" t="str">
        <f>B62</f>
        <v/>
      </c>
    </row>
    <row r="2486" spans="2:13" ht="12.75" customHeight="1" x14ac:dyDescent="0.2">
      <c r="B2486" s="1142"/>
      <c r="C2486" s="1143"/>
      <c r="D2486" s="1143"/>
      <c r="E2486" s="1143"/>
      <c r="F2486" s="1143"/>
      <c r="G2486" s="1143"/>
      <c r="H2486" s="1143"/>
      <c r="I2486" s="1143"/>
      <c r="J2486" s="1143"/>
      <c r="K2486" s="1143"/>
      <c r="L2486" s="1143"/>
      <c r="M2486" s="1144"/>
    </row>
    <row r="2487" spans="2:13" ht="12.75" customHeight="1" x14ac:dyDescent="0.2">
      <c r="B2487" s="1145"/>
      <c r="C2487" s="1226"/>
      <c r="D2487" s="1226"/>
      <c r="E2487" s="1226"/>
      <c r="F2487" s="1226"/>
      <c r="G2487" s="1226"/>
      <c r="H2487" s="1226"/>
      <c r="I2487" s="1226"/>
      <c r="J2487" s="1226"/>
      <c r="K2487" s="1226"/>
      <c r="L2487" s="1226"/>
      <c r="M2487" s="1147"/>
    </row>
    <row r="2488" spans="2:13" ht="12.75" customHeight="1" x14ac:dyDescent="0.2">
      <c r="B2488" s="1145"/>
      <c r="C2488" s="1226"/>
      <c r="D2488" s="1226"/>
      <c r="E2488" s="1226"/>
      <c r="F2488" s="1226"/>
      <c r="G2488" s="1226"/>
      <c r="H2488" s="1226"/>
      <c r="I2488" s="1226"/>
      <c r="J2488" s="1226"/>
      <c r="K2488" s="1226"/>
      <c r="L2488" s="1226"/>
      <c r="M2488" s="1147"/>
    </row>
    <row r="2489" spans="2:13" ht="12.75" customHeight="1" x14ac:dyDescent="0.2">
      <c r="B2489" s="1145"/>
      <c r="C2489" s="1226"/>
      <c r="D2489" s="1226"/>
      <c r="E2489" s="1226"/>
      <c r="F2489" s="1226"/>
      <c r="G2489" s="1226"/>
      <c r="H2489" s="1226"/>
      <c r="I2489" s="1226"/>
      <c r="J2489" s="1226"/>
      <c r="K2489" s="1226"/>
      <c r="L2489" s="1226"/>
      <c r="M2489" s="1147"/>
    </row>
    <row r="2490" spans="2:13" ht="12.75" customHeight="1" x14ac:dyDescent="0.2">
      <c r="B2490" s="1148"/>
      <c r="C2490" s="1149"/>
      <c r="D2490" s="1149"/>
      <c r="E2490" s="1149"/>
      <c r="F2490" s="1149"/>
      <c r="G2490" s="1149"/>
      <c r="H2490" s="1149"/>
      <c r="I2490" s="1149"/>
      <c r="J2490" s="1149"/>
      <c r="K2490" s="1149"/>
      <c r="L2490" s="1149"/>
      <c r="M2490" s="1150"/>
    </row>
    <row r="2492" spans="2:13" s="3" customFormat="1" ht="12.75" customHeight="1" x14ac:dyDescent="0.25">
      <c r="B2492" s="313" t="str">
        <f>'3. PARTNER'!C$4</f>
        <v xml:space="preserve">Project: </v>
      </c>
      <c r="C2492" s="1062" t="str">
        <f>'3. PARTNER'!D$4</f>
        <v/>
      </c>
      <c r="D2492" s="1001"/>
      <c r="E2492" s="1001"/>
      <c r="F2492" s="1001"/>
      <c r="G2492" s="1001"/>
      <c r="H2492" s="1001"/>
      <c r="I2492" s="1001"/>
      <c r="J2492" s="1001"/>
      <c r="K2492" s="1001"/>
      <c r="L2492" s="1001"/>
      <c r="M2492" s="1001"/>
    </row>
    <row r="2493" spans="2:13" s="3" customFormat="1" ht="13.2" x14ac:dyDescent="0.25">
      <c r="B2493" s="313" t="str">
        <f>'3. PARTNER'!C$5</f>
        <v xml:space="preserve">Calculation for: </v>
      </c>
      <c r="C2493" s="1062" t="str">
        <f>'3. PARTNER'!D$5</f>
        <v>APPLICATION</v>
      </c>
      <c r="D2493" s="1001"/>
      <c r="E2493" s="268"/>
      <c r="F2493" s="268"/>
      <c r="G2493" s="268"/>
      <c r="H2493" s="268"/>
      <c r="I2493" s="268"/>
      <c r="J2493" s="268"/>
      <c r="K2493" s="268"/>
      <c r="L2493" s="268"/>
      <c r="M2493" s="268"/>
    </row>
    <row r="2494" spans="2:13" s="3" customFormat="1" ht="13.2" x14ac:dyDescent="0.25">
      <c r="B2494" s="35" t="str">
        <f>'3. PARTNER'!C$6</f>
        <v xml:space="preserve">Project leader: </v>
      </c>
      <c r="C2494" s="1062" t="str">
        <f>'3. PARTNER'!D$6</f>
        <v/>
      </c>
      <c r="D2494" s="1001"/>
      <c r="E2494" s="1001"/>
      <c r="F2494" s="1001"/>
      <c r="G2494" s="1001"/>
      <c r="H2494" s="1001"/>
      <c r="I2494" s="1001"/>
      <c r="J2494" s="1001"/>
      <c r="K2494" s="1001"/>
      <c r="L2494" s="1001"/>
      <c r="M2494" s="1001"/>
    </row>
    <row r="2495" spans="2:13" s="3" customFormat="1" ht="13.2" x14ac:dyDescent="0.25">
      <c r="B2495" s="313" t="str">
        <f>'5. PERSON'!B$7</f>
        <v xml:space="preserve">Amounts in: </v>
      </c>
      <c r="C2495" s="655" t="str">
        <f>'5. PERSON'!C$7</f>
        <v>SEK</v>
      </c>
      <c r="D2495" s="268"/>
      <c r="E2495" s="268"/>
      <c r="F2495" s="268"/>
      <c r="G2495" s="234"/>
      <c r="H2495" s="234"/>
      <c r="I2495" s="270"/>
      <c r="J2495" s="270"/>
      <c r="K2495" s="270"/>
      <c r="L2495" s="270"/>
      <c r="M2495" s="270"/>
    </row>
    <row r="2496" spans="2:13" s="3" customFormat="1" ht="13.2" x14ac:dyDescent="0.25">
      <c r="B2496" s="313"/>
      <c r="C2496" s="1053" t="str">
        <f>'3. PARTNER'!D$7</f>
        <v>Other basic data about the project is in sheet 2.</v>
      </c>
      <c r="D2496" s="1001"/>
      <c r="E2496" s="1001"/>
      <c r="F2496" s="1001"/>
      <c r="G2496" s="234"/>
      <c r="H2496" s="234"/>
      <c r="I2496" s="270"/>
      <c r="J2496" s="270"/>
      <c r="K2496" s="270"/>
      <c r="L2496" s="251" t="s">
        <v>4</v>
      </c>
      <c r="M2496" s="270"/>
    </row>
    <row r="2497" spans="2:15" ht="12.75" customHeight="1" x14ac:dyDescent="0.2">
      <c r="L2497" s="252" t="str">
        <f>IF('1. INTRO'!I$2="English","months","månader")</f>
        <v>months</v>
      </c>
    </row>
    <row r="2498" spans="2:15" s="3" customFormat="1" ht="13.8" x14ac:dyDescent="0.25">
      <c r="B2498" s="157" t="str">
        <f>IF('1. INTRO'!I$2="English","Project costs","Projektkostnader")</f>
        <v>Project costs</v>
      </c>
      <c r="C2498" s="668" t="str">
        <f>A63</f>
        <v>EXT105</v>
      </c>
      <c r="D2498" s="1227" t="str">
        <f>B63</f>
        <v/>
      </c>
      <c r="E2498" s="1001"/>
      <c r="F2498" s="1001"/>
      <c r="G2498" s="1001"/>
      <c r="H2498" s="1001"/>
      <c r="I2498" s="37"/>
      <c r="J2498" s="37"/>
      <c r="K2498" s="37"/>
      <c r="L2498" s="642">
        <f>SUMIF('5. PERSON'!$B$17:$B$192,$C2498,'5. PERSON'!AE$17:AE$192)</f>
        <v>0</v>
      </c>
      <c r="M2498" s="680" t="s">
        <v>330</v>
      </c>
    </row>
    <row r="2499" spans="2:15" s="3" customFormat="1" ht="6" customHeight="1" x14ac:dyDescent="0.25">
      <c r="B2499" s="57"/>
      <c r="C2499" s="37"/>
      <c r="D2499" s="37"/>
      <c r="E2499" s="37"/>
      <c r="F2499" s="37"/>
      <c r="G2499" s="37"/>
      <c r="H2499" s="37"/>
      <c r="I2499" s="37"/>
      <c r="J2499" s="37"/>
      <c r="K2499" s="37"/>
      <c r="L2499" s="37"/>
      <c r="M2499" s="37"/>
    </row>
    <row r="2500" spans="2:15" s="3" customFormat="1" ht="13.2" x14ac:dyDescent="0.25">
      <c r="B2500" s="110" t="str">
        <f>IF('1. INTRO'!I$2="English","Costs to be covered by funding body","Kostnader att täckas av finansiär")</f>
        <v>Costs to be covered by funding body</v>
      </c>
      <c r="C2500" s="111">
        <f>'5. PERSON'!G$15</f>
        <v>1900</v>
      </c>
      <c r="D2500" s="111" t="str">
        <f>'5. PERSON'!H$15</f>
        <v/>
      </c>
      <c r="E2500" s="111" t="str">
        <f>'5. PERSON'!I$15</f>
        <v/>
      </c>
      <c r="F2500" s="111" t="str">
        <f>'5. PERSON'!J$15</f>
        <v/>
      </c>
      <c r="G2500" s="111" t="str">
        <f>'5. PERSON'!K$15</f>
        <v/>
      </c>
      <c r="H2500" s="111" t="str">
        <f>'5. PERSON'!L$15</f>
        <v/>
      </c>
      <c r="I2500" s="111" t="str">
        <f>'5. PERSON'!M$15</f>
        <v/>
      </c>
      <c r="J2500" s="111" t="str">
        <f>'5. PERSON'!N$15</f>
        <v/>
      </c>
      <c r="K2500" s="111" t="str">
        <f>'5. PERSON'!O$15</f>
        <v/>
      </c>
      <c r="L2500" s="111" t="str">
        <f>'5. PERSON'!P$15</f>
        <v/>
      </c>
      <c r="M2500" s="112" t="s">
        <v>2</v>
      </c>
    </row>
    <row r="2501" spans="2:15" s="3" customFormat="1" ht="12.75" customHeight="1" x14ac:dyDescent="0.25">
      <c r="B2501" s="113" t="str">
        <f>IF('1. INTRO'!I$2="English","Salary including social costs (LKP)","Lön inklusive LKP")</f>
        <v>Salary including social costs (LKP)</v>
      </c>
      <c r="C2501" s="114">
        <f>IF('2. START'!$C$14&gt;0,SUMIF('5. PERSON'!$B$17:$B$192,$C2498,'5. PERSON'!DN$17:DN$192),SUMIF('5. PERSON'!$B$17:$B$192,$C2498,'5. PERSON'!AT$17:AT$192))</f>
        <v>0</v>
      </c>
      <c r="D2501" s="114">
        <f>IF('2. START'!$C$14&gt;0,SUMIF('5. PERSON'!$B$17:$B$192,$C2498,'5. PERSON'!DO$17:DO$192),SUMIF('5. PERSON'!$B$17:$B$192,$C2498,'5. PERSON'!AU$17:AU$192))</f>
        <v>0</v>
      </c>
      <c r="E2501" s="114">
        <f>IF('2. START'!$C$14&gt;0,SUMIF('5. PERSON'!$B$17:$B$192,$C2498,'5. PERSON'!DP$17:DP$192),SUMIF('5. PERSON'!$B$17:$B$192,$C2498,'5. PERSON'!AV$17:AV$192))</f>
        <v>0</v>
      </c>
      <c r="F2501" s="114">
        <f>IF('2. START'!$C$14&gt;0,SUMIF('5. PERSON'!$B$17:$B$192,$C2498,'5. PERSON'!DQ$17:DQ$192),SUMIF('5. PERSON'!$B$17:$B$192,$C2498,'5. PERSON'!AW$17:AW$192))</f>
        <v>0</v>
      </c>
      <c r="G2501" s="114">
        <f>IF('2. START'!$C$14&gt;0,SUMIF('5. PERSON'!$B$17:$B$192,$C2498,'5. PERSON'!DR$17:DR$192),SUMIF('5. PERSON'!$B$17:$B$192,$C2498,'5. PERSON'!AX$17:AX$192))</f>
        <v>0</v>
      </c>
      <c r="H2501" s="114">
        <f>IF('2. START'!$C$14&gt;0,SUMIF('5. PERSON'!$B$17:$B$192,$C2498,'5. PERSON'!DS$17:DS$192),SUMIF('5. PERSON'!$B$17:$B$192,$C2498,'5. PERSON'!AY$17:AY$192))</f>
        <v>0</v>
      </c>
      <c r="I2501" s="114">
        <f>IF('2. START'!$C$14&gt;0,SUMIF('5. PERSON'!$B$17:$B$192,$C2498,'5. PERSON'!DT$17:DT$192),SUMIF('5. PERSON'!$B$17:$B$192,$C2498,'5. PERSON'!AZ$17:AZ$192))</f>
        <v>0</v>
      </c>
      <c r="J2501" s="114">
        <f>IF('2. START'!$C$14&gt;0,SUMIF('5. PERSON'!$B$17:$B$192,$C2498,'5. PERSON'!DU$17:DU$192),SUMIF('5. PERSON'!$B$17:$B$192,$C2498,'5. PERSON'!BA$17:BA$192))</f>
        <v>0</v>
      </c>
      <c r="K2501" s="114">
        <f>IF('2. START'!$C$14&gt;0,SUMIF('5. PERSON'!$B$17:$B$192,$C2498,'5. PERSON'!DV$17:DV$192),SUMIF('5. PERSON'!$B$17:$B$192,$C2498,'5. PERSON'!BB$17:BB$192))</f>
        <v>0</v>
      </c>
      <c r="L2501" s="114">
        <f>IF('2. START'!$C$14&gt;0,SUMIF('5. PERSON'!$B$17:$B$192,$C2498,'5. PERSON'!DW$17:DW$192),SUMIF('5. PERSON'!$B$17:$B$192,$C2498,'5. PERSON'!BC$17:BC$192))</f>
        <v>0</v>
      </c>
      <c r="M2501" s="115">
        <f t="shared" ref="M2501:M2506" si="601">SUM(C2501:L2501)</f>
        <v>0</v>
      </c>
      <c r="O2501" s="4"/>
    </row>
    <row r="2502" spans="2:15" s="3" customFormat="1" ht="12.75" customHeight="1" x14ac:dyDescent="0.25">
      <c r="B2502" s="80" t="str">
        <f>IF('1. INTRO'!I$2="English","Operating","Drift")</f>
        <v>Operating</v>
      </c>
      <c r="C2502" s="116">
        <f>SUMIF('6. OPERATION'!$B$17:$B$149,$C2498,'6. OPERATION'!W$17:W$149)</f>
        <v>0</v>
      </c>
      <c r="D2502" s="116">
        <f>SUMIF('6. OPERATION'!$B$17:$B$149,$C2498,'6. OPERATION'!X$17:X$149)</f>
        <v>0</v>
      </c>
      <c r="E2502" s="116">
        <f>SUMIF('6. OPERATION'!$B$17:$B$149,$C2498,'6. OPERATION'!Y$17:Y$149)</f>
        <v>0</v>
      </c>
      <c r="F2502" s="116">
        <f>SUMIF('6. OPERATION'!$B$17:$B$149,$C2498,'6. OPERATION'!Z$17:Z$149)</f>
        <v>0</v>
      </c>
      <c r="G2502" s="116">
        <f>SUMIF('6. OPERATION'!$B$17:$B$149,$C2498,'6. OPERATION'!AA$17:AA$149)</f>
        <v>0</v>
      </c>
      <c r="H2502" s="116">
        <f>SUMIF('6. OPERATION'!$B$17:$B$149,$C2498,'6. OPERATION'!AB$17:AB$149)</f>
        <v>0</v>
      </c>
      <c r="I2502" s="116">
        <f>SUMIF('6. OPERATION'!$B$17:$B$149,$C2498,'6. OPERATION'!AC$17:AC$149)</f>
        <v>0</v>
      </c>
      <c r="J2502" s="116">
        <f>SUMIF('6. OPERATION'!$B$17:$B$149,$C2498,'6. OPERATION'!AD$17:AD$149)</f>
        <v>0</v>
      </c>
      <c r="K2502" s="116">
        <f>SUMIF('6. OPERATION'!$B$17:$B$149,$C2498,'6. OPERATION'!AE$17:AE$149)</f>
        <v>0</v>
      </c>
      <c r="L2502" s="116">
        <f>SUMIF('6. OPERATION'!$B$17:$B$149,$C2498,'6. OPERATION'!AF$17:AF$149)</f>
        <v>0</v>
      </c>
      <c r="M2502" s="117">
        <f t="shared" si="601"/>
        <v>0</v>
      </c>
    </row>
    <row r="2503" spans="2:15" s="3" customFormat="1" ht="13.2" x14ac:dyDescent="0.25">
      <c r="B2503" s="118" t="str">
        <f>IF('1. INTRO'!I$2="English","Equipment","Utrustning")</f>
        <v>Equipment</v>
      </c>
      <c r="C2503" s="119">
        <f>SUMIF('7. INVEST'!$B$17:$B$49,$C2498,'7. INVEST'!W$17:W$49)</f>
        <v>0</v>
      </c>
      <c r="D2503" s="119">
        <f>SUMIF('7. INVEST'!$B$17:$B$49,$C2498,'7. INVEST'!X$17:X$49)</f>
        <v>0</v>
      </c>
      <c r="E2503" s="119">
        <f>SUMIF('7. INVEST'!$B$17:$B$49,$C2498,'7. INVEST'!Y$17:Y$49)</f>
        <v>0</v>
      </c>
      <c r="F2503" s="119">
        <f>SUMIF('7. INVEST'!$B$17:$B$49,$C2498,'7. INVEST'!Z$17:Z$49)</f>
        <v>0</v>
      </c>
      <c r="G2503" s="119">
        <f>SUMIF('7. INVEST'!$B$17:$B$49,$C2498,'7. INVEST'!AA$17:AA$49)</f>
        <v>0</v>
      </c>
      <c r="H2503" s="119">
        <f>SUMIF('7. INVEST'!$B$17:$B$49,$C2498,'7. INVEST'!AB$17:AB$49)</f>
        <v>0</v>
      </c>
      <c r="I2503" s="119">
        <f>SUMIF('7. INVEST'!$B$17:$B$49,$C2498,'7. INVEST'!AC$17:AC$49)</f>
        <v>0</v>
      </c>
      <c r="J2503" s="119">
        <f>SUMIF('7. INVEST'!$B$17:$B$49,$C2498,'7. INVEST'!AD$17:AD$49)</f>
        <v>0</v>
      </c>
      <c r="K2503" s="119">
        <f>SUMIF('7. INVEST'!$B$17:$B$49,$C2498,'7. INVEST'!AE$17:AE$49)</f>
        <v>0</v>
      </c>
      <c r="L2503" s="119">
        <f>SUMIF('7. INVEST'!$B$17:$B$49,$C2498,'7. INVEST'!AF$17:AF$49)</f>
        <v>0</v>
      </c>
      <c r="M2503" s="120">
        <f t="shared" si="601"/>
        <v>0</v>
      </c>
    </row>
    <row r="2504" spans="2:15" s="3" customFormat="1" ht="13.2" x14ac:dyDescent="0.25">
      <c r="B2504" s="121" t="str">
        <f>IF('1. INTRO'!I$2="English",(IF('2. START'!C$11="NO","Facility accepted as direct cost by funding body","Facility")),IF('2. START'!C$11="NO","Lokal accepterad som direkt kostnad av finansiär","Lokal"))</f>
        <v>Facility</v>
      </c>
      <c r="C2504" s="116">
        <f>IF('2. START'!$C$11="NO",SUMIF('8. FACILIT'!$B$18:$B$50,$C2498,'8. FACILIT'!T$18:T$50),SUMIF('5. PERSON'!$B$17:$B$192,$C2498,'5. PERSON'!CP$17:CP$192)+SUMIF('6. OPERATION'!$B$17:$B$149,$C2498,'6. OPERATION'!BS$17:BS$149)+SUMIF('8. FACILIT'!$B$18:$B$50,$C2498,'8. FACILIT'!T$18:T$50))</f>
        <v>0</v>
      </c>
      <c r="D2504" s="116">
        <f>IF('2. START'!$C$11="NO",SUMIF('8. FACILIT'!$B$18:$B$50,$C2498,'8. FACILIT'!U$18:U$50),SUMIF('5. PERSON'!$B$17:$B$192,$C2498,'5. PERSON'!CQ$17:CQ$192)+SUMIF('6. OPERATION'!$B$17:$B$149,$C2498,'6. OPERATION'!BT$17:BT$149)+SUMIF('8. FACILIT'!$B$18:$B$50,$C2498,'8. FACILIT'!U$18:U$50))</f>
        <v>0</v>
      </c>
      <c r="E2504" s="116">
        <f>IF('2. START'!$C$11="NO",SUMIF('8. FACILIT'!$B$18:$B$50,$C2498,'8. FACILIT'!V$18:V$50),SUMIF('5. PERSON'!$B$17:$B$192,$C2498,'5. PERSON'!CR$17:CR$192)+SUMIF('6. OPERATION'!$B$17:$B$149,$C2498,'6. OPERATION'!BU$17:BU$149)+SUMIF('8. FACILIT'!$B$18:$B$50,$C2498,'8. FACILIT'!V$18:V$50))</f>
        <v>0</v>
      </c>
      <c r="F2504" s="116">
        <f>IF('2. START'!$C$11="NO",SUMIF('8. FACILIT'!$B$18:$B$50,$C2498,'8. FACILIT'!W$18:W$50),SUMIF('5. PERSON'!$B$17:$B$192,$C2498,'5. PERSON'!CS$17:CS$192)+SUMIF('6. OPERATION'!$B$17:$B$149,$C2498,'6. OPERATION'!BV$17:BV$149)+SUMIF('8. FACILIT'!$B$18:$B$50,$C2498,'8. FACILIT'!W$18:W$50))</f>
        <v>0</v>
      </c>
      <c r="G2504" s="116">
        <f>IF('2. START'!$C$11="NO",SUMIF('8. FACILIT'!$B$18:$B$50,$C2498,'8. FACILIT'!X$18:X$50),SUMIF('5. PERSON'!$B$17:$B$192,$C2498,'5. PERSON'!CT$17:CT$192)+SUMIF('6. OPERATION'!$B$17:$B$149,$C2498,'6. OPERATION'!BW$17:BW$149)+SUMIF('8. FACILIT'!$B$18:$B$50,$C2498,'8. FACILIT'!X$18:X$50))</f>
        <v>0</v>
      </c>
      <c r="H2504" s="116">
        <f>IF('2. START'!$C$11="NO",SUMIF('8. FACILIT'!$B$18:$B$50,$C2498,'8. FACILIT'!Y$18:Y$50),SUMIF('5. PERSON'!$B$17:$B$192,$C2498,'5. PERSON'!CU$17:CU$192)+SUMIF('6. OPERATION'!$B$17:$B$149,$C2498,'6. OPERATION'!BX$17:BX$149)+SUMIF('8. FACILIT'!$B$18:$B$50,$C2498,'8. FACILIT'!Y$18:Y$50))</f>
        <v>0</v>
      </c>
      <c r="I2504" s="116">
        <f>IF('2. START'!$C$11="NO",SUMIF('8. FACILIT'!$B$18:$B$50,$C2498,'8. FACILIT'!Z$18:Z$50),SUMIF('5. PERSON'!$B$17:$B$192,$C2498,'5. PERSON'!CV$17:CV$192)+SUMIF('6. OPERATION'!$B$17:$B$149,$C2498,'6. OPERATION'!BY$17:BY$149)+SUMIF('8. FACILIT'!$B$18:$B$50,$C2498,'8. FACILIT'!Z$18:Z$50))</f>
        <v>0</v>
      </c>
      <c r="J2504" s="116">
        <f>IF('2. START'!$C$11="NO",SUMIF('8. FACILIT'!$B$18:$B$50,$C2498,'8. FACILIT'!AA$18:AA$50),SUMIF('5. PERSON'!$B$17:$B$192,$C2498,'5. PERSON'!CW$17:CW$192)+SUMIF('6. OPERATION'!$B$17:$B$149,$C2498,'6. OPERATION'!BZ$17:BZ$149)+SUMIF('8. FACILIT'!$B$18:$B$50,$C2498,'8. FACILIT'!AA$18:AA$50))</f>
        <v>0</v>
      </c>
      <c r="K2504" s="116">
        <f>IF('2. START'!$C$11="NO",SUMIF('8. FACILIT'!$B$18:$B$50,$C2498,'8. FACILIT'!AB$18:AB$50),SUMIF('5. PERSON'!$B$17:$B$192,$C2498,'5. PERSON'!CX$17:CX$192)+SUMIF('6. OPERATION'!$B$17:$B$149,$C2498,'6. OPERATION'!CA$17:CA$149)+SUMIF('8. FACILIT'!$B$18:$B$50,$C2498,'8. FACILIT'!AB$18:AB$50))</f>
        <v>0</v>
      </c>
      <c r="L2504" s="116">
        <f>IF('2. START'!$C$11="NO",SUMIF('8. FACILIT'!$B$18:$B$50,$C2498,'8. FACILIT'!AC$18:AC$50),SUMIF('5. PERSON'!$B$17:$B$192,$C2498,'5. PERSON'!CY$17:CY$192)+SUMIF('6. OPERATION'!$B$17:$B$149,$C2498,'6. OPERATION'!CB$17:CB$149)+SUMIF('8. FACILIT'!$B$18:$B$50,$C2498,'8. FACILIT'!AC$18:AC$50))</f>
        <v>0</v>
      </c>
      <c r="M2504" s="117">
        <f t="shared" si="601"/>
        <v>0</v>
      </c>
    </row>
    <row r="2505" spans="2:15" s="3" customFormat="1" ht="13.2" x14ac:dyDescent="0.25">
      <c r="B2505" s="122" t="str">
        <f>IF('1. INTRO'!I$2="English",(IF('2. START'!C$11="NO","Indirect and facility charge accepted as OH by funding body","Indirect")),IF('2. START'!C$11="NO","Indirekt och lokalpåslag accepterade som OH av finansiär","Indirekt"))</f>
        <v>Indirect</v>
      </c>
      <c r="C2505" s="107">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107">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107">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107">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107">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107">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107">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107">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107">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107">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120">
        <f t="shared" si="601"/>
        <v>0</v>
      </c>
    </row>
    <row r="2506" spans="2:15" s="3" customFormat="1" ht="13.2" x14ac:dyDescent="0.25">
      <c r="B2506" s="124" t="s">
        <v>113</v>
      </c>
      <c r="C2506" s="102">
        <f>SUM(C2501:C2505)</f>
        <v>0</v>
      </c>
      <c r="D2506" s="102">
        <f t="shared" ref="D2506:L2506" si="602">SUM(D2501:D2505)</f>
        <v>0</v>
      </c>
      <c r="E2506" s="102">
        <f t="shared" si="602"/>
        <v>0</v>
      </c>
      <c r="F2506" s="102">
        <f t="shared" si="602"/>
        <v>0</v>
      </c>
      <c r="G2506" s="102">
        <f t="shared" si="602"/>
        <v>0</v>
      </c>
      <c r="H2506" s="102">
        <f t="shared" si="602"/>
        <v>0</v>
      </c>
      <c r="I2506" s="102">
        <f t="shared" si="602"/>
        <v>0</v>
      </c>
      <c r="J2506" s="102">
        <f t="shared" si="602"/>
        <v>0</v>
      </c>
      <c r="K2506" s="102">
        <f t="shared" si="602"/>
        <v>0</v>
      </c>
      <c r="L2506" s="102">
        <f t="shared" si="602"/>
        <v>0</v>
      </c>
      <c r="M2506" s="125">
        <f t="shared" si="601"/>
        <v>0</v>
      </c>
    </row>
    <row r="2507" spans="2:15" s="3" customFormat="1" ht="6" customHeight="1" x14ac:dyDescent="0.25">
      <c r="B2507" s="126"/>
      <c r="C2507" s="127"/>
      <c r="D2507" s="127"/>
      <c r="E2507" s="127"/>
      <c r="F2507" s="127"/>
      <c r="G2507" s="127"/>
      <c r="H2507" s="127"/>
      <c r="I2507" s="127"/>
      <c r="J2507" s="127"/>
      <c r="K2507" s="127"/>
      <c r="L2507" s="127"/>
      <c r="M2507" s="128"/>
    </row>
    <row r="2508" spans="2:15" s="3" customFormat="1" ht="13.2" x14ac:dyDescent="0.25">
      <c r="B2508" s="129" t="str">
        <f>IF('1. INTRO'!I$2="English","Costs to be co-funded","Kostnader att medfinansiera")</f>
        <v>Costs to be co-funded</v>
      </c>
      <c r="C2508" s="86"/>
      <c r="D2508" s="86"/>
      <c r="E2508" s="86"/>
      <c r="F2508" s="86"/>
      <c r="G2508" s="86"/>
      <c r="H2508" s="86"/>
      <c r="I2508" s="86"/>
      <c r="J2508" s="86"/>
      <c r="K2508" s="86"/>
      <c r="L2508" s="86"/>
      <c r="M2508" s="130"/>
    </row>
    <row r="2509" spans="2:15" s="3" customFormat="1" ht="13.2" x14ac:dyDescent="0.25">
      <c r="B2509" s="159" t="str">
        <f>IF('1. INTRO'!I$2="English",(IF('2. START'!C$11="NO","Indirect and facility charge not accepted as OH by funding body","")),IF('2. START'!C$11="NO","Indirekt och lokalpåslag inte accepterade som OH av finansiär",""))</f>
        <v/>
      </c>
      <c r="C2509" s="131">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31">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31">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31">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31">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31">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31">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31">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31">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31">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115">
        <f t="shared" ref="M2509:M2515" si="603">SUM(C2509:L2509)</f>
        <v>0</v>
      </c>
    </row>
    <row r="2510" spans="2:15" s="3" customFormat="1" ht="12.75" customHeight="1" x14ac:dyDescent="0.25">
      <c r="B2510" s="132" t="str">
        <f>IF('1. INTRO'!I$2="English",(IF('2. START'!C$14&gt;0,"Social costs (LKP) not accepted by funding body","")),IF('2. START'!C$14&gt;0,"LKP som inte accepteras av finansiär",""))</f>
        <v/>
      </c>
      <c r="C2510" s="133">
        <f>IF('2. START'!$C$14&gt;0,SUMIF('5. PERSON'!$B$17:$B$192,$C2498,'5. PERSON'!AT$17:AT$192)-SUMIF('5. PERSON'!$B$17:$B$192,$C2498,'5. PERSON'!DN$17:DN$192),0)</f>
        <v>0</v>
      </c>
      <c r="D2510" s="133">
        <f>IF('2. START'!$C$14&gt;0,SUMIF('5. PERSON'!$B$17:$B$192,$C2498,'5. PERSON'!AU$17:AU$192)-SUMIF('5. PERSON'!$B$17:$B$192,$C2498,'5. PERSON'!DO$17:DO$192),0)</f>
        <v>0</v>
      </c>
      <c r="E2510" s="133">
        <f>IF('2. START'!$C$14&gt;0,SUMIF('5. PERSON'!$B$17:$B$192,$C2498,'5. PERSON'!AV$17:AV$192)-SUMIF('5. PERSON'!$B$17:$B$192,$C2498,'5. PERSON'!DP$17:DP$192),0)</f>
        <v>0</v>
      </c>
      <c r="F2510" s="133">
        <f>IF('2. START'!$C$14&gt;0,SUMIF('5. PERSON'!$B$17:$B$192,$C2498,'5. PERSON'!AW$17:AW$192)-SUMIF('5. PERSON'!$B$17:$B$192,$C2498,'5. PERSON'!DQ$17:DQ$192),0)</f>
        <v>0</v>
      </c>
      <c r="G2510" s="133">
        <f>IF('2. START'!$C$14&gt;0,SUMIF('5. PERSON'!$B$17:$B$192,$C2498,'5. PERSON'!AX$17:AX$192)-SUMIF('5. PERSON'!$B$17:$B$192,$C2498,'5. PERSON'!DR$17:DR$192),0)</f>
        <v>0</v>
      </c>
      <c r="H2510" s="133">
        <f>IF('2. START'!$C$14&gt;0,SUMIF('5. PERSON'!$B$17:$B$192,$C2498,'5. PERSON'!AY$17:AY$192)-SUMIF('5. PERSON'!$B$17:$B$192,$C2498,'5. PERSON'!DS$17:DS$192),0)</f>
        <v>0</v>
      </c>
      <c r="I2510" s="133">
        <f>IF('2. START'!$C$14&gt;0,SUMIF('5. PERSON'!$B$17:$B$192,$C2498,'5. PERSON'!AZ$17:AZ$192)-SUMIF('5. PERSON'!$B$17:$B$192,$C2498,'5. PERSON'!DT$17:DT$192),0)</f>
        <v>0</v>
      </c>
      <c r="J2510" s="133">
        <f>IF('2. START'!$C$14&gt;0,SUMIF('5. PERSON'!$B$17:$B$192,$C2498,'5. PERSON'!BA$17:BA$192)-SUMIF('5. PERSON'!$B$17:$B$192,$C2498,'5. PERSON'!DU$17:DU$192),0)</f>
        <v>0</v>
      </c>
      <c r="K2510" s="133">
        <f>IF('2. START'!$C$14&gt;0,SUMIF('5. PERSON'!$B$17:$B$192,$C2498,'5. PERSON'!BB$17:BB$192)-SUMIF('5. PERSON'!$B$17:$B$192,$C2498,'5. PERSON'!DV$17:DV$192),0)</f>
        <v>0</v>
      </c>
      <c r="L2510" s="133">
        <f>IF('2. START'!$C$14&gt;0,SUMIF('5. PERSON'!$B$17:$B$192,$C2498,'5. PERSON'!BC$17:BC$192)-SUMIF('5. PERSON'!$B$17:$B$192,$C2498,'5. PERSON'!DW$17:DW$192),0)</f>
        <v>0</v>
      </c>
      <c r="M2510" s="117">
        <f t="shared" si="603"/>
        <v>0</v>
      </c>
    </row>
    <row r="2511" spans="2:15" s="3" customFormat="1" ht="12.75" customHeight="1" x14ac:dyDescent="0.25">
      <c r="B2511" s="118" t="str">
        <f>IF('1. INTRO'!I$2="English",(IF('5. PERSON'!BP$193&gt;0,"Salary including social costs (LKP)","")),IF('5. PERSON'!BP$193&gt;0,"Lön inklusive LKP",""))</f>
        <v/>
      </c>
      <c r="C2511" s="134">
        <f>SUMIF('5. PERSON'!$B$17:$B$192,$C2498,'5. PERSON'!BF$17:BF$192)</f>
        <v>0</v>
      </c>
      <c r="D2511" s="134">
        <f>SUMIF('5. PERSON'!$B$17:$B$192,$C2498,'5. PERSON'!BG$17:BG$192)</f>
        <v>0</v>
      </c>
      <c r="E2511" s="134">
        <f>SUMIF('5. PERSON'!$B$17:$B$192,$C2498,'5. PERSON'!BH$17:BH$192)</f>
        <v>0</v>
      </c>
      <c r="F2511" s="134">
        <f>SUMIF('5. PERSON'!$B$17:$B$192,$C2498,'5. PERSON'!BI$17:BI$192)</f>
        <v>0</v>
      </c>
      <c r="G2511" s="134">
        <f>SUMIF('5. PERSON'!$B$17:$B$192,$C2498,'5. PERSON'!BJ$17:BJ$192)</f>
        <v>0</v>
      </c>
      <c r="H2511" s="134">
        <f>SUMIF('5. PERSON'!$B$17:$B$192,$C2498,'5. PERSON'!BK$17:BK$192)</f>
        <v>0</v>
      </c>
      <c r="I2511" s="134">
        <f>SUMIF('5. PERSON'!$B$17:$B$192,$C2498,'5. PERSON'!BL$17:BL$192)</f>
        <v>0</v>
      </c>
      <c r="J2511" s="134">
        <f>SUMIF('5. PERSON'!$B$17:$B$192,$C2498,'5. PERSON'!BM$17:BM$192)</f>
        <v>0</v>
      </c>
      <c r="K2511" s="134">
        <f>SUMIF('5. PERSON'!$B$17:$B$192,$C2498,'5. PERSON'!BN$17:BN$192)</f>
        <v>0</v>
      </c>
      <c r="L2511" s="134">
        <f>SUMIF('5. PERSON'!$B$17:$B$192,$C2498,'5. PERSON'!BO$17:BO$192)</f>
        <v>0</v>
      </c>
      <c r="M2511" s="120">
        <f t="shared" si="603"/>
        <v>0</v>
      </c>
    </row>
    <row r="2512" spans="2:15" s="3" customFormat="1" ht="13.2" x14ac:dyDescent="0.25">
      <c r="B2512" s="80" t="str">
        <f>IF('1. INTRO'!I$2="English",(IF('6. OPERATION'!AS$150&gt;0,"Operating","")),IF('6. OPERATION'!AS$150&gt;0,"Drift",""))</f>
        <v/>
      </c>
      <c r="C2512" s="135">
        <f>SUMIF('6. OPERATION'!$B$17:$B$149,$C2498,'6. OPERATION'!AI$17:AI$149)</f>
        <v>0</v>
      </c>
      <c r="D2512" s="135">
        <f>SUMIF('6. OPERATION'!$B$17:$B$149,$C2498,'6. OPERATION'!AJ$17:AJ$149)</f>
        <v>0</v>
      </c>
      <c r="E2512" s="135">
        <f>SUMIF('6. OPERATION'!$B$17:$B$149,$C2498,'6. OPERATION'!AK$17:AK$149)</f>
        <v>0</v>
      </c>
      <c r="F2512" s="135">
        <f>SUMIF('6. OPERATION'!$B$17:$B$149,$C2498,'6. OPERATION'!AL$17:AL$149)</f>
        <v>0</v>
      </c>
      <c r="G2512" s="135">
        <f>SUMIF('6. OPERATION'!$B$17:$B$149,$C2498,'6. OPERATION'!AM$17:AM$149)</f>
        <v>0</v>
      </c>
      <c r="H2512" s="135">
        <f>SUMIF('6. OPERATION'!$B$17:$B$149,$C2498,'6. OPERATION'!AN$17:AN$149)</f>
        <v>0</v>
      </c>
      <c r="I2512" s="135">
        <f>SUMIF('6. OPERATION'!$B$17:$B$149,$C2498,'6. OPERATION'!AO$17:AO$149)</f>
        <v>0</v>
      </c>
      <c r="J2512" s="135">
        <f>SUMIF('6. OPERATION'!$B$17:$B$149,$C2498,'6. OPERATION'!AP$17:AP$149)</f>
        <v>0</v>
      </c>
      <c r="K2512" s="135">
        <f>SUMIF('6. OPERATION'!$B$17:$B$149,$C2498,'6. OPERATION'!AQ$17:AQ$149)</f>
        <v>0</v>
      </c>
      <c r="L2512" s="135">
        <f>SUMIF('6. OPERATION'!$B$17:$B$149,$C2498,'6. OPERATION'!AR$17:AR$149)</f>
        <v>0</v>
      </c>
      <c r="M2512" s="117">
        <f t="shared" si="603"/>
        <v>0</v>
      </c>
    </row>
    <row r="2513" spans="2:15" s="3" customFormat="1" ht="13.2" x14ac:dyDescent="0.25">
      <c r="B2513" s="118" t="str">
        <f>IF('1. INTRO'!I$2="English",(IF('7. INVEST'!AS$50&gt;0,"Equipment","")),IF('7. INVEST'!AS$50&gt;0,"Utrustning",""))</f>
        <v/>
      </c>
      <c r="C2513" s="134">
        <f>SUMIF('7. INVEST'!$B$17:$B$49,$C2498,'7. INVEST'!AI$17:AI$49)</f>
        <v>0</v>
      </c>
      <c r="D2513" s="134">
        <f>SUMIF('7. INVEST'!$B$17:$B$49,$C2498,'7. INVEST'!AJ$17:AJ$49)</f>
        <v>0</v>
      </c>
      <c r="E2513" s="134">
        <f>SUMIF('7. INVEST'!$B$17:$B$49,$C2498,'7. INVEST'!AK$17:AK$49)</f>
        <v>0</v>
      </c>
      <c r="F2513" s="134">
        <f>SUMIF('7. INVEST'!$B$17:$B$49,$C2498,'7. INVEST'!AL$17:AL$49)</f>
        <v>0</v>
      </c>
      <c r="G2513" s="134">
        <f>SUMIF('7. INVEST'!$B$17:$B$49,$C2498,'7. INVEST'!AM$17:AM$49)</f>
        <v>0</v>
      </c>
      <c r="H2513" s="134">
        <f>SUMIF('7. INVEST'!$B$17:$B$49,$C2498,'7. INVEST'!AN$17:AN$49)</f>
        <v>0</v>
      </c>
      <c r="I2513" s="134">
        <f>SUMIF('7. INVEST'!$B$17:$B$49,$C2498,'7. INVEST'!AO$17:AO$49)</f>
        <v>0</v>
      </c>
      <c r="J2513" s="134">
        <f>SUMIF('7. INVEST'!$B$17:$B$49,$C2498,'7. INVEST'!AP$17:AP$49)</f>
        <v>0</v>
      </c>
      <c r="K2513" s="134">
        <f>SUMIF('7. INVEST'!$B$17:$B$49,$C2498,'7. INVEST'!AQ$17:AQ$49)</f>
        <v>0</v>
      </c>
      <c r="L2513" s="134">
        <f>SUMIF('7. INVEST'!$B$17:$B$49,$C2498,'7. INVEST'!AR$17:AR$49)</f>
        <v>0</v>
      </c>
      <c r="M2513" s="120">
        <f t="shared" si="603"/>
        <v>0</v>
      </c>
    </row>
    <row r="2514" spans="2:15" s="3" customFormat="1" ht="13.2" x14ac:dyDescent="0.25">
      <c r="B2514" s="121" t="str">
        <f>IF('1. INTRO'!I$2="English",(IF('8. FACILIT'!AP$51&gt;0,"Facility","")),IF('8. FACILIT'!AP$51&gt;0,"Lokal",""))</f>
        <v/>
      </c>
      <c r="C2514" s="135">
        <f>SUMIF('5. PERSON'!$B$17:$B$192,$C2498,'5. PERSON'!DB$17:DB$192)+SUMIF('6. OPERATION'!$B$17:$B$149,$C2498,'6. OPERATION'!CE$17:CE$149)+SUMIF('8. FACILIT'!$B$18:$B$50,$C2498,'8. FACILIT'!AF$18:AF$50)</f>
        <v>0</v>
      </c>
      <c r="D2514" s="135">
        <f>SUMIF('5. PERSON'!$B$17:$B$192,$C2498,'5. PERSON'!DC$17:DC$192)+SUMIF('6. OPERATION'!$B$17:$B$149,$C2498,'6. OPERATION'!CF$17:CF$149)+SUMIF('8. FACILIT'!$B$18:$B$50,$C2498,'8. FACILIT'!AG$18:AG$50)</f>
        <v>0</v>
      </c>
      <c r="E2514" s="135">
        <f>SUMIF('5. PERSON'!$B$17:$B$192,$C2498,'5. PERSON'!DD$17:DD$192)+SUMIF('6. OPERATION'!$B$17:$B$149,$C2498,'6. OPERATION'!CG$17:CG$149)+SUMIF('8. FACILIT'!$B$18:$B$50,$C2498,'8. FACILIT'!AH$18:AH$50)</f>
        <v>0</v>
      </c>
      <c r="F2514" s="135">
        <f>SUMIF('5. PERSON'!$B$17:$B$192,$C2498,'5. PERSON'!DE$17:DE$192)+SUMIF('6. OPERATION'!$B$17:$B$149,$C2498,'6. OPERATION'!CH$17:CH$149)+SUMIF('8. FACILIT'!$B$18:$B$50,$C2498,'8. FACILIT'!AI$18:AI$50)</f>
        <v>0</v>
      </c>
      <c r="G2514" s="135">
        <f>SUMIF('5. PERSON'!$B$17:$B$192,$C2498,'5. PERSON'!DF$17:DF$192)+SUMIF('6. OPERATION'!$B$17:$B$149,$C2498,'6. OPERATION'!CI$17:CI$149)+SUMIF('8. FACILIT'!$B$18:$B$50,$C2498,'8. FACILIT'!AJ$18:AJ$50)</f>
        <v>0</v>
      </c>
      <c r="H2514" s="135">
        <f>SUMIF('5. PERSON'!$B$17:$B$192,$C2498,'5. PERSON'!DG$17:DG$192)+SUMIF('6. OPERATION'!$B$17:$B$149,$C2498,'6. OPERATION'!CJ$17:CJ$149)+SUMIF('8. FACILIT'!$B$18:$B$50,$C2498,'8. FACILIT'!AK$18:AK$50)</f>
        <v>0</v>
      </c>
      <c r="I2514" s="135">
        <f>SUMIF('5. PERSON'!$B$17:$B$192,$C2498,'5. PERSON'!DH$17:DH$192)+SUMIF('6. OPERATION'!$B$17:$B$149,$C2498,'6. OPERATION'!CK$17:CK$149)+SUMIF('8. FACILIT'!$B$18:$B$50,$C2498,'8. FACILIT'!AL$18:AL$50)</f>
        <v>0</v>
      </c>
      <c r="J2514" s="135">
        <f>SUMIF('5. PERSON'!$B$17:$B$192,$C2498,'5. PERSON'!DI$17:DI$192)+SUMIF('6. OPERATION'!$B$17:$B$149,$C2498,'6. OPERATION'!CL$17:CL$149)+SUMIF('8. FACILIT'!$B$18:$B$50,$C2498,'8. FACILIT'!AM$18:AM$50)</f>
        <v>0</v>
      </c>
      <c r="K2514" s="135">
        <f>SUMIF('5. PERSON'!$B$17:$B$192,$C2498,'5. PERSON'!DJ$17:DJ$192)+SUMIF('6. OPERATION'!$B$17:$B$149,$C2498,'6. OPERATION'!CM$17:CM$149)+SUMIF('8. FACILIT'!$B$18:$B$50,$C2498,'8. FACILIT'!AN$18:AN$50)</f>
        <v>0</v>
      </c>
      <c r="L2514" s="135">
        <f>SUMIF('5. PERSON'!$B$17:$B$192,$C2498,'5. PERSON'!DK$17:DK$192)+SUMIF('6. OPERATION'!$B$17:$B$149,$C2498,'6. OPERATION'!CN$17:CN$149)+SUMIF('8. FACILIT'!$B$18:$B$50,$C2498,'8. FACILIT'!AO$18:AO$50)</f>
        <v>0</v>
      </c>
      <c r="M2514" s="117">
        <f t="shared" si="603"/>
        <v>0</v>
      </c>
    </row>
    <row r="2515" spans="2:15" s="1" customFormat="1" ht="13.2" x14ac:dyDescent="0.25">
      <c r="B2515" s="122" t="str">
        <f>IF('1. INTRO'!I$2="English",(IF(('5. PERSON'!CN$193+'6. OPERATION'!BQ$150)&gt;0,"Indirect","")),IF(('5. PERSON'!CN$193+'6. OPERATION'!BQ$150)&gt;0,"Indirekt",""))</f>
        <v/>
      </c>
      <c r="C2515" s="107">
        <f>SUMIF('5. PERSON'!$B$17:$B$192,$C2498,'5. PERSON'!CD$17:CD$192)+SUMIF('6. OPERATION'!$B$17:$B$149,$C2498,'6. OPERATION'!BG$17:BG$149)</f>
        <v>0</v>
      </c>
      <c r="D2515" s="107">
        <f>SUMIF('5. PERSON'!$B$17:$B$192,$C2498,'5. PERSON'!CE$17:CE$192)+SUMIF('6. OPERATION'!$B$17:$B$149,$C2498,'6. OPERATION'!BH$17:BH$149)</f>
        <v>0</v>
      </c>
      <c r="E2515" s="107">
        <f>SUMIF('5. PERSON'!$B$17:$B$192,$C2498,'5. PERSON'!CF$17:CF$192)+SUMIF('6. OPERATION'!$B$17:$B$149,$C2498,'6. OPERATION'!BI$17:BI$149)</f>
        <v>0</v>
      </c>
      <c r="F2515" s="107">
        <f>SUMIF('5. PERSON'!$B$17:$B$192,$C2498,'5. PERSON'!CG$17:CG$192)+SUMIF('6. OPERATION'!$B$17:$B$149,$C2498,'6. OPERATION'!BJ$17:BJ$149)</f>
        <v>0</v>
      </c>
      <c r="G2515" s="107">
        <f>SUMIF('5. PERSON'!$B$17:$B$192,$C2498,'5. PERSON'!CH$17:CH$192)+SUMIF('6. OPERATION'!$B$17:$B$149,$C2498,'6. OPERATION'!BK$17:BK$149)</f>
        <v>0</v>
      </c>
      <c r="H2515" s="107">
        <f>SUMIF('5. PERSON'!$B$17:$B$192,$C2498,'5. PERSON'!CI$17:CI$192)+SUMIF('6. OPERATION'!$B$17:$B$149,$C2498,'6. OPERATION'!BL$17:BL$149)</f>
        <v>0</v>
      </c>
      <c r="I2515" s="107">
        <f>SUMIF('5. PERSON'!$B$17:$B$192,$C2498,'5. PERSON'!CJ$17:CJ$192)+SUMIF('6. OPERATION'!$B$17:$B$149,$C2498,'6. OPERATION'!BM$17:BM$149)</f>
        <v>0</v>
      </c>
      <c r="J2515" s="107">
        <f>SUMIF('5. PERSON'!$B$17:$B$192,$C2498,'5. PERSON'!CK$17:CK$192)+SUMIF('6. OPERATION'!$B$17:$B$149,$C2498,'6. OPERATION'!BN$17:BN$149)</f>
        <v>0</v>
      </c>
      <c r="K2515" s="107">
        <f>SUMIF('5. PERSON'!$B$17:$B$192,$C2498,'5. PERSON'!CL$17:CL$192)+SUMIF('6. OPERATION'!$B$17:$B$149,$C2498,'6. OPERATION'!BO$17:BO$149)</f>
        <v>0</v>
      </c>
      <c r="L2515" s="107">
        <f>SUMIF('5. PERSON'!$B$17:$B$192,$C2498,'5. PERSON'!CM$17:CM$192)+SUMIF('6. OPERATION'!$B$17:$B$149,$C2498,'6. OPERATION'!BP$17:BP$149)</f>
        <v>0</v>
      </c>
      <c r="M2515" s="123">
        <f t="shared" si="603"/>
        <v>0</v>
      </c>
    </row>
    <row r="2516" spans="2:15" s="3" customFormat="1" ht="13.2" x14ac:dyDescent="0.25">
      <c r="B2516" s="124" t="s">
        <v>113</v>
      </c>
      <c r="C2516" s="102">
        <f>SUM(C2509:C2515)</f>
        <v>0</v>
      </c>
      <c r="D2516" s="102">
        <f t="shared" ref="D2516:L2516" si="604">SUM(D2509:D2515)</f>
        <v>0</v>
      </c>
      <c r="E2516" s="102">
        <f t="shared" si="604"/>
        <v>0</v>
      </c>
      <c r="F2516" s="102">
        <f t="shared" si="604"/>
        <v>0</v>
      </c>
      <c r="G2516" s="102">
        <f t="shared" si="604"/>
        <v>0</v>
      </c>
      <c r="H2516" s="102">
        <f t="shared" si="604"/>
        <v>0</v>
      </c>
      <c r="I2516" s="102">
        <f t="shared" si="604"/>
        <v>0</v>
      </c>
      <c r="J2516" s="102">
        <f t="shared" si="604"/>
        <v>0</v>
      </c>
      <c r="K2516" s="102">
        <f t="shared" si="604"/>
        <v>0</v>
      </c>
      <c r="L2516" s="102">
        <f t="shared" si="604"/>
        <v>0</v>
      </c>
      <c r="M2516" s="125">
        <f t="shared" ref="M2516" si="605">SUM(M2509:M2515)</f>
        <v>0</v>
      </c>
      <c r="N2516" s="23"/>
      <c r="O2516" s="23"/>
    </row>
    <row r="2517" spans="2:15" s="3" customFormat="1" ht="6" customHeight="1" x14ac:dyDescent="0.25">
      <c r="B2517" s="136"/>
      <c r="C2517" s="127"/>
      <c r="D2517" s="127"/>
      <c r="E2517" s="127"/>
      <c r="F2517" s="127"/>
      <c r="G2517" s="127"/>
      <c r="H2517" s="127"/>
      <c r="I2517" s="127"/>
      <c r="J2517" s="127"/>
      <c r="K2517" s="127"/>
      <c r="L2517" s="127"/>
      <c r="M2517" s="137"/>
    </row>
    <row r="2518" spans="2:15" s="3" customFormat="1" ht="13.2" x14ac:dyDescent="0.25">
      <c r="B2518" s="129" t="str">
        <f>IF('1. INTRO'!I$2="English","Full cost","Full kostnad")</f>
        <v>Full cost</v>
      </c>
      <c r="C2518" s="127"/>
      <c r="D2518" s="127"/>
      <c r="E2518" s="127"/>
      <c r="F2518" s="127"/>
      <c r="G2518" s="127"/>
      <c r="H2518" s="127"/>
      <c r="I2518" s="127"/>
      <c r="J2518" s="127"/>
      <c r="K2518" s="127"/>
      <c r="L2518" s="127"/>
      <c r="M2518" s="137"/>
    </row>
    <row r="2519" spans="2:15" s="3" customFormat="1" ht="13.2" x14ac:dyDescent="0.25">
      <c r="B2519" s="113" t="str">
        <f>IF('1. INTRO'!I$2="English","Salary including social costs (LKP)","Lön inklusive LKP")</f>
        <v>Salary including social costs (LKP)</v>
      </c>
      <c r="C2519" s="138">
        <f>C2501+C2510+C2511</f>
        <v>0</v>
      </c>
      <c r="D2519" s="138">
        <f t="shared" ref="D2519:L2519" si="606">D2501+D2510+D2511</f>
        <v>0</v>
      </c>
      <c r="E2519" s="138">
        <f t="shared" si="606"/>
        <v>0</v>
      </c>
      <c r="F2519" s="138">
        <f t="shared" si="606"/>
        <v>0</v>
      </c>
      <c r="G2519" s="138">
        <f t="shared" si="606"/>
        <v>0</v>
      </c>
      <c r="H2519" s="138">
        <f t="shared" si="606"/>
        <v>0</v>
      </c>
      <c r="I2519" s="138">
        <f t="shared" si="606"/>
        <v>0</v>
      </c>
      <c r="J2519" s="138">
        <f t="shared" si="606"/>
        <v>0</v>
      </c>
      <c r="K2519" s="138">
        <f t="shared" si="606"/>
        <v>0</v>
      </c>
      <c r="L2519" s="138">
        <f t="shared" si="606"/>
        <v>0</v>
      </c>
      <c r="M2519" s="115">
        <f>SUM(C2519:L2519)</f>
        <v>0</v>
      </c>
    </row>
    <row r="2520" spans="2:15" s="3" customFormat="1" ht="13.2" x14ac:dyDescent="0.25">
      <c r="B2520" s="80" t="str">
        <f>IF('1. INTRO'!I$2="English","Operating","Drift")</f>
        <v>Operating</v>
      </c>
      <c r="C2520" s="139">
        <f>C2502+C2512</f>
        <v>0</v>
      </c>
      <c r="D2520" s="139">
        <f t="shared" ref="D2520:L2520" si="607">D2502+D2512</f>
        <v>0</v>
      </c>
      <c r="E2520" s="139">
        <f t="shared" si="607"/>
        <v>0</v>
      </c>
      <c r="F2520" s="139">
        <f t="shared" si="607"/>
        <v>0</v>
      </c>
      <c r="G2520" s="139">
        <f t="shared" si="607"/>
        <v>0</v>
      </c>
      <c r="H2520" s="139">
        <f t="shared" si="607"/>
        <v>0</v>
      </c>
      <c r="I2520" s="139">
        <f t="shared" si="607"/>
        <v>0</v>
      </c>
      <c r="J2520" s="139">
        <f t="shared" si="607"/>
        <v>0</v>
      </c>
      <c r="K2520" s="139">
        <f t="shared" si="607"/>
        <v>0</v>
      </c>
      <c r="L2520" s="139">
        <f t="shared" si="607"/>
        <v>0</v>
      </c>
      <c r="M2520" s="117">
        <f>SUM(C2520:L2520)</f>
        <v>0</v>
      </c>
    </row>
    <row r="2521" spans="2:15" s="3" customFormat="1" ht="13.2" x14ac:dyDescent="0.25">
      <c r="B2521" s="118" t="str">
        <f>IF('1. INTRO'!I$2="English","Equipment","Utrustning")</f>
        <v>Equipment</v>
      </c>
      <c r="C2521" s="140">
        <f>C2503+C2513</f>
        <v>0</v>
      </c>
      <c r="D2521" s="140">
        <f t="shared" ref="D2521:L2521" si="608">D2503+D2513</f>
        <v>0</v>
      </c>
      <c r="E2521" s="140">
        <f t="shared" si="608"/>
        <v>0</v>
      </c>
      <c r="F2521" s="140">
        <f t="shared" si="608"/>
        <v>0</v>
      </c>
      <c r="G2521" s="140">
        <f t="shared" si="608"/>
        <v>0</v>
      </c>
      <c r="H2521" s="140">
        <f t="shared" si="608"/>
        <v>0</v>
      </c>
      <c r="I2521" s="140">
        <f t="shared" si="608"/>
        <v>0</v>
      </c>
      <c r="J2521" s="140">
        <f t="shared" si="608"/>
        <v>0</v>
      </c>
      <c r="K2521" s="140">
        <f t="shared" si="608"/>
        <v>0</v>
      </c>
      <c r="L2521" s="140">
        <f t="shared" si="608"/>
        <v>0</v>
      </c>
      <c r="M2521" s="120">
        <f>SUM(C2521:L2521)</f>
        <v>0</v>
      </c>
    </row>
    <row r="2522" spans="2:15" s="3" customFormat="1" ht="13.2" x14ac:dyDescent="0.25">
      <c r="B2522" s="80" t="str">
        <f>IF('1. INTRO'!I$2="English","Facility","Lokal")</f>
        <v>Facility</v>
      </c>
      <c r="C2522" s="139">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39">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39">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39">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39">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39">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39">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39">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39">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39">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117">
        <f>SUM(C2522:L2522)</f>
        <v>0</v>
      </c>
    </row>
    <row r="2523" spans="2:15" s="3" customFormat="1" ht="13.2" x14ac:dyDescent="0.25">
      <c r="B2523" s="601" t="str">
        <f>IF('1. INTRO'!I$2="English","Indirect","Indirekt")</f>
        <v>Indirect</v>
      </c>
      <c r="C2523" s="141">
        <f>SUMIF('5. PERSON'!$B$17:$B$192,$C2498,'5. PERSON'!BR$17:BR$192)+SUMIF('5. PERSON'!$B$17:$B$192,$C2498,'5. PERSON'!CD$17:CD$192)+SUMIF('6. OPERATION'!$B$17:$B$149,$C2498,'6. OPERATION'!AU$17:AU$149)+SUMIF('6. OPERATION'!$B$17:$B$149,$C2498,'6. OPERATION'!BG$17:BG$149)</f>
        <v>0</v>
      </c>
      <c r="D2523" s="141">
        <f>SUMIF('5. PERSON'!$B$17:$B$192,$C2498,'5. PERSON'!BS$17:BS$192)+SUMIF('5. PERSON'!$B$17:$B$192,$C2498,'5. PERSON'!CE$17:CE$192)+SUMIF('6. OPERATION'!$B$17:$B$149,$C2498,'6. OPERATION'!AV$17:AV$149)+SUMIF('6. OPERATION'!$B$17:$B$149,$C2498,'6. OPERATION'!BH$17:BH$149)</f>
        <v>0</v>
      </c>
      <c r="E2523" s="141">
        <f>SUMIF('5. PERSON'!$B$17:$B$192,$C2498,'5. PERSON'!BT$17:BT$192)+SUMIF('5. PERSON'!$B$17:$B$192,$C2498,'5. PERSON'!CF$17:CF$192)+SUMIF('6. OPERATION'!$B$17:$B$149,$C2498,'6. OPERATION'!AW$17:AW$149)+SUMIF('6. OPERATION'!$B$17:$B$149,$C2498,'6. OPERATION'!BI$17:BI$149)</f>
        <v>0</v>
      </c>
      <c r="F2523" s="141">
        <f>SUMIF('5. PERSON'!$B$17:$B$192,$C2498,'5. PERSON'!BU$17:BU$192)+SUMIF('5. PERSON'!$B$17:$B$192,$C2498,'5. PERSON'!CG$17:CG$192)+SUMIF('6. OPERATION'!$B$17:$B$149,$C2498,'6. OPERATION'!AX$17:AX$149)+SUMIF('6. OPERATION'!$B$17:$B$149,$C2498,'6. OPERATION'!BJ$17:BJ$149)</f>
        <v>0</v>
      </c>
      <c r="G2523" s="141">
        <f>SUMIF('5. PERSON'!$B$17:$B$192,$C2498,'5. PERSON'!BV$17:BV$192)+SUMIF('5. PERSON'!$B$17:$B$192,$C2498,'5. PERSON'!CH$17:CH$192)+SUMIF('6. OPERATION'!$B$17:$B$149,$C2498,'6. OPERATION'!AY$17:AY$149)+SUMIF('6. OPERATION'!$B$17:$B$149,$C2498,'6. OPERATION'!BK$17:BK$149)</f>
        <v>0</v>
      </c>
      <c r="H2523" s="141">
        <f>SUMIF('5. PERSON'!$B$17:$B$192,$C2498,'5. PERSON'!BW$17:BW$192)+SUMIF('5. PERSON'!$B$17:$B$192,$C2498,'5. PERSON'!CI$17:CI$192)+SUMIF('6. OPERATION'!$B$17:$B$149,$C2498,'6. OPERATION'!AZ$17:AZ$149)+SUMIF('6. OPERATION'!$B$17:$B$149,$C2498,'6. OPERATION'!BL$17:BL$149)</f>
        <v>0</v>
      </c>
      <c r="I2523" s="141">
        <f>SUMIF('5. PERSON'!$B$17:$B$192,$C2498,'5. PERSON'!BX$17:BX$192)+SUMIF('5. PERSON'!$B$17:$B$192,$C2498,'5. PERSON'!CJ$17:CJ$192)+SUMIF('6. OPERATION'!$B$17:$B$149,$C2498,'6. OPERATION'!BA$17:BA$149)+SUMIF('6. OPERATION'!$B$17:$B$149,$C2498,'6. OPERATION'!BM$17:BM$149)</f>
        <v>0</v>
      </c>
      <c r="J2523" s="141">
        <f>SUMIF('5. PERSON'!$B$17:$B$192,$C2498,'5. PERSON'!BY$17:BY$192)+SUMIF('5. PERSON'!$B$17:$B$192,$C2498,'5. PERSON'!CK$17:CK$192)+SUMIF('6. OPERATION'!$B$17:$B$149,$C2498,'6. OPERATION'!BB$17:BB$149)+SUMIF('6. OPERATION'!$B$17:$B$149,$C2498,'6. OPERATION'!BN$17:BN$149)</f>
        <v>0</v>
      </c>
      <c r="K2523" s="141">
        <f>SUMIF('5. PERSON'!$B$17:$B$192,$C2498,'5. PERSON'!BZ$17:BZ$192)+SUMIF('5. PERSON'!$B$17:$B$192,$C2498,'5. PERSON'!CL$17:CL$192)+SUMIF('6. OPERATION'!$B$17:$B$149,$C2498,'6. OPERATION'!BC$17:BC$149)+SUMIF('6. OPERATION'!$B$17:$B$149,$C2498,'6. OPERATION'!BO$17:BO$149)</f>
        <v>0</v>
      </c>
      <c r="L2523" s="141">
        <f>SUMIF('5. PERSON'!$B$17:$B$192,$C2498,'5. PERSON'!CA$17:CA$192)+SUMIF('5. PERSON'!$B$17:$B$192,$C2498,'5. PERSON'!CM$17:CM$192)+SUMIF('6. OPERATION'!$B$17:$B$149,$C2498,'6. OPERATION'!BD$17:BD$149)+SUMIF('6. OPERATION'!$B$17:$B$149,$C2498,'6. OPERATION'!BP$17:BP$149)</f>
        <v>0</v>
      </c>
      <c r="M2523" s="123">
        <f>SUM(C2523:L2523)</f>
        <v>0</v>
      </c>
    </row>
    <row r="2524" spans="2:15" s="3" customFormat="1" ht="13.2" x14ac:dyDescent="0.25">
      <c r="B2524" s="124" t="s">
        <v>113</v>
      </c>
      <c r="C2524" s="88">
        <f>SUM(C2519:C2523)</f>
        <v>0</v>
      </c>
      <c r="D2524" s="88">
        <f t="shared" ref="D2524:M2524" si="609">SUM(D2519:D2523)</f>
        <v>0</v>
      </c>
      <c r="E2524" s="88">
        <f t="shared" si="609"/>
        <v>0</v>
      </c>
      <c r="F2524" s="88">
        <f t="shared" si="609"/>
        <v>0</v>
      </c>
      <c r="G2524" s="88">
        <f t="shared" si="609"/>
        <v>0</v>
      </c>
      <c r="H2524" s="88">
        <f t="shared" si="609"/>
        <v>0</v>
      </c>
      <c r="I2524" s="88">
        <f t="shared" si="609"/>
        <v>0</v>
      </c>
      <c r="J2524" s="88">
        <f t="shared" si="609"/>
        <v>0</v>
      </c>
      <c r="K2524" s="88">
        <f t="shared" si="609"/>
        <v>0</v>
      </c>
      <c r="L2524" s="88">
        <f t="shared" si="609"/>
        <v>0</v>
      </c>
      <c r="M2524" s="142">
        <f t="shared" si="609"/>
        <v>0</v>
      </c>
    </row>
    <row r="2525" spans="2:15" s="3" customFormat="1" ht="13.2" x14ac:dyDescent="0.25">
      <c r="B2525" s="287"/>
      <c r="C2525" s="37"/>
      <c r="D2525" s="37"/>
      <c r="E2525" s="37"/>
      <c r="F2525" s="37"/>
      <c r="G2525" s="37"/>
      <c r="H2525" s="37"/>
      <c r="I2525" s="37"/>
      <c r="J2525" s="37"/>
      <c r="K2525" s="37"/>
      <c r="L2525" s="37"/>
      <c r="M2525" s="37"/>
    </row>
    <row r="2526" spans="2:15" s="3" customFormat="1" ht="12.75" customHeight="1" x14ac:dyDescent="0.25">
      <c r="B2526" s="656" t="str">
        <f>IF('1. INTRO'!I$2="English","Co-funding share in full cost ","Medfinansieringsandel i full kostnad ")</f>
        <v xml:space="preserve">Co-funding share in full cost </v>
      </c>
      <c r="C2526" s="143" t="str">
        <f t="shared" ref="C2526:M2526" si="610">IF(C2524&gt;0,C2516/C2524,"")</f>
        <v/>
      </c>
      <c r="D2526" s="143" t="str">
        <f t="shared" si="610"/>
        <v/>
      </c>
      <c r="E2526" s="143" t="str">
        <f t="shared" si="610"/>
        <v/>
      </c>
      <c r="F2526" s="143" t="str">
        <f t="shared" si="610"/>
        <v/>
      </c>
      <c r="G2526" s="143" t="str">
        <f t="shared" si="610"/>
        <v/>
      </c>
      <c r="H2526" s="143" t="str">
        <f t="shared" si="610"/>
        <v/>
      </c>
      <c r="I2526" s="143" t="str">
        <f t="shared" si="610"/>
        <v/>
      </c>
      <c r="J2526" s="143" t="str">
        <f t="shared" si="610"/>
        <v/>
      </c>
      <c r="K2526" s="143" t="str">
        <f t="shared" si="610"/>
        <v/>
      </c>
      <c r="L2526" s="143" t="str">
        <f t="shared" si="610"/>
        <v/>
      </c>
      <c r="M2526" s="143" t="str">
        <f t="shared" si="610"/>
        <v/>
      </c>
    </row>
    <row r="2527" spans="2:15" ht="12.75" customHeight="1" x14ac:dyDescent="0.2"/>
    <row r="2528" spans="2:15" ht="12.75" customHeight="1" x14ac:dyDescent="0.25">
      <c r="D2528" s="676" t="str">
        <f>IF('1. INTRO'!I$2="English","Co-funding need in average per year: ","Medfinansieringsbehov i genomsnitt per år: ")</f>
        <v xml:space="preserve">Co-funding need in average per year: </v>
      </c>
      <c r="E2528" s="92" t="str">
        <f>IF(M2516=0,"",M2516/(DATEDIF('2. START'!C$18,'2. START'!C$19,"d")/365))</f>
        <v/>
      </c>
      <c r="H2528" s="676" t="str">
        <f>IF('1. INTRO'!I$2="English","Co-funding need 1/3 of total: ","Medfinansieringsbehov 1/3 av totalt: ")</f>
        <v xml:space="preserve">Co-funding need 1/3 of total: </v>
      </c>
      <c r="I2528" s="92">
        <f>M2516/3</f>
        <v>0</v>
      </c>
      <c r="L2528" s="287" t="str">
        <f>IF('1. INTRO'!I$2="English","Co-funding need total: ","Medfinansieringsbehov totalt: ")</f>
        <v xml:space="preserve">Co-funding need total: </v>
      </c>
      <c r="M2528" s="92">
        <f>M2516</f>
        <v>0</v>
      </c>
    </row>
    <row r="2529" spans="2:13" ht="12.75" customHeight="1" x14ac:dyDescent="0.25">
      <c r="B2529" s="53" t="str">
        <f>IF('1. INTRO'!I$2="English","Co-funding sources","Medfinansieringskällor")</f>
        <v>Co-funding sources</v>
      </c>
    </row>
    <row r="2530" spans="2:13" ht="12.75" customHeight="1" x14ac:dyDescent="0.25">
      <c r="B2530" s="225"/>
      <c r="C2530" s="226"/>
      <c r="D2530" s="226"/>
      <c r="E2530" s="226"/>
      <c r="F2530" s="226"/>
      <c r="G2530" s="226"/>
      <c r="H2530" s="226"/>
      <c r="I2530" s="226"/>
      <c r="J2530" s="226"/>
      <c r="K2530" s="226"/>
      <c r="L2530" s="227"/>
      <c r="M2530" s="168">
        <f>SUM(C2530:L2530)</f>
        <v>0</v>
      </c>
    </row>
    <row r="2531" spans="2:13" ht="12.75" customHeight="1" x14ac:dyDescent="0.25">
      <c r="B2531" s="228"/>
      <c r="C2531" s="229"/>
      <c r="D2531" s="229"/>
      <c r="E2531" s="229"/>
      <c r="F2531" s="229"/>
      <c r="G2531" s="229"/>
      <c r="H2531" s="229"/>
      <c r="I2531" s="229"/>
      <c r="J2531" s="229"/>
      <c r="K2531" s="229"/>
      <c r="L2531" s="230"/>
      <c r="M2531" s="120">
        <f t="shared" ref="M2531:M2534" si="611">SUM(C2531:L2531)</f>
        <v>0</v>
      </c>
    </row>
    <row r="2532" spans="2:13" ht="12.75" customHeight="1" x14ac:dyDescent="0.25">
      <c r="B2532" s="231"/>
      <c r="C2532" s="232"/>
      <c r="D2532" s="232"/>
      <c r="E2532" s="232"/>
      <c r="F2532" s="232"/>
      <c r="G2532" s="232"/>
      <c r="H2532" s="232"/>
      <c r="I2532" s="232"/>
      <c r="J2532" s="232"/>
      <c r="K2532" s="232"/>
      <c r="L2532" s="233"/>
      <c r="M2532" s="117">
        <f t="shared" si="611"/>
        <v>0</v>
      </c>
    </row>
    <row r="2533" spans="2:13" ht="12.75" customHeight="1" x14ac:dyDescent="0.25">
      <c r="B2533" s="228"/>
      <c r="C2533" s="229"/>
      <c r="D2533" s="229"/>
      <c r="E2533" s="229"/>
      <c r="F2533" s="229"/>
      <c r="G2533" s="229"/>
      <c r="H2533" s="229"/>
      <c r="I2533" s="229"/>
      <c r="J2533" s="229"/>
      <c r="K2533" s="229"/>
      <c r="L2533" s="230"/>
      <c r="M2533" s="120">
        <f t="shared" si="611"/>
        <v>0</v>
      </c>
    </row>
    <row r="2534" spans="2:13" ht="12.75" customHeight="1" x14ac:dyDescent="0.25">
      <c r="B2534" s="93"/>
      <c r="C2534" s="232"/>
      <c r="D2534" s="232"/>
      <c r="E2534" s="232"/>
      <c r="F2534" s="232"/>
      <c r="G2534" s="232"/>
      <c r="H2534" s="232"/>
      <c r="I2534" s="232"/>
      <c r="J2534" s="232"/>
      <c r="K2534" s="232"/>
      <c r="L2534" s="233"/>
      <c r="M2534" s="117">
        <f t="shared" si="611"/>
        <v>0</v>
      </c>
    </row>
    <row r="2535" spans="2:13" ht="12.75" customHeight="1" x14ac:dyDescent="0.25">
      <c r="B2535" s="84" t="str">
        <f>IF('1. INTRO'!I$2="English","Total co-funding ","Total medfinansiering ")</f>
        <v xml:space="preserve">Total co-funding </v>
      </c>
      <c r="C2535" s="87">
        <f t="shared" ref="C2535:M2535" si="612">SUM(C2530:C2534)</f>
        <v>0</v>
      </c>
      <c r="D2535" s="87">
        <f t="shared" si="612"/>
        <v>0</v>
      </c>
      <c r="E2535" s="87">
        <f t="shared" si="612"/>
        <v>0</v>
      </c>
      <c r="F2535" s="87">
        <f t="shared" si="612"/>
        <v>0</v>
      </c>
      <c r="G2535" s="87">
        <f t="shared" si="612"/>
        <v>0</v>
      </c>
      <c r="H2535" s="87">
        <f t="shared" si="612"/>
        <v>0</v>
      </c>
      <c r="I2535" s="87">
        <f t="shared" si="612"/>
        <v>0</v>
      </c>
      <c r="J2535" s="87">
        <f t="shared" si="612"/>
        <v>0</v>
      </c>
      <c r="K2535" s="87">
        <f t="shared" si="612"/>
        <v>0</v>
      </c>
      <c r="L2535" s="87">
        <f t="shared" si="612"/>
        <v>0</v>
      </c>
      <c r="M2535" s="142">
        <f t="shared" si="612"/>
        <v>0</v>
      </c>
    </row>
    <row r="2536" spans="2:13" ht="12.75" customHeight="1" x14ac:dyDescent="0.2"/>
    <row r="2537" spans="2:13" ht="12.75" customHeight="1" x14ac:dyDescent="0.2">
      <c r="B2537" s="667" t="str">
        <f>IF('1. INTRO'!I$2="English","Calculation comments","Kalkylkommentarer")</f>
        <v>Calculation comments</v>
      </c>
      <c r="C2537" s="37" t="str">
        <f>B63</f>
        <v/>
      </c>
    </row>
    <row r="2538" spans="2:13" ht="12.75" customHeight="1" x14ac:dyDescent="0.2">
      <c r="B2538" s="1142"/>
      <c r="C2538" s="1143"/>
      <c r="D2538" s="1143"/>
      <c r="E2538" s="1143"/>
      <c r="F2538" s="1143"/>
      <c r="G2538" s="1143"/>
      <c r="H2538" s="1143"/>
      <c r="I2538" s="1143"/>
      <c r="J2538" s="1143"/>
      <c r="K2538" s="1143"/>
      <c r="L2538" s="1143"/>
      <c r="M2538" s="1144"/>
    </row>
    <row r="2539" spans="2:13" ht="12.75" customHeight="1" x14ac:dyDescent="0.2">
      <c r="B2539" s="1145"/>
      <c r="C2539" s="1226"/>
      <c r="D2539" s="1226"/>
      <c r="E2539" s="1226"/>
      <c r="F2539" s="1226"/>
      <c r="G2539" s="1226"/>
      <c r="H2539" s="1226"/>
      <c r="I2539" s="1226"/>
      <c r="J2539" s="1226"/>
      <c r="K2539" s="1226"/>
      <c r="L2539" s="1226"/>
      <c r="M2539" s="1147"/>
    </row>
    <row r="2540" spans="2:13" ht="12.75" customHeight="1" x14ac:dyDescent="0.2">
      <c r="B2540" s="1145"/>
      <c r="C2540" s="1226"/>
      <c r="D2540" s="1226"/>
      <c r="E2540" s="1226"/>
      <c r="F2540" s="1226"/>
      <c r="G2540" s="1226"/>
      <c r="H2540" s="1226"/>
      <c r="I2540" s="1226"/>
      <c r="J2540" s="1226"/>
      <c r="K2540" s="1226"/>
      <c r="L2540" s="1226"/>
      <c r="M2540" s="1147"/>
    </row>
    <row r="2541" spans="2:13" ht="12.75" customHeight="1" x14ac:dyDescent="0.2">
      <c r="B2541" s="1145"/>
      <c r="C2541" s="1226"/>
      <c r="D2541" s="1226"/>
      <c r="E2541" s="1226"/>
      <c r="F2541" s="1226"/>
      <c r="G2541" s="1226"/>
      <c r="H2541" s="1226"/>
      <c r="I2541" s="1226"/>
      <c r="J2541" s="1226"/>
      <c r="K2541" s="1226"/>
      <c r="L2541" s="1226"/>
      <c r="M2541" s="1147"/>
    </row>
    <row r="2542" spans="2:13" ht="12.75" customHeight="1" x14ac:dyDescent="0.2">
      <c r="B2542" s="1148"/>
      <c r="C2542" s="1149"/>
      <c r="D2542" s="1149"/>
      <c r="E2542" s="1149"/>
      <c r="F2542" s="1149"/>
      <c r="G2542" s="1149"/>
      <c r="H2542" s="1149"/>
      <c r="I2542" s="1149"/>
      <c r="J2542" s="1149"/>
      <c r="K2542" s="1149"/>
      <c r="L2542" s="1149"/>
      <c r="M2542" s="1150"/>
    </row>
    <row r="2544" spans="2:13" s="3" customFormat="1" ht="12.75" customHeight="1" x14ac:dyDescent="0.25">
      <c r="B2544" s="313" t="str">
        <f>'3. PARTNER'!C$4</f>
        <v xml:space="preserve">Project: </v>
      </c>
      <c r="C2544" s="1062" t="str">
        <f>'3. PARTNER'!D$4</f>
        <v/>
      </c>
      <c r="D2544" s="1001"/>
      <c r="E2544" s="1001"/>
      <c r="F2544" s="1001"/>
      <c r="G2544" s="1001"/>
      <c r="H2544" s="1001"/>
      <c r="I2544" s="1001"/>
      <c r="J2544" s="1001"/>
      <c r="K2544" s="1001"/>
      <c r="L2544" s="1001"/>
      <c r="M2544" s="1001"/>
    </row>
    <row r="2545" spans="2:15" s="3" customFormat="1" ht="13.2" x14ac:dyDescent="0.25">
      <c r="B2545" s="313" t="str">
        <f>'3. PARTNER'!C$5</f>
        <v xml:space="preserve">Calculation for: </v>
      </c>
      <c r="C2545" s="1062" t="str">
        <f>'3. PARTNER'!D$5</f>
        <v>APPLICATION</v>
      </c>
      <c r="D2545" s="1001"/>
      <c r="E2545" s="268"/>
      <c r="F2545" s="268"/>
      <c r="G2545" s="268"/>
      <c r="H2545" s="268"/>
      <c r="I2545" s="268"/>
      <c r="J2545" s="268"/>
      <c r="K2545" s="268"/>
      <c r="L2545" s="268"/>
      <c r="M2545" s="268"/>
    </row>
    <row r="2546" spans="2:15" s="3" customFormat="1" ht="13.2" x14ac:dyDescent="0.25">
      <c r="B2546" s="35" t="str">
        <f>'3. PARTNER'!C$6</f>
        <v xml:space="preserve">Project leader: </v>
      </c>
      <c r="C2546" s="1062" t="str">
        <f>'3. PARTNER'!D$6</f>
        <v/>
      </c>
      <c r="D2546" s="1001"/>
      <c r="E2546" s="1001"/>
      <c r="F2546" s="1001"/>
      <c r="G2546" s="1001"/>
      <c r="H2546" s="1001"/>
      <c r="I2546" s="1001"/>
      <c r="J2546" s="1001"/>
      <c r="K2546" s="1001"/>
      <c r="L2546" s="1001"/>
      <c r="M2546" s="1001"/>
    </row>
    <row r="2547" spans="2:15" s="3" customFormat="1" ht="13.2" x14ac:dyDescent="0.25">
      <c r="B2547" s="313" t="str">
        <f>'5. PERSON'!B$7</f>
        <v xml:space="preserve">Amounts in: </v>
      </c>
      <c r="C2547" s="655" t="str">
        <f>'5. PERSON'!C$7</f>
        <v>SEK</v>
      </c>
      <c r="D2547" s="268"/>
      <c r="E2547" s="268"/>
      <c r="F2547" s="268"/>
      <c r="G2547" s="234"/>
      <c r="H2547" s="234"/>
      <c r="I2547" s="270"/>
      <c r="J2547" s="270"/>
      <c r="K2547" s="270"/>
      <c r="L2547" s="270"/>
      <c r="M2547" s="270"/>
    </row>
    <row r="2548" spans="2:15" s="3" customFormat="1" ht="13.2" x14ac:dyDescent="0.25">
      <c r="B2548" s="313"/>
      <c r="C2548" s="1053" t="str">
        <f>'3. PARTNER'!D$7</f>
        <v>Other basic data about the project is in sheet 2.</v>
      </c>
      <c r="D2548" s="1001"/>
      <c r="E2548" s="1001"/>
      <c r="F2548" s="1001"/>
      <c r="G2548" s="234"/>
      <c r="H2548" s="234"/>
      <c r="I2548" s="270"/>
      <c r="J2548" s="270"/>
      <c r="K2548" s="270"/>
      <c r="L2548" s="251" t="s">
        <v>4</v>
      </c>
      <c r="M2548" s="270"/>
    </row>
    <row r="2549" spans="2:15" ht="12.75" customHeight="1" x14ac:dyDescent="0.2">
      <c r="L2549" s="252" t="str">
        <f>IF('1. INTRO'!I$2="English","months","månader")</f>
        <v>months</v>
      </c>
    </row>
    <row r="2550" spans="2:15" s="3" customFormat="1" ht="13.8" x14ac:dyDescent="0.25">
      <c r="B2550" s="157" t="str">
        <f>IF('1. INTRO'!I$2="English","Project costs","Projektkostnader")</f>
        <v>Project costs</v>
      </c>
      <c r="C2550" s="668" t="str">
        <f>A64</f>
        <v>EXT106</v>
      </c>
      <c r="D2550" s="1227" t="str">
        <f>B64</f>
        <v/>
      </c>
      <c r="E2550" s="1001"/>
      <c r="F2550" s="1001"/>
      <c r="G2550" s="1001"/>
      <c r="H2550" s="1001"/>
      <c r="I2550" s="37"/>
      <c r="J2550" s="37"/>
      <c r="K2550" s="37"/>
      <c r="L2550" s="642">
        <f>SUMIF('5. PERSON'!$B$17:$B$192,$C2550,'5. PERSON'!AE$17:AE$192)</f>
        <v>0</v>
      </c>
      <c r="M2550" s="680" t="s">
        <v>330</v>
      </c>
    </row>
    <row r="2551" spans="2:15" s="3" customFormat="1" ht="6" customHeight="1" x14ac:dyDescent="0.25">
      <c r="B2551" s="57"/>
      <c r="C2551" s="37"/>
      <c r="D2551" s="37"/>
      <c r="E2551" s="37"/>
      <c r="F2551" s="37"/>
      <c r="G2551" s="37"/>
      <c r="H2551" s="37"/>
      <c r="I2551" s="37"/>
      <c r="J2551" s="37"/>
      <c r="K2551" s="37"/>
      <c r="L2551" s="37"/>
      <c r="M2551" s="37"/>
    </row>
    <row r="2552" spans="2:15" s="3" customFormat="1" ht="13.2" x14ac:dyDescent="0.25">
      <c r="B2552" s="110" t="str">
        <f>IF('1. INTRO'!I$2="English","Costs to be covered by funding body","Kostnader att täckas av finansiär")</f>
        <v>Costs to be covered by funding body</v>
      </c>
      <c r="C2552" s="111">
        <f>'5. PERSON'!G$15</f>
        <v>1900</v>
      </c>
      <c r="D2552" s="111" t="str">
        <f>'5. PERSON'!H$15</f>
        <v/>
      </c>
      <c r="E2552" s="111" t="str">
        <f>'5. PERSON'!I$15</f>
        <v/>
      </c>
      <c r="F2552" s="111" t="str">
        <f>'5. PERSON'!J$15</f>
        <v/>
      </c>
      <c r="G2552" s="111" t="str">
        <f>'5. PERSON'!K$15</f>
        <v/>
      </c>
      <c r="H2552" s="111" t="str">
        <f>'5. PERSON'!L$15</f>
        <v/>
      </c>
      <c r="I2552" s="111" t="str">
        <f>'5. PERSON'!M$15</f>
        <v/>
      </c>
      <c r="J2552" s="111" t="str">
        <f>'5. PERSON'!N$15</f>
        <v/>
      </c>
      <c r="K2552" s="111" t="str">
        <f>'5. PERSON'!O$15</f>
        <v/>
      </c>
      <c r="L2552" s="111" t="str">
        <f>'5. PERSON'!P$15</f>
        <v/>
      </c>
      <c r="M2552" s="112" t="s">
        <v>2</v>
      </c>
    </row>
    <row r="2553" spans="2:15" s="3" customFormat="1" ht="12.75" customHeight="1" x14ac:dyDescent="0.25">
      <c r="B2553" s="113" t="str">
        <f>IF('1. INTRO'!I$2="English","Salary including social costs (LKP)","Lön inklusive LKP")</f>
        <v>Salary including social costs (LKP)</v>
      </c>
      <c r="C2553" s="114">
        <f>IF('2. START'!$C$14&gt;0,SUMIF('5. PERSON'!$B$17:$B$192,$C2550,'5. PERSON'!DN$17:DN$192),SUMIF('5. PERSON'!$B$17:$B$192,$C2550,'5. PERSON'!AT$17:AT$192))</f>
        <v>0</v>
      </c>
      <c r="D2553" s="114">
        <f>IF('2. START'!$C$14&gt;0,SUMIF('5. PERSON'!$B$17:$B$192,$C2550,'5. PERSON'!DO$17:DO$192),SUMIF('5. PERSON'!$B$17:$B$192,$C2550,'5. PERSON'!AU$17:AU$192))</f>
        <v>0</v>
      </c>
      <c r="E2553" s="114">
        <f>IF('2. START'!$C$14&gt;0,SUMIF('5. PERSON'!$B$17:$B$192,$C2550,'5. PERSON'!DP$17:DP$192),SUMIF('5. PERSON'!$B$17:$B$192,$C2550,'5. PERSON'!AV$17:AV$192))</f>
        <v>0</v>
      </c>
      <c r="F2553" s="114">
        <f>IF('2. START'!$C$14&gt;0,SUMIF('5. PERSON'!$B$17:$B$192,$C2550,'5. PERSON'!DQ$17:DQ$192),SUMIF('5. PERSON'!$B$17:$B$192,$C2550,'5. PERSON'!AW$17:AW$192))</f>
        <v>0</v>
      </c>
      <c r="G2553" s="114">
        <f>IF('2. START'!$C$14&gt;0,SUMIF('5. PERSON'!$B$17:$B$192,$C2550,'5. PERSON'!DR$17:DR$192),SUMIF('5. PERSON'!$B$17:$B$192,$C2550,'5. PERSON'!AX$17:AX$192))</f>
        <v>0</v>
      </c>
      <c r="H2553" s="114">
        <f>IF('2. START'!$C$14&gt;0,SUMIF('5. PERSON'!$B$17:$B$192,$C2550,'5. PERSON'!DS$17:DS$192),SUMIF('5. PERSON'!$B$17:$B$192,$C2550,'5. PERSON'!AY$17:AY$192))</f>
        <v>0</v>
      </c>
      <c r="I2553" s="114">
        <f>IF('2. START'!$C$14&gt;0,SUMIF('5. PERSON'!$B$17:$B$192,$C2550,'5. PERSON'!DT$17:DT$192),SUMIF('5. PERSON'!$B$17:$B$192,$C2550,'5. PERSON'!AZ$17:AZ$192))</f>
        <v>0</v>
      </c>
      <c r="J2553" s="114">
        <f>IF('2. START'!$C$14&gt;0,SUMIF('5. PERSON'!$B$17:$B$192,$C2550,'5. PERSON'!DU$17:DU$192),SUMIF('5. PERSON'!$B$17:$B$192,$C2550,'5. PERSON'!BA$17:BA$192))</f>
        <v>0</v>
      </c>
      <c r="K2553" s="114">
        <f>IF('2. START'!$C$14&gt;0,SUMIF('5. PERSON'!$B$17:$B$192,$C2550,'5. PERSON'!DV$17:DV$192),SUMIF('5. PERSON'!$B$17:$B$192,$C2550,'5. PERSON'!BB$17:BB$192))</f>
        <v>0</v>
      </c>
      <c r="L2553" s="114">
        <f>IF('2. START'!$C$14&gt;0,SUMIF('5. PERSON'!$B$17:$B$192,$C2550,'5. PERSON'!DW$17:DW$192),SUMIF('5. PERSON'!$B$17:$B$192,$C2550,'5. PERSON'!BC$17:BC$192))</f>
        <v>0</v>
      </c>
      <c r="M2553" s="115">
        <f t="shared" ref="M2553:M2558" si="613">SUM(C2553:L2553)</f>
        <v>0</v>
      </c>
      <c r="O2553" s="4"/>
    </row>
    <row r="2554" spans="2:15" s="3" customFormat="1" ht="12.75" customHeight="1" x14ac:dyDescent="0.25">
      <c r="B2554" s="80" t="str">
        <f>IF('1. INTRO'!I$2="English","Operating","Drift")</f>
        <v>Operating</v>
      </c>
      <c r="C2554" s="116">
        <f>SUMIF('6. OPERATION'!$B$17:$B$149,$C2550,'6. OPERATION'!W$17:W$149)</f>
        <v>0</v>
      </c>
      <c r="D2554" s="116">
        <f>SUMIF('6. OPERATION'!$B$17:$B$149,$C2550,'6. OPERATION'!X$17:X$149)</f>
        <v>0</v>
      </c>
      <c r="E2554" s="116">
        <f>SUMIF('6. OPERATION'!$B$17:$B$149,$C2550,'6. OPERATION'!Y$17:Y$149)</f>
        <v>0</v>
      </c>
      <c r="F2554" s="116">
        <f>SUMIF('6. OPERATION'!$B$17:$B$149,$C2550,'6. OPERATION'!Z$17:Z$149)</f>
        <v>0</v>
      </c>
      <c r="G2554" s="116">
        <f>SUMIF('6. OPERATION'!$B$17:$B$149,$C2550,'6. OPERATION'!AA$17:AA$149)</f>
        <v>0</v>
      </c>
      <c r="H2554" s="116">
        <f>SUMIF('6. OPERATION'!$B$17:$B$149,$C2550,'6. OPERATION'!AB$17:AB$149)</f>
        <v>0</v>
      </c>
      <c r="I2554" s="116">
        <f>SUMIF('6. OPERATION'!$B$17:$B$149,$C2550,'6. OPERATION'!AC$17:AC$149)</f>
        <v>0</v>
      </c>
      <c r="J2554" s="116">
        <f>SUMIF('6. OPERATION'!$B$17:$B$149,$C2550,'6. OPERATION'!AD$17:AD$149)</f>
        <v>0</v>
      </c>
      <c r="K2554" s="116">
        <f>SUMIF('6. OPERATION'!$B$17:$B$149,$C2550,'6. OPERATION'!AE$17:AE$149)</f>
        <v>0</v>
      </c>
      <c r="L2554" s="116">
        <f>SUMIF('6. OPERATION'!$B$17:$B$149,$C2550,'6. OPERATION'!AF$17:AF$149)</f>
        <v>0</v>
      </c>
      <c r="M2554" s="117">
        <f t="shared" si="613"/>
        <v>0</v>
      </c>
    </row>
    <row r="2555" spans="2:15" s="3" customFormat="1" ht="13.2" x14ac:dyDescent="0.25">
      <c r="B2555" s="118" t="str">
        <f>IF('1. INTRO'!I$2="English","Equipment","Utrustning")</f>
        <v>Equipment</v>
      </c>
      <c r="C2555" s="119">
        <f>SUMIF('7. INVEST'!$B$17:$B$49,$C2550,'7. INVEST'!W$17:W$49)</f>
        <v>0</v>
      </c>
      <c r="D2555" s="119">
        <f>SUMIF('7. INVEST'!$B$17:$B$49,$C2550,'7. INVEST'!X$17:X$49)</f>
        <v>0</v>
      </c>
      <c r="E2555" s="119">
        <f>SUMIF('7. INVEST'!$B$17:$B$49,$C2550,'7. INVEST'!Y$17:Y$49)</f>
        <v>0</v>
      </c>
      <c r="F2555" s="119">
        <f>SUMIF('7. INVEST'!$B$17:$B$49,$C2550,'7. INVEST'!Z$17:Z$49)</f>
        <v>0</v>
      </c>
      <c r="G2555" s="119">
        <f>SUMIF('7. INVEST'!$B$17:$B$49,$C2550,'7. INVEST'!AA$17:AA$49)</f>
        <v>0</v>
      </c>
      <c r="H2555" s="119">
        <f>SUMIF('7. INVEST'!$B$17:$B$49,$C2550,'7. INVEST'!AB$17:AB$49)</f>
        <v>0</v>
      </c>
      <c r="I2555" s="119">
        <f>SUMIF('7. INVEST'!$B$17:$B$49,$C2550,'7. INVEST'!AC$17:AC$49)</f>
        <v>0</v>
      </c>
      <c r="J2555" s="119">
        <f>SUMIF('7. INVEST'!$B$17:$B$49,$C2550,'7. INVEST'!AD$17:AD$49)</f>
        <v>0</v>
      </c>
      <c r="K2555" s="119">
        <f>SUMIF('7. INVEST'!$B$17:$B$49,$C2550,'7. INVEST'!AE$17:AE$49)</f>
        <v>0</v>
      </c>
      <c r="L2555" s="119">
        <f>SUMIF('7. INVEST'!$B$17:$B$49,$C2550,'7. INVEST'!AF$17:AF$49)</f>
        <v>0</v>
      </c>
      <c r="M2555" s="120">
        <f t="shared" si="613"/>
        <v>0</v>
      </c>
    </row>
    <row r="2556" spans="2:15" s="3" customFormat="1" ht="13.2" x14ac:dyDescent="0.25">
      <c r="B2556" s="121" t="str">
        <f>IF('1. INTRO'!I$2="English",(IF('2. START'!C$11="NO","Facility accepted as direct cost by funding body","Facility")),IF('2. START'!C$11="NO","Lokal accepterad som direkt kostnad av finansiär","Lokal"))</f>
        <v>Facility</v>
      </c>
      <c r="C2556" s="116">
        <f>IF('2. START'!$C$11="NO",SUMIF('8. FACILIT'!$B$18:$B$50,$C2550,'8. FACILIT'!T$18:T$50),SUMIF('5. PERSON'!$B$17:$B$192,$C2550,'5. PERSON'!CP$17:CP$192)+SUMIF('6. OPERATION'!$B$17:$B$149,$C2550,'6. OPERATION'!BS$17:BS$149)+SUMIF('8. FACILIT'!$B$18:$B$50,$C2550,'8. FACILIT'!T$18:T$50))</f>
        <v>0</v>
      </c>
      <c r="D2556" s="116">
        <f>IF('2. START'!$C$11="NO",SUMIF('8. FACILIT'!$B$18:$B$50,$C2550,'8. FACILIT'!U$18:U$50),SUMIF('5. PERSON'!$B$17:$B$192,$C2550,'5. PERSON'!CQ$17:CQ$192)+SUMIF('6. OPERATION'!$B$17:$B$149,$C2550,'6. OPERATION'!BT$17:BT$149)+SUMIF('8. FACILIT'!$B$18:$B$50,$C2550,'8. FACILIT'!U$18:U$50))</f>
        <v>0</v>
      </c>
      <c r="E2556" s="116">
        <f>IF('2. START'!$C$11="NO",SUMIF('8. FACILIT'!$B$18:$B$50,$C2550,'8. FACILIT'!V$18:V$50),SUMIF('5. PERSON'!$B$17:$B$192,$C2550,'5. PERSON'!CR$17:CR$192)+SUMIF('6. OPERATION'!$B$17:$B$149,$C2550,'6. OPERATION'!BU$17:BU$149)+SUMIF('8. FACILIT'!$B$18:$B$50,$C2550,'8. FACILIT'!V$18:V$50))</f>
        <v>0</v>
      </c>
      <c r="F2556" s="116">
        <f>IF('2. START'!$C$11="NO",SUMIF('8. FACILIT'!$B$18:$B$50,$C2550,'8. FACILIT'!W$18:W$50),SUMIF('5. PERSON'!$B$17:$B$192,$C2550,'5. PERSON'!CS$17:CS$192)+SUMIF('6. OPERATION'!$B$17:$B$149,$C2550,'6. OPERATION'!BV$17:BV$149)+SUMIF('8. FACILIT'!$B$18:$B$50,$C2550,'8. FACILIT'!W$18:W$50))</f>
        <v>0</v>
      </c>
      <c r="G2556" s="116">
        <f>IF('2. START'!$C$11="NO",SUMIF('8. FACILIT'!$B$18:$B$50,$C2550,'8. FACILIT'!X$18:X$50),SUMIF('5. PERSON'!$B$17:$B$192,$C2550,'5. PERSON'!CT$17:CT$192)+SUMIF('6. OPERATION'!$B$17:$B$149,$C2550,'6. OPERATION'!BW$17:BW$149)+SUMIF('8. FACILIT'!$B$18:$B$50,$C2550,'8. FACILIT'!X$18:X$50))</f>
        <v>0</v>
      </c>
      <c r="H2556" s="116">
        <f>IF('2. START'!$C$11="NO",SUMIF('8. FACILIT'!$B$18:$B$50,$C2550,'8. FACILIT'!Y$18:Y$50),SUMIF('5. PERSON'!$B$17:$B$192,$C2550,'5. PERSON'!CU$17:CU$192)+SUMIF('6. OPERATION'!$B$17:$B$149,$C2550,'6. OPERATION'!BX$17:BX$149)+SUMIF('8. FACILIT'!$B$18:$B$50,$C2550,'8. FACILIT'!Y$18:Y$50))</f>
        <v>0</v>
      </c>
      <c r="I2556" s="116">
        <f>IF('2. START'!$C$11="NO",SUMIF('8. FACILIT'!$B$18:$B$50,$C2550,'8. FACILIT'!Z$18:Z$50),SUMIF('5. PERSON'!$B$17:$B$192,$C2550,'5. PERSON'!CV$17:CV$192)+SUMIF('6. OPERATION'!$B$17:$B$149,$C2550,'6. OPERATION'!BY$17:BY$149)+SUMIF('8. FACILIT'!$B$18:$B$50,$C2550,'8. FACILIT'!Z$18:Z$50))</f>
        <v>0</v>
      </c>
      <c r="J2556" s="116">
        <f>IF('2. START'!$C$11="NO",SUMIF('8. FACILIT'!$B$18:$B$50,$C2550,'8. FACILIT'!AA$18:AA$50),SUMIF('5. PERSON'!$B$17:$B$192,$C2550,'5. PERSON'!CW$17:CW$192)+SUMIF('6. OPERATION'!$B$17:$B$149,$C2550,'6. OPERATION'!BZ$17:BZ$149)+SUMIF('8. FACILIT'!$B$18:$B$50,$C2550,'8. FACILIT'!AA$18:AA$50))</f>
        <v>0</v>
      </c>
      <c r="K2556" s="116">
        <f>IF('2. START'!$C$11="NO",SUMIF('8. FACILIT'!$B$18:$B$50,$C2550,'8. FACILIT'!AB$18:AB$50),SUMIF('5. PERSON'!$B$17:$B$192,$C2550,'5. PERSON'!CX$17:CX$192)+SUMIF('6. OPERATION'!$B$17:$B$149,$C2550,'6. OPERATION'!CA$17:CA$149)+SUMIF('8. FACILIT'!$B$18:$B$50,$C2550,'8. FACILIT'!AB$18:AB$50))</f>
        <v>0</v>
      </c>
      <c r="L2556" s="116">
        <f>IF('2. START'!$C$11="NO",SUMIF('8. FACILIT'!$B$18:$B$50,$C2550,'8. FACILIT'!AC$18:AC$50),SUMIF('5. PERSON'!$B$17:$B$192,$C2550,'5. PERSON'!CY$17:CY$192)+SUMIF('6. OPERATION'!$B$17:$B$149,$C2550,'6. OPERATION'!CB$17:CB$149)+SUMIF('8. FACILIT'!$B$18:$B$50,$C2550,'8. FACILIT'!AC$18:AC$50))</f>
        <v>0</v>
      </c>
      <c r="M2556" s="117">
        <f t="shared" si="613"/>
        <v>0</v>
      </c>
    </row>
    <row r="2557" spans="2:15" s="3" customFormat="1" ht="13.2" x14ac:dyDescent="0.25">
      <c r="B2557" s="122" t="str">
        <f>IF('1. INTRO'!I$2="English",(IF('2. START'!C$11="NO","Indirect and facility charge accepted as OH by funding body","Indirect")),IF('2. START'!C$11="NO","Indirekt och lokalpåslag accepterade som OH av finansiär","Indirekt"))</f>
        <v>Indirect</v>
      </c>
      <c r="C2557" s="107">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107">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107">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107">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107">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107">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107">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107">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107">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107">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120">
        <f t="shared" si="613"/>
        <v>0</v>
      </c>
    </row>
    <row r="2558" spans="2:15" s="3" customFormat="1" ht="13.2" x14ac:dyDescent="0.25">
      <c r="B2558" s="124" t="s">
        <v>113</v>
      </c>
      <c r="C2558" s="102">
        <f>SUM(C2553:C2557)</f>
        <v>0</v>
      </c>
      <c r="D2558" s="102">
        <f t="shared" ref="D2558:L2558" si="614">SUM(D2553:D2557)</f>
        <v>0</v>
      </c>
      <c r="E2558" s="102">
        <f t="shared" si="614"/>
        <v>0</v>
      </c>
      <c r="F2558" s="102">
        <f t="shared" si="614"/>
        <v>0</v>
      </c>
      <c r="G2558" s="102">
        <f t="shared" si="614"/>
        <v>0</v>
      </c>
      <c r="H2558" s="102">
        <f t="shared" si="614"/>
        <v>0</v>
      </c>
      <c r="I2558" s="102">
        <f t="shared" si="614"/>
        <v>0</v>
      </c>
      <c r="J2558" s="102">
        <f t="shared" si="614"/>
        <v>0</v>
      </c>
      <c r="K2558" s="102">
        <f t="shared" si="614"/>
        <v>0</v>
      </c>
      <c r="L2558" s="102">
        <f t="shared" si="614"/>
        <v>0</v>
      </c>
      <c r="M2558" s="125">
        <f t="shared" si="613"/>
        <v>0</v>
      </c>
    </row>
    <row r="2559" spans="2:15" s="3" customFormat="1" ht="6" customHeight="1" x14ac:dyDescent="0.25">
      <c r="B2559" s="126"/>
      <c r="C2559" s="127"/>
      <c r="D2559" s="127"/>
      <c r="E2559" s="127"/>
      <c r="F2559" s="127"/>
      <c r="G2559" s="127"/>
      <c r="H2559" s="127"/>
      <c r="I2559" s="127"/>
      <c r="J2559" s="127"/>
      <c r="K2559" s="127"/>
      <c r="L2559" s="127"/>
      <c r="M2559" s="128"/>
    </row>
    <row r="2560" spans="2:15" s="3" customFormat="1" ht="13.2" x14ac:dyDescent="0.25">
      <c r="B2560" s="129" t="str">
        <f>IF('1. INTRO'!I$2="English","Costs to be co-funded","Kostnader att medfinansiera")</f>
        <v>Costs to be co-funded</v>
      </c>
      <c r="C2560" s="86"/>
      <c r="D2560" s="86"/>
      <c r="E2560" s="86"/>
      <c r="F2560" s="86"/>
      <c r="G2560" s="86"/>
      <c r="H2560" s="86"/>
      <c r="I2560" s="86"/>
      <c r="J2560" s="86"/>
      <c r="K2560" s="86"/>
      <c r="L2560" s="86"/>
      <c r="M2560" s="130"/>
    </row>
    <row r="2561" spans="2:15" s="3" customFormat="1" ht="13.2" x14ac:dyDescent="0.25">
      <c r="B2561" s="159" t="str">
        <f>IF('1. INTRO'!I$2="English",(IF('2. START'!C$11="NO","Indirect and facility charge not accepted as OH by funding body","")),IF('2. START'!C$11="NO","Indirekt och lokalpåslag inte accepterade som OH av finansiär",""))</f>
        <v/>
      </c>
      <c r="C2561" s="131">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31">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31">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31">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31">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31">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31">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31">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31">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31">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115">
        <f t="shared" ref="M2561:M2567" si="615">SUM(C2561:L2561)</f>
        <v>0</v>
      </c>
    </row>
    <row r="2562" spans="2:15" s="3" customFormat="1" ht="12.75" customHeight="1" x14ac:dyDescent="0.25">
      <c r="B2562" s="132" t="str">
        <f>IF('1. INTRO'!I$2="English",(IF('2. START'!C$14&gt;0,"Social costs (LKP) not accepted by funding body","")),IF('2. START'!C$14&gt;0,"LKP som inte accepteras av finansiär",""))</f>
        <v/>
      </c>
      <c r="C2562" s="133">
        <f>IF('2. START'!$C$14&gt;0,SUMIF('5. PERSON'!$B$17:$B$192,$C2550,'5. PERSON'!AT$17:AT$192)-SUMIF('5. PERSON'!$B$17:$B$192,$C2550,'5. PERSON'!DN$17:DN$192),0)</f>
        <v>0</v>
      </c>
      <c r="D2562" s="133">
        <f>IF('2. START'!$C$14&gt;0,SUMIF('5. PERSON'!$B$17:$B$192,$C2550,'5. PERSON'!AU$17:AU$192)-SUMIF('5. PERSON'!$B$17:$B$192,$C2550,'5. PERSON'!DO$17:DO$192),0)</f>
        <v>0</v>
      </c>
      <c r="E2562" s="133">
        <f>IF('2. START'!$C$14&gt;0,SUMIF('5. PERSON'!$B$17:$B$192,$C2550,'5. PERSON'!AV$17:AV$192)-SUMIF('5. PERSON'!$B$17:$B$192,$C2550,'5. PERSON'!DP$17:DP$192),0)</f>
        <v>0</v>
      </c>
      <c r="F2562" s="133">
        <f>IF('2. START'!$C$14&gt;0,SUMIF('5. PERSON'!$B$17:$B$192,$C2550,'5. PERSON'!AW$17:AW$192)-SUMIF('5. PERSON'!$B$17:$B$192,$C2550,'5. PERSON'!DQ$17:DQ$192),0)</f>
        <v>0</v>
      </c>
      <c r="G2562" s="133">
        <f>IF('2. START'!$C$14&gt;0,SUMIF('5. PERSON'!$B$17:$B$192,$C2550,'5. PERSON'!AX$17:AX$192)-SUMIF('5. PERSON'!$B$17:$B$192,$C2550,'5. PERSON'!DR$17:DR$192),0)</f>
        <v>0</v>
      </c>
      <c r="H2562" s="133">
        <f>IF('2. START'!$C$14&gt;0,SUMIF('5. PERSON'!$B$17:$B$192,$C2550,'5. PERSON'!AY$17:AY$192)-SUMIF('5. PERSON'!$B$17:$B$192,$C2550,'5. PERSON'!DS$17:DS$192),0)</f>
        <v>0</v>
      </c>
      <c r="I2562" s="133">
        <f>IF('2. START'!$C$14&gt;0,SUMIF('5. PERSON'!$B$17:$B$192,$C2550,'5. PERSON'!AZ$17:AZ$192)-SUMIF('5. PERSON'!$B$17:$B$192,$C2550,'5. PERSON'!DT$17:DT$192),0)</f>
        <v>0</v>
      </c>
      <c r="J2562" s="133">
        <f>IF('2. START'!$C$14&gt;0,SUMIF('5. PERSON'!$B$17:$B$192,$C2550,'5. PERSON'!BA$17:BA$192)-SUMIF('5. PERSON'!$B$17:$B$192,$C2550,'5. PERSON'!DU$17:DU$192),0)</f>
        <v>0</v>
      </c>
      <c r="K2562" s="133">
        <f>IF('2. START'!$C$14&gt;0,SUMIF('5. PERSON'!$B$17:$B$192,$C2550,'5. PERSON'!BB$17:BB$192)-SUMIF('5. PERSON'!$B$17:$B$192,$C2550,'5. PERSON'!DV$17:DV$192),0)</f>
        <v>0</v>
      </c>
      <c r="L2562" s="133">
        <f>IF('2. START'!$C$14&gt;0,SUMIF('5. PERSON'!$B$17:$B$192,$C2550,'5. PERSON'!BC$17:BC$192)-SUMIF('5. PERSON'!$B$17:$B$192,$C2550,'5. PERSON'!DW$17:DW$192),0)</f>
        <v>0</v>
      </c>
      <c r="M2562" s="117">
        <f t="shared" si="615"/>
        <v>0</v>
      </c>
    </row>
    <row r="2563" spans="2:15" s="3" customFormat="1" ht="12.75" customHeight="1" x14ac:dyDescent="0.25">
      <c r="B2563" s="118" t="str">
        <f>IF('1. INTRO'!I$2="English",(IF('5. PERSON'!BP$193&gt;0,"Salary including social costs (LKP)","")),IF('5. PERSON'!BP$193&gt;0,"Lön inklusive LKP",""))</f>
        <v/>
      </c>
      <c r="C2563" s="134">
        <f>SUMIF('5. PERSON'!$B$17:$B$192,$C2550,'5. PERSON'!BF$17:BF$192)</f>
        <v>0</v>
      </c>
      <c r="D2563" s="134">
        <f>SUMIF('5. PERSON'!$B$17:$B$192,$C2550,'5. PERSON'!BG$17:BG$192)</f>
        <v>0</v>
      </c>
      <c r="E2563" s="134">
        <f>SUMIF('5. PERSON'!$B$17:$B$192,$C2550,'5. PERSON'!BH$17:BH$192)</f>
        <v>0</v>
      </c>
      <c r="F2563" s="134">
        <f>SUMIF('5. PERSON'!$B$17:$B$192,$C2550,'5. PERSON'!BI$17:BI$192)</f>
        <v>0</v>
      </c>
      <c r="G2563" s="134">
        <f>SUMIF('5. PERSON'!$B$17:$B$192,$C2550,'5. PERSON'!BJ$17:BJ$192)</f>
        <v>0</v>
      </c>
      <c r="H2563" s="134">
        <f>SUMIF('5. PERSON'!$B$17:$B$192,$C2550,'5. PERSON'!BK$17:BK$192)</f>
        <v>0</v>
      </c>
      <c r="I2563" s="134">
        <f>SUMIF('5. PERSON'!$B$17:$B$192,$C2550,'5. PERSON'!BL$17:BL$192)</f>
        <v>0</v>
      </c>
      <c r="J2563" s="134">
        <f>SUMIF('5. PERSON'!$B$17:$B$192,$C2550,'5. PERSON'!BM$17:BM$192)</f>
        <v>0</v>
      </c>
      <c r="K2563" s="134">
        <f>SUMIF('5. PERSON'!$B$17:$B$192,$C2550,'5. PERSON'!BN$17:BN$192)</f>
        <v>0</v>
      </c>
      <c r="L2563" s="134">
        <f>SUMIF('5. PERSON'!$B$17:$B$192,$C2550,'5. PERSON'!BO$17:BO$192)</f>
        <v>0</v>
      </c>
      <c r="M2563" s="120">
        <f t="shared" si="615"/>
        <v>0</v>
      </c>
    </row>
    <row r="2564" spans="2:15" s="3" customFormat="1" ht="13.2" x14ac:dyDescent="0.25">
      <c r="B2564" s="80" t="str">
        <f>IF('1. INTRO'!I$2="English",(IF('6. OPERATION'!AS$150&gt;0,"Operating","")),IF('6. OPERATION'!AS$150&gt;0,"Drift",""))</f>
        <v/>
      </c>
      <c r="C2564" s="135">
        <f>SUMIF('6. OPERATION'!$B$17:$B$149,$C2550,'6. OPERATION'!AI$17:AI$149)</f>
        <v>0</v>
      </c>
      <c r="D2564" s="135">
        <f>SUMIF('6. OPERATION'!$B$17:$B$149,$C2550,'6. OPERATION'!AJ$17:AJ$149)</f>
        <v>0</v>
      </c>
      <c r="E2564" s="135">
        <f>SUMIF('6. OPERATION'!$B$17:$B$149,$C2550,'6. OPERATION'!AK$17:AK$149)</f>
        <v>0</v>
      </c>
      <c r="F2564" s="135">
        <f>SUMIF('6. OPERATION'!$B$17:$B$149,$C2550,'6. OPERATION'!AL$17:AL$149)</f>
        <v>0</v>
      </c>
      <c r="G2564" s="135">
        <f>SUMIF('6. OPERATION'!$B$17:$B$149,$C2550,'6. OPERATION'!AM$17:AM$149)</f>
        <v>0</v>
      </c>
      <c r="H2564" s="135">
        <f>SUMIF('6. OPERATION'!$B$17:$B$149,$C2550,'6. OPERATION'!AN$17:AN$149)</f>
        <v>0</v>
      </c>
      <c r="I2564" s="135">
        <f>SUMIF('6. OPERATION'!$B$17:$B$149,$C2550,'6. OPERATION'!AO$17:AO$149)</f>
        <v>0</v>
      </c>
      <c r="J2564" s="135">
        <f>SUMIF('6. OPERATION'!$B$17:$B$149,$C2550,'6. OPERATION'!AP$17:AP$149)</f>
        <v>0</v>
      </c>
      <c r="K2564" s="135">
        <f>SUMIF('6. OPERATION'!$B$17:$B$149,$C2550,'6. OPERATION'!AQ$17:AQ$149)</f>
        <v>0</v>
      </c>
      <c r="L2564" s="135">
        <f>SUMIF('6. OPERATION'!$B$17:$B$149,$C2550,'6. OPERATION'!AR$17:AR$149)</f>
        <v>0</v>
      </c>
      <c r="M2564" s="117">
        <f t="shared" si="615"/>
        <v>0</v>
      </c>
    </row>
    <row r="2565" spans="2:15" s="3" customFormat="1" ht="13.2" x14ac:dyDescent="0.25">
      <c r="B2565" s="118" t="str">
        <f>IF('1. INTRO'!I$2="English",(IF('7. INVEST'!AS$50&gt;0,"Equipment","")),IF('7. INVEST'!AS$50&gt;0,"Utrustning",""))</f>
        <v/>
      </c>
      <c r="C2565" s="134">
        <f>SUMIF('7. INVEST'!$B$17:$B$49,$C2550,'7. INVEST'!AI$17:AI$49)</f>
        <v>0</v>
      </c>
      <c r="D2565" s="134">
        <f>SUMIF('7. INVEST'!$B$17:$B$49,$C2550,'7. INVEST'!AJ$17:AJ$49)</f>
        <v>0</v>
      </c>
      <c r="E2565" s="134">
        <f>SUMIF('7. INVEST'!$B$17:$B$49,$C2550,'7. INVEST'!AK$17:AK$49)</f>
        <v>0</v>
      </c>
      <c r="F2565" s="134">
        <f>SUMIF('7. INVEST'!$B$17:$B$49,$C2550,'7. INVEST'!AL$17:AL$49)</f>
        <v>0</v>
      </c>
      <c r="G2565" s="134">
        <f>SUMIF('7. INVEST'!$B$17:$B$49,$C2550,'7. INVEST'!AM$17:AM$49)</f>
        <v>0</v>
      </c>
      <c r="H2565" s="134">
        <f>SUMIF('7. INVEST'!$B$17:$B$49,$C2550,'7. INVEST'!AN$17:AN$49)</f>
        <v>0</v>
      </c>
      <c r="I2565" s="134">
        <f>SUMIF('7. INVEST'!$B$17:$B$49,$C2550,'7. INVEST'!AO$17:AO$49)</f>
        <v>0</v>
      </c>
      <c r="J2565" s="134">
        <f>SUMIF('7. INVEST'!$B$17:$B$49,$C2550,'7. INVEST'!AP$17:AP$49)</f>
        <v>0</v>
      </c>
      <c r="K2565" s="134">
        <f>SUMIF('7. INVEST'!$B$17:$B$49,$C2550,'7. INVEST'!AQ$17:AQ$49)</f>
        <v>0</v>
      </c>
      <c r="L2565" s="134">
        <f>SUMIF('7. INVEST'!$B$17:$B$49,$C2550,'7. INVEST'!AR$17:AR$49)</f>
        <v>0</v>
      </c>
      <c r="M2565" s="120">
        <f t="shared" si="615"/>
        <v>0</v>
      </c>
    </row>
    <row r="2566" spans="2:15" s="3" customFormat="1" ht="13.2" x14ac:dyDescent="0.25">
      <c r="B2566" s="121" t="str">
        <f>IF('1. INTRO'!I$2="English",(IF('8. FACILIT'!AP$51&gt;0,"Facility","")),IF('8. FACILIT'!AP$51&gt;0,"Lokal",""))</f>
        <v/>
      </c>
      <c r="C2566" s="135">
        <f>SUMIF('5. PERSON'!$B$17:$B$192,$C2550,'5. PERSON'!DB$17:DB$192)+SUMIF('6. OPERATION'!$B$17:$B$149,$C2550,'6. OPERATION'!CE$17:CE$149)+SUMIF('8. FACILIT'!$B$18:$B$50,$C2550,'8. FACILIT'!AF$18:AF$50)</f>
        <v>0</v>
      </c>
      <c r="D2566" s="135">
        <f>SUMIF('5. PERSON'!$B$17:$B$192,$C2550,'5. PERSON'!DC$17:DC$192)+SUMIF('6. OPERATION'!$B$17:$B$149,$C2550,'6. OPERATION'!CF$17:CF$149)+SUMIF('8. FACILIT'!$B$18:$B$50,$C2550,'8. FACILIT'!AG$18:AG$50)</f>
        <v>0</v>
      </c>
      <c r="E2566" s="135">
        <f>SUMIF('5. PERSON'!$B$17:$B$192,$C2550,'5. PERSON'!DD$17:DD$192)+SUMIF('6. OPERATION'!$B$17:$B$149,$C2550,'6. OPERATION'!CG$17:CG$149)+SUMIF('8. FACILIT'!$B$18:$B$50,$C2550,'8. FACILIT'!AH$18:AH$50)</f>
        <v>0</v>
      </c>
      <c r="F2566" s="135">
        <f>SUMIF('5. PERSON'!$B$17:$B$192,$C2550,'5. PERSON'!DE$17:DE$192)+SUMIF('6. OPERATION'!$B$17:$B$149,$C2550,'6. OPERATION'!CH$17:CH$149)+SUMIF('8. FACILIT'!$B$18:$B$50,$C2550,'8. FACILIT'!AI$18:AI$50)</f>
        <v>0</v>
      </c>
      <c r="G2566" s="135">
        <f>SUMIF('5. PERSON'!$B$17:$B$192,$C2550,'5. PERSON'!DF$17:DF$192)+SUMIF('6. OPERATION'!$B$17:$B$149,$C2550,'6. OPERATION'!CI$17:CI$149)+SUMIF('8. FACILIT'!$B$18:$B$50,$C2550,'8. FACILIT'!AJ$18:AJ$50)</f>
        <v>0</v>
      </c>
      <c r="H2566" s="135">
        <f>SUMIF('5. PERSON'!$B$17:$B$192,$C2550,'5. PERSON'!DG$17:DG$192)+SUMIF('6. OPERATION'!$B$17:$B$149,$C2550,'6. OPERATION'!CJ$17:CJ$149)+SUMIF('8. FACILIT'!$B$18:$B$50,$C2550,'8. FACILIT'!AK$18:AK$50)</f>
        <v>0</v>
      </c>
      <c r="I2566" s="135">
        <f>SUMIF('5. PERSON'!$B$17:$B$192,$C2550,'5. PERSON'!DH$17:DH$192)+SUMIF('6. OPERATION'!$B$17:$B$149,$C2550,'6. OPERATION'!CK$17:CK$149)+SUMIF('8. FACILIT'!$B$18:$B$50,$C2550,'8. FACILIT'!AL$18:AL$50)</f>
        <v>0</v>
      </c>
      <c r="J2566" s="135">
        <f>SUMIF('5. PERSON'!$B$17:$B$192,$C2550,'5. PERSON'!DI$17:DI$192)+SUMIF('6. OPERATION'!$B$17:$B$149,$C2550,'6. OPERATION'!CL$17:CL$149)+SUMIF('8. FACILIT'!$B$18:$B$50,$C2550,'8. FACILIT'!AM$18:AM$50)</f>
        <v>0</v>
      </c>
      <c r="K2566" s="135">
        <f>SUMIF('5. PERSON'!$B$17:$B$192,$C2550,'5. PERSON'!DJ$17:DJ$192)+SUMIF('6. OPERATION'!$B$17:$B$149,$C2550,'6. OPERATION'!CM$17:CM$149)+SUMIF('8. FACILIT'!$B$18:$B$50,$C2550,'8. FACILIT'!AN$18:AN$50)</f>
        <v>0</v>
      </c>
      <c r="L2566" s="135">
        <f>SUMIF('5. PERSON'!$B$17:$B$192,$C2550,'5. PERSON'!DK$17:DK$192)+SUMIF('6. OPERATION'!$B$17:$B$149,$C2550,'6. OPERATION'!CN$17:CN$149)+SUMIF('8. FACILIT'!$B$18:$B$50,$C2550,'8. FACILIT'!AO$18:AO$50)</f>
        <v>0</v>
      </c>
      <c r="M2566" s="117">
        <f t="shared" si="615"/>
        <v>0</v>
      </c>
    </row>
    <row r="2567" spans="2:15" s="1" customFormat="1" ht="13.2" x14ac:dyDescent="0.25">
      <c r="B2567" s="122" t="str">
        <f>IF('1. INTRO'!I$2="English",(IF(('5. PERSON'!CN$193+'6. OPERATION'!BQ$150)&gt;0,"Indirect","")),IF(('5. PERSON'!CN$193+'6. OPERATION'!BQ$150)&gt;0,"Indirekt",""))</f>
        <v/>
      </c>
      <c r="C2567" s="107">
        <f>SUMIF('5. PERSON'!$B$17:$B$192,$C2550,'5. PERSON'!CD$17:CD$192)+SUMIF('6. OPERATION'!$B$17:$B$149,$C2550,'6. OPERATION'!BG$17:BG$149)</f>
        <v>0</v>
      </c>
      <c r="D2567" s="107">
        <f>SUMIF('5. PERSON'!$B$17:$B$192,$C2550,'5. PERSON'!CE$17:CE$192)+SUMIF('6. OPERATION'!$B$17:$B$149,$C2550,'6. OPERATION'!BH$17:BH$149)</f>
        <v>0</v>
      </c>
      <c r="E2567" s="107">
        <f>SUMIF('5. PERSON'!$B$17:$B$192,$C2550,'5. PERSON'!CF$17:CF$192)+SUMIF('6. OPERATION'!$B$17:$B$149,$C2550,'6. OPERATION'!BI$17:BI$149)</f>
        <v>0</v>
      </c>
      <c r="F2567" s="107">
        <f>SUMIF('5. PERSON'!$B$17:$B$192,$C2550,'5. PERSON'!CG$17:CG$192)+SUMIF('6. OPERATION'!$B$17:$B$149,$C2550,'6. OPERATION'!BJ$17:BJ$149)</f>
        <v>0</v>
      </c>
      <c r="G2567" s="107">
        <f>SUMIF('5. PERSON'!$B$17:$B$192,$C2550,'5. PERSON'!CH$17:CH$192)+SUMIF('6. OPERATION'!$B$17:$B$149,$C2550,'6. OPERATION'!BK$17:BK$149)</f>
        <v>0</v>
      </c>
      <c r="H2567" s="107">
        <f>SUMIF('5. PERSON'!$B$17:$B$192,$C2550,'5. PERSON'!CI$17:CI$192)+SUMIF('6. OPERATION'!$B$17:$B$149,$C2550,'6. OPERATION'!BL$17:BL$149)</f>
        <v>0</v>
      </c>
      <c r="I2567" s="107">
        <f>SUMIF('5. PERSON'!$B$17:$B$192,$C2550,'5. PERSON'!CJ$17:CJ$192)+SUMIF('6. OPERATION'!$B$17:$B$149,$C2550,'6. OPERATION'!BM$17:BM$149)</f>
        <v>0</v>
      </c>
      <c r="J2567" s="107">
        <f>SUMIF('5. PERSON'!$B$17:$B$192,$C2550,'5. PERSON'!CK$17:CK$192)+SUMIF('6. OPERATION'!$B$17:$B$149,$C2550,'6. OPERATION'!BN$17:BN$149)</f>
        <v>0</v>
      </c>
      <c r="K2567" s="107">
        <f>SUMIF('5. PERSON'!$B$17:$B$192,$C2550,'5. PERSON'!CL$17:CL$192)+SUMIF('6. OPERATION'!$B$17:$B$149,$C2550,'6. OPERATION'!BO$17:BO$149)</f>
        <v>0</v>
      </c>
      <c r="L2567" s="107">
        <f>SUMIF('5. PERSON'!$B$17:$B$192,$C2550,'5. PERSON'!CM$17:CM$192)+SUMIF('6. OPERATION'!$B$17:$B$149,$C2550,'6. OPERATION'!BP$17:BP$149)</f>
        <v>0</v>
      </c>
      <c r="M2567" s="123">
        <f t="shared" si="615"/>
        <v>0</v>
      </c>
    </row>
    <row r="2568" spans="2:15" s="3" customFormat="1" ht="13.2" x14ac:dyDescent="0.25">
      <c r="B2568" s="124" t="s">
        <v>113</v>
      </c>
      <c r="C2568" s="102">
        <f>SUM(C2561:C2567)</f>
        <v>0</v>
      </c>
      <c r="D2568" s="102">
        <f t="shared" ref="D2568:L2568" si="616">SUM(D2561:D2567)</f>
        <v>0</v>
      </c>
      <c r="E2568" s="102">
        <f t="shared" si="616"/>
        <v>0</v>
      </c>
      <c r="F2568" s="102">
        <f t="shared" si="616"/>
        <v>0</v>
      </c>
      <c r="G2568" s="102">
        <f t="shared" si="616"/>
        <v>0</v>
      </c>
      <c r="H2568" s="102">
        <f t="shared" si="616"/>
        <v>0</v>
      </c>
      <c r="I2568" s="102">
        <f t="shared" si="616"/>
        <v>0</v>
      </c>
      <c r="J2568" s="102">
        <f t="shared" si="616"/>
        <v>0</v>
      </c>
      <c r="K2568" s="102">
        <f t="shared" si="616"/>
        <v>0</v>
      </c>
      <c r="L2568" s="102">
        <f t="shared" si="616"/>
        <v>0</v>
      </c>
      <c r="M2568" s="125">
        <f t="shared" ref="M2568" si="617">SUM(M2561:M2567)</f>
        <v>0</v>
      </c>
      <c r="N2568" s="23"/>
      <c r="O2568" s="23"/>
    </row>
    <row r="2569" spans="2:15" s="3" customFormat="1" ht="6" customHeight="1" x14ac:dyDescent="0.25">
      <c r="B2569" s="136"/>
      <c r="C2569" s="127"/>
      <c r="D2569" s="127"/>
      <c r="E2569" s="127"/>
      <c r="F2569" s="127"/>
      <c r="G2569" s="127"/>
      <c r="H2569" s="127"/>
      <c r="I2569" s="127"/>
      <c r="J2569" s="127"/>
      <c r="K2569" s="127"/>
      <c r="L2569" s="127"/>
      <c r="M2569" s="137"/>
    </row>
    <row r="2570" spans="2:15" s="3" customFormat="1" ht="13.2" x14ac:dyDescent="0.25">
      <c r="B2570" s="129" t="str">
        <f>IF('1. INTRO'!I$2="English","Full cost","Full kostnad")</f>
        <v>Full cost</v>
      </c>
      <c r="C2570" s="127"/>
      <c r="D2570" s="127"/>
      <c r="E2570" s="127"/>
      <c r="F2570" s="127"/>
      <c r="G2570" s="127"/>
      <c r="H2570" s="127"/>
      <c r="I2570" s="127"/>
      <c r="J2570" s="127"/>
      <c r="K2570" s="127"/>
      <c r="L2570" s="127"/>
      <c r="M2570" s="137"/>
    </row>
    <row r="2571" spans="2:15" s="3" customFormat="1" ht="13.2" x14ac:dyDescent="0.25">
      <c r="B2571" s="113" t="str">
        <f>IF('1. INTRO'!I$2="English","Salary including social costs (LKP)","Lön inklusive LKP")</f>
        <v>Salary including social costs (LKP)</v>
      </c>
      <c r="C2571" s="138">
        <f>C2553+C2562+C2563</f>
        <v>0</v>
      </c>
      <c r="D2571" s="138">
        <f t="shared" ref="D2571:L2571" si="618">D2553+D2562+D2563</f>
        <v>0</v>
      </c>
      <c r="E2571" s="138">
        <f t="shared" si="618"/>
        <v>0</v>
      </c>
      <c r="F2571" s="138">
        <f t="shared" si="618"/>
        <v>0</v>
      </c>
      <c r="G2571" s="138">
        <f t="shared" si="618"/>
        <v>0</v>
      </c>
      <c r="H2571" s="138">
        <f t="shared" si="618"/>
        <v>0</v>
      </c>
      <c r="I2571" s="138">
        <f t="shared" si="618"/>
        <v>0</v>
      </c>
      <c r="J2571" s="138">
        <f t="shared" si="618"/>
        <v>0</v>
      </c>
      <c r="K2571" s="138">
        <f t="shared" si="618"/>
        <v>0</v>
      </c>
      <c r="L2571" s="138">
        <f t="shared" si="618"/>
        <v>0</v>
      </c>
      <c r="M2571" s="115">
        <f>SUM(C2571:L2571)</f>
        <v>0</v>
      </c>
    </row>
    <row r="2572" spans="2:15" s="3" customFormat="1" ht="13.2" x14ac:dyDescent="0.25">
      <c r="B2572" s="80" t="str">
        <f>IF('1. INTRO'!I$2="English","Operating","Drift")</f>
        <v>Operating</v>
      </c>
      <c r="C2572" s="139">
        <f>C2554+C2564</f>
        <v>0</v>
      </c>
      <c r="D2572" s="139">
        <f t="shared" ref="D2572:L2572" si="619">D2554+D2564</f>
        <v>0</v>
      </c>
      <c r="E2572" s="139">
        <f t="shared" si="619"/>
        <v>0</v>
      </c>
      <c r="F2572" s="139">
        <f t="shared" si="619"/>
        <v>0</v>
      </c>
      <c r="G2572" s="139">
        <f t="shared" si="619"/>
        <v>0</v>
      </c>
      <c r="H2572" s="139">
        <f t="shared" si="619"/>
        <v>0</v>
      </c>
      <c r="I2572" s="139">
        <f t="shared" si="619"/>
        <v>0</v>
      </c>
      <c r="J2572" s="139">
        <f t="shared" si="619"/>
        <v>0</v>
      </c>
      <c r="K2572" s="139">
        <f t="shared" si="619"/>
        <v>0</v>
      </c>
      <c r="L2572" s="139">
        <f t="shared" si="619"/>
        <v>0</v>
      </c>
      <c r="M2572" s="117">
        <f>SUM(C2572:L2572)</f>
        <v>0</v>
      </c>
    </row>
    <row r="2573" spans="2:15" s="3" customFormat="1" ht="13.2" x14ac:dyDescent="0.25">
      <c r="B2573" s="118" t="str">
        <f>IF('1. INTRO'!I$2="English","Equipment","Utrustning")</f>
        <v>Equipment</v>
      </c>
      <c r="C2573" s="140">
        <f>C2555+C2565</f>
        <v>0</v>
      </c>
      <c r="D2573" s="140">
        <f t="shared" ref="D2573:L2573" si="620">D2555+D2565</f>
        <v>0</v>
      </c>
      <c r="E2573" s="140">
        <f t="shared" si="620"/>
        <v>0</v>
      </c>
      <c r="F2573" s="140">
        <f t="shared" si="620"/>
        <v>0</v>
      </c>
      <c r="G2573" s="140">
        <f t="shared" si="620"/>
        <v>0</v>
      </c>
      <c r="H2573" s="140">
        <f t="shared" si="620"/>
        <v>0</v>
      </c>
      <c r="I2573" s="140">
        <f t="shared" si="620"/>
        <v>0</v>
      </c>
      <c r="J2573" s="140">
        <f t="shared" si="620"/>
        <v>0</v>
      </c>
      <c r="K2573" s="140">
        <f t="shared" si="620"/>
        <v>0</v>
      </c>
      <c r="L2573" s="140">
        <f t="shared" si="620"/>
        <v>0</v>
      </c>
      <c r="M2573" s="120">
        <f>SUM(C2573:L2573)</f>
        <v>0</v>
      </c>
    </row>
    <row r="2574" spans="2:15" s="3" customFormat="1" ht="13.2" x14ac:dyDescent="0.25">
      <c r="B2574" s="80" t="str">
        <f>IF('1. INTRO'!I$2="English","Facility","Lokal")</f>
        <v>Facility</v>
      </c>
      <c r="C2574" s="139">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39">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39">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39">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39">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39">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39">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39">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39">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39">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117">
        <f>SUM(C2574:L2574)</f>
        <v>0</v>
      </c>
    </row>
    <row r="2575" spans="2:15" s="3" customFormat="1" ht="13.2" x14ac:dyDescent="0.25">
      <c r="B2575" s="601" t="str">
        <f>IF('1. INTRO'!I$2="English","Indirect","Indirekt")</f>
        <v>Indirect</v>
      </c>
      <c r="C2575" s="141">
        <f>SUMIF('5. PERSON'!$B$17:$B$192,$C2550,'5. PERSON'!BR$17:BR$192)+SUMIF('5. PERSON'!$B$17:$B$192,$C2550,'5. PERSON'!CD$17:CD$192)+SUMIF('6. OPERATION'!$B$17:$B$149,$C2550,'6. OPERATION'!AU$17:AU$149)+SUMIF('6. OPERATION'!$B$17:$B$149,$C2550,'6. OPERATION'!BG$17:BG$149)</f>
        <v>0</v>
      </c>
      <c r="D2575" s="141">
        <f>SUMIF('5. PERSON'!$B$17:$B$192,$C2550,'5. PERSON'!BS$17:BS$192)+SUMIF('5. PERSON'!$B$17:$B$192,$C2550,'5. PERSON'!CE$17:CE$192)+SUMIF('6. OPERATION'!$B$17:$B$149,$C2550,'6. OPERATION'!AV$17:AV$149)+SUMIF('6. OPERATION'!$B$17:$B$149,$C2550,'6. OPERATION'!BH$17:BH$149)</f>
        <v>0</v>
      </c>
      <c r="E2575" s="141">
        <f>SUMIF('5. PERSON'!$B$17:$B$192,$C2550,'5. PERSON'!BT$17:BT$192)+SUMIF('5. PERSON'!$B$17:$B$192,$C2550,'5. PERSON'!CF$17:CF$192)+SUMIF('6. OPERATION'!$B$17:$B$149,$C2550,'6. OPERATION'!AW$17:AW$149)+SUMIF('6. OPERATION'!$B$17:$B$149,$C2550,'6. OPERATION'!BI$17:BI$149)</f>
        <v>0</v>
      </c>
      <c r="F2575" s="141">
        <f>SUMIF('5. PERSON'!$B$17:$B$192,$C2550,'5. PERSON'!BU$17:BU$192)+SUMIF('5. PERSON'!$B$17:$B$192,$C2550,'5. PERSON'!CG$17:CG$192)+SUMIF('6. OPERATION'!$B$17:$B$149,$C2550,'6. OPERATION'!AX$17:AX$149)+SUMIF('6. OPERATION'!$B$17:$B$149,$C2550,'6. OPERATION'!BJ$17:BJ$149)</f>
        <v>0</v>
      </c>
      <c r="G2575" s="141">
        <f>SUMIF('5. PERSON'!$B$17:$B$192,$C2550,'5. PERSON'!BV$17:BV$192)+SUMIF('5. PERSON'!$B$17:$B$192,$C2550,'5. PERSON'!CH$17:CH$192)+SUMIF('6. OPERATION'!$B$17:$B$149,$C2550,'6. OPERATION'!AY$17:AY$149)+SUMIF('6. OPERATION'!$B$17:$B$149,$C2550,'6. OPERATION'!BK$17:BK$149)</f>
        <v>0</v>
      </c>
      <c r="H2575" s="141">
        <f>SUMIF('5. PERSON'!$B$17:$B$192,$C2550,'5. PERSON'!BW$17:BW$192)+SUMIF('5. PERSON'!$B$17:$B$192,$C2550,'5. PERSON'!CI$17:CI$192)+SUMIF('6. OPERATION'!$B$17:$B$149,$C2550,'6. OPERATION'!AZ$17:AZ$149)+SUMIF('6. OPERATION'!$B$17:$B$149,$C2550,'6. OPERATION'!BL$17:BL$149)</f>
        <v>0</v>
      </c>
      <c r="I2575" s="141">
        <f>SUMIF('5. PERSON'!$B$17:$B$192,$C2550,'5. PERSON'!BX$17:BX$192)+SUMIF('5. PERSON'!$B$17:$B$192,$C2550,'5. PERSON'!CJ$17:CJ$192)+SUMIF('6. OPERATION'!$B$17:$B$149,$C2550,'6. OPERATION'!BA$17:BA$149)+SUMIF('6. OPERATION'!$B$17:$B$149,$C2550,'6. OPERATION'!BM$17:BM$149)</f>
        <v>0</v>
      </c>
      <c r="J2575" s="141">
        <f>SUMIF('5. PERSON'!$B$17:$B$192,$C2550,'5. PERSON'!BY$17:BY$192)+SUMIF('5. PERSON'!$B$17:$B$192,$C2550,'5. PERSON'!CK$17:CK$192)+SUMIF('6. OPERATION'!$B$17:$B$149,$C2550,'6. OPERATION'!BB$17:BB$149)+SUMIF('6. OPERATION'!$B$17:$B$149,$C2550,'6. OPERATION'!BN$17:BN$149)</f>
        <v>0</v>
      </c>
      <c r="K2575" s="141">
        <f>SUMIF('5. PERSON'!$B$17:$B$192,$C2550,'5. PERSON'!BZ$17:BZ$192)+SUMIF('5. PERSON'!$B$17:$B$192,$C2550,'5. PERSON'!CL$17:CL$192)+SUMIF('6. OPERATION'!$B$17:$B$149,$C2550,'6. OPERATION'!BC$17:BC$149)+SUMIF('6. OPERATION'!$B$17:$B$149,$C2550,'6. OPERATION'!BO$17:BO$149)</f>
        <v>0</v>
      </c>
      <c r="L2575" s="141">
        <f>SUMIF('5. PERSON'!$B$17:$B$192,$C2550,'5. PERSON'!CA$17:CA$192)+SUMIF('5. PERSON'!$B$17:$B$192,$C2550,'5. PERSON'!CM$17:CM$192)+SUMIF('6. OPERATION'!$B$17:$B$149,$C2550,'6. OPERATION'!BD$17:BD$149)+SUMIF('6. OPERATION'!$B$17:$B$149,$C2550,'6. OPERATION'!BP$17:BP$149)</f>
        <v>0</v>
      </c>
      <c r="M2575" s="123">
        <f>SUM(C2575:L2575)</f>
        <v>0</v>
      </c>
    </row>
    <row r="2576" spans="2:15" s="3" customFormat="1" ht="13.2" x14ac:dyDescent="0.25">
      <c r="B2576" s="124" t="s">
        <v>113</v>
      </c>
      <c r="C2576" s="88">
        <f>SUM(C2571:C2575)</f>
        <v>0</v>
      </c>
      <c r="D2576" s="88">
        <f t="shared" ref="D2576:M2576" si="621">SUM(D2571:D2575)</f>
        <v>0</v>
      </c>
      <c r="E2576" s="88">
        <f t="shared" si="621"/>
        <v>0</v>
      </c>
      <c r="F2576" s="88">
        <f t="shared" si="621"/>
        <v>0</v>
      </c>
      <c r="G2576" s="88">
        <f t="shared" si="621"/>
        <v>0</v>
      </c>
      <c r="H2576" s="88">
        <f t="shared" si="621"/>
        <v>0</v>
      </c>
      <c r="I2576" s="88">
        <f t="shared" si="621"/>
        <v>0</v>
      </c>
      <c r="J2576" s="88">
        <f t="shared" si="621"/>
        <v>0</v>
      </c>
      <c r="K2576" s="88">
        <f t="shared" si="621"/>
        <v>0</v>
      </c>
      <c r="L2576" s="88">
        <f t="shared" si="621"/>
        <v>0</v>
      </c>
      <c r="M2576" s="142">
        <f t="shared" si="621"/>
        <v>0</v>
      </c>
    </row>
    <row r="2577" spans="2:13" s="3" customFormat="1" ht="13.2" x14ac:dyDescent="0.25">
      <c r="B2577" s="287"/>
      <c r="C2577" s="37"/>
      <c r="D2577" s="37"/>
      <c r="E2577" s="37"/>
      <c r="F2577" s="37"/>
      <c r="G2577" s="37"/>
      <c r="H2577" s="37"/>
      <c r="I2577" s="37"/>
      <c r="J2577" s="37"/>
      <c r="K2577" s="37"/>
      <c r="L2577" s="37"/>
      <c r="M2577" s="37"/>
    </row>
    <row r="2578" spans="2:13" s="3" customFormat="1" ht="12.75" customHeight="1" x14ac:dyDescent="0.25">
      <c r="B2578" s="656" t="str">
        <f>IF('1. INTRO'!I$2="English","Co-funding share in full cost ","Medfinansieringsandel i full kostnad ")</f>
        <v xml:space="preserve">Co-funding share in full cost </v>
      </c>
      <c r="C2578" s="143" t="str">
        <f t="shared" ref="C2578:M2578" si="622">IF(C2576&gt;0,C2568/C2576,"")</f>
        <v/>
      </c>
      <c r="D2578" s="143" t="str">
        <f t="shared" si="622"/>
        <v/>
      </c>
      <c r="E2578" s="143" t="str">
        <f t="shared" si="622"/>
        <v/>
      </c>
      <c r="F2578" s="143" t="str">
        <f t="shared" si="622"/>
        <v/>
      </c>
      <c r="G2578" s="143" t="str">
        <f t="shared" si="622"/>
        <v/>
      </c>
      <c r="H2578" s="143" t="str">
        <f t="shared" si="622"/>
        <v/>
      </c>
      <c r="I2578" s="143" t="str">
        <f t="shared" si="622"/>
        <v/>
      </c>
      <c r="J2578" s="143" t="str">
        <f t="shared" si="622"/>
        <v/>
      </c>
      <c r="K2578" s="143" t="str">
        <f t="shared" si="622"/>
        <v/>
      </c>
      <c r="L2578" s="143" t="str">
        <f t="shared" si="622"/>
        <v/>
      </c>
      <c r="M2578" s="143" t="str">
        <f t="shared" si="622"/>
        <v/>
      </c>
    </row>
    <row r="2579" spans="2:13" ht="12.75" customHeight="1" x14ac:dyDescent="0.2"/>
    <row r="2580" spans="2:13" ht="12.75" customHeight="1" x14ac:dyDescent="0.25">
      <c r="D2580" s="676" t="str">
        <f>IF('1. INTRO'!I$2="English","Co-funding need in average per year: ","Medfinansieringsbehov i genomsnitt per år: ")</f>
        <v xml:space="preserve">Co-funding need in average per year: </v>
      </c>
      <c r="E2580" s="92" t="str">
        <f>IF(M2568=0,"",M2568/(DATEDIF('2. START'!C$18,'2. START'!C$19,"d")/365))</f>
        <v/>
      </c>
      <c r="H2580" s="676" t="str">
        <f>IF('1. INTRO'!I$2="English","Co-funding need 1/3 of total: ","Medfinansieringsbehov 1/3 av totalt: ")</f>
        <v xml:space="preserve">Co-funding need 1/3 of total: </v>
      </c>
      <c r="I2580" s="92">
        <f>M2568/3</f>
        <v>0</v>
      </c>
      <c r="L2580" s="287" t="str">
        <f>IF('1. INTRO'!I$2="English","Co-funding need total: ","Medfinansieringsbehov totalt: ")</f>
        <v xml:space="preserve">Co-funding need total: </v>
      </c>
      <c r="M2580" s="92">
        <f>M2568</f>
        <v>0</v>
      </c>
    </row>
    <row r="2581" spans="2:13" ht="12.75" customHeight="1" x14ac:dyDescent="0.25">
      <c r="B2581" s="53" t="str">
        <f>IF('1. INTRO'!I$2="English","Co-funding sources","Medfinansieringskällor")</f>
        <v>Co-funding sources</v>
      </c>
    </row>
    <row r="2582" spans="2:13" ht="12.75" customHeight="1" x14ac:dyDescent="0.25">
      <c r="B2582" s="225"/>
      <c r="C2582" s="226"/>
      <c r="D2582" s="226"/>
      <c r="E2582" s="226"/>
      <c r="F2582" s="226"/>
      <c r="G2582" s="226"/>
      <c r="H2582" s="226"/>
      <c r="I2582" s="226"/>
      <c r="J2582" s="226"/>
      <c r="K2582" s="226"/>
      <c r="L2582" s="227"/>
      <c r="M2582" s="168">
        <f>SUM(C2582:L2582)</f>
        <v>0</v>
      </c>
    </row>
    <row r="2583" spans="2:13" ht="12.75" customHeight="1" x14ac:dyDescent="0.25">
      <c r="B2583" s="228"/>
      <c r="C2583" s="229"/>
      <c r="D2583" s="229"/>
      <c r="E2583" s="229"/>
      <c r="F2583" s="229"/>
      <c r="G2583" s="229"/>
      <c r="H2583" s="229"/>
      <c r="I2583" s="229"/>
      <c r="J2583" s="229"/>
      <c r="K2583" s="229"/>
      <c r="L2583" s="230"/>
      <c r="M2583" s="120">
        <f t="shared" ref="M2583:M2586" si="623">SUM(C2583:L2583)</f>
        <v>0</v>
      </c>
    </row>
    <row r="2584" spans="2:13" ht="12.75" customHeight="1" x14ac:dyDescent="0.25">
      <c r="B2584" s="231"/>
      <c r="C2584" s="232"/>
      <c r="D2584" s="232"/>
      <c r="E2584" s="232"/>
      <c r="F2584" s="232"/>
      <c r="G2584" s="232"/>
      <c r="H2584" s="232"/>
      <c r="I2584" s="232"/>
      <c r="J2584" s="232"/>
      <c r="K2584" s="232"/>
      <c r="L2584" s="233"/>
      <c r="M2584" s="117">
        <f t="shared" si="623"/>
        <v>0</v>
      </c>
    </row>
    <row r="2585" spans="2:13" ht="12.75" customHeight="1" x14ac:dyDescent="0.25">
      <c r="B2585" s="228"/>
      <c r="C2585" s="229"/>
      <c r="D2585" s="229"/>
      <c r="E2585" s="229"/>
      <c r="F2585" s="229"/>
      <c r="G2585" s="229"/>
      <c r="H2585" s="229"/>
      <c r="I2585" s="229"/>
      <c r="J2585" s="229"/>
      <c r="K2585" s="229"/>
      <c r="L2585" s="230"/>
      <c r="M2585" s="120">
        <f t="shared" si="623"/>
        <v>0</v>
      </c>
    </row>
    <row r="2586" spans="2:13" ht="12.75" customHeight="1" x14ac:dyDescent="0.25">
      <c r="B2586" s="93"/>
      <c r="C2586" s="232"/>
      <c r="D2586" s="232"/>
      <c r="E2586" s="232"/>
      <c r="F2586" s="232"/>
      <c r="G2586" s="232"/>
      <c r="H2586" s="232"/>
      <c r="I2586" s="232"/>
      <c r="J2586" s="232"/>
      <c r="K2586" s="232"/>
      <c r="L2586" s="233"/>
      <c r="M2586" s="117">
        <f t="shared" si="623"/>
        <v>0</v>
      </c>
    </row>
    <row r="2587" spans="2:13" ht="12.75" customHeight="1" x14ac:dyDescent="0.25">
      <c r="B2587" s="84" t="str">
        <f>IF('1. INTRO'!I$2="English","Total co-funding ","Total medfinansiering ")</f>
        <v xml:space="preserve">Total co-funding </v>
      </c>
      <c r="C2587" s="87">
        <f t="shared" ref="C2587:M2587" si="624">SUM(C2582:C2586)</f>
        <v>0</v>
      </c>
      <c r="D2587" s="87">
        <f t="shared" si="624"/>
        <v>0</v>
      </c>
      <c r="E2587" s="87">
        <f t="shared" si="624"/>
        <v>0</v>
      </c>
      <c r="F2587" s="87">
        <f t="shared" si="624"/>
        <v>0</v>
      </c>
      <c r="G2587" s="87">
        <f t="shared" si="624"/>
        <v>0</v>
      </c>
      <c r="H2587" s="87">
        <f t="shared" si="624"/>
        <v>0</v>
      </c>
      <c r="I2587" s="87">
        <f t="shared" si="624"/>
        <v>0</v>
      </c>
      <c r="J2587" s="87">
        <f t="shared" si="624"/>
        <v>0</v>
      </c>
      <c r="K2587" s="87">
        <f t="shared" si="624"/>
        <v>0</v>
      </c>
      <c r="L2587" s="87">
        <f t="shared" si="624"/>
        <v>0</v>
      </c>
      <c r="M2587" s="142">
        <f t="shared" si="624"/>
        <v>0</v>
      </c>
    </row>
    <row r="2588" spans="2:13" ht="12.75" customHeight="1" x14ac:dyDescent="0.2"/>
    <row r="2589" spans="2:13" ht="12.75" customHeight="1" x14ac:dyDescent="0.2">
      <c r="B2589" s="667" t="str">
        <f>IF('1. INTRO'!I$2="English","Calculation comments","Kalkylkommentarer")</f>
        <v>Calculation comments</v>
      </c>
      <c r="C2589" s="37" t="str">
        <f>B64</f>
        <v/>
      </c>
    </row>
    <row r="2590" spans="2:13" ht="12.75" customHeight="1" x14ac:dyDescent="0.2">
      <c r="B2590" s="1142"/>
      <c r="C2590" s="1143"/>
      <c r="D2590" s="1143"/>
      <c r="E2590" s="1143"/>
      <c r="F2590" s="1143"/>
      <c r="G2590" s="1143"/>
      <c r="H2590" s="1143"/>
      <c r="I2590" s="1143"/>
      <c r="J2590" s="1143"/>
      <c r="K2590" s="1143"/>
      <c r="L2590" s="1143"/>
      <c r="M2590" s="1144"/>
    </row>
    <row r="2591" spans="2:13" ht="12.75" customHeight="1" x14ac:dyDescent="0.2">
      <c r="B2591" s="1145"/>
      <c r="C2591" s="1226"/>
      <c r="D2591" s="1226"/>
      <c r="E2591" s="1226"/>
      <c r="F2591" s="1226"/>
      <c r="G2591" s="1226"/>
      <c r="H2591" s="1226"/>
      <c r="I2591" s="1226"/>
      <c r="J2591" s="1226"/>
      <c r="K2591" s="1226"/>
      <c r="L2591" s="1226"/>
      <c r="M2591" s="1147"/>
    </row>
    <row r="2592" spans="2:13" ht="12.75" customHeight="1" x14ac:dyDescent="0.2">
      <c r="B2592" s="1145"/>
      <c r="C2592" s="1226"/>
      <c r="D2592" s="1226"/>
      <c r="E2592" s="1226"/>
      <c r="F2592" s="1226"/>
      <c r="G2592" s="1226"/>
      <c r="H2592" s="1226"/>
      <c r="I2592" s="1226"/>
      <c r="J2592" s="1226"/>
      <c r="K2592" s="1226"/>
      <c r="L2592" s="1226"/>
      <c r="M2592" s="1147"/>
    </row>
    <row r="2593" spans="2:15" ht="12.75" customHeight="1" x14ac:dyDescent="0.2">
      <c r="B2593" s="1145"/>
      <c r="C2593" s="1226"/>
      <c r="D2593" s="1226"/>
      <c r="E2593" s="1226"/>
      <c r="F2593" s="1226"/>
      <c r="G2593" s="1226"/>
      <c r="H2593" s="1226"/>
      <c r="I2593" s="1226"/>
      <c r="J2593" s="1226"/>
      <c r="K2593" s="1226"/>
      <c r="L2593" s="1226"/>
      <c r="M2593" s="1147"/>
    </row>
    <row r="2594" spans="2:15" ht="12.75" customHeight="1" x14ac:dyDescent="0.2">
      <c r="B2594" s="1148"/>
      <c r="C2594" s="1149"/>
      <c r="D2594" s="1149"/>
      <c r="E2594" s="1149"/>
      <c r="F2594" s="1149"/>
      <c r="G2594" s="1149"/>
      <c r="H2594" s="1149"/>
      <c r="I2594" s="1149"/>
      <c r="J2594" s="1149"/>
      <c r="K2594" s="1149"/>
      <c r="L2594" s="1149"/>
      <c r="M2594" s="1150"/>
    </row>
    <row r="2596" spans="2:15" s="3" customFormat="1" ht="12.75" customHeight="1" x14ac:dyDescent="0.25">
      <c r="B2596" s="313" t="str">
        <f>'3. PARTNER'!C$4</f>
        <v xml:space="preserve">Project: </v>
      </c>
      <c r="C2596" s="1062" t="str">
        <f>'3. PARTNER'!D$4</f>
        <v/>
      </c>
      <c r="D2596" s="1001"/>
      <c r="E2596" s="1001"/>
      <c r="F2596" s="1001"/>
      <c r="G2596" s="1001"/>
      <c r="H2596" s="1001"/>
      <c r="I2596" s="1001"/>
      <c r="J2596" s="1001"/>
      <c r="K2596" s="1001"/>
      <c r="L2596" s="1001"/>
      <c r="M2596" s="1001"/>
    </row>
    <row r="2597" spans="2:15" s="3" customFormat="1" ht="13.2" x14ac:dyDescent="0.25">
      <c r="B2597" s="313" t="str">
        <f>'3. PARTNER'!C$5</f>
        <v xml:space="preserve">Calculation for: </v>
      </c>
      <c r="C2597" s="1062" t="str">
        <f>'3. PARTNER'!D$5</f>
        <v>APPLICATION</v>
      </c>
      <c r="D2597" s="1001"/>
      <c r="E2597" s="268"/>
      <c r="F2597" s="268"/>
      <c r="G2597" s="268"/>
      <c r="H2597" s="268"/>
      <c r="I2597" s="268"/>
      <c r="J2597" s="268"/>
      <c r="K2597" s="268"/>
      <c r="L2597" s="268"/>
      <c r="M2597" s="268"/>
    </row>
    <row r="2598" spans="2:15" s="3" customFormat="1" ht="13.2" x14ac:dyDescent="0.25">
      <c r="B2598" s="35" t="str">
        <f>'3. PARTNER'!C$6</f>
        <v xml:space="preserve">Project leader: </v>
      </c>
      <c r="C2598" s="1062" t="str">
        <f>'3. PARTNER'!D$6</f>
        <v/>
      </c>
      <c r="D2598" s="1001"/>
      <c r="E2598" s="1001"/>
      <c r="F2598" s="1001"/>
      <c r="G2598" s="1001"/>
      <c r="H2598" s="1001"/>
      <c r="I2598" s="1001"/>
      <c r="J2598" s="1001"/>
      <c r="K2598" s="1001"/>
      <c r="L2598" s="1001"/>
      <c r="M2598" s="1001"/>
    </row>
    <row r="2599" spans="2:15" s="3" customFormat="1" ht="13.2" x14ac:dyDescent="0.25">
      <c r="B2599" s="313" t="str">
        <f>'5. PERSON'!B$7</f>
        <v xml:space="preserve">Amounts in: </v>
      </c>
      <c r="C2599" s="655" t="str">
        <f>'5. PERSON'!C$7</f>
        <v>SEK</v>
      </c>
      <c r="D2599" s="268"/>
      <c r="E2599" s="268"/>
      <c r="F2599" s="268"/>
      <c r="G2599" s="234"/>
      <c r="H2599" s="234"/>
      <c r="I2599" s="270"/>
      <c r="J2599" s="270"/>
      <c r="K2599" s="270"/>
      <c r="L2599" s="270"/>
      <c r="M2599" s="270"/>
    </row>
    <row r="2600" spans="2:15" s="3" customFormat="1" ht="13.2" x14ac:dyDescent="0.25">
      <c r="B2600" s="313"/>
      <c r="C2600" s="1053" t="str">
        <f>'3. PARTNER'!D$7</f>
        <v>Other basic data about the project is in sheet 2.</v>
      </c>
      <c r="D2600" s="1001"/>
      <c r="E2600" s="1001"/>
      <c r="F2600" s="1001"/>
      <c r="G2600" s="234"/>
      <c r="H2600" s="234"/>
      <c r="I2600" s="270"/>
      <c r="J2600" s="270"/>
      <c r="K2600" s="270"/>
      <c r="L2600" s="251" t="s">
        <v>4</v>
      </c>
      <c r="M2600" s="270"/>
    </row>
    <row r="2601" spans="2:15" ht="12.75" customHeight="1" x14ac:dyDescent="0.2">
      <c r="L2601" s="252" t="str">
        <f>IF('1. INTRO'!I$2="English","months","månader")</f>
        <v>months</v>
      </c>
    </row>
    <row r="2602" spans="2:15" s="3" customFormat="1" ht="13.8" x14ac:dyDescent="0.25">
      <c r="B2602" s="157" t="str">
        <f>IF('1. INTRO'!I$2="English","Project costs","Projektkostnader")</f>
        <v>Project costs</v>
      </c>
      <c r="C2602" s="668" t="str">
        <f>A65</f>
        <v>EXT107</v>
      </c>
      <c r="D2602" s="1227" t="str">
        <f>B65</f>
        <v/>
      </c>
      <c r="E2602" s="1001"/>
      <c r="F2602" s="1001"/>
      <c r="G2602" s="1001"/>
      <c r="H2602" s="1001"/>
      <c r="I2602" s="37"/>
      <c r="J2602" s="37"/>
      <c r="K2602" s="37"/>
      <c r="L2602" s="642">
        <f>SUMIF('5. PERSON'!$B$17:$B$192,$C2602,'5. PERSON'!AE$17:AE$192)</f>
        <v>0</v>
      </c>
      <c r="M2602" s="680" t="s">
        <v>330</v>
      </c>
    </row>
    <row r="2603" spans="2:15" s="3" customFormat="1" ht="6" customHeight="1" x14ac:dyDescent="0.25">
      <c r="B2603" s="57"/>
      <c r="C2603" s="37"/>
      <c r="D2603" s="37"/>
      <c r="E2603" s="37"/>
      <c r="F2603" s="37"/>
      <c r="G2603" s="37"/>
      <c r="H2603" s="37"/>
      <c r="I2603" s="37"/>
      <c r="J2603" s="37"/>
      <c r="K2603" s="37"/>
      <c r="L2603" s="37"/>
      <c r="M2603" s="37"/>
    </row>
    <row r="2604" spans="2:15" s="3" customFormat="1" ht="13.2" x14ac:dyDescent="0.25">
      <c r="B2604" s="110" t="str">
        <f>IF('1. INTRO'!I$2="English","Costs to be covered by funding body","Kostnader att täckas av finansiär")</f>
        <v>Costs to be covered by funding body</v>
      </c>
      <c r="C2604" s="111">
        <f>'5. PERSON'!G$15</f>
        <v>1900</v>
      </c>
      <c r="D2604" s="111" t="str">
        <f>'5. PERSON'!H$15</f>
        <v/>
      </c>
      <c r="E2604" s="111" t="str">
        <f>'5. PERSON'!I$15</f>
        <v/>
      </c>
      <c r="F2604" s="111" t="str">
        <f>'5. PERSON'!J$15</f>
        <v/>
      </c>
      <c r="G2604" s="111" t="str">
        <f>'5. PERSON'!K$15</f>
        <v/>
      </c>
      <c r="H2604" s="111" t="str">
        <f>'5. PERSON'!L$15</f>
        <v/>
      </c>
      <c r="I2604" s="111" t="str">
        <f>'5. PERSON'!M$15</f>
        <v/>
      </c>
      <c r="J2604" s="111" t="str">
        <f>'5. PERSON'!N$15</f>
        <v/>
      </c>
      <c r="K2604" s="111" t="str">
        <f>'5. PERSON'!O$15</f>
        <v/>
      </c>
      <c r="L2604" s="111" t="str">
        <f>'5. PERSON'!P$15</f>
        <v/>
      </c>
      <c r="M2604" s="112" t="s">
        <v>2</v>
      </c>
    </row>
    <row r="2605" spans="2:15" s="3" customFormat="1" ht="12.75" customHeight="1" x14ac:dyDescent="0.25">
      <c r="B2605" s="113" t="str">
        <f>IF('1. INTRO'!I$2="English","Salary including social costs (LKP)","Lön inklusive LKP")</f>
        <v>Salary including social costs (LKP)</v>
      </c>
      <c r="C2605" s="114">
        <f>IF('2. START'!$C$14&gt;0,SUMIF('5. PERSON'!$B$17:$B$192,$C2602,'5. PERSON'!DN$17:DN$192),SUMIF('5. PERSON'!$B$17:$B$192,$C2602,'5. PERSON'!AT$17:AT$192))</f>
        <v>0</v>
      </c>
      <c r="D2605" s="114">
        <f>IF('2. START'!$C$14&gt;0,SUMIF('5. PERSON'!$B$17:$B$192,$C2602,'5. PERSON'!DO$17:DO$192),SUMIF('5. PERSON'!$B$17:$B$192,$C2602,'5. PERSON'!AU$17:AU$192))</f>
        <v>0</v>
      </c>
      <c r="E2605" s="114">
        <f>IF('2. START'!$C$14&gt;0,SUMIF('5. PERSON'!$B$17:$B$192,$C2602,'5. PERSON'!DP$17:DP$192),SUMIF('5. PERSON'!$B$17:$B$192,$C2602,'5. PERSON'!AV$17:AV$192))</f>
        <v>0</v>
      </c>
      <c r="F2605" s="114">
        <f>IF('2. START'!$C$14&gt;0,SUMIF('5. PERSON'!$B$17:$B$192,$C2602,'5. PERSON'!DQ$17:DQ$192),SUMIF('5. PERSON'!$B$17:$B$192,$C2602,'5. PERSON'!AW$17:AW$192))</f>
        <v>0</v>
      </c>
      <c r="G2605" s="114">
        <f>IF('2. START'!$C$14&gt;0,SUMIF('5. PERSON'!$B$17:$B$192,$C2602,'5. PERSON'!DR$17:DR$192),SUMIF('5. PERSON'!$B$17:$B$192,$C2602,'5. PERSON'!AX$17:AX$192))</f>
        <v>0</v>
      </c>
      <c r="H2605" s="114">
        <f>IF('2. START'!$C$14&gt;0,SUMIF('5. PERSON'!$B$17:$B$192,$C2602,'5. PERSON'!DS$17:DS$192),SUMIF('5. PERSON'!$B$17:$B$192,$C2602,'5. PERSON'!AY$17:AY$192))</f>
        <v>0</v>
      </c>
      <c r="I2605" s="114">
        <f>IF('2. START'!$C$14&gt;0,SUMIF('5. PERSON'!$B$17:$B$192,$C2602,'5. PERSON'!DT$17:DT$192),SUMIF('5. PERSON'!$B$17:$B$192,$C2602,'5. PERSON'!AZ$17:AZ$192))</f>
        <v>0</v>
      </c>
      <c r="J2605" s="114">
        <f>IF('2. START'!$C$14&gt;0,SUMIF('5. PERSON'!$B$17:$B$192,$C2602,'5. PERSON'!DU$17:DU$192),SUMIF('5. PERSON'!$B$17:$B$192,$C2602,'5. PERSON'!BA$17:BA$192))</f>
        <v>0</v>
      </c>
      <c r="K2605" s="114">
        <f>IF('2. START'!$C$14&gt;0,SUMIF('5. PERSON'!$B$17:$B$192,$C2602,'5. PERSON'!DV$17:DV$192),SUMIF('5. PERSON'!$B$17:$B$192,$C2602,'5. PERSON'!BB$17:BB$192))</f>
        <v>0</v>
      </c>
      <c r="L2605" s="114">
        <f>IF('2. START'!$C$14&gt;0,SUMIF('5. PERSON'!$B$17:$B$192,$C2602,'5. PERSON'!DW$17:DW$192),SUMIF('5. PERSON'!$B$17:$B$192,$C2602,'5. PERSON'!BC$17:BC$192))</f>
        <v>0</v>
      </c>
      <c r="M2605" s="115">
        <f t="shared" ref="M2605:M2610" si="625">SUM(C2605:L2605)</f>
        <v>0</v>
      </c>
      <c r="O2605" s="4"/>
    </row>
    <row r="2606" spans="2:15" s="3" customFormat="1" ht="12.75" customHeight="1" x14ac:dyDescent="0.25">
      <c r="B2606" s="80" t="str">
        <f>IF('1. INTRO'!I$2="English","Operating","Drift")</f>
        <v>Operating</v>
      </c>
      <c r="C2606" s="116">
        <f>SUMIF('6. OPERATION'!$B$17:$B$149,$C2602,'6. OPERATION'!W$17:W$149)</f>
        <v>0</v>
      </c>
      <c r="D2606" s="116">
        <f>SUMIF('6. OPERATION'!$B$17:$B$149,$C2602,'6. OPERATION'!X$17:X$149)</f>
        <v>0</v>
      </c>
      <c r="E2606" s="116">
        <f>SUMIF('6. OPERATION'!$B$17:$B$149,$C2602,'6. OPERATION'!Y$17:Y$149)</f>
        <v>0</v>
      </c>
      <c r="F2606" s="116">
        <f>SUMIF('6. OPERATION'!$B$17:$B$149,$C2602,'6. OPERATION'!Z$17:Z$149)</f>
        <v>0</v>
      </c>
      <c r="G2606" s="116">
        <f>SUMIF('6. OPERATION'!$B$17:$B$149,$C2602,'6. OPERATION'!AA$17:AA$149)</f>
        <v>0</v>
      </c>
      <c r="H2606" s="116">
        <f>SUMIF('6. OPERATION'!$B$17:$B$149,$C2602,'6. OPERATION'!AB$17:AB$149)</f>
        <v>0</v>
      </c>
      <c r="I2606" s="116">
        <f>SUMIF('6. OPERATION'!$B$17:$B$149,$C2602,'6. OPERATION'!AC$17:AC$149)</f>
        <v>0</v>
      </c>
      <c r="J2606" s="116">
        <f>SUMIF('6. OPERATION'!$B$17:$B$149,$C2602,'6. OPERATION'!AD$17:AD$149)</f>
        <v>0</v>
      </c>
      <c r="K2606" s="116">
        <f>SUMIF('6. OPERATION'!$B$17:$B$149,$C2602,'6. OPERATION'!AE$17:AE$149)</f>
        <v>0</v>
      </c>
      <c r="L2606" s="116">
        <f>SUMIF('6. OPERATION'!$B$17:$B$149,$C2602,'6. OPERATION'!AF$17:AF$149)</f>
        <v>0</v>
      </c>
      <c r="M2606" s="117">
        <f t="shared" si="625"/>
        <v>0</v>
      </c>
    </row>
    <row r="2607" spans="2:15" s="3" customFormat="1" ht="13.2" x14ac:dyDescent="0.25">
      <c r="B2607" s="118" t="str">
        <f>IF('1. INTRO'!I$2="English","Equipment","Utrustning")</f>
        <v>Equipment</v>
      </c>
      <c r="C2607" s="119">
        <f>SUMIF('7. INVEST'!$B$17:$B$49,$C2602,'7. INVEST'!W$17:W$49)</f>
        <v>0</v>
      </c>
      <c r="D2607" s="119">
        <f>SUMIF('7. INVEST'!$B$17:$B$49,$C2602,'7. INVEST'!X$17:X$49)</f>
        <v>0</v>
      </c>
      <c r="E2607" s="119">
        <f>SUMIF('7. INVEST'!$B$17:$B$49,$C2602,'7. INVEST'!Y$17:Y$49)</f>
        <v>0</v>
      </c>
      <c r="F2607" s="119">
        <f>SUMIF('7. INVEST'!$B$17:$B$49,$C2602,'7. INVEST'!Z$17:Z$49)</f>
        <v>0</v>
      </c>
      <c r="G2607" s="119">
        <f>SUMIF('7. INVEST'!$B$17:$B$49,$C2602,'7. INVEST'!AA$17:AA$49)</f>
        <v>0</v>
      </c>
      <c r="H2607" s="119">
        <f>SUMIF('7. INVEST'!$B$17:$B$49,$C2602,'7. INVEST'!AB$17:AB$49)</f>
        <v>0</v>
      </c>
      <c r="I2607" s="119">
        <f>SUMIF('7. INVEST'!$B$17:$B$49,$C2602,'7. INVEST'!AC$17:AC$49)</f>
        <v>0</v>
      </c>
      <c r="J2607" s="119">
        <f>SUMIF('7. INVEST'!$B$17:$B$49,$C2602,'7. INVEST'!AD$17:AD$49)</f>
        <v>0</v>
      </c>
      <c r="K2607" s="119">
        <f>SUMIF('7. INVEST'!$B$17:$B$49,$C2602,'7. INVEST'!AE$17:AE$49)</f>
        <v>0</v>
      </c>
      <c r="L2607" s="119">
        <f>SUMIF('7. INVEST'!$B$17:$B$49,$C2602,'7. INVEST'!AF$17:AF$49)</f>
        <v>0</v>
      </c>
      <c r="M2607" s="120">
        <f t="shared" si="625"/>
        <v>0</v>
      </c>
    </row>
    <row r="2608" spans="2:15" s="3" customFormat="1" ht="13.2" x14ac:dyDescent="0.25">
      <c r="B2608" s="121" t="str">
        <f>IF('1. INTRO'!I$2="English",(IF('2. START'!C$11="NO","Facility accepted as direct cost by funding body","Facility")),IF('2. START'!C$11="NO","Lokal accepterad som direkt kostnad av finansiär","Lokal"))</f>
        <v>Facility</v>
      </c>
      <c r="C2608" s="116">
        <f>IF('2. START'!$C$11="NO",SUMIF('8. FACILIT'!$B$18:$B$50,$C2602,'8. FACILIT'!T$18:T$50),SUMIF('5. PERSON'!$B$17:$B$192,$C2602,'5. PERSON'!CP$17:CP$192)+SUMIF('6. OPERATION'!$B$17:$B$149,$C2602,'6. OPERATION'!BS$17:BS$149)+SUMIF('8. FACILIT'!$B$18:$B$50,$C2602,'8. FACILIT'!T$18:T$50))</f>
        <v>0</v>
      </c>
      <c r="D2608" s="116">
        <f>IF('2. START'!$C$11="NO",SUMIF('8. FACILIT'!$B$18:$B$50,$C2602,'8. FACILIT'!U$18:U$50),SUMIF('5. PERSON'!$B$17:$B$192,$C2602,'5. PERSON'!CQ$17:CQ$192)+SUMIF('6. OPERATION'!$B$17:$B$149,$C2602,'6. OPERATION'!BT$17:BT$149)+SUMIF('8. FACILIT'!$B$18:$B$50,$C2602,'8. FACILIT'!U$18:U$50))</f>
        <v>0</v>
      </c>
      <c r="E2608" s="116">
        <f>IF('2. START'!$C$11="NO",SUMIF('8. FACILIT'!$B$18:$B$50,$C2602,'8. FACILIT'!V$18:V$50),SUMIF('5. PERSON'!$B$17:$B$192,$C2602,'5. PERSON'!CR$17:CR$192)+SUMIF('6. OPERATION'!$B$17:$B$149,$C2602,'6. OPERATION'!BU$17:BU$149)+SUMIF('8. FACILIT'!$B$18:$B$50,$C2602,'8. FACILIT'!V$18:V$50))</f>
        <v>0</v>
      </c>
      <c r="F2608" s="116">
        <f>IF('2. START'!$C$11="NO",SUMIF('8. FACILIT'!$B$18:$B$50,$C2602,'8. FACILIT'!W$18:W$50),SUMIF('5. PERSON'!$B$17:$B$192,$C2602,'5. PERSON'!CS$17:CS$192)+SUMIF('6. OPERATION'!$B$17:$B$149,$C2602,'6. OPERATION'!BV$17:BV$149)+SUMIF('8. FACILIT'!$B$18:$B$50,$C2602,'8. FACILIT'!W$18:W$50))</f>
        <v>0</v>
      </c>
      <c r="G2608" s="116">
        <f>IF('2. START'!$C$11="NO",SUMIF('8. FACILIT'!$B$18:$B$50,$C2602,'8. FACILIT'!X$18:X$50),SUMIF('5. PERSON'!$B$17:$B$192,$C2602,'5. PERSON'!CT$17:CT$192)+SUMIF('6. OPERATION'!$B$17:$B$149,$C2602,'6. OPERATION'!BW$17:BW$149)+SUMIF('8. FACILIT'!$B$18:$B$50,$C2602,'8. FACILIT'!X$18:X$50))</f>
        <v>0</v>
      </c>
      <c r="H2608" s="116">
        <f>IF('2. START'!$C$11="NO",SUMIF('8. FACILIT'!$B$18:$B$50,$C2602,'8. FACILIT'!Y$18:Y$50),SUMIF('5. PERSON'!$B$17:$B$192,$C2602,'5. PERSON'!CU$17:CU$192)+SUMIF('6. OPERATION'!$B$17:$B$149,$C2602,'6. OPERATION'!BX$17:BX$149)+SUMIF('8. FACILIT'!$B$18:$B$50,$C2602,'8. FACILIT'!Y$18:Y$50))</f>
        <v>0</v>
      </c>
      <c r="I2608" s="116">
        <f>IF('2. START'!$C$11="NO",SUMIF('8. FACILIT'!$B$18:$B$50,$C2602,'8. FACILIT'!Z$18:Z$50),SUMIF('5. PERSON'!$B$17:$B$192,$C2602,'5. PERSON'!CV$17:CV$192)+SUMIF('6. OPERATION'!$B$17:$B$149,$C2602,'6. OPERATION'!BY$17:BY$149)+SUMIF('8. FACILIT'!$B$18:$B$50,$C2602,'8. FACILIT'!Z$18:Z$50))</f>
        <v>0</v>
      </c>
      <c r="J2608" s="116">
        <f>IF('2. START'!$C$11="NO",SUMIF('8. FACILIT'!$B$18:$B$50,$C2602,'8. FACILIT'!AA$18:AA$50),SUMIF('5. PERSON'!$B$17:$B$192,$C2602,'5. PERSON'!CW$17:CW$192)+SUMIF('6. OPERATION'!$B$17:$B$149,$C2602,'6. OPERATION'!BZ$17:BZ$149)+SUMIF('8. FACILIT'!$B$18:$B$50,$C2602,'8. FACILIT'!AA$18:AA$50))</f>
        <v>0</v>
      </c>
      <c r="K2608" s="116">
        <f>IF('2. START'!$C$11="NO",SUMIF('8. FACILIT'!$B$18:$B$50,$C2602,'8. FACILIT'!AB$18:AB$50),SUMIF('5. PERSON'!$B$17:$B$192,$C2602,'5. PERSON'!CX$17:CX$192)+SUMIF('6. OPERATION'!$B$17:$B$149,$C2602,'6. OPERATION'!CA$17:CA$149)+SUMIF('8. FACILIT'!$B$18:$B$50,$C2602,'8. FACILIT'!AB$18:AB$50))</f>
        <v>0</v>
      </c>
      <c r="L2608" s="116">
        <f>IF('2. START'!$C$11="NO",SUMIF('8. FACILIT'!$B$18:$B$50,$C2602,'8. FACILIT'!AC$18:AC$50),SUMIF('5. PERSON'!$B$17:$B$192,$C2602,'5. PERSON'!CY$17:CY$192)+SUMIF('6. OPERATION'!$B$17:$B$149,$C2602,'6. OPERATION'!CB$17:CB$149)+SUMIF('8. FACILIT'!$B$18:$B$50,$C2602,'8. FACILIT'!AC$18:AC$50))</f>
        <v>0</v>
      </c>
      <c r="M2608" s="117">
        <f t="shared" si="625"/>
        <v>0</v>
      </c>
    </row>
    <row r="2609" spans="2:15" s="3" customFormat="1" ht="13.2" x14ac:dyDescent="0.25">
      <c r="B2609" s="122" t="str">
        <f>IF('1. INTRO'!I$2="English",(IF('2. START'!C$11="NO","Indirect and facility charge accepted as OH by funding body","Indirect")),IF('2. START'!C$11="NO","Indirekt och lokalpåslag accepterade som OH av finansiär","Indirekt"))</f>
        <v>Indirect</v>
      </c>
      <c r="C2609" s="107">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107">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107">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107">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107">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107">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107">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107">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107">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107">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120">
        <f t="shared" si="625"/>
        <v>0</v>
      </c>
    </row>
    <row r="2610" spans="2:15" s="3" customFormat="1" ht="13.2" x14ac:dyDescent="0.25">
      <c r="B2610" s="124" t="s">
        <v>113</v>
      </c>
      <c r="C2610" s="102">
        <f>SUM(C2605:C2609)</f>
        <v>0</v>
      </c>
      <c r="D2610" s="102">
        <f t="shared" ref="D2610:L2610" si="626">SUM(D2605:D2609)</f>
        <v>0</v>
      </c>
      <c r="E2610" s="102">
        <f t="shared" si="626"/>
        <v>0</v>
      </c>
      <c r="F2610" s="102">
        <f t="shared" si="626"/>
        <v>0</v>
      </c>
      <c r="G2610" s="102">
        <f t="shared" si="626"/>
        <v>0</v>
      </c>
      <c r="H2610" s="102">
        <f t="shared" si="626"/>
        <v>0</v>
      </c>
      <c r="I2610" s="102">
        <f t="shared" si="626"/>
        <v>0</v>
      </c>
      <c r="J2610" s="102">
        <f t="shared" si="626"/>
        <v>0</v>
      </c>
      <c r="K2610" s="102">
        <f t="shared" si="626"/>
        <v>0</v>
      </c>
      <c r="L2610" s="102">
        <f t="shared" si="626"/>
        <v>0</v>
      </c>
      <c r="M2610" s="125">
        <f t="shared" si="625"/>
        <v>0</v>
      </c>
    </row>
    <row r="2611" spans="2:15" s="3" customFormat="1" ht="6" customHeight="1" x14ac:dyDescent="0.25">
      <c r="B2611" s="126"/>
      <c r="C2611" s="127"/>
      <c r="D2611" s="127"/>
      <c r="E2611" s="127"/>
      <c r="F2611" s="127"/>
      <c r="G2611" s="127"/>
      <c r="H2611" s="127"/>
      <c r="I2611" s="127"/>
      <c r="J2611" s="127"/>
      <c r="K2611" s="127"/>
      <c r="L2611" s="127"/>
      <c r="M2611" s="128"/>
    </row>
    <row r="2612" spans="2:15" s="3" customFormat="1" ht="13.2" x14ac:dyDescent="0.25">
      <c r="B2612" s="129" t="str">
        <f>IF('1. INTRO'!I$2="English","Costs to be co-funded","Kostnader att medfinansiera")</f>
        <v>Costs to be co-funded</v>
      </c>
      <c r="C2612" s="86"/>
      <c r="D2612" s="86"/>
      <c r="E2612" s="86"/>
      <c r="F2612" s="86"/>
      <c r="G2612" s="86"/>
      <c r="H2612" s="86"/>
      <c r="I2612" s="86"/>
      <c r="J2612" s="86"/>
      <c r="K2612" s="86"/>
      <c r="L2612" s="86"/>
      <c r="M2612" s="130"/>
    </row>
    <row r="2613" spans="2:15" s="3" customFormat="1" ht="13.2" x14ac:dyDescent="0.25">
      <c r="B2613" s="159" t="str">
        <f>IF('1. INTRO'!I$2="English",(IF('2. START'!C$11="NO","Indirect and facility charge not accepted as OH by funding body","")),IF('2. START'!C$11="NO","Indirekt och lokalpåslag inte accepterade som OH av finansiär",""))</f>
        <v/>
      </c>
      <c r="C2613" s="131">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31">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31">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31">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31">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31">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31">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31">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31">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31">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115">
        <f t="shared" ref="M2613:M2619" si="627">SUM(C2613:L2613)</f>
        <v>0</v>
      </c>
    </row>
    <row r="2614" spans="2:15" s="3" customFormat="1" ht="12.75" customHeight="1" x14ac:dyDescent="0.25">
      <c r="B2614" s="132" t="str">
        <f>IF('1. INTRO'!I$2="English",(IF('2. START'!C$14&gt;0,"Social costs (LKP) not accepted by funding body","")),IF('2. START'!C$14&gt;0,"LKP som inte accepteras av finansiär",""))</f>
        <v/>
      </c>
      <c r="C2614" s="133">
        <f>IF('2. START'!$C$14&gt;0,SUMIF('5. PERSON'!$B$17:$B$192,$C2602,'5. PERSON'!AT$17:AT$192)-SUMIF('5. PERSON'!$B$17:$B$192,$C2602,'5. PERSON'!DN$17:DN$192),0)</f>
        <v>0</v>
      </c>
      <c r="D2614" s="133">
        <f>IF('2. START'!$C$14&gt;0,SUMIF('5. PERSON'!$B$17:$B$192,$C2602,'5. PERSON'!AU$17:AU$192)-SUMIF('5. PERSON'!$B$17:$B$192,$C2602,'5. PERSON'!DO$17:DO$192),0)</f>
        <v>0</v>
      </c>
      <c r="E2614" s="133">
        <f>IF('2. START'!$C$14&gt;0,SUMIF('5. PERSON'!$B$17:$B$192,$C2602,'5. PERSON'!AV$17:AV$192)-SUMIF('5. PERSON'!$B$17:$B$192,$C2602,'5. PERSON'!DP$17:DP$192),0)</f>
        <v>0</v>
      </c>
      <c r="F2614" s="133">
        <f>IF('2. START'!$C$14&gt;0,SUMIF('5. PERSON'!$B$17:$B$192,$C2602,'5. PERSON'!AW$17:AW$192)-SUMIF('5. PERSON'!$B$17:$B$192,$C2602,'5. PERSON'!DQ$17:DQ$192),0)</f>
        <v>0</v>
      </c>
      <c r="G2614" s="133">
        <f>IF('2. START'!$C$14&gt;0,SUMIF('5. PERSON'!$B$17:$B$192,$C2602,'5. PERSON'!AX$17:AX$192)-SUMIF('5. PERSON'!$B$17:$B$192,$C2602,'5. PERSON'!DR$17:DR$192),0)</f>
        <v>0</v>
      </c>
      <c r="H2614" s="133">
        <f>IF('2. START'!$C$14&gt;0,SUMIF('5. PERSON'!$B$17:$B$192,$C2602,'5. PERSON'!AY$17:AY$192)-SUMIF('5. PERSON'!$B$17:$B$192,$C2602,'5. PERSON'!DS$17:DS$192),0)</f>
        <v>0</v>
      </c>
      <c r="I2614" s="133">
        <f>IF('2. START'!$C$14&gt;0,SUMIF('5. PERSON'!$B$17:$B$192,$C2602,'5. PERSON'!AZ$17:AZ$192)-SUMIF('5. PERSON'!$B$17:$B$192,$C2602,'5. PERSON'!DT$17:DT$192),0)</f>
        <v>0</v>
      </c>
      <c r="J2614" s="133">
        <f>IF('2. START'!$C$14&gt;0,SUMIF('5. PERSON'!$B$17:$B$192,$C2602,'5. PERSON'!BA$17:BA$192)-SUMIF('5. PERSON'!$B$17:$B$192,$C2602,'5. PERSON'!DU$17:DU$192),0)</f>
        <v>0</v>
      </c>
      <c r="K2614" s="133">
        <f>IF('2. START'!$C$14&gt;0,SUMIF('5. PERSON'!$B$17:$B$192,$C2602,'5. PERSON'!BB$17:BB$192)-SUMIF('5. PERSON'!$B$17:$B$192,$C2602,'5. PERSON'!DV$17:DV$192),0)</f>
        <v>0</v>
      </c>
      <c r="L2614" s="133">
        <f>IF('2. START'!$C$14&gt;0,SUMIF('5. PERSON'!$B$17:$B$192,$C2602,'5. PERSON'!BC$17:BC$192)-SUMIF('5. PERSON'!$B$17:$B$192,$C2602,'5. PERSON'!DW$17:DW$192),0)</f>
        <v>0</v>
      </c>
      <c r="M2614" s="117">
        <f t="shared" si="627"/>
        <v>0</v>
      </c>
    </row>
    <row r="2615" spans="2:15" s="3" customFormat="1" ht="12.75" customHeight="1" x14ac:dyDescent="0.25">
      <c r="B2615" s="118" t="str">
        <f>IF('1. INTRO'!I$2="English",(IF('5. PERSON'!BP$193&gt;0,"Salary including social costs (LKP)","")),IF('5. PERSON'!BP$193&gt;0,"Lön inklusive LKP",""))</f>
        <v/>
      </c>
      <c r="C2615" s="134">
        <f>SUMIF('5. PERSON'!$B$17:$B$192,$C2602,'5. PERSON'!BF$17:BF$192)</f>
        <v>0</v>
      </c>
      <c r="D2615" s="134">
        <f>SUMIF('5. PERSON'!$B$17:$B$192,$C2602,'5. PERSON'!BG$17:BG$192)</f>
        <v>0</v>
      </c>
      <c r="E2615" s="134">
        <f>SUMIF('5. PERSON'!$B$17:$B$192,$C2602,'5. PERSON'!BH$17:BH$192)</f>
        <v>0</v>
      </c>
      <c r="F2615" s="134">
        <f>SUMIF('5. PERSON'!$B$17:$B$192,$C2602,'5. PERSON'!BI$17:BI$192)</f>
        <v>0</v>
      </c>
      <c r="G2615" s="134">
        <f>SUMIF('5. PERSON'!$B$17:$B$192,$C2602,'5. PERSON'!BJ$17:BJ$192)</f>
        <v>0</v>
      </c>
      <c r="H2615" s="134">
        <f>SUMIF('5. PERSON'!$B$17:$B$192,$C2602,'5. PERSON'!BK$17:BK$192)</f>
        <v>0</v>
      </c>
      <c r="I2615" s="134">
        <f>SUMIF('5. PERSON'!$B$17:$B$192,$C2602,'5. PERSON'!BL$17:BL$192)</f>
        <v>0</v>
      </c>
      <c r="J2615" s="134">
        <f>SUMIF('5. PERSON'!$B$17:$B$192,$C2602,'5. PERSON'!BM$17:BM$192)</f>
        <v>0</v>
      </c>
      <c r="K2615" s="134">
        <f>SUMIF('5. PERSON'!$B$17:$B$192,$C2602,'5. PERSON'!BN$17:BN$192)</f>
        <v>0</v>
      </c>
      <c r="L2615" s="134">
        <f>SUMIF('5. PERSON'!$B$17:$B$192,$C2602,'5. PERSON'!BO$17:BO$192)</f>
        <v>0</v>
      </c>
      <c r="M2615" s="120">
        <f t="shared" si="627"/>
        <v>0</v>
      </c>
    </row>
    <row r="2616" spans="2:15" s="3" customFormat="1" ht="13.2" x14ac:dyDescent="0.25">
      <c r="B2616" s="80" t="str">
        <f>IF('1. INTRO'!I$2="English",(IF('6. OPERATION'!AS$150&gt;0,"Operating","")),IF('6. OPERATION'!AS$150&gt;0,"Drift",""))</f>
        <v/>
      </c>
      <c r="C2616" s="135">
        <f>SUMIF('6. OPERATION'!$B$17:$B$149,$C2602,'6. OPERATION'!AI$17:AI$149)</f>
        <v>0</v>
      </c>
      <c r="D2616" s="135">
        <f>SUMIF('6. OPERATION'!$B$17:$B$149,$C2602,'6. OPERATION'!AJ$17:AJ$149)</f>
        <v>0</v>
      </c>
      <c r="E2616" s="135">
        <f>SUMIF('6. OPERATION'!$B$17:$B$149,$C2602,'6. OPERATION'!AK$17:AK$149)</f>
        <v>0</v>
      </c>
      <c r="F2616" s="135">
        <f>SUMIF('6. OPERATION'!$B$17:$B$149,$C2602,'6. OPERATION'!AL$17:AL$149)</f>
        <v>0</v>
      </c>
      <c r="G2616" s="135">
        <f>SUMIF('6. OPERATION'!$B$17:$B$149,$C2602,'6. OPERATION'!AM$17:AM$149)</f>
        <v>0</v>
      </c>
      <c r="H2616" s="135">
        <f>SUMIF('6. OPERATION'!$B$17:$B$149,$C2602,'6. OPERATION'!AN$17:AN$149)</f>
        <v>0</v>
      </c>
      <c r="I2616" s="135">
        <f>SUMIF('6. OPERATION'!$B$17:$B$149,$C2602,'6. OPERATION'!AO$17:AO$149)</f>
        <v>0</v>
      </c>
      <c r="J2616" s="135">
        <f>SUMIF('6. OPERATION'!$B$17:$B$149,$C2602,'6. OPERATION'!AP$17:AP$149)</f>
        <v>0</v>
      </c>
      <c r="K2616" s="135">
        <f>SUMIF('6. OPERATION'!$B$17:$B$149,$C2602,'6. OPERATION'!AQ$17:AQ$149)</f>
        <v>0</v>
      </c>
      <c r="L2616" s="135">
        <f>SUMIF('6. OPERATION'!$B$17:$B$149,$C2602,'6. OPERATION'!AR$17:AR$149)</f>
        <v>0</v>
      </c>
      <c r="M2616" s="117">
        <f t="shared" si="627"/>
        <v>0</v>
      </c>
    </row>
    <row r="2617" spans="2:15" s="3" customFormat="1" ht="13.2" x14ac:dyDescent="0.25">
      <c r="B2617" s="118" t="str">
        <f>IF('1. INTRO'!I$2="English",(IF('7. INVEST'!AS$50&gt;0,"Equipment","")),IF('7. INVEST'!AS$50&gt;0,"Utrustning",""))</f>
        <v/>
      </c>
      <c r="C2617" s="134">
        <f>SUMIF('7. INVEST'!$B$17:$B$49,$C2602,'7. INVEST'!AI$17:AI$49)</f>
        <v>0</v>
      </c>
      <c r="D2617" s="134">
        <f>SUMIF('7. INVEST'!$B$17:$B$49,$C2602,'7. INVEST'!AJ$17:AJ$49)</f>
        <v>0</v>
      </c>
      <c r="E2617" s="134">
        <f>SUMIF('7. INVEST'!$B$17:$B$49,$C2602,'7. INVEST'!AK$17:AK$49)</f>
        <v>0</v>
      </c>
      <c r="F2617" s="134">
        <f>SUMIF('7. INVEST'!$B$17:$B$49,$C2602,'7. INVEST'!AL$17:AL$49)</f>
        <v>0</v>
      </c>
      <c r="G2617" s="134">
        <f>SUMIF('7. INVEST'!$B$17:$B$49,$C2602,'7. INVEST'!AM$17:AM$49)</f>
        <v>0</v>
      </c>
      <c r="H2617" s="134">
        <f>SUMIF('7. INVEST'!$B$17:$B$49,$C2602,'7. INVEST'!AN$17:AN$49)</f>
        <v>0</v>
      </c>
      <c r="I2617" s="134">
        <f>SUMIF('7. INVEST'!$B$17:$B$49,$C2602,'7. INVEST'!AO$17:AO$49)</f>
        <v>0</v>
      </c>
      <c r="J2617" s="134">
        <f>SUMIF('7. INVEST'!$B$17:$B$49,$C2602,'7. INVEST'!AP$17:AP$49)</f>
        <v>0</v>
      </c>
      <c r="K2617" s="134">
        <f>SUMIF('7. INVEST'!$B$17:$B$49,$C2602,'7. INVEST'!AQ$17:AQ$49)</f>
        <v>0</v>
      </c>
      <c r="L2617" s="134">
        <f>SUMIF('7. INVEST'!$B$17:$B$49,$C2602,'7. INVEST'!AR$17:AR$49)</f>
        <v>0</v>
      </c>
      <c r="M2617" s="120">
        <f t="shared" si="627"/>
        <v>0</v>
      </c>
    </row>
    <row r="2618" spans="2:15" s="3" customFormat="1" ht="13.2" x14ac:dyDescent="0.25">
      <c r="B2618" s="121" t="str">
        <f>IF('1. INTRO'!I$2="English",(IF('8. FACILIT'!AP$51&gt;0,"Facility","")),IF('8. FACILIT'!AP$51&gt;0,"Lokal",""))</f>
        <v/>
      </c>
      <c r="C2618" s="135">
        <f>SUMIF('5. PERSON'!$B$17:$B$192,$C2602,'5. PERSON'!DB$17:DB$192)+SUMIF('6. OPERATION'!$B$17:$B$149,$C2602,'6. OPERATION'!CE$17:CE$149)+SUMIF('8. FACILIT'!$B$18:$B$50,$C2602,'8. FACILIT'!AF$18:AF$50)</f>
        <v>0</v>
      </c>
      <c r="D2618" s="135">
        <f>SUMIF('5. PERSON'!$B$17:$B$192,$C2602,'5. PERSON'!DC$17:DC$192)+SUMIF('6. OPERATION'!$B$17:$B$149,$C2602,'6. OPERATION'!CF$17:CF$149)+SUMIF('8. FACILIT'!$B$18:$B$50,$C2602,'8. FACILIT'!AG$18:AG$50)</f>
        <v>0</v>
      </c>
      <c r="E2618" s="135">
        <f>SUMIF('5. PERSON'!$B$17:$B$192,$C2602,'5. PERSON'!DD$17:DD$192)+SUMIF('6. OPERATION'!$B$17:$B$149,$C2602,'6. OPERATION'!CG$17:CG$149)+SUMIF('8. FACILIT'!$B$18:$B$50,$C2602,'8. FACILIT'!AH$18:AH$50)</f>
        <v>0</v>
      </c>
      <c r="F2618" s="135">
        <f>SUMIF('5. PERSON'!$B$17:$B$192,$C2602,'5. PERSON'!DE$17:DE$192)+SUMIF('6. OPERATION'!$B$17:$B$149,$C2602,'6. OPERATION'!CH$17:CH$149)+SUMIF('8. FACILIT'!$B$18:$B$50,$C2602,'8. FACILIT'!AI$18:AI$50)</f>
        <v>0</v>
      </c>
      <c r="G2618" s="135">
        <f>SUMIF('5. PERSON'!$B$17:$B$192,$C2602,'5. PERSON'!DF$17:DF$192)+SUMIF('6. OPERATION'!$B$17:$B$149,$C2602,'6. OPERATION'!CI$17:CI$149)+SUMIF('8. FACILIT'!$B$18:$B$50,$C2602,'8. FACILIT'!AJ$18:AJ$50)</f>
        <v>0</v>
      </c>
      <c r="H2618" s="135">
        <f>SUMIF('5. PERSON'!$B$17:$B$192,$C2602,'5. PERSON'!DG$17:DG$192)+SUMIF('6. OPERATION'!$B$17:$B$149,$C2602,'6. OPERATION'!CJ$17:CJ$149)+SUMIF('8. FACILIT'!$B$18:$B$50,$C2602,'8. FACILIT'!AK$18:AK$50)</f>
        <v>0</v>
      </c>
      <c r="I2618" s="135">
        <f>SUMIF('5. PERSON'!$B$17:$B$192,$C2602,'5. PERSON'!DH$17:DH$192)+SUMIF('6. OPERATION'!$B$17:$B$149,$C2602,'6. OPERATION'!CK$17:CK$149)+SUMIF('8. FACILIT'!$B$18:$B$50,$C2602,'8. FACILIT'!AL$18:AL$50)</f>
        <v>0</v>
      </c>
      <c r="J2618" s="135">
        <f>SUMIF('5. PERSON'!$B$17:$B$192,$C2602,'5. PERSON'!DI$17:DI$192)+SUMIF('6. OPERATION'!$B$17:$B$149,$C2602,'6. OPERATION'!CL$17:CL$149)+SUMIF('8. FACILIT'!$B$18:$B$50,$C2602,'8. FACILIT'!AM$18:AM$50)</f>
        <v>0</v>
      </c>
      <c r="K2618" s="135">
        <f>SUMIF('5. PERSON'!$B$17:$B$192,$C2602,'5. PERSON'!DJ$17:DJ$192)+SUMIF('6. OPERATION'!$B$17:$B$149,$C2602,'6. OPERATION'!CM$17:CM$149)+SUMIF('8. FACILIT'!$B$18:$B$50,$C2602,'8. FACILIT'!AN$18:AN$50)</f>
        <v>0</v>
      </c>
      <c r="L2618" s="135">
        <f>SUMIF('5. PERSON'!$B$17:$B$192,$C2602,'5. PERSON'!DK$17:DK$192)+SUMIF('6. OPERATION'!$B$17:$B$149,$C2602,'6. OPERATION'!CN$17:CN$149)+SUMIF('8. FACILIT'!$B$18:$B$50,$C2602,'8. FACILIT'!AO$18:AO$50)</f>
        <v>0</v>
      </c>
      <c r="M2618" s="117">
        <f t="shared" si="627"/>
        <v>0</v>
      </c>
    </row>
    <row r="2619" spans="2:15" s="1" customFormat="1" ht="13.2" x14ac:dyDescent="0.25">
      <c r="B2619" s="122" t="str">
        <f>IF('1. INTRO'!I$2="English",(IF(('5. PERSON'!CN$193+'6. OPERATION'!BQ$150)&gt;0,"Indirect","")),IF(('5. PERSON'!CN$193+'6. OPERATION'!BQ$150)&gt;0,"Indirekt",""))</f>
        <v/>
      </c>
      <c r="C2619" s="107">
        <f>SUMIF('5. PERSON'!$B$17:$B$192,$C2602,'5. PERSON'!CD$17:CD$192)+SUMIF('6. OPERATION'!$B$17:$B$149,$C2602,'6. OPERATION'!BG$17:BG$149)</f>
        <v>0</v>
      </c>
      <c r="D2619" s="107">
        <f>SUMIF('5. PERSON'!$B$17:$B$192,$C2602,'5. PERSON'!CE$17:CE$192)+SUMIF('6. OPERATION'!$B$17:$B$149,$C2602,'6. OPERATION'!BH$17:BH$149)</f>
        <v>0</v>
      </c>
      <c r="E2619" s="107">
        <f>SUMIF('5. PERSON'!$B$17:$B$192,$C2602,'5. PERSON'!CF$17:CF$192)+SUMIF('6. OPERATION'!$B$17:$B$149,$C2602,'6. OPERATION'!BI$17:BI$149)</f>
        <v>0</v>
      </c>
      <c r="F2619" s="107">
        <f>SUMIF('5. PERSON'!$B$17:$B$192,$C2602,'5. PERSON'!CG$17:CG$192)+SUMIF('6. OPERATION'!$B$17:$B$149,$C2602,'6. OPERATION'!BJ$17:BJ$149)</f>
        <v>0</v>
      </c>
      <c r="G2619" s="107">
        <f>SUMIF('5. PERSON'!$B$17:$B$192,$C2602,'5. PERSON'!CH$17:CH$192)+SUMIF('6. OPERATION'!$B$17:$B$149,$C2602,'6. OPERATION'!BK$17:BK$149)</f>
        <v>0</v>
      </c>
      <c r="H2619" s="107">
        <f>SUMIF('5. PERSON'!$B$17:$B$192,$C2602,'5. PERSON'!CI$17:CI$192)+SUMIF('6. OPERATION'!$B$17:$B$149,$C2602,'6. OPERATION'!BL$17:BL$149)</f>
        <v>0</v>
      </c>
      <c r="I2619" s="107">
        <f>SUMIF('5. PERSON'!$B$17:$B$192,$C2602,'5. PERSON'!CJ$17:CJ$192)+SUMIF('6. OPERATION'!$B$17:$B$149,$C2602,'6. OPERATION'!BM$17:BM$149)</f>
        <v>0</v>
      </c>
      <c r="J2619" s="107">
        <f>SUMIF('5. PERSON'!$B$17:$B$192,$C2602,'5. PERSON'!CK$17:CK$192)+SUMIF('6. OPERATION'!$B$17:$B$149,$C2602,'6. OPERATION'!BN$17:BN$149)</f>
        <v>0</v>
      </c>
      <c r="K2619" s="107">
        <f>SUMIF('5. PERSON'!$B$17:$B$192,$C2602,'5. PERSON'!CL$17:CL$192)+SUMIF('6. OPERATION'!$B$17:$B$149,$C2602,'6. OPERATION'!BO$17:BO$149)</f>
        <v>0</v>
      </c>
      <c r="L2619" s="107">
        <f>SUMIF('5. PERSON'!$B$17:$B$192,$C2602,'5. PERSON'!CM$17:CM$192)+SUMIF('6. OPERATION'!$B$17:$B$149,$C2602,'6. OPERATION'!BP$17:BP$149)</f>
        <v>0</v>
      </c>
      <c r="M2619" s="123">
        <f t="shared" si="627"/>
        <v>0</v>
      </c>
    </row>
    <row r="2620" spans="2:15" s="3" customFormat="1" ht="13.2" x14ac:dyDescent="0.25">
      <c r="B2620" s="124" t="s">
        <v>113</v>
      </c>
      <c r="C2620" s="102">
        <f>SUM(C2613:C2619)</f>
        <v>0</v>
      </c>
      <c r="D2620" s="102">
        <f t="shared" ref="D2620:L2620" si="628">SUM(D2613:D2619)</f>
        <v>0</v>
      </c>
      <c r="E2620" s="102">
        <f t="shared" si="628"/>
        <v>0</v>
      </c>
      <c r="F2620" s="102">
        <f t="shared" si="628"/>
        <v>0</v>
      </c>
      <c r="G2620" s="102">
        <f t="shared" si="628"/>
        <v>0</v>
      </c>
      <c r="H2620" s="102">
        <f t="shared" si="628"/>
        <v>0</v>
      </c>
      <c r="I2620" s="102">
        <f t="shared" si="628"/>
        <v>0</v>
      </c>
      <c r="J2620" s="102">
        <f t="shared" si="628"/>
        <v>0</v>
      </c>
      <c r="K2620" s="102">
        <f t="shared" si="628"/>
        <v>0</v>
      </c>
      <c r="L2620" s="102">
        <f t="shared" si="628"/>
        <v>0</v>
      </c>
      <c r="M2620" s="125">
        <f t="shared" ref="M2620" si="629">SUM(M2613:M2619)</f>
        <v>0</v>
      </c>
      <c r="N2620" s="23"/>
      <c r="O2620" s="23"/>
    </row>
    <row r="2621" spans="2:15" s="3" customFormat="1" ht="6" customHeight="1" x14ac:dyDescent="0.25">
      <c r="B2621" s="136"/>
      <c r="C2621" s="127"/>
      <c r="D2621" s="127"/>
      <c r="E2621" s="127"/>
      <c r="F2621" s="127"/>
      <c r="G2621" s="127"/>
      <c r="H2621" s="127"/>
      <c r="I2621" s="127"/>
      <c r="J2621" s="127"/>
      <c r="K2621" s="127"/>
      <c r="L2621" s="127"/>
      <c r="M2621" s="137"/>
    </row>
    <row r="2622" spans="2:15" s="3" customFormat="1" ht="13.2" x14ac:dyDescent="0.25">
      <c r="B2622" s="129" t="str">
        <f>IF('1. INTRO'!I$2="English","Full cost","Full kostnad")</f>
        <v>Full cost</v>
      </c>
      <c r="C2622" s="127"/>
      <c r="D2622" s="127"/>
      <c r="E2622" s="127"/>
      <c r="F2622" s="127"/>
      <c r="G2622" s="127"/>
      <c r="H2622" s="127"/>
      <c r="I2622" s="127"/>
      <c r="J2622" s="127"/>
      <c r="K2622" s="127"/>
      <c r="L2622" s="127"/>
      <c r="M2622" s="137"/>
    </row>
    <row r="2623" spans="2:15" s="3" customFormat="1" ht="13.2" x14ac:dyDescent="0.25">
      <c r="B2623" s="113" t="str">
        <f>IF('1. INTRO'!I$2="English","Salary including social costs (LKP)","Lön inklusive LKP")</f>
        <v>Salary including social costs (LKP)</v>
      </c>
      <c r="C2623" s="138">
        <f>C2605+C2614+C2615</f>
        <v>0</v>
      </c>
      <c r="D2623" s="138">
        <f t="shared" ref="D2623:L2623" si="630">D2605+D2614+D2615</f>
        <v>0</v>
      </c>
      <c r="E2623" s="138">
        <f t="shared" si="630"/>
        <v>0</v>
      </c>
      <c r="F2623" s="138">
        <f t="shared" si="630"/>
        <v>0</v>
      </c>
      <c r="G2623" s="138">
        <f t="shared" si="630"/>
        <v>0</v>
      </c>
      <c r="H2623" s="138">
        <f t="shared" si="630"/>
        <v>0</v>
      </c>
      <c r="I2623" s="138">
        <f t="shared" si="630"/>
        <v>0</v>
      </c>
      <c r="J2623" s="138">
        <f t="shared" si="630"/>
        <v>0</v>
      </c>
      <c r="K2623" s="138">
        <f t="shared" si="630"/>
        <v>0</v>
      </c>
      <c r="L2623" s="138">
        <f t="shared" si="630"/>
        <v>0</v>
      </c>
      <c r="M2623" s="115">
        <f>SUM(C2623:L2623)</f>
        <v>0</v>
      </c>
    </row>
    <row r="2624" spans="2:15" s="3" customFormat="1" ht="13.2" x14ac:dyDescent="0.25">
      <c r="B2624" s="80" t="str">
        <f>IF('1. INTRO'!I$2="English","Operating","Drift")</f>
        <v>Operating</v>
      </c>
      <c r="C2624" s="139">
        <f>C2606+C2616</f>
        <v>0</v>
      </c>
      <c r="D2624" s="139">
        <f t="shared" ref="D2624:L2624" si="631">D2606+D2616</f>
        <v>0</v>
      </c>
      <c r="E2624" s="139">
        <f t="shared" si="631"/>
        <v>0</v>
      </c>
      <c r="F2624" s="139">
        <f t="shared" si="631"/>
        <v>0</v>
      </c>
      <c r="G2624" s="139">
        <f t="shared" si="631"/>
        <v>0</v>
      </c>
      <c r="H2624" s="139">
        <f t="shared" si="631"/>
        <v>0</v>
      </c>
      <c r="I2624" s="139">
        <f t="shared" si="631"/>
        <v>0</v>
      </c>
      <c r="J2624" s="139">
        <f t="shared" si="631"/>
        <v>0</v>
      </c>
      <c r="K2624" s="139">
        <f t="shared" si="631"/>
        <v>0</v>
      </c>
      <c r="L2624" s="139">
        <f t="shared" si="631"/>
        <v>0</v>
      </c>
      <c r="M2624" s="117">
        <f>SUM(C2624:L2624)</f>
        <v>0</v>
      </c>
    </row>
    <row r="2625" spans="2:13" s="3" customFormat="1" ht="13.2" x14ac:dyDescent="0.25">
      <c r="B2625" s="118" t="str">
        <f>IF('1. INTRO'!I$2="English","Equipment","Utrustning")</f>
        <v>Equipment</v>
      </c>
      <c r="C2625" s="140">
        <f>C2607+C2617</f>
        <v>0</v>
      </c>
      <c r="D2625" s="140">
        <f t="shared" ref="D2625:L2625" si="632">D2607+D2617</f>
        <v>0</v>
      </c>
      <c r="E2625" s="140">
        <f t="shared" si="632"/>
        <v>0</v>
      </c>
      <c r="F2625" s="140">
        <f t="shared" si="632"/>
        <v>0</v>
      </c>
      <c r="G2625" s="140">
        <f t="shared" si="632"/>
        <v>0</v>
      </c>
      <c r="H2625" s="140">
        <f t="shared" si="632"/>
        <v>0</v>
      </c>
      <c r="I2625" s="140">
        <f t="shared" si="632"/>
        <v>0</v>
      </c>
      <c r="J2625" s="140">
        <f t="shared" si="632"/>
        <v>0</v>
      </c>
      <c r="K2625" s="140">
        <f t="shared" si="632"/>
        <v>0</v>
      </c>
      <c r="L2625" s="140">
        <f t="shared" si="632"/>
        <v>0</v>
      </c>
      <c r="M2625" s="120">
        <f>SUM(C2625:L2625)</f>
        <v>0</v>
      </c>
    </row>
    <row r="2626" spans="2:13" s="3" customFormat="1" ht="13.2" x14ac:dyDescent="0.25">
      <c r="B2626" s="80" t="str">
        <f>IF('1. INTRO'!I$2="English","Facility","Lokal")</f>
        <v>Facility</v>
      </c>
      <c r="C2626" s="139">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39">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39">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39">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39">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39">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39">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39">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39">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39">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117">
        <f>SUM(C2626:L2626)</f>
        <v>0</v>
      </c>
    </row>
    <row r="2627" spans="2:13" s="3" customFormat="1" ht="13.2" x14ac:dyDescent="0.25">
      <c r="B2627" s="601" t="str">
        <f>IF('1. INTRO'!I$2="English","Indirect","Indirekt")</f>
        <v>Indirect</v>
      </c>
      <c r="C2627" s="141">
        <f>SUMIF('5. PERSON'!$B$17:$B$192,$C2602,'5. PERSON'!BR$17:BR$192)+SUMIF('5. PERSON'!$B$17:$B$192,$C2602,'5. PERSON'!CD$17:CD$192)+SUMIF('6. OPERATION'!$B$17:$B$149,$C2602,'6. OPERATION'!AU$17:AU$149)+SUMIF('6. OPERATION'!$B$17:$B$149,$C2602,'6. OPERATION'!BG$17:BG$149)</f>
        <v>0</v>
      </c>
      <c r="D2627" s="141">
        <f>SUMIF('5. PERSON'!$B$17:$B$192,$C2602,'5. PERSON'!BS$17:BS$192)+SUMIF('5. PERSON'!$B$17:$B$192,$C2602,'5. PERSON'!CE$17:CE$192)+SUMIF('6. OPERATION'!$B$17:$B$149,$C2602,'6. OPERATION'!AV$17:AV$149)+SUMIF('6. OPERATION'!$B$17:$B$149,$C2602,'6. OPERATION'!BH$17:BH$149)</f>
        <v>0</v>
      </c>
      <c r="E2627" s="141">
        <f>SUMIF('5. PERSON'!$B$17:$B$192,$C2602,'5. PERSON'!BT$17:BT$192)+SUMIF('5. PERSON'!$B$17:$B$192,$C2602,'5. PERSON'!CF$17:CF$192)+SUMIF('6. OPERATION'!$B$17:$B$149,$C2602,'6. OPERATION'!AW$17:AW$149)+SUMIF('6. OPERATION'!$B$17:$B$149,$C2602,'6. OPERATION'!BI$17:BI$149)</f>
        <v>0</v>
      </c>
      <c r="F2627" s="141">
        <f>SUMIF('5. PERSON'!$B$17:$B$192,$C2602,'5. PERSON'!BU$17:BU$192)+SUMIF('5. PERSON'!$B$17:$B$192,$C2602,'5. PERSON'!CG$17:CG$192)+SUMIF('6. OPERATION'!$B$17:$B$149,$C2602,'6. OPERATION'!AX$17:AX$149)+SUMIF('6. OPERATION'!$B$17:$B$149,$C2602,'6. OPERATION'!BJ$17:BJ$149)</f>
        <v>0</v>
      </c>
      <c r="G2627" s="141">
        <f>SUMIF('5. PERSON'!$B$17:$B$192,$C2602,'5. PERSON'!BV$17:BV$192)+SUMIF('5. PERSON'!$B$17:$B$192,$C2602,'5. PERSON'!CH$17:CH$192)+SUMIF('6. OPERATION'!$B$17:$B$149,$C2602,'6. OPERATION'!AY$17:AY$149)+SUMIF('6. OPERATION'!$B$17:$B$149,$C2602,'6. OPERATION'!BK$17:BK$149)</f>
        <v>0</v>
      </c>
      <c r="H2627" s="141">
        <f>SUMIF('5. PERSON'!$B$17:$B$192,$C2602,'5. PERSON'!BW$17:BW$192)+SUMIF('5. PERSON'!$B$17:$B$192,$C2602,'5. PERSON'!CI$17:CI$192)+SUMIF('6. OPERATION'!$B$17:$B$149,$C2602,'6. OPERATION'!AZ$17:AZ$149)+SUMIF('6. OPERATION'!$B$17:$B$149,$C2602,'6. OPERATION'!BL$17:BL$149)</f>
        <v>0</v>
      </c>
      <c r="I2627" s="141">
        <f>SUMIF('5. PERSON'!$B$17:$B$192,$C2602,'5. PERSON'!BX$17:BX$192)+SUMIF('5. PERSON'!$B$17:$B$192,$C2602,'5. PERSON'!CJ$17:CJ$192)+SUMIF('6. OPERATION'!$B$17:$B$149,$C2602,'6. OPERATION'!BA$17:BA$149)+SUMIF('6. OPERATION'!$B$17:$B$149,$C2602,'6. OPERATION'!BM$17:BM$149)</f>
        <v>0</v>
      </c>
      <c r="J2627" s="141">
        <f>SUMIF('5. PERSON'!$B$17:$B$192,$C2602,'5. PERSON'!BY$17:BY$192)+SUMIF('5. PERSON'!$B$17:$B$192,$C2602,'5. PERSON'!CK$17:CK$192)+SUMIF('6. OPERATION'!$B$17:$B$149,$C2602,'6. OPERATION'!BB$17:BB$149)+SUMIF('6. OPERATION'!$B$17:$B$149,$C2602,'6. OPERATION'!BN$17:BN$149)</f>
        <v>0</v>
      </c>
      <c r="K2627" s="141">
        <f>SUMIF('5. PERSON'!$B$17:$B$192,$C2602,'5. PERSON'!BZ$17:BZ$192)+SUMIF('5. PERSON'!$B$17:$B$192,$C2602,'5. PERSON'!CL$17:CL$192)+SUMIF('6. OPERATION'!$B$17:$B$149,$C2602,'6. OPERATION'!BC$17:BC$149)+SUMIF('6. OPERATION'!$B$17:$B$149,$C2602,'6. OPERATION'!BO$17:BO$149)</f>
        <v>0</v>
      </c>
      <c r="L2627" s="141">
        <f>SUMIF('5. PERSON'!$B$17:$B$192,$C2602,'5. PERSON'!CA$17:CA$192)+SUMIF('5. PERSON'!$B$17:$B$192,$C2602,'5. PERSON'!CM$17:CM$192)+SUMIF('6. OPERATION'!$B$17:$B$149,$C2602,'6. OPERATION'!BD$17:BD$149)+SUMIF('6. OPERATION'!$B$17:$B$149,$C2602,'6. OPERATION'!BP$17:BP$149)</f>
        <v>0</v>
      </c>
      <c r="M2627" s="123">
        <f>SUM(C2627:L2627)</f>
        <v>0</v>
      </c>
    </row>
    <row r="2628" spans="2:13" s="3" customFormat="1" ht="13.2" x14ac:dyDescent="0.25">
      <c r="B2628" s="124" t="s">
        <v>113</v>
      </c>
      <c r="C2628" s="88">
        <f>SUM(C2623:C2627)</f>
        <v>0</v>
      </c>
      <c r="D2628" s="88">
        <f t="shared" ref="D2628:M2628" si="633">SUM(D2623:D2627)</f>
        <v>0</v>
      </c>
      <c r="E2628" s="88">
        <f t="shared" si="633"/>
        <v>0</v>
      </c>
      <c r="F2628" s="88">
        <f t="shared" si="633"/>
        <v>0</v>
      </c>
      <c r="G2628" s="88">
        <f t="shared" si="633"/>
        <v>0</v>
      </c>
      <c r="H2628" s="88">
        <f t="shared" si="633"/>
        <v>0</v>
      </c>
      <c r="I2628" s="88">
        <f t="shared" si="633"/>
        <v>0</v>
      </c>
      <c r="J2628" s="88">
        <f t="shared" si="633"/>
        <v>0</v>
      </c>
      <c r="K2628" s="88">
        <f t="shared" si="633"/>
        <v>0</v>
      </c>
      <c r="L2628" s="88">
        <f t="shared" si="633"/>
        <v>0</v>
      </c>
      <c r="M2628" s="142">
        <f t="shared" si="633"/>
        <v>0</v>
      </c>
    </row>
    <row r="2629" spans="2:13" s="3" customFormat="1" ht="13.2" x14ac:dyDescent="0.25">
      <c r="B2629" s="287"/>
      <c r="C2629" s="37"/>
      <c r="D2629" s="37"/>
      <c r="E2629" s="37"/>
      <c r="F2629" s="37"/>
      <c r="G2629" s="37"/>
      <c r="H2629" s="37"/>
      <c r="I2629" s="37"/>
      <c r="J2629" s="37"/>
      <c r="K2629" s="37"/>
      <c r="L2629" s="37"/>
      <c r="M2629" s="37"/>
    </row>
    <row r="2630" spans="2:13" s="3" customFormat="1" ht="12.75" customHeight="1" x14ac:dyDescent="0.25">
      <c r="B2630" s="656" t="str">
        <f>IF('1. INTRO'!I$2="English","Co-funding share in full cost ","Medfinansieringsandel i full kostnad ")</f>
        <v xml:space="preserve">Co-funding share in full cost </v>
      </c>
      <c r="C2630" s="143" t="str">
        <f t="shared" ref="C2630:M2630" si="634">IF(C2628&gt;0,C2620/C2628,"")</f>
        <v/>
      </c>
      <c r="D2630" s="143" t="str">
        <f t="shared" si="634"/>
        <v/>
      </c>
      <c r="E2630" s="143" t="str">
        <f t="shared" si="634"/>
        <v/>
      </c>
      <c r="F2630" s="143" t="str">
        <f t="shared" si="634"/>
        <v/>
      </c>
      <c r="G2630" s="143" t="str">
        <f t="shared" si="634"/>
        <v/>
      </c>
      <c r="H2630" s="143" t="str">
        <f t="shared" si="634"/>
        <v/>
      </c>
      <c r="I2630" s="143" t="str">
        <f t="shared" si="634"/>
        <v/>
      </c>
      <c r="J2630" s="143" t="str">
        <f t="shared" si="634"/>
        <v/>
      </c>
      <c r="K2630" s="143" t="str">
        <f t="shared" si="634"/>
        <v/>
      </c>
      <c r="L2630" s="143" t="str">
        <f t="shared" si="634"/>
        <v/>
      </c>
      <c r="M2630" s="143" t="str">
        <f t="shared" si="634"/>
        <v/>
      </c>
    </row>
    <row r="2631" spans="2:13" ht="12.75" customHeight="1" x14ac:dyDescent="0.2"/>
    <row r="2632" spans="2:13" ht="12.75" customHeight="1" x14ac:dyDescent="0.25">
      <c r="D2632" s="676" t="str">
        <f>IF('1. INTRO'!I$2="English","Co-funding need in average per year: ","Medfinansieringsbehov i genomsnitt per år: ")</f>
        <v xml:space="preserve">Co-funding need in average per year: </v>
      </c>
      <c r="E2632" s="92" t="str">
        <f>IF(M2620=0,"",M2620/(DATEDIF('2. START'!C$18,'2. START'!C$19,"d")/365))</f>
        <v/>
      </c>
      <c r="H2632" s="676" t="str">
        <f>IF('1. INTRO'!I$2="English","Co-funding need 1/3 of total: ","Medfinansieringsbehov 1/3 av totalt: ")</f>
        <v xml:space="preserve">Co-funding need 1/3 of total: </v>
      </c>
      <c r="I2632" s="92">
        <f>M2620/3</f>
        <v>0</v>
      </c>
      <c r="L2632" s="287" t="str">
        <f>IF('1. INTRO'!I$2="English","Co-funding need total: ","Medfinansieringsbehov totalt: ")</f>
        <v xml:space="preserve">Co-funding need total: </v>
      </c>
      <c r="M2632" s="92">
        <f>M2620</f>
        <v>0</v>
      </c>
    </row>
    <row r="2633" spans="2:13" ht="12.75" customHeight="1" x14ac:dyDescent="0.25">
      <c r="B2633" s="53" t="str">
        <f>IF('1. INTRO'!I$2="English","Co-funding sources","Medfinansieringskällor")</f>
        <v>Co-funding sources</v>
      </c>
    </row>
    <row r="2634" spans="2:13" ht="12.75" customHeight="1" x14ac:dyDescent="0.25">
      <c r="B2634" s="225"/>
      <c r="C2634" s="226"/>
      <c r="D2634" s="226"/>
      <c r="E2634" s="226"/>
      <c r="F2634" s="226"/>
      <c r="G2634" s="226"/>
      <c r="H2634" s="226"/>
      <c r="I2634" s="226"/>
      <c r="J2634" s="226"/>
      <c r="K2634" s="226"/>
      <c r="L2634" s="227"/>
      <c r="M2634" s="168">
        <f>SUM(C2634:L2634)</f>
        <v>0</v>
      </c>
    </row>
    <row r="2635" spans="2:13" ht="12.75" customHeight="1" x14ac:dyDescent="0.25">
      <c r="B2635" s="228"/>
      <c r="C2635" s="229"/>
      <c r="D2635" s="229"/>
      <c r="E2635" s="229"/>
      <c r="F2635" s="229"/>
      <c r="G2635" s="229"/>
      <c r="H2635" s="229"/>
      <c r="I2635" s="229"/>
      <c r="J2635" s="229"/>
      <c r="K2635" s="229"/>
      <c r="L2635" s="230"/>
      <c r="M2635" s="120">
        <f t="shared" ref="M2635:M2638" si="635">SUM(C2635:L2635)</f>
        <v>0</v>
      </c>
    </row>
    <row r="2636" spans="2:13" ht="12.75" customHeight="1" x14ac:dyDescent="0.25">
      <c r="B2636" s="231"/>
      <c r="C2636" s="232"/>
      <c r="D2636" s="232"/>
      <c r="E2636" s="232"/>
      <c r="F2636" s="232"/>
      <c r="G2636" s="232"/>
      <c r="H2636" s="232"/>
      <c r="I2636" s="232"/>
      <c r="J2636" s="232"/>
      <c r="K2636" s="232"/>
      <c r="L2636" s="233"/>
      <c r="M2636" s="117">
        <f t="shared" si="635"/>
        <v>0</v>
      </c>
    </row>
    <row r="2637" spans="2:13" ht="12.75" customHeight="1" x14ac:dyDescent="0.25">
      <c r="B2637" s="228"/>
      <c r="C2637" s="229"/>
      <c r="D2637" s="229"/>
      <c r="E2637" s="229"/>
      <c r="F2637" s="229"/>
      <c r="G2637" s="229"/>
      <c r="H2637" s="229"/>
      <c r="I2637" s="229"/>
      <c r="J2637" s="229"/>
      <c r="K2637" s="229"/>
      <c r="L2637" s="230"/>
      <c r="M2637" s="120">
        <f t="shared" si="635"/>
        <v>0</v>
      </c>
    </row>
    <row r="2638" spans="2:13" ht="12.75" customHeight="1" x14ac:dyDescent="0.25">
      <c r="B2638" s="93"/>
      <c r="C2638" s="232"/>
      <c r="D2638" s="232"/>
      <c r="E2638" s="232"/>
      <c r="F2638" s="232"/>
      <c r="G2638" s="232"/>
      <c r="H2638" s="232"/>
      <c r="I2638" s="232"/>
      <c r="J2638" s="232"/>
      <c r="K2638" s="232"/>
      <c r="L2638" s="233"/>
      <c r="M2638" s="117">
        <f t="shared" si="635"/>
        <v>0</v>
      </c>
    </row>
    <row r="2639" spans="2:13" ht="12.75" customHeight="1" x14ac:dyDescent="0.25">
      <c r="B2639" s="84" t="str">
        <f>IF('1. INTRO'!I$2="English","Total co-funding ","Total medfinansiering ")</f>
        <v xml:space="preserve">Total co-funding </v>
      </c>
      <c r="C2639" s="87">
        <f t="shared" ref="C2639:M2639" si="636">SUM(C2634:C2638)</f>
        <v>0</v>
      </c>
      <c r="D2639" s="87">
        <f t="shared" si="636"/>
        <v>0</v>
      </c>
      <c r="E2639" s="87">
        <f t="shared" si="636"/>
        <v>0</v>
      </c>
      <c r="F2639" s="87">
        <f t="shared" si="636"/>
        <v>0</v>
      </c>
      <c r="G2639" s="87">
        <f t="shared" si="636"/>
        <v>0</v>
      </c>
      <c r="H2639" s="87">
        <f t="shared" si="636"/>
        <v>0</v>
      </c>
      <c r="I2639" s="87">
        <f t="shared" si="636"/>
        <v>0</v>
      </c>
      <c r="J2639" s="87">
        <f t="shared" si="636"/>
        <v>0</v>
      </c>
      <c r="K2639" s="87">
        <f t="shared" si="636"/>
        <v>0</v>
      </c>
      <c r="L2639" s="87">
        <f t="shared" si="636"/>
        <v>0</v>
      </c>
      <c r="M2639" s="142">
        <f t="shared" si="636"/>
        <v>0</v>
      </c>
    </row>
    <row r="2640" spans="2:13" ht="12.75" customHeight="1" x14ac:dyDescent="0.2"/>
    <row r="2641" spans="2:13" ht="12.75" customHeight="1" x14ac:dyDescent="0.2">
      <c r="B2641" s="667" t="str">
        <f>IF('1. INTRO'!I$2="English","Calculation comments","Kalkylkommentarer")</f>
        <v>Calculation comments</v>
      </c>
      <c r="C2641" s="37" t="str">
        <f>B65</f>
        <v/>
      </c>
    </row>
    <row r="2642" spans="2:13" ht="12.75" customHeight="1" x14ac:dyDescent="0.2">
      <c r="B2642" s="1142"/>
      <c r="C2642" s="1143"/>
      <c r="D2642" s="1143"/>
      <c r="E2642" s="1143"/>
      <c r="F2642" s="1143"/>
      <c r="G2642" s="1143"/>
      <c r="H2642" s="1143"/>
      <c r="I2642" s="1143"/>
      <c r="J2642" s="1143"/>
      <c r="K2642" s="1143"/>
      <c r="L2642" s="1143"/>
      <c r="M2642" s="1144"/>
    </row>
    <row r="2643" spans="2:13" ht="12.75" customHeight="1" x14ac:dyDescent="0.2">
      <c r="B2643" s="1145"/>
      <c r="C2643" s="1226"/>
      <c r="D2643" s="1226"/>
      <c r="E2643" s="1226"/>
      <c r="F2643" s="1226"/>
      <c r="G2643" s="1226"/>
      <c r="H2643" s="1226"/>
      <c r="I2643" s="1226"/>
      <c r="J2643" s="1226"/>
      <c r="K2643" s="1226"/>
      <c r="L2643" s="1226"/>
      <c r="M2643" s="1147"/>
    </row>
    <row r="2644" spans="2:13" ht="12.75" customHeight="1" x14ac:dyDescent="0.2">
      <c r="B2644" s="1145"/>
      <c r="C2644" s="1226"/>
      <c r="D2644" s="1226"/>
      <c r="E2644" s="1226"/>
      <c r="F2644" s="1226"/>
      <c r="G2644" s="1226"/>
      <c r="H2644" s="1226"/>
      <c r="I2644" s="1226"/>
      <c r="J2644" s="1226"/>
      <c r="K2644" s="1226"/>
      <c r="L2644" s="1226"/>
      <c r="M2644" s="1147"/>
    </row>
    <row r="2645" spans="2:13" ht="12.75" customHeight="1" x14ac:dyDescent="0.2">
      <c r="B2645" s="1145"/>
      <c r="C2645" s="1226"/>
      <c r="D2645" s="1226"/>
      <c r="E2645" s="1226"/>
      <c r="F2645" s="1226"/>
      <c r="G2645" s="1226"/>
      <c r="H2645" s="1226"/>
      <c r="I2645" s="1226"/>
      <c r="J2645" s="1226"/>
      <c r="K2645" s="1226"/>
      <c r="L2645" s="1226"/>
      <c r="M2645" s="1147"/>
    </row>
    <row r="2646" spans="2:13" ht="12.75" customHeight="1" x14ac:dyDescent="0.2">
      <c r="B2646" s="1148"/>
      <c r="C2646" s="1149"/>
      <c r="D2646" s="1149"/>
      <c r="E2646" s="1149"/>
      <c r="F2646" s="1149"/>
      <c r="G2646" s="1149"/>
      <c r="H2646" s="1149"/>
      <c r="I2646" s="1149"/>
      <c r="J2646" s="1149"/>
      <c r="K2646" s="1149"/>
      <c r="L2646" s="1149"/>
      <c r="M2646" s="1150"/>
    </row>
    <row r="2648" spans="2:13" s="3" customFormat="1" ht="12.75" customHeight="1" x14ac:dyDescent="0.25">
      <c r="B2648" s="313" t="str">
        <f>'3. PARTNER'!C$4</f>
        <v xml:space="preserve">Project: </v>
      </c>
      <c r="C2648" s="1062" t="str">
        <f>'3. PARTNER'!D$4</f>
        <v/>
      </c>
      <c r="D2648" s="1001"/>
      <c r="E2648" s="1001"/>
      <c r="F2648" s="1001"/>
      <c r="G2648" s="1001"/>
      <c r="H2648" s="1001"/>
      <c r="I2648" s="1001"/>
      <c r="J2648" s="1001"/>
      <c r="K2648" s="1001"/>
      <c r="L2648" s="1001"/>
      <c r="M2648" s="1001"/>
    </row>
    <row r="2649" spans="2:13" s="3" customFormat="1" ht="13.2" x14ac:dyDescent="0.25">
      <c r="B2649" s="313" t="str">
        <f>'3. PARTNER'!C$5</f>
        <v xml:space="preserve">Calculation for: </v>
      </c>
      <c r="C2649" s="1062" t="str">
        <f>'3. PARTNER'!D$5</f>
        <v>APPLICATION</v>
      </c>
      <c r="D2649" s="1001"/>
      <c r="E2649" s="268"/>
      <c r="F2649" s="268"/>
      <c r="G2649" s="268"/>
      <c r="H2649" s="268"/>
      <c r="I2649" s="268"/>
      <c r="J2649" s="268"/>
      <c r="K2649" s="268"/>
      <c r="L2649" s="268"/>
      <c r="M2649" s="268"/>
    </row>
    <row r="2650" spans="2:13" s="3" customFormat="1" ht="13.2" x14ac:dyDescent="0.25">
      <c r="B2650" s="35" t="str">
        <f>'3. PARTNER'!C$6</f>
        <v xml:space="preserve">Project leader: </v>
      </c>
      <c r="C2650" s="1062" t="str">
        <f>'3. PARTNER'!D$6</f>
        <v/>
      </c>
      <c r="D2650" s="1001"/>
      <c r="E2650" s="1001"/>
      <c r="F2650" s="1001"/>
      <c r="G2650" s="1001"/>
      <c r="H2650" s="1001"/>
      <c r="I2650" s="1001"/>
      <c r="J2650" s="1001"/>
      <c r="K2650" s="1001"/>
      <c r="L2650" s="1001"/>
      <c r="M2650" s="1001"/>
    </row>
    <row r="2651" spans="2:13" s="3" customFormat="1" ht="13.2" x14ac:dyDescent="0.25">
      <c r="B2651" s="313" t="str">
        <f>'5. PERSON'!B$7</f>
        <v xml:space="preserve">Amounts in: </v>
      </c>
      <c r="C2651" s="655" t="str">
        <f>'5. PERSON'!C$7</f>
        <v>SEK</v>
      </c>
      <c r="D2651" s="268"/>
      <c r="E2651" s="268"/>
      <c r="F2651" s="268"/>
      <c r="G2651" s="234"/>
      <c r="H2651" s="234"/>
      <c r="I2651" s="270"/>
      <c r="J2651" s="270"/>
      <c r="K2651" s="270"/>
      <c r="L2651" s="270"/>
      <c r="M2651" s="270"/>
    </row>
    <row r="2652" spans="2:13" s="3" customFormat="1" ht="13.2" x14ac:dyDescent="0.25">
      <c r="B2652" s="313"/>
      <c r="C2652" s="1053" t="str">
        <f>'3. PARTNER'!D$7</f>
        <v>Other basic data about the project is in sheet 2.</v>
      </c>
      <c r="D2652" s="1001"/>
      <c r="E2652" s="1001"/>
      <c r="F2652" s="1001"/>
      <c r="G2652" s="234"/>
      <c r="H2652" s="234"/>
      <c r="I2652" s="270"/>
      <c r="J2652" s="270"/>
      <c r="K2652" s="270"/>
      <c r="L2652" s="251" t="s">
        <v>4</v>
      </c>
      <c r="M2652" s="270"/>
    </row>
    <row r="2653" spans="2:13" ht="12.75" customHeight="1" x14ac:dyDescent="0.2">
      <c r="L2653" s="252" t="str">
        <f>IF('1. INTRO'!I$2="English","months","månader")</f>
        <v>months</v>
      </c>
    </row>
    <row r="2654" spans="2:13" s="3" customFormat="1" ht="13.8" x14ac:dyDescent="0.25">
      <c r="B2654" s="157" t="str">
        <f>IF('1. INTRO'!I$2="English","Project costs","Projektkostnader")</f>
        <v>Project costs</v>
      </c>
      <c r="C2654" s="668" t="str">
        <f>A66</f>
        <v>EXT108</v>
      </c>
      <c r="D2654" s="1227" t="str">
        <f>B66</f>
        <v/>
      </c>
      <c r="E2654" s="1001"/>
      <c r="F2654" s="1001"/>
      <c r="G2654" s="1001"/>
      <c r="H2654" s="1001"/>
      <c r="I2654" s="37"/>
      <c r="J2654" s="37"/>
      <c r="K2654" s="37"/>
      <c r="L2654" s="642">
        <f>SUMIF('5. PERSON'!$B$17:$B$192,$C2654,'5. PERSON'!AE$17:AE$192)</f>
        <v>0</v>
      </c>
      <c r="M2654" s="680" t="s">
        <v>330</v>
      </c>
    </row>
    <row r="2655" spans="2:13" s="3" customFormat="1" ht="6" customHeight="1" x14ac:dyDescent="0.25">
      <c r="B2655" s="57"/>
      <c r="C2655" s="37"/>
      <c r="D2655" s="37"/>
      <c r="E2655" s="37"/>
      <c r="F2655" s="37"/>
      <c r="G2655" s="37"/>
      <c r="H2655" s="37"/>
      <c r="I2655" s="37"/>
      <c r="J2655" s="37"/>
      <c r="K2655" s="37"/>
      <c r="L2655" s="37"/>
      <c r="M2655" s="37"/>
    </row>
    <row r="2656" spans="2:13" s="3" customFormat="1" ht="13.2" x14ac:dyDescent="0.25">
      <c r="B2656" s="110" t="str">
        <f>IF('1. INTRO'!I$2="English","Costs to be covered by funding body","Kostnader att täckas av finansiär")</f>
        <v>Costs to be covered by funding body</v>
      </c>
      <c r="C2656" s="111">
        <f>'5. PERSON'!G$15</f>
        <v>1900</v>
      </c>
      <c r="D2656" s="111" t="str">
        <f>'5. PERSON'!H$15</f>
        <v/>
      </c>
      <c r="E2656" s="111" t="str">
        <f>'5. PERSON'!I$15</f>
        <v/>
      </c>
      <c r="F2656" s="111" t="str">
        <f>'5. PERSON'!J$15</f>
        <v/>
      </c>
      <c r="G2656" s="111" t="str">
        <f>'5. PERSON'!K$15</f>
        <v/>
      </c>
      <c r="H2656" s="111" t="str">
        <f>'5. PERSON'!L$15</f>
        <v/>
      </c>
      <c r="I2656" s="111" t="str">
        <f>'5. PERSON'!M$15</f>
        <v/>
      </c>
      <c r="J2656" s="111" t="str">
        <f>'5. PERSON'!N$15</f>
        <v/>
      </c>
      <c r="K2656" s="111" t="str">
        <f>'5. PERSON'!O$15</f>
        <v/>
      </c>
      <c r="L2656" s="111" t="str">
        <f>'5. PERSON'!P$15</f>
        <v/>
      </c>
      <c r="M2656" s="112" t="s">
        <v>2</v>
      </c>
    </row>
    <row r="2657" spans="2:15" s="3" customFormat="1" ht="12.75" customHeight="1" x14ac:dyDescent="0.25">
      <c r="B2657" s="113" t="str">
        <f>IF('1. INTRO'!I$2="English","Salary including social costs (LKP)","Lön inklusive LKP")</f>
        <v>Salary including social costs (LKP)</v>
      </c>
      <c r="C2657" s="114">
        <f>IF('2. START'!$C$14&gt;0,SUMIF('5. PERSON'!$B$17:$B$192,$C2654,'5. PERSON'!DN$17:DN$192),SUMIF('5. PERSON'!$B$17:$B$192,$C2654,'5. PERSON'!AT$17:AT$192))</f>
        <v>0</v>
      </c>
      <c r="D2657" s="114">
        <f>IF('2. START'!$C$14&gt;0,SUMIF('5. PERSON'!$B$17:$B$192,$C2654,'5. PERSON'!DO$17:DO$192),SUMIF('5. PERSON'!$B$17:$B$192,$C2654,'5. PERSON'!AU$17:AU$192))</f>
        <v>0</v>
      </c>
      <c r="E2657" s="114">
        <f>IF('2. START'!$C$14&gt;0,SUMIF('5. PERSON'!$B$17:$B$192,$C2654,'5. PERSON'!DP$17:DP$192),SUMIF('5. PERSON'!$B$17:$B$192,$C2654,'5. PERSON'!AV$17:AV$192))</f>
        <v>0</v>
      </c>
      <c r="F2657" s="114">
        <f>IF('2. START'!$C$14&gt;0,SUMIF('5. PERSON'!$B$17:$B$192,$C2654,'5. PERSON'!DQ$17:DQ$192),SUMIF('5. PERSON'!$B$17:$B$192,$C2654,'5. PERSON'!AW$17:AW$192))</f>
        <v>0</v>
      </c>
      <c r="G2657" s="114">
        <f>IF('2. START'!$C$14&gt;0,SUMIF('5. PERSON'!$B$17:$B$192,$C2654,'5. PERSON'!DR$17:DR$192),SUMIF('5. PERSON'!$B$17:$B$192,$C2654,'5. PERSON'!AX$17:AX$192))</f>
        <v>0</v>
      </c>
      <c r="H2657" s="114">
        <f>IF('2. START'!$C$14&gt;0,SUMIF('5. PERSON'!$B$17:$B$192,$C2654,'5. PERSON'!DS$17:DS$192),SUMIF('5. PERSON'!$B$17:$B$192,$C2654,'5. PERSON'!AY$17:AY$192))</f>
        <v>0</v>
      </c>
      <c r="I2657" s="114">
        <f>IF('2. START'!$C$14&gt;0,SUMIF('5. PERSON'!$B$17:$B$192,$C2654,'5. PERSON'!DT$17:DT$192),SUMIF('5. PERSON'!$B$17:$B$192,$C2654,'5. PERSON'!AZ$17:AZ$192))</f>
        <v>0</v>
      </c>
      <c r="J2657" s="114">
        <f>IF('2. START'!$C$14&gt;0,SUMIF('5. PERSON'!$B$17:$B$192,$C2654,'5. PERSON'!DU$17:DU$192),SUMIF('5. PERSON'!$B$17:$B$192,$C2654,'5. PERSON'!BA$17:BA$192))</f>
        <v>0</v>
      </c>
      <c r="K2657" s="114">
        <f>IF('2. START'!$C$14&gt;0,SUMIF('5. PERSON'!$B$17:$B$192,$C2654,'5. PERSON'!DV$17:DV$192),SUMIF('5. PERSON'!$B$17:$B$192,$C2654,'5. PERSON'!BB$17:BB$192))</f>
        <v>0</v>
      </c>
      <c r="L2657" s="114">
        <f>IF('2. START'!$C$14&gt;0,SUMIF('5. PERSON'!$B$17:$B$192,$C2654,'5. PERSON'!DW$17:DW$192),SUMIF('5. PERSON'!$B$17:$B$192,$C2654,'5. PERSON'!BC$17:BC$192))</f>
        <v>0</v>
      </c>
      <c r="M2657" s="115">
        <f t="shared" ref="M2657:M2662" si="637">SUM(C2657:L2657)</f>
        <v>0</v>
      </c>
      <c r="O2657" s="4"/>
    </row>
    <row r="2658" spans="2:15" s="3" customFormat="1" ht="12.75" customHeight="1" x14ac:dyDescent="0.25">
      <c r="B2658" s="80" t="str">
        <f>IF('1. INTRO'!I$2="English","Operating","Drift")</f>
        <v>Operating</v>
      </c>
      <c r="C2658" s="116">
        <f>SUMIF('6. OPERATION'!$B$17:$B$149,$C2654,'6. OPERATION'!W$17:W$149)</f>
        <v>0</v>
      </c>
      <c r="D2658" s="116">
        <f>SUMIF('6. OPERATION'!$B$17:$B$149,$C2654,'6. OPERATION'!X$17:X$149)</f>
        <v>0</v>
      </c>
      <c r="E2658" s="116">
        <f>SUMIF('6. OPERATION'!$B$17:$B$149,$C2654,'6. OPERATION'!Y$17:Y$149)</f>
        <v>0</v>
      </c>
      <c r="F2658" s="116">
        <f>SUMIF('6. OPERATION'!$B$17:$B$149,$C2654,'6. OPERATION'!Z$17:Z$149)</f>
        <v>0</v>
      </c>
      <c r="G2658" s="116">
        <f>SUMIF('6. OPERATION'!$B$17:$B$149,$C2654,'6. OPERATION'!AA$17:AA$149)</f>
        <v>0</v>
      </c>
      <c r="H2658" s="116">
        <f>SUMIF('6. OPERATION'!$B$17:$B$149,$C2654,'6. OPERATION'!AB$17:AB$149)</f>
        <v>0</v>
      </c>
      <c r="I2658" s="116">
        <f>SUMIF('6. OPERATION'!$B$17:$B$149,$C2654,'6. OPERATION'!AC$17:AC$149)</f>
        <v>0</v>
      </c>
      <c r="J2658" s="116">
        <f>SUMIF('6. OPERATION'!$B$17:$B$149,$C2654,'6. OPERATION'!AD$17:AD$149)</f>
        <v>0</v>
      </c>
      <c r="K2658" s="116">
        <f>SUMIF('6. OPERATION'!$B$17:$B$149,$C2654,'6. OPERATION'!AE$17:AE$149)</f>
        <v>0</v>
      </c>
      <c r="L2658" s="116">
        <f>SUMIF('6. OPERATION'!$B$17:$B$149,$C2654,'6. OPERATION'!AF$17:AF$149)</f>
        <v>0</v>
      </c>
      <c r="M2658" s="117">
        <f t="shared" si="637"/>
        <v>0</v>
      </c>
    </row>
    <row r="2659" spans="2:15" s="3" customFormat="1" ht="13.2" x14ac:dyDescent="0.25">
      <c r="B2659" s="118" t="str">
        <f>IF('1. INTRO'!I$2="English","Equipment","Utrustning")</f>
        <v>Equipment</v>
      </c>
      <c r="C2659" s="119">
        <f>SUMIF('7. INVEST'!$B$17:$B$49,$C2654,'7. INVEST'!W$17:W$49)</f>
        <v>0</v>
      </c>
      <c r="D2659" s="119">
        <f>SUMIF('7. INVEST'!$B$17:$B$49,$C2654,'7. INVEST'!X$17:X$49)</f>
        <v>0</v>
      </c>
      <c r="E2659" s="119">
        <f>SUMIF('7. INVEST'!$B$17:$B$49,$C2654,'7. INVEST'!Y$17:Y$49)</f>
        <v>0</v>
      </c>
      <c r="F2659" s="119">
        <f>SUMIF('7. INVEST'!$B$17:$B$49,$C2654,'7. INVEST'!Z$17:Z$49)</f>
        <v>0</v>
      </c>
      <c r="G2659" s="119">
        <f>SUMIF('7. INVEST'!$B$17:$B$49,$C2654,'7. INVEST'!AA$17:AA$49)</f>
        <v>0</v>
      </c>
      <c r="H2659" s="119">
        <f>SUMIF('7. INVEST'!$B$17:$B$49,$C2654,'7. INVEST'!AB$17:AB$49)</f>
        <v>0</v>
      </c>
      <c r="I2659" s="119">
        <f>SUMIF('7. INVEST'!$B$17:$B$49,$C2654,'7. INVEST'!AC$17:AC$49)</f>
        <v>0</v>
      </c>
      <c r="J2659" s="119">
        <f>SUMIF('7. INVEST'!$B$17:$B$49,$C2654,'7. INVEST'!AD$17:AD$49)</f>
        <v>0</v>
      </c>
      <c r="K2659" s="119">
        <f>SUMIF('7. INVEST'!$B$17:$B$49,$C2654,'7. INVEST'!AE$17:AE$49)</f>
        <v>0</v>
      </c>
      <c r="L2659" s="119">
        <f>SUMIF('7. INVEST'!$B$17:$B$49,$C2654,'7. INVEST'!AF$17:AF$49)</f>
        <v>0</v>
      </c>
      <c r="M2659" s="120">
        <f t="shared" si="637"/>
        <v>0</v>
      </c>
    </row>
    <row r="2660" spans="2:15" s="3" customFormat="1" ht="13.2" x14ac:dyDescent="0.25">
      <c r="B2660" s="121" t="str">
        <f>IF('1. INTRO'!I$2="English",(IF('2. START'!C$11="NO","Facility accepted as direct cost by funding body","Facility")),IF('2. START'!C$11="NO","Lokal accepterad som direkt kostnad av finansiär","Lokal"))</f>
        <v>Facility</v>
      </c>
      <c r="C2660" s="116">
        <f>IF('2. START'!$C$11="NO",SUMIF('8. FACILIT'!$B$18:$B$50,$C2654,'8. FACILIT'!T$18:T$50),SUMIF('5. PERSON'!$B$17:$B$192,$C2654,'5. PERSON'!CP$17:CP$192)+SUMIF('6. OPERATION'!$B$17:$B$149,$C2654,'6. OPERATION'!BS$17:BS$149)+SUMIF('8. FACILIT'!$B$18:$B$50,$C2654,'8. FACILIT'!T$18:T$50))</f>
        <v>0</v>
      </c>
      <c r="D2660" s="116">
        <f>IF('2. START'!$C$11="NO",SUMIF('8. FACILIT'!$B$18:$B$50,$C2654,'8. FACILIT'!U$18:U$50),SUMIF('5. PERSON'!$B$17:$B$192,$C2654,'5. PERSON'!CQ$17:CQ$192)+SUMIF('6. OPERATION'!$B$17:$B$149,$C2654,'6. OPERATION'!BT$17:BT$149)+SUMIF('8. FACILIT'!$B$18:$B$50,$C2654,'8. FACILIT'!U$18:U$50))</f>
        <v>0</v>
      </c>
      <c r="E2660" s="116">
        <f>IF('2. START'!$C$11="NO",SUMIF('8. FACILIT'!$B$18:$B$50,$C2654,'8. FACILIT'!V$18:V$50),SUMIF('5. PERSON'!$B$17:$B$192,$C2654,'5. PERSON'!CR$17:CR$192)+SUMIF('6. OPERATION'!$B$17:$B$149,$C2654,'6. OPERATION'!BU$17:BU$149)+SUMIF('8. FACILIT'!$B$18:$B$50,$C2654,'8. FACILIT'!V$18:V$50))</f>
        <v>0</v>
      </c>
      <c r="F2660" s="116">
        <f>IF('2. START'!$C$11="NO",SUMIF('8. FACILIT'!$B$18:$B$50,$C2654,'8. FACILIT'!W$18:W$50),SUMIF('5. PERSON'!$B$17:$B$192,$C2654,'5. PERSON'!CS$17:CS$192)+SUMIF('6. OPERATION'!$B$17:$B$149,$C2654,'6. OPERATION'!BV$17:BV$149)+SUMIF('8. FACILIT'!$B$18:$B$50,$C2654,'8. FACILIT'!W$18:W$50))</f>
        <v>0</v>
      </c>
      <c r="G2660" s="116">
        <f>IF('2. START'!$C$11="NO",SUMIF('8. FACILIT'!$B$18:$B$50,$C2654,'8. FACILIT'!X$18:X$50),SUMIF('5. PERSON'!$B$17:$B$192,$C2654,'5. PERSON'!CT$17:CT$192)+SUMIF('6. OPERATION'!$B$17:$B$149,$C2654,'6. OPERATION'!BW$17:BW$149)+SUMIF('8. FACILIT'!$B$18:$B$50,$C2654,'8. FACILIT'!X$18:X$50))</f>
        <v>0</v>
      </c>
      <c r="H2660" s="116">
        <f>IF('2. START'!$C$11="NO",SUMIF('8. FACILIT'!$B$18:$B$50,$C2654,'8. FACILIT'!Y$18:Y$50),SUMIF('5. PERSON'!$B$17:$B$192,$C2654,'5. PERSON'!CU$17:CU$192)+SUMIF('6. OPERATION'!$B$17:$B$149,$C2654,'6. OPERATION'!BX$17:BX$149)+SUMIF('8. FACILIT'!$B$18:$B$50,$C2654,'8. FACILIT'!Y$18:Y$50))</f>
        <v>0</v>
      </c>
      <c r="I2660" s="116">
        <f>IF('2. START'!$C$11="NO",SUMIF('8. FACILIT'!$B$18:$B$50,$C2654,'8. FACILIT'!Z$18:Z$50),SUMIF('5. PERSON'!$B$17:$B$192,$C2654,'5. PERSON'!CV$17:CV$192)+SUMIF('6. OPERATION'!$B$17:$B$149,$C2654,'6. OPERATION'!BY$17:BY$149)+SUMIF('8. FACILIT'!$B$18:$B$50,$C2654,'8. FACILIT'!Z$18:Z$50))</f>
        <v>0</v>
      </c>
      <c r="J2660" s="116">
        <f>IF('2. START'!$C$11="NO",SUMIF('8. FACILIT'!$B$18:$B$50,$C2654,'8. FACILIT'!AA$18:AA$50),SUMIF('5. PERSON'!$B$17:$B$192,$C2654,'5. PERSON'!CW$17:CW$192)+SUMIF('6. OPERATION'!$B$17:$B$149,$C2654,'6. OPERATION'!BZ$17:BZ$149)+SUMIF('8. FACILIT'!$B$18:$B$50,$C2654,'8. FACILIT'!AA$18:AA$50))</f>
        <v>0</v>
      </c>
      <c r="K2660" s="116">
        <f>IF('2. START'!$C$11="NO",SUMIF('8. FACILIT'!$B$18:$B$50,$C2654,'8. FACILIT'!AB$18:AB$50),SUMIF('5. PERSON'!$B$17:$B$192,$C2654,'5. PERSON'!CX$17:CX$192)+SUMIF('6. OPERATION'!$B$17:$B$149,$C2654,'6. OPERATION'!CA$17:CA$149)+SUMIF('8. FACILIT'!$B$18:$B$50,$C2654,'8. FACILIT'!AB$18:AB$50))</f>
        <v>0</v>
      </c>
      <c r="L2660" s="116">
        <f>IF('2. START'!$C$11="NO",SUMIF('8. FACILIT'!$B$18:$B$50,$C2654,'8. FACILIT'!AC$18:AC$50),SUMIF('5. PERSON'!$B$17:$B$192,$C2654,'5. PERSON'!CY$17:CY$192)+SUMIF('6. OPERATION'!$B$17:$B$149,$C2654,'6. OPERATION'!CB$17:CB$149)+SUMIF('8. FACILIT'!$B$18:$B$50,$C2654,'8. FACILIT'!AC$18:AC$50))</f>
        <v>0</v>
      </c>
      <c r="M2660" s="117">
        <f t="shared" si="637"/>
        <v>0</v>
      </c>
    </row>
    <row r="2661" spans="2:15" s="3" customFormat="1" ht="13.2" x14ac:dyDescent="0.25">
      <c r="B2661" s="122" t="str">
        <f>IF('1. INTRO'!I$2="English",(IF('2. START'!C$11="NO","Indirect and facility charge accepted as OH by funding body","Indirect")),IF('2. START'!C$11="NO","Indirekt och lokalpåslag accepterade som OH av finansiär","Indirekt"))</f>
        <v>Indirect</v>
      </c>
      <c r="C2661" s="107">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107">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107">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107">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107">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107">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107">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107">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107">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107">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120">
        <f t="shared" si="637"/>
        <v>0</v>
      </c>
    </row>
    <row r="2662" spans="2:15" s="3" customFormat="1" ht="13.2" x14ac:dyDescent="0.25">
      <c r="B2662" s="124" t="s">
        <v>113</v>
      </c>
      <c r="C2662" s="102">
        <f>SUM(C2657:C2661)</f>
        <v>0</v>
      </c>
      <c r="D2662" s="102">
        <f t="shared" ref="D2662:L2662" si="638">SUM(D2657:D2661)</f>
        <v>0</v>
      </c>
      <c r="E2662" s="102">
        <f t="shared" si="638"/>
        <v>0</v>
      </c>
      <c r="F2662" s="102">
        <f t="shared" si="638"/>
        <v>0</v>
      </c>
      <c r="G2662" s="102">
        <f t="shared" si="638"/>
        <v>0</v>
      </c>
      <c r="H2662" s="102">
        <f t="shared" si="638"/>
        <v>0</v>
      </c>
      <c r="I2662" s="102">
        <f t="shared" si="638"/>
        <v>0</v>
      </c>
      <c r="J2662" s="102">
        <f t="shared" si="638"/>
        <v>0</v>
      </c>
      <c r="K2662" s="102">
        <f t="shared" si="638"/>
        <v>0</v>
      </c>
      <c r="L2662" s="102">
        <f t="shared" si="638"/>
        <v>0</v>
      </c>
      <c r="M2662" s="125">
        <f t="shared" si="637"/>
        <v>0</v>
      </c>
    </row>
    <row r="2663" spans="2:15" s="3" customFormat="1" ht="6" customHeight="1" x14ac:dyDescent="0.25">
      <c r="B2663" s="126"/>
      <c r="C2663" s="127"/>
      <c r="D2663" s="127"/>
      <c r="E2663" s="127"/>
      <c r="F2663" s="127"/>
      <c r="G2663" s="127"/>
      <c r="H2663" s="127"/>
      <c r="I2663" s="127"/>
      <c r="J2663" s="127"/>
      <c r="K2663" s="127"/>
      <c r="L2663" s="127"/>
      <c r="M2663" s="128"/>
    </row>
    <row r="2664" spans="2:15" s="3" customFormat="1" ht="13.2" x14ac:dyDescent="0.25">
      <c r="B2664" s="129" t="str">
        <f>IF('1. INTRO'!I$2="English","Costs to be co-funded","Kostnader att medfinansiera")</f>
        <v>Costs to be co-funded</v>
      </c>
      <c r="C2664" s="86"/>
      <c r="D2664" s="86"/>
      <c r="E2664" s="86"/>
      <c r="F2664" s="86"/>
      <c r="G2664" s="86"/>
      <c r="H2664" s="86"/>
      <c r="I2664" s="86"/>
      <c r="J2664" s="86"/>
      <c r="K2664" s="86"/>
      <c r="L2664" s="86"/>
      <c r="M2664" s="130"/>
    </row>
    <row r="2665" spans="2:15" s="3" customFormat="1" ht="13.2" x14ac:dyDescent="0.25">
      <c r="B2665" s="159" t="str">
        <f>IF('1. INTRO'!I$2="English",(IF('2. START'!C$11="NO","Indirect and facility charge not accepted as OH by funding body","")),IF('2. START'!C$11="NO","Indirekt och lokalpåslag inte accepterade som OH av finansiär",""))</f>
        <v/>
      </c>
      <c r="C2665" s="131">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31">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31">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31">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31">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31">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31">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31">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31">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31">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115">
        <f t="shared" ref="M2665:M2671" si="639">SUM(C2665:L2665)</f>
        <v>0</v>
      </c>
    </row>
    <row r="2666" spans="2:15" s="3" customFormat="1" ht="12.75" customHeight="1" x14ac:dyDescent="0.25">
      <c r="B2666" s="132" t="str">
        <f>IF('1. INTRO'!I$2="English",(IF('2. START'!C$14&gt;0,"Social costs (LKP) not accepted by funding body","")),IF('2. START'!C$14&gt;0,"LKP som inte accepteras av finansiär",""))</f>
        <v/>
      </c>
      <c r="C2666" s="133">
        <f>IF('2. START'!$C$14&gt;0,SUMIF('5. PERSON'!$B$17:$B$192,$C2654,'5. PERSON'!AT$17:AT$192)-SUMIF('5. PERSON'!$B$17:$B$192,$C2654,'5. PERSON'!DN$17:DN$192),0)</f>
        <v>0</v>
      </c>
      <c r="D2666" s="133">
        <f>IF('2. START'!$C$14&gt;0,SUMIF('5. PERSON'!$B$17:$B$192,$C2654,'5. PERSON'!AU$17:AU$192)-SUMIF('5. PERSON'!$B$17:$B$192,$C2654,'5. PERSON'!DO$17:DO$192),0)</f>
        <v>0</v>
      </c>
      <c r="E2666" s="133">
        <f>IF('2. START'!$C$14&gt;0,SUMIF('5. PERSON'!$B$17:$B$192,$C2654,'5. PERSON'!AV$17:AV$192)-SUMIF('5. PERSON'!$B$17:$B$192,$C2654,'5. PERSON'!DP$17:DP$192),0)</f>
        <v>0</v>
      </c>
      <c r="F2666" s="133">
        <f>IF('2. START'!$C$14&gt;0,SUMIF('5. PERSON'!$B$17:$B$192,$C2654,'5. PERSON'!AW$17:AW$192)-SUMIF('5. PERSON'!$B$17:$B$192,$C2654,'5. PERSON'!DQ$17:DQ$192),0)</f>
        <v>0</v>
      </c>
      <c r="G2666" s="133">
        <f>IF('2. START'!$C$14&gt;0,SUMIF('5. PERSON'!$B$17:$B$192,$C2654,'5. PERSON'!AX$17:AX$192)-SUMIF('5. PERSON'!$B$17:$B$192,$C2654,'5. PERSON'!DR$17:DR$192),0)</f>
        <v>0</v>
      </c>
      <c r="H2666" s="133">
        <f>IF('2. START'!$C$14&gt;0,SUMIF('5. PERSON'!$B$17:$B$192,$C2654,'5. PERSON'!AY$17:AY$192)-SUMIF('5. PERSON'!$B$17:$B$192,$C2654,'5. PERSON'!DS$17:DS$192),0)</f>
        <v>0</v>
      </c>
      <c r="I2666" s="133">
        <f>IF('2. START'!$C$14&gt;0,SUMIF('5. PERSON'!$B$17:$B$192,$C2654,'5. PERSON'!AZ$17:AZ$192)-SUMIF('5. PERSON'!$B$17:$B$192,$C2654,'5. PERSON'!DT$17:DT$192),0)</f>
        <v>0</v>
      </c>
      <c r="J2666" s="133">
        <f>IF('2. START'!$C$14&gt;0,SUMIF('5. PERSON'!$B$17:$B$192,$C2654,'5. PERSON'!BA$17:BA$192)-SUMIF('5. PERSON'!$B$17:$B$192,$C2654,'5. PERSON'!DU$17:DU$192),0)</f>
        <v>0</v>
      </c>
      <c r="K2666" s="133">
        <f>IF('2. START'!$C$14&gt;0,SUMIF('5. PERSON'!$B$17:$B$192,$C2654,'5. PERSON'!BB$17:BB$192)-SUMIF('5. PERSON'!$B$17:$B$192,$C2654,'5. PERSON'!DV$17:DV$192),0)</f>
        <v>0</v>
      </c>
      <c r="L2666" s="133">
        <f>IF('2. START'!$C$14&gt;0,SUMIF('5. PERSON'!$B$17:$B$192,$C2654,'5. PERSON'!BC$17:BC$192)-SUMIF('5. PERSON'!$B$17:$B$192,$C2654,'5. PERSON'!DW$17:DW$192),0)</f>
        <v>0</v>
      </c>
      <c r="M2666" s="117">
        <f t="shared" si="639"/>
        <v>0</v>
      </c>
    </row>
    <row r="2667" spans="2:15" s="3" customFormat="1" ht="12.75" customHeight="1" x14ac:dyDescent="0.25">
      <c r="B2667" s="118" t="str">
        <f>IF('1. INTRO'!I$2="English",(IF('5. PERSON'!BP$193&gt;0,"Salary including social costs (LKP)","")),IF('5. PERSON'!BP$193&gt;0,"Lön inklusive LKP",""))</f>
        <v/>
      </c>
      <c r="C2667" s="134">
        <f>SUMIF('5. PERSON'!$B$17:$B$192,$C2654,'5. PERSON'!BF$17:BF$192)</f>
        <v>0</v>
      </c>
      <c r="D2667" s="134">
        <f>SUMIF('5. PERSON'!$B$17:$B$192,$C2654,'5. PERSON'!BG$17:BG$192)</f>
        <v>0</v>
      </c>
      <c r="E2667" s="134">
        <f>SUMIF('5. PERSON'!$B$17:$B$192,$C2654,'5. PERSON'!BH$17:BH$192)</f>
        <v>0</v>
      </c>
      <c r="F2667" s="134">
        <f>SUMIF('5. PERSON'!$B$17:$B$192,$C2654,'5. PERSON'!BI$17:BI$192)</f>
        <v>0</v>
      </c>
      <c r="G2667" s="134">
        <f>SUMIF('5. PERSON'!$B$17:$B$192,$C2654,'5. PERSON'!BJ$17:BJ$192)</f>
        <v>0</v>
      </c>
      <c r="H2667" s="134">
        <f>SUMIF('5. PERSON'!$B$17:$B$192,$C2654,'5. PERSON'!BK$17:BK$192)</f>
        <v>0</v>
      </c>
      <c r="I2667" s="134">
        <f>SUMIF('5. PERSON'!$B$17:$B$192,$C2654,'5. PERSON'!BL$17:BL$192)</f>
        <v>0</v>
      </c>
      <c r="J2667" s="134">
        <f>SUMIF('5. PERSON'!$B$17:$B$192,$C2654,'5. PERSON'!BM$17:BM$192)</f>
        <v>0</v>
      </c>
      <c r="K2667" s="134">
        <f>SUMIF('5. PERSON'!$B$17:$B$192,$C2654,'5. PERSON'!BN$17:BN$192)</f>
        <v>0</v>
      </c>
      <c r="L2667" s="134">
        <f>SUMIF('5. PERSON'!$B$17:$B$192,$C2654,'5. PERSON'!BO$17:BO$192)</f>
        <v>0</v>
      </c>
      <c r="M2667" s="120">
        <f t="shared" si="639"/>
        <v>0</v>
      </c>
    </row>
    <row r="2668" spans="2:15" s="3" customFormat="1" ht="13.2" x14ac:dyDescent="0.25">
      <c r="B2668" s="80" t="str">
        <f>IF('1. INTRO'!I$2="English",(IF('6. OPERATION'!AS$150&gt;0,"Operating","")),IF('6. OPERATION'!AS$150&gt;0,"Drift",""))</f>
        <v/>
      </c>
      <c r="C2668" s="135">
        <f>SUMIF('6. OPERATION'!$B$17:$B$149,$C2654,'6. OPERATION'!AI$17:AI$149)</f>
        <v>0</v>
      </c>
      <c r="D2668" s="135">
        <f>SUMIF('6. OPERATION'!$B$17:$B$149,$C2654,'6. OPERATION'!AJ$17:AJ$149)</f>
        <v>0</v>
      </c>
      <c r="E2668" s="135">
        <f>SUMIF('6. OPERATION'!$B$17:$B$149,$C2654,'6. OPERATION'!AK$17:AK$149)</f>
        <v>0</v>
      </c>
      <c r="F2668" s="135">
        <f>SUMIF('6. OPERATION'!$B$17:$B$149,$C2654,'6. OPERATION'!AL$17:AL$149)</f>
        <v>0</v>
      </c>
      <c r="G2668" s="135">
        <f>SUMIF('6. OPERATION'!$B$17:$B$149,$C2654,'6. OPERATION'!AM$17:AM$149)</f>
        <v>0</v>
      </c>
      <c r="H2668" s="135">
        <f>SUMIF('6. OPERATION'!$B$17:$B$149,$C2654,'6. OPERATION'!AN$17:AN$149)</f>
        <v>0</v>
      </c>
      <c r="I2668" s="135">
        <f>SUMIF('6. OPERATION'!$B$17:$B$149,$C2654,'6. OPERATION'!AO$17:AO$149)</f>
        <v>0</v>
      </c>
      <c r="J2668" s="135">
        <f>SUMIF('6. OPERATION'!$B$17:$B$149,$C2654,'6. OPERATION'!AP$17:AP$149)</f>
        <v>0</v>
      </c>
      <c r="K2668" s="135">
        <f>SUMIF('6. OPERATION'!$B$17:$B$149,$C2654,'6. OPERATION'!AQ$17:AQ$149)</f>
        <v>0</v>
      </c>
      <c r="L2668" s="135">
        <f>SUMIF('6. OPERATION'!$B$17:$B$149,$C2654,'6. OPERATION'!AR$17:AR$149)</f>
        <v>0</v>
      </c>
      <c r="M2668" s="117">
        <f t="shared" si="639"/>
        <v>0</v>
      </c>
    </row>
    <row r="2669" spans="2:15" s="3" customFormat="1" ht="13.2" x14ac:dyDescent="0.25">
      <c r="B2669" s="118" t="str">
        <f>IF('1. INTRO'!I$2="English",(IF('7. INVEST'!AS$50&gt;0,"Equipment","")),IF('7. INVEST'!AS$50&gt;0,"Utrustning",""))</f>
        <v/>
      </c>
      <c r="C2669" s="134">
        <f>SUMIF('7. INVEST'!$B$17:$B$49,$C2654,'7. INVEST'!AI$17:AI$49)</f>
        <v>0</v>
      </c>
      <c r="D2669" s="134">
        <f>SUMIF('7. INVEST'!$B$17:$B$49,$C2654,'7. INVEST'!AJ$17:AJ$49)</f>
        <v>0</v>
      </c>
      <c r="E2669" s="134">
        <f>SUMIF('7. INVEST'!$B$17:$B$49,$C2654,'7. INVEST'!AK$17:AK$49)</f>
        <v>0</v>
      </c>
      <c r="F2669" s="134">
        <f>SUMIF('7. INVEST'!$B$17:$B$49,$C2654,'7. INVEST'!AL$17:AL$49)</f>
        <v>0</v>
      </c>
      <c r="G2669" s="134">
        <f>SUMIF('7. INVEST'!$B$17:$B$49,$C2654,'7. INVEST'!AM$17:AM$49)</f>
        <v>0</v>
      </c>
      <c r="H2669" s="134">
        <f>SUMIF('7. INVEST'!$B$17:$B$49,$C2654,'7. INVEST'!AN$17:AN$49)</f>
        <v>0</v>
      </c>
      <c r="I2669" s="134">
        <f>SUMIF('7. INVEST'!$B$17:$B$49,$C2654,'7. INVEST'!AO$17:AO$49)</f>
        <v>0</v>
      </c>
      <c r="J2669" s="134">
        <f>SUMIF('7. INVEST'!$B$17:$B$49,$C2654,'7. INVEST'!AP$17:AP$49)</f>
        <v>0</v>
      </c>
      <c r="K2669" s="134">
        <f>SUMIF('7. INVEST'!$B$17:$B$49,$C2654,'7. INVEST'!AQ$17:AQ$49)</f>
        <v>0</v>
      </c>
      <c r="L2669" s="134">
        <f>SUMIF('7. INVEST'!$B$17:$B$49,$C2654,'7. INVEST'!AR$17:AR$49)</f>
        <v>0</v>
      </c>
      <c r="M2669" s="120">
        <f t="shared" si="639"/>
        <v>0</v>
      </c>
    </row>
    <row r="2670" spans="2:15" s="3" customFormat="1" ht="13.2" x14ac:dyDescent="0.25">
      <c r="B2670" s="121" t="str">
        <f>IF('1. INTRO'!I$2="English",(IF('8. FACILIT'!AP$51&gt;0,"Facility","")),IF('8. FACILIT'!AP$51&gt;0,"Lokal",""))</f>
        <v/>
      </c>
      <c r="C2670" s="135">
        <f>SUMIF('5. PERSON'!$B$17:$B$192,$C2654,'5. PERSON'!DB$17:DB$192)+SUMIF('6. OPERATION'!$B$17:$B$149,$C2654,'6. OPERATION'!CE$17:CE$149)+SUMIF('8. FACILIT'!$B$18:$B$50,$C2654,'8. FACILIT'!AF$18:AF$50)</f>
        <v>0</v>
      </c>
      <c r="D2670" s="135">
        <f>SUMIF('5. PERSON'!$B$17:$B$192,$C2654,'5. PERSON'!DC$17:DC$192)+SUMIF('6. OPERATION'!$B$17:$B$149,$C2654,'6. OPERATION'!CF$17:CF$149)+SUMIF('8. FACILIT'!$B$18:$B$50,$C2654,'8. FACILIT'!AG$18:AG$50)</f>
        <v>0</v>
      </c>
      <c r="E2670" s="135">
        <f>SUMIF('5. PERSON'!$B$17:$B$192,$C2654,'5. PERSON'!DD$17:DD$192)+SUMIF('6. OPERATION'!$B$17:$B$149,$C2654,'6. OPERATION'!CG$17:CG$149)+SUMIF('8. FACILIT'!$B$18:$B$50,$C2654,'8. FACILIT'!AH$18:AH$50)</f>
        <v>0</v>
      </c>
      <c r="F2670" s="135">
        <f>SUMIF('5. PERSON'!$B$17:$B$192,$C2654,'5. PERSON'!DE$17:DE$192)+SUMIF('6. OPERATION'!$B$17:$B$149,$C2654,'6. OPERATION'!CH$17:CH$149)+SUMIF('8. FACILIT'!$B$18:$B$50,$C2654,'8. FACILIT'!AI$18:AI$50)</f>
        <v>0</v>
      </c>
      <c r="G2670" s="135">
        <f>SUMIF('5. PERSON'!$B$17:$B$192,$C2654,'5. PERSON'!DF$17:DF$192)+SUMIF('6. OPERATION'!$B$17:$B$149,$C2654,'6. OPERATION'!CI$17:CI$149)+SUMIF('8. FACILIT'!$B$18:$B$50,$C2654,'8. FACILIT'!AJ$18:AJ$50)</f>
        <v>0</v>
      </c>
      <c r="H2670" s="135">
        <f>SUMIF('5. PERSON'!$B$17:$B$192,$C2654,'5. PERSON'!DG$17:DG$192)+SUMIF('6. OPERATION'!$B$17:$B$149,$C2654,'6. OPERATION'!CJ$17:CJ$149)+SUMIF('8. FACILIT'!$B$18:$B$50,$C2654,'8. FACILIT'!AK$18:AK$50)</f>
        <v>0</v>
      </c>
      <c r="I2670" s="135">
        <f>SUMIF('5. PERSON'!$B$17:$B$192,$C2654,'5. PERSON'!DH$17:DH$192)+SUMIF('6. OPERATION'!$B$17:$B$149,$C2654,'6. OPERATION'!CK$17:CK$149)+SUMIF('8. FACILIT'!$B$18:$B$50,$C2654,'8. FACILIT'!AL$18:AL$50)</f>
        <v>0</v>
      </c>
      <c r="J2670" s="135">
        <f>SUMIF('5. PERSON'!$B$17:$B$192,$C2654,'5. PERSON'!DI$17:DI$192)+SUMIF('6. OPERATION'!$B$17:$B$149,$C2654,'6. OPERATION'!CL$17:CL$149)+SUMIF('8. FACILIT'!$B$18:$B$50,$C2654,'8. FACILIT'!AM$18:AM$50)</f>
        <v>0</v>
      </c>
      <c r="K2670" s="135">
        <f>SUMIF('5. PERSON'!$B$17:$B$192,$C2654,'5. PERSON'!DJ$17:DJ$192)+SUMIF('6. OPERATION'!$B$17:$B$149,$C2654,'6. OPERATION'!CM$17:CM$149)+SUMIF('8. FACILIT'!$B$18:$B$50,$C2654,'8. FACILIT'!AN$18:AN$50)</f>
        <v>0</v>
      </c>
      <c r="L2670" s="135">
        <f>SUMIF('5. PERSON'!$B$17:$B$192,$C2654,'5. PERSON'!DK$17:DK$192)+SUMIF('6. OPERATION'!$B$17:$B$149,$C2654,'6. OPERATION'!CN$17:CN$149)+SUMIF('8. FACILIT'!$B$18:$B$50,$C2654,'8. FACILIT'!AO$18:AO$50)</f>
        <v>0</v>
      </c>
      <c r="M2670" s="117">
        <f t="shared" si="639"/>
        <v>0</v>
      </c>
    </row>
    <row r="2671" spans="2:15" s="1" customFormat="1" ht="13.2" x14ac:dyDescent="0.25">
      <c r="B2671" s="122" t="str">
        <f>IF('1. INTRO'!I$2="English",(IF(('5. PERSON'!CN$193+'6. OPERATION'!BQ$150)&gt;0,"Indirect","")),IF(('5. PERSON'!CN$193+'6. OPERATION'!BQ$150)&gt;0,"Indirekt",""))</f>
        <v/>
      </c>
      <c r="C2671" s="107">
        <f>SUMIF('5. PERSON'!$B$17:$B$192,$C2654,'5. PERSON'!CD$17:CD$192)+SUMIF('6. OPERATION'!$B$17:$B$149,$C2654,'6. OPERATION'!BG$17:BG$149)</f>
        <v>0</v>
      </c>
      <c r="D2671" s="107">
        <f>SUMIF('5. PERSON'!$B$17:$B$192,$C2654,'5. PERSON'!CE$17:CE$192)+SUMIF('6. OPERATION'!$B$17:$B$149,$C2654,'6. OPERATION'!BH$17:BH$149)</f>
        <v>0</v>
      </c>
      <c r="E2671" s="107">
        <f>SUMIF('5. PERSON'!$B$17:$B$192,$C2654,'5. PERSON'!CF$17:CF$192)+SUMIF('6. OPERATION'!$B$17:$B$149,$C2654,'6. OPERATION'!BI$17:BI$149)</f>
        <v>0</v>
      </c>
      <c r="F2671" s="107">
        <f>SUMIF('5. PERSON'!$B$17:$B$192,$C2654,'5. PERSON'!CG$17:CG$192)+SUMIF('6. OPERATION'!$B$17:$B$149,$C2654,'6. OPERATION'!BJ$17:BJ$149)</f>
        <v>0</v>
      </c>
      <c r="G2671" s="107">
        <f>SUMIF('5. PERSON'!$B$17:$B$192,$C2654,'5. PERSON'!CH$17:CH$192)+SUMIF('6. OPERATION'!$B$17:$B$149,$C2654,'6. OPERATION'!BK$17:BK$149)</f>
        <v>0</v>
      </c>
      <c r="H2671" s="107">
        <f>SUMIF('5. PERSON'!$B$17:$B$192,$C2654,'5. PERSON'!CI$17:CI$192)+SUMIF('6. OPERATION'!$B$17:$B$149,$C2654,'6. OPERATION'!BL$17:BL$149)</f>
        <v>0</v>
      </c>
      <c r="I2671" s="107">
        <f>SUMIF('5. PERSON'!$B$17:$B$192,$C2654,'5. PERSON'!CJ$17:CJ$192)+SUMIF('6. OPERATION'!$B$17:$B$149,$C2654,'6. OPERATION'!BM$17:BM$149)</f>
        <v>0</v>
      </c>
      <c r="J2671" s="107">
        <f>SUMIF('5. PERSON'!$B$17:$B$192,$C2654,'5. PERSON'!CK$17:CK$192)+SUMIF('6. OPERATION'!$B$17:$B$149,$C2654,'6. OPERATION'!BN$17:BN$149)</f>
        <v>0</v>
      </c>
      <c r="K2671" s="107">
        <f>SUMIF('5. PERSON'!$B$17:$B$192,$C2654,'5. PERSON'!CL$17:CL$192)+SUMIF('6. OPERATION'!$B$17:$B$149,$C2654,'6. OPERATION'!BO$17:BO$149)</f>
        <v>0</v>
      </c>
      <c r="L2671" s="107">
        <f>SUMIF('5. PERSON'!$B$17:$B$192,$C2654,'5. PERSON'!CM$17:CM$192)+SUMIF('6. OPERATION'!$B$17:$B$149,$C2654,'6. OPERATION'!BP$17:BP$149)</f>
        <v>0</v>
      </c>
      <c r="M2671" s="123">
        <f t="shared" si="639"/>
        <v>0</v>
      </c>
    </row>
    <row r="2672" spans="2:15" s="3" customFormat="1" ht="13.2" x14ac:dyDescent="0.25">
      <c r="B2672" s="124" t="s">
        <v>113</v>
      </c>
      <c r="C2672" s="102">
        <f>SUM(C2665:C2671)</f>
        <v>0</v>
      </c>
      <c r="D2672" s="102">
        <f t="shared" ref="D2672:L2672" si="640">SUM(D2665:D2671)</f>
        <v>0</v>
      </c>
      <c r="E2672" s="102">
        <f t="shared" si="640"/>
        <v>0</v>
      </c>
      <c r="F2672" s="102">
        <f t="shared" si="640"/>
        <v>0</v>
      </c>
      <c r="G2672" s="102">
        <f t="shared" si="640"/>
        <v>0</v>
      </c>
      <c r="H2672" s="102">
        <f t="shared" si="640"/>
        <v>0</v>
      </c>
      <c r="I2672" s="102">
        <f t="shared" si="640"/>
        <v>0</v>
      </c>
      <c r="J2672" s="102">
        <f t="shared" si="640"/>
        <v>0</v>
      </c>
      <c r="K2672" s="102">
        <f t="shared" si="640"/>
        <v>0</v>
      </c>
      <c r="L2672" s="102">
        <f t="shared" si="640"/>
        <v>0</v>
      </c>
      <c r="M2672" s="125">
        <f t="shared" ref="M2672" si="641">SUM(M2665:M2671)</f>
        <v>0</v>
      </c>
      <c r="N2672" s="23"/>
      <c r="O2672" s="23"/>
    </row>
    <row r="2673" spans="2:13" s="3" customFormat="1" ht="6" customHeight="1" x14ac:dyDescent="0.25">
      <c r="B2673" s="136"/>
      <c r="C2673" s="127"/>
      <c r="D2673" s="127"/>
      <c r="E2673" s="127"/>
      <c r="F2673" s="127"/>
      <c r="G2673" s="127"/>
      <c r="H2673" s="127"/>
      <c r="I2673" s="127"/>
      <c r="J2673" s="127"/>
      <c r="K2673" s="127"/>
      <c r="L2673" s="127"/>
      <c r="M2673" s="137"/>
    </row>
    <row r="2674" spans="2:13" s="3" customFormat="1" ht="13.2" x14ac:dyDescent="0.25">
      <c r="B2674" s="129" t="str">
        <f>IF('1. INTRO'!I$2="English","Full cost","Full kostnad")</f>
        <v>Full cost</v>
      </c>
      <c r="C2674" s="127"/>
      <c r="D2674" s="127"/>
      <c r="E2674" s="127"/>
      <c r="F2674" s="127"/>
      <c r="G2674" s="127"/>
      <c r="H2674" s="127"/>
      <c r="I2674" s="127"/>
      <c r="J2674" s="127"/>
      <c r="K2674" s="127"/>
      <c r="L2674" s="127"/>
      <c r="M2674" s="137"/>
    </row>
    <row r="2675" spans="2:13" s="3" customFormat="1" ht="13.2" x14ac:dyDescent="0.25">
      <c r="B2675" s="113" t="str">
        <f>IF('1. INTRO'!I$2="English","Salary including social costs (LKP)","Lön inklusive LKP")</f>
        <v>Salary including social costs (LKP)</v>
      </c>
      <c r="C2675" s="138">
        <f>C2657+C2666+C2667</f>
        <v>0</v>
      </c>
      <c r="D2675" s="138">
        <f t="shared" ref="D2675:L2675" si="642">D2657+D2666+D2667</f>
        <v>0</v>
      </c>
      <c r="E2675" s="138">
        <f t="shared" si="642"/>
        <v>0</v>
      </c>
      <c r="F2675" s="138">
        <f t="shared" si="642"/>
        <v>0</v>
      </c>
      <c r="G2675" s="138">
        <f t="shared" si="642"/>
        <v>0</v>
      </c>
      <c r="H2675" s="138">
        <f t="shared" si="642"/>
        <v>0</v>
      </c>
      <c r="I2675" s="138">
        <f t="shared" si="642"/>
        <v>0</v>
      </c>
      <c r="J2675" s="138">
        <f t="shared" si="642"/>
        <v>0</v>
      </c>
      <c r="K2675" s="138">
        <f t="shared" si="642"/>
        <v>0</v>
      </c>
      <c r="L2675" s="138">
        <f t="shared" si="642"/>
        <v>0</v>
      </c>
      <c r="M2675" s="115">
        <f>SUM(C2675:L2675)</f>
        <v>0</v>
      </c>
    </row>
    <row r="2676" spans="2:13" s="3" customFormat="1" ht="13.2" x14ac:dyDescent="0.25">
      <c r="B2676" s="80" t="str">
        <f>IF('1. INTRO'!I$2="English","Operating","Drift")</f>
        <v>Operating</v>
      </c>
      <c r="C2676" s="139">
        <f>C2658+C2668</f>
        <v>0</v>
      </c>
      <c r="D2676" s="139">
        <f t="shared" ref="D2676:L2676" si="643">D2658+D2668</f>
        <v>0</v>
      </c>
      <c r="E2676" s="139">
        <f t="shared" si="643"/>
        <v>0</v>
      </c>
      <c r="F2676" s="139">
        <f t="shared" si="643"/>
        <v>0</v>
      </c>
      <c r="G2676" s="139">
        <f t="shared" si="643"/>
        <v>0</v>
      </c>
      <c r="H2676" s="139">
        <f t="shared" si="643"/>
        <v>0</v>
      </c>
      <c r="I2676" s="139">
        <f t="shared" si="643"/>
        <v>0</v>
      </c>
      <c r="J2676" s="139">
        <f t="shared" si="643"/>
        <v>0</v>
      </c>
      <c r="K2676" s="139">
        <f t="shared" si="643"/>
        <v>0</v>
      </c>
      <c r="L2676" s="139">
        <f t="shared" si="643"/>
        <v>0</v>
      </c>
      <c r="M2676" s="117">
        <f>SUM(C2676:L2676)</f>
        <v>0</v>
      </c>
    </row>
    <row r="2677" spans="2:13" s="3" customFormat="1" ht="13.2" x14ac:dyDescent="0.25">
      <c r="B2677" s="118" t="str">
        <f>IF('1. INTRO'!I$2="English","Equipment","Utrustning")</f>
        <v>Equipment</v>
      </c>
      <c r="C2677" s="140">
        <f>C2659+C2669</f>
        <v>0</v>
      </c>
      <c r="D2677" s="140">
        <f t="shared" ref="D2677:L2677" si="644">D2659+D2669</f>
        <v>0</v>
      </c>
      <c r="E2677" s="140">
        <f t="shared" si="644"/>
        <v>0</v>
      </c>
      <c r="F2677" s="140">
        <f t="shared" si="644"/>
        <v>0</v>
      </c>
      <c r="G2677" s="140">
        <f t="shared" si="644"/>
        <v>0</v>
      </c>
      <c r="H2677" s="140">
        <f t="shared" si="644"/>
        <v>0</v>
      </c>
      <c r="I2677" s="140">
        <f t="shared" si="644"/>
        <v>0</v>
      </c>
      <c r="J2677" s="140">
        <f t="shared" si="644"/>
        <v>0</v>
      </c>
      <c r="K2677" s="140">
        <f t="shared" si="644"/>
        <v>0</v>
      </c>
      <c r="L2677" s="140">
        <f t="shared" si="644"/>
        <v>0</v>
      </c>
      <c r="M2677" s="120">
        <f>SUM(C2677:L2677)</f>
        <v>0</v>
      </c>
    </row>
    <row r="2678" spans="2:13" s="3" customFormat="1" ht="13.2" x14ac:dyDescent="0.25">
      <c r="B2678" s="80" t="str">
        <f>IF('1. INTRO'!I$2="English","Facility","Lokal")</f>
        <v>Facility</v>
      </c>
      <c r="C2678" s="139">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39">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39">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39">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39">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39">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39">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39">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39">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39">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117">
        <f>SUM(C2678:L2678)</f>
        <v>0</v>
      </c>
    </row>
    <row r="2679" spans="2:13" s="3" customFormat="1" ht="13.2" x14ac:dyDescent="0.25">
      <c r="B2679" s="601" t="str">
        <f>IF('1. INTRO'!I$2="English","Indirect","Indirekt")</f>
        <v>Indirect</v>
      </c>
      <c r="C2679" s="141">
        <f>SUMIF('5. PERSON'!$B$17:$B$192,$C2654,'5. PERSON'!BR$17:BR$192)+SUMIF('5. PERSON'!$B$17:$B$192,$C2654,'5. PERSON'!CD$17:CD$192)+SUMIF('6. OPERATION'!$B$17:$B$149,$C2654,'6. OPERATION'!AU$17:AU$149)+SUMIF('6. OPERATION'!$B$17:$B$149,$C2654,'6. OPERATION'!BG$17:BG$149)</f>
        <v>0</v>
      </c>
      <c r="D2679" s="141">
        <f>SUMIF('5. PERSON'!$B$17:$B$192,$C2654,'5. PERSON'!BS$17:BS$192)+SUMIF('5. PERSON'!$B$17:$B$192,$C2654,'5. PERSON'!CE$17:CE$192)+SUMIF('6. OPERATION'!$B$17:$B$149,$C2654,'6. OPERATION'!AV$17:AV$149)+SUMIF('6. OPERATION'!$B$17:$B$149,$C2654,'6. OPERATION'!BH$17:BH$149)</f>
        <v>0</v>
      </c>
      <c r="E2679" s="141">
        <f>SUMIF('5. PERSON'!$B$17:$B$192,$C2654,'5. PERSON'!BT$17:BT$192)+SUMIF('5. PERSON'!$B$17:$B$192,$C2654,'5. PERSON'!CF$17:CF$192)+SUMIF('6. OPERATION'!$B$17:$B$149,$C2654,'6. OPERATION'!AW$17:AW$149)+SUMIF('6. OPERATION'!$B$17:$B$149,$C2654,'6. OPERATION'!BI$17:BI$149)</f>
        <v>0</v>
      </c>
      <c r="F2679" s="141">
        <f>SUMIF('5. PERSON'!$B$17:$B$192,$C2654,'5. PERSON'!BU$17:BU$192)+SUMIF('5. PERSON'!$B$17:$B$192,$C2654,'5. PERSON'!CG$17:CG$192)+SUMIF('6. OPERATION'!$B$17:$B$149,$C2654,'6. OPERATION'!AX$17:AX$149)+SUMIF('6. OPERATION'!$B$17:$B$149,$C2654,'6. OPERATION'!BJ$17:BJ$149)</f>
        <v>0</v>
      </c>
      <c r="G2679" s="141">
        <f>SUMIF('5. PERSON'!$B$17:$B$192,$C2654,'5. PERSON'!BV$17:BV$192)+SUMIF('5. PERSON'!$B$17:$B$192,$C2654,'5. PERSON'!CH$17:CH$192)+SUMIF('6. OPERATION'!$B$17:$B$149,$C2654,'6. OPERATION'!AY$17:AY$149)+SUMIF('6. OPERATION'!$B$17:$B$149,$C2654,'6. OPERATION'!BK$17:BK$149)</f>
        <v>0</v>
      </c>
      <c r="H2679" s="141">
        <f>SUMIF('5. PERSON'!$B$17:$B$192,$C2654,'5. PERSON'!BW$17:BW$192)+SUMIF('5. PERSON'!$B$17:$B$192,$C2654,'5. PERSON'!CI$17:CI$192)+SUMIF('6. OPERATION'!$B$17:$B$149,$C2654,'6. OPERATION'!AZ$17:AZ$149)+SUMIF('6. OPERATION'!$B$17:$B$149,$C2654,'6. OPERATION'!BL$17:BL$149)</f>
        <v>0</v>
      </c>
      <c r="I2679" s="141">
        <f>SUMIF('5. PERSON'!$B$17:$B$192,$C2654,'5. PERSON'!BX$17:BX$192)+SUMIF('5. PERSON'!$B$17:$B$192,$C2654,'5. PERSON'!CJ$17:CJ$192)+SUMIF('6. OPERATION'!$B$17:$B$149,$C2654,'6. OPERATION'!BA$17:BA$149)+SUMIF('6. OPERATION'!$B$17:$B$149,$C2654,'6. OPERATION'!BM$17:BM$149)</f>
        <v>0</v>
      </c>
      <c r="J2679" s="141">
        <f>SUMIF('5. PERSON'!$B$17:$B$192,$C2654,'5. PERSON'!BY$17:BY$192)+SUMIF('5. PERSON'!$B$17:$B$192,$C2654,'5. PERSON'!CK$17:CK$192)+SUMIF('6. OPERATION'!$B$17:$B$149,$C2654,'6. OPERATION'!BB$17:BB$149)+SUMIF('6. OPERATION'!$B$17:$B$149,$C2654,'6. OPERATION'!BN$17:BN$149)</f>
        <v>0</v>
      </c>
      <c r="K2679" s="141">
        <f>SUMIF('5. PERSON'!$B$17:$B$192,$C2654,'5. PERSON'!BZ$17:BZ$192)+SUMIF('5. PERSON'!$B$17:$B$192,$C2654,'5. PERSON'!CL$17:CL$192)+SUMIF('6. OPERATION'!$B$17:$B$149,$C2654,'6. OPERATION'!BC$17:BC$149)+SUMIF('6. OPERATION'!$B$17:$B$149,$C2654,'6. OPERATION'!BO$17:BO$149)</f>
        <v>0</v>
      </c>
      <c r="L2679" s="141">
        <f>SUMIF('5. PERSON'!$B$17:$B$192,$C2654,'5. PERSON'!CA$17:CA$192)+SUMIF('5. PERSON'!$B$17:$B$192,$C2654,'5. PERSON'!CM$17:CM$192)+SUMIF('6. OPERATION'!$B$17:$B$149,$C2654,'6. OPERATION'!BD$17:BD$149)+SUMIF('6. OPERATION'!$B$17:$B$149,$C2654,'6. OPERATION'!BP$17:BP$149)</f>
        <v>0</v>
      </c>
      <c r="M2679" s="123">
        <f>SUM(C2679:L2679)</f>
        <v>0</v>
      </c>
    </row>
    <row r="2680" spans="2:13" s="3" customFormat="1" ht="13.2" x14ac:dyDescent="0.25">
      <c r="B2680" s="124" t="s">
        <v>113</v>
      </c>
      <c r="C2680" s="88">
        <f>SUM(C2675:C2679)</f>
        <v>0</v>
      </c>
      <c r="D2680" s="88">
        <f t="shared" ref="D2680:M2680" si="645">SUM(D2675:D2679)</f>
        <v>0</v>
      </c>
      <c r="E2680" s="88">
        <f t="shared" si="645"/>
        <v>0</v>
      </c>
      <c r="F2680" s="88">
        <f t="shared" si="645"/>
        <v>0</v>
      </c>
      <c r="G2680" s="88">
        <f t="shared" si="645"/>
        <v>0</v>
      </c>
      <c r="H2680" s="88">
        <f t="shared" si="645"/>
        <v>0</v>
      </c>
      <c r="I2680" s="88">
        <f t="shared" si="645"/>
        <v>0</v>
      </c>
      <c r="J2680" s="88">
        <f t="shared" si="645"/>
        <v>0</v>
      </c>
      <c r="K2680" s="88">
        <f t="shared" si="645"/>
        <v>0</v>
      </c>
      <c r="L2680" s="88">
        <f t="shared" si="645"/>
        <v>0</v>
      </c>
      <c r="M2680" s="142">
        <f t="shared" si="645"/>
        <v>0</v>
      </c>
    </row>
    <row r="2681" spans="2:13" s="3" customFormat="1" ht="13.2" x14ac:dyDescent="0.25">
      <c r="B2681" s="287"/>
      <c r="C2681" s="37"/>
      <c r="D2681" s="37"/>
      <c r="E2681" s="37"/>
      <c r="F2681" s="37"/>
      <c r="G2681" s="37"/>
      <c r="H2681" s="37"/>
      <c r="I2681" s="37"/>
      <c r="J2681" s="37"/>
      <c r="K2681" s="37"/>
      <c r="L2681" s="37"/>
      <c r="M2681" s="37"/>
    </row>
    <row r="2682" spans="2:13" s="3" customFormat="1" ht="12.75" customHeight="1" x14ac:dyDescent="0.25">
      <c r="B2682" s="656" t="str">
        <f>IF('1. INTRO'!I$2="English","Co-funding share in full cost ","Medfinansieringsandel i full kostnad ")</f>
        <v xml:space="preserve">Co-funding share in full cost </v>
      </c>
      <c r="C2682" s="143" t="str">
        <f t="shared" ref="C2682:M2682" si="646">IF(C2680&gt;0,C2672/C2680,"")</f>
        <v/>
      </c>
      <c r="D2682" s="143" t="str">
        <f t="shared" si="646"/>
        <v/>
      </c>
      <c r="E2682" s="143" t="str">
        <f t="shared" si="646"/>
        <v/>
      </c>
      <c r="F2682" s="143" t="str">
        <f t="shared" si="646"/>
        <v/>
      </c>
      <c r="G2682" s="143" t="str">
        <f t="shared" si="646"/>
        <v/>
      </c>
      <c r="H2682" s="143" t="str">
        <f t="shared" si="646"/>
        <v/>
      </c>
      <c r="I2682" s="143" t="str">
        <f t="shared" si="646"/>
        <v/>
      </c>
      <c r="J2682" s="143" t="str">
        <f t="shared" si="646"/>
        <v/>
      </c>
      <c r="K2682" s="143" t="str">
        <f t="shared" si="646"/>
        <v/>
      </c>
      <c r="L2682" s="143" t="str">
        <f t="shared" si="646"/>
        <v/>
      </c>
      <c r="M2682" s="143" t="str">
        <f t="shared" si="646"/>
        <v/>
      </c>
    </row>
    <row r="2683" spans="2:13" ht="12.75" customHeight="1" x14ac:dyDescent="0.2"/>
    <row r="2684" spans="2:13" ht="12.75" customHeight="1" x14ac:dyDescent="0.25">
      <c r="D2684" s="676" t="str">
        <f>IF('1. INTRO'!I$2="English","Co-funding need in average per year: ","Medfinansieringsbehov i genomsnitt per år: ")</f>
        <v xml:space="preserve">Co-funding need in average per year: </v>
      </c>
      <c r="E2684" s="92" t="str">
        <f>IF(M2672=0,"",M2672/(DATEDIF('2. START'!C$18,'2. START'!C$19,"d")/365))</f>
        <v/>
      </c>
      <c r="H2684" s="676" t="str">
        <f>IF('1. INTRO'!I$2="English","Co-funding need 1/3 of total: ","Medfinansieringsbehov 1/3 av totalt: ")</f>
        <v xml:space="preserve">Co-funding need 1/3 of total: </v>
      </c>
      <c r="I2684" s="92">
        <f>M2672/3</f>
        <v>0</v>
      </c>
      <c r="L2684" s="287" t="str">
        <f>IF('1. INTRO'!I$2="English","Co-funding need total: ","Medfinansieringsbehov totalt: ")</f>
        <v xml:space="preserve">Co-funding need total: </v>
      </c>
      <c r="M2684" s="92">
        <f>M2672</f>
        <v>0</v>
      </c>
    </row>
    <row r="2685" spans="2:13" ht="12.75" customHeight="1" x14ac:dyDescent="0.25">
      <c r="B2685" s="53" t="str">
        <f>IF('1. INTRO'!I$2="English","Co-funding sources","Medfinansieringskällor")</f>
        <v>Co-funding sources</v>
      </c>
    </row>
    <row r="2686" spans="2:13" ht="12.75" customHeight="1" x14ac:dyDescent="0.25">
      <c r="B2686" s="225"/>
      <c r="C2686" s="226"/>
      <c r="D2686" s="226"/>
      <c r="E2686" s="226"/>
      <c r="F2686" s="226"/>
      <c r="G2686" s="226"/>
      <c r="H2686" s="226"/>
      <c r="I2686" s="226"/>
      <c r="J2686" s="226"/>
      <c r="K2686" s="226"/>
      <c r="L2686" s="227"/>
      <c r="M2686" s="168">
        <f>SUM(C2686:L2686)</f>
        <v>0</v>
      </c>
    </row>
    <row r="2687" spans="2:13" ht="12.75" customHeight="1" x14ac:dyDescent="0.25">
      <c r="B2687" s="228"/>
      <c r="C2687" s="229"/>
      <c r="D2687" s="229"/>
      <c r="E2687" s="229"/>
      <c r="F2687" s="229"/>
      <c r="G2687" s="229"/>
      <c r="H2687" s="229"/>
      <c r="I2687" s="229"/>
      <c r="J2687" s="229"/>
      <c r="K2687" s="229"/>
      <c r="L2687" s="230"/>
      <c r="M2687" s="120">
        <f t="shared" ref="M2687:M2690" si="647">SUM(C2687:L2687)</f>
        <v>0</v>
      </c>
    </row>
    <row r="2688" spans="2:13" ht="12.75" customHeight="1" x14ac:dyDescent="0.25">
      <c r="B2688" s="231"/>
      <c r="C2688" s="232"/>
      <c r="D2688" s="232"/>
      <c r="E2688" s="232"/>
      <c r="F2688" s="232"/>
      <c r="G2688" s="232"/>
      <c r="H2688" s="232"/>
      <c r="I2688" s="232"/>
      <c r="J2688" s="232"/>
      <c r="K2688" s="232"/>
      <c r="L2688" s="233"/>
      <c r="M2688" s="117">
        <f t="shared" si="647"/>
        <v>0</v>
      </c>
    </row>
    <row r="2689" spans="2:13" ht="12.75" customHeight="1" x14ac:dyDescent="0.25">
      <c r="B2689" s="228"/>
      <c r="C2689" s="229"/>
      <c r="D2689" s="229"/>
      <c r="E2689" s="229"/>
      <c r="F2689" s="229"/>
      <c r="G2689" s="229"/>
      <c r="H2689" s="229"/>
      <c r="I2689" s="229"/>
      <c r="J2689" s="229"/>
      <c r="K2689" s="229"/>
      <c r="L2689" s="230"/>
      <c r="M2689" s="120">
        <f t="shared" si="647"/>
        <v>0</v>
      </c>
    </row>
    <row r="2690" spans="2:13" ht="12.75" customHeight="1" x14ac:dyDescent="0.25">
      <c r="B2690" s="93"/>
      <c r="C2690" s="232"/>
      <c r="D2690" s="232"/>
      <c r="E2690" s="232"/>
      <c r="F2690" s="232"/>
      <c r="G2690" s="232"/>
      <c r="H2690" s="232"/>
      <c r="I2690" s="232"/>
      <c r="J2690" s="232"/>
      <c r="K2690" s="232"/>
      <c r="L2690" s="233"/>
      <c r="M2690" s="117">
        <f t="shared" si="647"/>
        <v>0</v>
      </c>
    </row>
    <row r="2691" spans="2:13" ht="12.75" customHeight="1" x14ac:dyDescent="0.25">
      <c r="B2691" s="84" t="str">
        <f>IF('1. INTRO'!I$2="English","Total co-funding ","Total medfinansiering ")</f>
        <v xml:space="preserve">Total co-funding </v>
      </c>
      <c r="C2691" s="87">
        <f t="shared" ref="C2691:M2691" si="648">SUM(C2686:C2690)</f>
        <v>0</v>
      </c>
      <c r="D2691" s="87">
        <f t="shared" si="648"/>
        <v>0</v>
      </c>
      <c r="E2691" s="87">
        <f t="shared" si="648"/>
        <v>0</v>
      </c>
      <c r="F2691" s="87">
        <f t="shared" si="648"/>
        <v>0</v>
      </c>
      <c r="G2691" s="87">
        <f t="shared" si="648"/>
        <v>0</v>
      </c>
      <c r="H2691" s="87">
        <f t="shared" si="648"/>
        <v>0</v>
      </c>
      <c r="I2691" s="87">
        <f t="shared" si="648"/>
        <v>0</v>
      </c>
      <c r="J2691" s="87">
        <f t="shared" si="648"/>
        <v>0</v>
      </c>
      <c r="K2691" s="87">
        <f t="shared" si="648"/>
        <v>0</v>
      </c>
      <c r="L2691" s="87">
        <f t="shared" si="648"/>
        <v>0</v>
      </c>
      <c r="M2691" s="142">
        <f t="shared" si="648"/>
        <v>0</v>
      </c>
    </row>
    <row r="2692" spans="2:13" ht="12.75" customHeight="1" x14ac:dyDescent="0.2"/>
    <row r="2693" spans="2:13" ht="12.75" customHeight="1" x14ac:dyDescent="0.2">
      <c r="B2693" s="667" t="str">
        <f>IF('1. INTRO'!I$2="English","Calculation comments","Kalkylkommentarer")</f>
        <v>Calculation comments</v>
      </c>
      <c r="C2693" s="37" t="str">
        <f>B66</f>
        <v/>
      </c>
    </row>
    <row r="2694" spans="2:13" ht="12.75" customHeight="1" x14ac:dyDescent="0.2">
      <c r="B2694" s="1142"/>
      <c r="C2694" s="1143"/>
      <c r="D2694" s="1143"/>
      <c r="E2694" s="1143"/>
      <c r="F2694" s="1143"/>
      <c r="G2694" s="1143"/>
      <c r="H2694" s="1143"/>
      <c r="I2694" s="1143"/>
      <c r="J2694" s="1143"/>
      <c r="K2694" s="1143"/>
      <c r="L2694" s="1143"/>
      <c r="M2694" s="1144"/>
    </row>
    <row r="2695" spans="2:13" ht="12.75" customHeight="1" x14ac:dyDescent="0.2">
      <c r="B2695" s="1145"/>
      <c r="C2695" s="1226"/>
      <c r="D2695" s="1226"/>
      <c r="E2695" s="1226"/>
      <c r="F2695" s="1226"/>
      <c r="G2695" s="1226"/>
      <c r="H2695" s="1226"/>
      <c r="I2695" s="1226"/>
      <c r="J2695" s="1226"/>
      <c r="K2695" s="1226"/>
      <c r="L2695" s="1226"/>
      <c r="M2695" s="1147"/>
    </row>
    <row r="2696" spans="2:13" ht="12.75" customHeight="1" x14ac:dyDescent="0.2">
      <c r="B2696" s="1145"/>
      <c r="C2696" s="1226"/>
      <c r="D2696" s="1226"/>
      <c r="E2696" s="1226"/>
      <c r="F2696" s="1226"/>
      <c r="G2696" s="1226"/>
      <c r="H2696" s="1226"/>
      <c r="I2696" s="1226"/>
      <c r="J2696" s="1226"/>
      <c r="K2696" s="1226"/>
      <c r="L2696" s="1226"/>
      <c r="M2696" s="1147"/>
    </row>
    <row r="2697" spans="2:13" ht="12.75" customHeight="1" x14ac:dyDescent="0.2">
      <c r="B2697" s="1145"/>
      <c r="C2697" s="1226"/>
      <c r="D2697" s="1226"/>
      <c r="E2697" s="1226"/>
      <c r="F2697" s="1226"/>
      <c r="G2697" s="1226"/>
      <c r="H2697" s="1226"/>
      <c r="I2697" s="1226"/>
      <c r="J2697" s="1226"/>
      <c r="K2697" s="1226"/>
      <c r="L2697" s="1226"/>
      <c r="M2697" s="1147"/>
    </row>
    <row r="2698" spans="2:13" ht="12.75" customHeight="1" x14ac:dyDescent="0.2">
      <c r="B2698" s="1148"/>
      <c r="C2698" s="1149"/>
      <c r="D2698" s="1149"/>
      <c r="E2698" s="1149"/>
      <c r="F2698" s="1149"/>
      <c r="G2698" s="1149"/>
      <c r="H2698" s="1149"/>
      <c r="I2698" s="1149"/>
      <c r="J2698" s="1149"/>
      <c r="K2698" s="1149"/>
      <c r="L2698" s="1149"/>
      <c r="M2698" s="1150"/>
    </row>
    <row r="2700" spans="2:13" s="3" customFormat="1" ht="12.75" customHeight="1" x14ac:dyDescent="0.25">
      <c r="B2700" s="313" t="str">
        <f>'3. PARTNER'!C$4</f>
        <v xml:space="preserve">Project: </v>
      </c>
      <c r="C2700" s="1062" t="str">
        <f>'3. PARTNER'!D$4</f>
        <v/>
      </c>
      <c r="D2700" s="1001"/>
      <c r="E2700" s="1001"/>
      <c r="F2700" s="1001"/>
      <c r="G2700" s="1001"/>
      <c r="H2700" s="1001"/>
      <c r="I2700" s="1001"/>
      <c r="J2700" s="1001"/>
      <c r="K2700" s="1001"/>
      <c r="L2700" s="1001"/>
      <c r="M2700" s="1001"/>
    </row>
    <row r="2701" spans="2:13" s="3" customFormat="1" ht="13.2" x14ac:dyDescent="0.25">
      <c r="B2701" s="313" t="str">
        <f>'3. PARTNER'!C$5</f>
        <v xml:space="preserve">Calculation for: </v>
      </c>
      <c r="C2701" s="1062" t="str">
        <f>'3. PARTNER'!D$5</f>
        <v>APPLICATION</v>
      </c>
      <c r="D2701" s="1001"/>
      <c r="E2701" s="268"/>
      <c r="F2701" s="268"/>
      <c r="G2701" s="268"/>
      <c r="H2701" s="268"/>
      <c r="I2701" s="268"/>
      <c r="J2701" s="268"/>
      <c r="K2701" s="268"/>
      <c r="L2701" s="268"/>
      <c r="M2701" s="268"/>
    </row>
    <row r="2702" spans="2:13" s="3" customFormat="1" ht="13.2" x14ac:dyDescent="0.25">
      <c r="B2702" s="35" t="str">
        <f>'3. PARTNER'!C$6</f>
        <v xml:space="preserve">Project leader: </v>
      </c>
      <c r="C2702" s="1062" t="str">
        <f>'3. PARTNER'!D$6</f>
        <v/>
      </c>
      <c r="D2702" s="1001"/>
      <c r="E2702" s="1001"/>
      <c r="F2702" s="1001"/>
      <c r="G2702" s="1001"/>
      <c r="H2702" s="1001"/>
      <c r="I2702" s="1001"/>
      <c r="J2702" s="1001"/>
      <c r="K2702" s="1001"/>
      <c r="L2702" s="1001"/>
      <c r="M2702" s="1001"/>
    </row>
    <row r="2703" spans="2:13" s="3" customFormat="1" ht="13.2" x14ac:dyDescent="0.25">
      <c r="B2703" s="313" t="str">
        <f>'5. PERSON'!B$7</f>
        <v xml:space="preserve">Amounts in: </v>
      </c>
      <c r="C2703" s="655" t="str">
        <f>'5. PERSON'!C$7</f>
        <v>SEK</v>
      </c>
      <c r="D2703" s="268"/>
      <c r="E2703" s="268"/>
      <c r="F2703" s="268"/>
      <c r="G2703" s="234"/>
      <c r="H2703" s="234"/>
      <c r="I2703" s="270"/>
      <c r="J2703" s="270"/>
      <c r="K2703" s="270"/>
      <c r="L2703" s="270"/>
      <c r="M2703" s="270"/>
    </row>
    <row r="2704" spans="2:13" s="3" customFormat="1" ht="13.2" x14ac:dyDescent="0.25">
      <c r="B2704" s="313"/>
      <c r="C2704" s="1053" t="str">
        <f>'3. PARTNER'!D$7</f>
        <v>Other basic data about the project is in sheet 2.</v>
      </c>
      <c r="D2704" s="1001"/>
      <c r="E2704" s="1001"/>
      <c r="F2704" s="1001"/>
      <c r="G2704" s="234"/>
      <c r="H2704" s="234"/>
      <c r="I2704" s="270"/>
      <c r="J2704" s="270"/>
      <c r="K2704" s="270"/>
      <c r="L2704" s="251" t="s">
        <v>4</v>
      </c>
      <c r="M2704" s="270"/>
    </row>
    <row r="2705" spans="2:15" ht="12.75" customHeight="1" x14ac:dyDescent="0.2">
      <c r="L2705" s="252" t="str">
        <f>IF('1. INTRO'!I$2="English","months","månader")</f>
        <v>months</v>
      </c>
    </row>
    <row r="2706" spans="2:15" s="3" customFormat="1" ht="13.8" x14ac:dyDescent="0.25">
      <c r="B2706" s="157" t="str">
        <f>IF('1. INTRO'!I$2="English","Project costs","Projektkostnader")</f>
        <v>Project costs</v>
      </c>
      <c r="C2706" s="668" t="str">
        <f>A67</f>
        <v>EXT109</v>
      </c>
      <c r="D2706" s="1227" t="str">
        <f>B67</f>
        <v/>
      </c>
      <c r="E2706" s="1001"/>
      <c r="F2706" s="1001"/>
      <c r="G2706" s="1001"/>
      <c r="H2706" s="1001"/>
      <c r="I2706" s="37"/>
      <c r="J2706" s="37"/>
      <c r="K2706" s="37"/>
      <c r="L2706" s="642">
        <f>SUMIF('5. PERSON'!$B$17:$B$192,$C2706,'5. PERSON'!AE$17:AE$192)</f>
        <v>0</v>
      </c>
      <c r="M2706" s="680" t="s">
        <v>330</v>
      </c>
    </row>
    <row r="2707" spans="2:15" s="3" customFormat="1" ht="6" customHeight="1" x14ac:dyDescent="0.25">
      <c r="B2707" s="57"/>
      <c r="C2707" s="37"/>
      <c r="D2707" s="37"/>
      <c r="E2707" s="37"/>
      <c r="F2707" s="37"/>
      <c r="G2707" s="37"/>
      <c r="H2707" s="37"/>
      <c r="I2707" s="37"/>
      <c r="J2707" s="37"/>
      <c r="K2707" s="37"/>
      <c r="L2707" s="37"/>
      <c r="M2707" s="37"/>
    </row>
    <row r="2708" spans="2:15" s="3" customFormat="1" ht="13.2" x14ac:dyDescent="0.25">
      <c r="B2708" s="110" t="str">
        <f>IF('1. INTRO'!I$2="English","Costs to be covered by funding body","Kostnader att täckas av finansiär")</f>
        <v>Costs to be covered by funding body</v>
      </c>
      <c r="C2708" s="111">
        <f>'5. PERSON'!G$15</f>
        <v>1900</v>
      </c>
      <c r="D2708" s="111" t="str">
        <f>'5. PERSON'!H$15</f>
        <v/>
      </c>
      <c r="E2708" s="111" t="str">
        <f>'5. PERSON'!I$15</f>
        <v/>
      </c>
      <c r="F2708" s="111" t="str">
        <f>'5. PERSON'!J$15</f>
        <v/>
      </c>
      <c r="G2708" s="111" t="str">
        <f>'5. PERSON'!K$15</f>
        <v/>
      </c>
      <c r="H2708" s="111" t="str">
        <f>'5. PERSON'!L$15</f>
        <v/>
      </c>
      <c r="I2708" s="111" t="str">
        <f>'5. PERSON'!M$15</f>
        <v/>
      </c>
      <c r="J2708" s="111" t="str">
        <f>'5. PERSON'!N$15</f>
        <v/>
      </c>
      <c r="K2708" s="111" t="str">
        <f>'5. PERSON'!O$15</f>
        <v/>
      </c>
      <c r="L2708" s="111" t="str">
        <f>'5. PERSON'!P$15</f>
        <v/>
      </c>
      <c r="M2708" s="112" t="s">
        <v>2</v>
      </c>
    </row>
    <row r="2709" spans="2:15" s="3" customFormat="1" ht="12.75" customHeight="1" x14ac:dyDescent="0.25">
      <c r="B2709" s="113" t="str">
        <f>IF('1. INTRO'!I$2="English","Salary including social costs (LKP)","Lön inklusive LKP")</f>
        <v>Salary including social costs (LKP)</v>
      </c>
      <c r="C2709" s="114">
        <f>IF('2. START'!$C$14&gt;0,SUMIF('5. PERSON'!$B$17:$B$192,$C2706,'5. PERSON'!DN$17:DN$192),SUMIF('5. PERSON'!$B$17:$B$192,$C2706,'5. PERSON'!AT$17:AT$192))</f>
        <v>0</v>
      </c>
      <c r="D2709" s="114">
        <f>IF('2. START'!$C$14&gt;0,SUMIF('5. PERSON'!$B$17:$B$192,$C2706,'5. PERSON'!DO$17:DO$192),SUMIF('5. PERSON'!$B$17:$B$192,$C2706,'5. PERSON'!AU$17:AU$192))</f>
        <v>0</v>
      </c>
      <c r="E2709" s="114">
        <f>IF('2. START'!$C$14&gt;0,SUMIF('5. PERSON'!$B$17:$B$192,$C2706,'5. PERSON'!DP$17:DP$192),SUMIF('5. PERSON'!$B$17:$B$192,$C2706,'5. PERSON'!AV$17:AV$192))</f>
        <v>0</v>
      </c>
      <c r="F2709" s="114">
        <f>IF('2. START'!$C$14&gt;0,SUMIF('5. PERSON'!$B$17:$B$192,$C2706,'5. PERSON'!DQ$17:DQ$192),SUMIF('5. PERSON'!$B$17:$B$192,$C2706,'5. PERSON'!AW$17:AW$192))</f>
        <v>0</v>
      </c>
      <c r="G2709" s="114">
        <f>IF('2. START'!$C$14&gt;0,SUMIF('5. PERSON'!$B$17:$B$192,$C2706,'5. PERSON'!DR$17:DR$192),SUMIF('5. PERSON'!$B$17:$B$192,$C2706,'5. PERSON'!AX$17:AX$192))</f>
        <v>0</v>
      </c>
      <c r="H2709" s="114">
        <f>IF('2. START'!$C$14&gt;0,SUMIF('5. PERSON'!$B$17:$B$192,$C2706,'5. PERSON'!DS$17:DS$192),SUMIF('5. PERSON'!$B$17:$B$192,$C2706,'5. PERSON'!AY$17:AY$192))</f>
        <v>0</v>
      </c>
      <c r="I2709" s="114">
        <f>IF('2. START'!$C$14&gt;0,SUMIF('5. PERSON'!$B$17:$B$192,$C2706,'5. PERSON'!DT$17:DT$192),SUMIF('5. PERSON'!$B$17:$B$192,$C2706,'5. PERSON'!AZ$17:AZ$192))</f>
        <v>0</v>
      </c>
      <c r="J2709" s="114">
        <f>IF('2. START'!$C$14&gt;0,SUMIF('5. PERSON'!$B$17:$B$192,$C2706,'5. PERSON'!DU$17:DU$192),SUMIF('5. PERSON'!$B$17:$B$192,$C2706,'5. PERSON'!BA$17:BA$192))</f>
        <v>0</v>
      </c>
      <c r="K2709" s="114">
        <f>IF('2. START'!$C$14&gt;0,SUMIF('5. PERSON'!$B$17:$B$192,$C2706,'5. PERSON'!DV$17:DV$192),SUMIF('5. PERSON'!$B$17:$B$192,$C2706,'5. PERSON'!BB$17:BB$192))</f>
        <v>0</v>
      </c>
      <c r="L2709" s="114">
        <f>IF('2. START'!$C$14&gt;0,SUMIF('5. PERSON'!$B$17:$B$192,$C2706,'5. PERSON'!DW$17:DW$192),SUMIF('5. PERSON'!$B$17:$B$192,$C2706,'5. PERSON'!BC$17:BC$192))</f>
        <v>0</v>
      </c>
      <c r="M2709" s="115">
        <f t="shared" ref="M2709:M2714" si="649">SUM(C2709:L2709)</f>
        <v>0</v>
      </c>
      <c r="O2709" s="4"/>
    </row>
    <row r="2710" spans="2:15" s="3" customFormat="1" ht="12.75" customHeight="1" x14ac:dyDescent="0.25">
      <c r="B2710" s="80" t="str">
        <f>IF('1. INTRO'!I$2="English","Operating","Drift")</f>
        <v>Operating</v>
      </c>
      <c r="C2710" s="116">
        <f>SUMIF('6. OPERATION'!$B$17:$B$149,$C2706,'6. OPERATION'!W$17:W$149)</f>
        <v>0</v>
      </c>
      <c r="D2710" s="116">
        <f>SUMIF('6. OPERATION'!$B$17:$B$149,$C2706,'6. OPERATION'!X$17:X$149)</f>
        <v>0</v>
      </c>
      <c r="E2710" s="116">
        <f>SUMIF('6. OPERATION'!$B$17:$B$149,$C2706,'6. OPERATION'!Y$17:Y$149)</f>
        <v>0</v>
      </c>
      <c r="F2710" s="116">
        <f>SUMIF('6. OPERATION'!$B$17:$B$149,$C2706,'6. OPERATION'!Z$17:Z$149)</f>
        <v>0</v>
      </c>
      <c r="G2710" s="116">
        <f>SUMIF('6. OPERATION'!$B$17:$B$149,$C2706,'6. OPERATION'!AA$17:AA$149)</f>
        <v>0</v>
      </c>
      <c r="H2710" s="116">
        <f>SUMIF('6. OPERATION'!$B$17:$B$149,$C2706,'6. OPERATION'!AB$17:AB$149)</f>
        <v>0</v>
      </c>
      <c r="I2710" s="116">
        <f>SUMIF('6. OPERATION'!$B$17:$B$149,$C2706,'6. OPERATION'!AC$17:AC$149)</f>
        <v>0</v>
      </c>
      <c r="J2710" s="116">
        <f>SUMIF('6. OPERATION'!$B$17:$B$149,$C2706,'6. OPERATION'!AD$17:AD$149)</f>
        <v>0</v>
      </c>
      <c r="K2710" s="116">
        <f>SUMIF('6. OPERATION'!$B$17:$B$149,$C2706,'6. OPERATION'!AE$17:AE$149)</f>
        <v>0</v>
      </c>
      <c r="L2710" s="116">
        <f>SUMIF('6. OPERATION'!$B$17:$B$149,$C2706,'6. OPERATION'!AF$17:AF$149)</f>
        <v>0</v>
      </c>
      <c r="M2710" s="117">
        <f t="shared" si="649"/>
        <v>0</v>
      </c>
    </row>
    <row r="2711" spans="2:15" s="3" customFormat="1" ht="13.2" x14ac:dyDescent="0.25">
      <c r="B2711" s="118" t="str">
        <f>IF('1. INTRO'!I$2="English","Equipment","Utrustning")</f>
        <v>Equipment</v>
      </c>
      <c r="C2711" s="119">
        <f>SUMIF('7. INVEST'!$B$17:$B$49,$C2706,'7. INVEST'!W$17:W$49)</f>
        <v>0</v>
      </c>
      <c r="D2711" s="119">
        <f>SUMIF('7. INVEST'!$B$17:$B$49,$C2706,'7. INVEST'!X$17:X$49)</f>
        <v>0</v>
      </c>
      <c r="E2711" s="119">
        <f>SUMIF('7. INVEST'!$B$17:$B$49,$C2706,'7. INVEST'!Y$17:Y$49)</f>
        <v>0</v>
      </c>
      <c r="F2711" s="119">
        <f>SUMIF('7. INVEST'!$B$17:$B$49,$C2706,'7. INVEST'!Z$17:Z$49)</f>
        <v>0</v>
      </c>
      <c r="G2711" s="119">
        <f>SUMIF('7. INVEST'!$B$17:$B$49,$C2706,'7. INVEST'!AA$17:AA$49)</f>
        <v>0</v>
      </c>
      <c r="H2711" s="119">
        <f>SUMIF('7. INVEST'!$B$17:$B$49,$C2706,'7. INVEST'!AB$17:AB$49)</f>
        <v>0</v>
      </c>
      <c r="I2711" s="119">
        <f>SUMIF('7. INVEST'!$B$17:$B$49,$C2706,'7. INVEST'!AC$17:AC$49)</f>
        <v>0</v>
      </c>
      <c r="J2711" s="119">
        <f>SUMIF('7. INVEST'!$B$17:$B$49,$C2706,'7. INVEST'!AD$17:AD$49)</f>
        <v>0</v>
      </c>
      <c r="K2711" s="119">
        <f>SUMIF('7. INVEST'!$B$17:$B$49,$C2706,'7. INVEST'!AE$17:AE$49)</f>
        <v>0</v>
      </c>
      <c r="L2711" s="119">
        <f>SUMIF('7. INVEST'!$B$17:$B$49,$C2706,'7. INVEST'!AF$17:AF$49)</f>
        <v>0</v>
      </c>
      <c r="M2711" s="120">
        <f t="shared" si="649"/>
        <v>0</v>
      </c>
    </row>
    <row r="2712" spans="2:15" s="3" customFormat="1" ht="13.2" x14ac:dyDescent="0.25">
      <c r="B2712" s="121" t="str">
        <f>IF('1. INTRO'!I$2="English",(IF('2. START'!C$11="NO","Facility accepted as direct cost by funding body","Facility")),IF('2. START'!C$11="NO","Lokal accepterad som direkt kostnad av finansiär","Lokal"))</f>
        <v>Facility</v>
      </c>
      <c r="C2712" s="116">
        <f>IF('2. START'!$C$11="NO",SUMIF('8. FACILIT'!$B$18:$B$50,$C2706,'8. FACILIT'!T$18:T$50),SUMIF('5. PERSON'!$B$17:$B$192,$C2706,'5. PERSON'!CP$17:CP$192)+SUMIF('6. OPERATION'!$B$17:$B$149,$C2706,'6. OPERATION'!BS$17:BS$149)+SUMIF('8. FACILIT'!$B$18:$B$50,$C2706,'8. FACILIT'!T$18:T$50))</f>
        <v>0</v>
      </c>
      <c r="D2712" s="116">
        <f>IF('2. START'!$C$11="NO",SUMIF('8. FACILIT'!$B$18:$B$50,$C2706,'8. FACILIT'!U$18:U$50),SUMIF('5. PERSON'!$B$17:$B$192,$C2706,'5. PERSON'!CQ$17:CQ$192)+SUMIF('6. OPERATION'!$B$17:$B$149,$C2706,'6. OPERATION'!BT$17:BT$149)+SUMIF('8. FACILIT'!$B$18:$B$50,$C2706,'8. FACILIT'!U$18:U$50))</f>
        <v>0</v>
      </c>
      <c r="E2712" s="116">
        <f>IF('2. START'!$C$11="NO",SUMIF('8. FACILIT'!$B$18:$B$50,$C2706,'8. FACILIT'!V$18:V$50),SUMIF('5. PERSON'!$B$17:$B$192,$C2706,'5. PERSON'!CR$17:CR$192)+SUMIF('6. OPERATION'!$B$17:$B$149,$C2706,'6. OPERATION'!BU$17:BU$149)+SUMIF('8. FACILIT'!$B$18:$B$50,$C2706,'8. FACILIT'!V$18:V$50))</f>
        <v>0</v>
      </c>
      <c r="F2712" s="116">
        <f>IF('2. START'!$C$11="NO",SUMIF('8. FACILIT'!$B$18:$B$50,$C2706,'8. FACILIT'!W$18:W$50),SUMIF('5. PERSON'!$B$17:$B$192,$C2706,'5. PERSON'!CS$17:CS$192)+SUMIF('6. OPERATION'!$B$17:$B$149,$C2706,'6. OPERATION'!BV$17:BV$149)+SUMIF('8. FACILIT'!$B$18:$B$50,$C2706,'8. FACILIT'!W$18:W$50))</f>
        <v>0</v>
      </c>
      <c r="G2712" s="116">
        <f>IF('2. START'!$C$11="NO",SUMIF('8. FACILIT'!$B$18:$B$50,$C2706,'8. FACILIT'!X$18:X$50),SUMIF('5. PERSON'!$B$17:$B$192,$C2706,'5. PERSON'!CT$17:CT$192)+SUMIF('6. OPERATION'!$B$17:$B$149,$C2706,'6. OPERATION'!BW$17:BW$149)+SUMIF('8. FACILIT'!$B$18:$B$50,$C2706,'8. FACILIT'!X$18:X$50))</f>
        <v>0</v>
      </c>
      <c r="H2712" s="116">
        <f>IF('2. START'!$C$11="NO",SUMIF('8. FACILIT'!$B$18:$B$50,$C2706,'8. FACILIT'!Y$18:Y$50),SUMIF('5. PERSON'!$B$17:$B$192,$C2706,'5. PERSON'!CU$17:CU$192)+SUMIF('6. OPERATION'!$B$17:$B$149,$C2706,'6. OPERATION'!BX$17:BX$149)+SUMIF('8. FACILIT'!$B$18:$B$50,$C2706,'8. FACILIT'!Y$18:Y$50))</f>
        <v>0</v>
      </c>
      <c r="I2712" s="116">
        <f>IF('2. START'!$C$11="NO",SUMIF('8. FACILIT'!$B$18:$B$50,$C2706,'8. FACILIT'!Z$18:Z$50),SUMIF('5. PERSON'!$B$17:$B$192,$C2706,'5. PERSON'!CV$17:CV$192)+SUMIF('6. OPERATION'!$B$17:$B$149,$C2706,'6. OPERATION'!BY$17:BY$149)+SUMIF('8. FACILIT'!$B$18:$B$50,$C2706,'8. FACILIT'!Z$18:Z$50))</f>
        <v>0</v>
      </c>
      <c r="J2712" s="116">
        <f>IF('2. START'!$C$11="NO",SUMIF('8. FACILIT'!$B$18:$B$50,$C2706,'8. FACILIT'!AA$18:AA$50),SUMIF('5. PERSON'!$B$17:$B$192,$C2706,'5. PERSON'!CW$17:CW$192)+SUMIF('6. OPERATION'!$B$17:$B$149,$C2706,'6. OPERATION'!BZ$17:BZ$149)+SUMIF('8. FACILIT'!$B$18:$B$50,$C2706,'8. FACILIT'!AA$18:AA$50))</f>
        <v>0</v>
      </c>
      <c r="K2712" s="116">
        <f>IF('2. START'!$C$11="NO",SUMIF('8. FACILIT'!$B$18:$B$50,$C2706,'8. FACILIT'!AB$18:AB$50),SUMIF('5. PERSON'!$B$17:$B$192,$C2706,'5. PERSON'!CX$17:CX$192)+SUMIF('6. OPERATION'!$B$17:$B$149,$C2706,'6. OPERATION'!CA$17:CA$149)+SUMIF('8. FACILIT'!$B$18:$B$50,$C2706,'8. FACILIT'!AB$18:AB$50))</f>
        <v>0</v>
      </c>
      <c r="L2712" s="116">
        <f>IF('2. START'!$C$11="NO",SUMIF('8. FACILIT'!$B$18:$B$50,$C2706,'8. FACILIT'!AC$18:AC$50),SUMIF('5. PERSON'!$B$17:$B$192,$C2706,'5. PERSON'!CY$17:CY$192)+SUMIF('6. OPERATION'!$B$17:$B$149,$C2706,'6. OPERATION'!CB$17:CB$149)+SUMIF('8. FACILIT'!$B$18:$B$50,$C2706,'8. FACILIT'!AC$18:AC$50))</f>
        <v>0</v>
      </c>
      <c r="M2712" s="117">
        <f t="shared" si="649"/>
        <v>0</v>
      </c>
    </row>
    <row r="2713" spans="2:15" s="3" customFormat="1" ht="13.2" x14ac:dyDescent="0.25">
      <c r="B2713" s="122" t="str">
        <f>IF('1. INTRO'!I$2="English",(IF('2. START'!C$11="NO","Indirect and facility charge accepted as OH by funding body","Indirect")),IF('2. START'!C$11="NO","Indirekt och lokalpåslag accepterade som OH av finansiär","Indirekt"))</f>
        <v>Indirect</v>
      </c>
      <c r="C2713" s="107">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107">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107">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107">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107">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107">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107">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107">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107">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107">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120">
        <f t="shared" si="649"/>
        <v>0</v>
      </c>
    </row>
    <row r="2714" spans="2:15" s="3" customFormat="1" ht="13.2" x14ac:dyDescent="0.25">
      <c r="B2714" s="124" t="s">
        <v>113</v>
      </c>
      <c r="C2714" s="102">
        <f>SUM(C2709:C2713)</f>
        <v>0</v>
      </c>
      <c r="D2714" s="102">
        <f t="shared" ref="D2714:L2714" si="650">SUM(D2709:D2713)</f>
        <v>0</v>
      </c>
      <c r="E2714" s="102">
        <f t="shared" si="650"/>
        <v>0</v>
      </c>
      <c r="F2714" s="102">
        <f t="shared" si="650"/>
        <v>0</v>
      </c>
      <c r="G2714" s="102">
        <f t="shared" si="650"/>
        <v>0</v>
      </c>
      <c r="H2714" s="102">
        <f t="shared" si="650"/>
        <v>0</v>
      </c>
      <c r="I2714" s="102">
        <f t="shared" si="650"/>
        <v>0</v>
      </c>
      <c r="J2714" s="102">
        <f t="shared" si="650"/>
        <v>0</v>
      </c>
      <c r="K2714" s="102">
        <f t="shared" si="650"/>
        <v>0</v>
      </c>
      <c r="L2714" s="102">
        <f t="shared" si="650"/>
        <v>0</v>
      </c>
      <c r="M2714" s="125">
        <f t="shared" si="649"/>
        <v>0</v>
      </c>
    </row>
    <row r="2715" spans="2:15" s="3" customFormat="1" ht="6" customHeight="1" x14ac:dyDescent="0.25">
      <c r="B2715" s="126"/>
      <c r="C2715" s="127"/>
      <c r="D2715" s="127"/>
      <c r="E2715" s="127"/>
      <c r="F2715" s="127"/>
      <c r="G2715" s="127"/>
      <c r="H2715" s="127"/>
      <c r="I2715" s="127"/>
      <c r="J2715" s="127"/>
      <c r="K2715" s="127"/>
      <c r="L2715" s="127"/>
      <c r="M2715" s="128"/>
    </row>
    <row r="2716" spans="2:15" s="3" customFormat="1" ht="13.2" x14ac:dyDescent="0.25">
      <c r="B2716" s="129" t="str">
        <f>IF('1. INTRO'!I$2="English","Costs to be co-funded","Kostnader att medfinansiera")</f>
        <v>Costs to be co-funded</v>
      </c>
      <c r="C2716" s="86"/>
      <c r="D2716" s="86"/>
      <c r="E2716" s="86"/>
      <c r="F2716" s="86"/>
      <c r="G2716" s="86"/>
      <c r="H2716" s="86"/>
      <c r="I2716" s="86"/>
      <c r="J2716" s="86"/>
      <c r="K2716" s="86"/>
      <c r="L2716" s="86"/>
      <c r="M2716" s="130"/>
    </row>
    <row r="2717" spans="2:15" s="3" customFormat="1" ht="13.2" x14ac:dyDescent="0.25">
      <c r="B2717" s="159" t="str">
        <f>IF('1. INTRO'!I$2="English",(IF('2. START'!C$11="NO","Indirect and facility charge not accepted as OH by funding body","")),IF('2. START'!C$11="NO","Indirekt och lokalpåslag inte accepterade som OH av finansiär",""))</f>
        <v/>
      </c>
      <c r="C2717" s="131">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31">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31">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31">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31">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31">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31">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31">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31">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31">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115">
        <f t="shared" ref="M2717:M2723" si="651">SUM(C2717:L2717)</f>
        <v>0</v>
      </c>
    </row>
    <row r="2718" spans="2:15" s="3" customFormat="1" ht="12.75" customHeight="1" x14ac:dyDescent="0.25">
      <c r="B2718" s="132" t="str">
        <f>IF('1. INTRO'!I$2="English",(IF('2. START'!C$14&gt;0,"Social costs (LKP) not accepted by funding body","")),IF('2. START'!C$14&gt;0,"LKP som inte accepteras av finansiär",""))</f>
        <v/>
      </c>
      <c r="C2718" s="133">
        <f>IF('2. START'!$C$14&gt;0,SUMIF('5. PERSON'!$B$17:$B$192,$C2706,'5. PERSON'!AT$17:AT$192)-SUMIF('5. PERSON'!$B$17:$B$192,$C2706,'5. PERSON'!DN$17:DN$192),0)</f>
        <v>0</v>
      </c>
      <c r="D2718" s="133">
        <f>IF('2. START'!$C$14&gt;0,SUMIF('5. PERSON'!$B$17:$B$192,$C2706,'5. PERSON'!AU$17:AU$192)-SUMIF('5. PERSON'!$B$17:$B$192,$C2706,'5. PERSON'!DO$17:DO$192),0)</f>
        <v>0</v>
      </c>
      <c r="E2718" s="133">
        <f>IF('2. START'!$C$14&gt;0,SUMIF('5. PERSON'!$B$17:$B$192,$C2706,'5. PERSON'!AV$17:AV$192)-SUMIF('5. PERSON'!$B$17:$B$192,$C2706,'5. PERSON'!DP$17:DP$192),0)</f>
        <v>0</v>
      </c>
      <c r="F2718" s="133">
        <f>IF('2. START'!$C$14&gt;0,SUMIF('5. PERSON'!$B$17:$B$192,$C2706,'5. PERSON'!AW$17:AW$192)-SUMIF('5. PERSON'!$B$17:$B$192,$C2706,'5. PERSON'!DQ$17:DQ$192),0)</f>
        <v>0</v>
      </c>
      <c r="G2718" s="133">
        <f>IF('2. START'!$C$14&gt;0,SUMIF('5. PERSON'!$B$17:$B$192,$C2706,'5. PERSON'!AX$17:AX$192)-SUMIF('5. PERSON'!$B$17:$B$192,$C2706,'5. PERSON'!DR$17:DR$192),0)</f>
        <v>0</v>
      </c>
      <c r="H2718" s="133">
        <f>IF('2. START'!$C$14&gt;0,SUMIF('5. PERSON'!$B$17:$B$192,$C2706,'5. PERSON'!AY$17:AY$192)-SUMIF('5. PERSON'!$B$17:$B$192,$C2706,'5. PERSON'!DS$17:DS$192),0)</f>
        <v>0</v>
      </c>
      <c r="I2718" s="133">
        <f>IF('2. START'!$C$14&gt;0,SUMIF('5. PERSON'!$B$17:$B$192,$C2706,'5. PERSON'!AZ$17:AZ$192)-SUMIF('5. PERSON'!$B$17:$B$192,$C2706,'5. PERSON'!DT$17:DT$192),0)</f>
        <v>0</v>
      </c>
      <c r="J2718" s="133">
        <f>IF('2. START'!$C$14&gt;0,SUMIF('5. PERSON'!$B$17:$B$192,$C2706,'5. PERSON'!BA$17:BA$192)-SUMIF('5. PERSON'!$B$17:$B$192,$C2706,'5. PERSON'!DU$17:DU$192),0)</f>
        <v>0</v>
      </c>
      <c r="K2718" s="133">
        <f>IF('2. START'!$C$14&gt;0,SUMIF('5. PERSON'!$B$17:$B$192,$C2706,'5. PERSON'!BB$17:BB$192)-SUMIF('5. PERSON'!$B$17:$B$192,$C2706,'5. PERSON'!DV$17:DV$192),0)</f>
        <v>0</v>
      </c>
      <c r="L2718" s="133">
        <f>IF('2. START'!$C$14&gt;0,SUMIF('5. PERSON'!$B$17:$B$192,$C2706,'5. PERSON'!BC$17:BC$192)-SUMIF('5. PERSON'!$B$17:$B$192,$C2706,'5. PERSON'!DW$17:DW$192),0)</f>
        <v>0</v>
      </c>
      <c r="M2718" s="117">
        <f t="shared" si="651"/>
        <v>0</v>
      </c>
    </row>
    <row r="2719" spans="2:15" s="3" customFormat="1" ht="12.75" customHeight="1" x14ac:dyDescent="0.25">
      <c r="B2719" s="118" t="str">
        <f>IF('1. INTRO'!I$2="English",(IF('5. PERSON'!BP$193&gt;0,"Salary including social costs (LKP)","")),IF('5. PERSON'!BP$193&gt;0,"Lön inklusive LKP",""))</f>
        <v/>
      </c>
      <c r="C2719" s="134">
        <f>SUMIF('5. PERSON'!$B$17:$B$192,$C2706,'5. PERSON'!BF$17:BF$192)</f>
        <v>0</v>
      </c>
      <c r="D2719" s="134">
        <f>SUMIF('5. PERSON'!$B$17:$B$192,$C2706,'5. PERSON'!BG$17:BG$192)</f>
        <v>0</v>
      </c>
      <c r="E2719" s="134">
        <f>SUMIF('5. PERSON'!$B$17:$B$192,$C2706,'5. PERSON'!BH$17:BH$192)</f>
        <v>0</v>
      </c>
      <c r="F2719" s="134">
        <f>SUMIF('5. PERSON'!$B$17:$B$192,$C2706,'5. PERSON'!BI$17:BI$192)</f>
        <v>0</v>
      </c>
      <c r="G2719" s="134">
        <f>SUMIF('5. PERSON'!$B$17:$B$192,$C2706,'5. PERSON'!BJ$17:BJ$192)</f>
        <v>0</v>
      </c>
      <c r="H2719" s="134">
        <f>SUMIF('5. PERSON'!$B$17:$B$192,$C2706,'5. PERSON'!BK$17:BK$192)</f>
        <v>0</v>
      </c>
      <c r="I2719" s="134">
        <f>SUMIF('5. PERSON'!$B$17:$B$192,$C2706,'5. PERSON'!BL$17:BL$192)</f>
        <v>0</v>
      </c>
      <c r="J2719" s="134">
        <f>SUMIF('5. PERSON'!$B$17:$B$192,$C2706,'5. PERSON'!BM$17:BM$192)</f>
        <v>0</v>
      </c>
      <c r="K2719" s="134">
        <f>SUMIF('5. PERSON'!$B$17:$B$192,$C2706,'5. PERSON'!BN$17:BN$192)</f>
        <v>0</v>
      </c>
      <c r="L2719" s="134">
        <f>SUMIF('5. PERSON'!$B$17:$B$192,$C2706,'5. PERSON'!BO$17:BO$192)</f>
        <v>0</v>
      </c>
      <c r="M2719" s="120">
        <f t="shared" si="651"/>
        <v>0</v>
      </c>
    </row>
    <row r="2720" spans="2:15" s="3" customFormat="1" ht="13.2" x14ac:dyDescent="0.25">
      <c r="B2720" s="80" t="str">
        <f>IF('1. INTRO'!I$2="English",(IF('6. OPERATION'!AS$150&gt;0,"Operating","")),IF('6. OPERATION'!AS$150&gt;0,"Drift",""))</f>
        <v/>
      </c>
      <c r="C2720" s="135">
        <f>SUMIF('6. OPERATION'!$B$17:$B$149,$C2706,'6. OPERATION'!AI$17:AI$149)</f>
        <v>0</v>
      </c>
      <c r="D2720" s="135">
        <f>SUMIF('6. OPERATION'!$B$17:$B$149,$C2706,'6. OPERATION'!AJ$17:AJ$149)</f>
        <v>0</v>
      </c>
      <c r="E2720" s="135">
        <f>SUMIF('6. OPERATION'!$B$17:$B$149,$C2706,'6. OPERATION'!AK$17:AK$149)</f>
        <v>0</v>
      </c>
      <c r="F2720" s="135">
        <f>SUMIF('6. OPERATION'!$B$17:$B$149,$C2706,'6. OPERATION'!AL$17:AL$149)</f>
        <v>0</v>
      </c>
      <c r="G2720" s="135">
        <f>SUMIF('6. OPERATION'!$B$17:$B$149,$C2706,'6. OPERATION'!AM$17:AM$149)</f>
        <v>0</v>
      </c>
      <c r="H2720" s="135">
        <f>SUMIF('6. OPERATION'!$B$17:$B$149,$C2706,'6. OPERATION'!AN$17:AN$149)</f>
        <v>0</v>
      </c>
      <c r="I2720" s="135">
        <f>SUMIF('6. OPERATION'!$B$17:$B$149,$C2706,'6. OPERATION'!AO$17:AO$149)</f>
        <v>0</v>
      </c>
      <c r="J2720" s="135">
        <f>SUMIF('6. OPERATION'!$B$17:$B$149,$C2706,'6. OPERATION'!AP$17:AP$149)</f>
        <v>0</v>
      </c>
      <c r="K2720" s="135">
        <f>SUMIF('6. OPERATION'!$B$17:$B$149,$C2706,'6. OPERATION'!AQ$17:AQ$149)</f>
        <v>0</v>
      </c>
      <c r="L2720" s="135">
        <f>SUMIF('6. OPERATION'!$B$17:$B$149,$C2706,'6. OPERATION'!AR$17:AR$149)</f>
        <v>0</v>
      </c>
      <c r="M2720" s="117">
        <f t="shared" si="651"/>
        <v>0</v>
      </c>
    </row>
    <row r="2721" spans="2:15" s="3" customFormat="1" ht="13.2" x14ac:dyDescent="0.25">
      <c r="B2721" s="118" t="str">
        <f>IF('1. INTRO'!I$2="English",(IF('7. INVEST'!AS$50&gt;0,"Equipment","")),IF('7. INVEST'!AS$50&gt;0,"Utrustning",""))</f>
        <v/>
      </c>
      <c r="C2721" s="134">
        <f>SUMIF('7. INVEST'!$B$17:$B$49,$C2706,'7. INVEST'!AI$17:AI$49)</f>
        <v>0</v>
      </c>
      <c r="D2721" s="134">
        <f>SUMIF('7. INVEST'!$B$17:$B$49,$C2706,'7. INVEST'!AJ$17:AJ$49)</f>
        <v>0</v>
      </c>
      <c r="E2721" s="134">
        <f>SUMIF('7. INVEST'!$B$17:$B$49,$C2706,'7. INVEST'!AK$17:AK$49)</f>
        <v>0</v>
      </c>
      <c r="F2721" s="134">
        <f>SUMIF('7. INVEST'!$B$17:$B$49,$C2706,'7. INVEST'!AL$17:AL$49)</f>
        <v>0</v>
      </c>
      <c r="G2721" s="134">
        <f>SUMIF('7. INVEST'!$B$17:$B$49,$C2706,'7. INVEST'!AM$17:AM$49)</f>
        <v>0</v>
      </c>
      <c r="H2721" s="134">
        <f>SUMIF('7. INVEST'!$B$17:$B$49,$C2706,'7. INVEST'!AN$17:AN$49)</f>
        <v>0</v>
      </c>
      <c r="I2721" s="134">
        <f>SUMIF('7. INVEST'!$B$17:$B$49,$C2706,'7. INVEST'!AO$17:AO$49)</f>
        <v>0</v>
      </c>
      <c r="J2721" s="134">
        <f>SUMIF('7. INVEST'!$B$17:$B$49,$C2706,'7. INVEST'!AP$17:AP$49)</f>
        <v>0</v>
      </c>
      <c r="K2721" s="134">
        <f>SUMIF('7. INVEST'!$B$17:$B$49,$C2706,'7. INVEST'!AQ$17:AQ$49)</f>
        <v>0</v>
      </c>
      <c r="L2721" s="134">
        <f>SUMIF('7. INVEST'!$B$17:$B$49,$C2706,'7. INVEST'!AR$17:AR$49)</f>
        <v>0</v>
      </c>
      <c r="M2721" s="120">
        <f t="shared" si="651"/>
        <v>0</v>
      </c>
    </row>
    <row r="2722" spans="2:15" s="3" customFormat="1" ht="13.2" x14ac:dyDescent="0.25">
      <c r="B2722" s="121" t="str">
        <f>IF('1. INTRO'!I$2="English",(IF('8. FACILIT'!AP$51&gt;0,"Facility","")),IF('8. FACILIT'!AP$51&gt;0,"Lokal",""))</f>
        <v/>
      </c>
      <c r="C2722" s="135">
        <f>SUMIF('5. PERSON'!$B$17:$B$192,$C2706,'5. PERSON'!DB$17:DB$192)+SUMIF('6. OPERATION'!$B$17:$B$149,$C2706,'6. OPERATION'!CE$17:CE$149)+SUMIF('8. FACILIT'!$B$18:$B$50,$C2706,'8. FACILIT'!AF$18:AF$50)</f>
        <v>0</v>
      </c>
      <c r="D2722" s="135">
        <f>SUMIF('5. PERSON'!$B$17:$B$192,$C2706,'5. PERSON'!DC$17:DC$192)+SUMIF('6. OPERATION'!$B$17:$B$149,$C2706,'6. OPERATION'!CF$17:CF$149)+SUMIF('8. FACILIT'!$B$18:$B$50,$C2706,'8. FACILIT'!AG$18:AG$50)</f>
        <v>0</v>
      </c>
      <c r="E2722" s="135">
        <f>SUMIF('5. PERSON'!$B$17:$B$192,$C2706,'5. PERSON'!DD$17:DD$192)+SUMIF('6. OPERATION'!$B$17:$B$149,$C2706,'6. OPERATION'!CG$17:CG$149)+SUMIF('8. FACILIT'!$B$18:$B$50,$C2706,'8. FACILIT'!AH$18:AH$50)</f>
        <v>0</v>
      </c>
      <c r="F2722" s="135">
        <f>SUMIF('5. PERSON'!$B$17:$B$192,$C2706,'5. PERSON'!DE$17:DE$192)+SUMIF('6. OPERATION'!$B$17:$B$149,$C2706,'6. OPERATION'!CH$17:CH$149)+SUMIF('8. FACILIT'!$B$18:$B$50,$C2706,'8. FACILIT'!AI$18:AI$50)</f>
        <v>0</v>
      </c>
      <c r="G2722" s="135">
        <f>SUMIF('5. PERSON'!$B$17:$B$192,$C2706,'5. PERSON'!DF$17:DF$192)+SUMIF('6. OPERATION'!$B$17:$B$149,$C2706,'6. OPERATION'!CI$17:CI$149)+SUMIF('8. FACILIT'!$B$18:$B$50,$C2706,'8. FACILIT'!AJ$18:AJ$50)</f>
        <v>0</v>
      </c>
      <c r="H2722" s="135">
        <f>SUMIF('5. PERSON'!$B$17:$B$192,$C2706,'5. PERSON'!DG$17:DG$192)+SUMIF('6. OPERATION'!$B$17:$B$149,$C2706,'6. OPERATION'!CJ$17:CJ$149)+SUMIF('8. FACILIT'!$B$18:$B$50,$C2706,'8. FACILIT'!AK$18:AK$50)</f>
        <v>0</v>
      </c>
      <c r="I2722" s="135">
        <f>SUMIF('5. PERSON'!$B$17:$B$192,$C2706,'5. PERSON'!DH$17:DH$192)+SUMIF('6. OPERATION'!$B$17:$B$149,$C2706,'6. OPERATION'!CK$17:CK$149)+SUMIF('8. FACILIT'!$B$18:$B$50,$C2706,'8. FACILIT'!AL$18:AL$50)</f>
        <v>0</v>
      </c>
      <c r="J2722" s="135">
        <f>SUMIF('5. PERSON'!$B$17:$B$192,$C2706,'5. PERSON'!DI$17:DI$192)+SUMIF('6. OPERATION'!$B$17:$B$149,$C2706,'6. OPERATION'!CL$17:CL$149)+SUMIF('8. FACILIT'!$B$18:$B$50,$C2706,'8. FACILIT'!AM$18:AM$50)</f>
        <v>0</v>
      </c>
      <c r="K2722" s="135">
        <f>SUMIF('5. PERSON'!$B$17:$B$192,$C2706,'5. PERSON'!DJ$17:DJ$192)+SUMIF('6. OPERATION'!$B$17:$B$149,$C2706,'6. OPERATION'!CM$17:CM$149)+SUMIF('8. FACILIT'!$B$18:$B$50,$C2706,'8. FACILIT'!AN$18:AN$50)</f>
        <v>0</v>
      </c>
      <c r="L2722" s="135">
        <f>SUMIF('5. PERSON'!$B$17:$B$192,$C2706,'5. PERSON'!DK$17:DK$192)+SUMIF('6. OPERATION'!$B$17:$B$149,$C2706,'6. OPERATION'!CN$17:CN$149)+SUMIF('8. FACILIT'!$B$18:$B$50,$C2706,'8. FACILIT'!AO$18:AO$50)</f>
        <v>0</v>
      </c>
      <c r="M2722" s="117">
        <f t="shared" si="651"/>
        <v>0</v>
      </c>
    </row>
    <row r="2723" spans="2:15" s="1" customFormat="1" ht="13.2" x14ac:dyDescent="0.25">
      <c r="B2723" s="122" t="str">
        <f>IF('1. INTRO'!I$2="English",(IF(('5. PERSON'!CN$193+'6. OPERATION'!BQ$150)&gt;0,"Indirect","")),IF(('5. PERSON'!CN$193+'6. OPERATION'!BQ$150)&gt;0,"Indirekt",""))</f>
        <v/>
      </c>
      <c r="C2723" s="107">
        <f>SUMIF('5. PERSON'!$B$17:$B$192,$C2706,'5. PERSON'!CD$17:CD$192)+SUMIF('6. OPERATION'!$B$17:$B$149,$C2706,'6. OPERATION'!BG$17:BG$149)</f>
        <v>0</v>
      </c>
      <c r="D2723" s="107">
        <f>SUMIF('5. PERSON'!$B$17:$B$192,$C2706,'5. PERSON'!CE$17:CE$192)+SUMIF('6. OPERATION'!$B$17:$B$149,$C2706,'6. OPERATION'!BH$17:BH$149)</f>
        <v>0</v>
      </c>
      <c r="E2723" s="107">
        <f>SUMIF('5. PERSON'!$B$17:$B$192,$C2706,'5. PERSON'!CF$17:CF$192)+SUMIF('6. OPERATION'!$B$17:$B$149,$C2706,'6. OPERATION'!BI$17:BI$149)</f>
        <v>0</v>
      </c>
      <c r="F2723" s="107">
        <f>SUMIF('5. PERSON'!$B$17:$B$192,$C2706,'5. PERSON'!CG$17:CG$192)+SUMIF('6. OPERATION'!$B$17:$B$149,$C2706,'6. OPERATION'!BJ$17:BJ$149)</f>
        <v>0</v>
      </c>
      <c r="G2723" s="107">
        <f>SUMIF('5. PERSON'!$B$17:$B$192,$C2706,'5. PERSON'!CH$17:CH$192)+SUMIF('6. OPERATION'!$B$17:$B$149,$C2706,'6. OPERATION'!BK$17:BK$149)</f>
        <v>0</v>
      </c>
      <c r="H2723" s="107">
        <f>SUMIF('5. PERSON'!$B$17:$B$192,$C2706,'5. PERSON'!CI$17:CI$192)+SUMIF('6. OPERATION'!$B$17:$B$149,$C2706,'6. OPERATION'!BL$17:BL$149)</f>
        <v>0</v>
      </c>
      <c r="I2723" s="107">
        <f>SUMIF('5. PERSON'!$B$17:$B$192,$C2706,'5. PERSON'!CJ$17:CJ$192)+SUMIF('6. OPERATION'!$B$17:$B$149,$C2706,'6. OPERATION'!BM$17:BM$149)</f>
        <v>0</v>
      </c>
      <c r="J2723" s="107">
        <f>SUMIF('5. PERSON'!$B$17:$B$192,$C2706,'5. PERSON'!CK$17:CK$192)+SUMIF('6. OPERATION'!$B$17:$B$149,$C2706,'6. OPERATION'!BN$17:BN$149)</f>
        <v>0</v>
      </c>
      <c r="K2723" s="107">
        <f>SUMIF('5. PERSON'!$B$17:$B$192,$C2706,'5. PERSON'!CL$17:CL$192)+SUMIF('6. OPERATION'!$B$17:$B$149,$C2706,'6. OPERATION'!BO$17:BO$149)</f>
        <v>0</v>
      </c>
      <c r="L2723" s="107">
        <f>SUMIF('5. PERSON'!$B$17:$B$192,$C2706,'5. PERSON'!CM$17:CM$192)+SUMIF('6. OPERATION'!$B$17:$B$149,$C2706,'6. OPERATION'!BP$17:BP$149)</f>
        <v>0</v>
      </c>
      <c r="M2723" s="123">
        <f t="shared" si="651"/>
        <v>0</v>
      </c>
    </row>
    <row r="2724" spans="2:15" s="3" customFormat="1" ht="13.2" x14ac:dyDescent="0.25">
      <c r="B2724" s="124" t="s">
        <v>113</v>
      </c>
      <c r="C2724" s="102">
        <f>SUM(C2717:C2723)</f>
        <v>0</v>
      </c>
      <c r="D2724" s="102">
        <f t="shared" ref="D2724:L2724" si="652">SUM(D2717:D2723)</f>
        <v>0</v>
      </c>
      <c r="E2724" s="102">
        <f t="shared" si="652"/>
        <v>0</v>
      </c>
      <c r="F2724" s="102">
        <f t="shared" si="652"/>
        <v>0</v>
      </c>
      <c r="G2724" s="102">
        <f t="shared" si="652"/>
        <v>0</v>
      </c>
      <c r="H2724" s="102">
        <f t="shared" si="652"/>
        <v>0</v>
      </c>
      <c r="I2724" s="102">
        <f t="shared" si="652"/>
        <v>0</v>
      </c>
      <c r="J2724" s="102">
        <f t="shared" si="652"/>
        <v>0</v>
      </c>
      <c r="K2724" s="102">
        <f t="shared" si="652"/>
        <v>0</v>
      </c>
      <c r="L2724" s="102">
        <f t="shared" si="652"/>
        <v>0</v>
      </c>
      <c r="M2724" s="125">
        <f t="shared" ref="M2724" si="653">SUM(M2717:M2723)</f>
        <v>0</v>
      </c>
      <c r="N2724" s="23"/>
      <c r="O2724" s="23"/>
    </row>
    <row r="2725" spans="2:15" s="3" customFormat="1" ht="6" customHeight="1" x14ac:dyDescent="0.25">
      <c r="B2725" s="136"/>
      <c r="C2725" s="127"/>
      <c r="D2725" s="127"/>
      <c r="E2725" s="127"/>
      <c r="F2725" s="127"/>
      <c r="G2725" s="127"/>
      <c r="H2725" s="127"/>
      <c r="I2725" s="127"/>
      <c r="J2725" s="127"/>
      <c r="K2725" s="127"/>
      <c r="L2725" s="127"/>
      <c r="M2725" s="137"/>
    </row>
    <row r="2726" spans="2:15" s="3" customFormat="1" ht="13.2" x14ac:dyDescent="0.25">
      <c r="B2726" s="129" t="str">
        <f>IF('1. INTRO'!I$2="English","Full cost","Full kostnad")</f>
        <v>Full cost</v>
      </c>
      <c r="C2726" s="127"/>
      <c r="D2726" s="127"/>
      <c r="E2726" s="127"/>
      <c r="F2726" s="127"/>
      <c r="G2726" s="127"/>
      <c r="H2726" s="127"/>
      <c r="I2726" s="127"/>
      <c r="J2726" s="127"/>
      <c r="K2726" s="127"/>
      <c r="L2726" s="127"/>
      <c r="M2726" s="137"/>
    </row>
    <row r="2727" spans="2:15" s="3" customFormat="1" ht="13.2" x14ac:dyDescent="0.25">
      <c r="B2727" s="113" t="str">
        <f>IF('1. INTRO'!I$2="English","Salary including social costs (LKP)","Lön inklusive LKP")</f>
        <v>Salary including social costs (LKP)</v>
      </c>
      <c r="C2727" s="138">
        <f>C2709+C2718+C2719</f>
        <v>0</v>
      </c>
      <c r="D2727" s="138">
        <f t="shared" ref="D2727:L2727" si="654">D2709+D2718+D2719</f>
        <v>0</v>
      </c>
      <c r="E2727" s="138">
        <f t="shared" si="654"/>
        <v>0</v>
      </c>
      <c r="F2727" s="138">
        <f t="shared" si="654"/>
        <v>0</v>
      </c>
      <c r="G2727" s="138">
        <f t="shared" si="654"/>
        <v>0</v>
      </c>
      <c r="H2727" s="138">
        <f t="shared" si="654"/>
        <v>0</v>
      </c>
      <c r="I2727" s="138">
        <f t="shared" si="654"/>
        <v>0</v>
      </c>
      <c r="J2727" s="138">
        <f t="shared" si="654"/>
        <v>0</v>
      </c>
      <c r="K2727" s="138">
        <f t="shared" si="654"/>
        <v>0</v>
      </c>
      <c r="L2727" s="138">
        <f t="shared" si="654"/>
        <v>0</v>
      </c>
      <c r="M2727" s="115">
        <f>SUM(C2727:L2727)</f>
        <v>0</v>
      </c>
    </row>
    <row r="2728" spans="2:15" s="3" customFormat="1" ht="13.2" x14ac:dyDescent="0.25">
      <c r="B2728" s="80" t="str">
        <f>IF('1. INTRO'!I$2="English","Operating","Drift")</f>
        <v>Operating</v>
      </c>
      <c r="C2728" s="139">
        <f>C2710+C2720</f>
        <v>0</v>
      </c>
      <c r="D2728" s="139">
        <f t="shared" ref="D2728:L2728" si="655">D2710+D2720</f>
        <v>0</v>
      </c>
      <c r="E2728" s="139">
        <f t="shared" si="655"/>
        <v>0</v>
      </c>
      <c r="F2728" s="139">
        <f t="shared" si="655"/>
        <v>0</v>
      </c>
      <c r="G2728" s="139">
        <f t="shared" si="655"/>
        <v>0</v>
      </c>
      <c r="H2728" s="139">
        <f t="shared" si="655"/>
        <v>0</v>
      </c>
      <c r="I2728" s="139">
        <f t="shared" si="655"/>
        <v>0</v>
      </c>
      <c r="J2728" s="139">
        <f t="shared" si="655"/>
        <v>0</v>
      </c>
      <c r="K2728" s="139">
        <f t="shared" si="655"/>
        <v>0</v>
      </c>
      <c r="L2728" s="139">
        <f t="shared" si="655"/>
        <v>0</v>
      </c>
      <c r="M2728" s="117">
        <f>SUM(C2728:L2728)</f>
        <v>0</v>
      </c>
    </row>
    <row r="2729" spans="2:15" s="3" customFormat="1" ht="13.2" x14ac:dyDescent="0.25">
      <c r="B2729" s="118" t="str">
        <f>IF('1. INTRO'!I$2="English","Equipment","Utrustning")</f>
        <v>Equipment</v>
      </c>
      <c r="C2729" s="140">
        <f>C2711+C2721</f>
        <v>0</v>
      </c>
      <c r="D2729" s="140">
        <f t="shared" ref="D2729:L2729" si="656">D2711+D2721</f>
        <v>0</v>
      </c>
      <c r="E2729" s="140">
        <f t="shared" si="656"/>
        <v>0</v>
      </c>
      <c r="F2729" s="140">
        <f t="shared" si="656"/>
        <v>0</v>
      </c>
      <c r="G2729" s="140">
        <f t="shared" si="656"/>
        <v>0</v>
      </c>
      <c r="H2729" s="140">
        <f t="shared" si="656"/>
        <v>0</v>
      </c>
      <c r="I2729" s="140">
        <f t="shared" si="656"/>
        <v>0</v>
      </c>
      <c r="J2729" s="140">
        <f t="shared" si="656"/>
        <v>0</v>
      </c>
      <c r="K2729" s="140">
        <f t="shared" si="656"/>
        <v>0</v>
      </c>
      <c r="L2729" s="140">
        <f t="shared" si="656"/>
        <v>0</v>
      </c>
      <c r="M2729" s="120">
        <f>SUM(C2729:L2729)</f>
        <v>0</v>
      </c>
    </row>
    <row r="2730" spans="2:15" s="3" customFormat="1" ht="13.2" x14ac:dyDescent="0.25">
      <c r="B2730" s="80" t="str">
        <f>IF('1. INTRO'!I$2="English","Facility","Lokal")</f>
        <v>Facility</v>
      </c>
      <c r="C2730" s="139">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39">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39">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39">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39">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39">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39">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39">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39">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39">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117">
        <f>SUM(C2730:L2730)</f>
        <v>0</v>
      </c>
    </row>
    <row r="2731" spans="2:15" s="3" customFormat="1" ht="13.2" x14ac:dyDescent="0.25">
      <c r="B2731" s="601" t="str">
        <f>IF('1. INTRO'!I$2="English","Indirect","Indirekt")</f>
        <v>Indirect</v>
      </c>
      <c r="C2731" s="141">
        <f>SUMIF('5. PERSON'!$B$17:$B$192,$C2706,'5. PERSON'!BR$17:BR$192)+SUMIF('5. PERSON'!$B$17:$B$192,$C2706,'5. PERSON'!CD$17:CD$192)+SUMIF('6. OPERATION'!$B$17:$B$149,$C2706,'6. OPERATION'!AU$17:AU$149)+SUMIF('6. OPERATION'!$B$17:$B$149,$C2706,'6. OPERATION'!BG$17:BG$149)</f>
        <v>0</v>
      </c>
      <c r="D2731" s="141">
        <f>SUMIF('5. PERSON'!$B$17:$B$192,$C2706,'5. PERSON'!BS$17:BS$192)+SUMIF('5. PERSON'!$B$17:$B$192,$C2706,'5. PERSON'!CE$17:CE$192)+SUMIF('6. OPERATION'!$B$17:$B$149,$C2706,'6. OPERATION'!AV$17:AV$149)+SUMIF('6. OPERATION'!$B$17:$B$149,$C2706,'6. OPERATION'!BH$17:BH$149)</f>
        <v>0</v>
      </c>
      <c r="E2731" s="141">
        <f>SUMIF('5. PERSON'!$B$17:$B$192,$C2706,'5. PERSON'!BT$17:BT$192)+SUMIF('5. PERSON'!$B$17:$B$192,$C2706,'5. PERSON'!CF$17:CF$192)+SUMIF('6. OPERATION'!$B$17:$B$149,$C2706,'6. OPERATION'!AW$17:AW$149)+SUMIF('6. OPERATION'!$B$17:$B$149,$C2706,'6. OPERATION'!BI$17:BI$149)</f>
        <v>0</v>
      </c>
      <c r="F2731" s="141">
        <f>SUMIF('5. PERSON'!$B$17:$B$192,$C2706,'5. PERSON'!BU$17:BU$192)+SUMIF('5. PERSON'!$B$17:$B$192,$C2706,'5. PERSON'!CG$17:CG$192)+SUMIF('6. OPERATION'!$B$17:$B$149,$C2706,'6. OPERATION'!AX$17:AX$149)+SUMIF('6. OPERATION'!$B$17:$B$149,$C2706,'6. OPERATION'!BJ$17:BJ$149)</f>
        <v>0</v>
      </c>
      <c r="G2731" s="141">
        <f>SUMIF('5. PERSON'!$B$17:$B$192,$C2706,'5. PERSON'!BV$17:BV$192)+SUMIF('5. PERSON'!$B$17:$B$192,$C2706,'5. PERSON'!CH$17:CH$192)+SUMIF('6. OPERATION'!$B$17:$B$149,$C2706,'6. OPERATION'!AY$17:AY$149)+SUMIF('6. OPERATION'!$B$17:$B$149,$C2706,'6. OPERATION'!BK$17:BK$149)</f>
        <v>0</v>
      </c>
      <c r="H2731" s="141">
        <f>SUMIF('5. PERSON'!$B$17:$B$192,$C2706,'5. PERSON'!BW$17:BW$192)+SUMIF('5. PERSON'!$B$17:$B$192,$C2706,'5. PERSON'!CI$17:CI$192)+SUMIF('6. OPERATION'!$B$17:$B$149,$C2706,'6. OPERATION'!AZ$17:AZ$149)+SUMIF('6. OPERATION'!$B$17:$B$149,$C2706,'6. OPERATION'!BL$17:BL$149)</f>
        <v>0</v>
      </c>
      <c r="I2731" s="141">
        <f>SUMIF('5. PERSON'!$B$17:$B$192,$C2706,'5. PERSON'!BX$17:BX$192)+SUMIF('5. PERSON'!$B$17:$B$192,$C2706,'5. PERSON'!CJ$17:CJ$192)+SUMIF('6. OPERATION'!$B$17:$B$149,$C2706,'6. OPERATION'!BA$17:BA$149)+SUMIF('6. OPERATION'!$B$17:$B$149,$C2706,'6. OPERATION'!BM$17:BM$149)</f>
        <v>0</v>
      </c>
      <c r="J2731" s="141">
        <f>SUMIF('5. PERSON'!$B$17:$B$192,$C2706,'5. PERSON'!BY$17:BY$192)+SUMIF('5. PERSON'!$B$17:$B$192,$C2706,'5. PERSON'!CK$17:CK$192)+SUMIF('6. OPERATION'!$B$17:$B$149,$C2706,'6. OPERATION'!BB$17:BB$149)+SUMIF('6. OPERATION'!$B$17:$B$149,$C2706,'6. OPERATION'!BN$17:BN$149)</f>
        <v>0</v>
      </c>
      <c r="K2731" s="141">
        <f>SUMIF('5. PERSON'!$B$17:$B$192,$C2706,'5. PERSON'!BZ$17:BZ$192)+SUMIF('5. PERSON'!$B$17:$B$192,$C2706,'5. PERSON'!CL$17:CL$192)+SUMIF('6. OPERATION'!$B$17:$B$149,$C2706,'6. OPERATION'!BC$17:BC$149)+SUMIF('6. OPERATION'!$B$17:$B$149,$C2706,'6. OPERATION'!BO$17:BO$149)</f>
        <v>0</v>
      </c>
      <c r="L2731" s="141">
        <f>SUMIF('5. PERSON'!$B$17:$B$192,$C2706,'5. PERSON'!CA$17:CA$192)+SUMIF('5. PERSON'!$B$17:$B$192,$C2706,'5. PERSON'!CM$17:CM$192)+SUMIF('6. OPERATION'!$B$17:$B$149,$C2706,'6. OPERATION'!BD$17:BD$149)+SUMIF('6. OPERATION'!$B$17:$B$149,$C2706,'6. OPERATION'!BP$17:BP$149)</f>
        <v>0</v>
      </c>
      <c r="M2731" s="123">
        <f>SUM(C2731:L2731)</f>
        <v>0</v>
      </c>
    </row>
    <row r="2732" spans="2:15" s="3" customFormat="1" ht="13.2" x14ac:dyDescent="0.25">
      <c r="B2732" s="124" t="s">
        <v>113</v>
      </c>
      <c r="C2732" s="88">
        <f>SUM(C2727:C2731)</f>
        <v>0</v>
      </c>
      <c r="D2732" s="88">
        <f t="shared" ref="D2732:M2732" si="657">SUM(D2727:D2731)</f>
        <v>0</v>
      </c>
      <c r="E2732" s="88">
        <f t="shared" si="657"/>
        <v>0</v>
      </c>
      <c r="F2732" s="88">
        <f t="shared" si="657"/>
        <v>0</v>
      </c>
      <c r="G2732" s="88">
        <f t="shared" si="657"/>
        <v>0</v>
      </c>
      <c r="H2732" s="88">
        <f t="shared" si="657"/>
        <v>0</v>
      </c>
      <c r="I2732" s="88">
        <f t="shared" si="657"/>
        <v>0</v>
      </c>
      <c r="J2732" s="88">
        <f t="shared" si="657"/>
        <v>0</v>
      </c>
      <c r="K2732" s="88">
        <f t="shared" si="657"/>
        <v>0</v>
      </c>
      <c r="L2732" s="88">
        <f t="shared" si="657"/>
        <v>0</v>
      </c>
      <c r="M2732" s="142">
        <f t="shared" si="657"/>
        <v>0</v>
      </c>
    </row>
    <row r="2733" spans="2:15" s="3" customFormat="1" ht="13.2" x14ac:dyDescent="0.25">
      <c r="B2733" s="287"/>
      <c r="C2733" s="37"/>
      <c r="D2733" s="37"/>
      <c r="E2733" s="37"/>
      <c r="F2733" s="37"/>
      <c r="G2733" s="37"/>
      <c r="H2733" s="37"/>
      <c r="I2733" s="37"/>
      <c r="J2733" s="37"/>
      <c r="K2733" s="37"/>
      <c r="L2733" s="37"/>
      <c r="M2733" s="37"/>
    </row>
    <row r="2734" spans="2:15" s="3" customFormat="1" ht="12.75" customHeight="1" x14ac:dyDescent="0.25">
      <c r="B2734" s="656" t="str">
        <f>IF('1. INTRO'!I$2="English","Co-funding share in full cost ","Medfinansieringsandel i full kostnad ")</f>
        <v xml:space="preserve">Co-funding share in full cost </v>
      </c>
      <c r="C2734" s="143" t="str">
        <f t="shared" ref="C2734:M2734" si="658">IF(C2732&gt;0,C2724/C2732,"")</f>
        <v/>
      </c>
      <c r="D2734" s="143" t="str">
        <f t="shared" si="658"/>
        <v/>
      </c>
      <c r="E2734" s="143" t="str">
        <f t="shared" si="658"/>
        <v/>
      </c>
      <c r="F2734" s="143" t="str">
        <f t="shared" si="658"/>
        <v/>
      </c>
      <c r="G2734" s="143" t="str">
        <f t="shared" si="658"/>
        <v/>
      </c>
      <c r="H2734" s="143" t="str">
        <f t="shared" si="658"/>
        <v/>
      </c>
      <c r="I2734" s="143" t="str">
        <f t="shared" si="658"/>
        <v/>
      </c>
      <c r="J2734" s="143" t="str">
        <f t="shared" si="658"/>
        <v/>
      </c>
      <c r="K2734" s="143" t="str">
        <f t="shared" si="658"/>
        <v/>
      </c>
      <c r="L2734" s="143" t="str">
        <f t="shared" si="658"/>
        <v/>
      </c>
      <c r="M2734" s="143" t="str">
        <f t="shared" si="658"/>
        <v/>
      </c>
    </row>
    <row r="2735" spans="2:15" ht="12.75" customHeight="1" x14ac:dyDescent="0.2"/>
    <row r="2736" spans="2:15" ht="12.75" customHeight="1" x14ac:dyDescent="0.25">
      <c r="D2736" s="676" t="str">
        <f>IF('1. INTRO'!I$2="English","Co-funding need in average per year: ","Medfinansieringsbehov i genomsnitt per år: ")</f>
        <v xml:space="preserve">Co-funding need in average per year: </v>
      </c>
      <c r="E2736" s="92" t="str">
        <f>IF(M2724=0,"",M2724/(DATEDIF('2. START'!C$18,'2. START'!C$19,"d")/365))</f>
        <v/>
      </c>
      <c r="H2736" s="676" t="str">
        <f>IF('1. INTRO'!I$2="English","Co-funding need 1/3 of total: ","Medfinansieringsbehov 1/3 av totalt: ")</f>
        <v xml:space="preserve">Co-funding need 1/3 of total: </v>
      </c>
      <c r="I2736" s="92">
        <f>M2724/3</f>
        <v>0</v>
      </c>
      <c r="L2736" s="287" t="str">
        <f>IF('1. INTRO'!I$2="English","Co-funding need total: ","Medfinansieringsbehov totalt: ")</f>
        <v xml:space="preserve">Co-funding need total: </v>
      </c>
      <c r="M2736" s="92">
        <f>M2724</f>
        <v>0</v>
      </c>
    </row>
    <row r="2737" spans="2:13" ht="12.75" customHeight="1" x14ac:dyDescent="0.25">
      <c r="B2737" s="53" t="str">
        <f>IF('1. INTRO'!I$2="English","Co-funding sources","Medfinansieringskällor")</f>
        <v>Co-funding sources</v>
      </c>
    </row>
    <row r="2738" spans="2:13" ht="12.75" customHeight="1" x14ac:dyDescent="0.25">
      <c r="B2738" s="225"/>
      <c r="C2738" s="226"/>
      <c r="D2738" s="226"/>
      <c r="E2738" s="226"/>
      <c r="F2738" s="226"/>
      <c r="G2738" s="226"/>
      <c r="H2738" s="226"/>
      <c r="I2738" s="226"/>
      <c r="J2738" s="226"/>
      <c r="K2738" s="226"/>
      <c r="L2738" s="227"/>
      <c r="M2738" s="168">
        <f>SUM(C2738:L2738)</f>
        <v>0</v>
      </c>
    </row>
    <row r="2739" spans="2:13" ht="12.75" customHeight="1" x14ac:dyDescent="0.25">
      <c r="B2739" s="228"/>
      <c r="C2739" s="229"/>
      <c r="D2739" s="229"/>
      <c r="E2739" s="229"/>
      <c r="F2739" s="229"/>
      <c r="G2739" s="229"/>
      <c r="H2739" s="229"/>
      <c r="I2739" s="229"/>
      <c r="J2739" s="229"/>
      <c r="K2739" s="229"/>
      <c r="L2739" s="230"/>
      <c r="M2739" s="120">
        <f t="shared" ref="M2739:M2742" si="659">SUM(C2739:L2739)</f>
        <v>0</v>
      </c>
    </row>
    <row r="2740" spans="2:13" ht="12.75" customHeight="1" x14ac:dyDescent="0.25">
      <c r="B2740" s="231"/>
      <c r="C2740" s="232"/>
      <c r="D2740" s="232"/>
      <c r="E2740" s="232"/>
      <c r="F2740" s="232"/>
      <c r="G2740" s="232"/>
      <c r="H2740" s="232"/>
      <c r="I2740" s="232"/>
      <c r="J2740" s="232"/>
      <c r="K2740" s="232"/>
      <c r="L2740" s="233"/>
      <c r="M2740" s="117">
        <f t="shared" si="659"/>
        <v>0</v>
      </c>
    </row>
    <row r="2741" spans="2:13" ht="12.75" customHeight="1" x14ac:dyDescent="0.25">
      <c r="B2741" s="228"/>
      <c r="C2741" s="229"/>
      <c r="D2741" s="229"/>
      <c r="E2741" s="229"/>
      <c r="F2741" s="229"/>
      <c r="G2741" s="229"/>
      <c r="H2741" s="229"/>
      <c r="I2741" s="229"/>
      <c r="J2741" s="229"/>
      <c r="K2741" s="229"/>
      <c r="L2741" s="230"/>
      <c r="M2741" s="120">
        <f t="shared" si="659"/>
        <v>0</v>
      </c>
    </row>
    <row r="2742" spans="2:13" ht="12.75" customHeight="1" x14ac:dyDescent="0.25">
      <c r="B2742" s="93"/>
      <c r="C2742" s="232"/>
      <c r="D2742" s="232"/>
      <c r="E2742" s="232"/>
      <c r="F2742" s="232"/>
      <c r="G2742" s="232"/>
      <c r="H2742" s="232"/>
      <c r="I2742" s="232"/>
      <c r="J2742" s="232"/>
      <c r="K2742" s="232"/>
      <c r="L2742" s="233"/>
      <c r="M2742" s="117">
        <f t="shared" si="659"/>
        <v>0</v>
      </c>
    </row>
    <row r="2743" spans="2:13" ht="12.75" customHeight="1" x14ac:dyDescent="0.25">
      <c r="B2743" s="84" t="str">
        <f>IF('1. INTRO'!I$2="English","Total co-funding ","Total medfinansiering ")</f>
        <v xml:space="preserve">Total co-funding </v>
      </c>
      <c r="C2743" s="87">
        <f t="shared" ref="C2743:M2743" si="660">SUM(C2738:C2742)</f>
        <v>0</v>
      </c>
      <c r="D2743" s="87">
        <f t="shared" si="660"/>
        <v>0</v>
      </c>
      <c r="E2743" s="87">
        <f t="shared" si="660"/>
        <v>0</v>
      </c>
      <c r="F2743" s="87">
        <f t="shared" si="660"/>
        <v>0</v>
      </c>
      <c r="G2743" s="87">
        <f t="shared" si="660"/>
        <v>0</v>
      </c>
      <c r="H2743" s="87">
        <f t="shared" si="660"/>
        <v>0</v>
      </c>
      <c r="I2743" s="87">
        <f t="shared" si="660"/>
        <v>0</v>
      </c>
      <c r="J2743" s="87">
        <f t="shared" si="660"/>
        <v>0</v>
      </c>
      <c r="K2743" s="87">
        <f t="shared" si="660"/>
        <v>0</v>
      </c>
      <c r="L2743" s="87">
        <f t="shared" si="660"/>
        <v>0</v>
      </c>
      <c r="M2743" s="142">
        <f t="shared" si="660"/>
        <v>0</v>
      </c>
    </row>
    <row r="2744" spans="2:13" ht="12.75" customHeight="1" x14ac:dyDescent="0.2"/>
    <row r="2745" spans="2:13" ht="12.75" customHeight="1" x14ac:dyDescent="0.2">
      <c r="B2745" s="667" t="str">
        <f>IF('1. INTRO'!I$2="English","Calculation comments","Kalkylkommentarer")</f>
        <v>Calculation comments</v>
      </c>
      <c r="C2745" s="37" t="str">
        <f>B67</f>
        <v/>
      </c>
    </row>
    <row r="2746" spans="2:13" ht="12.75" customHeight="1" x14ac:dyDescent="0.2">
      <c r="B2746" s="1142"/>
      <c r="C2746" s="1143"/>
      <c r="D2746" s="1143"/>
      <c r="E2746" s="1143"/>
      <c r="F2746" s="1143"/>
      <c r="G2746" s="1143"/>
      <c r="H2746" s="1143"/>
      <c r="I2746" s="1143"/>
      <c r="J2746" s="1143"/>
      <c r="K2746" s="1143"/>
      <c r="L2746" s="1143"/>
      <c r="M2746" s="1144"/>
    </row>
    <row r="2747" spans="2:13" ht="12.75" customHeight="1" x14ac:dyDescent="0.2">
      <c r="B2747" s="1145"/>
      <c r="C2747" s="1226"/>
      <c r="D2747" s="1226"/>
      <c r="E2747" s="1226"/>
      <c r="F2747" s="1226"/>
      <c r="G2747" s="1226"/>
      <c r="H2747" s="1226"/>
      <c r="I2747" s="1226"/>
      <c r="J2747" s="1226"/>
      <c r="K2747" s="1226"/>
      <c r="L2747" s="1226"/>
      <c r="M2747" s="1147"/>
    </row>
    <row r="2748" spans="2:13" ht="12.75" customHeight="1" x14ac:dyDescent="0.2">
      <c r="B2748" s="1145"/>
      <c r="C2748" s="1226"/>
      <c r="D2748" s="1226"/>
      <c r="E2748" s="1226"/>
      <c r="F2748" s="1226"/>
      <c r="G2748" s="1226"/>
      <c r="H2748" s="1226"/>
      <c r="I2748" s="1226"/>
      <c r="J2748" s="1226"/>
      <c r="K2748" s="1226"/>
      <c r="L2748" s="1226"/>
      <c r="M2748" s="1147"/>
    </row>
    <row r="2749" spans="2:13" ht="12.75" customHeight="1" x14ac:dyDescent="0.2">
      <c r="B2749" s="1145"/>
      <c r="C2749" s="1226"/>
      <c r="D2749" s="1226"/>
      <c r="E2749" s="1226"/>
      <c r="F2749" s="1226"/>
      <c r="G2749" s="1226"/>
      <c r="H2749" s="1226"/>
      <c r="I2749" s="1226"/>
      <c r="J2749" s="1226"/>
      <c r="K2749" s="1226"/>
      <c r="L2749" s="1226"/>
      <c r="M2749" s="1147"/>
    </row>
    <row r="2750" spans="2:13" ht="12.75" customHeight="1" x14ac:dyDescent="0.2">
      <c r="B2750" s="1148"/>
      <c r="C2750" s="1149"/>
      <c r="D2750" s="1149"/>
      <c r="E2750" s="1149"/>
      <c r="F2750" s="1149"/>
      <c r="G2750" s="1149"/>
      <c r="H2750" s="1149"/>
      <c r="I2750" s="1149"/>
      <c r="J2750" s="1149"/>
      <c r="K2750" s="1149"/>
      <c r="L2750" s="1149"/>
      <c r="M2750" s="1150"/>
    </row>
    <row r="2751" spans="2:13" ht="12.75" customHeight="1" x14ac:dyDescent="0.2">
      <c r="B2751" s="169"/>
      <c r="C2751" s="169"/>
      <c r="D2751" s="169"/>
      <c r="E2751" s="169"/>
      <c r="F2751" s="169"/>
      <c r="G2751" s="169"/>
      <c r="H2751" s="169"/>
      <c r="I2751" s="169"/>
      <c r="J2751" s="169"/>
      <c r="K2751" s="169"/>
      <c r="L2751" s="169"/>
      <c r="M2751" s="169"/>
    </row>
    <row r="2752" spans="2:13" s="3" customFormat="1" ht="12.75" customHeight="1" x14ac:dyDescent="0.25">
      <c r="B2752" s="313" t="str">
        <f>'3. PARTNER'!C$4</f>
        <v xml:space="preserve">Project: </v>
      </c>
      <c r="C2752" s="1062" t="str">
        <f>'3. PARTNER'!D$4</f>
        <v/>
      </c>
      <c r="D2752" s="1001"/>
      <c r="E2752" s="1001"/>
      <c r="F2752" s="1001"/>
      <c r="G2752" s="1001"/>
      <c r="H2752" s="1001"/>
      <c r="I2752" s="1001"/>
      <c r="J2752" s="1001"/>
      <c r="K2752" s="1001"/>
      <c r="L2752" s="1001"/>
      <c r="M2752" s="1001"/>
    </row>
    <row r="2753" spans="2:15" s="3" customFormat="1" ht="13.2" x14ac:dyDescent="0.25">
      <c r="B2753" s="313" t="str">
        <f>'3. PARTNER'!C$5</f>
        <v xml:space="preserve">Calculation for: </v>
      </c>
      <c r="C2753" s="1062" t="str">
        <f>'3. PARTNER'!D$5</f>
        <v>APPLICATION</v>
      </c>
      <c r="D2753" s="1001"/>
      <c r="E2753" s="268"/>
      <c r="F2753" s="268"/>
      <c r="G2753" s="268"/>
      <c r="H2753" s="268"/>
      <c r="I2753" s="268"/>
      <c r="J2753" s="268"/>
      <c r="K2753" s="268"/>
      <c r="L2753" s="268"/>
      <c r="M2753" s="268"/>
    </row>
    <row r="2754" spans="2:15" s="3" customFormat="1" ht="13.2" x14ac:dyDescent="0.25">
      <c r="B2754" s="35" t="str">
        <f>'3. PARTNER'!C$6</f>
        <v xml:space="preserve">Project leader: </v>
      </c>
      <c r="C2754" s="1062" t="str">
        <f>'3. PARTNER'!D$6</f>
        <v/>
      </c>
      <c r="D2754" s="1001"/>
      <c r="E2754" s="1001"/>
      <c r="F2754" s="1001"/>
      <c r="G2754" s="1001"/>
      <c r="H2754" s="1001"/>
      <c r="I2754" s="1001"/>
      <c r="J2754" s="1001"/>
      <c r="K2754" s="1001"/>
      <c r="L2754" s="1001"/>
      <c r="M2754" s="1001"/>
    </row>
    <row r="2755" spans="2:15" s="3" customFormat="1" ht="13.2" x14ac:dyDescent="0.25">
      <c r="B2755" s="313" t="str">
        <f>'5. PERSON'!B$7</f>
        <v xml:space="preserve">Amounts in: </v>
      </c>
      <c r="C2755" s="655" t="str">
        <f>'5. PERSON'!C$7</f>
        <v>SEK</v>
      </c>
      <c r="D2755" s="268"/>
      <c r="E2755" s="268"/>
      <c r="F2755" s="268"/>
      <c r="G2755" s="234"/>
      <c r="H2755" s="234"/>
      <c r="I2755" s="270"/>
      <c r="J2755" s="270"/>
      <c r="K2755" s="270"/>
      <c r="L2755" s="270"/>
      <c r="M2755" s="270"/>
    </row>
    <row r="2756" spans="2:15" s="3" customFormat="1" ht="13.2" x14ac:dyDescent="0.25">
      <c r="B2756" s="313"/>
      <c r="C2756" s="1053" t="str">
        <f>'3. PARTNER'!D$7</f>
        <v>Other basic data about the project is in sheet 2.</v>
      </c>
      <c r="D2756" s="1001"/>
      <c r="E2756" s="1001"/>
      <c r="F2756" s="1001"/>
      <c r="G2756" s="234"/>
      <c r="H2756" s="234"/>
      <c r="I2756" s="270"/>
      <c r="J2756" s="270"/>
      <c r="K2756" s="270"/>
      <c r="L2756" s="251" t="s">
        <v>4</v>
      </c>
      <c r="M2756" s="270"/>
    </row>
    <row r="2757" spans="2:15" ht="12.75" customHeight="1" x14ac:dyDescent="0.2">
      <c r="L2757" s="252" t="str">
        <f>IF('1. INTRO'!I$2="English","months","månader")</f>
        <v>months</v>
      </c>
    </row>
    <row r="2758" spans="2:15" s="3" customFormat="1" ht="13.8" x14ac:dyDescent="0.25">
      <c r="B2758" s="157" t="str">
        <f>IF('1. INTRO'!I$2="English","Project costs","Projektkostnader")</f>
        <v>Project costs</v>
      </c>
      <c r="C2758" s="668" t="str">
        <f>A68</f>
        <v>EXT110</v>
      </c>
      <c r="D2758" s="1227" t="str">
        <f>B68</f>
        <v/>
      </c>
      <c r="E2758" s="1001"/>
      <c r="F2758" s="1001"/>
      <c r="G2758" s="1001"/>
      <c r="H2758" s="1001"/>
      <c r="I2758" s="37"/>
      <c r="J2758" s="37"/>
      <c r="K2758" s="37"/>
      <c r="L2758" s="642">
        <f>SUMIF('5. PERSON'!$B$17:$B$192,$C2758,'5. PERSON'!AE$17:AE$192)</f>
        <v>0</v>
      </c>
      <c r="M2758" s="680" t="s">
        <v>330</v>
      </c>
    </row>
    <row r="2759" spans="2:15" s="3" customFormat="1" ht="6" customHeight="1" x14ac:dyDescent="0.25">
      <c r="B2759" s="57"/>
      <c r="C2759" s="37"/>
      <c r="D2759" s="37"/>
      <c r="E2759" s="37"/>
      <c r="F2759" s="37"/>
      <c r="G2759" s="37"/>
      <c r="H2759" s="37"/>
      <c r="I2759" s="37"/>
      <c r="J2759" s="37"/>
      <c r="K2759" s="37"/>
      <c r="L2759" s="37"/>
      <c r="M2759" s="37"/>
    </row>
    <row r="2760" spans="2:15" s="3" customFormat="1" ht="13.2" x14ac:dyDescent="0.25">
      <c r="B2760" s="110" t="str">
        <f>IF('1. INTRO'!I$2="English","Costs to be covered by funding body","Kostnader att täckas av finansiär")</f>
        <v>Costs to be covered by funding body</v>
      </c>
      <c r="C2760" s="111">
        <f>'5. PERSON'!G$15</f>
        <v>1900</v>
      </c>
      <c r="D2760" s="111" t="str">
        <f>'5. PERSON'!H$15</f>
        <v/>
      </c>
      <c r="E2760" s="111" t="str">
        <f>'5. PERSON'!I$15</f>
        <v/>
      </c>
      <c r="F2760" s="111" t="str">
        <f>'5. PERSON'!J$15</f>
        <v/>
      </c>
      <c r="G2760" s="111" t="str">
        <f>'5. PERSON'!K$15</f>
        <v/>
      </c>
      <c r="H2760" s="111" t="str">
        <f>'5. PERSON'!L$15</f>
        <v/>
      </c>
      <c r="I2760" s="111" t="str">
        <f>'5. PERSON'!M$15</f>
        <v/>
      </c>
      <c r="J2760" s="111" t="str">
        <f>'5. PERSON'!N$15</f>
        <v/>
      </c>
      <c r="K2760" s="111" t="str">
        <f>'5. PERSON'!O$15</f>
        <v/>
      </c>
      <c r="L2760" s="111" t="str">
        <f>'5. PERSON'!P$15</f>
        <v/>
      </c>
      <c r="M2760" s="112" t="s">
        <v>2</v>
      </c>
    </row>
    <row r="2761" spans="2:15" s="3" customFormat="1" ht="12.75" customHeight="1" x14ac:dyDescent="0.25">
      <c r="B2761" s="113" t="str">
        <f>IF('1. INTRO'!I$2="English","Salary including social costs (LKP)","Lön inklusive LKP")</f>
        <v>Salary including social costs (LKP)</v>
      </c>
      <c r="C2761" s="114">
        <f>IF('2. START'!$C$14&gt;0,SUMIF('5. PERSON'!$B$17:$B$192,$C2758,'5. PERSON'!DN$17:DN$192),SUMIF('5. PERSON'!$B$17:$B$192,$C2758,'5. PERSON'!AT$17:AT$192))</f>
        <v>0</v>
      </c>
      <c r="D2761" s="114">
        <f>IF('2. START'!$C$14&gt;0,SUMIF('5. PERSON'!$B$17:$B$192,$C2758,'5. PERSON'!DO$17:DO$192),SUMIF('5. PERSON'!$B$17:$B$192,$C2758,'5. PERSON'!AU$17:AU$192))</f>
        <v>0</v>
      </c>
      <c r="E2761" s="114">
        <f>IF('2. START'!$C$14&gt;0,SUMIF('5. PERSON'!$B$17:$B$192,$C2758,'5. PERSON'!DP$17:DP$192),SUMIF('5. PERSON'!$B$17:$B$192,$C2758,'5. PERSON'!AV$17:AV$192))</f>
        <v>0</v>
      </c>
      <c r="F2761" s="114">
        <f>IF('2. START'!$C$14&gt;0,SUMIF('5. PERSON'!$B$17:$B$192,$C2758,'5. PERSON'!DQ$17:DQ$192),SUMIF('5. PERSON'!$B$17:$B$192,$C2758,'5. PERSON'!AW$17:AW$192))</f>
        <v>0</v>
      </c>
      <c r="G2761" s="114">
        <f>IF('2. START'!$C$14&gt;0,SUMIF('5. PERSON'!$B$17:$B$192,$C2758,'5. PERSON'!DR$17:DR$192),SUMIF('5. PERSON'!$B$17:$B$192,$C2758,'5. PERSON'!AX$17:AX$192))</f>
        <v>0</v>
      </c>
      <c r="H2761" s="114">
        <f>IF('2. START'!$C$14&gt;0,SUMIF('5. PERSON'!$B$17:$B$192,$C2758,'5. PERSON'!DS$17:DS$192),SUMIF('5. PERSON'!$B$17:$B$192,$C2758,'5. PERSON'!AY$17:AY$192))</f>
        <v>0</v>
      </c>
      <c r="I2761" s="114">
        <f>IF('2. START'!$C$14&gt;0,SUMIF('5. PERSON'!$B$17:$B$192,$C2758,'5. PERSON'!DT$17:DT$192),SUMIF('5. PERSON'!$B$17:$B$192,$C2758,'5. PERSON'!AZ$17:AZ$192))</f>
        <v>0</v>
      </c>
      <c r="J2761" s="114">
        <f>IF('2. START'!$C$14&gt;0,SUMIF('5. PERSON'!$B$17:$B$192,$C2758,'5. PERSON'!DU$17:DU$192),SUMIF('5. PERSON'!$B$17:$B$192,$C2758,'5. PERSON'!BA$17:BA$192))</f>
        <v>0</v>
      </c>
      <c r="K2761" s="114">
        <f>IF('2. START'!$C$14&gt;0,SUMIF('5. PERSON'!$B$17:$B$192,$C2758,'5. PERSON'!DV$17:DV$192),SUMIF('5. PERSON'!$B$17:$B$192,$C2758,'5. PERSON'!BB$17:BB$192))</f>
        <v>0</v>
      </c>
      <c r="L2761" s="114">
        <f>IF('2. START'!$C$14&gt;0,SUMIF('5. PERSON'!$B$17:$B$192,$C2758,'5. PERSON'!DW$17:DW$192),SUMIF('5. PERSON'!$B$17:$B$192,$C2758,'5. PERSON'!BC$17:BC$192))</f>
        <v>0</v>
      </c>
      <c r="M2761" s="115">
        <f t="shared" ref="M2761:M2766" si="661">SUM(C2761:L2761)</f>
        <v>0</v>
      </c>
      <c r="O2761" s="4"/>
    </row>
    <row r="2762" spans="2:15" s="3" customFormat="1" ht="12.75" customHeight="1" x14ac:dyDescent="0.25">
      <c r="B2762" s="80" t="str">
        <f>IF('1. INTRO'!I$2="English","Operating","Drift")</f>
        <v>Operating</v>
      </c>
      <c r="C2762" s="116">
        <f>SUMIF('6. OPERATION'!$B$17:$B$149,$C2758,'6. OPERATION'!W$17:W$149)</f>
        <v>0</v>
      </c>
      <c r="D2762" s="116">
        <f>SUMIF('6. OPERATION'!$B$17:$B$149,$C2758,'6. OPERATION'!X$17:X$149)</f>
        <v>0</v>
      </c>
      <c r="E2762" s="116">
        <f>SUMIF('6. OPERATION'!$B$17:$B$149,$C2758,'6. OPERATION'!Y$17:Y$149)</f>
        <v>0</v>
      </c>
      <c r="F2762" s="116">
        <f>SUMIF('6. OPERATION'!$B$17:$B$149,$C2758,'6. OPERATION'!Z$17:Z$149)</f>
        <v>0</v>
      </c>
      <c r="G2762" s="116">
        <f>SUMIF('6. OPERATION'!$B$17:$B$149,$C2758,'6. OPERATION'!AA$17:AA$149)</f>
        <v>0</v>
      </c>
      <c r="H2762" s="116">
        <f>SUMIF('6. OPERATION'!$B$17:$B$149,$C2758,'6. OPERATION'!AB$17:AB$149)</f>
        <v>0</v>
      </c>
      <c r="I2762" s="116">
        <f>SUMIF('6. OPERATION'!$B$17:$B$149,$C2758,'6. OPERATION'!AC$17:AC$149)</f>
        <v>0</v>
      </c>
      <c r="J2762" s="116">
        <f>SUMIF('6. OPERATION'!$B$17:$B$149,$C2758,'6. OPERATION'!AD$17:AD$149)</f>
        <v>0</v>
      </c>
      <c r="K2762" s="116">
        <f>SUMIF('6. OPERATION'!$B$17:$B$149,$C2758,'6. OPERATION'!AE$17:AE$149)</f>
        <v>0</v>
      </c>
      <c r="L2762" s="116">
        <f>SUMIF('6. OPERATION'!$B$17:$B$149,$C2758,'6. OPERATION'!AF$17:AF$149)</f>
        <v>0</v>
      </c>
      <c r="M2762" s="117">
        <f t="shared" si="661"/>
        <v>0</v>
      </c>
    </row>
    <row r="2763" spans="2:15" s="3" customFormat="1" ht="13.2" x14ac:dyDescent="0.25">
      <c r="B2763" s="118" t="str">
        <f>IF('1. INTRO'!I$2="English","Equipment","Utrustning")</f>
        <v>Equipment</v>
      </c>
      <c r="C2763" s="119">
        <f>SUMIF('7. INVEST'!$B$17:$B$49,$C2758,'7. INVEST'!W$17:W$49)</f>
        <v>0</v>
      </c>
      <c r="D2763" s="119">
        <f>SUMIF('7. INVEST'!$B$17:$B$49,$C2758,'7. INVEST'!X$17:X$49)</f>
        <v>0</v>
      </c>
      <c r="E2763" s="119">
        <f>SUMIF('7. INVEST'!$B$17:$B$49,$C2758,'7. INVEST'!Y$17:Y$49)</f>
        <v>0</v>
      </c>
      <c r="F2763" s="119">
        <f>SUMIF('7. INVEST'!$B$17:$B$49,$C2758,'7. INVEST'!Z$17:Z$49)</f>
        <v>0</v>
      </c>
      <c r="G2763" s="119">
        <f>SUMIF('7. INVEST'!$B$17:$B$49,$C2758,'7. INVEST'!AA$17:AA$49)</f>
        <v>0</v>
      </c>
      <c r="H2763" s="119">
        <f>SUMIF('7. INVEST'!$B$17:$B$49,$C2758,'7. INVEST'!AB$17:AB$49)</f>
        <v>0</v>
      </c>
      <c r="I2763" s="119">
        <f>SUMIF('7. INVEST'!$B$17:$B$49,$C2758,'7. INVEST'!AC$17:AC$49)</f>
        <v>0</v>
      </c>
      <c r="J2763" s="119">
        <f>SUMIF('7. INVEST'!$B$17:$B$49,$C2758,'7. INVEST'!AD$17:AD$49)</f>
        <v>0</v>
      </c>
      <c r="K2763" s="119">
        <f>SUMIF('7. INVEST'!$B$17:$B$49,$C2758,'7. INVEST'!AE$17:AE$49)</f>
        <v>0</v>
      </c>
      <c r="L2763" s="119">
        <f>SUMIF('7. INVEST'!$B$17:$B$49,$C2758,'7. INVEST'!AF$17:AF$49)</f>
        <v>0</v>
      </c>
      <c r="M2763" s="120">
        <f t="shared" si="661"/>
        <v>0</v>
      </c>
    </row>
    <row r="2764" spans="2:15" s="3" customFormat="1" ht="13.2" x14ac:dyDescent="0.25">
      <c r="B2764" s="121" t="str">
        <f>IF('1. INTRO'!I$2="English",(IF('2. START'!C$11="NO","Facility accepted as direct cost by funding body","Facility")),IF('2. START'!C$11="NO","Lokal accepterad som direkt kostnad av finansiär","Lokal"))</f>
        <v>Facility</v>
      </c>
      <c r="C2764" s="116">
        <f>IF('2. START'!$C$11="NO",SUMIF('8. FACILIT'!$B$18:$B$50,$C2758,'8. FACILIT'!T$18:T$50),SUMIF('5. PERSON'!$B$17:$B$192,$C2758,'5. PERSON'!CP$17:CP$192)+SUMIF('6. OPERATION'!$B$17:$B$149,$C2758,'6. OPERATION'!BS$17:BS$149)+SUMIF('8. FACILIT'!$B$18:$B$50,$C2758,'8. FACILIT'!T$18:T$50))</f>
        <v>0</v>
      </c>
      <c r="D2764" s="116">
        <f>IF('2. START'!$C$11="NO",SUMIF('8. FACILIT'!$B$18:$B$50,$C2758,'8. FACILIT'!U$18:U$50),SUMIF('5. PERSON'!$B$17:$B$192,$C2758,'5. PERSON'!CQ$17:CQ$192)+SUMIF('6. OPERATION'!$B$17:$B$149,$C2758,'6. OPERATION'!BT$17:BT$149)+SUMIF('8. FACILIT'!$B$18:$B$50,$C2758,'8. FACILIT'!U$18:U$50))</f>
        <v>0</v>
      </c>
      <c r="E2764" s="116">
        <f>IF('2. START'!$C$11="NO",SUMIF('8. FACILIT'!$B$18:$B$50,$C2758,'8. FACILIT'!V$18:V$50),SUMIF('5. PERSON'!$B$17:$B$192,$C2758,'5. PERSON'!CR$17:CR$192)+SUMIF('6. OPERATION'!$B$17:$B$149,$C2758,'6. OPERATION'!BU$17:BU$149)+SUMIF('8. FACILIT'!$B$18:$B$50,$C2758,'8. FACILIT'!V$18:V$50))</f>
        <v>0</v>
      </c>
      <c r="F2764" s="116">
        <f>IF('2. START'!$C$11="NO",SUMIF('8. FACILIT'!$B$18:$B$50,$C2758,'8. FACILIT'!W$18:W$50),SUMIF('5. PERSON'!$B$17:$B$192,$C2758,'5. PERSON'!CS$17:CS$192)+SUMIF('6. OPERATION'!$B$17:$B$149,$C2758,'6. OPERATION'!BV$17:BV$149)+SUMIF('8. FACILIT'!$B$18:$B$50,$C2758,'8. FACILIT'!W$18:W$50))</f>
        <v>0</v>
      </c>
      <c r="G2764" s="116">
        <f>IF('2. START'!$C$11="NO",SUMIF('8. FACILIT'!$B$18:$B$50,$C2758,'8. FACILIT'!X$18:X$50),SUMIF('5. PERSON'!$B$17:$B$192,$C2758,'5. PERSON'!CT$17:CT$192)+SUMIF('6. OPERATION'!$B$17:$B$149,$C2758,'6. OPERATION'!BW$17:BW$149)+SUMIF('8. FACILIT'!$B$18:$B$50,$C2758,'8. FACILIT'!X$18:X$50))</f>
        <v>0</v>
      </c>
      <c r="H2764" s="116">
        <f>IF('2. START'!$C$11="NO",SUMIF('8. FACILIT'!$B$18:$B$50,$C2758,'8. FACILIT'!Y$18:Y$50),SUMIF('5. PERSON'!$B$17:$B$192,$C2758,'5. PERSON'!CU$17:CU$192)+SUMIF('6. OPERATION'!$B$17:$B$149,$C2758,'6. OPERATION'!BX$17:BX$149)+SUMIF('8. FACILIT'!$B$18:$B$50,$C2758,'8. FACILIT'!Y$18:Y$50))</f>
        <v>0</v>
      </c>
      <c r="I2764" s="116">
        <f>IF('2. START'!$C$11="NO",SUMIF('8. FACILIT'!$B$18:$B$50,$C2758,'8. FACILIT'!Z$18:Z$50),SUMIF('5. PERSON'!$B$17:$B$192,$C2758,'5. PERSON'!CV$17:CV$192)+SUMIF('6. OPERATION'!$B$17:$B$149,$C2758,'6. OPERATION'!BY$17:BY$149)+SUMIF('8. FACILIT'!$B$18:$B$50,$C2758,'8. FACILIT'!Z$18:Z$50))</f>
        <v>0</v>
      </c>
      <c r="J2764" s="116">
        <f>IF('2. START'!$C$11="NO",SUMIF('8. FACILIT'!$B$18:$B$50,$C2758,'8. FACILIT'!AA$18:AA$50),SUMIF('5. PERSON'!$B$17:$B$192,$C2758,'5. PERSON'!CW$17:CW$192)+SUMIF('6. OPERATION'!$B$17:$B$149,$C2758,'6. OPERATION'!BZ$17:BZ$149)+SUMIF('8. FACILIT'!$B$18:$B$50,$C2758,'8. FACILIT'!AA$18:AA$50))</f>
        <v>0</v>
      </c>
      <c r="K2764" s="116">
        <f>IF('2. START'!$C$11="NO",SUMIF('8. FACILIT'!$B$18:$B$50,$C2758,'8. FACILIT'!AB$18:AB$50),SUMIF('5. PERSON'!$B$17:$B$192,$C2758,'5. PERSON'!CX$17:CX$192)+SUMIF('6. OPERATION'!$B$17:$B$149,$C2758,'6. OPERATION'!CA$17:CA$149)+SUMIF('8. FACILIT'!$B$18:$B$50,$C2758,'8. FACILIT'!AB$18:AB$50))</f>
        <v>0</v>
      </c>
      <c r="L2764" s="116">
        <f>IF('2. START'!$C$11="NO",SUMIF('8. FACILIT'!$B$18:$B$50,$C2758,'8. FACILIT'!AC$18:AC$50),SUMIF('5. PERSON'!$B$17:$B$192,$C2758,'5. PERSON'!CY$17:CY$192)+SUMIF('6. OPERATION'!$B$17:$B$149,$C2758,'6. OPERATION'!CB$17:CB$149)+SUMIF('8. FACILIT'!$B$18:$B$50,$C2758,'8. FACILIT'!AC$18:AC$50))</f>
        <v>0</v>
      </c>
      <c r="M2764" s="117">
        <f t="shared" si="661"/>
        <v>0</v>
      </c>
    </row>
    <row r="2765" spans="2:15" s="3" customFormat="1" ht="13.2" x14ac:dyDescent="0.25">
      <c r="B2765" s="122" t="str">
        <f>IF('1. INTRO'!I$2="English",(IF('2. START'!C$11="NO","Indirect and facility charge accepted as OH by funding body","Indirect")),IF('2. START'!C$11="NO","Indirekt och lokalpåslag accepterade som OH av finansiär","Indirekt"))</f>
        <v>Indirect</v>
      </c>
      <c r="C2765" s="107">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107">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107">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107">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107">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107">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107">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107">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107">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107">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120">
        <f t="shared" si="661"/>
        <v>0</v>
      </c>
    </row>
    <row r="2766" spans="2:15" s="3" customFormat="1" ht="13.2" x14ac:dyDescent="0.25">
      <c r="B2766" s="124" t="s">
        <v>113</v>
      </c>
      <c r="C2766" s="102">
        <f>SUM(C2761:C2765)</f>
        <v>0</v>
      </c>
      <c r="D2766" s="102">
        <f t="shared" ref="D2766:L2766" si="662">SUM(D2761:D2765)</f>
        <v>0</v>
      </c>
      <c r="E2766" s="102">
        <f t="shared" si="662"/>
        <v>0</v>
      </c>
      <c r="F2766" s="102">
        <f t="shared" si="662"/>
        <v>0</v>
      </c>
      <c r="G2766" s="102">
        <f t="shared" si="662"/>
        <v>0</v>
      </c>
      <c r="H2766" s="102">
        <f t="shared" si="662"/>
        <v>0</v>
      </c>
      <c r="I2766" s="102">
        <f t="shared" si="662"/>
        <v>0</v>
      </c>
      <c r="J2766" s="102">
        <f t="shared" si="662"/>
        <v>0</v>
      </c>
      <c r="K2766" s="102">
        <f t="shared" si="662"/>
        <v>0</v>
      </c>
      <c r="L2766" s="102">
        <f t="shared" si="662"/>
        <v>0</v>
      </c>
      <c r="M2766" s="125">
        <f t="shared" si="661"/>
        <v>0</v>
      </c>
    </row>
    <row r="2767" spans="2:15" s="3" customFormat="1" ht="6" customHeight="1" x14ac:dyDescent="0.25">
      <c r="B2767" s="126"/>
      <c r="C2767" s="127"/>
      <c r="D2767" s="127"/>
      <c r="E2767" s="127"/>
      <c r="F2767" s="127"/>
      <c r="G2767" s="127"/>
      <c r="H2767" s="127"/>
      <c r="I2767" s="127"/>
      <c r="J2767" s="127"/>
      <c r="K2767" s="127"/>
      <c r="L2767" s="127"/>
      <c r="M2767" s="128"/>
    </row>
    <row r="2768" spans="2:15" s="3" customFormat="1" ht="13.2" x14ac:dyDescent="0.25">
      <c r="B2768" s="129" t="str">
        <f>IF('1. INTRO'!I$2="English","Costs to be co-funded","Kostnader att medfinansiera")</f>
        <v>Costs to be co-funded</v>
      </c>
      <c r="C2768" s="86"/>
      <c r="D2768" s="86"/>
      <c r="E2768" s="86"/>
      <c r="F2768" s="86"/>
      <c r="G2768" s="86"/>
      <c r="H2768" s="86"/>
      <c r="I2768" s="86"/>
      <c r="J2768" s="86"/>
      <c r="K2768" s="86"/>
      <c r="L2768" s="86"/>
      <c r="M2768" s="130"/>
    </row>
    <row r="2769" spans="2:15" s="3" customFormat="1" ht="13.2" x14ac:dyDescent="0.25">
      <c r="B2769" s="159" t="str">
        <f>IF('1. INTRO'!I$2="English",(IF('2. START'!C$11="NO","Indirect and facility charge not accepted as OH by funding body","")),IF('2. START'!C$11="NO","Indirekt och lokalpåslag inte accepterade som OH av finansiär",""))</f>
        <v/>
      </c>
      <c r="C2769" s="131">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31">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31">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31">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31">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31">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31">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31">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31">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31">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115">
        <f t="shared" ref="M2769:M2775" si="663">SUM(C2769:L2769)</f>
        <v>0</v>
      </c>
    </row>
    <row r="2770" spans="2:15" s="3" customFormat="1" ht="12.75" customHeight="1" x14ac:dyDescent="0.25">
      <c r="B2770" s="132" t="str">
        <f>IF('1. INTRO'!I$2="English",(IF('2. START'!C$14&gt;0,"Social costs (LKP) not accepted by funding body","")),IF('2. START'!C$14&gt;0,"LKP som inte accepteras av finansiär",""))</f>
        <v/>
      </c>
      <c r="C2770" s="133">
        <f>IF('2. START'!$C$14&gt;0,SUMIF('5. PERSON'!$B$17:$B$192,$C2758,'5. PERSON'!AT$17:AT$192)-SUMIF('5. PERSON'!$B$17:$B$192,$C2758,'5. PERSON'!DN$17:DN$192),0)</f>
        <v>0</v>
      </c>
      <c r="D2770" s="133">
        <f>IF('2. START'!$C$14&gt;0,SUMIF('5. PERSON'!$B$17:$B$192,$C2758,'5. PERSON'!AU$17:AU$192)-SUMIF('5. PERSON'!$B$17:$B$192,$C2758,'5. PERSON'!DO$17:DO$192),0)</f>
        <v>0</v>
      </c>
      <c r="E2770" s="133">
        <f>IF('2. START'!$C$14&gt;0,SUMIF('5. PERSON'!$B$17:$B$192,$C2758,'5. PERSON'!AV$17:AV$192)-SUMIF('5. PERSON'!$B$17:$B$192,$C2758,'5. PERSON'!DP$17:DP$192),0)</f>
        <v>0</v>
      </c>
      <c r="F2770" s="133">
        <f>IF('2. START'!$C$14&gt;0,SUMIF('5. PERSON'!$B$17:$B$192,$C2758,'5. PERSON'!AW$17:AW$192)-SUMIF('5. PERSON'!$B$17:$B$192,$C2758,'5. PERSON'!DQ$17:DQ$192),0)</f>
        <v>0</v>
      </c>
      <c r="G2770" s="133">
        <f>IF('2. START'!$C$14&gt;0,SUMIF('5. PERSON'!$B$17:$B$192,$C2758,'5. PERSON'!AX$17:AX$192)-SUMIF('5. PERSON'!$B$17:$B$192,$C2758,'5. PERSON'!DR$17:DR$192),0)</f>
        <v>0</v>
      </c>
      <c r="H2770" s="133">
        <f>IF('2. START'!$C$14&gt;0,SUMIF('5. PERSON'!$B$17:$B$192,$C2758,'5. PERSON'!AY$17:AY$192)-SUMIF('5. PERSON'!$B$17:$B$192,$C2758,'5. PERSON'!DS$17:DS$192),0)</f>
        <v>0</v>
      </c>
      <c r="I2770" s="133">
        <f>IF('2. START'!$C$14&gt;0,SUMIF('5. PERSON'!$B$17:$B$192,$C2758,'5. PERSON'!AZ$17:AZ$192)-SUMIF('5. PERSON'!$B$17:$B$192,$C2758,'5. PERSON'!DT$17:DT$192),0)</f>
        <v>0</v>
      </c>
      <c r="J2770" s="133">
        <f>IF('2. START'!$C$14&gt;0,SUMIF('5. PERSON'!$B$17:$B$192,$C2758,'5. PERSON'!BA$17:BA$192)-SUMIF('5. PERSON'!$B$17:$B$192,$C2758,'5. PERSON'!DU$17:DU$192),0)</f>
        <v>0</v>
      </c>
      <c r="K2770" s="133">
        <f>IF('2. START'!$C$14&gt;0,SUMIF('5. PERSON'!$B$17:$B$192,$C2758,'5. PERSON'!BB$17:BB$192)-SUMIF('5. PERSON'!$B$17:$B$192,$C2758,'5. PERSON'!DV$17:DV$192),0)</f>
        <v>0</v>
      </c>
      <c r="L2770" s="133">
        <f>IF('2. START'!$C$14&gt;0,SUMIF('5. PERSON'!$B$17:$B$192,$C2758,'5. PERSON'!BC$17:BC$192)-SUMIF('5. PERSON'!$B$17:$B$192,$C2758,'5. PERSON'!DW$17:DW$192),0)</f>
        <v>0</v>
      </c>
      <c r="M2770" s="117">
        <f t="shared" si="663"/>
        <v>0</v>
      </c>
    </row>
    <row r="2771" spans="2:15" s="3" customFormat="1" ht="12.75" customHeight="1" x14ac:dyDescent="0.25">
      <c r="B2771" s="118" t="str">
        <f>IF('1. INTRO'!I$2="English",(IF('5. PERSON'!BP$193&gt;0,"Salary including social costs (LKP)","")),IF('5. PERSON'!BP$193&gt;0,"Lön inklusive LKP",""))</f>
        <v/>
      </c>
      <c r="C2771" s="134">
        <f>SUMIF('5. PERSON'!$B$17:$B$192,$C2758,'5. PERSON'!BF$17:BF$192)</f>
        <v>0</v>
      </c>
      <c r="D2771" s="134">
        <f>SUMIF('5. PERSON'!$B$17:$B$192,$C2758,'5. PERSON'!BG$17:BG$192)</f>
        <v>0</v>
      </c>
      <c r="E2771" s="134">
        <f>SUMIF('5. PERSON'!$B$17:$B$192,$C2758,'5. PERSON'!BH$17:BH$192)</f>
        <v>0</v>
      </c>
      <c r="F2771" s="134">
        <f>SUMIF('5. PERSON'!$B$17:$B$192,$C2758,'5. PERSON'!BI$17:BI$192)</f>
        <v>0</v>
      </c>
      <c r="G2771" s="134">
        <f>SUMIF('5. PERSON'!$B$17:$B$192,$C2758,'5. PERSON'!BJ$17:BJ$192)</f>
        <v>0</v>
      </c>
      <c r="H2771" s="134">
        <f>SUMIF('5. PERSON'!$B$17:$B$192,$C2758,'5. PERSON'!BK$17:BK$192)</f>
        <v>0</v>
      </c>
      <c r="I2771" s="134">
        <f>SUMIF('5. PERSON'!$B$17:$B$192,$C2758,'5. PERSON'!BL$17:BL$192)</f>
        <v>0</v>
      </c>
      <c r="J2771" s="134">
        <f>SUMIF('5. PERSON'!$B$17:$B$192,$C2758,'5. PERSON'!BM$17:BM$192)</f>
        <v>0</v>
      </c>
      <c r="K2771" s="134">
        <f>SUMIF('5. PERSON'!$B$17:$B$192,$C2758,'5. PERSON'!BN$17:BN$192)</f>
        <v>0</v>
      </c>
      <c r="L2771" s="134">
        <f>SUMIF('5. PERSON'!$B$17:$B$192,$C2758,'5. PERSON'!BO$17:BO$192)</f>
        <v>0</v>
      </c>
      <c r="M2771" s="120">
        <f t="shared" si="663"/>
        <v>0</v>
      </c>
    </row>
    <row r="2772" spans="2:15" s="3" customFormat="1" ht="13.2" x14ac:dyDescent="0.25">
      <c r="B2772" s="80" t="str">
        <f>IF('1. INTRO'!I$2="English",(IF('6. OPERATION'!AS$150&gt;0,"Operating","")),IF('6. OPERATION'!AS$150&gt;0,"Drift",""))</f>
        <v/>
      </c>
      <c r="C2772" s="135">
        <f>SUMIF('6. OPERATION'!$B$17:$B$149,$C2758,'6. OPERATION'!AI$17:AI$149)</f>
        <v>0</v>
      </c>
      <c r="D2772" s="135">
        <f>SUMIF('6. OPERATION'!$B$17:$B$149,$C2758,'6. OPERATION'!AJ$17:AJ$149)</f>
        <v>0</v>
      </c>
      <c r="E2772" s="135">
        <f>SUMIF('6. OPERATION'!$B$17:$B$149,$C2758,'6. OPERATION'!AK$17:AK$149)</f>
        <v>0</v>
      </c>
      <c r="F2772" s="135">
        <f>SUMIF('6. OPERATION'!$B$17:$B$149,$C2758,'6. OPERATION'!AL$17:AL$149)</f>
        <v>0</v>
      </c>
      <c r="G2772" s="135">
        <f>SUMIF('6. OPERATION'!$B$17:$B$149,$C2758,'6. OPERATION'!AM$17:AM$149)</f>
        <v>0</v>
      </c>
      <c r="H2772" s="135">
        <f>SUMIF('6. OPERATION'!$B$17:$B$149,$C2758,'6. OPERATION'!AN$17:AN$149)</f>
        <v>0</v>
      </c>
      <c r="I2772" s="135">
        <f>SUMIF('6. OPERATION'!$B$17:$B$149,$C2758,'6. OPERATION'!AO$17:AO$149)</f>
        <v>0</v>
      </c>
      <c r="J2772" s="135">
        <f>SUMIF('6. OPERATION'!$B$17:$B$149,$C2758,'6. OPERATION'!AP$17:AP$149)</f>
        <v>0</v>
      </c>
      <c r="K2772" s="135">
        <f>SUMIF('6. OPERATION'!$B$17:$B$149,$C2758,'6. OPERATION'!AQ$17:AQ$149)</f>
        <v>0</v>
      </c>
      <c r="L2772" s="135">
        <f>SUMIF('6. OPERATION'!$B$17:$B$149,$C2758,'6. OPERATION'!AR$17:AR$149)</f>
        <v>0</v>
      </c>
      <c r="M2772" s="117">
        <f t="shared" si="663"/>
        <v>0</v>
      </c>
    </row>
    <row r="2773" spans="2:15" s="3" customFormat="1" ht="13.2" x14ac:dyDescent="0.25">
      <c r="B2773" s="118" t="str">
        <f>IF('1. INTRO'!I$2="English",(IF('7. INVEST'!AS$50&gt;0,"Equipment","")),IF('7. INVEST'!AS$50&gt;0,"Utrustning",""))</f>
        <v/>
      </c>
      <c r="C2773" s="134">
        <f>SUMIF('7. INVEST'!$B$17:$B$49,$C2758,'7. INVEST'!AI$17:AI$49)</f>
        <v>0</v>
      </c>
      <c r="D2773" s="134">
        <f>SUMIF('7. INVEST'!$B$17:$B$49,$C2758,'7. INVEST'!AJ$17:AJ$49)</f>
        <v>0</v>
      </c>
      <c r="E2773" s="134">
        <f>SUMIF('7. INVEST'!$B$17:$B$49,$C2758,'7. INVEST'!AK$17:AK$49)</f>
        <v>0</v>
      </c>
      <c r="F2773" s="134">
        <f>SUMIF('7. INVEST'!$B$17:$B$49,$C2758,'7. INVEST'!AL$17:AL$49)</f>
        <v>0</v>
      </c>
      <c r="G2773" s="134">
        <f>SUMIF('7. INVEST'!$B$17:$B$49,$C2758,'7. INVEST'!AM$17:AM$49)</f>
        <v>0</v>
      </c>
      <c r="H2773" s="134">
        <f>SUMIF('7. INVEST'!$B$17:$B$49,$C2758,'7. INVEST'!AN$17:AN$49)</f>
        <v>0</v>
      </c>
      <c r="I2773" s="134">
        <f>SUMIF('7. INVEST'!$B$17:$B$49,$C2758,'7. INVEST'!AO$17:AO$49)</f>
        <v>0</v>
      </c>
      <c r="J2773" s="134">
        <f>SUMIF('7. INVEST'!$B$17:$B$49,$C2758,'7. INVEST'!AP$17:AP$49)</f>
        <v>0</v>
      </c>
      <c r="K2773" s="134">
        <f>SUMIF('7. INVEST'!$B$17:$B$49,$C2758,'7. INVEST'!AQ$17:AQ$49)</f>
        <v>0</v>
      </c>
      <c r="L2773" s="134">
        <f>SUMIF('7. INVEST'!$B$17:$B$49,$C2758,'7. INVEST'!AR$17:AR$49)</f>
        <v>0</v>
      </c>
      <c r="M2773" s="120">
        <f t="shared" si="663"/>
        <v>0</v>
      </c>
    </row>
    <row r="2774" spans="2:15" s="3" customFormat="1" ht="13.2" x14ac:dyDescent="0.25">
      <c r="B2774" s="121" t="str">
        <f>IF('1. INTRO'!I$2="English",(IF('8. FACILIT'!AP$51&gt;0,"Facility","")),IF('8. FACILIT'!AP$51&gt;0,"Lokal",""))</f>
        <v/>
      </c>
      <c r="C2774" s="135">
        <f>SUMIF('5. PERSON'!$B$17:$B$192,$C2758,'5. PERSON'!DB$17:DB$192)+SUMIF('6. OPERATION'!$B$17:$B$149,$C2758,'6. OPERATION'!CE$17:CE$149)+SUMIF('8. FACILIT'!$B$18:$B$50,$C2758,'8. FACILIT'!AF$18:AF$50)</f>
        <v>0</v>
      </c>
      <c r="D2774" s="135">
        <f>SUMIF('5. PERSON'!$B$17:$B$192,$C2758,'5. PERSON'!DC$17:DC$192)+SUMIF('6. OPERATION'!$B$17:$B$149,$C2758,'6. OPERATION'!CF$17:CF$149)+SUMIF('8. FACILIT'!$B$18:$B$50,$C2758,'8. FACILIT'!AG$18:AG$50)</f>
        <v>0</v>
      </c>
      <c r="E2774" s="135">
        <f>SUMIF('5. PERSON'!$B$17:$B$192,$C2758,'5. PERSON'!DD$17:DD$192)+SUMIF('6. OPERATION'!$B$17:$B$149,$C2758,'6. OPERATION'!CG$17:CG$149)+SUMIF('8. FACILIT'!$B$18:$B$50,$C2758,'8. FACILIT'!AH$18:AH$50)</f>
        <v>0</v>
      </c>
      <c r="F2774" s="135">
        <f>SUMIF('5. PERSON'!$B$17:$B$192,$C2758,'5. PERSON'!DE$17:DE$192)+SUMIF('6. OPERATION'!$B$17:$B$149,$C2758,'6. OPERATION'!CH$17:CH$149)+SUMIF('8. FACILIT'!$B$18:$B$50,$C2758,'8. FACILIT'!AI$18:AI$50)</f>
        <v>0</v>
      </c>
      <c r="G2774" s="135">
        <f>SUMIF('5. PERSON'!$B$17:$B$192,$C2758,'5. PERSON'!DF$17:DF$192)+SUMIF('6. OPERATION'!$B$17:$B$149,$C2758,'6. OPERATION'!CI$17:CI$149)+SUMIF('8. FACILIT'!$B$18:$B$50,$C2758,'8. FACILIT'!AJ$18:AJ$50)</f>
        <v>0</v>
      </c>
      <c r="H2774" s="135">
        <f>SUMIF('5. PERSON'!$B$17:$B$192,$C2758,'5. PERSON'!DG$17:DG$192)+SUMIF('6. OPERATION'!$B$17:$B$149,$C2758,'6. OPERATION'!CJ$17:CJ$149)+SUMIF('8. FACILIT'!$B$18:$B$50,$C2758,'8. FACILIT'!AK$18:AK$50)</f>
        <v>0</v>
      </c>
      <c r="I2774" s="135">
        <f>SUMIF('5. PERSON'!$B$17:$B$192,$C2758,'5. PERSON'!DH$17:DH$192)+SUMIF('6. OPERATION'!$B$17:$B$149,$C2758,'6. OPERATION'!CK$17:CK$149)+SUMIF('8. FACILIT'!$B$18:$B$50,$C2758,'8. FACILIT'!AL$18:AL$50)</f>
        <v>0</v>
      </c>
      <c r="J2774" s="135">
        <f>SUMIF('5. PERSON'!$B$17:$B$192,$C2758,'5. PERSON'!DI$17:DI$192)+SUMIF('6. OPERATION'!$B$17:$B$149,$C2758,'6. OPERATION'!CL$17:CL$149)+SUMIF('8. FACILIT'!$B$18:$B$50,$C2758,'8. FACILIT'!AM$18:AM$50)</f>
        <v>0</v>
      </c>
      <c r="K2774" s="135">
        <f>SUMIF('5. PERSON'!$B$17:$B$192,$C2758,'5. PERSON'!DJ$17:DJ$192)+SUMIF('6. OPERATION'!$B$17:$B$149,$C2758,'6. OPERATION'!CM$17:CM$149)+SUMIF('8. FACILIT'!$B$18:$B$50,$C2758,'8. FACILIT'!AN$18:AN$50)</f>
        <v>0</v>
      </c>
      <c r="L2774" s="135">
        <f>SUMIF('5. PERSON'!$B$17:$B$192,$C2758,'5. PERSON'!DK$17:DK$192)+SUMIF('6. OPERATION'!$B$17:$B$149,$C2758,'6. OPERATION'!CN$17:CN$149)+SUMIF('8. FACILIT'!$B$18:$B$50,$C2758,'8. FACILIT'!AO$18:AO$50)</f>
        <v>0</v>
      </c>
      <c r="M2774" s="117">
        <f t="shared" si="663"/>
        <v>0</v>
      </c>
    </row>
    <row r="2775" spans="2:15" s="1" customFormat="1" ht="13.2" x14ac:dyDescent="0.25">
      <c r="B2775" s="122" t="str">
        <f>IF('1. INTRO'!I$2="English",(IF(('5. PERSON'!CN$193+'6. OPERATION'!BQ$150)&gt;0,"Indirect","")),IF(('5. PERSON'!CN$193+'6. OPERATION'!BQ$150)&gt;0,"Indirekt",""))</f>
        <v/>
      </c>
      <c r="C2775" s="107">
        <f>SUMIF('5. PERSON'!$B$17:$B$192,$C2758,'5. PERSON'!CD$17:CD$192)+SUMIF('6. OPERATION'!$B$17:$B$149,$C2758,'6. OPERATION'!BG$17:BG$149)</f>
        <v>0</v>
      </c>
      <c r="D2775" s="107">
        <f>SUMIF('5. PERSON'!$B$17:$B$192,$C2758,'5. PERSON'!CE$17:CE$192)+SUMIF('6. OPERATION'!$B$17:$B$149,$C2758,'6. OPERATION'!BH$17:BH$149)</f>
        <v>0</v>
      </c>
      <c r="E2775" s="107">
        <f>SUMIF('5. PERSON'!$B$17:$B$192,$C2758,'5. PERSON'!CF$17:CF$192)+SUMIF('6. OPERATION'!$B$17:$B$149,$C2758,'6. OPERATION'!BI$17:BI$149)</f>
        <v>0</v>
      </c>
      <c r="F2775" s="107">
        <f>SUMIF('5. PERSON'!$B$17:$B$192,$C2758,'5. PERSON'!CG$17:CG$192)+SUMIF('6. OPERATION'!$B$17:$B$149,$C2758,'6. OPERATION'!BJ$17:BJ$149)</f>
        <v>0</v>
      </c>
      <c r="G2775" s="107">
        <f>SUMIF('5. PERSON'!$B$17:$B$192,$C2758,'5. PERSON'!CH$17:CH$192)+SUMIF('6. OPERATION'!$B$17:$B$149,$C2758,'6. OPERATION'!BK$17:BK$149)</f>
        <v>0</v>
      </c>
      <c r="H2775" s="107">
        <f>SUMIF('5. PERSON'!$B$17:$B$192,$C2758,'5. PERSON'!CI$17:CI$192)+SUMIF('6. OPERATION'!$B$17:$B$149,$C2758,'6. OPERATION'!BL$17:BL$149)</f>
        <v>0</v>
      </c>
      <c r="I2775" s="107">
        <f>SUMIF('5. PERSON'!$B$17:$B$192,$C2758,'5. PERSON'!CJ$17:CJ$192)+SUMIF('6. OPERATION'!$B$17:$B$149,$C2758,'6. OPERATION'!BM$17:BM$149)</f>
        <v>0</v>
      </c>
      <c r="J2775" s="107">
        <f>SUMIF('5. PERSON'!$B$17:$B$192,$C2758,'5. PERSON'!CK$17:CK$192)+SUMIF('6. OPERATION'!$B$17:$B$149,$C2758,'6. OPERATION'!BN$17:BN$149)</f>
        <v>0</v>
      </c>
      <c r="K2775" s="107">
        <f>SUMIF('5. PERSON'!$B$17:$B$192,$C2758,'5. PERSON'!CL$17:CL$192)+SUMIF('6. OPERATION'!$B$17:$B$149,$C2758,'6. OPERATION'!BO$17:BO$149)</f>
        <v>0</v>
      </c>
      <c r="L2775" s="107">
        <f>SUMIF('5. PERSON'!$B$17:$B$192,$C2758,'5. PERSON'!CM$17:CM$192)+SUMIF('6. OPERATION'!$B$17:$B$149,$C2758,'6. OPERATION'!BP$17:BP$149)</f>
        <v>0</v>
      </c>
      <c r="M2775" s="123">
        <f t="shared" si="663"/>
        <v>0</v>
      </c>
    </row>
    <row r="2776" spans="2:15" s="3" customFormat="1" ht="13.2" x14ac:dyDescent="0.25">
      <c r="B2776" s="124" t="s">
        <v>113</v>
      </c>
      <c r="C2776" s="102">
        <f>SUM(C2769:C2775)</f>
        <v>0</v>
      </c>
      <c r="D2776" s="102">
        <f t="shared" ref="D2776:L2776" si="664">SUM(D2769:D2775)</f>
        <v>0</v>
      </c>
      <c r="E2776" s="102">
        <f t="shared" si="664"/>
        <v>0</v>
      </c>
      <c r="F2776" s="102">
        <f t="shared" si="664"/>
        <v>0</v>
      </c>
      <c r="G2776" s="102">
        <f t="shared" si="664"/>
        <v>0</v>
      </c>
      <c r="H2776" s="102">
        <f t="shared" si="664"/>
        <v>0</v>
      </c>
      <c r="I2776" s="102">
        <f t="shared" si="664"/>
        <v>0</v>
      </c>
      <c r="J2776" s="102">
        <f t="shared" si="664"/>
        <v>0</v>
      </c>
      <c r="K2776" s="102">
        <f t="shared" si="664"/>
        <v>0</v>
      </c>
      <c r="L2776" s="102">
        <f t="shared" si="664"/>
        <v>0</v>
      </c>
      <c r="M2776" s="125">
        <f t="shared" ref="M2776" si="665">SUM(M2769:M2775)</f>
        <v>0</v>
      </c>
      <c r="N2776" s="23"/>
      <c r="O2776" s="23"/>
    </row>
    <row r="2777" spans="2:15" s="3" customFormat="1" ht="6" customHeight="1" x14ac:dyDescent="0.25">
      <c r="B2777" s="136"/>
      <c r="C2777" s="127"/>
      <c r="D2777" s="127"/>
      <c r="E2777" s="127"/>
      <c r="F2777" s="127"/>
      <c r="G2777" s="127"/>
      <c r="H2777" s="127"/>
      <c r="I2777" s="127"/>
      <c r="J2777" s="127"/>
      <c r="K2777" s="127"/>
      <c r="L2777" s="127"/>
      <c r="M2777" s="137"/>
    </row>
    <row r="2778" spans="2:15" s="3" customFormat="1" ht="13.2" x14ac:dyDescent="0.25">
      <c r="B2778" s="129" t="str">
        <f>IF('1. INTRO'!I$2="English","Full cost","Full kostnad")</f>
        <v>Full cost</v>
      </c>
      <c r="C2778" s="127"/>
      <c r="D2778" s="127"/>
      <c r="E2778" s="127"/>
      <c r="F2778" s="127"/>
      <c r="G2778" s="127"/>
      <c r="H2778" s="127"/>
      <c r="I2778" s="127"/>
      <c r="J2778" s="127"/>
      <c r="K2778" s="127"/>
      <c r="L2778" s="127"/>
      <c r="M2778" s="137"/>
    </row>
    <row r="2779" spans="2:15" s="3" customFormat="1" ht="13.2" x14ac:dyDescent="0.25">
      <c r="B2779" s="113" t="str">
        <f>IF('1. INTRO'!I$2="English","Salary including social costs (LKP)","Lön inklusive LKP")</f>
        <v>Salary including social costs (LKP)</v>
      </c>
      <c r="C2779" s="138">
        <f>C2761+C2770+C2771</f>
        <v>0</v>
      </c>
      <c r="D2779" s="138">
        <f t="shared" ref="D2779:L2779" si="666">D2761+D2770+D2771</f>
        <v>0</v>
      </c>
      <c r="E2779" s="138">
        <f t="shared" si="666"/>
        <v>0</v>
      </c>
      <c r="F2779" s="138">
        <f t="shared" si="666"/>
        <v>0</v>
      </c>
      <c r="G2779" s="138">
        <f t="shared" si="666"/>
        <v>0</v>
      </c>
      <c r="H2779" s="138">
        <f t="shared" si="666"/>
        <v>0</v>
      </c>
      <c r="I2779" s="138">
        <f t="shared" si="666"/>
        <v>0</v>
      </c>
      <c r="J2779" s="138">
        <f t="shared" si="666"/>
        <v>0</v>
      </c>
      <c r="K2779" s="138">
        <f t="shared" si="666"/>
        <v>0</v>
      </c>
      <c r="L2779" s="138">
        <f t="shared" si="666"/>
        <v>0</v>
      </c>
      <c r="M2779" s="115">
        <f>SUM(C2779:L2779)</f>
        <v>0</v>
      </c>
    </row>
    <row r="2780" spans="2:15" s="3" customFormat="1" ht="13.2" x14ac:dyDescent="0.25">
      <c r="B2780" s="80" t="str">
        <f>IF('1. INTRO'!I$2="English","Operating","Drift")</f>
        <v>Operating</v>
      </c>
      <c r="C2780" s="139">
        <f>C2762+C2772</f>
        <v>0</v>
      </c>
      <c r="D2780" s="139">
        <f t="shared" ref="D2780:L2780" si="667">D2762+D2772</f>
        <v>0</v>
      </c>
      <c r="E2780" s="139">
        <f t="shared" si="667"/>
        <v>0</v>
      </c>
      <c r="F2780" s="139">
        <f t="shared" si="667"/>
        <v>0</v>
      </c>
      <c r="G2780" s="139">
        <f t="shared" si="667"/>
        <v>0</v>
      </c>
      <c r="H2780" s="139">
        <f t="shared" si="667"/>
        <v>0</v>
      </c>
      <c r="I2780" s="139">
        <f t="shared" si="667"/>
        <v>0</v>
      </c>
      <c r="J2780" s="139">
        <f t="shared" si="667"/>
        <v>0</v>
      </c>
      <c r="K2780" s="139">
        <f t="shared" si="667"/>
        <v>0</v>
      </c>
      <c r="L2780" s="139">
        <f t="shared" si="667"/>
        <v>0</v>
      </c>
      <c r="M2780" s="117">
        <f>SUM(C2780:L2780)</f>
        <v>0</v>
      </c>
    </row>
    <row r="2781" spans="2:15" s="3" customFormat="1" ht="13.2" x14ac:dyDescent="0.25">
      <c r="B2781" s="118" t="str">
        <f>IF('1. INTRO'!I$2="English","Equipment","Utrustning")</f>
        <v>Equipment</v>
      </c>
      <c r="C2781" s="140">
        <f>C2763+C2773</f>
        <v>0</v>
      </c>
      <c r="D2781" s="140">
        <f t="shared" ref="D2781:L2781" si="668">D2763+D2773</f>
        <v>0</v>
      </c>
      <c r="E2781" s="140">
        <f t="shared" si="668"/>
        <v>0</v>
      </c>
      <c r="F2781" s="140">
        <f t="shared" si="668"/>
        <v>0</v>
      </c>
      <c r="G2781" s="140">
        <f t="shared" si="668"/>
        <v>0</v>
      </c>
      <c r="H2781" s="140">
        <f t="shared" si="668"/>
        <v>0</v>
      </c>
      <c r="I2781" s="140">
        <f t="shared" si="668"/>
        <v>0</v>
      </c>
      <c r="J2781" s="140">
        <f t="shared" si="668"/>
        <v>0</v>
      </c>
      <c r="K2781" s="140">
        <f t="shared" si="668"/>
        <v>0</v>
      </c>
      <c r="L2781" s="140">
        <f t="shared" si="668"/>
        <v>0</v>
      </c>
      <c r="M2781" s="120">
        <f>SUM(C2781:L2781)</f>
        <v>0</v>
      </c>
    </row>
    <row r="2782" spans="2:15" s="3" customFormat="1" ht="13.2" x14ac:dyDescent="0.25">
      <c r="B2782" s="80" t="str">
        <f>IF('1. INTRO'!I$2="English","Facility","Lokal")</f>
        <v>Facility</v>
      </c>
      <c r="C2782" s="139">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39">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39">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39">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39">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39">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39">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39">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39">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39">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117">
        <f>SUM(C2782:L2782)</f>
        <v>0</v>
      </c>
    </row>
    <row r="2783" spans="2:15" s="3" customFormat="1" ht="13.2" x14ac:dyDescent="0.25">
      <c r="B2783" s="601" t="str">
        <f>IF('1. INTRO'!I$2="English","Indirect","Indirekt")</f>
        <v>Indirect</v>
      </c>
      <c r="C2783" s="141">
        <f>SUMIF('5. PERSON'!$B$17:$B$192,$C2758,'5. PERSON'!BR$17:BR$192)+SUMIF('5. PERSON'!$B$17:$B$192,$C2758,'5. PERSON'!CD$17:CD$192)+SUMIF('6. OPERATION'!$B$17:$B$149,$C2758,'6. OPERATION'!AU$17:AU$149)+SUMIF('6. OPERATION'!$B$17:$B$149,$C2758,'6. OPERATION'!BG$17:BG$149)</f>
        <v>0</v>
      </c>
      <c r="D2783" s="141">
        <f>SUMIF('5. PERSON'!$B$17:$B$192,$C2758,'5. PERSON'!BS$17:BS$192)+SUMIF('5. PERSON'!$B$17:$B$192,$C2758,'5. PERSON'!CE$17:CE$192)+SUMIF('6. OPERATION'!$B$17:$B$149,$C2758,'6. OPERATION'!AV$17:AV$149)+SUMIF('6. OPERATION'!$B$17:$B$149,$C2758,'6. OPERATION'!BH$17:BH$149)</f>
        <v>0</v>
      </c>
      <c r="E2783" s="141">
        <f>SUMIF('5. PERSON'!$B$17:$B$192,$C2758,'5. PERSON'!BT$17:BT$192)+SUMIF('5. PERSON'!$B$17:$B$192,$C2758,'5. PERSON'!CF$17:CF$192)+SUMIF('6. OPERATION'!$B$17:$B$149,$C2758,'6. OPERATION'!AW$17:AW$149)+SUMIF('6. OPERATION'!$B$17:$B$149,$C2758,'6. OPERATION'!BI$17:BI$149)</f>
        <v>0</v>
      </c>
      <c r="F2783" s="141">
        <f>SUMIF('5. PERSON'!$B$17:$B$192,$C2758,'5. PERSON'!BU$17:BU$192)+SUMIF('5. PERSON'!$B$17:$B$192,$C2758,'5. PERSON'!CG$17:CG$192)+SUMIF('6. OPERATION'!$B$17:$B$149,$C2758,'6. OPERATION'!AX$17:AX$149)+SUMIF('6. OPERATION'!$B$17:$B$149,$C2758,'6. OPERATION'!BJ$17:BJ$149)</f>
        <v>0</v>
      </c>
      <c r="G2783" s="141">
        <f>SUMIF('5. PERSON'!$B$17:$B$192,$C2758,'5. PERSON'!BV$17:BV$192)+SUMIF('5. PERSON'!$B$17:$B$192,$C2758,'5. PERSON'!CH$17:CH$192)+SUMIF('6. OPERATION'!$B$17:$B$149,$C2758,'6. OPERATION'!AY$17:AY$149)+SUMIF('6. OPERATION'!$B$17:$B$149,$C2758,'6. OPERATION'!BK$17:BK$149)</f>
        <v>0</v>
      </c>
      <c r="H2783" s="141">
        <f>SUMIF('5. PERSON'!$B$17:$B$192,$C2758,'5. PERSON'!BW$17:BW$192)+SUMIF('5. PERSON'!$B$17:$B$192,$C2758,'5. PERSON'!CI$17:CI$192)+SUMIF('6. OPERATION'!$B$17:$B$149,$C2758,'6. OPERATION'!AZ$17:AZ$149)+SUMIF('6. OPERATION'!$B$17:$B$149,$C2758,'6. OPERATION'!BL$17:BL$149)</f>
        <v>0</v>
      </c>
      <c r="I2783" s="141">
        <f>SUMIF('5. PERSON'!$B$17:$B$192,$C2758,'5. PERSON'!BX$17:BX$192)+SUMIF('5. PERSON'!$B$17:$B$192,$C2758,'5. PERSON'!CJ$17:CJ$192)+SUMIF('6. OPERATION'!$B$17:$B$149,$C2758,'6. OPERATION'!BA$17:BA$149)+SUMIF('6. OPERATION'!$B$17:$B$149,$C2758,'6. OPERATION'!BM$17:BM$149)</f>
        <v>0</v>
      </c>
      <c r="J2783" s="141">
        <f>SUMIF('5. PERSON'!$B$17:$B$192,$C2758,'5. PERSON'!BY$17:BY$192)+SUMIF('5. PERSON'!$B$17:$B$192,$C2758,'5. PERSON'!CK$17:CK$192)+SUMIF('6. OPERATION'!$B$17:$B$149,$C2758,'6. OPERATION'!BB$17:BB$149)+SUMIF('6. OPERATION'!$B$17:$B$149,$C2758,'6. OPERATION'!BN$17:BN$149)</f>
        <v>0</v>
      </c>
      <c r="K2783" s="141">
        <f>SUMIF('5. PERSON'!$B$17:$B$192,$C2758,'5. PERSON'!BZ$17:BZ$192)+SUMIF('5. PERSON'!$B$17:$B$192,$C2758,'5. PERSON'!CL$17:CL$192)+SUMIF('6. OPERATION'!$B$17:$B$149,$C2758,'6. OPERATION'!BC$17:BC$149)+SUMIF('6. OPERATION'!$B$17:$B$149,$C2758,'6. OPERATION'!BO$17:BO$149)</f>
        <v>0</v>
      </c>
      <c r="L2783" s="141">
        <f>SUMIF('5. PERSON'!$B$17:$B$192,$C2758,'5. PERSON'!CA$17:CA$192)+SUMIF('5. PERSON'!$B$17:$B$192,$C2758,'5. PERSON'!CM$17:CM$192)+SUMIF('6. OPERATION'!$B$17:$B$149,$C2758,'6. OPERATION'!BD$17:BD$149)+SUMIF('6. OPERATION'!$B$17:$B$149,$C2758,'6. OPERATION'!BP$17:BP$149)</f>
        <v>0</v>
      </c>
      <c r="M2783" s="123">
        <f>SUM(C2783:L2783)</f>
        <v>0</v>
      </c>
    </row>
    <row r="2784" spans="2:15" s="3" customFormat="1" ht="13.2" x14ac:dyDescent="0.25">
      <c r="B2784" s="124" t="s">
        <v>113</v>
      </c>
      <c r="C2784" s="88">
        <f>SUM(C2779:C2783)</f>
        <v>0</v>
      </c>
      <c r="D2784" s="88">
        <f t="shared" ref="D2784:M2784" si="669">SUM(D2779:D2783)</f>
        <v>0</v>
      </c>
      <c r="E2784" s="88">
        <f t="shared" si="669"/>
        <v>0</v>
      </c>
      <c r="F2784" s="88">
        <f t="shared" si="669"/>
        <v>0</v>
      </c>
      <c r="G2784" s="88">
        <f t="shared" si="669"/>
        <v>0</v>
      </c>
      <c r="H2784" s="88">
        <f t="shared" si="669"/>
        <v>0</v>
      </c>
      <c r="I2784" s="88">
        <f t="shared" si="669"/>
        <v>0</v>
      </c>
      <c r="J2784" s="88">
        <f t="shared" si="669"/>
        <v>0</v>
      </c>
      <c r="K2784" s="88">
        <f t="shared" si="669"/>
        <v>0</v>
      </c>
      <c r="L2784" s="88">
        <f t="shared" si="669"/>
        <v>0</v>
      </c>
      <c r="M2784" s="142">
        <f t="shared" si="669"/>
        <v>0</v>
      </c>
    </row>
    <row r="2785" spans="2:13" s="3" customFormat="1" ht="13.2" x14ac:dyDescent="0.25">
      <c r="B2785" s="287"/>
      <c r="C2785" s="37"/>
      <c r="D2785" s="37"/>
      <c r="E2785" s="37"/>
      <c r="F2785" s="37"/>
      <c r="G2785" s="37"/>
      <c r="H2785" s="37"/>
      <c r="I2785" s="37"/>
      <c r="J2785" s="37"/>
      <c r="K2785" s="37"/>
      <c r="L2785" s="37"/>
      <c r="M2785" s="37"/>
    </row>
    <row r="2786" spans="2:13" s="3" customFormat="1" ht="12.75" customHeight="1" x14ac:dyDescent="0.25">
      <c r="B2786" s="656" t="str">
        <f>IF('1. INTRO'!I$2="English","Co-funding share in full cost ","Medfinansieringsandel i full kostnad ")</f>
        <v xml:space="preserve">Co-funding share in full cost </v>
      </c>
      <c r="C2786" s="143" t="str">
        <f t="shared" ref="C2786:M2786" si="670">IF(C2784&gt;0,C2776/C2784,"")</f>
        <v/>
      </c>
      <c r="D2786" s="143" t="str">
        <f t="shared" si="670"/>
        <v/>
      </c>
      <c r="E2786" s="143" t="str">
        <f t="shared" si="670"/>
        <v/>
      </c>
      <c r="F2786" s="143" t="str">
        <f t="shared" si="670"/>
        <v/>
      </c>
      <c r="G2786" s="143" t="str">
        <f t="shared" si="670"/>
        <v/>
      </c>
      <c r="H2786" s="143" t="str">
        <f t="shared" si="670"/>
        <v/>
      </c>
      <c r="I2786" s="143" t="str">
        <f t="shared" si="670"/>
        <v/>
      </c>
      <c r="J2786" s="143" t="str">
        <f t="shared" si="670"/>
        <v/>
      </c>
      <c r="K2786" s="143" t="str">
        <f t="shared" si="670"/>
        <v/>
      </c>
      <c r="L2786" s="143" t="str">
        <f t="shared" si="670"/>
        <v/>
      </c>
      <c r="M2786" s="143" t="str">
        <f t="shared" si="670"/>
        <v/>
      </c>
    </row>
    <row r="2787" spans="2:13" ht="12.75" customHeight="1" x14ac:dyDescent="0.2"/>
    <row r="2788" spans="2:13" ht="12.75" customHeight="1" x14ac:dyDescent="0.25">
      <c r="D2788" s="676" t="str">
        <f>IF('1. INTRO'!I$2="English","Co-funding need in average per year: ","Medfinansieringsbehov i genomsnitt per år: ")</f>
        <v xml:space="preserve">Co-funding need in average per year: </v>
      </c>
      <c r="E2788" s="92" t="str">
        <f>IF(M2776=0,"",M2776/(DATEDIF('2. START'!C$18,'2. START'!C$19,"d")/365))</f>
        <v/>
      </c>
      <c r="H2788" s="676" t="str">
        <f>IF('1. INTRO'!I$2="English","Co-funding need 1/3 of total: ","Medfinansieringsbehov 1/3 av totalt: ")</f>
        <v xml:space="preserve">Co-funding need 1/3 of total: </v>
      </c>
      <c r="I2788" s="92">
        <f>M2776/3</f>
        <v>0</v>
      </c>
      <c r="L2788" s="287" t="str">
        <f>IF('1. INTRO'!I$2="English","Co-funding need total: ","Medfinansieringsbehov totalt: ")</f>
        <v xml:space="preserve">Co-funding need total: </v>
      </c>
      <c r="M2788" s="92">
        <f>M2776</f>
        <v>0</v>
      </c>
    </row>
    <row r="2789" spans="2:13" ht="12.75" customHeight="1" x14ac:dyDescent="0.25">
      <c r="B2789" s="53" t="str">
        <f>IF('1. INTRO'!I$2="English","Co-funding sources","Medfinansieringskällor")</f>
        <v>Co-funding sources</v>
      </c>
    </row>
    <row r="2790" spans="2:13" ht="12.75" customHeight="1" x14ac:dyDescent="0.25">
      <c r="B2790" s="225"/>
      <c r="C2790" s="226"/>
      <c r="D2790" s="226"/>
      <c r="E2790" s="226"/>
      <c r="F2790" s="226"/>
      <c r="G2790" s="226"/>
      <c r="H2790" s="226"/>
      <c r="I2790" s="226"/>
      <c r="J2790" s="226"/>
      <c r="K2790" s="226"/>
      <c r="L2790" s="227"/>
      <c r="M2790" s="168">
        <f>SUM(C2790:L2790)</f>
        <v>0</v>
      </c>
    </row>
    <row r="2791" spans="2:13" ht="12.75" customHeight="1" x14ac:dyDescent="0.25">
      <c r="B2791" s="228"/>
      <c r="C2791" s="229"/>
      <c r="D2791" s="229"/>
      <c r="E2791" s="229"/>
      <c r="F2791" s="229"/>
      <c r="G2791" s="229"/>
      <c r="H2791" s="229"/>
      <c r="I2791" s="229"/>
      <c r="J2791" s="229"/>
      <c r="K2791" s="229"/>
      <c r="L2791" s="230"/>
      <c r="M2791" s="120">
        <f t="shared" ref="M2791:M2794" si="671">SUM(C2791:L2791)</f>
        <v>0</v>
      </c>
    </row>
    <row r="2792" spans="2:13" ht="12.75" customHeight="1" x14ac:dyDescent="0.25">
      <c r="B2792" s="231"/>
      <c r="C2792" s="232"/>
      <c r="D2792" s="232"/>
      <c r="E2792" s="232"/>
      <c r="F2792" s="232"/>
      <c r="G2792" s="232"/>
      <c r="H2792" s="232"/>
      <c r="I2792" s="232"/>
      <c r="J2792" s="232"/>
      <c r="K2792" s="232"/>
      <c r="L2792" s="233"/>
      <c r="M2792" s="117">
        <f t="shared" si="671"/>
        <v>0</v>
      </c>
    </row>
    <row r="2793" spans="2:13" ht="12.75" customHeight="1" x14ac:dyDescent="0.25">
      <c r="B2793" s="228"/>
      <c r="C2793" s="229"/>
      <c r="D2793" s="229"/>
      <c r="E2793" s="229"/>
      <c r="F2793" s="229"/>
      <c r="G2793" s="229"/>
      <c r="H2793" s="229"/>
      <c r="I2793" s="229"/>
      <c r="J2793" s="229"/>
      <c r="K2793" s="229"/>
      <c r="L2793" s="230"/>
      <c r="M2793" s="120">
        <f t="shared" si="671"/>
        <v>0</v>
      </c>
    </row>
    <row r="2794" spans="2:13" ht="12.75" customHeight="1" x14ac:dyDescent="0.25">
      <c r="B2794" s="93"/>
      <c r="C2794" s="232"/>
      <c r="D2794" s="232"/>
      <c r="E2794" s="232"/>
      <c r="F2794" s="232"/>
      <c r="G2794" s="232"/>
      <c r="H2794" s="232"/>
      <c r="I2794" s="232"/>
      <c r="J2794" s="232"/>
      <c r="K2794" s="232"/>
      <c r="L2794" s="233"/>
      <c r="M2794" s="117">
        <f t="shared" si="671"/>
        <v>0</v>
      </c>
    </row>
    <row r="2795" spans="2:13" ht="12.75" customHeight="1" x14ac:dyDescent="0.25">
      <c r="B2795" s="84" t="str">
        <f>IF('1. INTRO'!I$2="English","Total co-funding ","Total medfinansiering ")</f>
        <v xml:space="preserve">Total co-funding </v>
      </c>
      <c r="C2795" s="87">
        <f t="shared" ref="C2795:M2795" si="672">SUM(C2790:C2794)</f>
        <v>0</v>
      </c>
      <c r="D2795" s="87">
        <f t="shared" si="672"/>
        <v>0</v>
      </c>
      <c r="E2795" s="87">
        <f t="shared" si="672"/>
        <v>0</v>
      </c>
      <c r="F2795" s="87">
        <f t="shared" si="672"/>
        <v>0</v>
      </c>
      <c r="G2795" s="87">
        <f t="shared" si="672"/>
        <v>0</v>
      </c>
      <c r="H2795" s="87">
        <f t="shared" si="672"/>
        <v>0</v>
      </c>
      <c r="I2795" s="87">
        <f t="shared" si="672"/>
        <v>0</v>
      </c>
      <c r="J2795" s="87">
        <f t="shared" si="672"/>
        <v>0</v>
      </c>
      <c r="K2795" s="87">
        <f t="shared" si="672"/>
        <v>0</v>
      </c>
      <c r="L2795" s="87">
        <f t="shared" si="672"/>
        <v>0</v>
      </c>
      <c r="M2795" s="142">
        <f t="shared" si="672"/>
        <v>0</v>
      </c>
    </row>
    <row r="2796" spans="2:13" ht="12.75" customHeight="1" x14ac:dyDescent="0.2"/>
    <row r="2797" spans="2:13" ht="12.75" customHeight="1" x14ac:dyDescent="0.2">
      <c r="B2797" s="667" t="str">
        <f>IF('1. INTRO'!I$2="English","Calculation comments","Kalkylkommentarer")</f>
        <v>Calculation comments</v>
      </c>
      <c r="C2797" s="37" t="str">
        <f>B68</f>
        <v/>
      </c>
    </row>
    <row r="2798" spans="2:13" ht="12.75" customHeight="1" x14ac:dyDescent="0.2">
      <c r="B2798" s="1142"/>
      <c r="C2798" s="1143"/>
      <c r="D2798" s="1143"/>
      <c r="E2798" s="1143"/>
      <c r="F2798" s="1143"/>
      <c r="G2798" s="1143"/>
      <c r="H2798" s="1143"/>
      <c r="I2798" s="1143"/>
      <c r="J2798" s="1143"/>
      <c r="K2798" s="1143"/>
      <c r="L2798" s="1143"/>
      <c r="M2798" s="1144"/>
    </row>
    <row r="2799" spans="2:13" ht="12.75" customHeight="1" x14ac:dyDescent="0.2">
      <c r="B2799" s="1145"/>
      <c r="C2799" s="1226"/>
      <c r="D2799" s="1226"/>
      <c r="E2799" s="1226"/>
      <c r="F2799" s="1226"/>
      <c r="G2799" s="1226"/>
      <c r="H2799" s="1226"/>
      <c r="I2799" s="1226"/>
      <c r="J2799" s="1226"/>
      <c r="K2799" s="1226"/>
      <c r="L2799" s="1226"/>
      <c r="M2799" s="1147"/>
    </row>
    <row r="2800" spans="2:13" ht="12.75" customHeight="1" x14ac:dyDescent="0.2">
      <c r="B2800" s="1145"/>
      <c r="C2800" s="1226"/>
      <c r="D2800" s="1226"/>
      <c r="E2800" s="1226"/>
      <c r="F2800" s="1226"/>
      <c r="G2800" s="1226"/>
      <c r="H2800" s="1226"/>
      <c r="I2800" s="1226"/>
      <c r="J2800" s="1226"/>
      <c r="K2800" s="1226"/>
      <c r="L2800" s="1226"/>
      <c r="M2800" s="1147"/>
    </row>
    <row r="2801" spans="2:15" ht="12.75" customHeight="1" x14ac:dyDescent="0.2">
      <c r="B2801" s="1145"/>
      <c r="C2801" s="1226"/>
      <c r="D2801" s="1226"/>
      <c r="E2801" s="1226"/>
      <c r="F2801" s="1226"/>
      <c r="G2801" s="1226"/>
      <c r="H2801" s="1226"/>
      <c r="I2801" s="1226"/>
      <c r="J2801" s="1226"/>
      <c r="K2801" s="1226"/>
      <c r="L2801" s="1226"/>
      <c r="M2801" s="1147"/>
    </row>
    <row r="2802" spans="2:15" ht="12.75" customHeight="1" x14ac:dyDescent="0.2">
      <c r="B2802" s="1148"/>
      <c r="C2802" s="1149"/>
      <c r="D2802" s="1149"/>
      <c r="E2802" s="1149"/>
      <c r="F2802" s="1149"/>
      <c r="G2802" s="1149"/>
      <c r="H2802" s="1149"/>
      <c r="I2802" s="1149"/>
      <c r="J2802" s="1149"/>
      <c r="K2802" s="1149"/>
      <c r="L2802" s="1149"/>
      <c r="M2802" s="1150"/>
    </row>
    <row r="2804" spans="2:15" s="3" customFormat="1" ht="12.75" customHeight="1" x14ac:dyDescent="0.25">
      <c r="B2804" s="313" t="str">
        <f>'3. PARTNER'!C$4</f>
        <v xml:space="preserve">Project: </v>
      </c>
      <c r="C2804" s="1062" t="str">
        <f>'3. PARTNER'!D$4</f>
        <v/>
      </c>
      <c r="D2804" s="1001"/>
      <c r="E2804" s="1001"/>
      <c r="F2804" s="1001"/>
      <c r="G2804" s="1001"/>
      <c r="H2804" s="1001"/>
      <c r="I2804" s="1001"/>
      <c r="J2804" s="1001"/>
      <c r="K2804" s="1001"/>
      <c r="L2804" s="1001"/>
      <c r="M2804" s="1001"/>
    </row>
    <row r="2805" spans="2:15" s="3" customFormat="1" ht="13.2" x14ac:dyDescent="0.25">
      <c r="B2805" s="313" t="str">
        <f>'3. PARTNER'!C$5</f>
        <v xml:space="preserve">Calculation for: </v>
      </c>
      <c r="C2805" s="1062" t="str">
        <f>'3. PARTNER'!D$5</f>
        <v>APPLICATION</v>
      </c>
      <c r="D2805" s="1001"/>
      <c r="E2805" s="268"/>
      <c r="F2805" s="268"/>
      <c r="G2805" s="268"/>
      <c r="H2805" s="268"/>
      <c r="I2805" s="268"/>
      <c r="J2805" s="268"/>
      <c r="K2805" s="268"/>
      <c r="L2805" s="268"/>
      <c r="M2805" s="268"/>
    </row>
    <row r="2806" spans="2:15" s="3" customFormat="1" ht="13.2" x14ac:dyDescent="0.25">
      <c r="B2806" s="35" t="str">
        <f>'3. PARTNER'!C$6</f>
        <v xml:space="preserve">Project leader: </v>
      </c>
      <c r="C2806" s="1062" t="str">
        <f>'3. PARTNER'!D$6</f>
        <v/>
      </c>
      <c r="D2806" s="1001"/>
      <c r="E2806" s="1001"/>
      <c r="F2806" s="1001"/>
      <c r="G2806" s="1001"/>
      <c r="H2806" s="1001"/>
      <c r="I2806" s="1001"/>
      <c r="J2806" s="1001"/>
      <c r="K2806" s="1001"/>
      <c r="L2806" s="1001"/>
      <c r="M2806" s="1001"/>
    </row>
    <row r="2807" spans="2:15" s="3" customFormat="1" ht="13.2" x14ac:dyDescent="0.25">
      <c r="B2807" s="313" t="str">
        <f>'5. PERSON'!B$7</f>
        <v xml:space="preserve">Amounts in: </v>
      </c>
      <c r="C2807" s="655" t="str">
        <f>'5. PERSON'!C$7</f>
        <v>SEK</v>
      </c>
      <c r="D2807" s="268"/>
      <c r="E2807" s="268"/>
      <c r="F2807" s="268"/>
      <c r="G2807" s="234"/>
      <c r="H2807" s="234"/>
      <c r="I2807" s="270"/>
      <c r="J2807" s="270"/>
      <c r="K2807" s="270"/>
      <c r="L2807" s="270"/>
      <c r="M2807" s="270"/>
    </row>
    <row r="2808" spans="2:15" s="3" customFormat="1" ht="13.2" x14ac:dyDescent="0.25">
      <c r="B2808" s="313"/>
      <c r="C2808" s="1053" t="str">
        <f>'3. PARTNER'!D$7</f>
        <v>Other basic data about the project is in sheet 2.</v>
      </c>
      <c r="D2808" s="1001"/>
      <c r="E2808" s="1001"/>
      <c r="F2808" s="1001"/>
      <c r="G2808" s="234"/>
      <c r="H2808" s="234"/>
      <c r="I2808" s="270"/>
      <c r="J2808" s="270"/>
      <c r="K2808" s="270"/>
      <c r="L2808" s="251" t="s">
        <v>4</v>
      </c>
      <c r="M2808" s="270"/>
    </row>
    <row r="2809" spans="2:15" ht="12.75" customHeight="1" x14ac:dyDescent="0.2">
      <c r="L2809" s="252" t="str">
        <f>IF('1. INTRO'!I$2="English","months","månader")</f>
        <v>months</v>
      </c>
    </row>
    <row r="2810" spans="2:15" s="3" customFormat="1" ht="13.8" x14ac:dyDescent="0.25">
      <c r="B2810" s="157" t="str">
        <f>IF('1. INTRO'!I$2="English","Project costs","Projektkostnader")</f>
        <v>Project costs</v>
      </c>
      <c r="C2810" s="668" t="str">
        <f>A69</f>
        <v>EXT111</v>
      </c>
      <c r="D2810" s="1227" t="str">
        <f>B69</f>
        <v/>
      </c>
      <c r="E2810" s="1001"/>
      <c r="F2810" s="1001"/>
      <c r="G2810" s="1001"/>
      <c r="H2810" s="1001"/>
      <c r="I2810" s="37"/>
      <c r="J2810" s="37"/>
      <c r="K2810" s="37"/>
      <c r="L2810" s="642">
        <f>SUMIF('5. PERSON'!$B$17:$B$192,$C2810,'5. PERSON'!AE$17:AE$192)</f>
        <v>0</v>
      </c>
      <c r="M2810" s="680" t="s">
        <v>330</v>
      </c>
    </row>
    <row r="2811" spans="2:15" s="3" customFormat="1" ht="6" customHeight="1" x14ac:dyDescent="0.25">
      <c r="B2811" s="57"/>
      <c r="C2811" s="37"/>
      <c r="D2811" s="37"/>
      <c r="E2811" s="37"/>
      <c r="F2811" s="37"/>
      <c r="G2811" s="37"/>
      <c r="H2811" s="37"/>
      <c r="I2811" s="37"/>
      <c r="J2811" s="37"/>
      <c r="K2811" s="37"/>
      <c r="L2811" s="37"/>
      <c r="M2811" s="37"/>
    </row>
    <row r="2812" spans="2:15" s="3" customFormat="1" ht="13.2" x14ac:dyDescent="0.25">
      <c r="B2812" s="110" t="str">
        <f>IF('1. INTRO'!I$2="English","Costs to be covered by funding body","Kostnader att täckas av finansiär")</f>
        <v>Costs to be covered by funding body</v>
      </c>
      <c r="C2812" s="111">
        <f>'5. PERSON'!G$15</f>
        <v>1900</v>
      </c>
      <c r="D2812" s="111" t="str">
        <f>'5. PERSON'!H$15</f>
        <v/>
      </c>
      <c r="E2812" s="111" t="str">
        <f>'5. PERSON'!I$15</f>
        <v/>
      </c>
      <c r="F2812" s="111" t="str">
        <f>'5. PERSON'!J$15</f>
        <v/>
      </c>
      <c r="G2812" s="111" t="str">
        <f>'5. PERSON'!K$15</f>
        <v/>
      </c>
      <c r="H2812" s="111" t="str">
        <f>'5. PERSON'!L$15</f>
        <v/>
      </c>
      <c r="I2812" s="111" t="str">
        <f>'5. PERSON'!M$15</f>
        <v/>
      </c>
      <c r="J2812" s="111" t="str">
        <f>'5. PERSON'!N$15</f>
        <v/>
      </c>
      <c r="K2812" s="111" t="str">
        <f>'5. PERSON'!O$15</f>
        <v/>
      </c>
      <c r="L2812" s="111" t="str">
        <f>'5. PERSON'!P$15</f>
        <v/>
      </c>
      <c r="M2812" s="112" t="s">
        <v>2</v>
      </c>
    </row>
    <row r="2813" spans="2:15" s="3" customFormat="1" ht="12.75" customHeight="1" x14ac:dyDescent="0.25">
      <c r="B2813" s="113" t="str">
        <f>IF('1. INTRO'!I$2="English","Salary including social costs (LKP)","Lön inklusive LKP")</f>
        <v>Salary including social costs (LKP)</v>
      </c>
      <c r="C2813" s="114">
        <f>IF('2. START'!$C$14&gt;0,SUMIF('5. PERSON'!$B$17:$B$192,$C2810,'5. PERSON'!DN$17:DN$192),SUMIF('5. PERSON'!$B$17:$B$192,$C2810,'5. PERSON'!AT$17:AT$192))</f>
        <v>0</v>
      </c>
      <c r="D2813" s="114">
        <f>IF('2. START'!$C$14&gt;0,SUMIF('5. PERSON'!$B$17:$B$192,$C2810,'5. PERSON'!DO$17:DO$192),SUMIF('5. PERSON'!$B$17:$B$192,$C2810,'5. PERSON'!AU$17:AU$192))</f>
        <v>0</v>
      </c>
      <c r="E2813" s="114">
        <f>IF('2. START'!$C$14&gt;0,SUMIF('5. PERSON'!$B$17:$B$192,$C2810,'5. PERSON'!DP$17:DP$192),SUMIF('5. PERSON'!$B$17:$B$192,$C2810,'5. PERSON'!AV$17:AV$192))</f>
        <v>0</v>
      </c>
      <c r="F2813" s="114">
        <f>IF('2. START'!$C$14&gt;0,SUMIF('5. PERSON'!$B$17:$B$192,$C2810,'5. PERSON'!DQ$17:DQ$192),SUMIF('5. PERSON'!$B$17:$B$192,$C2810,'5. PERSON'!AW$17:AW$192))</f>
        <v>0</v>
      </c>
      <c r="G2813" s="114">
        <f>IF('2. START'!$C$14&gt;0,SUMIF('5. PERSON'!$B$17:$B$192,$C2810,'5. PERSON'!DR$17:DR$192),SUMIF('5. PERSON'!$B$17:$B$192,$C2810,'5. PERSON'!AX$17:AX$192))</f>
        <v>0</v>
      </c>
      <c r="H2813" s="114">
        <f>IF('2. START'!$C$14&gt;0,SUMIF('5. PERSON'!$B$17:$B$192,$C2810,'5. PERSON'!DS$17:DS$192),SUMIF('5. PERSON'!$B$17:$B$192,$C2810,'5. PERSON'!AY$17:AY$192))</f>
        <v>0</v>
      </c>
      <c r="I2813" s="114">
        <f>IF('2. START'!$C$14&gt;0,SUMIF('5. PERSON'!$B$17:$B$192,$C2810,'5. PERSON'!DT$17:DT$192),SUMIF('5. PERSON'!$B$17:$B$192,$C2810,'5. PERSON'!AZ$17:AZ$192))</f>
        <v>0</v>
      </c>
      <c r="J2813" s="114">
        <f>IF('2. START'!$C$14&gt;0,SUMIF('5. PERSON'!$B$17:$B$192,$C2810,'5. PERSON'!DU$17:DU$192),SUMIF('5. PERSON'!$B$17:$B$192,$C2810,'5. PERSON'!BA$17:BA$192))</f>
        <v>0</v>
      </c>
      <c r="K2813" s="114">
        <f>IF('2. START'!$C$14&gt;0,SUMIF('5. PERSON'!$B$17:$B$192,$C2810,'5. PERSON'!DV$17:DV$192),SUMIF('5. PERSON'!$B$17:$B$192,$C2810,'5. PERSON'!BB$17:BB$192))</f>
        <v>0</v>
      </c>
      <c r="L2813" s="114">
        <f>IF('2. START'!$C$14&gt;0,SUMIF('5. PERSON'!$B$17:$B$192,$C2810,'5. PERSON'!DW$17:DW$192),SUMIF('5. PERSON'!$B$17:$B$192,$C2810,'5. PERSON'!BC$17:BC$192))</f>
        <v>0</v>
      </c>
      <c r="M2813" s="115">
        <f t="shared" ref="M2813:M2818" si="673">SUM(C2813:L2813)</f>
        <v>0</v>
      </c>
      <c r="O2813" s="4"/>
    </row>
    <row r="2814" spans="2:15" s="3" customFormat="1" ht="12.75" customHeight="1" x14ac:dyDescent="0.25">
      <c r="B2814" s="80" t="str">
        <f>IF('1. INTRO'!I$2="English","Operating","Drift")</f>
        <v>Operating</v>
      </c>
      <c r="C2814" s="116">
        <f>SUMIF('6. OPERATION'!$B$17:$B$149,$C2810,'6. OPERATION'!W$17:W$149)</f>
        <v>0</v>
      </c>
      <c r="D2814" s="116">
        <f>SUMIF('6. OPERATION'!$B$17:$B$149,$C2810,'6. OPERATION'!X$17:X$149)</f>
        <v>0</v>
      </c>
      <c r="E2814" s="116">
        <f>SUMIF('6. OPERATION'!$B$17:$B$149,$C2810,'6. OPERATION'!Y$17:Y$149)</f>
        <v>0</v>
      </c>
      <c r="F2814" s="116">
        <f>SUMIF('6. OPERATION'!$B$17:$B$149,$C2810,'6. OPERATION'!Z$17:Z$149)</f>
        <v>0</v>
      </c>
      <c r="G2814" s="116">
        <f>SUMIF('6. OPERATION'!$B$17:$B$149,$C2810,'6. OPERATION'!AA$17:AA$149)</f>
        <v>0</v>
      </c>
      <c r="H2814" s="116">
        <f>SUMIF('6. OPERATION'!$B$17:$B$149,$C2810,'6. OPERATION'!AB$17:AB$149)</f>
        <v>0</v>
      </c>
      <c r="I2814" s="116">
        <f>SUMIF('6. OPERATION'!$B$17:$B$149,$C2810,'6. OPERATION'!AC$17:AC$149)</f>
        <v>0</v>
      </c>
      <c r="J2814" s="116">
        <f>SUMIF('6. OPERATION'!$B$17:$B$149,$C2810,'6. OPERATION'!AD$17:AD$149)</f>
        <v>0</v>
      </c>
      <c r="K2814" s="116">
        <f>SUMIF('6. OPERATION'!$B$17:$B$149,$C2810,'6. OPERATION'!AE$17:AE$149)</f>
        <v>0</v>
      </c>
      <c r="L2814" s="116">
        <f>SUMIF('6. OPERATION'!$B$17:$B$149,$C2810,'6. OPERATION'!AF$17:AF$149)</f>
        <v>0</v>
      </c>
      <c r="M2814" s="117">
        <f t="shared" si="673"/>
        <v>0</v>
      </c>
    </row>
    <row r="2815" spans="2:15" s="3" customFormat="1" ht="13.2" x14ac:dyDescent="0.25">
      <c r="B2815" s="118" t="str">
        <f>IF('1. INTRO'!I$2="English","Equipment","Utrustning")</f>
        <v>Equipment</v>
      </c>
      <c r="C2815" s="119">
        <f>SUMIF('7. INVEST'!$B$17:$B$49,$C2810,'7. INVEST'!W$17:W$49)</f>
        <v>0</v>
      </c>
      <c r="D2815" s="119">
        <f>SUMIF('7. INVEST'!$B$17:$B$49,$C2810,'7. INVEST'!X$17:X$49)</f>
        <v>0</v>
      </c>
      <c r="E2815" s="119">
        <f>SUMIF('7. INVEST'!$B$17:$B$49,$C2810,'7. INVEST'!Y$17:Y$49)</f>
        <v>0</v>
      </c>
      <c r="F2815" s="119">
        <f>SUMIF('7. INVEST'!$B$17:$B$49,$C2810,'7. INVEST'!Z$17:Z$49)</f>
        <v>0</v>
      </c>
      <c r="G2815" s="119">
        <f>SUMIF('7. INVEST'!$B$17:$B$49,$C2810,'7. INVEST'!AA$17:AA$49)</f>
        <v>0</v>
      </c>
      <c r="H2815" s="119">
        <f>SUMIF('7. INVEST'!$B$17:$B$49,$C2810,'7. INVEST'!AB$17:AB$49)</f>
        <v>0</v>
      </c>
      <c r="I2815" s="119">
        <f>SUMIF('7. INVEST'!$B$17:$B$49,$C2810,'7. INVEST'!AC$17:AC$49)</f>
        <v>0</v>
      </c>
      <c r="J2815" s="119">
        <f>SUMIF('7. INVEST'!$B$17:$B$49,$C2810,'7. INVEST'!AD$17:AD$49)</f>
        <v>0</v>
      </c>
      <c r="K2815" s="119">
        <f>SUMIF('7. INVEST'!$B$17:$B$49,$C2810,'7. INVEST'!AE$17:AE$49)</f>
        <v>0</v>
      </c>
      <c r="L2815" s="119">
        <f>SUMIF('7. INVEST'!$B$17:$B$49,$C2810,'7. INVEST'!AF$17:AF$49)</f>
        <v>0</v>
      </c>
      <c r="M2815" s="120">
        <f t="shared" si="673"/>
        <v>0</v>
      </c>
    </row>
    <row r="2816" spans="2:15" s="3" customFormat="1" ht="13.2" x14ac:dyDescent="0.25">
      <c r="B2816" s="121" t="str">
        <f>IF('1. INTRO'!I$2="English",(IF('2. START'!C$11="NO","Facility accepted as direct cost by funding body","Facility")),IF('2. START'!C$11="NO","Lokal accepterad som direkt kostnad av finansiär","Lokal"))</f>
        <v>Facility</v>
      </c>
      <c r="C2816" s="116">
        <f>IF('2. START'!$C$11="NO",SUMIF('8. FACILIT'!$B$18:$B$50,$C2810,'8. FACILIT'!T$18:T$50),SUMIF('5. PERSON'!$B$17:$B$192,$C2810,'5. PERSON'!CP$17:CP$192)+SUMIF('6. OPERATION'!$B$17:$B$149,$C2810,'6. OPERATION'!BS$17:BS$149)+SUMIF('8. FACILIT'!$B$18:$B$50,$C2810,'8. FACILIT'!T$18:T$50))</f>
        <v>0</v>
      </c>
      <c r="D2816" s="116">
        <f>IF('2. START'!$C$11="NO",SUMIF('8. FACILIT'!$B$18:$B$50,$C2810,'8. FACILIT'!U$18:U$50),SUMIF('5. PERSON'!$B$17:$B$192,$C2810,'5. PERSON'!CQ$17:CQ$192)+SUMIF('6. OPERATION'!$B$17:$B$149,$C2810,'6. OPERATION'!BT$17:BT$149)+SUMIF('8. FACILIT'!$B$18:$B$50,$C2810,'8. FACILIT'!U$18:U$50))</f>
        <v>0</v>
      </c>
      <c r="E2816" s="116">
        <f>IF('2. START'!$C$11="NO",SUMIF('8. FACILIT'!$B$18:$B$50,$C2810,'8. FACILIT'!V$18:V$50),SUMIF('5. PERSON'!$B$17:$B$192,$C2810,'5. PERSON'!CR$17:CR$192)+SUMIF('6. OPERATION'!$B$17:$B$149,$C2810,'6. OPERATION'!BU$17:BU$149)+SUMIF('8. FACILIT'!$B$18:$B$50,$C2810,'8. FACILIT'!V$18:V$50))</f>
        <v>0</v>
      </c>
      <c r="F2816" s="116">
        <f>IF('2. START'!$C$11="NO",SUMIF('8. FACILIT'!$B$18:$B$50,$C2810,'8. FACILIT'!W$18:W$50),SUMIF('5. PERSON'!$B$17:$B$192,$C2810,'5. PERSON'!CS$17:CS$192)+SUMIF('6. OPERATION'!$B$17:$B$149,$C2810,'6. OPERATION'!BV$17:BV$149)+SUMIF('8. FACILIT'!$B$18:$B$50,$C2810,'8. FACILIT'!W$18:W$50))</f>
        <v>0</v>
      </c>
      <c r="G2816" s="116">
        <f>IF('2. START'!$C$11="NO",SUMIF('8. FACILIT'!$B$18:$B$50,$C2810,'8. FACILIT'!X$18:X$50),SUMIF('5. PERSON'!$B$17:$B$192,$C2810,'5. PERSON'!CT$17:CT$192)+SUMIF('6. OPERATION'!$B$17:$B$149,$C2810,'6. OPERATION'!BW$17:BW$149)+SUMIF('8. FACILIT'!$B$18:$B$50,$C2810,'8. FACILIT'!X$18:X$50))</f>
        <v>0</v>
      </c>
      <c r="H2816" s="116">
        <f>IF('2. START'!$C$11="NO",SUMIF('8. FACILIT'!$B$18:$B$50,$C2810,'8. FACILIT'!Y$18:Y$50),SUMIF('5. PERSON'!$B$17:$B$192,$C2810,'5. PERSON'!CU$17:CU$192)+SUMIF('6. OPERATION'!$B$17:$B$149,$C2810,'6. OPERATION'!BX$17:BX$149)+SUMIF('8. FACILIT'!$B$18:$B$50,$C2810,'8. FACILIT'!Y$18:Y$50))</f>
        <v>0</v>
      </c>
      <c r="I2816" s="116">
        <f>IF('2. START'!$C$11="NO",SUMIF('8. FACILIT'!$B$18:$B$50,$C2810,'8. FACILIT'!Z$18:Z$50),SUMIF('5. PERSON'!$B$17:$B$192,$C2810,'5. PERSON'!CV$17:CV$192)+SUMIF('6. OPERATION'!$B$17:$B$149,$C2810,'6. OPERATION'!BY$17:BY$149)+SUMIF('8. FACILIT'!$B$18:$B$50,$C2810,'8. FACILIT'!Z$18:Z$50))</f>
        <v>0</v>
      </c>
      <c r="J2816" s="116">
        <f>IF('2. START'!$C$11="NO",SUMIF('8. FACILIT'!$B$18:$B$50,$C2810,'8. FACILIT'!AA$18:AA$50),SUMIF('5. PERSON'!$B$17:$B$192,$C2810,'5. PERSON'!CW$17:CW$192)+SUMIF('6. OPERATION'!$B$17:$B$149,$C2810,'6. OPERATION'!BZ$17:BZ$149)+SUMIF('8. FACILIT'!$B$18:$B$50,$C2810,'8. FACILIT'!AA$18:AA$50))</f>
        <v>0</v>
      </c>
      <c r="K2816" s="116">
        <f>IF('2. START'!$C$11="NO",SUMIF('8. FACILIT'!$B$18:$B$50,$C2810,'8. FACILIT'!AB$18:AB$50),SUMIF('5. PERSON'!$B$17:$B$192,$C2810,'5. PERSON'!CX$17:CX$192)+SUMIF('6. OPERATION'!$B$17:$B$149,$C2810,'6. OPERATION'!CA$17:CA$149)+SUMIF('8. FACILIT'!$B$18:$B$50,$C2810,'8. FACILIT'!AB$18:AB$50))</f>
        <v>0</v>
      </c>
      <c r="L2816" s="116">
        <f>IF('2. START'!$C$11="NO",SUMIF('8. FACILIT'!$B$18:$B$50,$C2810,'8. FACILIT'!AC$18:AC$50),SUMIF('5. PERSON'!$B$17:$B$192,$C2810,'5. PERSON'!CY$17:CY$192)+SUMIF('6. OPERATION'!$B$17:$B$149,$C2810,'6. OPERATION'!CB$17:CB$149)+SUMIF('8. FACILIT'!$B$18:$B$50,$C2810,'8. FACILIT'!AC$18:AC$50))</f>
        <v>0</v>
      </c>
      <c r="M2816" s="117">
        <f t="shared" si="673"/>
        <v>0</v>
      </c>
    </row>
    <row r="2817" spans="2:15" s="3" customFormat="1" ht="13.2" x14ac:dyDescent="0.25">
      <c r="B2817" s="122" t="str">
        <f>IF('1. INTRO'!I$2="English",(IF('2. START'!C$11="NO","Indirect and facility charge accepted as OH by funding body","Indirect")),IF('2. START'!C$11="NO","Indirekt och lokalpåslag accepterade som OH av finansiär","Indirekt"))</f>
        <v>Indirect</v>
      </c>
      <c r="C2817" s="107">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107">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107">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107">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107">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107">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107">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107">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107">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107">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120">
        <f t="shared" si="673"/>
        <v>0</v>
      </c>
    </row>
    <row r="2818" spans="2:15" s="3" customFormat="1" ht="13.2" x14ac:dyDescent="0.25">
      <c r="B2818" s="124" t="s">
        <v>113</v>
      </c>
      <c r="C2818" s="102">
        <f>SUM(C2813:C2817)</f>
        <v>0</v>
      </c>
      <c r="D2818" s="102">
        <f t="shared" ref="D2818:L2818" si="674">SUM(D2813:D2817)</f>
        <v>0</v>
      </c>
      <c r="E2818" s="102">
        <f t="shared" si="674"/>
        <v>0</v>
      </c>
      <c r="F2818" s="102">
        <f t="shared" si="674"/>
        <v>0</v>
      </c>
      <c r="G2818" s="102">
        <f t="shared" si="674"/>
        <v>0</v>
      </c>
      <c r="H2818" s="102">
        <f t="shared" si="674"/>
        <v>0</v>
      </c>
      <c r="I2818" s="102">
        <f t="shared" si="674"/>
        <v>0</v>
      </c>
      <c r="J2818" s="102">
        <f t="shared" si="674"/>
        <v>0</v>
      </c>
      <c r="K2818" s="102">
        <f t="shared" si="674"/>
        <v>0</v>
      </c>
      <c r="L2818" s="102">
        <f t="shared" si="674"/>
        <v>0</v>
      </c>
      <c r="M2818" s="125">
        <f t="shared" si="673"/>
        <v>0</v>
      </c>
    </row>
    <row r="2819" spans="2:15" s="3" customFormat="1" ht="6" customHeight="1" x14ac:dyDescent="0.25">
      <c r="B2819" s="126"/>
      <c r="C2819" s="127"/>
      <c r="D2819" s="127"/>
      <c r="E2819" s="127"/>
      <c r="F2819" s="127"/>
      <c r="G2819" s="127"/>
      <c r="H2819" s="127"/>
      <c r="I2819" s="127"/>
      <c r="J2819" s="127"/>
      <c r="K2819" s="127"/>
      <c r="L2819" s="127"/>
      <c r="M2819" s="128"/>
    </row>
    <row r="2820" spans="2:15" s="3" customFormat="1" ht="13.2" x14ac:dyDescent="0.25">
      <c r="B2820" s="129" t="str">
        <f>IF('1. INTRO'!I$2="English","Costs to be co-funded","Kostnader att medfinansiera")</f>
        <v>Costs to be co-funded</v>
      </c>
      <c r="C2820" s="86"/>
      <c r="D2820" s="86"/>
      <c r="E2820" s="86"/>
      <c r="F2820" s="86"/>
      <c r="G2820" s="86"/>
      <c r="H2820" s="86"/>
      <c r="I2820" s="86"/>
      <c r="J2820" s="86"/>
      <c r="K2820" s="86"/>
      <c r="L2820" s="86"/>
      <c r="M2820" s="130"/>
    </row>
    <row r="2821" spans="2:15" s="3" customFormat="1" ht="13.2" x14ac:dyDescent="0.25">
      <c r="B2821" s="159" t="str">
        <f>IF('1. INTRO'!I$2="English",(IF('2. START'!C$11="NO","Indirect and facility charge not accepted as OH by funding body","")),IF('2. START'!C$11="NO","Indirekt och lokalpåslag inte accepterade som OH av finansiär",""))</f>
        <v/>
      </c>
      <c r="C2821" s="131">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31">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31">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31">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31">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31">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31">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31">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31">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31">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115">
        <f t="shared" ref="M2821:M2827" si="675">SUM(C2821:L2821)</f>
        <v>0</v>
      </c>
    </row>
    <row r="2822" spans="2:15" s="3" customFormat="1" ht="12.75" customHeight="1" x14ac:dyDescent="0.25">
      <c r="B2822" s="132" t="str">
        <f>IF('1. INTRO'!I$2="English",(IF('2. START'!C$14&gt;0,"Social costs (LKP) not accepted by funding body","")),IF('2. START'!C$14&gt;0,"LKP som inte accepteras av finansiär",""))</f>
        <v/>
      </c>
      <c r="C2822" s="133">
        <f>IF('2. START'!$C$14&gt;0,SUMIF('5. PERSON'!$B$17:$B$192,$C2810,'5. PERSON'!AT$17:AT$192)-SUMIF('5. PERSON'!$B$17:$B$192,$C2810,'5. PERSON'!DN$17:DN$192),0)</f>
        <v>0</v>
      </c>
      <c r="D2822" s="133">
        <f>IF('2. START'!$C$14&gt;0,SUMIF('5. PERSON'!$B$17:$B$192,$C2810,'5. PERSON'!AU$17:AU$192)-SUMIF('5. PERSON'!$B$17:$B$192,$C2810,'5. PERSON'!DO$17:DO$192),0)</f>
        <v>0</v>
      </c>
      <c r="E2822" s="133">
        <f>IF('2. START'!$C$14&gt;0,SUMIF('5. PERSON'!$B$17:$B$192,$C2810,'5. PERSON'!AV$17:AV$192)-SUMIF('5. PERSON'!$B$17:$B$192,$C2810,'5. PERSON'!DP$17:DP$192),0)</f>
        <v>0</v>
      </c>
      <c r="F2822" s="133">
        <f>IF('2. START'!$C$14&gt;0,SUMIF('5. PERSON'!$B$17:$B$192,$C2810,'5. PERSON'!AW$17:AW$192)-SUMIF('5. PERSON'!$B$17:$B$192,$C2810,'5. PERSON'!DQ$17:DQ$192),0)</f>
        <v>0</v>
      </c>
      <c r="G2822" s="133">
        <f>IF('2. START'!$C$14&gt;0,SUMIF('5. PERSON'!$B$17:$B$192,$C2810,'5. PERSON'!AX$17:AX$192)-SUMIF('5. PERSON'!$B$17:$B$192,$C2810,'5. PERSON'!DR$17:DR$192),0)</f>
        <v>0</v>
      </c>
      <c r="H2822" s="133">
        <f>IF('2. START'!$C$14&gt;0,SUMIF('5. PERSON'!$B$17:$B$192,$C2810,'5. PERSON'!AY$17:AY$192)-SUMIF('5. PERSON'!$B$17:$B$192,$C2810,'5. PERSON'!DS$17:DS$192),0)</f>
        <v>0</v>
      </c>
      <c r="I2822" s="133">
        <f>IF('2. START'!$C$14&gt;0,SUMIF('5. PERSON'!$B$17:$B$192,$C2810,'5. PERSON'!AZ$17:AZ$192)-SUMIF('5. PERSON'!$B$17:$B$192,$C2810,'5. PERSON'!DT$17:DT$192),0)</f>
        <v>0</v>
      </c>
      <c r="J2822" s="133">
        <f>IF('2. START'!$C$14&gt;0,SUMIF('5. PERSON'!$B$17:$B$192,$C2810,'5. PERSON'!BA$17:BA$192)-SUMIF('5. PERSON'!$B$17:$B$192,$C2810,'5. PERSON'!DU$17:DU$192),0)</f>
        <v>0</v>
      </c>
      <c r="K2822" s="133">
        <f>IF('2. START'!$C$14&gt;0,SUMIF('5. PERSON'!$B$17:$B$192,$C2810,'5. PERSON'!BB$17:BB$192)-SUMIF('5. PERSON'!$B$17:$B$192,$C2810,'5. PERSON'!DV$17:DV$192),0)</f>
        <v>0</v>
      </c>
      <c r="L2822" s="133">
        <f>IF('2. START'!$C$14&gt;0,SUMIF('5. PERSON'!$B$17:$B$192,$C2810,'5. PERSON'!BC$17:BC$192)-SUMIF('5. PERSON'!$B$17:$B$192,$C2810,'5. PERSON'!DW$17:DW$192),0)</f>
        <v>0</v>
      </c>
      <c r="M2822" s="117">
        <f t="shared" si="675"/>
        <v>0</v>
      </c>
    </row>
    <row r="2823" spans="2:15" s="3" customFormat="1" ht="12.75" customHeight="1" x14ac:dyDescent="0.25">
      <c r="B2823" s="118" t="str">
        <f>IF('1. INTRO'!I$2="English",(IF('5. PERSON'!BP$193&gt;0,"Salary including social costs (LKP)","")),IF('5. PERSON'!BP$193&gt;0,"Lön inklusive LKP",""))</f>
        <v/>
      </c>
      <c r="C2823" s="134">
        <f>SUMIF('5. PERSON'!$B$17:$B$192,$C2810,'5. PERSON'!BF$17:BF$192)</f>
        <v>0</v>
      </c>
      <c r="D2823" s="134">
        <f>SUMIF('5. PERSON'!$B$17:$B$192,$C2810,'5. PERSON'!BG$17:BG$192)</f>
        <v>0</v>
      </c>
      <c r="E2823" s="134">
        <f>SUMIF('5. PERSON'!$B$17:$B$192,$C2810,'5. PERSON'!BH$17:BH$192)</f>
        <v>0</v>
      </c>
      <c r="F2823" s="134">
        <f>SUMIF('5. PERSON'!$B$17:$B$192,$C2810,'5. PERSON'!BI$17:BI$192)</f>
        <v>0</v>
      </c>
      <c r="G2823" s="134">
        <f>SUMIF('5. PERSON'!$B$17:$B$192,$C2810,'5. PERSON'!BJ$17:BJ$192)</f>
        <v>0</v>
      </c>
      <c r="H2823" s="134">
        <f>SUMIF('5. PERSON'!$B$17:$B$192,$C2810,'5. PERSON'!BK$17:BK$192)</f>
        <v>0</v>
      </c>
      <c r="I2823" s="134">
        <f>SUMIF('5. PERSON'!$B$17:$B$192,$C2810,'5. PERSON'!BL$17:BL$192)</f>
        <v>0</v>
      </c>
      <c r="J2823" s="134">
        <f>SUMIF('5. PERSON'!$B$17:$B$192,$C2810,'5. PERSON'!BM$17:BM$192)</f>
        <v>0</v>
      </c>
      <c r="K2823" s="134">
        <f>SUMIF('5. PERSON'!$B$17:$B$192,$C2810,'5. PERSON'!BN$17:BN$192)</f>
        <v>0</v>
      </c>
      <c r="L2823" s="134">
        <f>SUMIF('5. PERSON'!$B$17:$B$192,$C2810,'5. PERSON'!BO$17:BO$192)</f>
        <v>0</v>
      </c>
      <c r="M2823" s="120">
        <f t="shared" si="675"/>
        <v>0</v>
      </c>
    </row>
    <row r="2824" spans="2:15" s="3" customFormat="1" ht="13.2" x14ac:dyDescent="0.25">
      <c r="B2824" s="80" t="str">
        <f>IF('1. INTRO'!I$2="English",(IF('6. OPERATION'!AS$150&gt;0,"Operating","")),IF('6. OPERATION'!AS$150&gt;0,"Drift",""))</f>
        <v/>
      </c>
      <c r="C2824" s="135">
        <f>SUMIF('6. OPERATION'!$B$17:$B$149,$C2810,'6. OPERATION'!AI$17:AI$149)</f>
        <v>0</v>
      </c>
      <c r="D2824" s="135">
        <f>SUMIF('6. OPERATION'!$B$17:$B$149,$C2810,'6. OPERATION'!AJ$17:AJ$149)</f>
        <v>0</v>
      </c>
      <c r="E2824" s="135">
        <f>SUMIF('6. OPERATION'!$B$17:$B$149,$C2810,'6. OPERATION'!AK$17:AK$149)</f>
        <v>0</v>
      </c>
      <c r="F2824" s="135">
        <f>SUMIF('6. OPERATION'!$B$17:$B$149,$C2810,'6. OPERATION'!AL$17:AL$149)</f>
        <v>0</v>
      </c>
      <c r="G2824" s="135">
        <f>SUMIF('6. OPERATION'!$B$17:$B$149,$C2810,'6. OPERATION'!AM$17:AM$149)</f>
        <v>0</v>
      </c>
      <c r="H2824" s="135">
        <f>SUMIF('6. OPERATION'!$B$17:$B$149,$C2810,'6. OPERATION'!AN$17:AN$149)</f>
        <v>0</v>
      </c>
      <c r="I2824" s="135">
        <f>SUMIF('6. OPERATION'!$B$17:$B$149,$C2810,'6. OPERATION'!AO$17:AO$149)</f>
        <v>0</v>
      </c>
      <c r="J2824" s="135">
        <f>SUMIF('6. OPERATION'!$B$17:$B$149,$C2810,'6. OPERATION'!AP$17:AP$149)</f>
        <v>0</v>
      </c>
      <c r="K2824" s="135">
        <f>SUMIF('6. OPERATION'!$B$17:$B$149,$C2810,'6. OPERATION'!AQ$17:AQ$149)</f>
        <v>0</v>
      </c>
      <c r="L2824" s="135">
        <f>SUMIF('6. OPERATION'!$B$17:$B$149,$C2810,'6. OPERATION'!AR$17:AR$149)</f>
        <v>0</v>
      </c>
      <c r="M2824" s="117">
        <f t="shared" si="675"/>
        <v>0</v>
      </c>
    </row>
    <row r="2825" spans="2:15" s="3" customFormat="1" ht="13.2" x14ac:dyDescent="0.25">
      <c r="B2825" s="118" t="str">
        <f>IF('1. INTRO'!I$2="English",(IF('7. INVEST'!AS$50&gt;0,"Equipment","")),IF('7. INVEST'!AS$50&gt;0,"Utrustning",""))</f>
        <v/>
      </c>
      <c r="C2825" s="134">
        <f>SUMIF('7. INVEST'!$B$17:$B$49,$C2810,'7. INVEST'!AI$17:AI$49)</f>
        <v>0</v>
      </c>
      <c r="D2825" s="134">
        <f>SUMIF('7. INVEST'!$B$17:$B$49,$C2810,'7. INVEST'!AJ$17:AJ$49)</f>
        <v>0</v>
      </c>
      <c r="E2825" s="134">
        <f>SUMIF('7. INVEST'!$B$17:$B$49,$C2810,'7. INVEST'!AK$17:AK$49)</f>
        <v>0</v>
      </c>
      <c r="F2825" s="134">
        <f>SUMIF('7. INVEST'!$B$17:$B$49,$C2810,'7. INVEST'!AL$17:AL$49)</f>
        <v>0</v>
      </c>
      <c r="G2825" s="134">
        <f>SUMIF('7. INVEST'!$B$17:$B$49,$C2810,'7. INVEST'!AM$17:AM$49)</f>
        <v>0</v>
      </c>
      <c r="H2825" s="134">
        <f>SUMIF('7. INVEST'!$B$17:$B$49,$C2810,'7. INVEST'!AN$17:AN$49)</f>
        <v>0</v>
      </c>
      <c r="I2825" s="134">
        <f>SUMIF('7. INVEST'!$B$17:$B$49,$C2810,'7. INVEST'!AO$17:AO$49)</f>
        <v>0</v>
      </c>
      <c r="J2825" s="134">
        <f>SUMIF('7. INVEST'!$B$17:$B$49,$C2810,'7. INVEST'!AP$17:AP$49)</f>
        <v>0</v>
      </c>
      <c r="K2825" s="134">
        <f>SUMIF('7. INVEST'!$B$17:$B$49,$C2810,'7. INVEST'!AQ$17:AQ$49)</f>
        <v>0</v>
      </c>
      <c r="L2825" s="134">
        <f>SUMIF('7. INVEST'!$B$17:$B$49,$C2810,'7. INVEST'!AR$17:AR$49)</f>
        <v>0</v>
      </c>
      <c r="M2825" s="120">
        <f t="shared" si="675"/>
        <v>0</v>
      </c>
    </row>
    <row r="2826" spans="2:15" s="3" customFormat="1" ht="13.2" x14ac:dyDescent="0.25">
      <c r="B2826" s="121" t="str">
        <f>IF('1. INTRO'!I$2="English",(IF('8. FACILIT'!AP$51&gt;0,"Facility","")),IF('8. FACILIT'!AP$51&gt;0,"Lokal",""))</f>
        <v/>
      </c>
      <c r="C2826" s="135">
        <f>SUMIF('5. PERSON'!$B$17:$B$192,$C2810,'5. PERSON'!DB$17:DB$192)+SUMIF('6. OPERATION'!$B$17:$B$149,$C2810,'6. OPERATION'!CE$17:CE$149)+SUMIF('8. FACILIT'!$B$18:$B$50,$C2810,'8. FACILIT'!AF$18:AF$50)</f>
        <v>0</v>
      </c>
      <c r="D2826" s="135">
        <f>SUMIF('5. PERSON'!$B$17:$B$192,$C2810,'5. PERSON'!DC$17:DC$192)+SUMIF('6. OPERATION'!$B$17:$B$149,$C2810,'6. OPERATION'!CF$17:CF$149)+SUMIF('8. FACILIT'!$B$18:$B$50,$C2810,'8. FACILIT'!AG$18:AG$50)</f>
        <v>0</v>
      </c>
      <c r="E2826" s="135">
        <f>SUMIF('5. PERSON'!$B$17:$B$192,$C2810,'5. PERSON'!DD$17:DD$192)+SUMIF('6. OPERATION'!$B$17:$B$149,$C2810,'6. OPERATION'!CG$17:CG$149)+SUMIF('8. FACILIT'!$B$18:$B$50,$C2810,'8. FACILIT'!AH$18:AH$50)</f>
        <v>0</v>
      </c>
      <c r="F2826" s="135">
        <f>SUMIF('5. PERSON'!$B$17:$B$192,$C2810,'5. PERSON'!DE$17:DE$192)+SUMIF('6. OPERATION'!$B$17:$B$149,$C2810,'6. OPERATION'!CH$17:CH$149)+SUMIF('8. FACILIT'!$B$18:$B$50,$C2810,'8. FACILIT'!AI$18:AI$50)</f>
        <v>0</v>
      </c>
      <c r="G2826" s="135">
        <f>SUMIF('5. PERSON'!$B$17:$B$192,$C2810,'5. PERSON'!DF$17:DF$192)+SUMIF('6. OPERATION'!$B$17:$B$149,$C2810,'6. OPERATION'!CI$17:CI$149)+SUMIF('8. FACILIT'!$B$18:$B$50,$C2810,'8. FACILIT'!AJ$18:AJ$50)</f>
        <v>0</v>
      </c>
      <c r="H2826" s="135">
        <f>SUMIF('5. PERSON'!$B$17:$B$192,$C2810,'5. PERSON'!DG$17:DG$192)+SUMIF('6. OPERATION'!$B$17:$B$149,$C2810,'6. OPERATION'!CJ$17:CJ$149)+SUMIF('8. FACILIT'!$B$18:$B$50,$C2810,'8. FACILIT'!AK$18:AK$50)</f>
        <v>0</v>
      </c>
      <c r="I2826" s="135">
        <f>SUMIF('5. PERSON'!$B$17:$B$192,$C2810,'5. PERSON'!DH$17:DH$192)+SUMIF('6. OPERATION'!$B$17:$B$149,$C2810,'6. OPERATION'!CK$17:CK$149)+SUMIF('8. FACILIT'!$B$18:$B$50,$C2810,'8. FACILIT'!AL$18:AL$50)</f>
        <v>0</v>
      </c>
      <c r="J2826" s="135">
        <f>SUMIF('5. PERSON'!$B$17:$B$192,$C2810,'5. PERSON'!DI$17:DI$192)+SUMIF('6. OPERATION'!$B$17:$B$149,$C2810,'6. OPERATION'!CL$17:CL$149)+SUMIF('8. FACILIT'!$B$18:$B$50,$C2810,'8. FACILIT'!AM$18:AM$50)</f>
        <v>0</v>
      </c>
      <c r="K2826" s="135">
        <f>SUMIF('5. PERSON'!$B$17:$B$192,$C2810,'5. PERSON'!DJ$17:DJ$192)+SUMIF('6. OPERATION'!$B$17:$B$149,$C2810,'6. OPERATION'!CM$17:CM$149)+SUMIF('8. FACILIT'!$B$18:$B$50,$C2810,'8. FACILIT'!AN$18:AN$50)</f>
        <v>0</v>
      </c>
      <c r="L2826" s="135">
        <f>SUMIF('5. PERSON'!$B$17:$B$192,$C2810,'5. PERSON'!DK$17:DK$192)+SUMIF('6. OPERATION'!$B$17:$B$149,$C2810,'6. OPERATION'!CN$17:CN$149)+SUMIF('8. FACILIT'!$B$18:$B$50,$C2810,'8. FACILIT'!AO$18:AO$50)</f>
        <v>0</v>
      </c>
      <c r="M2826" s="117">
        <f t="shared" si="675"/>
        <v>0</v>
      </c>
    </row>
    <row r="2827" spans="2:15" s="1" customFormat="1" ht="13.2" x14ac:dyDescent="0.25">
      <c r="B2827" s="122" t="str">
        <f>IF('1. INTRO'!I$2="English",(IF(('5. PERSON'!CN$193+'6. OPERATION'!BQ$150)&gt;0,"Indirect","")),IF(('5. PERSON'!CN$193+'6. OPERATION'!BQ$150)&gt;0,"Indirekt",""))</f>
        <v/>
      </c>
      <c r="C2827" s="107">
        <f>SUMIF('5. PERSON'!$B$17:$B$192,$C2810,'5. PERSON'!CD$17:CD$192)+SUMIF('6. OPERATION'!$B$17:$B$149,$C2810,'6. OPERATION'!BG$17:BG$149)</f>
        <v>0</v>
      </c>
      <c r="D2827" s="107">
        <f>SUMIF('5. PERSON'!$B$17:$B$192,$C2810,'5. PERSON'!CE$17:CE$192)+SUMIF('6. OPERATION'!$B$17:$B$149,$C2810,'6. OPERATION'!BH$17:BH$149)</f>
        <v>0</v>
      </c>
      <c r="E2827" s="107">
        <f>SUMIF('5. PERSON'!$B$17:$B$192,$C2810,'5. PERSON'!CF$17:CF$192)+SUMIF('6. OPERATION'!$B$17:$B$149,$C2810,'6. OPERATION'!BI$17:BI$149)</f>
        <v>0</v>
      </c>
      <c r="F2827" s="107">
        <f>SUMIF('5. PERSON'!$B$17:$B$192,$C2810,'5. PERSON'!CG$17:CG$192)+SUMIF('6. OPERATION'!$B$17:$B$149,$C2810,'6. OPERATION'!BJ$17:BJ$149)</f>
        <v>0</v>
      </c>
      <c r="G2827" s="107">
        <f>SUMIF('5. PERSON'!$B$17:$B$192,$C2810,'5. PERSON'!CH$17:CH$192)+SUMIF('6. OPERATION'!$B$17:$B$149,$C2810,'6. OPERATION'!BK$17:BK$149)</f>
        <v>0</v>
      </c>
      <c r="H2827" s="107">
        <f>SUMIF('5. PERSON'!$B$17:$B$192,$C2810,'5. PERSON'!CI$17:CI$192)+SUMIF('6. OPERATION'!$B$17:$B$149,$C2810,'6. OPERATION'!BL$17:BL$149)</f>
        <v>0</v>
      </c>
      <c r="I2827" s="107">
        <f>SUMIF('5. PERSON'!$B$17:$B$192,$C2810,'5. PERSON'!CJ$17:CJ$192)+SUMIF('6. OPERATION'!$B$17:$B$149,$C2810,'6. OPERATION'!BM$17:BM$149)</f>
        <v>0</v>
      </c>
      <c r="J2827" s="107">
        <f>SUMIF('5. PERSON'!$B$17:$B$192,$C2810,'5. PERSON'!CK$17:CK$192)+SUMIF('6. OPERATION'!$B$17:$B$149,$C2810,'6. OPERATION'!BN$17:BN$149)</f>
        <v>0</v>
      </c>
      <c r="K2827" s="107">
        <f>SUMIF('5. PERSON'!$B$17:$B$192,$C2810,'5. PERSON'!CL$17:CL$192)+SUMIF('6. OPERATION'!$B$17:$B$149,$C2810,'6. OPERATION'!BO$17:BO$149)</f>
        <v>0</v>
      </c>
      <c r="L2827" s="107">
        <f>SUMIF('5. PERSON'!$B$17:$B$192,$C2810,'5. PERSON'!CM$17:CM$192)+SUMIF('6. OPERATION'!$B$17:$B$149,$C2810,'6. OPERATION'!BP$17:BP$149)</f>
        <v>0</v>
      </c>
      <c r="M2827" s="123">
        <f t="shared" si="675"/>
        <v>0</v>
      </c>
    </row>
    <row r="2828" spans="2:15" s="3" customFormat="1" ht="13.2" x14ac:dyDescent="0.25">
      <c r="B2828" s="124" t="s">
        <v>113</v>
      </c>
      <c r="C2828" s="102">
        <f>SUM(C2821:C2827)</f>
        <v>0</v>
      </c>
      <c r="D2828" s="102">
        <f t="shared" ref="D2828:L2828" si="676">SUM(D2821:D2827)</f>
        <v>0</v>
      </c>
      <c r="E2828" s="102">
        <f t="shared" si="676"/>
        <v>0</v>
      </c>
      <c r="F2828" s="102">
        <f t="shared" si="676"/>
        <v>0</v>
      </c>
      <c r="G2828" s="102">
        <f t="shared" si="676"/>
        <v>0</v>
      </c>
      <c r="H2828" s="102">
        <f t="shared" si="676"/>
        <v>0</v>
      </c>
      <c r="I2828" s="102">
        <f t="shared" si="676"/>
        <v>0</v>
      </c>
      <c r="J2828" s="102">
        <f t="shared" si="676"/>
        <v>0</v>
      </c>
      <c r="K2828" s="102">
        <f t="shared" si="676"/>
        <v>0</v>
      </c>
      <c r="L2828" s="102">
        <f t="shared" si="676"/>
        <v>0</v>
      </c>
      <c r="M2828" s="125">
        <f t="shared" ref="M2828" si="677">SUM(M2821:M2827)</f>
        <v>0</v>
      </c>
      <c r="N2828" s="23"/>
      <c r="O2828" s="23"/>
    </row>
    <row r="2829" spans="2:15" s="3" customFormat="1" ht="6" customHeight="1" x14ac:dyDescent="0.25">
      <c r="B2829" s="136"/>
      <c r="C2829" s="127"/>
      <c r="D2829" s="127"/>
      <c r="E2829" s="127"/>
      <c r="F2829" s="127"/>
      <c r="G2829" s="127"/>
      <c r="H2829" s="127"/>
      <c r="I2829" s="127"/>
      <c r="J2829" s="127"/>
      <c r="K2829" s="127"/>
      <c r="L2829" s="127"/>
      <c r="M2829" s="137"/>
    </row>
    <row r="2830" spans="2:15" s="3" customFormat="1" ht="13.2" x14ac:dyDescent="0.25">
      <c r="B2830" s="129" t="str">
        <f>IF('1. INTRO'!I$2="English","Full cost","Full kostnad")</f>
        <v>Full cost</v>
      </c>
      <c r="C2830" s="127"/>
      <c r="D2830" s="127"/>
      <c r="E2830" s="127"/>
      <c r="F2830" s="127"/>
      <c r="G2830" s="127"/>
      <c r="H2830" s="127"/>
      <c r="I2830" s="127"/>
      <c r="J2830" s="127"/>
      <c r="K2830" s="127"/>
      <c r="L2830" s="127"/>
      <c r="M2830" s="137"/>
    </row>
    <row r="2831" spans="2:15" s="3" customFormat="1" ht="13.2" x14ac:dyDescent="0.25">
      <c r="B2831" s="113" t="str">
        <f>IF('1. INTRO'!I$2="English","Salary including social costs (LKP)","Lön inklusive LKP")</f>
        <v>Salary including social costs (LKP)</v>
      </c>
      <c r="C2831" s="138">
        <f>C2813+C2822+C2823</f>
        <v>0</v>
      </c>
      <c r="D2831" s="138">
        <f t="shared" ref="D2831:L2831" si="678">D2813+D2822+D2823</f>
        <v>0</v>
      </c>
      <c r="E2831" s="138">
        <f t="shared" si="678"/>
        <v>0</v>
      </c>
      <c r="F2831" s="138">
        <f t="shared" si="678"/>
        <v>0</v>
      </c>
      <c r="G2831" s="138">
        <f t="shared" si="678"/>
        <v>0</v>
      </c>
      <c r="H2831" s="138">
        <f t="shared" si="678"/>
        <v>0</v>
      </c>
      <c r="I2831" s="138">
        <f t="shared" si="678"/>
        <v>0</v>
      </c>
      <c r="J2831" s="138">
        <f t="shared" si="678"/>
        <v>0</v>
      </c>
      <c r="K2831" s="138">
        <f t="shared" si="678"/>
        <v>0</v>
      </c>
      <c r="L2831" s="138">
        <f t="shared" si="678"/>
        <v>0</v>
      </c>
      <c r="M2831" s="115">
        <f>SUM(C2831:L2831)</f>
        <v>0</v>
      </c>
    </row>
    <row r="2832" spans="2:15" s="3" customFormat="1" ht="13.2" x14ac:dyDescent="0.25">
      <c r="B2832" s="80" t="str">
        <f>IF('1. INTRO'!I$2="English","Operating","Drift")</f>
        <v>Operating</v>
      </c>
      <c r="C2832" s="139">
        <f>C2814+C2824</f>
        <v>0</v>
      </c>
      <c r="D2832" s="139">
        <f t="shared" ref="D2832:L2832" si="679">D2814+D2824</f>
        <v>0</v>
      </c>
      <c r="E2832" s="139">
        <f t="shared" si="679"/>
        <v>0</v>
      </c>
      <c r="F2832" s="139">
        <f t="shared" si="679"/>
        <v>0</v>
      </c>
      <c r="G2832" s="139">
        <f t="shared" si="679"/>
        <v>0</v>
      </c>
      <c r="H2832" s="139">
        <f t="shared" si="679"/>
        <v>0</v>
      </c>
      <c r="I2832" s="139">
        <f t="shared" si="679"/>
        <v>0</v>
      </c>
      <c r="J2832" s="139">
        <f t="shared" si="679"/>
        <v>0</v>
      </c>
      <c r="K2832" s="139">
        <f t="shared" si="679"/>
        <v>0</v>
      </c>
      <c r="L2832" s="139">
        <f t="shared" si="679"/>
        <v>0</v>
      </c>
      <c r="M2832" s="117">
        <f>SUM(C2832:L2832)</f>
        <v>0</v>
      </c>
    </row>
    <row r="2833" spans="2:13" s="3" customFormat="1" ht="13.2" x14ac:dyDescent="0.25">
      <c r="B2833" s="118" t="str">
        <f>IF('1. INTRO'!I$2="English","Equipment","Utrustning")</f>
        <v>Equipment</v>
      </c>
      <c r="C2833" s="140">
        <f>C2815+C2825</f>
        <v>0</v>
      </c>
      <c r="D2833" s="140">
        <f t="shared" ref="D2833:L2833" si="680">D2815+D2825</f>
        <v>0</v>
      </c>
      <c r="E2833" s="140">
        <f t="shared" si="680"/>
        <v>0</v>
      </c>
      <c r="F2833" s="140">
        <f t="shared" si="680"/>
        <v>0</v>
      </c>
      <c r="G2833" s="140">
        <f t="shared" si="680"/>
        <v>0</v>
      </c>
      <c r="H2833" s="140">
        <f t="shared" si="680"/>
        <v>0</v>
      </c>
      <c r="I2833" s="140">
        <f t="shared" si="680"/>
        <v>0</v>
      </c>
      <c r="J2833" s="140">
        <f t="shared" si="680"/>
        <v>0</v>
      </c>
      <c r="K2833" s="140">
        <f t="shared" si="680"/>
        <v>0</v>
      </c>
      <c r="L2833" s="140">
        <f t="shared" si="680"/>
        <v>0</v>
      </c>
      <c r="M2833" s="120">
        <f>SUM(C2833:L2833)</f>
        <v>0</v>
      </c>
    </row>
    <row r="2834" spans="2:13" s="3" customFormat="1" ht="13.2" x14ac:dyDescent="0.25">
      <c r="B2834" s="80" t="str">
        <f>IF('1. INTRO'!I$2="English","Facility","Lokal")</f>
        <v>Facility</v>
      </c>
      <c r="C2834" s="139">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39">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39">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39">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39">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39">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39">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39">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39">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39">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117">
        <f>SUM(C2834:L2834)</f>
        <v>0</v>
      </c>
    </row>
    <row r="2835" spans="2:13" s="3" customFormat="1" ht="13.2" x14ac:dyDescent="0.25">
      <c r="B2835" s="601" t="str">
        <f>IF('1. INTRO'!I$2="English","Indirect","Indirekt")</f>
        <v>Indirect</v>
      </c>
      <c r="C2835" s="141">
        <f>SUMIF('5. PERSON'!$B$17:$B$192,$C2810,'5. PERSON'!BR$17:BR$192)+SUMIF('5. PERSON'!$B$17:$B$192,$C2810,'5. PERSON'!CD$17:CD$192)+SUMIF('6. OPERATION'!$B$17:$B$149,$C2810,'6. OPERATION'!AU$17:AU$149)+SUMIF('6. OPERATION'!$B$17:$B$149,$C2810,'6. OPERATION'!BG$17:BG$149)</f>
        <v>0</v>
      </c>
      <c r="D2835" s="141">
        <f>SUMIF('5. PERSON'!$B$17:$B$192,$C2810,'5. PERSON'!BS$17:BS$192)+SUMIF('5. PERSON'!$B$17:$B$192,$C2810,'5. PERSON'!CE$17:CE$192)+SUMIF('6. OPERATION'!$B$17:$B$149,$C2810,'6. OPERATION'!AV$17:AV$149)+SUMIF('6. OPERATION'!$B$17:$B$149,$C2810,'6. OPERATION'!BH$17:BH$149)</f>
        <v>0</v>
      </c>
      <c r="E2835" s="141">
        <f>SUMIF('5. PERSON'!$B$17:$B$192,$C2810,'5. PERSON'!BT$17:BT$192)+SUMIF('5. PERSON'!$B$17:$B$192,$C2810,'5. PERSON'!CF$17:CF$192)+SUMIF('6. OPERATION'!$B$17:$B$149,$C2810,'6. OPERATION'!AW$17:AW$149)+SUMIF('6. OPERATION'!$B$17:$B$149,$C2810,'6. OPERATION'!BI$17:BI$149)</f>
        <v>0</v>
      </c>
      <c r="F2835" s="141">
        <f>SUMIF('5. PERSON'!$B$17:$B$192,$C2810,'5. PERSON'!BU$17:BU$192)+SUMIF('5. PERSON'!$B$17:$B$192,$C2810,'5. PERSON'!CG$17:CG$192)+SUMIF('6. OPERATION'!$B$17:$B$149,$C2810,'6. OPERATION'!AX$17:AX$149)+SUMIF('6. OPERATION'!$B$17:$B$149,$C2810,'6. OPERATION'!BJ$17:BJ$149)</f>
        <v>0</v>
      </c>
      <c r="G2835" s="141">
        <f>SUMIF('5. PERSON'!$B$17:$B$192,$C2810,'5. PERSON'!BV$17:BV$192)+SUMIF('5. PERSON'!$B$17:$B$192,$C2810,'5. PERSON'!CH$17:CH$192)+SUMIF('6. OPERATION'!$B$17:$B$149,$C2810,'6. OPERATION'!AY$17:AY$149)+SUMIF('6. OPERATION'!$B$17:$B$149,$C2810,'6. OPERATION'!BK$17:BK$149)</f>
        <v>0</v>
      </c>
      <c r="H2835" s="141">
        <f>SUMIF('5. PERSON'!$B$17:$B$192,$C2810,'5. PERSON'!BW$17:BW$192)+SUMIF('5. PERSON'!$B$17:$B$192,$C2810,'5. PERSON'!CI$17:CI$192)+SUMIF('6. OPERATION'!$B$17:$B$149,$C2810,'6. OPERATION'!AZ$17:AZ$149)+SUMIF('6. OPERATION'!$B$17:$B$149,$C2810,'6. OPERATION'!BL$17:BL$149)</f>
        <v>0</v>
      </c>
      <c r="I2835" s="141">
        <f>SUMIF('5. PERSON'!$B$17:$B$192,$C2810,'5. PERSON'!BX$17:BX$192)+SUMIF('5. PERSON'!$B$17:$B$192,$C2810,'5. PERSON'!CJ$17:CJ$192)+SUMIF('6. OPERATION'!$B$17:$B$149,$C2810,'6. OPERATION'!BA$17:BA$149)+SUMIF('6. OPERATION'!$B$17:$B$149,$C2810,'6. OPERATION'!BM$17:BM$149)</f>
        <v>0</v>
      </c>
      <c r="J2835" s="141">
        <f>SUMIF('5. PERSON'!$B$17:$B$192,$C2810,'5. PERSON'!BY$17:BY$192)+SUMIF('5. PERSON'!$B$17:$B$192,$C2810,'5. PERSON'!CK$17:CK$192)+SUMIF('6. OPERATION'!$B$17:$B$149,$C2810,'6. OPERATION'!BB$17:BB$149)+SUMIF('6. OPERATION'!$B$17:$B$149,$C2810,'6. OPERATION'!BN$17:BN$149)</f>
        <v>0</v>
      </c>
      <c r="K2835" s="141">
        <f>SUMIF('5. PERSON'!$B$17:$B$192,$C2810,'5. PERSON'!BZ$17:BZ$192)+SUMIF('5. PERSON'!$B$17:$B$192,$C2810,'5. PERSON'!CL$17:CL$192)+SUMIF('6. OPERATION'!$B$17:$B$149,$C2810,'6. OPERATION'!BC$17:BC$149)+SUMIF('6. OPERATION'!$B$17:$B$149,$C2810,'6. OPERATION'!BO$17:BO$149)</f>
        <v>0</v>
      </c>
      <c r="L2835" s="141">
        <f>SUMIF('5. PERSON'!$B$17:$B$192,$C2810,'5. PERSON'!CA$17:CA$192)+SUMIF('5. PERSON'!$B$17:$B$192,$C2810,'5. PERSON'!CM$17:CM$192)+SUMIF('6. OPERATION'!$B$17:$B$149,$C2810,'6. OPERATION'!BD$17:BD$149)+SUMIF('6. OPERATION'!$B$17:$B$149,$C2810,'6. OPERATION'!BP$17:BP$149)</f>
        <v>0</v>
      </c>
      <c r="M2835" s="123">
        <f>SUM(C2835:L2835)</f>
        <v>0</v>
      </c>
    </row>
    <row r="2836" spans="2:13" s="3" customFormat="1" ht="13.2" x14ac:dyDescent="0.25">
      <c r="B2836" s="124" t="s">
        <v>113</v>
      </c>
      <c r="C2836" s="88">
        <f>SUM(C2831:C2835)</f>
        <v>0</v>
      </c>
      <c r="D2836" s="88">
        <f t="shared" ref="D2836:M2836" si="681">SUM(D2831:D2835)</f>
        <v>0</v>
      </c>
      <c r="E2836" s="88">
        <f t="shared" si="681"/>
        <v>0</v>
      </c>
      <c r="F2836" s="88">
        <f t="shared" si="681"/>
        <v>0</v>
      </c>
      <c r="G2836" s="88">
        <f t="shared" si="681"/>
        <v>0</v>
      </c>
      <c r="H2836" s="88">
        <f t="shared" si="681"/>
        <v>0</v>
      </c>
      <c r="I2836" s="88">
        <f t="shared" si="681"/>
        <v>0</v>
      </c>
      <c r="J2836" s="88">
        <f t="shared" si="681"/>
        <v>0</v>
      </c>
      <c r="K2836" s="88">
        <f t="shared" si="681"/>
        <v>0</v>
      </c>
      <c r="L2836" s="88">
        <f t="shared" si="681"/>
        <v>0</v>
      </c>
      <c r="M2836" s="142">
        <f t="shared" si="681"/>
        <v>0</v>
      </c>
    </row>
    <row r="2837" spans="2:13" s="3" customFormat="1" ht="13.2" x14ac:dyDescent="0.25">
      <c r="B2837" s="287"/>
      <c r="C2837" s="37"/>
      <c r="D2837" s="37"/>
      <c r="E2837" s="37"/>
      <c r="F2837" s="37"/>
      <c r="G2837" s="37"/>
      <c r="H2837" s="37"/>
      <c r="I2837" s="37"/>
      <c r="J2837" s="37"/>
      <c r="K2837" s="37"/>
      <c r="L2837" s="37"/>
      <c r="M2837" s="37"/>
    </row>
    <row r="2838" spans="2:13" s="3" customFormat="1" ht="12.75" customHeight="1" x14ac:dyDescent="0.25">
      <c r="B2838" s="656" t="str">
        <f>IF('1. INTRO'!I$2="English","Co-funding share in full cost ","Medfinansieringsandel i full kostnad ")</f>
        <v xml:space="preserve">Co-funding share in full cost </v>
      </c>
      <c r="C2838" s="143" t="str">
        <f t="shared" ref="C2838:M2838" si="682">IF(C2836&gt;0,C2828/C2836,"")</f>
        <v/>
      </c>
      <c r="D2838" s="143" t="str">
        <f t="shared" si="682"/>
        <v/>
      </c>
      <c r="E2838" s="143" t="str">
        <f t="shared" si="682"/>
        <v/>
      </c>
      <c r="F2838" s="143" t="str">
        <f t="shared" si="682"/>
        <v/>
      </c>
      <c r="G2838" s="143" t="str">
        <f t="shared" si="682"/>
        <v/>
      </c>
      <c r="H2838" s="143" t="str">
        <f t="shared" si="682"/>
        <v/>
      </c>
      <c r="I2838" s="143" t="str">
        <f t="shared" si="682"/>
        <v/>
      </c>
      <c r="J2838" s="143" t="str">
        <f t="shared" si="682"/>
        <v/>
      </c>
      <c r="K2838" s="143" t="str">
        <f t="shared" si="682"/>
        <v/>
      </c>
      <c r="L2838" s="143" t="str">
        <f t="shared" si="682"/>
        <v/>
      </c>
      <c r="M2838" s="143" t="str">
        <f t="shared" si="682"/>
        <v/>
      </c>
    </row>
    <row r="2839" spans="2:13" ht="12.75" customHeight="1" x14ac:dyDescent="0.2"/>
    <row r="2840" spans="2:13" ht="12.75" customHeight="1" x14ac:dyDescent="0.25">
      <c r="D2840" s="676" t="str">
        <f>IF('1. INTRO'!I$2="English","Co-funding need in average per year: ","Medfinansieringsbehov i genomsnitt per år: ")</f>
        <v xml:space="preserve">Co-funding need in average per year: </v>
      </c>
      <c r="E2840" s="92" t="str">
        <f>IF(M2828=0,"",M2828/(DATEDIF('2. START'!C$18,'2. START'!C$19,"d")/365))</f>
        <v/>
      </c>
      <c r="H2840" s="676" t="str">
        <f>IF('1. INTRO'!I$2="English","Co-funding need 1/3 of total: ","Medfinansieringsbehov 1/3 av totalt: ")</f>
        <v xml:space="preserve">Co-funding need 1/3 of total: </v>
      </c>
      <c r="I2840" s="92">
        <f>M2828/3</f>
        <v>0</v>
      </c>
      <c r="L2840" s="287" t="str">
        <f>IF('1. INTRO'!I$2="English","Co-funding need total: ","Medfinansieringsbehov totalt: ")</f>
        <v xml:space="preserve">Co-funding need total: </v>
      </c>
      <c r="M2840" s="92">
        <f>M2828</f>
        <v>0</v>
      </c>
    </row>
    <row r="2841" spans="2:13" ht="12.75" customHeight="1" x14ac:dyDescent="0.25">
      <c r="B2841" s="53" t="str">
        <f>IF('1. INTRO'!I$2="English","Co-funding sources","Medfinansieringskällor")</f>
        <v>Co-funding sources</v>
      </c>
    </row>
    <row r="2842" spans="2:13" ht="12.75" customHeight="1" x14ac:dyDescent="0.25">
      <c r="B2842" s="225"/>
      <c r="C2842" s="226"/>
      <c r="D2842" s="226"/>
      <c r="E2842" s="226"/>
      <c r="F2842" s="226"/>
      <c r="G2842" s="226"/>
      <c r="H2842" s="226"/>
      <c r="I2842" s="226"/>
      <c r="J2842" s="226"/>
      <c r="K2842" s="226"/>
      <c r="L2842" s="227"/>
      <c r="M2842" s="168">
        <f>SUM(C2842:L2842)</f>
        <v>0</v>
      </c>
    </row>
    <row r="2843" spans="2:13" ht="12.75" customHeight="1" x14ac:dyDescent="0.25">
      <c r="B2843" s="228"/>
      <c r="C2843" s="229"/>
      <c r="D2843" s="229"/>
      <c r="E2843" s="229"/>
      <c r="F2843" s="229"/>
      <c r="G2843" s="229"/>
      <c r="H2843" s="229"/>
      <c r="I2843" s="229"/>
      <c r="J2843" s="229"/>
      <c r="K2843" s="229"/>
      <c r="L2843" s="230"/>
      <c r="M2843" s="120">
        <f t="shared" ref="M2843:M2846" si="683">SUM(C2843:L2843)</f>
        <v>0</v>
      </c>
    </row>
    <row r="2844" spans="2:13" ht="12.75" customHeight="1" x14ac:dyDescent="0.25">
      <c r="B2844" s="231"/>
      <c r="C2844" s="232"/>
      <c r="D2844" s="232"/>
      <c r="E2844" s="232"/>
      <c r="F2844" s="232"/>
      <c r="G2844" s="232"/>
      <c r="H2844" s="232"/>
      <c r="I2844" s="232"/>
      <c r="J2844" s="232"/>
      <c r="K2844" s="232"/>
      <c r="L2844" s="233"/>
      <c r="M2844" s="117">
        <f t="shared" si="683"/>
        <v>0</v>
      </c>
    </row>
    <row r="2845" spans="2:13" ht="12.75" customHeight="1" x14ac:dyDescent="0.25">
      <c r="B2845" s="228"/>
      <c r="C2845" s="229"/>
      <c r="D2845" s="229"/>
      <c r="E2845" s="229"/>
      <c r="F2845" s="229"/>
      <c r="G2845" s="229"/>
      <c r="H2845" s="229"/>
      <c r="I2845" s="229"/>
      <c r="J2845" s="229"/>
      <c r="K2845" s="229"/>
      <c r="L2845" s="230"/>
      <c r="M2845" s="120">
        <f t="shared" si="683"/>
        <v>0</v>
      </c>
    </row>
    <row r="2846" spans="2:13" ht="12.75" customHeight="1" x14ac:dyDescent="0.25">
      <c r="B2846" s="93"/>
      <c r="C2846" s="232"/>
      <c r="D2846" s="232"/>
      <c r="E2846" s="232"/>
      <c r="F2846" s="232"/>
      <c r="G2846" s="232"/>
      <c r="H2846" s="232"/>
      <c r="I2846" s="232"/>
      <c r="J2846" s="232"/>
      <c r="K2846" s="232"/>
      <c r="L2846" s="233"/>
      <c r="M2846" s="117">
        <f t="shared" si="683"/>
        <v>0</v>
      </c>
    </row>
    <row r="2847" spans="2:13" ht="12.75" customHeight="1" x14ac:dyDescent="0.25">
      <c r="B2847" s="84" t="str">
        <f>IF('1. INTRO'!I$2="English","Total co-funding ","Total medfinansiering ")</f>
        <v xml:space="preserve">Total co-funding </v>
      </c>
      <c r="C2847" s="87">
        <f t="shared" ref="C2847:M2847" si="684">SUM(C2842:C2846)</f>
        <v>0</v>
      </c>
      <c r="D2847" s="87">
        <f t="shared" si="684"/>
        <v>0</v>
      </c>
      <c r="E2847" s="87">
        <f t="shared" si="684"/>
        <v>0</v>
      </c>
      <c r="F2847" s="87">
        <f t="shared" si="684"/>
        <v>0</v>
      </c>
      <c r="G2847" s="87">
        <f t="shared" si="684"/>
        <v>0</v>
      </c>
      <c r="H2847" s="87">
        <f t="shared" si="684"/>
        <v>0</v>
      </c>
      <c r="I2847" s="87">
        <f t="shared" si="684"/>
        <v>0</v>
      </c>
      <c r="J2847" s="87">
        <f t="shared" si="684"/>
        <v>0</v>
      </c>
      <c r="K2847" s="87">
        <f t="shared" si="684"/>
        <v>0</v>
      </c>
      <c r="L2847" s="87">
        <f t="shared" si="684"/>
        <v>0</v>
      </c>
      <c r="M2847" s="142">
        <f t="shared" si="684"/>
        <v>0</v>
      </c>
    </row>
    <row r="2848" spans="2:13" ht="12.75" customHeight="1" x14ac:dyDescent="0.2"/>
    <row r="2849" spans="2:13" ht="12.75" customHeight="1" x14ac:dyDescent="0.2">
      <c r="B2849" s="667" t="str">
        <f>IF('1. INTRO'!I$2="English","Calculation comments","Kalkylkommentarer")</f>
        <v>Calculation comments</v>
      </c>
      <c r="C2849" s="37" t="str">
        <f>B69</f>
        <v/>
      </c>
    </row>
    <row r="2850" spans="2:13" ht="12.75" customHeight="1" x14ac:dyDescent="0.2">
      <c r="B2850" s="1142"/>
      <c r="C2850" s="1143"/>
      <c r="D2850" s="1143"/>
      <c r="E2850" s="1143"/>
      <c r="F2850" s="1143"/>
      <c r="G2850" s="1143"/>
      <c r="H2850" s="1143"/>
      <c r="I2850" s="1143"/>
      <c r="J2850" s="1143"/>
      <c r="K2850" s="1143"/>
      <c r="L2850" s="1143"/>
      <c r="M2850" s="1144"/>
    </row>
    <row r="2851" spans="2:13" ht="12.75" customHeight="1" x14ac:dyDescent="0.2">
      <c r="B2851" s="1145"/>
      <c r="C2851" s="1226"/>
      <c r="D2851" s="1226"/>
      <c r="E2851" s="1226"/>
      <c r="F2851" s="1226"/>
      <c r="G2851" s="1226"/>
      <c r="H2851" s="1226"/>
      <c r="I2851" s="1226"/>
      <c r="J2851" s="1226"/>
      <c r="K2851" s="1226"/>
      <c r="L2851" s="1226"/>
      <c r="M2851" s="1147"/>
    </row>
    <row r="2852" spans="2:13" ht="12.75" customHeight="1" x14ac:dyDescent="0.2">
      <c r="B2852" s="1145"/>
      <c r="C2852" s="1226"/>
      <c r="D2852" s="1226"/>
      <c r="E2852" s="1226"/>
      <c r="F2852" s="1226"/>
      <c r="G2852" s="1226"/>
      <c r="H2852" s="1226"/>
      <c r="I2852" s="1226"/>
      <c r="J2852" s="1226"/>
      <c r="K2852" s="1226"/>
      <c r="L2852" s="1226"/>
      <c r="M2852" s="1147"/>
    </row>
    <row r="2853" spans="2:13" ht="12.75" customHeight="1" x14ac:dyDescent="0.2">
      <c r="B2853" s="1145"/>
      <c r="C2853" s="1226"/>
      <c r="D2853" s="1226"/>
      <c r="E2853" s="1226"/>
      <c r="F2853" s="1226"/>
      <c r="G2853" s="1226"/>
      <c r="H2853" s="1226"/>
      <c r="I2853" s="1226"/>
      <c r="J2853" s="1226"/>
      <c r="K2853" s="1226"/>
      <c r="L2853" s="1226"/>
      <c r="M2853" s="1147"/>
    </row>
    <row r="2854" spans="2:13" ht="12.75" customHeight="1" x14ac:dyDescent="0.2">
      <c r="B2854" s="1148"/>
      <c r="C2854" s="1149"/>
      <c r="D2854" s="1149"/>
      <c r="E2854" s="1149"/>
      <c r="F2854" s="1149"/>
      <c r="G2854" s="1149"/>
      <c r="H2854" s="1149"/>
      <c r="I2854" s="1149"/>
      <c r="J2854" s="1149"/>
      <c r="K2854" s="1149"/>
      <c r="L2854" s="1149"/>
      <c r="M2854" s="1150"/>
    </row>
    <row r="2856" spans="2:13" s="3" customFormat="1" ht="12.75" customHeight="1" x14ac:dyDescent="0.25">
      <c r="B2856" s="313" t="str">
        <f>'3. PARTNER'!C$4</f>
        <v xml:space="preserve">Project: </v>
      </c>
      <c r="C2856" s="1062" t="str">
        <f>'3. PARTNER'!D$4</f>
        <v/>
      </c>
      <c r="D2856" s="1001"/>
      <c r="E2856" s="1001"/>
      <c r="F2856" s="1001"/>
      <c r="G2856" s="1001"/>
      <c r="H2856" s="1001"/>
      <c r="I2856" s="1001"/>
      <c r="J2856" s="1001"/>
      <c r="K2856" s="1001"/>
      <c r="L2856" s="1001"/>
      <c r="M2856" s="1001"/>
    </row>
    <row r="2857" spans="2:13" s="3" customFormat="1" ht="13.2" x14ac:dyDescent="0.25">
      <c r="B2857" s="313" t="str">
        <f>'3. PARTNER'!C$5</f>
        <v xml:space="preserve">Calculation for: </v>
      </c>
      <c r="C2857" s="1062" t="str">
        <f>'3. PARTNER'!D$5</f>
        <v>APPLICATION</v>
      </c>
      <c r="D2857" s="1001"/>
      <c r="E2857" s="268"/>
      <c r="F2857" s="268"/>
      <c r="G2857" s="268"/>
      <c r="H2857" s="268"/>
      <c r="I2857" s="268"/>
      <c r="J2857" s="268"/>
      <c r="K2857" s="268"/>
      <c r="L2857" s="268"/>
      <c r="M2857" s="268"/>
    </row>
    <row r="2858" spans="2:13" s="3" customFormat="1" ht="13.2" x14ac:dyDescent="0.25">
      <c r="B2858" s="35" t="str">
        <f>'3. PARTNER'!C$6</f>
        <v xml:space="preserve">Project leader: </v>
      </c>
      <c r="C2858" s="1062" t="str">
        <f>'3. PARTNER'!D$6</f>
        <v/>
      </c>
      <c r="D2858" s="1001"/>
      <c r="E2858" s="1001"/>
      <c r="F2858" s="1001"/>
      <c r="G2858" s="1001"/>
      <c r="H2858" s="1001"/>
      <c r="I2858" s="1001"/>
      <c r="J2858" s="1001"/>
      <c r="K2858" s="1001"/>
      <c r="L2858" s="1001"/>
      <c r="M2858" s="1001"/>
    </row>
    <row r="2859" spans="2:13" s="3" customFormat="1" ht="13.2" x14ac:dyDescent="0.25">
      <c r="B2859" s="313" t="str">
        <f>'5. PERSON'!B$7</f>
        <v xml:space="preserve">Amounts in: </v>
      </c>
      <c r="C2859" s="655" t="str">
        <f>'5. PERSON'!C$7</f>
        <v>SEK</v>
      </c>
      <c r="D2859" s="268"/>
      <c r="E2859" s="268"/>
      <c r="F2859" s="268"/>
      <c r="G2859" s="234"/>
      <c r="H2859" s="234"/>
      <c r="I2859" s="270"/>
      <c r="J2859" s="270"/>
      <c r="K2859" s="270"/>
      <c r="L2859" s="270"/>
      <c r="M2859" s="270"/>
    </row>
    <row r="2860" spans="2:13" s="3" customFormat="1" ht="13.2" x14ac:dyDescent="0.25">
      <c r="B2860" s="313"/>
      <c r="C2860" s="1053" t="str">
        <f>'3. PARTNER'!D$7</f>
        <v>Other basic data about the project is in sheet 2.</v>
      </c>
      <c r="D2860" s="1001"/>
      <c r="E2860" s="1001"/>
      <c r="F2860" s="1001"/>
      <c r="G2860" s="234"/>
      <c r="H2860" s="234"/>
      <c r="I2860" s="270"/>
      <c r="J2860" s="270"/>
      <c r="K2860" s="270"/>
      <c r="L2860" s="251" t="s">
        <v>4</v>
      </c>
      <c r="M2860" s="270"/>
    </row>
    <row r="2861" spans="2:13" ht="12.75" customHeight="1" x14ac:dyDescent="0.2">
      <c r="L2861" s="252" t="str">
        <f>IF('1. INTRO'!I$2="English","months","månader")</f>
        <v>months</v>
      </c>
    </row>
    <row r="2862" spans="2:13" s="3" customFormat="1" ht="13.8" x14ac:dyDescent="0.25">
      <c r="B2862" s="157" t="str">
        <f>IF('1. INTRO'!I$2="English","Project costs","Projektkostnader")</f>
        <v>Project costs</v>
      </c>
      <c r="C2862" s="668" t="str">
        <f>A70</f>
        <v>EXT112</v>
      </c>
      <c r="D2862" s="1227" t="str">
        <f>B70</f>
        <v/>
      </c>
      <c r="E2862" s="1001"/>
      <c r="F2862" s="1001"/>
      <c r="G2862" s="1001"/>
      <c r="H2862" s="1001"/>
      <c r="I2862" s="37"/>
      <c r="J2862" s="37"/>
      <c r="K2862" s="37"/>
      <c r="L2862" s="642">
        <f>SUMIF('5. PERSON'!$B$17:$B$192,$C2862,'5. PERSON'!AE$17:AE$192)</f>
        <v>0</v>
      </c>
      <c r="M2862" s="680" t="s">
        <v>330</v>
      </c>
    </row>
    <row r="2863" spans="2:13" s="3" customFormat="1" ht="6" customHeight="1" x14ac:dyDescent="0.25">
      <c r="B2863" s="57"/>
      <c r="C2863" s="37"/>
      <c r="D2863" s="37"/>
      <c r="E2863" s="37"/>
      <c r="F2863" s="37"/>
      <c r="G2863" s="37"/>
      <c r="H2863" s="37"/>
      <c r="I2863" s="37"/>
      <c r="J2863" s="37"/>
      <c r="K2863" s="37"/>
      <c r="L2863" s="37"/>
      <c r="M2863" s="37"/>
    </row>
    <row r="2864" spans="2:13" s="3" customFormat="1" ht="13.2" x14ac:dyDescent="0.25">
      <c r="B2864" s="110" t="str">
        <f>IF('1. INTRO'!I$2="English","Costs to be covered by funding body","Kostnader att täckas av finansiär")</f>
        <v>Costs to be covered by funding body</v>
      </c>
      <c r="C2864" s="111">
        <f>'5. PERSON'!G$15</f>
        <v>1900</v>
      </c>
      <c r="D2864" s="111" t="str">
        <f>'5. PERSON'!H$15</f>
        <v/>
      </c>
      <c r="E2864" s="111" t="str">
        <f>'5. PERSON'!I$15</f>
        <v/>
      </c>
      <c r="F2864" s="111" t="str">
        <f>'5. PERSON'!J$15</f>
        <v/>
      </c>
      <c r="G2864" s="111" t="str">
        <f>'5. PERSON'!K$15</f>
        <v/>
      </c>
      <c r="H2864" s="111" t="str">
        <f>'5. PERSON'!L$15</f>
        <v/>
      </c>
      <c r="I2864" s="111" t="str">
        <f>'5. PERSON'!M$15</f>
        <v/>
      </c>
      <c r="J2864" s="111" t="str">
        <f>'5. PERSON'!N$15</f>
        <v/>
      </c>
      <c r="K2864" s="111" t="str">
        <f>'5. PERSON'!O$15</f>
        <v/>
      </c>
      <c r="L2864" s="111" t="str">
        <f>'5. PERSON'!P$15</f>
        <v/>
      </c>
      <c r="M2864" s="112" t="s">
        <v>2</v>
      </c>
    </row>
    <row r="2865" spans="2:15" s="3" customFormat="1" ht="12.75" customHeight="1" x14ac:dyDescent="0.25">
      <c r="B2865" s="113" t="str">
        <f>IF('1. INTRO'!I$2="English","Salary including social costs (LKP)","Lön inklusive LKP")</f>
        <v>Salary including social costs (LKP)</v>
      </c>
      <c r="C2865" s="114">
        <f>IF('2. START'!$C$14&gt;0,SUMIF('5. PERSON'!$B$17:$B$192,$C2862,'5. PERSON'!DN$17:DN$192),SUMIF('5. PERSON'!$B$17:$B$192,$C2862,'5. PERSON'!AT$17:AT$192))</f>
        <v>0</v>
      </c>
      <c r="D2865" s="114">
        <f>IF('2. START'!$C$14&gt;0,SUMIF('5. PERSON'!$B$17:$B$192,$C2862,'5. PERSON'!DO$17:DO$192),SUMIF('5. PERSON'!$B$17:$B$192,$C2862,'5. PERSON'!AU$17:AU$192))</f>
        <v>0</v>
      </c>
      <c r="E2865" s="114">
        <f>IF('2. START'!$C$14&gt;0,SUMIF('5. PERSON'!$B$17:$B$192,$C2862,'5. PERSON'!DP$17:DP$192),SUMIF('5. PERSON'!$B$17:$B$192,$C2862,'5. PERSON'!AV$17:AV$192))</f>
        <v>0</v>
      </c>
      <c r="F2865" s="114">
        <f>IF('2. START'!$C$14&gt;0,SUMIF('5. PERSON'!$B$17:$B$192,$C2862,'5. PERSON'!DQ$17:DQ$192),SUMIF('5. PERSON'!$B$17:$B$192,$C2862,'5. PERSON'!AW$17:AW$192))</f>
        <v>0</v>
      </c>
      <c r="G2865" s="114">
        <f>IF('2. START'!$C$14&gt;0,SUMIF('5. PERSON'!$B$17:$B$192,$C2862,'5. PERSON'!DR$17:DR$192),SUMIF('5. PERSON'!$B$17:$B$192,$C2862,'5. PERSON'!AX$17:AX$192))</f>
        <v>0</v>
      </c>
      <c r="H2865" s="114">
        <f>IF('2. START'!$C$14&gt;0,SUMIF('5. PERSON'!$B$17:$B$192,$C2862,'5. PERSON'!DS$17:DS$192),SUMIF('5. PERSON'!$B$17:$B$192,$C2862,'5. PERSON'!AY$17:AY$192))</f>
        <v>0</v>
      </c>
      <c r="I2865" s="114">
        <f>IF('2. START'!$C$14&gt;0,SUMIF('5. PERSON'!$B$17:$B$192,$C2862,'5. PERSON'!DT$17:DT$192),SUMIF('5. PERSON'!$B$17:$B$192,$C2862,'5. PERSON'!AZ$17:AZ$192))</f>
        <v>0</v>
      </c>
      <c r="J2865" s="114">
        <f>IF('2. START'!$C$14&gt;0,SUMIF('5. PERSON'!$B$17:$B$192,$C2862,'5. PERSON'!DU$17:DU$192),SUMIF('5. PERSON'!$B$17:$B$192,$C2862,'5. PERSON'!BA$17:BA$192))</f>
        <v>0</v>
      </c>
      <c r="K2865" s="114">
        <f>IF('2. START'!$C$14&gt;0,SUMIF('5. PERSON'!$B$17:$B$192,$C2862,'5. PERSON'!DV$17:DV$192),SUMIF('5. PERSON'!$B$17:$B$192,$C2862,'5. PERSON'!BB$17:BB$192))</f>
        <v>0</v>
      </c>
      <c r="L2865" s="114">
        <f>IF('2. START'!$C$14&gt;0,SUMIF('5. PERSON'!$B$17:$B$192,$C2862,'5. PERSON'!DW$17:DW$192),SUMIF('5. PERSON'!$B$17:$B$192,$C2862,'5. PERSON'!BC$17:BC$192))</f>
        <v>0</v>
      </c>
      <c r="M2865" s="115">
        <f t="shared" ref="M2865:M2870" si="685">SUM(C2865:L2865)</f>
        <v>0</v>
      </c>
      <c r="O2865" s="4"/>
    </row>
    <row r="2866" spans="2:15" s="3" customFormat="1" ht="12.75" customHeight="1" x14ac:dyDescent="0.25">
      <c r="B2866" s="80" t="str">
        <f>IF('1. INTRO'!I$2="English","Operating","Drift")</f>
        <v>Operating</v>
      </c>
      <c r="C2866" s="116">
        <f>SUMIF('6. OPERATION'!$B$17:$B$149,$C2862,'6. OPERATION'!W$17:W$149)</f>
        <v>0</v>
      </c>
      <c r="D2866" s="116">
        <f>SUMIF('6. OPERATION'!$B$17:$B$149,$C2862,'6. OPERATION'!X$17:X$149)</f>
        <v>0</v>
      </c>
      <c r="E2866" s="116">
        <f>SUMIF('6. OPERATION'!$B$17:$B$149,$C2862,'6. OPERATION'!Y$17:Y$149)</f>
        <v>0</v>
      </c>
      <c r="F2866" s="116">
        <f>SUMIF('6. OPERATION'!$B$17:$B$149,$C2862,'6. OPERATION'!Z$17:Z$149)</f>
        <v>0</v>
      </c>
      <c r="G2866" s="116">
        <f>SUMIF('6. OPERATION'!$B$17:$B$149,$C2862,'6. OPERATION'!AA$17:AA$149)</f>
        <v>0</v>
      </c>
      <c r="H2866" s="116">
        <f>SUMIF('6. OPERATION'!$B$17:$B$149,$C2862,'6. OPERATION'!AB$17:AB$149)</f>
        <v>0</v>
      </c>
      <c r="I2866" s="116">
        <f>SUMIF('6. OPERATION'!$B$17:$B$149,$C2862,'6. OPERATION'!AC$17:AC$149)</f>
        <v>0</v>
      </c>
      <c r="J2866" s="116">
        <f>SUMIF('6. OPERATION'!$B$17:$B$149,$C2862,'6. OPERATION'!AD$17:AD$149)</f>
        <v>0</v>
      </c>
      <c r="K2866" s="116">
        <f>SUMIF('6. OPERATION'!$B$17:$B$149,$C2862,'6. OPERATION'!AE$17:AE$149)</f>
        <v>0</v>
      </c>
      <c r="L2866" s="116">
        <f>SUMIF('6. OPERATION'!$B$17:$B$149,$C2862,'6. OPERATION'!AF$17:AF$149)</f>
        <v>0</v>
      </c>
      <c r="M2866" s="117">
        <f t="shared" si="685"/>
        <v>0</v>
      </c>
    </row>
    <row r="2867" spans="2:15" s="3" customFormat="1" ht="13.2" x14ac:dyDescent="0.25">
      <c r="B2867" s="118" t="str">
        <f>IF('1. INTRO'!I$2="English","Equipment","Utrustning")</f>
        <v>Equipment</v>
      </c>
      <c r="C2867" s="119">
        <f>SUMIF('7. INVEST'!$B$17:$B$49,$C2862,'7. INVEST'!W$17:W$49)</f>
        <v>0</v>
      </c>
      <c r="D2867" s="119">
        <f>SUMIF('7. INVEST'!$B$17:$B$49,$C2862,'7. INVEST'!X$17:X$49)</f>
        <v>0</v>
      </c>
      <c r="E2867" s="119">
        <f>SUMIF('7. INVEST'!$B$17:$B$49,$C2862,'7. INVEST'!Y$17:Y$49)</f>
        <v>0</v>
      </c>
      <c r="F2867" s="119">
        <f>SUMIF('7. INVEST'!$B$17:$B$49,$C2862,'7. INVEST'!Z$17:Z$49)</f>
        <v>0</v>
      </c>
      <c r="G2867" s="119">
        <f>SUMIF('7. INVEST'!$B$17:$B$49,$C2862,'7. INVEST'!AA$17:AA$49)</f>
        <v>0</v>
      </c>
      <c r="H2867" s="119">
        <f>SUMIF('7. INVEST'!$B$17:$B$49,$C2862,'7. INVEST'!AB$17:AB$49)</f>
        <v>0</v>
      </c>
      <c r="I2867" s="119">
        <f>SUMIF('7. INVEST'!$B$17:$B$49,$C2862,'7. INVEST'!AC$17:AC$49)</f>
        <v>0</v>
      </c>
      <c r="J2867" s="119">
        <f>SUMIF('7. INVEST'!$B$17:$B$49,$C2862,'7. INVEST'!AD$17:AD$49)</f>
        <v>0</v>
      </c>
      <c r="K2867" s="119">
        <f>SUMIF('7. INVEST'!$B$17:$B$49,$C2862,'7. INVEST'!AE$17:AE$49)</f>
        <v>0</v>
      </c>
      <c r="L2867" s="119">
        <f>SUMIF('7. INVEST'!$B$17:$B$49,$C2862,'7. INVEST'!AF$17:AF$49)</f>
        <v>0</v>
      </c>
      <c r="M2867" s="120">
        <f t="shared" si="685"/>
        <v>0</v>
      </c>
    </row>
    <row r="2868" spans="2:15" s="3" customFormat="1" ht="13.2" x14ac:dyDescent="0.25">
      <c r="B2868" s="121" t="str">
        <f>IF('1. INTRO'!I$2="English",(IF('2. START'!C$11="NO","Facility accepted as direct cost by funding body","Facility")),IF('2. START'!C$11="NO","Lokal accepterad som direkt kostnad av finansiär","Lokal"))</f>
        <v>Facility</v>
      </c>
      <c r="C2868" s="116">
        <f>IF('2. START'!$C$11="NO",SUMIF('8. FACILIT'!$B$18:$B$50,$C2862,'8. FACILIT'!T$18:T$50),SUMIF('5. PERSON'!$B$17:$B$192,$C2862,'5. PERSON'!CP$17:CP$192)+SUMIF('6. OPERATION'!$B$17:$B$149,$C2862,'6. OPERATION'!BS$17:BS$149)+SUMIF('8. FACILIT'!$B$18:$B$50,$C2862,'8. FACILIT'!T$18:T$50))</f>
        <v>0</v>
      </c>
      <c r="D2868" s="116">
        <f>IF('2. START'!$C$11="NO",SUMIF('8. FACILIT'!$B$18:$B$50,$C2862,'8. FACILIT'!U$18:U$50),SUMIF('5. PERSON'!$B$17:$B$192,$C2862,'5. PERSON'!CQ$17:CQ$192)+SUMIF('6. OPERATION'!$B$17:$B$149,$C2862,'6. OPERATION'!BT$17:BT$149)+SUMIF('8. FACILIT'!$B$18:$B$50,$C2862,'8. FACILIT'!U$18:U$50))</f>
        <v>0</v>
      </c>
      <c r="E2868" s="116">
        <f>IF('2. START'!$C$11="NO",SUMIF('8. FACILIT'!$B$18:$B$50,$C2862,'8. FACILIT'!V$18:V$50),SUMIF('5. PERSON'!$B$17:$B$192,$C2862,'5. PERSON'!CR$17:CR$192)+SUMIF('6. OPERATION'!$B$17:$B$149,$C2862,'6. OPERATION'!BU$17:BU$149)+SUMIF('8. FACILIT'!$B$18:$B$50,$C2862,'8. FACILIT'!V$18:V$50))</f>
        <v>0</v>
      </c>
      <c r="F2868" s="116">
        <f>IF('2. START'!$C$11="NO",SUMIF('8. FACILIT'!$B$18:$B$50,$C2862,'8. FACILIT'!W$18:W$50),SUMIF('5. PERSON'!$B$17:$B$192,$C2862,'5. PERSON'!CS$17:CS$192)+SUMIF('6. OPERATION'!$B$17:$B$149,$C2862,'6. OPERATION'!BV$17:BV$149)+SUMIF('8. FACILIT'!$B$18:$B$50,$C2862,'8. FACILIT'!W$18:W$50))</f>
        <v>0</v>
      </c>
      <c r="G2868" s="116">
        <f>IF('2. START'!$C$11="NO",SUMIF('8. FACILIT'!$B$18:$B$50,$C2862,'8. FACILIT'!X$18:X$50),SUMIF('5. PERSON'!$B$17:$B$192,$C2862,'5. PERSON'!CT$17:CT$192)+SUMIF('6. OPERATION'!$B$17:$B$149,$C2862,'6. OPERATION'!BW$17:BW$149)+SUMIF('8. FACILIT'!$B$18:$B$50,$C2862,'8. FACILIT'!X$18:X$50))</f>
        <v>0</v>
      </c>
      <c r="H2868" s="116">
        <f>IF('2. START'!$C$11="NO",SUMIF('8. FACILIT'!$B$18:$B$50,$C2862,'8. FACILIT'!Y$18:Y$50),SUMIF('5. PERSON'!$B$17:$B$192,$C2862,'5. PERSON'!CU$17:CU$192)+SUMIF('6. OPERATION'!$B$17:$B$149,$C2862,'6. OPERATION'!BX$17:BX$149)+SUMIF('8. FACILIT'!$B$18:$B$50,$C2862,'8. FACILIT'!Y$18:Y$50))</f>
        <v>0</v>
      </c>
      <c r="I2868" s="116">
        <f>IF('2. START'!$C$11="NO",SUMIF('8. FACILIT'!$B$18:$B$50,$C2862,'8. FACILIT'!Z$18:Z$50),SUMIF('5. PERSON'!$B$17:$B$192,$C2862,'5. PERSON'!CV$17:CV$192)+SUMIF('6. OPERATION'!$B$17:$B$149,$C2862,'6. OPERATION'!BY$17:BY$149)+SUMIF('8. FACILIT'!$B$18:$B$50,$C2862,'8. FACILIT'!Z$18:Z$50))</f>
        <v>0</v>
      </c>
      <c r="J2868" s="116">
        <f>IF('2. START'!$C$11="NO",SUMIF('8. FACILIT'!$B$18:$B$50,$C2862,'8. FACILIT'!AA$18:AA$50),SUMIF('5. PERSON'!$B$17:$B$192,$C2862,'5. PERSON'!CW$17:CW$192)+SUMIF('6. OPERATION'!$B$17:$B$149,$C2862,'6. OPERATION'!BZ$17:BZ$149)+SUMIF('8. FACILIT'!$B$18:$B$50,$C2862,'8. FACILIT'!AA$18:AA$50))</f>
        <v>0</v>
      </c>
      <c r="K2868" s="116">
        <f>IF('2. START'!$C$11="NO",SUMIF('8. FACILIT'!$B$18:$B$50,$C2862,'8. FACILIT'!AB$18:AB$50),SUMIF('5. PERSON'!$B$17:$B$192,$C2862,'5. PERSON'!CX$17:CX$192)+SUMIF('6. OPERATION'!$B$17:$B$149,$C2862,'6. OPERATION'!CA$17:CA$149)+SUMIF('8. FACILIT'!$B$18:$B$50,$C2862,'8. FACILIT'!AB$18:AB$50))</f>
        <v>0</v>
      </c>
      <c r="L2868" s="116">
        <f>IF('2. START'!$C$11="NO",SUMIF('8. FACILIT'!$B$18:$B$50,$C2862,'8. FACILIT'!AC$18:AC$50),SUMIF('5. PERSON'!$B$17:$B$192,$C2862,'5. PERSON'!CY$17:CY$192)+SUMIF('6. OPERATION'!$B$17:$B$149,$C2862,'6. OPERATION'!CB$17:CB$149)+SUMIF('8. FACILIT'!$B$18:$B$50,$C2862,'8. FACILIT'!AC$18:AC$50))</f>
        <v>0</v>
      </c>
      <c r="M2868" s="117">
        <f t="shared" si="685"/>
        <v>0</v>
      </c>
    </row>
    <row r="2869" spans="2:15" s="3" customFormat="1" ht="13.2" x14ac:dyDescent="0.25">
      <c r="B2869" s="122" t="str">
        <f>IF('1. INTRO'!I$2="English",(IF('2. START'!C$11="NO","Indirect and facility charge accepted as OH by funding body","Indirect")),IF('2. START'!C$11="NO","Indirekt och lokalpåslag accepterade som OH av finansiär","Indirekt"))</f>
        <v>Indirect</v>
      </c>
      <c r="C2869" s="107">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107">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107">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107">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107">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107">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107">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107">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107">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107">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120">
        <f t="shared" si="685"/>
        <v>0</v>
      </c>
    </row>
    <row r="2870" spans="2:15" s="3" customFormat="1" ht="13.2" x14ac:dyDescent="0.25">
      <c r="B2870" s="124" t="s">
        <v>113</v>
      </c>
      <c r="C2870" s="102">
        <f>SUM(C2865:C2869)</f>
        <v>0</v>
      </c>
      <c r="D2870" s="102">
        <f t="shared" ref="D2870:L2870" si="686">SUM(D2865:D2869)</f>
        <v>0</v>
      </c>
      <c r="E2870" s="102">
        <f t="shared" si="686"/>
        <v>0</v>
      </c>
      <c r="F2870" s="102">
        <f t="shared" si="686"/>
        <v>0</v>
      </c>
      <c r="G2870" s="102">
        <f t="shared" si="686"/>
        <v>0</v>
      </c>
      <c r="H2870" s="102">
        <f t="shared" si="686"/>
        <v>0</v>
      </c>
      <c r="I2870" s="102">
        <f t="shared" si="686"/>
        <v>0</v>
      </c>
      <c r="J2870" s="102">
        <f t="shared" si="686"/>
        <v>0</v>
      </c>
      <c r="K2870" s="102">
        <f t="shared" si="686"/>
        <v>0</v>
      </c>
      <c r="L2870" s="102">
        <f t="shared" si="686"/>
        <v>0</v>
      </c>
      <c r="M2870" s="125">
        <f t="shared" si="685"/>
        <v>0</v>
      </c>
    </row>
    <row r="2871" spans="2:15" s="3" customFormat="1" ht="6" customHeight="1" x14ac:dyDescent="0.25">
      <c r="B2871" s="126"/>
      <c r="C2871" s="127"/>
      <c r="D2871" s="127"/>
      <c r="E2871" s="127"/>
      <c r="F2871" s="127"/>
      <c r="G2871" s="127"/>
      <c r="H2871" s="127"/>
      <c r="I2871" s="127"/>
      <c r="J2871" s="127"/>
      <c r="K2871" s="127"/>
      <c r="L2871" s="127"/>
      <c r="M2871" s="128"/>
    </row>
    <row r="2872" spans="2:15" s="3" customFormat="1" ht="13.2" x14ac:dyDescent="0.25">
      <c r="B2872" s="129" t="str">
        <f>IF('1. INTRO'!I$2="English","Costs to be co-funded","Kostnader att medfinansiera")</f>
        <v>Costs to be co-funded</v>
      </c>
      <c r="C2872" s="86"/>
      <c r="D2872" s="86"/>
      <c r="E2872" s="86"/>
      <c r="F2872" s="86"/>
      <c r="G2872" s="86"/>
      <c r="H2872" s="86"/>
      <c r="I2872" s="86"/>
      <c r="J2872" s="86"/>
      <c r="K2872" s="86"/>
      <c r="L2872" s="86"/>
      <c r="M2872" s="130"/>
    </row>
    <row r="2873" spans="2:15" s="3" customFormat="1" ht="13.2" x14ac:dyDescent="0.25">
      <c r="B2873" s="159" t="str">
        <f>IF('1. INTRO'!I$2="English",(IF('2. START'!C$11="NO","Indirect and facility charge not accepted as OH by funding body","")),IF('2. START'!C$11="NO","Indirekt och lokalpåslag inte accepterade som OH av finansiär",""))</f>
        <v/>
      </c>
      <c r="C2873" s="131">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31">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31">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31">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31">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31">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31">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31">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31">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31">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115">
        <f t="shared" ref="M2873:M2879" si="687">SUM(C2873:L2873)</f>
        <v>0</v>
      </c>
    </row>
    <row r="2874" spans="2:15" s="3" customFormat="1" ht="12.75" customHeight="1" x14ac:dyDescent="0.25">
      <c r="B2874" s="132" t="str">
        <f>IF('1. INTRO'!I$2="English",(IF('2. START'!C$14&gt;0,"Social costs (LKP) not accepted by funding body","")),IF('2. START'!C$14&gt;0,"LKP som inte accepteras av finansiär",""))</f>
        <v/>
      </c>
      <c r="C2874" s="133">
        <f>IF('2. START'!$C$14&gt;0,SUMIF('5. PERSON'!$B$17:$B$192,$C2862,'5. PERSON'!AT$17:AT$192)-SUMIF('5. PERSON'!$B$17:$B$192,$C2862,'5. PERSON'!DN$17:DN$192),0)</f>
        <v>0</v>
      </c>
      <c r="D2874" s="133">
        <f>IF('2. START'!$C$14&gt;0,SUMIF('5. PERSON'!$B$17:$B$192,$C2862,'5. PERSON'!AU$17:AU$192)-SUMIF('5. PERSON'!$B$17:$B$192,$C2862,'5. PERSON'!DO$17:DO$192),0)</f>
        <v>0</v>
      </c>
      <c r="E2874" s="133">
        <f>IF('2. START'!$C$14&gt;0,SUMIF('5. PERSON'!$B$17:$B$192,$C2862,'5. PERSON'!AV$17:AV$192)-SUMIF('5. PERSON'!$B$17:$B$192,$C2862,'5. PERSON'!DP$17:DP$192),0)</f>
        <v>0</v>
      </c>
      <c r="F2874" s="133">
        <f>IF('2. START'!$C$14&gt;0,SUMIF('5. PERSON'!$B$17:$B$192,$C2862,'5. PERSON'!AW$17:AW$192)-SUMIF('5. PERSON'!$B$17:$B$192,$C2862,'5. PERSON'!DQ$17:DQ$192),0)</f>
        <v>0</v>
      </c>
      <c r="G2874" s="133">
        <f>IF('2. START'!$C$14&gt;0,SUMIF('5. PERSON'!$B$17:$B$192,$C2862,'5. PERSON'!AX$17:AX$192)-SUMIF('5. PERSON'!$B$17:$B$192,$C2862,'5. PERSON'!DR$17:DR$192),0)</f>
        <v>0</v>
      </c>
      <c r="H2874" s="133">
        <f>IF('2. START'!$C$14&gt;0,SUMIF('5. PERSON'!$B$17:$B$192,$C2862,'5. PERSON'!AY$17:AY$192)-SUMIF('5. PERSON'!$B$17:$B$192,$C2862,'5. PERSON'!DS$17:DS$192),0)</f>
        <v>0</v>
      </c>
      <c r="I2874" s="133">
        <f>IF('2. START'!$C$14&gt;0,SUMIF('5. PERSON'!$B$17:$B$192,$C2862,'5. PERSON'!AZ$17:AZ$192)-SUMIF('5. PERSON'!$B$17:$B$192,$C2862,'5. PERSON'!DT$17:DT$192),0)</f>
        <v>0</v>
      </c>
      <c r="J2874" s="133">
        <f>IF('2. START'!$C$14&gt;0,SUMIF('5. PERSON'!$B$17:$B$192,$C2862,'5. PERSON'!BA$17:BA$192)-SUMIF('5. PERSON'!$B$17:$B$192,$C2862,'5. PERSON'!DU$17:DU$192),0)</f>
        <v>0</v>
      </c>
      <c r="K2874" s="133">
        <f>IF('2. START'!$C$14&gt;0,SUMIF('5. PERSON'!$B$17:$B$192,$C2862,'5. PERSON'!BB$17:BB$192)-SUMIF('5. PERSON'!$B$17:$B$192,$C2862,'5. PERSON'!DV$17:DV$192),0)</f>
        <v>0</v>
      </c>
      <c r="L2874" s="133">
        <f>IF('2. START'!$C$14&gt;0,SUMIF('5. PERSON'!$B$17:$B$192,$C2862,'5. PERSON'!BC$17:BC$192)-SUMIF('5. PERSON'!$B$17:$B$192,$C2862,'5. PERSON'!DW$17:DW$192),0)</f>
        <v>0</v>
      </c>
      <c r="M2874" s="117">
        <f t="shared" si="687"/>
        <v>0</v>
      </c>
    </row>
    <row r="2875" spans="2:15" s="3" customFormat="1" ht="12.75" customHeight="1" x14ac:dyDescent="0.25">
      <c r="B2875" s="118" t="str">
        <f>IF('1. INTRO'!I$2="English",(IF('5. PERSON'!BP$193&gt;0,"Salary including social costs (LKP)","")),IF('5. PERSON'!BP$193&gt;0,"Lön inklusive LKP",""))</f>
        <v/>
      </c>
      <c r="C2875" s="134">
        <f>SUMIF('5. PERSON'!$B$17:$B$192,$C2862,'5. PERSON'!BF$17:BF$192)</f>
        <v>0</v>
      </c>
      <c r="D2875" s="134">
        <f>SUMIF('5. PERSON'!$B$17:$B$192,$C2862,'5. PERSON'!BG$17:BG$192)</f>
        <v>0</v>
      </c>
      <c r="E2875" s="134">
        <f>SUMIF('5. PERSON'!$B$17:$B$192,$C2862,'5. PERSON'!BH$17:BH$192)</f>
        <v>0</v>
      </c>
      <c r="F2875" s="134">
        <f>SUMIF('5. PERSON'!$B$17:$B$192,$C2862,'5. PERSON'!BI$17:BI$192)</f>
        <v>0</v>
      </c>
      <c r="G2875" s="134">
        <f>SUMIF('5. PERSON'!$B$17:$B$192,$C2862,'5. PERSON'!BJ$17:BJ$192)</f>
        <v>0</v>
      </c>
      <c r="H2875" s="134">
        <f>SUMIF('5. PERSON'!$B$17:$B$192,$C2862,'5. PERSON'!BK$17:BK$192)</f>
        <v>0</v>
      </c>
      <c r="I2875" s="134">
        <f>SUMIF('5. PERSON'!$B$17:$B$192,$C2862,'5. PERSON'!BL$17:BL$192)</f>
        <v>0</v>
      </c>
      <c r="J2875" s="134">
        <f>SUMIF('5. PERSON'!$B$17:$B$192,$C2862,'5. PERSON'!BM$17:BM$192)</f>
        <v>0</v>
      </c>
      <c r="K2875" s="134">
        <f>SUMIF('5. PERSON'!$B$17:$B$192,$C2862,'5. PERSON'!BN$17:BN$192)</f>
        <v>0</v>
      </c>
      <c r="L2875" s="134">
        <f>SUMIF('5. PERSON'!$B$17:$B$192,$C2862,'5. PERSON'!BO$17:BO$192)</f>
        <v>0</v>
      </c>
      <c r="M2875" s="120">
        <f t="shared" si="687"/>
        <v>0</v>
      </c>
    </row>
    <row r="2876" spans="2:15" s="3" customFormat="1" ht="13.2" x14ac:dyDescent="0.25">
      <c r="B2876" s="80" t="str">
        <f>IF('1. INTRO'!I$2="English",(IF('6. OPERATION'!AS$150&gt;0,"Operating","")),IF('6. OPERATION'!AS$150&gt;0,"Drift",""))</f>
        <v/>
      </c>
      <c r="C2876" s="135">
        <f>SUMIF('6. OPERATION'!$B$17:$B$149,$C2862,'6. OPERATION'!AI$17:AI$149)</f>
        <v>0</v>
      </c>
      <c r="D2876" s="135">
        <f>SUMIF('6. OPERATION'!$B$17:$B$149,$C2862,'6. OPERATION'!AJ$17:AJ$149)</f>
        <v>0</v>
      </c>
      <c r="E2876" s="135">
        <f>SUMIF('6. OPERATION'!$B$17:$B$149,$C2862,'6. OPERATION'!AK$17:AK$149)</f>
        <v>0</v>
      </c>
      <c r="F2876" s="135">
        <f>SUMIF('6. OPERATION'!$B$17:$B$149,$C2862,'6. OPERATION'!AL$17:AL$149)</f>
        <v>0</v>
      </c>
      <c r="G2876" s="135">
        <f>SUMIF('6. OPERATION'!$B$17:$B$149,$C2862,'6. OPERATION'!AM$17:AM$149)</f>
        <v>0</v>
      </c>
      <c r="H2876" s="135">
        <f>SUMIF('6. OPERATION'!$B$17:$B$149,$C2862,'6. OPERATION'!AN$17:AN$149)</f>
        <v>0</v>
      </c>
      <c r="I2876" s="135">
        <f>SUMIF('6. OPERATION'!$B$17:$B$149,$C2862,'6. OPERATION'!AO$17:AO$149)</f>
        <v>0</v>
      </c>
      <c r="J2876" s="135">
        <f>SUMIF('6. OPERATION'!$B$17:$B$149,$C2862,'6. OPERATION'!AP$17:AP$149)</f>
        <v>0</v>
      </c>
      <c r="K2876" s="135">
        <f>SUMIF('6. OPERATION'!$B$17:$B$149,$C2862,'6. OPERATION'!AQ$17:AQ$149)</f>
        <v>0</v>
      </c>
      <c r="L2876" s="135">
        <f>SUMIF('6. OPERATION'!$B$17:$B$149,$C2862,'6. OPERATION'!AR$17:AR$149)</f>
        <v>0</v>
      </c>
      <c r="M2876" s="117">
        <f t="shared" si="687"/>
        <v>0</v>
      </c>
    </row>
    <row r="2877" spans="2:15" s="3" customFormat="1" ht="13.2" x14ac:dyDescent="0.25">
      <c r="B2877" s="118" t="str">
        <f>IF('1. INTRO'!I$2="English",(IF('7. INVEST'!AS$50&gt;0,"Equipment","")),IF('7. INVEST'!AS$50&gt;0,"Utrustning",""))</f>
        <v/>
      </c>
      <c r="C2877" s="134">
        <f>SUMIF('7. INVEST'!$B$17:$B$49,$C2862,'7. INVEST'!AI$17:AI$49)</f>
        <v>0</v>
      </c>
      <c r="D2877" s="134">
        <f>SUMIF('7. INVEST'!$B$17:$B$49,$C2862,'7. INVEST'!AJ$17:AJ$49)</f>
        <v>0</v>
      </c>
      <c r="E2877" s="134">
        <f>SUMIF('7. INVEST'!$B$17:$B$49,$C2862,'7. INVEST'!AK$17:AK$49)</f>
        <v>0</v>
      </c>
      <c r="F2877" s="134">
        <f>SUMIF('7. INVEST'!$B$17:$B$49,$C2862,'7. INVEST'!AL$17:AL$49)</f>
        <v>0</v>
      </c>
      <c r="G2877" s="134">
        <f>SUMIF('7. INVEST'!$B$17:$B$49,$C2862,'7. INVEST'!AM$17:AM$49)</f>
        <v>0</v>
      </c>
      <c r="H2877" s="134">
        <f>SUMIF('7. INVEST'!$B$17:$B$49,$C2862,'7. INVEST'!AN$17:AN$49)</f>
        <v>0</v>
      </c>
      <c r="I2877" s="134">
        <f>SUMIF('7. INVEST'!$B$17:$B$49,$C2862,'7. INVEST'!AO$17:AO$49)</f>
        <v>0</v>
      </c>
      <c r="J2877" s="134">
        <f>SUMIF('7. INVEST'!$B$17:$B$49,$C2862,'7. INVEST'!AP$17:AP$49)</f>
        <v>0</v>
      </c>
      <c r="K2877" s="134">
        <f>SUMIF('7. INVEST'!$B$17:$B$49,$C2862,'7. INVEST'!AQ$17:AQ$49)</f>
        <v>0</v>
      </c>
      <c r="L2877" s="134">
        <f>SUMIF('7. INVEST'!$B$17:$B$49,$C2862,'7. INVEST'!AR$17:AR$49)</f>
        <v>0</v>
      </c>
      <c r="M2877" s="120">
        <f t="shared" si="687"/>
        <v>0</v>
      </c>
    </row>
    <row r="2878" spans="2:15" s="3" customFormat="1" ht="13.2" x14ac:dyDescent="0.25">
      <c r="B2878" s="121" t="str">
        <f>IF('1. INTRO'!I$2="English",(IF('8. FACILIT'!AP$51&gt;0,"Facility","")),IF('8. FACILIT'!AP$51&gt;0,"Lokal",""))</f>
        <v/>
      </c>
      <c r="C2878" s="135">
        <f>SUMIF('5. PERSON'!$B$17:$B$192,$C2862,'5. PERSON'!DB$17:DB$192)+SUMIF('6. OPERATION'!$B$17:$B$149,$C2862,'6. OPERATION'!CE$17:CE$149)+SUMIF('8. FACILIT'!$B$18:$B$50,$C2862,'8. FACILIT'!AF$18:AF$50)</f>
        <v>0</v>
      </c>
      <c r="D2878" s="135">
        <f>SUMIF('5. PERSON'!$B$17:$B$192,$C2862,'5. PERSON'!DC$17:DC$192)+SUMIF('6. OPERATION'!$B$17:$B$149,$C2862,'6. OPERATION'!CF$17:CF$149)+SUMIF('8. FACILIT'!$B$18:$B$50,$C2862,'8. FACILIT'!AG$18:AG$50)</f>
        <v>0</v>
      </c>
      <c r="E2878" s="135">
        <f>SUMIF('5. PERSON'!$B$17:$B$192,$C2862,'5. PERSON'!DD$17:DD$192)+SUMIF('6. OPERATION'!$B$17:$B$149,$C2862,'6. OPERATION'!CG$17:CG$149)+SUMIF('8. FACILIT'!$B$18:$B$50,$C2862,'8. FACILIT'!AH$18:AH$50)</f>
        <v>0</v>
      </c>
      <c r="F2878" s="135">
        <f>SUMIF('5. PERSON'!$B$17:$B$192,$C2862,'5. PERSON'!DE$17:DE$192)+SUMIF('6. OPERATION'!$B$17:$B$149,$C2862,'6. OPERATION'!CH$17:CH$149)+SUMIF('8. FACILIT'!$B$18:$B$50,$C2862,'8. FACILIT'!AI$18:AI$50)</f>
        <v>0</v>
      </c>
      <c r="G2878" s="135">
        <f>SUMIF('5. PERSON'!$B$17:$B$192,$C2862,'5. PERSON'!DF$17:DF$192)+SUMIF('6. OPERATION'!$B$17:$B$149,$C2862,'6. OPERATION'!CI$17:CI$149)+SUMIF('8. FACILIT'!$B$18:$B$50,$C2862,'8. FACILIT'!AJ$18:AJ$50)</f>
        <v>0</v>
      </c>
      <c r="H2878" s="135">
        <f>SUMIF('5. PERSON'!$B$17:$B$192,$C2862,'5. PERSON'!DG$17:DG$192)+SUMIF('6. OPERATION'!$B$17:$B$149,$C2862,'6. OPERATION'!CJ$17:CJ$149)+SUMIF('8. FACILIT'!$B$18:$B$50,$C2862,'8. FACILIT'!AK$18:AK$50)</f>
        <v>0</v>
      </c>
      <c r="I2878" s="135">
        <f>SUMIF('5. PERSON'!$B$17:$B$192,$C2862,'5. PERSON'!DH$17:DH$192)+SUMIF('6. OPERATION'!$B$17:$B$149,$C2862,'6. OPERATION'!CK$17:CK$149)+SUMIF('8. FACILIT'!$B$18:$B$50,$C2862,'8. FACILIT'!AL$18:AL$50)</f>
        <v>0</v>
      </c>
      <c r="J2878" s="135">
        <f>SUMIF('5. PERSON'!$B$17:$B$192,$C2862,'5. PERSON'!DI$17:DI$192)+SUMIF('6. OPERATION'!$B$17:$B$149,$C2862,'6. OPERATION'!CL$17:CL$149)+SUMIF('8. FACILIT'!$B$18:$B$50,$C2862,'8. FACILIT'!AM$18:AM$50)</f>
        <v>0</v>
      </c>
      <c r="K2878" s="135">
        <f>SUMIF('5. PERSON'!$B$17:$B$192,$C2862,'5. PERSON'!DJ$17:DJ$192)+SUMIF('6. OPERATION'!$B$17:$B$149,$C2862,'6. OPERATION'!CM$17:CM$149)+SUMIF('8. FACILIT'!$B$18:$B$50,$C2862,'8. FACILIT'!AN$18:AN$50)</f>
        <v>0</v>
      </c>
      <c r="L2878" s="135">
        <f>SUMIF('5. PERSON'!$B$17:$B$192,$C2862,'5. PERSON'!DK$17:DK$192)+SUMIF('6. OPERATION'!$B$17:$B$149,$C2862,'6. OPERATION'!CN$17:CN$149)+SUMIF('8. FACILIT'!$B$18:$B$50,$C2862,'8. FACILIT'!AO$18:AO$50)</f>
        <v>0</v>
      </c>
      <c r="M2878" s="117">
        <f t="shared" si="687"/>
        <v>0</v>
      </c>
    </row>
    <row r="2879" spans="2:15" s="1" customFormat="1" ht="13.2" x14ac:dyDescent="0.25">
      <c r="B2879" s="122" t="str">
        <f>IF('1. INTRO'!I$2="English",(IF(('5. PERSON'!CN$193+'6. OPERATION'!BQ$150)&gt;0,"Indirect","")),IF(('5. PERSON'!CN$193+'6. OPERATION'!BQ$150)&gt;0,"Indirekt",""))</f>
        <v/>
      </c>
      <c r="C2879" s="107">
        <f>SUMIF('5. PERSON'!$B$17:$B$192,$C2862,'5. PERSON'!CD$17:CD$192)+SUMIF('6. OPERATION'!$B$17:$B$149,$C2862,'6. OPERATION'!BG$17:BG$149)</f>
        <v>0</v>
      </c>
      <c r="D2879" s="107">
        <f>SUMIF('5. PERSON'!$B$17:$B$192,$C2862,'5. PERSON'!CE$17:CE$192)+SUMIF('6. OPERATION'!$B$17:$B$149,$C2862,'6. OPERATION'!BH$17:BH$149)</f>
        <v>0</v>
      </c>
      <c r="E2879" s="107">
        <f>SUMIF('5. PERSON'!$B$17:$B$192,$C2862,'5. PERSON'!CF$17:CF$192)+SUMIF('6. OPERATION'!$B$17:$B$149,$C2862,'6. OPERATION'!BI$17:BI$149)</f>
        <v>0</v>
      </c>
      <c r="F2879" s="107">
        <f>SUMIF('5. PERSON'!$B$17:$B$192,$C2862,'5. PERSON'!CG$17:CG$192)+SUMIF('6. OPERATION'!$B$17:$B$149,$C2862,'6. OPERATION'!BJ$17:BJ$149)</f>
        <v>0</v>
      </c>
      <c r="G2879" s="107">
        <f>SUMIF('5. PERSON'!$B$17:$B$192,$C2862,'5. PERSON'!CH$17:CH$192)+SUMIF('6. OPERATION'!$B$17:$B$149,$C2862,'6. OPERATION'!BK$17:BK$149)</f>
        <v>0</v>
      </c>
      <c r="H2879" s="107">
        <f>SUMIF('5. PERSON'!$B$17:$B$192,$C2862,'5. PERSON'!CI$17:CI$192)+SUMIF('6. OPERATION'!$B$17:$B$149,$C2862,'6. OPERATION'!BL$17:BL$149)</f>
        <v>0</v>
      </c>
      <c r="I2879" s="107">
        <f>SUMIF('5. PERSON'!$B$17:$B$192,$C2862,'5. PERSON'!CJ$17:CJ$192)+SUMIF('6. OPERATION'!$B$17:$B$149,$C2862,'6. OPERATION'!BM$17:BM$149)</f>
        <v>0</v>
      </c>
      <c r="J2879" s="107">
        <f>SUMIF('5. PERSON'!$B$17:$B$192,$C2862,'5. PERSON'!CK$17:CK$192)+SUMIF('6. OPERATION'!$B$17:$B$149,$C2862,'6. OPERATION'!BN$17:BN$149)</f>
        <v>0</v>
      </c>
      <c r="K2879" s="107">
        <f>SUMIF('5. PERSON'!$B$17:$B$192,$C2862,'5. PERSON'!CL$17:CL$192)+SUMIF('6. OPERATION'!$B$17:$B$149,$C2862,'6. OPERATION'!BO$17:BO$149)</f>
        <v>0</v>
      </c>
      <c r="L2879" s="107">
        <f>SUMIF('5. PERSON'!$B$17:$B$192,$C2862,'5. PERSON'!CM$17:CM$192)+SUMIF('6. OPERATION'!$B$17:$B$149,$C2862,'6. OPERATION'!BP$17:BP$149)</f>
        <v>0</v>
      </c>
      <c r="M2879" s="123">
        <f t="shared" si="687"/>
        <v>0</v>
      </c>
    </row>
    <row r="2880" spans="2:15" s="3" customFormat="1" ht="13.2" x14ac:dyDescent="0.25">
      <c r="B2880" s="124" t="s">
        <v>113</v>
      </c>
      <c r="C2880" s="102">
        <f>SUM(C2873:C2879)</f>
        <v>0</v>
      </c>
      <c r="D2880" s="102">
        <f t="shared" ref="D2880:L2880" si="688">SUM(D2873:D2879)</f>
        <v>0</v>
      </c>
      <c r="E2880" s="102">
        <f t="shared" si="688"/>
        <v>0</v>
      </c>
      <c r="F2880" s="102">
        <f t="shared" si="688"/>
        <v>0</v>
      </c>
      <c r="G2880" s="102">
        <f t="shared" si="688"/>
        <v>0</v>
      </c>
      <c r="H2880" s="102">
        <f t="shared" si="688"/>
        <v>0</v>
      </c>
      <c r="I2880" s="102">
        <f t="shared" si="688"/>
        <v>0</v>
      </c>
      <c r="J2880" s="102">
        <f t="shared" si="688"/>
        <v>0</v>
      </c>
      <c r="K2880" s="102">
        <f t="shared" si="688"/>
        <v>0</v>
      </c>
      <c r="L2880" s="102">
        <f t="shared" si="688"/>
        <v>0</v>
      </c>
      <c r="M2880" s="125">
        <f t="shared" ref="M2880" si="689">SUM(M2873:M2879)</f>
        <v>0</v>
      </c>
      <c r="N2880" s="23"/>
      <c r="O2880" s="23"/>
    </row>
    <row r="2881" spans="2:13" s="3" customFormat="1" ht="6" customHeight="1" x14ac:dyDescent="0.25">
      <c r="B2881" s="136"/>
      <c r="C2881" s="127"/>
      <c r="D2881" s="127"/>
      <c r="E2881" s="127"/>
      <c r="F2881" s="127"/>
      <c r="G2881" s="127"/>
      <c r="H2881" s="127"/>
      <c r="I2881" s="127"/>
      <c r="J2881" s="127"/>
      <c r="K2881" s="127"/>
      <c r="L2881" s="127"/>
      <c r="M2881" s="137"/>
    </row>
    <row r="2882" spans="2:13" s="3" customFormat="1" ht="13.2" x14ac:dyDescent="0.25">
      <c r="B2882" s="129" t="str">
        <f>IF('1. INTRO'!I$2="English","Full cost","Full kostnad")</f>
        <v>Full cost</v>
      </c>
      <c r="C2882" s="127"/>
      <c r="D2882" s="127"/>
      <c r="E2882" s="127"/>
      <c r="F2882" s="127"/>
      <c r="G2882" s="127"/>
      <c r="H2882" s="127"/>
      <c r="I2882" s="127"/>
      <c r="J2882" s="127"/>
      <c r="K2882" s="127"/>
      <c r="L2882" s="127"/>
      <c r="M2882" s="137"/>
    </row>
    <row r="2883" spans="2:13" s="3" customFormat="1" ht="13.2" x14ac:dyDescent="0.25">
      <c r="B2883" s="113" t="str">
        <f>IF('1. INTRO'!I$2="English","Salary including social costs (LKP)","Lön inklusive LKP")</f>
        <v>Salary including social costs (LKP)</v>
      </c>
      <c r="C2883" s="138">
        <f>C2865+C2874+C2875</f>
        <v>0</v>
      </c>
      <c r="D2883" s="138">
        <f t="shared" ref="D2883:L2883" si="690">D2865+D2874+D2875</f>
        <v>0</v>
      </c>
      <c r="E2883" s="138">
        <f t="shared" si="690"/>
        <v>0</v>
      </c>
      <c r="F2883" s="138">
        <f t="shared" si="690"/>
        <v>0</v>
      </c>
      <c r="G2883" s="138">
        <f t="shared" si="690"/>
        <v>0</v>
      </c>
      <c r="H2883" s="138">
        <f t="shared" si="690"/>
        <v>0</v>
      </c>
      <c r="I2883" s="138">
        <f t="shared" si="690"/>
        <v>0</v>
      </c>
      <c r="J2883" s="138">
        <f t="shared" si="690"/>
        <v>0</v>
      </c>
      <c r="K2883" s="138">
        <f t="shared" si="690"/>
        <v>0</v>
      </c>
      <c r="L2883" s="138">
        <f t="shared" si="690"/>
        <v>0</v>
      </c>
      <c r="M2883" s="115">
        <f>SUM(C2883:L2883)</f>
        <v>0</v>
      </c>
    </row>
    <row r="2884" spans="2:13" s="3" customFormat="1" ht="13.2" x14ac:dyDescent="0.25">
      <c r="B2884" s="80" t="str">
        <f>IF('1. INTRO'!I$2="English","Operating","Drift")</f>
        <v>Operating</v>
      </c>
      <c r="C2884" s="139">
        <f>C2866+C2876</f>
        <v>0</v>
      </c>
      <c r="D2884" s="139">
        <f t="shared" ref="D2884:L2884" si="691">D2866+D2876</f>
        <v>0</v>
      </c>
      <c r="E2884" s="139">
        <f t="shared" si="691"/>
        <v>0</v>
      </c>
      <c r="F2884" s="139">
        <f t="shared" si="691"/>
        <v>0</v>
      </c>
      <c r="G2884" s="139">
        <f t="shared" si="691"/>
        <v>0</v>
      </c>
      <c r="H2884" s="139">
        <f t="shared" si="691"/>
        <v>0</v>
      </c>
      <c r="I2884" s="139">
        <f t="shared" si="691"/>
        <v>0</v>
      </c>
      <c r="J2884" s="139">
        <f t="shared" si="691"/>
        <v>0</v>
      </c>
      <c r="K2884" s="139">
        <f t="shared" si="691"/>
        <v>0</v>
      </c>
      <c r="L2884" s="139">
        <f t="shared" si="691"/>
        <v>0</v>
      </c>
      <c r="M2884" s="117">
        <f>SUM(C2884:L2884)</f>
        <v>0</v>
      </c>
    </row>
    <row r="2885" spans="2:13" s="3" customFormat="1" ht="13.2" x14ac:dyDescent="0.25">
      <c r="B2885" s="118" t="str">
        <f>IF('1. INTRO'!I$2="English","Equipment","Utrustning")</f>
        <v>Equipment</v>
      </c>
      <c r="C2885" s="140">
        <f>C2867+C2877</f>
        <v>0</v>
      </c>
      <c r="D2885" s="140">
        <f t="shared" ref="D2885:L2885" si="692">D2867+D2877</f>
        <v>0</v>
      </c>
      <c r="E2885" s="140">
        <f t="shared" si="692"/>
        <v>0</v>
      </c>
      <c r="F2885" s="140">
        <f t="shared" si="692"/>
        <v>0</v>
      </c>
      <c r="G2885" s="140">
        <f t="shared" si="692"/>
        <v>0</v>
      </c>
      <c r="H2885" s="140">
        <f t="shared" si="692"/>
        <v>0</v>
      </c>
      <c r="I2885" s="140">
        <f t="shared" si="692"/>
        <v>0</v>
      </c>
      <c r="J2885" s="140">
        <f t="shared" si="692"/>
        <v>0</v>
      </c>
      <c r="K2885" s="140">
        <f t="shared" si="692"/>
        <v>0</v>
      </c>
      <c r="L2885" s="140">
        <f t="shared" si="692"/>
        <v>0</v>
      </c>
      <c r="M2885" s="120">
        <f>SUM(C2885:L2885)</f>
        <v>0</v>
      </c>
    </row>
    <row r="2886" spans="2:13" s="3" customFormat="1" ht="13.2" x14ac:dyDescent="0.25">
      <c r="B2886" s="80" t="str">
        <f>IF('1. INTRO'!I$2="English","Facility","Lokal")</f>
        <v>Facility</v>
      </c>
      <c r="C2886" s="139">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39">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39">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39">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39">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39">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39">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39">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39">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39">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117">
        <f>SUM(C2886:L2886)</f>
        <v>0</v>
      </c>
    </row>
    <row r="2887" spans="2:13" s="3" customFormat="1" ht="13.2" x14ac:dyDescent="0.25">
      <c r="B2887" s="601" t="str">
        <f>IF('1. INTRO'!I$2="English","Indirect","Indirekt")</f>
        <v>Indirect</v>
      </c>
      <c r="C2887" s="141">
        <f>SUMIF('5. PERSON'!$B$17:$B$192,$C2862,'5. PERSON'!BR$17:BR$192)+SUMIF('5. PERSON'!$B$17:$B$192,$C2862,'5. PERSON'!CD$17:CD$192)+SUMIF('6. OPERATION'!$B$17:$B$149,$C2862,'6. OPERATION'!AU$17:AU$149)+SUMIF('6. OPERATION'!$B$17:$B$149,$C2862,'6. OPERATION'!BG$17:BG$149)</f>
        <v>0</v>
      </c>
      <c r="D2887" s="141">
        <f>SUMIF('5. PERSON'!$B$17:$B$192,$C2862,'5. PERSON'!BS$17:BS$192)+SUMIF('5. PERSON'!$B$17:$B$192,$C2862,'5. PERSON'!CE$17:CE$192)+SUMIF('6. OPERATION'!$B$17:$B$149,$C2862,'6. OPERATION'!AV$17:AV$149)+SUMIF('6. OPERATION'!$B$17:$B$149,$C2862,'6. OPERATION'!BH$17:BH$149)</f>
        <v>0</v>
      </c>
      <c r="E2887" s="141">
        <f>SUMIF('5. PERSON'!$B$17:$B$192,$C2862,'5. PERSON'!BT$17:BT$192)+SUMIF('5. PERSON'!$B$17:$B$192,$C2862,'5. PERSON'!CF$17:CF$192)+SUMIF('6. OPERATION'!$B$17:$B$149,$C2862,'6. OPERATION'!AW$17:AW$149)+SUMIF('6. OPERATION'!$B$17:$B$149,$C2862,'6. OPERATION'!BI$17:BI$149)</f>
        <v>0</v>
      </c>
      <c r="F2887" s="141">
        <f>SUMIF('5. PERSON'!$B$17:$B$192,$C2862,'5. PERSON'!BU$17:BU$192)+SUMIF('5. PERSON'!$B$17:$B$192,$C2862,'5. PERSON'!CG$17:CG$192)+SUMIF('6. OPERATION'!$B$17:$B$149,$C2862,'6. OPERATION'!AX$17:AX$149)+SUMIF('6. OPERATION'!$B$17:$B$149,$C2862,'6. OPERATION'!BJ$17:BJ$149)</f>
        <v>0</v>
      </c>
      <c r="G2887" s="141">
        <f>SUMIF('5. PERSON'!$B$17:$B$192,$C2862,'5. PERSON'!BV$17:BV$192)+SUMIF('5. PERSON'!$B$17:$B$192,$C2862,'5. PERSON'!CH$17:CH$192)+SUMIF('6. OPERATION'!$B$17:$B$149,$C2862,'6. OPERATION'!AY$17:AY$149)+SUMIF('6. OPERATION'!$B$17:$B$149,$C2862,'6. OPERATION'!BK$17:BK$149)</f>
        <v>0</v>
      </c>
      <c r="H2887" s="141">
        <f>SUMIF('5. PERSON'!$B$17:$B$192,$C2862,'5. PERSON'!BW$17:BW$192)+SUMIF('5. PERSON'!$B$17:$B$192,$C2862,'5. PERSON'!CI$17:CI$192)+SUMIF('6. OPERATION'!$B$17:$B$149,$C2862,'6. OPERATION'!AZ$17:AZ$149)+SUMIF('6. OPERATION'!$B$17:$B$149,$C2862,'6. OPERATION'!BL$17:BL$149)</f>
        <v>0</v>
      </c>
      <c r="I2887" s="141">
        <f>SUMIF('5. PERSON'!$B$17:$B$192,$C2862,'5. PERSON'!BX$17:BX$192)+SUMIF('5. PERSON'!$B$17:$B$192,$C2862,'5. PERSON'!CJ$17:CJ$192)+SUMIF('6. OPERATION'!$B$17:$B$149,$C2862,'6. OPERATION'!BA$17:BA$149)+SUMIF('6. OPERATION'!$B$17:$B$149,$C2862,'6. OPERATION'!BM$17:BM$149)</f>
        <v>0</v>
      </c>
      <c r="J2887" s="141">
        <f>SUMIF('5. PERSON'!$B$17:$B$192,$C2862,'5. PERSON'!BY$17:BY$192)+SUMIF('5. PERSON'!$B$17:$B$192,$C2862,'5. PERSON'!CK$17:CK$192)+SUMIF('6. OPERATION'!$B$17:$B$149,$C2862,'6. OPERATION'!BB$17:BB$149)+SUMIF('6. OPERATION'!$B$17:$B$149,$C2862,'6. OPERATION'!BN$17:BN$149)</f>
        <v>0</v>
      </c>
      <c r="K2887" s="141">
        <f>SUMIF('5. PERSON'!$B$17:$B$192,$C2862,'5. PERSON'!BZ$17:BZ$192)+SUMIF('5. PERSON'!$B$17:$B$192,$C2862,'5. PERSON'!CL$17:CL$192)+SUMIF('6. OPERATION'!$B$17:$B$149,$C2862,'6. OPERATION'!BC$17:BC$149)+SUMIF('6. OPERATION'!$B$17:$B$149,$C2862,'6. OPERATION'!BO$17:BO$149)</f>
        <v>0</v>
      </c>
      <c r="L2887" s="141">
        <f>SUMIF('5. PERSON'!$B$17:$B$192,$C2862,'5. PERSON'!CA$17:CA$192)+SUMIF('5. PERSON'!$B$17:$B$192,$C2862,'5. PERSON'!CM$17:CM$192)+SUMIF('6. OPERATION'!$B$17:$B$149,$C2862,'6. OPERATION'!BD$17:BD$149)+SUMIF('6. OPERATION'!$B$17:$B$149,$C2862,'6. OPERATION'!BP$17:BP$149)</f>
        <v>0</v>
      </c>
      <c r="M2887" s="123">
        <f>SUM(C2887:L2887)</f>
        <v>0</v>
      </c>
    </row>
    <row r="2888" spans="2:13" s="3" customFormat="1" ht="13.2" x14ac:dyDescent="0.25">
      <c r="B2888" s="124" t="s">
        <v>113</v>
      </c>
      <c r="C2888" s="88">
        <f>SUM(C2883:C2887)</f>
        <v>0</v>
      </c>
      <c r="D2888" s="88">
        <f t="shared" ref="D2888:M2888" si="693">SUM(D2883:D2887)</f>
        <v>0</v>
      </c>
      <c r="E2888" s="88">
        <f t="shared" si="693"/>
        <v>0</v>
      </c>
      <c r="F2888" s="88">
        <f t="shared" si="693"/>
        <v>0</v>
      </c>
      <c r="G2888" s="88">
        <f t="shared" si="693"/>
        <v>0</v>
      </c>
      <c r="H2888" s="88">
        <f t="shared" si="693"/>
        <v>0</v>
      </c>
      <c r="I2888" s="88">
        <f t="shared" si="693"/>
        <v>0</v>
      </c>
      <c r="J2888" s="88">
        <f t="shared" si="693"/>
        <v>0</v>
      </c>
      <c r="K2888" s="88">
        <f t="shared" si="693"/>
        <v>0</v>
      </c>
      <c r="L2888" s="88">
        <f t="shared" si="693"/>
        <v>0</v>
      </c>
      <c r="M2888" s="142">
        <f t="shared" si="693"/>
        <v>0</v>
      </c>
    </row>
    <row r="2889" spans="2:13" s="3" customFormat="1" ht="13.2" x14ac:dyDescent="0.25">
      <c r="B2889" s="287"/>
      <c r="C2889" s="37"/>
      <c r="D2889" s="37"/>
      <c r="E2889" s="37"/>
      <c r="F2889" s="37"/>
      <c r="G2889" s="37"/>
      <c r="H2889" s="37"/>
      <c r="I2889" s="37"/>
      <c r="J2889" s="37"/>
      <c r="K2889" s="37"/>
      <c r="L2889" s="37"/>
      <c r="M2889" s="37"/>
    </row>
    <row r="2890" spans="2:13" s="3" customFormat="1" ht="12.75" customHeight="1" x14ac:dyDescent="0.25">
      <c r="B2890" s="656" t="str">
        <f>IF('1. INTRO'!I$2="English","Co-funding share in full cost ","Medfinansieringsandel i full kostnad ")</f>
        <v xml:space="preserve">Co-funding share in full cost </v>
      </c>
      <c r="C2890" s="143" t="str">
        <f t="shared" ref="C2890:M2890" si="694">IF(C2888&gt;0,C2880/C2888,"")</f>
        <v/>
      </c>
      <c r="D2890" s="143" t="str">
        <f t="shared" si="694"/>
        <v/>
      </c>
      <c r="E2890" s="143" t="str">
        <f t="shared" si="694"/>
        <v/>
      </c>
      <c r="F2890" s="143" t="str">
        <f t="shared" si="694"/>
        <v/>
      </c>
      <c r="G2890" s="143" t="str">
        <f t="shared" si="694"/>
        <v/>
      </c>
      <c r="H2890" s="143" t="str">
        <f t="shared" si="694"/>
        <v/>
      </c>
      <c r="I2890" s="143" t="str">
        <f t="shared" si="694"/>
        <v/>
      </c>
      <c r="J2890" s="143" t="str">
        <f t="shared" si="694"/>
        <v/>
      </c>
      <c r="K2890" s="143" t="str">
        <f t="shared" si="694"/>
        <v/>
      </c>
      <c r="L2890" s="143" t="str">
        <f t="shared" si="694"/>
        <v/>
      </c>
      <c r="M2890" s="143" t="str">
        <f t="shared" si="694"/>
        <v/>
      </c>
    </row>
    <row r="2891" spans="2:13" ht="12.75" customHeight="1" x14ac:dyDescent="0.2"/>
    <row r="2892" spans="2:13" ht="12.75" customHeight="1" x14ac:dyDescent="0.25">
      <c r="D2892" s="676" t="str">
        <f>IF('1. INTRO'!I$2="English","Co-funding need in average per year: ","Medfinansieringsbehov i genomsnitt per år: ")</f>
        <v xml:space="preserve">Co-funding need in average per year: </v>
      </c>
      <c r="E2892" s="92" t="str">
        <f>IF(M2880=0,"",M2880/(DATEDIF('2. START'!C$18,'2. START'!C$19,"d")/365))</f>
        <v/>
      </c>
      <c r="H2892" s="676" t="str">
        <f>IF('1. INTRO'!I$2="English","Co-funding need 1/3 of total: ","Medfinansieringsbehov 1/3 av totalt: ")</f>
        <v xml:space="preserve">Co-funding need 1/3 of total: </v>
      </c>
      <c r="I2892" s="92">
        <f>M2880/3</f>
        <v>0</v>
      </c>
      <c r="L2892" s="287" t="str">
        <f>IF('1. INTRO'!I$2="English","Co-funding need total: ","Medfinansieringsbehov totalt: ")</f>
        <v xml:space="preserve">Co-funding need total: </v>
      </c>
      <c r="M2892" s="92">
        <f>M2880</f>
        <v>0</v>
      </c>
    </row>
    <row r="2893" spans="2:13" ht="12.75" customHeight="1" x14ac:dyDescent="0.25">
      <c r="B2893" s="53" t="str">
        <f>IF('1. INTRO'!I$2="English","Co-funding sources","Medfinansieringskällor")</f>
        <v>Co-funding sources</v>
      </c>
    </row>
    <row r="2894" spans="2:13" ht="12.75" customHeight="1" x14ac:dyDescent="0.25">
      <c r="B2894" s="225"/>
      <c r="C2894" s="226"/>
      <c r="D2894" s="226"/>
      <c r="E2894" s="226"/>
      <c r="F2894" s="226"/>
      <c r="G2894" s="226"/>
      <c r="H2894" s="226"/>
      <c r="I2894" s="226"/>
      <c r="J2894" s="226"/>
      <c r="K2894" s="226"/>
      <c r="L2894" s="227"/>
      <c r="M2894" s="168">
        <f>SUM(C2894:L2894)</f>
        <v>0</v>
      </c>
    </row>
    <row r="2895" spans="2:13" ht="12.75" customHeight="1" x14ac:dyDescent="0.25">
      <c r="B2895" s="228"/>
      <c r="C2895" s="229"/>
      <c r="D2895" s="229"/>
      <c r="E2895" s="229"/>
      <c r="F2895" s="229"/>
      <c r="G2895" s="229"/>
      <c r="H2895" s="229"/>
      <c r="I2895" s="229"/>
      <c r="J2895" s="229"/>
      <c r="K2895" s="229"/>
      <c r="L2895" s="230"/>
      <c r="M2895" s="120">
        <f t="shared" ref="M2895:M2898" si="695">SUM(C2895:L2895)</f>
        <v>0</v>
      </c>
    </row>
    <row r="2896" spans="2:13" ht="12.75" customHeight="1" x14ac:dyDescent="0.25">
      <c r="B2896" s="231"/>
      <c r="C2896" s="232"/>
      <c r="D2896" s="232"/>
      <c r="E2896" s="232"/>
      <c r="F2896" s="232"/>
      <c r="G2896" s="232"/>
      <c r="H2896" s="232"/>
      <c r="I2896" s="232"/>
      <c r="J2896" s="232"/>
      <c r="K2896" s="232"/>
      <c r="L2896" s="233"/>
      <c r="M2896" s="117">
        <f t="shared" si="695"/>
        <v>0</v>
      </c>
    </row>
    <row r="2897" spans="2:13" ht="12.75" customHeight="1" x14ac:dyDescent="0.25">
      <c r="B2897" s="228"/>
      <c r="C2897" s="229"/>
      <c r="D2897" s="229"/>
      <c r="E2897" s="229"/>
      <c r="F2897" s="229"/>
      <c r="G2897" s="229"/>
      <c r="H2897" s="229"/>
      <c r="I2897" s="229"/>
      <c r="J2897" s="229"/>
      <c r="K2897" s="229"/>
      <c r="L2897" s="230"/>
      <c r="M2897" s="120">
        <f t="shared" si="695"/>
        <v>0</v>
      </c>
    </row>
    <row r="2898" spans="2:13" ht="12.75" customHeight="1" x14ac:dyDescent="0.25">
      <c r="B2898" s="93"/>
      <c r="C2898" s="232"/>
      <c r="D2898" s="232"/>
      <c r="E2898" s="232"/>
      <c r="F2898" s="232"/>
      <c r="G2898" s="232"/>
      <c r="H2898" s="232"/>
      <c r="I2898" s="232"/>
      <c r="J2898" s="232"/>
      <c r="K2898" s="232"/>
      <c r="L2898" s="233"/>
      <c r="M2898" s="117">
        <f t="shared" si="695"/>
        <v>0</v>
      </c>
    </row>
    <row r="2899" spans="2:13" ht="12.75" customHeight="1" x14ac:dyDescent="0.25">
      <c r="B2899" s="84" t="str">
        <f>IF('1. INTRO'!I$2="English","Total co-funding ","Total medfinansiering ")</f>
        <v xml:space="preserve">Total co-funding </v>
      </c>
      <c r="C2899" s="87">
        <f t="shared" ref="C2899:M2899" si="696">SUM(C2894:C2898)</f>
        <v>0</v>
      </c>
      <c r="D2899" s="87">
        <f t="shared" si="696"/>
        <v>0</v>
      </c>
      <c r="E2899" s="87">
        <f t="shared" si="696"/>
        <v>0</v>
      </c>
      <c r="F2899" s="87">
        <f t="shared" si="696"/>
        <v>0</v>
      </c>
      <c r="G2899" s="87">
        <f t="shared" si="696"/>
        <v>0</v>
      </c>
      <c r="H2899" s="87">
        <f t="shared" si="696"/>
        <v>0</v>
      </c>
      <c r="I2899" s="87">
        <f t="shared" si="696"/>
        <v>0</v>
      </c>
      <c r="J2899" s="87">
        <f t="shared" si="696"/>
        <v>0</v>
      </c>
      <c r="K2899" s="87">
        <f t="shared" si="696"/>
        <v>0</v>
      </c>
      <c r="L2899" s="87">
        <f t="shared" si="696"/>
        <v>0</v>
      </c>
      <c r="M2899" s="142">
        <f t="shared" si="696"/>
        <v>0</v>
      </c>
    </row>
    <row r="2900" spans="2:13" ht="12.75" customHeight="1" x14ac:dyDescent="0.2"/>
    <row r="2901" spans="2:13" ht="12.75" customHeight="1" x14ac:dyDescent="0.2">
      <c r="B2901" s="667" t="str">
        <f>IF('1. INTRO'!I$2="English","Calculation comments","Kalkylkommentarer")</f>
        <v>Calculation comments</v>
      </c>
      <c r="C2901" s="37" t="str">
        <f>B70</f>
        <v/>
      </c>
    </row>
    <row r="2902" spans="2:13" ht="12.75" customHeight="1" x14ac:dyDescent="0.2">
      <c r="B2902" s="1142"/>
      <c r="C2902" s="1143"/>
      <c r="D2902" s="1143"/>
      <c r="E2902" s="1143"/>
      <c r="F2902" s="1143"/>
      <c r="G2902" s="1143"/>
      <c r="H2902" s="1143"/>
      <c r="I2902" s="1143"/>
      <c r="J2902" s="1143"/>
      <c r="K2902" s="1143"/>
      <c r="L2902" s="1143"/>
      <c r="M2902" s="1144"/>
    </row>
    <row r="2903" spans="2:13" ht="12.75" customHeight="1" x14ac:dyDescent="0.2">
      <c r="B2903" s="1145"/>
      <c r="C2903" s="1226"/>
      <c r="D2903" s="1226"/>
      <c r="E2903" s="1226"/>
      <c r="F2903" s="1226"/>
      <c r="G2903" s="1226"/>
      <c r="H2903" s="1226"/>
      <c r="I2903" s="1226"/>
      <c r="J2903" s="1226"/>
      <c r="K2903" s="1226"/>
      <c r="L2903" s="1226"/>
      <c r="M2903" s="1147"/>
    </row>
    <row r="2904" spans="2:13" ht="12.75" customHeight="1" x14ac:dyDescent="0.2">
      <c r="B2904" s="1145"/>
      <c r="C2904" s="1226"/>
      <c r="D2904" s="1226"/>
      <c r="E2904" s="1226"/>
      <c r="F2904" s="1226"/>
      <c r="G2904" s="1226"/>
      <c r="H2904" s="1226"/>
      <c r="I2904" s="1226"/>
      <c r="J2904" s="1226"/>
      <c r="K2904" s="1226"/>
      <c r="L2904" s="1226"/>
      <c r="M2904" s="1147"/>
    </row>
    <row r="2905" spans="2:13" ht="12.75" customHeight="1" x14ac:dyDescent="0.2">
      <c r="B2905" s="1145"/>
      <c r="C2905" s="1226"/>
      <c r="D2905" s="1226"/>
      <c r="E2905" s="1226"/>
      <c r="F2905" s="1226"/>
      <c r="G2905" s="1226"/>
      <c r="H2905" s="1226"/>
      <c r="I2905" s="1226"/>
      <c r="J2905" s="1226"/>
      <c r="K2905" s="1226"/>
      <c r="L2905" s="1226"/>
      <c r="M2905" s="1147"/>
    </row>
    <row r="2906" spans="2:13" ht="12.75" customHeight="1" x14ac:dyDescent="0.2">
      <c r="B2906" s="1148"/>
      <c r="C2906" s="1149"/>
      <c r="D2906" s="1149"/>
      <c r="E2906" s="1149"/>
      <c r="F2906" s="1149"/>
      <c r="G2906" s="1149"/>
      <c r="H2906" s="1149"/>
      <c r="I2906" s="1149"/>
      <c r="J2906" s="1149"/>
      <c r="K2906" s="1149"/>
      <c r="L2906" s="1149"/>
      <c r="M2906" s="1150"/>
    </row>
    <row r="2908" spans="2:13" s="3" customFormat="1" ht="12.75" customHeight="1" x14ac:dyDescent="0.25">
      <c r="B2908" s="313" t="str">
        <f>'3. PARTNER'!C$4</f>
        <v xml:space="preserve">Project: </v>
      </c>
      <c r="C2908" s="1062" t="str">
        <f>'3. PARTNER'!D$4</f>
        <v/>
      </c>
      <c r="D2908" s="1001"/>
      <c r="E2908" s="1001"/>
      <c r="F2908" s="1001"/>
      <c r="G2908" s="1001"/>
      <c r="H2908" s="1001"/>
      <c r="I2908" s="1001"/>
      <c r="J2908" s="1001"/>
      <c r="K2908" s="1001"/>
      <c r="L2908" s="1001"/>
      <c r="M2908" s="1001"/>
    </row>
    <row r="2909" spans="2:13" s="3" customFormat="1" ht="13.2" x14ac:dyDescent="0.25">
      <c r="B2909" s="313" t="str">
        <f>'3. PARTNER'!C$5</f>
        <v xml:space="preserve">Calculation for: </v>
      </c>
      <c r="C2909" s="1062" t="str">
        <f>'3. PARTNER'!D$5</f>
        <v>APPLICATION</v>
      </c>
      <c r="D2909" s="1001"/>
      <c r="E2909" s="268"/>
      <c r="F2909" s="268"/>
      <c r="G2909" s="268"/>
      <c r="H2909" s="268"/>
      <c r="I2909" s="268"/>
      <c r="J2909" s="268"/>
      <c r="K2909" s="268"/>
      <c r="L2909" s="268"/>
      <c r="M2909" s="268"/>
    </row>
    <row r="2910" spans="2:13" s="3" customFormat="1" ht="13.2" x14ac:dyDescent="0.25">
      <c r="B2910" s="35" t="str">
        <f>'3. PARTNER'!C$6</f>
        <v xml:space="preserve">Project leader: </v>
      </c>
      <c r="C2910" s="1062" t="str">
        <f>'3. PARTNER'!D$6</f>
        <v/>
      </c>
      <c r="D2910" s="1001"/>
      <c r="E2910" s="1001"/>
      <c r="F2910" s="1001"/>
      <c r="G2910" s="1001"/>
      <c r="H2910" s="1001"/>
      <c r="I2910" s="1001"/>
      <c r="J2910" s="1001"/>
      <c r="K2910" s="1001"/>
      <c r="L2910" s="1001"/>
      <c r="M2910" s="1001"/>
    </row>
    <row r="2911" spans="2:13" s="3" customFormat="1" ht="13.2" x14ac:dyDescent="0.25">
      <c r="B2911" s="313" t="str">
        <f>'5. PERSON'!B$7</f>
        <v xml:space="preserve">Amounts in: </v>
      </c>
      <c r="C2911" s="655" t="str">
        <f>'5. PERSON'!C$7</f>
        <v>SEK</v>
      </c>
      <c r="D2911" s="268"/>
      <c r="E2911" s="268"/>
      <c r="F2911" s="268"/>
      <c r="G2911" s="234"/>
      <c r="H2911" s="234"/>
      <c r="I2911" s="270"/>
      <c r="J2911" s="270"/>
      <c r="K2911" s="270"/>
      <c r="L2911" s="270"/>
      <c r="M2911" s="270"/>
    </row>
    <row r="2912" spans="2:13" s="3" customFormat="1" ht="13.2" x14ac:dyDescent="0.25">
      <c r="B2912" s="313"/>
      <c r="C2912" s="1053" t="str">
        <f>'3. PARTNER'!D$7</f>
        <v>Other basic data about the project is in sheet 2.</v>
      </c>
      <c r="D2912" s="1001"/>
      <c r="E2912" s="1001"/>
      <c r="F2912" s="1001"/>
      <c r="G2912" s="234"/>
      <c r="H2912" s="234"/>
      <c r="I2912" s="270"/>
      <c r="J2912" s="270"/>
      <c r="K2912" s="270"/>
      <c r="L2912" s="251" t="s">
        <v>4</v>
      </c>
      <c r="M2912" s="270"/>
    </row>
    <row r="2913" spans="2:15" ht="12.75" customHeight="1" x14ac:dyDescent="0.2">
      <c r="L2913" s="252" t="str">
        <f>IF('1. INTRO'!I$2="English","months","månader")</f>
        <v>months</v>
      </c>
    </row>
    <row r="2914" spans="2:15" s="3" customFormat="1" ht="13.8" x14ac:dyDescent="0.25">
      <c r="B2914" s="157" t="str">
        <f>IF('1. INTRO'!I$2="English","Project costs","Projektkostnader")</f>
        <v>Project costs</v>
      </c>
      <c r="C2914" s="668" t="str">
        <f>A71</f>
        <v>EXT113</v>
      </c>
      <c r="D2914" s="1227" t="str">
        <f>B71</f>
        <v/>
      </c>
      <c r="E2914" s="1001"/>
      <c r="F2914" s="1001"/>
      <c r="G2914" s="1001"/>
      <c r="H2914" s="1001"/>
      <c r="I2914" s="37"/>
      <c r="J2914" s="37"/>
      <c r="K2914" s="37"/>
      <c r="L2914" s="642">
        <f>SUMIF('5. PERSON'!$B$17:$B$192,$C2914,'5. PERSON'!AE$17:AE$192)</f>
        <v>0</v>
      </c>
      <c r="M2914" s="680" t="s">
        <v>330</v>
      </c>
    </row>
    <row r="2915" spans="2:15" s="3" customFormat="1" ht="6" customHeight="1" x14ac:dyDescent="0.25">
      <c r="B2915" s="57"/>
      <c r="C2915" s="37"/>
      <c r="D2915" s="37"/>
      <c r="E2915" s="37"/>
      <c r="F2915" s="37"/>
      <c r="G2915" s="37"/>
      <c r="H2915" s="37"/>
      <c r="I2915" s="37"/>
      <c r="J2915" s="37"/>
      <c r="K2915" s="37"/>
      <c r="L2915" s="37"/>
      <c r="M2915" s="37"/>
    </row>
    <row r="2916" spans="2:15" s="3" customFormat="1" ht="13.2" x14ac:dyDescent="0.25">
      <c r="B2916" s="110" t="str">
        <f>IF('1. INTRO'!I$2="English","Costs to be covered by funding body","Kostnader att täckas av finansiär")</f>
        <v>Costs to be covered by funding body</v>
      </c>
      <c r="C2916" s="111">
        <f>'5. PERSON'!G$15</f>
        <v>1900</v>
      </c>
      <c r="D2916" s="111" t="str">
        <f>'5. PERSON'!H$15</f>
        <v/>
      </c>
      <c r="E2916" s="111" t="str">
        <f>'5. PERSON'!I$15</f>
        <v/>
      </c>
      <c r="F2916" s="111" t="str">
        <f>'5. PERSON'!J$15</f>
        <v/>
      </c>
      <c r="G2916" s="111" t="str">
        <f>'5. PERSON'!K$15</f>
        <v/>
      </c>
      <c r="H2916" s="111" t="str">
        <f>'5. PERSON'!L$15</f>
        <v/>
      </c>
      <c r="I2916" s="111" t="str">
        <f>'5. PERSON'!M$15</f>
        <v/>
      </c>
      <c r="J2916" s="111" t="str">
        <f>'5. PERSON'!N$15</f>
        <v/>
      </c>
      <c r="K2916" s="111" t="str">
        <f>'5. PERSON'!O$15</f>
        <v/>
      </c>
      <c r="L2916" s="111" t="str">
        <f>'5. PERSON'!P$15</f>
        <v/>
      </c>
      <c r="M2916" s="112" t="s">
        <v>2</v>
      </c>
    </row>
    <row r="2917" spans="2:15" s="3" customFormat="1" ht="12.75" customHeight="1" x14ac:dyDescent="0.25">
      <c r="B2917" s="113" t="str">
        <f>IF('1. INTRO'!I$2="English","Salary including social costs (LKP)","Lön inklusive LKP")</f>
        <v>Salary including social costs (LKP)</v>
      </c>
      <c r="C2917" s="114">
        <f>IF('2. START'!$C$14&gt;0,SUMIF('5. PERSON'!$B$17:$B$192,$C2914,'5. PERSON'!DN$17:DN$192),SUMIF('5. PERSON'!$B$17:$B$192,$C2914,'5. PERSON'!AT$17:AT$192))</f>
        <v>0</v>
      </c>
      <c r="D2917" s="114">
        <f>IF('2. START'!$C$14&gt;0,SUMIF('5. PERSON'!$B$17:$B$192,$C2914,'5. PERSON'!DO$17:DO$192),SUMIF('5. PERSON'!$B$17:$B$192,$C2914,'5. PERSON'!AU$17:AU$192))</f>
        <v>0</v>
      </c>
      <c r="E2917" s="114">
        <f>IF('2. START'!$C$14&gt;0,SUMIF('5. PERSON'!$B$17:$B$192,$C2914,'5. PERSON'!DP$17:DP$192),SUMIF('5. PERSON'!$B$17:$B$192,$C2914,'5. PERSON'!AV$17:AV$192))</f>
        <v>0</v>
      </c>
      <c r="F2917" s="114">
        <f>IF('2. START'!$C$14&gt;0,SUMIF('5. PERSON'!$B$17:$B$192,$C2914,'5. PERSON'!DQ$17:DQ$192),SUMIF('5. PERSON'!$B$17:$B$192,$C2914,'5. PERSON'!AW$17:AW$192))</f>
        <v>0</v>
      </c>
      <c r="G2917" s="114">
        <f>IF('2. START'!$C$14&gt;0,SUMIF('5. PERSON'!$B$17:$B$192,$C2914,'5. PERSON'!DR$17:DR$192),SUMIF('5. PERSON'!$B$17:$B$192,$C2914,'5. PERSON'!AX$17:AX$192))</f>
        <v>0</v>
      </c>
      <c r="H2917" s="114">
        <f>IF('2. START'!$C$14&gt;0,SUMIF('5. PERSON'!$B$17:$B$192,$C2914,'5. PERSON'!DS$17:DS$192),SUMIF('5. PERSON'!$B$17:$B$192,$C2914,'5. PERSON'!AY$17:AY$192))</f>
        <v>0</v>
      </c>
      <c r="I2917" s="114">
        <f>IF('2. START'!$C$14&gt;0,SUMIF('5. PERSON'!$B$17:$B$192,$C2914,'5. PERSON'!DT$17:DT$192),SUMIF('5. PERSON'!$B$17:$B$192,$C2914,'5. PERSON'!AZ$17:AZ$192))</f>
        <v>0</v>
      </c>
      <c r="J2917" s="114">
        <f>IF('2. START'!$C$14&gt;0,SUMIF('5. PERSON'!$B$17:$B$192,$C2914,'5. PERSON'!DU$17:DU$192),SUMIF('5. PERSON'!$B$17:$B$192,$C2914,'5. PERSON'!BA$17:BA$192))</f>
        <v>0</v>
      </c>
      <c r="K2917" s="114">
        <f>IF('2. START'!$C$14&gt;0,SUMIF('5. PERSON'!$B$17:$B$192,$C2914,'5. PERSON'!DV$17:DV$192),SUMIF('5. PERSON'!$B$17:$B$192,$C2914,'5. PERSON'!BB$17:BB$192))</f>
        <v>0</v>
      </c>
      <c r="L2917" s="114">
        <f>IF('2. START'!$C$14&gt;0,SUMIF('5. PERSON'!$B$17:$B$192,$C2914,'5. PERSON'!DW$17:DW$192),SUMIF('5. PERSON'!$B$17:$B$192,$C2914,'5. PERSON'!BC$17:BC$192))</f>
        <v>0</v>
      </c>
      <c r="M2917" s="115">
        <f t="shared" ref="M2917:M2922" si="697">SUM(C2917:L2917)</f>
        <v>0</v>
      </c>
      <c r="O2917" s="4"/>
    </row>
    <row r="2918" spans="2:15" s="3" customFormat="1" ht="12.75" customHeight="1" x14ac:dyDescent="0.25">
      <c r="B2918" s="80" t="str">
        <f>IF('1. INTRO'!I$2="English","Operating","Drift")</f>
        <v>Operating</v>
      </c>
      <c r="C2918" s="116">
        <f>SUMIF('6. OPERATION'!$B$17:$B$149,$C2914,'6. OPERATION'!W$17:W$149)</f>
        <v>0</v>
      </c>
      <c r="D2918" s="116">
        <f>SUMIF('6. OPERATION'!$B$17:$B$149,$C2914,'6. OPERATION'!X$17:X$149)</f>
        <v>0</v>
      </c>
      <c r="E2918" s="116">
        <f>SUMIF('6. OPERATION'!$B$17:$B$149,$C2914,'6. OPERATION'!Y$17:Y$149)</f>
        <v>0</v>
      </c>
      <c r="F2918" s="116">
        <f>SUMIF('6. OPERATION'!$B$17:$B$149,$C2914,'6. OPERATION'!Z$17:Z$149)</f>
        <v>0</v>
      </c>
      <c r="G2918" s="116">
        <f>SUMIF('6. OPERATION'!$B$17:$B$149,$C2914,'6. OPERATION'!AA$17:AA$149)</f>
        <v>0</v>
      </c>
      <c r="H2918" s="116">
        <f>SUMIF('6. OPERATION'!$B$17:$B$149,$C2914,'6. OPERATION'!AB$17:AB$149)</f>
        <v>0</v>
      </c>
      <c r="I2918" s="116">
        <f>SUMIF('6. OPERATION'!$B$17:$B$149,$C2914,'6. OPERATION'!AC$17:AC$149)</f>
        <v>0</v>
      </c>
      <c r="J2918" s="116">
        <f>SUMIF('6. OPERATION'!$B$17:$B$149,$C2914,'6. OPERATION'!AD$17:AD$149)</f>
        <v>0</v>
      </c>
      <c r="K2918" s="116">
        <f>SUMIF('6. OPERATION'!$B$17:$B$149,$C2914,'6. OPERATION'!AE$17:AE$149)</f>
        <v>0</v>
      </c>
      <c r="L2918" s="116">
        <f>SUMIF('6. OPERATION'!$B$17:$B$149,$C2914,'6. OPERATION'!AF$17:AF$149)</f>
        <v>0</v>
      </c>
      <c r="M2918" s="117">
        <f t="shared" si="697"/>
        <v>0</v>
      </c>
    </row>
    <row r="2919" spans="2:15" s="3" customFormat="1" ht="13.2" x14ac:dyDescent="0.25">
      <c r="B2919" s="118" t="str">
        <f>IF('1. INTRO'!I$2="English","Equipment","Utrustning")</f>
        <v>Equipment</v>
      </c>
      <c r="C2919" s="119">
        <f>SUMIF('7. INVEST'!$B$17:$B$49,$C2914,'7. INVEST'!W$17:W$49)</f>
        <v>0</v>
      </c>
      <c r="D2919" s="119">
        <f>SUMIF('7. INVEST'!$B$17:$B$49,$C2914,'7. INVEST'!X$17:X$49)</f>
        <v>0</v>
      </c>
      <c r="E2919" s="119">
        <f>SUMIF('7. INVEST'!$B$17:$B$49,$C2914,'7. INVEST'!Y$17:Y$49)</f>
        <v>0</v>
      </c>
      <c r="F2919" s="119">
        <f>SUMIF('7. INVEST'!$B$17:$B$49,$C2914,'7. INVEST'!Z$17:Z$49)</f>
        <v>0</v>
      </c>
      <c r="G2919" s="119">
        <f>SUMIF('7. INVEST'!$B$17:$B$49,$C2914,'7. INVEST'!AA$17:AA$49)</f>
        <v>0</v>
      </c>
      <c r="H2919" s="119">
        <f>SUMIF('7. INVEST'!$B$17:$B$49,$C2914,'7. INVEST'!AB$17:AB$49)</f>
        <v>0</v>
      </c>
      <c r="I2919" s="119">
        <f>SUMIF('7. INVEST'!$B$17:$B$49,$C2914,'7. INVEST'!AC$17:AC$49)</f>
        <v>0</v>
      </c>
      <c r="J2919" s="119">
        <f>SUMIF('7. INVEST'!$B$17:$B$49,$C2914,'7. INVEST'!AD$17:AD$49)</f>
        <v>0</v>
      </c>
      <c r="K2919" s="119">
        <f>SUMIF('7. INVEST'!$B$17:$B$49,$C2914,'7. INVEST'!AE$17:AE$49)</f>
        <v>0</v>
      </c>
      <c r="L2919" s="119">
        <f>SUMIF('7. INVEST'!$B$17:$B$49,$C2914,'7. INVEST'!AF$17:AF$49)</f>
        <v>0</v>
      </c>
      <c r="M2919" s="120">
        <f t="shared" si="697"/>
        <v>0</v>
      </c>
    </row>
    <row r="2920" spans="2:15" s="3" customFormat="1" ht="13.2" x14ac:dyDescent="0.25">
      <c r="B2920" s="121" t="str">
        <f>IF('1. INTRO'!I$2="English",(IF('2. START'!C$11="NO","Facility accepted as direct cost by funding body","Facility")),IF('2. START'!C$11="NO","Lokal accepterad som direkt kostnad av finansiär","Lokal"))</f>
        <v>Facility</v>
      </c>
      <c r="C2920" s="116">
        <f>IF('2. START'!$C$11="NO",SUMIF('8. FACILIT'!$B$18:$B$50,$C2914,'8. FACILIT'!T$18:T$50),SUMIF('5. PERSON'!$B$17:$B$192,$C2914,'5. PERSON'!CP$17:CP$192)+SUMIF('6. OPERATION'!$B$17:$B$149,$C2914,'6. OPERATION'!BS$17:BS$149)+SUMIF('8. FACILIT'!$B$18:$B$50,$C2914,'8. FACILIT'!T$18:T$50))</f>
        <v>0</v>
      </c>
      <c r="D2920" s="116">
        <f>IF('2. START'!$C$11="NO",SUMIF('8. FACILIT'!$B$18:$B$50,$C2914,'8. FACILIT'!U$18:U$50),SUMIF('5. PERSON'!$B$17:$B$192,$C2914,'5. PERSON'!CQ$17:CQ$192)+SUMIF('6. OPERATION'!$B$17:$B$149,$C2914,'6. OPERATION'!BT$17:BT$149)+SUMIF('8. FACILIT'!$B$18:$B$50,$C2914,'8. FACILIT'!U$18:U$50))</f>
        <v>0</v>
      </c>
      <c r="E2920" s="116">
        <f>IF('2. START'!$C$11="NO",SUMIF('8. FACILIT'!$B$18:$B$50,$C2914,'8. FACILIT'!V$18:V$50),SUMIF('5. PERSON'!$B$17:$B$192,$C2914,'5. PERSON'!CR$17:CR$192)+SUMIF('6. OPERATION'!$B$17:$B$149,$C2914,'6. OPERATION'!BU$17:BU$149)+SUMIF('8. FACILIT'!$B$18:$B$50,$C2914,'8. FACILIT'!V$18:V$50))</f>
        <v>0</v>
      </c>
      <c r="F2920" s="116">
        <f>IF('2. START'!$C$11="NO",SUMIF('8. FACILIT'!$B$18:$B$50,$C2914,'8. FACILIT'!W$18:W$50),SUMIF('5. PERSON'!$B$17:$B$192,$C2914,'5. PERSON'!CS$17:CS$192)+SUMIF('6. OPERATION'!$B$17:$B$149,$C2914,'6. OPERATION'!BV$17:BV$149)+SUMIF('8. FACILIT'!$B$18:$B$50,$C2914,'8. FACILIT'!W$18:W$50))</f>
        <v>0</v>
      </c>
      <c r="G2920" s="116">
        <f>IF('2. START'!$C$11="NO",SUMIF('8. FACILIT'!$B$18:$B$50,$C2914,'8. FACILIT'!X$18:X$50),SUMIF('5. PERSON'!$B$17:$B$192,$C2914,'5. PERSON'!CT$17:CT$192)+SUMIF('6. OPERATION'!$B$17:$B$149,$C2914,'6. OPERATION'!BW$17:BW$149)+SUMIF('8. FACILIT'!$B$18:$B$50,$C2914,'8. FACILIT'!X$18:X$50))</f>
        <v>0</v>
      </c>
      <c r="H2920" s="116">
        <f>IF('2. START'!$C$11="NO",SUMIF('8. FACILIT'!$B$18:$B$50,$C2914,'8. FACILIT'!Y$18:Y$50),SUMIF('5. PERSON'!$B$17:$B$192,$C2914,'5. PERSON'!CU$17:CU$192)+SUMIF('6. OPERATION'!$B$17:$B$149,$C2914,'6. OPERATION'!BX$17:BX$149)+SUMIF('8. FACILIT'!$B$18:$B$50,$C2914,'8. FACILIT'!Y$18:Y$50))</f>
        <v>0</v>
      </c>
      <c r="I2920" s="116">
        <f>IF('2. START'!$C$11="NO",SUMIF('8. FACILIT'!$B$18:$B$50,$C2914,'8. FACILIT'!Z$18:Z$50),SUMIF('5. PERSON'!$B$17:$B$192,$C2914,'5. PERSON'!CV$17:CV$192)+SUMIF('6. OPERATION'!$B$17:$B$149,$C2914,'6. OPERATION'!BY$17:BY$149)+SUMIF('8. FACILIT'!$B$18:$B$50,$C2914,'8. FACILIT'!Z$18:Z$50))</f>
        <v>0</v>
      </c>
      <c r="J2920" s="116">
        <f>IF('2. START'!$C$11="NO",SUMIF('8. FACILIT'!$B$18:$B$50,$C2914,'8. FACILIT'!AA$18:AA$50),SUMIF('5. PERSON'!$B$17:$B$192,$C2914,'5. PERSON'!CW$17:CW$192)+SUMIF('6. OPERATION'!$B$17:$B$149,$C2914,'6. OPERATION'!BZ$17:BZ$149)+SUMIF('8. FACILIT'!$B$18:$B$50,$C2914,'8. FACILIT'!AA$18:AA$50))</f>
        <v>0</v>
      </c>
      <c r="K2920" s="116">
        <f>IF('2. START'!$C$11="NO",SUMIF('8. FACILIT'!$B$18:$B$50,$C2914,'8. FACILIT'!AB$18:AB$50),SUMIF('5. PERSON'!$B$17:$B$192,$C2914,'5. PERSON'!CX$17:CX$192)+SUMIF('6. OPERATION'!$B$17:$B$149,$C2914,'6. OPERATION'!CA$17:CA$149)+SUMIF('8. FACILIT'!$B$18:$B$50,$C2914,'8. FACILIT'!AB$18:AB$50))</f>
        <v>0</v>
      </c>
      <c r="L2920" s="116">
        <f>IF('2. START'!$C$11="NO",SUMIF('8. FACILIT'!$B$18:$B$50,$C2914,'8. FACILIT'!AC$18:AC$50),SUMIF('5. PERSON'!$B$17:$B$192,$C2914,'5. PERSON'!CY$17:CY$192)+SUMIF('6. OPERATION'!$B$17:$B$149,$C2914,'6. OPERATION'!CB$17:CB$149)+SUMIF('8. FACILIT'!$B$18:$B$50,$C2914,'8. FACILIT'!AC$18:AC$50))</f>
        <v>0</v>
      </c>
      <c r="M2920" s="117">
        <f t="shared" si="697"/>
        <v>0</v>
      </c>
    </row>
    <row r="2921" spans="2:15" s="3" customFormat="1" ht="13.2" x14ac:dyDescent="0.25">
      <c r="B2921" s="122" t="str">
        <f>IF('1. INTRO'!I$2="English",(IF('2. START'!C$11="NO","Indirect and facility charge accepted as OH by funding body","Indirect")),IF('2. START'!C$11="NO","Indirekt och lokalpåslag accepterade som OH av finansiär","Indirekt"))</f>
        <v>Indirect</v>
      </c>
      <c r="C2921" s="107">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107">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107">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107">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107">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107">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107">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107">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107">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107">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120">
        <f t="shared" si="697"/>
        <v>0</v>
      </c>
    </row>
    <row r="2922" spans="2:15" s="3" customFormat="1" ht="13.2" x14ac:dyDescent="0.25">
      <c r="B2922" s="124" t="s">
        <v>113</v>
      </c>
      <c r="C2922" s="102">
        <f>SUM(C2917:C2921)</f>
        <v>0</v>
      </c>
      <c r="D2922" s="102">
        <f t="shared" ref="D2922:L2922" si="698">SUM(D2917:D2921)</f>
        <v>0</v>
      </c>
      <c r="E2922" s="102">
        <f t="shared" si="698"/>
        <v>0</v>
      </c>
      <c r="F2922" s="102">
        <f t="shared" si="698"/>
        <v>0</v>
      </c>
      <c r="G2922" s="102">
        <f t="shared" si="698"/>
        <v>0</v>
      </c>
      <c r="H2922" s="102">
        <f t="shared" si="698"/>
        <v>0</v>
      </c>
      <c r="I2922" s="102">
        <f t="shared" si="698"/>
        <v>0</v>
      </c>
      <c r="J2922" s="102">
        <f t="shared" si="698"/>
        <v>0</v>
      </c>
      <c r="K2922" s="102">
        <f t="shared" si="698"/>
        <v>0</v>
      </c>
      <c r="L2922" s="102">
        <f t="shared" si="698"/>
        <v>0</v>
      </c>
      <c r="M2922" s="125">
        <f t="shared" si="697"/>
        <v>0</v>
      </c>
    </row>
    <row r="2923" spans="2:15" s="3" customFormat="1" ht="6" customHeight="1" x14ac:dyDescent="0.25">
      <c r="B2923" s="126"/>
      <c r="C2923" s="127"/>
      <c r="D2923" s="127"/>
      <c r="E2923" s="127"/>
      <c r="F2923" s="127"/>
      <c r="G2923" s="127"/>
      <c r="H2923" s="127"/>
      <c r="I2923" s="127"/>
      <c r="J2923" s="127"/>
      <c r="K2923" s="127"/>
      <c r="L2923" s="127"/>
      <c r="M2923" s="128"/>
    </row>
    <row r="2924" spans="2:15" s="3" customFormat="1" ht="13.2" x14ac:dyDescent="0.25">
      <c r="B2924" s="129" t="str">
        <f>IF('1. INTRO'!I$2="English","Costs to be co-funded","Kostnader att medfinansiera")</f>
        <v>Costs to be co-funded</v>
      </c>
      <c r="C2924" s="86"/>
      <c r="D2924" s="86"/>
      <c r="E2924" s="86"/>
      <c r="F2924" s="86"/>
      <c r="G2924" s="86"/>
      <c r="H2924" s="86"/>
      <c r="I2924" s="86"/>
      <c r="J2924" s="86"/>
      <c r="K2924" s="86"/>
      <c r="L2924" s="86"/>
      <c r="M2924" s="130"/>
    </row>
    <row r="2925" spans="2:15" s="3" customFormat="1" ht="13.2" x14ac:dyDescent="0.25">
      <c r="B2925" s="159" t="str">
        <f>IF('1. INTRO'!I$2="English",(IF('2. START'!C$11="NO","Indirect and facility charge not accepted as OH by funding body","")),IF('2. START'!C$11="NO","Indirekt och lokalpåslag inte accepterade som OH av finansiär",""))</f>
        <v/>
      </c>
      <c r="C2925" s="131">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31">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31">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31">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31">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31">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31">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31">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31">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31">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115">
        <f t="shared" ref="M2925:M2931" si="699">SUM(C2925:L2925)</f>
        <v>0</v>
      </c>
    </row>
    <row r="2926" spans="2:15" s="3" customFormat="1" ht="12.75" customHeight="1" x14ac:dyDescent="0.25">
      <c r="B2926" s="132" t="str">
        <f>IF('1. INTRO'!I$2="English",(IF('2. START'!C$14&gt;0,"Social costs (LKP) not accepted by funding body","")),IF('2. START'!C$14&gt;0,"LKP som inte accepteras av finansiär",""))</f>
        <v/>
      </c>
      <c r="C2926" s="133">
        <f>IF('2. START'!$C$14&gt;0,SUMIF('5. PERSON'!$B$17:$B$192,$C2914,'5. PERSON'!AT$17:AT$192)-SUMIF('5. PERSON'!$B$17:$B$192,$C2914,'5. PERSON'!DN$17:DN$192),0)</f>
        <v>0</v>
      </c>
      <c r="D2926" s="133">
        <f>IF('2. START'!$C$14&gt;0,SUMIF('5. PERSON'!$B$17:$B$192,$C2914,'5. PERSON'!AU$17:AU$192)-SUMIF('5. PERSON'!$B$17:$B$192,$C2914,'5. PERSON'!DO$17:DO$192),0)</f>
        <v>0</v>
      </c>
      <c r="E2926" s="133">
        <f>IF('2. START'!$C$14&gt;0,SUMIF('5. PERSON'!$B$17:$B$192,$C2914,'5. PERSON'!AV$17:AV$192)-SUMIF('5. PERSON'!$B$17:$B$192,$C2914,'5. PERSON'!DP$17:DP$192),0)</f>
        <v>0</v>
      </c>
      <c r="F2926" s="133">
        <f>IF('2. START'!$C$14&gt;0,SUMIF('5. PERSON'!$B$17:$B$192,$C2914,'5. PERSON'!AW$17:AW$192)-SUMIF('5. PERSON'!$B$17:$B$192,$C2914,'5. PERSON'!DQ$17:DQ$192),0)</f>
        <v>0</v>
      </c>
      <c r="G2926" s="133">
        <f>IF('2. START'!$C$14&gt;0,SUMIF('5. PERSON'!$B$17:$B$192,$C2914,'5. PERSON'!AX$17:AX$192)-SUMIF('5. PERSON'!$B$17:$B$192,$C2914,'5. PERSON'!DR$17:DR$192),0)</f>
        <v>0</v>
      </c>
      <c r="H2926" s="133">
        <f>IF('2. START'!$C$14&gt;0,SUMIF('5. PERSON'!$B$17:$B$192,$C2914,'5. PERSON'!AY$17:AY$192)-SUMIF('5. PERSON'!$B$17:$B$192,$C2914,'5. PERSON'!DS$17:DS$192),0)</f>
        <v>0</v>
      </c>
      <c r="I2926" s="133">
        <f>IF('2. START'!$C$14&gt;0,SUMIF('5. PERSON'!$B$17:$B$192,$C2914,'5. PERSON'!AZ$17:AZ$192)-SUMIF('5. PERSON'!$B$17:$B$192,$C2914,'5. PERSON'!DT$17:DT$192),0)</f>
        <v>0</v>
      </c>
      <c r="J2926" s="133">
        <f>IF('2. START'!$C$14&gt;0,SUMIF('5. PERSON'!$B$17:$B$192,$C2914,'5. PERSON'!BA$17:BA$192)-SUMIF('5. PERSON'!$B$17:$B$192,$C2914,'5. PERSON'!DU$17:DU$192),0)</f>
        <v>0</v>
      </c>
      <c r="K2926" s="133">
        <f>IF('2. START'!$C$14&gt;0,SUMIF('5. PERSON'!$B$17:$B$192,$C2914,'5. PERSON'!BB$17:BB$192)-SUMIF('5. PERSON'!$B$17:$B$192,$C2914,'5. PERSON'!DV$17:DV$192),0)</f>
        <v>0</v>
      </c>
      <c r="L2926" s="133">
        <f>IF('2. START'!$C$14&gt;0,SUMIF('5. PERSON'!$B$17:$B$192,$C2914,'5. PERSON'!BC$17:BC$192)-SUMIF('5. PERSON'!$B$17:$B$192,$C2914,'5. PERSON'!DW$17:DW$192),0)</f>
        <v>0</v>
      </c>
      <c r="M2926" s="117">
        <f t="shared" si="699"/>
        <v>0</v>
      </c>
    </row>
    <row r="2927" spans="2:15" s="3" customFormat="1" ht="12.75" customHeight="1" x14ac:dyDescent="0.25">
      <c r="B2927" s="118" t="str">
        <f>IF('1. INTRO'!I$2="English",(IF('5. PERSON'!BP$193&gt;0,"Salary including social costs (LKP)","")),IF('5. PERSON'!BP$193&gt;0,"Lön inklusive LKP",""))</f>
        <v/>
      </c>
      <c r="C2927" s="134">
        <f>SUMIF('5. PERSON'!$B$17:$B$192,$C2914,'5. PERSON'!BF$17:BF$192)</f>
        <v>0</v>
      </c>
      <c r="D2927" s="134">
        <f>SUMIF('5. PERSON'!$B$17:$B$192,$C2914,'5. PERSON'!BG$17:BG$192)</f>
        <v>0</v>
      </c>
      <c r="E2927" s="134">
        <f>SUMIF('5. PERSON'!$B$17:$B$192,$C2914,'5. PERSON'!BH$17:BH$192)</f>
        <v>0</v>
      </c>
      <c r="F2927" s="134">
        <f>SUMIF('5. PERSON'!$B$17:$B$192,$C2914,'5. PERSON'!BI$17:BI$192)</f>
        <v>0</v>
      </c>
      <c r="G2927" s="134">
        <f>SUMIF('5. PERSON'!$B$17:$B$192,$C2914,'5. PERSON'!BJ$17:BJ$192)</f>
        <v>0</v>
      </c>
      <c r="H2927" s="134">
        <f>SUMIF('5. PERSON'!$B$17:$B$192,$C2914,'5. PERSON'!BK$17:BK$192)</f>
        <v>0</v>
      </c>
      <c r="I2927" s="134">
        <f>SUMIF('5. PERSON'!$B$17:$B$192,$C2914,'5. PERSON'!BL$17:BL$192)</f>
        <v>0</v>
      </c>
      <c r="J2927" s="134">
        <f>SUMIF('5. PERSON'!$B$17:$B$192,$C2914,'5. PERSON'!BM$17:BM$192)</f>
        <v>0</v>
      </c>
      <c r="K2927" s="134">
        <f>SUMIF('5. PERSON'!$B$17:$B$192,$C2914,'5. PERSON'!BN$17:BN$192)</f>
        <v>0</v>
      </c>
      <c r="L2927" s="134">
        <f>SUMIF('5. PERSON'!$B$17:$B$192,$C2914,'5. PERSON'!BO$17:BO$192)</f>
        <v>0</v>
      </c>
      <c r="M2927" s="120">
        <f t="shared" si="699"/>
        <v>0</v>
      </c>
    </row>
    <row r="2928" spans="2:15" s="3" customFormat="1" ht="13.2" x14ac:dyDescent="0.25">
      <c r="B2928" s="80" t="str">
        <f>IF('1. INTRO'!I$2="English",(IF('6. OPERATION'!AS$150&gt;0,"Operating","")),IF('6. OPERATION'!AS$150&gt;0,"Drift",""))</f>
        <v/>
      </c>
      <c r="C2928" s="135">
        <f>SUMIF('6. OPERATION'!$B$17:$B$149,$C2914,'6. OPERATION'!AI$17:AI$149)</f>
        <v>0</v>
      </c>
      <c r="D2928" s="135">
        <f>SUMIF('6. OPERATION'!$B$17:$B$149,$C2914,'6. OPERATION'!AJ$17:AJ$149)</f>
        <v>0</v>
      </c>
      <c r="E2928" s="135">
        <f>SUMIF('6. OPERATION'!$B$17:$B$149,$C2914,'6. OPERATION'!AK$17:AK$149)</f>
        <v>0</v>
      </c>
      <c r="F2928" s="135">
        <f>SUMIF('6. OPERATION'!$B$17:$B$149,$C2914,'6. OPERATION'!AL$17:AL$149)</f>
        <v>0</v>
      </c>
      <c r="G2928" s="135">
        <f>SUMIF('6. OPERATION'!$B$17:$B$149,$C2914,'6. OPERATION'!AM$17:AM$149)</f>
        <v>0</v>
      </c>
      <c r="H2928" s="135">
        <f>SUMIF('6. OPERATION'!$B$17:$B$149,$C2914,'6. OPERATION'!AN$17:AN$149)</f>
        <v>0</v>
      </c>
      <c r="I2928" s="135">
        <f>SUMIF('6. OPERATION'!$B$17:$B$149,$C2914,'6. OPERATION'!AO$17:AO$149)</f>
        <v>0</v>
      </c>
      <c r="J2928" s="135">
        <f>SUMIF('6. OPERATION'!$B$17:$B$149,$C2914,'6. OPERATION'!AP$17:AP$149)</f>
        <v>0</v>
      </c>
      <c r="K2928" s="135">
        <f>SUMIF('6. OPERATION'!$B$17:$B$149,$C2914,'6. OPERATION'!AQ$17:AQ$149)</f>
        <v>0</v>
      </c>
      <c r="L2928" s="135">
        <f>SUMIF('6. OPERATION'!$B$17:$B$149,$C2914,'6. OPERATION'!AR$17:AR$149)</f>
        <v>0</v>
      </c>
      <c r="M2928" s="117">
        <f t="shared" si="699"/>
        <v>0</v>
      </c>
    </row>
    <row r="2929" spans="2:15" s="3" customFormat="1" ht="13.2" x14ac:dyDescent="0.25">
      <c r="B2929" s="118" t="str">
        <f>IF('1. INTRO'!I$2="English",(IF('7. INVEST'!AS$50&gt;0,"Equipment","")),IF('7. INVEST'!AS$50&gt;0,"Utrustning",""))</f>
        <v/>
      </c>
      <c r="C2929" s="134">
        <f>SUMIF('7. INVEST'!$B$17:$B$49,$C2914,'7. INVEST'!AI$17:AI$49)</f>
        <v>0</v>
      </c>
      <c r="D2929" s="134">
        <f>SUMIF('7. INVEST'!$B$17:$B$49,$C2914,'7. INVEST'!AJ$17:AJ$49)</f>
        <v>0</v>
      </c>
      <c r="E2929" s="134">
        <f>SUMIF('7. INVEST'!$B$17:$B$49,$C2914,'7. INVEST'!AK$17:AK$49)</f>
        <v>0</v>
      </c>
      <c r="F2929" s="134">
        <f>SUMIF('7. INVEST'!$B$17:$B$49,$C2914,'7. INVEST'!AL$17:AL$49)</f>
        <v>0</v>
      </c>
      <c r="G2929" s="134">
        <f>SUMIF('7. INVEST'!$B$17:$B$49,$C2914,'7. INVEST'!AM$17:AM$49)</f>
        <v>0</v>
      </c>
      <c r="H2929" s="134">
        <f>SUMIF('7. INVEST'!$B$17:$B$49,$C2914,'7. INVEST'!AN$17:AN$49)</f>
        <v>0</v>
      </c>
      <c r="I2929" s="134">
        <f>SUMIF('7. INVEST'!$B$17:$B$49,$C2914,'7. INVEST'!AO$17:AO$49)</f>
        <v>0</v>
      </c>
      <c r="J2929" s="134">
        <f>SUMIF('7. INVEST'!$B$17:$B$49,$C2914,'7. INVEST'!AP$17:AP$49)</f>
        <v>0</v>
      </c>
      <c r="K2929" s="134">
        <f>SUMIF('7. INVEST'!$B$17:$B$49,$C2914,'7. INVEST'!AQ$17:AQ$49)</f>
        <v>0</v>
      </c>
      <c r="L2929" s="134">
        <f>SUMIF('7. INVEST'!$B$17:$B$49,$C2914,'7. INVEST'!AR$17:AR$49)</f>
        <v>0</v>
      </c>
      <c r="M2929" s="120">
        <f t="shared" si="699"/>
        <v>0</v>
      </c>
    </row>
    <row r="2930" spans="2:15" s="3" customFormat="1" ht="13.2" x14ac:dyDescent="0.25">
      <c r="B2930" s="121" t="str">
        <f>IF('1. INTRO'!I$2="English",(IF('8. FACILIT'!AP$51&gt;0,"Facility","")),IF('8. FACILIT'!AP$51&gt;0,"Lokal",""))</f>
        <v/>
      </c>
      <c r="C2930" s="135">
        <f>SUMIF('5. PERSON'!$B$17:$B$192,$C2914,'5. PERSON'!DB$17:DB$192)+SUMIF('6. OPERATION'!$B$17:$B$149,$C2914,'6. OPERATION'!CE$17:CE$149)+SUMIF('8. FACILIT'!$B$18:$B$50,$C2914,'8. FACILIT'!AF$18:AF$50)</f>
        <v>0</v>
      </c>
      <c r="D2930" s="135">
        <f>SUMIF('5. PERSON'!$B$17:$B$192,$C2914,'5. PERSON'!DC$17:DC$192)+SUMIF('6. OPERATION'!$B$17:$B$149,$C2914,'6. OPERATION'!CF$17:CF$149)+SUMIF('8. FACILIT'!$B$18:$B$50,$C2914,'8. FACILIT'!AG$18:AG$50)</f>
        <v>0</v>
      </c>
      <c r="E2930" s="135">
        <f>SUMIF('5. PERSON'!$B$17:$B$192,$C2914,'5. PERSON'!DD$17:DD$192)+SUMIF('6. OPERATION'!$B$17:$B$149,$C2914,'6. OPERATION'!CG$17:CG$149)+SUMIF('8. FACILIT'!$B$18:$B$50,$C2914,'8. FACILIT'!AH$18:AH$50)</f>
        <v>0</v>
      </c>
      <c r="F2930" s="135">
        <f>SUMIF('5. PERSON'!$B$17:$B$192,$C2914,'5. PERSON'!DE$17:DE$192)+SUMIF('6. OPERATION'!$B$17:$B$149,$C2914,'6. OPERATION'!CH$17:CH$149)+SUMIF('8. FACILIT'!$B$18:$B$50,$C2914,'8. FACILIT'!AI$18:AI$50)</f>
        <v>0</v>
      </c>
      <c r="G2930" s="135">
        <f>SUMIF('5. PERSON'!$B$17:$B$192,$C2914,'5. PERSON'!DF$17:DF$192)+SUMIF('6. OPERATION'!$B$17:$B$149,$C2914,'6. OPERATION'!CI$17:CI$149)+SUMIF('8. FACILIT'!$B$18:$B$50,$C2914,'8. FACILIT'!AJ$18:AJ$50)</f>
        <v>0</v>
      </c>
      <c r="H2930" s="135">
        <f>SUMIF('5. PERSON'!$B$17:$B$192,$C2914,'5. PERSON'!DG$17:DG$192)+SUMIF('6. OPERATION'!$B$17:$B$149,$C2914,'6. OPERATION'!CJ$17:CJ$149)+SUMIF('8. FACILIT'!$B$18:$B$50,$C2914,'8. FACILIT'!AK$18:AK$50)</f>
        <v>0</v>
      </c>
      <c r="I2930" s="135">
        <f>SUMIF('5. PERSON'!$B$17:$B$192,$C2914,'5. PERSON'!DH$17:DH$192)+SUMIF('6. OPERATION'!$B$17:$B$149,$C2914,'6. OPERATION'!CK$17:CK$149)+SUMIF('8. FACILIT'!$B$18:$B$50,$C2914,'8. FACILIT'!AL$18:AL$50)</f>
        <v>0</v>
      </c>
      <c r="J2930" s="135">
        <f>SUMIF('5. PERSON'!$B$17:$B$192,$C2914,'5. PERSON'!DI$17:DI$192)+SUMIF('6. OPERATION'!$B$17:$B$149,$C2914,'6. OPERATION'!CL$17:CL$149)+SUMIF('8. FACILIT'!$B$18:$B$50,$C2914,'8. FACILIT'!AM$18:AM$50)</f>
        <v>0</v>
      </c>
      <c r="K2930" s="135">
        <f>SUMIF('5. PERSON'!$B$17:$B$192,$C2914,'5. PERSON'!DJ$17:DJ$192)+SUMIF('6. OPERATION'!$B$17:$B$149,$C2914,'6. OPERATION'!CM$17:CM$149)+SUMIF('8. FACILIT'!$B$18:$B$50,$C2914,'8. FACILIT'!AN$18:AN$50)</f>
        <v>0</v>
      </c>
      <c r="L2930" s="135">
        <f>SUMIF('5. PERSON'!$B$17:$B$192,$C2914,'5. PERSON'!DK$17:DK$192)+SUMIF('6. OPERATION'!$B$17:$B$149,$C2914,'6. OPERATION'!CN$17:CN$149)+SUMIF('8. FACILIT'!$B$18:$B$50,$C2914,'8. FACILIT'!AO$18:AO$50)</f>
        <v>0</v>
      </c>
      <c r="M2930" s="117">
        <f t="shared" si="699"/>
        <v>0</v>
      </c>
    </row>
    <row r="2931" spans="2:15" s="1" customFormat="1" ht="13.2" x14ac:dyDescent="0.25">
      <c r="B2931" s="122" t="str">
        <f>IF('1. INTRO'!I$2="English",(IF(('5. PERSON'!CN$193+'6. OPERATION'!BQ$150)&gt;0,"Indirect","")),IF(('5. PERSON'!CN$193+'6. OPERATION'!BQ$150)&gt;0,"Indirekt",""))</f>
        <v/>
      </c>
      <c r="C2931" s="107">
        <f>SUMIF('5. PERSON'!$B$17:$B$192,$C2914,'5. PERSON'!CD$17:CD$192)+SUMIF('6. OPERATION'!$B$17:$B$149,$C2914,'6. OPERATION'!BG$17:BG$149)</f>
        <v>0</v>
      </c>
      <c r="D2931" s="107">
        <f>SUMIF('5. PERSON'!$B$17:$B$192,$C2914,'5. PERSON'!CE$17:CE$192)+SUMIF('6. OPERATION'!$B$17:$B$149,$C2914,'6. OPERATION'!BH$17:BH$149)</f>
        <v>0</v>
      </c>
      <c r="E2931" s="107">
        <f>SUMIF('5. PERSON'!$B$17:$B$192,$C2914,'5. PERSON'!CF$17:CF$192)+SUMIF('6. OPERATION'!$B$17:$B$149,$C2914,'6. OPERATION'!BI$17:BI$149)</f>
        <v>0</v>
      </c>
      <c r="F2931" s="107">
        <f>SUMIF('5. PERSON'!$B$17:$B$192,$C2914,'5. PERSON'!CG$17:CG$192)+SUMIF('6. OPERATION'!$B$17:$B$149,$C2914,'6. OPERATION'!BJ$17:BJ$149)</f>
        <v>0</v>
      </c>
      <c r="G2931" s="107">
        <f>SUMIF('5. PERSON'!$B$17:$B$192,$C2914,'5. PERSON'!CH$17:CH$192)+SUMIF('6. OPERATION'!$B$17:$B$149,$C2914,'6. OPERATION'!BK$17:BK$149)</f>
        <v>0</v>
      </c>
      <c r="H2931" s="107">
        <f>SUMIF('5. PERSON'!$B$17:$B$192,$C2914,'5. PERSON'!CI$17:CI$192)+SUMIF('6. OPERATION'!$B$17:$B$149,$C2914,'6. OPERATION'!BL$17:BL$149)</f>
        <v>0</v>
      </c>
      <c r="I2931" s="107">
        <f>SUMIF('5. PERSON'!$B$17:$B$192,$C2914,'5. PERSON'!CJ$17:CJ$192)+SUMIF('6. OPERATION'!$B$17:$B$149,$C2914,'6. OPERATION'!BM$17:BM$149)</f>
        <v>0</v>
      </c>
      <c r="J2931" s="107">
        <f>SUMIF('5. PERSON'!$B$17:$B$192,$C2914,'5. PERSON'!CK$17:CK$192)+SUMIF('6. OPERATION'!$B$17:$B$149,$C2914,'6. OPERATION'!BN$17:BN$149)</f>
        <v>0</v>
      </c>
      <c r="K2931" s="107">
        <f>SUMIF('5. PERSON'!$B$17:$B$192,$C2914,'5. PERSON'!CL$17:CL$192)+SUMIF('6. OPERATION'!$B$17:$B$149,$C2914,'6. OPERATION'!BO$17:BO$149)</f>
        <v>0</v>
      </c>
      <c r="L2931" s="107">
        <f>SUMIF('5. PERSON'!$B$17:$B$192,$C2914,'5. PERSON'!CM$17:CM$192)+SUMIF('6. OPERATION'!$B$17:$B$149,$C2914,'6. OPERATION'!BP$17:BP$149)</f>
        <v>0</v>
      </c>
      <c r="M2931" s="123">
        <f t="shared" si="699"/>
        <v>0</v>
      </c>
    </row>
    <row r="2932" spans="2:15" s="3" customFormat="1" ht="13.2" x14ac:dyDescent="0.25">
      <c r="B2932" s="124" t="s">
        <v>113</v>
      </c>
      <c r="C2932" s="102">
        <f>SUM(C2925:C2931)</f>
        <v>0</v>
      </c>
      <c r="D2932" s="102">
        <f t="shared" ref="D2932:L2932" si="700">SUM(D2925:D2931)</f>
        <v>0</v>
      </c>
      <c r="E2932" s="102">
        <f t="shared" si="700"/>
        <v>0</v>
      </c>
      <c r="F2932" s="102">
        <f t="shared" si="700"/>
        <v>0</v>
      </c>
      <c r="G2932" s="102">
        <f t="shared" si="700"/>
        <v>0</v>
      </c>
      <c r="H2932" s="102">
        <f t="shared" si="700"/>
        <v>0</v>
      </c>
      <c r="I2932" s="102">
        <f t="shared" si="700"/>
        <v>0</v>
      </c>
      <c r="J2932" s="102">
        <f t="shared" si="700"/>
        <v>0</v>
      </c>
      <c r="K2932" s="102">
        <f t="shared" si="700"/>
        <v>0</v>
      </c>
      <c r="L2932" s="102">
        <f t="shared" si="700"/>
        <v>0</v>
      </c>
      <c r="M2932" s="125">
        <f t="shared" ref="M2932" si="701">SUM(M2925:M2931)</f>
        <v>0</v>
      </c>
      <c r="N2932" s="23"/>
      <c r="O2932" s="23"/>
    </row>
    <row r="2933" spans="2:15" s="3" customFormat="1" ht="6" customHeight="1" x14ac:dyDescent="0.25">
      <c r="B2933" s="136"/>
      <c r="C2933" s="127"/>
      <c r="D2933" s="127"/>
      <c r="E2933" s="127"/>
      <c r="F2933" s="127"/>
      <c r="G2933" s="127"/>
      <c r="H2933" s="127"/>
      <c r="I2933" s="127"/>
      <c r="J2933" s="127"/>
      <c r="K2933" s="127"/>
      <c r="L2933" s="127"/>
      <c r="M2933" s="137"/>
    </row>
    <row r="2934" spans="2:15" s="3" customFormat="1" ht="13.2" x14ac:dyDescent="0.25">
      <c r="B2934" s="129" t="str">
        <f>IF('1. INTRO'!I$2="English","Full cost","Full kostnad")</f>
        <v>Full cost</v>
      </c>
      <c r="C2934" s="127"/>
      <c r="D2934" s="127"/>
      <c r="E2934" s="127"/>
      <c r="F2934" s="127"/>
      <c r="G2934" s="127"/>
      <c r="H2934" s="127"/>
      <c r="I2934" s="127"/>
      <c r="J2934" s="127"/>
      <c r="K2934" s="127"/>
      <c r="L2934" s="127"/>
      <c r="M2934" s="137"/>
    </row>
    <row r="2935" spans="2:15" s="3" customFormat="1" ht="13.2" x14ac:dyDescent="0.25">
      <c r="B2935" s="113" t="str">
        <f>IF('1. INTRO'!I$2="English","Salary including social costs (LKP)","Lön inklusive LKP")</f>
        <v>Salary including social costs (LKP)</v>
      </c>
      <c r="C2935" s="138">
        <f>C2917+C2926+C2927</f>
        <v>0</v>
      </c>
      <c r="D2935" s="138">
        <f t="shared" ref="D2935:L2935" si="702">D2917+D2926+D2927</f>
        <v>0</v>
      </c>
      <c r="E2935" s="138">
        <f t="shared" si="702"/>
        <v>0</v>
      </c>
      <c r="F2935" s="138">
        <f t="shared" si="702"/>
        <v>0</v>
      </c>
      <c r="G2935" s="138">
        <f t="shared" si="702"/>
        <v>0</v>
      </c>
      <c r="H2935" s="138">
        <f t="shared" si="702"/>
        <v>0</v>
      </c>
      <c r="I2935" s="138">
        <f t="shared" si="702"/>
        <v>0</v>
      </c>
      <c r="J2935" s="138">
        <f t="shared" si="702"/>
        <v>0</v>
      </c>
      <c r="K2935" s="138">
        <f t="shared" si="702"/>
        <v>0</v>
      </c>
      <c r="L2935" s="138">
        <f t="shared" si="702"/>
        <v>0</v>
      </c>
      <c r="M2935" s="115">
        <f>SUM(C2935:L2935)</f>
        <v>0</v>
      </c>
    </row>
    <row r="2936" spans="2:15" s="3" customFormat="1" ht="13.2" x14ac:dyDescent="0.25">
      <c r="B2936" s="80" t="str">
        <f>IF('1. INTRO'!I$2="English","Operating","Drift")</f>
        <v>Operating</v>
      </c>
      <c r="C2936" s="139">
        <f>C2918+C2928</f>
        <v>0</v>
      </c>
      <c r="D2936" s="139">
        <f t="shared" ref="D2936:L2936" si="703">D2918+D2928</f>
        <v>0</v>
      </c>
      <c r="E2936" s="139">
        <f t="shared" si="703"/>
        <v>0</v>
      </c>
      <c r="F2936" s="139">
        <f t="shared" si="703"/>
        <v>0</v>
      </c>
      <c r="G2936" s="139">
        <f t="shared" si="703"/>
        <v>0</v>
      </c>
      <c r="H2936" s="139">
        <f t="shared" si="703"/>
        <v>0</v>
      </c>
      <c r="I2936" s="139">
        <f t="shared" si="703"/>
        <v>0</v>
      </c>
      <c r="J2936" s="139">
        <f t="shared" si="703"/>
        <v>0</v>
      </c>
      <c r="K2936" s="139">
        <f t="shared" si="703"/>
        <v>0</v>
      </c>
      <c r="L2936" s="139">
        <f t="shared" si="703"/>
        <v>0</v>
      </c>
      <c r="M2936" s="117">
        <f>SUM(C2936:L2936)</f>
        <v>0</v>
      </c>
    </row>
    <row r="2937" spans="2:15" s="3" customFormat="1" ht="13.2" x14ac:dyDescent="0.25">
      <c r="B2937" s="118" t="str">
        <f>IF('1. INTRO'!I$2="English","Equipment","Utrustning")</f>
        <v>Equipment</v>
      </c>
      <c r="C2937" s="140">
        <f>C2919+C2929</f>
        <v>0</v>
      </c>
      <c r="D2937" s="140">
        <f t="shared" ref="D2937:L2937" si="704">D2919+D2929</f>
        <v>0</v>
      </c>
      <c r="E2937" s="140">
        <f t="shared" si="704"/>
        <v>0</v>
      </c>
      <c r="F2937" s="140">
        <f t="shared" si="704"/>
        <v>0</v>
      </c>
      <c r="G2937" s="140">
        <f t="shared" si="704"/>
        <v>0</v>
      </c>
      <c r="H2937" s="140">
        <f t="shared" si="704"/>
        <v>0</v>
      </c>
      <c r="I2937" s="140">
        <f t="shared" si="704"/>
        <v>0</v>
      </c>
      <c r="J2937" s="140">
        <f t="shared" si="704"/>
        <v>0</v>
      </c>
      <c r="K2937" s="140">
        <f t="shared" si="704"/>
        <v>0</v>
      </c>
      <c r="L2937" s="140">
        <f t="shared" si="704"/>
        <v>0</v>
      </c>
      <c r="M2937" s="120">
        <f>SUM(C2937:L2937)</f>
        <v>0</v>
      </c>
    </row>
    <row r="2938" spans="2:15" s="3" customFormat="1" ht="13.2" x14ac:dyDescent="0.25">
      <c r="B2938" s="80" t="str">
        <f>IF('1. INTRO'!I$2="English","Facility","Lokal")</f>
        <v>Facility</v>
      </c>
      <c r="C2938" s="139">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39">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39">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39">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39">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39">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39">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39">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39">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39">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117">
        <f>SUM(C2938:L2938)</f>
        <v>0</v>
      </c>
    </row>
    <row r="2939" spans="2:15" s="3" customFormat="1" ht="13.2" x14ac:dyDescent="0.25">
      <c r="B2939" s="601" t="str">
        <f>IF('1. INTRO'!I$2="English","Indirect","Indirekt")</f>
        <v>Indirect</v>
      </c>
      <c r="C2939" s="141">
        <f>SUMIF('5. PERSON'!$B$17:$B$192,$C2914,'5. PERSON'!BR$17:BR$192)+SUMIF('5. PERSON'!$B$17:$B$192,$C2914,'5. PERSON'!CD$17:CD$192)+SUMIF('6. OPERATION'!$B$17:$B$149,$C2914,'6. OPERATION'!AU$17:AU$149)+SUMIF('6. OPERATION'!$B$17:$B$149,$C2914,'6. OPERATION'!BG$17:BG$149)</f>
        <v>0</v>
      </c>
      <c r="D2939" s="141">
        <f>SUMIF('5. PERSON'!$B$17:$B$192,$C2914,'5. PERSON'!BS$17:BS$192)+SUMIF('5. PERSON'!$B$17:$B$192,$C2914,'5. PERSON'!CE$17:CE$192)+SUMIF('6. OPERATION'!$B$17:$B$149,$C2914,'6. OPERATION'!AV$17:AV$149)+SUMIF('6. OPERATION'!$B$17:$B$149,$C2914,'6. OPERATION'!BH$17:BH$149)</f>
        <v>0</v>
      </c>
      <c r="E2939" s="141">
        <f>SUMIF('5. PERSON'!$B$17:$B$192,$C2914,'5. PERSON'!BT$17:BT$192)+SUMIF('5. PERSON'!$B$17:$B$192,$C2914,'5. PERSON'!CF$17:CF$192)+SUMIF('6. OPERATION'!$B$17:$B$149,$C2914,'6. OPERATION'!AW$17:AW$149)+SUMIF('6. OPERATION'!$B$17:$B$149,$C2914,'6. OPERATION'!BI$17:BI$149)</f>
        <v>0</v>
      </c>
      <c r="F2939" s="141">
        <f>SUMIF('5. PERSON'!$B$17:$B$192,$C2914,'5. PERSON'!BU$17:BU$192)+SUMIF('5. PERSON'!$B$17:$B$192,$C2914,'5. PERSON'!CG$17:CG$192)+SUMIF('6. OPERATION'!$B$17:$B$149,$C2914,'6. OPERATION'!AX$17:AX$149)+SUMIF('6. OPERATION'!$B$17:$B$149,$C2914,'6. OPERATION'!BJ$17:BJ$149)</f>
        <v>0</v>
      </c>
      <c r="G2939" s="141">
        <f>SUMIF('5. PERSON'!$B$17:$B$192,$C2914,'5. PERSON'!BV$17:BV$192)+SUMIF('5. PERSON'!$B$17:$B$192,$C2914,'5. PERSON'!CH$17:CH$192)+SUMIF('6. OPERATION'!$B$17:$B$149,$C2914,'6. OPERATION'!AY$17:AY$149)+SUMIF('6. OPERATION'!$B$17:$B$149,$C2914,'6. OPERATION'!BK$17:BK$149)</f>
        <v>0</v>
      </c>
      <c r="H2939" s="141">
        <f>SUMIF('5. PERSON'!$B$17:$B$192,$C2914,'5. PERSON'!BW$17:BW$192)+SUMIF('5. PERSON'!$B$17:$B$192,$C2914,'5. PERSON'!CI$17:CI$192)+SUMIF('6. OPERATION'!$B$17:$B$149,$C2914,'6. OPERATION'!AZ$17:AZ$149)+SUMIF('6. OPERATION'!$B$17:$B$149,$C2914,'6. OPERATION'!BL$17:BL$149)</f>
        <v>0</v>
      </c>
      <c r="I2939" s="141">
        <f>SUMIF('5. PERSON'!$B$17:$B$192,$C2914,'5. PERSON'!BX$17:BX$192)+SUMIF('5. PERSON'!$B$17:$B$192,$C2914,'5. PERSON'!CJ$17:CJ$192)+SUMIF('6. OPERATION'!$B$17:$B$149,$C2914,'6. OPERATION'!BA$17:BA$149)+SUMIF('6. OPERATION'!$B$17:$B$149,$C2914,'6. OPERATION'!BM$17:BM$149)</f>
        <v>0</v>
      </c>
      <c r="J2939" s="141">
        <f>SUMIF('5. PERSON'!$B$17:$B$192,$C2914,'5. PERSON'!BY$17:BY$192)+SUMIF('5. PERSON'!$B$17:$B$192,$C2914,'5. PERSON'!CK$17:CK$192)+SUMIF('6. OPERATION'!$B$17:$B$149,$C2914,'6. OPERATION'!BB$17:BB$149)+SUMIF('6. OPERATION'!$B$17:$B$149,$C2914,'6. OPERATION'!BN$17:BN$149)</f>
        <v>0</v>
      </c>
      <c r="K2939" s="141">
        <f>SUMIF('5. PERSON'!$B$17:$B$192,$C2914,'5. PERSON'!BZ$17:BZ$192)+SUMIF('5. PERSON'!$B$17:$B$192,$C2914,'5. PERSON'!CL$17:CL$192)+SUMIF('6. OPERATION'!$B$17:$B$149,$C2914,'6. OPERATION'!BC$17:BC$149)+SUMIF('6. OPERATION'!$B$17:$B$149,$C2914,'6. OPERATION'!BO$17:BO$149)</f>
        <v>0</v>
      </c>
      <c r="L2939" s="141">
        <f>SUMIF('5. PERSON'!$B$17:$B$192,$C2914,'5. PERSON'!CA$17:CA$192)+SUMIF('5. PERSON'!$B$17:$B$192,$C2914,'5. PERSON'!CM$17:CM$192)+SUMIF('6. OPERATION'!$B$17:$B$149,$C2914,'6. OPERATION'!BD$17:BD$149)+SUMIF('6. OPERATION'!$B$17:$B$149,$C2914,'6. OPERATION'!BP$17:BP$149)</f>
        <v>0</v>
      </c>
      <c r="M2939" s="123">
        <f>SUM(C2939:L2939)</f>
        <v>0</v>
      </c>
    </row>
    <row r="2940" spans="2:15" s="3" customFormat="1" ht="13.2" x14ac:dyDescent="0.25">
      <c r="B2940" s="124" t="s">
        <v>113</v>
      </c>
      <c r="C2940" s="88">
        <f>SUM(C2935:C2939)</f>
        <v>0</v>
      </c>
      <c r="D2940" s="88">
        <f t="shared" ref="D2940:M2940" si="705">SUM(D2935:D2939)</f>
        <v>0</v>
      </c>
      <c r="E2940" s="88">
        <f t="shared" si="705"/>
        <v>0</v>
      </c>
      <c r="F2940" s="88">
        <f t="shared" si="705"/>
        <v>0</v>
      </c>
      <c r="G2940" s="88">
        <f t="shared" si="705"/>
        <v>0</v>
      </c>
      <c r="H2940" s="88">
        <f t="shared" si="705"/>
        <v>0</v>
      </c>
      <c r="I2940" s="88">
        <f t="shared" si="705"/>
        <v>0</v>
      </c>
      <c r="J2940" s="88">
        <f t="shared" si="705"/>
        <v>0</v>
      </c>
      <c r="K2940" s="88">
        <f t="shared" si="705"/>
        <v>0</v>
      </c>
      <c r="L2940" s="88">
        <f t="shared" si="705"/>
        <v>0</v>
      </c>
      <c r="M2940" s="142">
        <f t="shared" si="705"/>
        <v>0</v>
      </c>
    </row>
    <row r="2941" spans="2:15" s="3" customFormat="1" ht="13.2" x14ac:dyDescent="0.25">
      <c r="B2941" s="287"/>
      <c r="C2941" s="37"/>
      <c r="D2941" s="37"/>
      <c r="E2941" s="37"/>
      <c r="F2941" s="37"/>
      <c r="G2941" s="37"/>
      <c r="H2941" s="37"/>
      <c r="I2941" s="37"/>
      <c r="J2941" s="37"/>
      <c r="K2941" s="37"/>
      <c r="L2941" s="37"/>
      <c r="M2941" s="37"/>
    </row>
    <row r="2942" spans="2:15" s="3" customFormat="1" ht="12.75" customHeight="1" x14ac:dyDescent="0.25">
      <c r="B2942" s="656" t="str">
        <f>IF('1. INTRO'!I$2="English","Co-funding share in full cost ","Medfinansieringsandel i full kostnad ")</f>
        <v xml:space="preserve">Co-funding share in full cost </v>
      </c>
      <c r="C2942" s="143" t="str">
        <f t="shared" ref="C2942:M2942" si="706">IF(C2940&gt;0,C2932/C2940,"")</f>
        <v/>
      </c>
      <c r="D2942" s="143" t="str">
        <f t="shared" si="706"/>
        <v/>
      </c>
      <c r="E2942" s="143" t="str">
        <f t="shared" si="706"/>
        <v/>
      </c>
      <c r="F2942" s="143" t="str">
        <f t="shared" si="706"/>
        <v/>
      </c>
      <c r="G2942" s="143" t="str">
        <f t="shared" si="706"/>
        <v/>
      </c>
      <c r="H2942" s="143" t="str">
        <f t="shared" si="706"/>
        <v/>
      </c>
      <c r="I2942" s="143" t="str">
        <f t="shared" si="706"/>
        <v/>
      </c>
      <c r="J2942" s="143" t="str">
        <f t="shared" si="706"/>
        <v/>
      </c>
      <c r="K2942" s="143" t="str">
        <f t="shared" si="706"/>
        <v/>
      </c>
      <c r="L2942" s="143" t="str">
        <f t="shared" si="706"/>
        <v/>
      </c>
      <c r="M2942" s="143" t="str">
        <f t="shared" si="706"/>
        <v/>
      </c>
    </row>
    <row r="2943" spans="2:15" ht="12.75" customHeight="1" x14ac:dyDescent="0.2"/>
    <row r="2944" spans="2:15" ht="12.75" customHeight="1" x14ac:dyDescent="0.25">
      <c r="D2944" s="676" t="str">
        <f>IF('1. INTRO'!I$2="English","Co-funding need in average per year: ","Medfinansieringsbehov i genomsnitt per år: ")</f>
        <v xml:space="preserve">Co-funding need in average per year: </v>
      </c>
      <c r="E2944" s="92" t="str">
        <f>IF(M2932=0,"",M2932/(DATEDIF('2. START'!C$18,'2. START'!C$19,"d")/365))</f>
        <v/>
      </c>
      <c r="H2944" s="676" t="str">
        <f>IF('1. INTRO'!I$2="English","Co-funding need 1/3 of total: ","Medfinansieringsbehov 1/3 av totalt: ")</f>
        <v xml:space="preserve">Co-funding need 1/3 of total: </v>
      </c>
      <c r="I2944" s="92">
        <f>M2932/3</f>
        <v>0</v>
      </c>
      <c r="L2944" s="287" t="str">
        <f>IF('1. INTRO'!I$2="English","Co-funding need total: ","Medfinansieringsbehov totalt: ")</f>
        <v xml:space="preserve">Co-funding need total: </v>
      </c>
      <c r="M2944" s="92">
        <f>M2932</f>
        <v>0</v>
      </c>
    </row>
    <row r="2945" spans="2:13" ht="12.75" customHeight="1" x14ac:dyDescent="0.25">
      <c r="B2945" s="53" t="str">
        <f>IF('1. INTRO'!I$2="English","Co-funding sources","Medfinansieringskällor")</f>
        <v>Co-funding sources</v>
      </c>
    </row>
    <row r="2946" spans="2:13" ht="12.75" customHeight="1" x14ac:dyDescent="0.25">
      <c r="B2946" s="225"/>
      <c r="C2946" s="226"/>
      <c r="D2946" s="226"/>
      <c r="E2946" s="226"/>
      <c r="F2946" s="226"/>
      <c r="G2946" s="226"/>
      <c r="H2946" s="226"/>
      <c r="I2946" s="226"/>
      <c r="J2946" s="226"/>
      <c r="K2946" s="226"/>
      <c r="L2946" s="227"/>
      <c r="M2946" s="168">
        <f>SUM(C2946:L2946)</f>
        <v>0</v>
      </c>
    </row>
    <row r="2947" spans="2:13" ht="12.75" customHeight="1" x14ac:dyDescent="0.25">
      <c r="B2947" s="228"/>
      <c r="C2947" s="229"/>
      <c r="D2947" s="229"/>
      <c r="E2947" s="229"/>
      <c r="F2947" s="229"/>
      <c r="G2947" s="229"/>
      <c r="H2947" s="229"/>
      <c r="I2947" s="229"/>
      <c r="J2947" s="229"/>
      <c r="K2947" s="229"/>
      <c r="L2947" s="230"/>
      <c r="M2947" s="120">
        <f t="shared" ref="M2947:M2950" si="707">SUM(C2947:L2947)</f>
        <v>0</v>
      </c>
    </row>
    <row r="2948" spans="2:13" ht="12.75" customHeight="1" x14ac:dyDescent="0.25">
      <c r="B2948" s="231"/>
      <c r="C2948" s="232"/>
      <c r="D2948" s="232"/>
      <c r="E2948" s="232"/>
      <c r="F2948" s="232"/>
      <c r="G2948" s="232"/>
      <c r="H2948" s="232"/>
      <c r="I2948" s="232"/>
      <c r="J2948" s="232"/>
      <c r="K2948" s="232"/>
      <c r="L2948" s="233"/>
      <c r="M2948" s="117">
        <f t="shared" si="707"/>
        <v>0</v>
      </c>
    </row>
    <row r="2949" spans="2:13" ht="12.75" customHeight="1" x14ac:dyDescent="0.25">
      <c r="B2949" s="228"/>
      <c r="C2949" s="229"/>
      <c r="D2949" s="229"/>
      <c r="E2949" s="229"/>
      <c r="F2949" s="229"/>
      <c r="G2949" s="229"/>
      <c r="H2949" s="229"/>
      <c r="I2949" s="229"/>
      <c r="J2949" s="229"/>
      <c r="K2949" s="229"/>
      <c r="L2949" s="230"/>
      <c r="M2949" s="120">
        <f t="shared" si="707"/>
        <v>0</v>
      </c>
    </row>
    <row r="2950" spans="2:13" ht="12.75" customHeight="1" x14ac:dyDescent="0.25">
      <c r="B2950" s="93"/>
      <c r="C2950" s="232"/>
      <c r="D2950" s="232"/>
      <c r="E2950" s="232"/>
      <c r="F2950" s="232"/>
      <c r="G2950" s="232"/>
      <c r="H2950" s="232"/>
      <c r="I2950" s="232"/>
      <c r="J2950" s="232"/>
      <c r="K2950" s="232"/>
      <c r="L2950" s="233"/>
      <c r="M2950" s="117">
        <f t="shared" si="707"/>
        <v>0</v>
      </c>
    </row>
    <row r="2951" spans="2:13" ht="12.75" customHeight="1" x14ac:dyDescent="0.25">
      <c r="B2951" s="84" t="str">
        <f>IF('1. INTRO'!I$2="English","Total co-funding ","Total medfinansiering ")</f>
        <v xml:space="preserve">Total co-funding </v>
      </c>
      <c r="C2951" s="87">
        <f t="shared" ref="C2951:M2951" si="708">SUM(C2946:C2950)</f>
        <v>0</v>
      </c>
      <c r="D2951" s="87">
        <f t="shared" si="708"/>
        <v>0</v>
      </c>
      <c r="E2951" s="87">
        <f t="shared" si="708"/>
        <v>0</v>
      </c>
      <c r="F2951" s="87">
        <f t="shared" si="708"/>
        <v>0</v>
      </c>
      <c r="G2951" s="87">
        <f t="shared" si="708"/>
        <v>0</v>
      </c>
      <c r="H2951" s="87">
        <f t="shared" si="708"/>
        <v>0</v>
      </c>
      <c r="I2951" s="87">
        <f t="shared" si="708"/>
        <v>0</v>
      </c>
      <c r="J2951" s="87">
        <f t="shared" si="708"/>
        <v>0</v>
      </c>
      <c r="K2951" s="87">
        <f t="shared" si="708"/>
        <v>0</v>
      </c>
      <c r="L2951" s="87">
        <f t="shared" si="708"/>
        <v>0</v>
      </c>
      <c r="M2951" s="142">
        <f t="shared" si="708"/>
        <v>0</v>
      </c>
    </row>
    <row r="2952" spans="2:13" ht="12.75" customHeight="1" x14ac:dyDescent="0.2"/>
    <row r="2953" spans="2:13" ht="12.75" customHeight="1" x14ac:dyDescent="0.2">
      <c r="B2953" s="667" t="str">
        <f>IF('1. INTRO'!I$2="English","Calculation comments","Kalkylkommentarer")</f>
        <v>Calculation comments</v>
      </c>
      <c r="C2953" s="37" t="str">
        <f>B71</f>
        <v/>
      </c>
    </row>
    <row r="2954" spans="2:13" ht="12.75" customHeight="1" x14ac:dyDescent="0.2">
      <c r="B2954" s="1142"/>
      <c r="C2954" s="1143"/>
      <c r="D2954" s="1143"/>
      <c r="E2954" s="1143"/>
      <c r="F2954" s="1143"/>
      <c r="G2954" s="1143"/>
      <c r="H2954" s="1143"/>
      <c r="I2954" s="1143"/>
      <c r="J2954" s="1143"/>
      <c r="K2954" s="1143"/>
      <c r="L2954" s="1143"/>
      <c r="M2954" s="1144"/>
    </row>
    <row r="2955" spans="2:13" ht="12.75" customHeight="1" x14ac:dyDescent="0.2">
      <c r="B2955" s="1145"/>
      <c r="C2955" s="1226"/>
      <c r="D2955" s="1226"/>
      <c r="E2955" s="1226"/>
      <c r="F2955" s="1226"/>
      <c r="G2955" s="1226"/>
      <c r="H2955" s="1226"/>
      <c r="I2955" s="1226"/>
      <c r="J2955" s="1226"/>
      <c r="K2955" s="1226"/>
      <c r="L2955" s="1226"/>
      <c r="M2955" s="1147"/>
    </row>
    <row r="2956" spans="2:13" ht="12.75" customHeight="1" x14ac:dyDescent="0.2">
      <c r="B2956" s="1145"/>
      <c r="C2956" s="1226"/>
      <c r="D2956" s="1226"/>
      <c r="E2956" s="1226"/>
      <c r="F2956" s="1226"/>
      <c r="G2956" s="1226"/>
      <c r="H2956" s="1226"/>
      <c r="I2956" s="1226"/>
      <c r="J2956" s="1226"/>
      <c r="K2956" s="1226"/>
      <c r="L2956" s="1226"/>
      <c r="M2956" s="1147"/>
    </row>
    <row r="2957" spans="2:13" ht="12.75" customHeight="1" x14ac:dyDescent="0.2">
      <c r="B2957" s="1145"/>
      <c r="C2957" s="1226"/>
      <c r="D2957" s="1226"/>
      <c r="E2957" s="1226"/>
      <c r="F2957" s="1226"/>
      <c r="G2957" s="1226"/>
      <c r="H2957" s="1226"/>
      <c r="I2957" s="1226"/>
      <c r="J2957" s="1226"/>
      <c r="K2957" s="1226"/>
      <c r="L2957" s="1226"/>
      <c r="M2957" s="1147"/>
    </row>
    <row r="2958" spans="2:13" ht="12.75" customHeight="1" x14ac:dyDescent="0.2">
      <c r="B2958" s="1148"/>
      <c r="C2958" s="1149"/>
      <c r="D2958" s="1149"/>
      <c r="E2958" s="1149"/>
      <c r="F2958" s="1149"/>
      <c r="G2958" s="1149"/>
      <c r="H2958" s="1149"/>
      <c r="I2958" s="1149"/>
      <c r="J2958" s="1149"/>
      <c r="K2958" s="1149"/>
      <c r="L2958" s="1149"/>
      <c r="M2958" s="1150"/>
    </row>
    <row r="2960" spans="2:13" s="3" customFormat="1" ht="12.75" customHeight="1" x14ac:dyDescent="0.25">
      <c r="B2960" s="313" t="str">
        <f>'3. PARTNER'!C$4</f>
        <v xml:space="preserve">Project: </v>
      </c>
      <c r="C2960" s="1062" t="str">
        <f>'3. PARTNER'!D$4</f>
        <v/>
      </c>
      <c r="D2960" s="1001"/>
      <c r="E2960" s="1001"/>
      <c r="F2960" s="1001"/>
      <c r="G2960" s="1001"/>
      <c r="H2960" s="1001"/>
      <c r="I2960" s="1001"/>
      <c r="J2960" s="1001"/>
      <c r="K2960" s="1001"/>
      <c r="L2960" s="1001"/>
      <c r="M2960" s="1001"/>
    </row>
    <row r="2961" spans="2:15" s="3" customFormat="1" ht="13.2" x14ac:dyDescent="0.25">
      <c r="B2961" s="313" t="str">
        <f>'3. PARTNER'!C$5</f>
        <v xml:space="preserve">Calculation for: </v>
      </c>
      <c r="C2961" s="1062" t="str">
        <f>'3. PARTNER'!D$5</f>
        <v>APPLICATION</v>
      </c>
      <c r="D2961" s="1001"/>
      <c r="E2961" s="268"/>
      <c r="F2961" s="268"/>
      <c r="G2961" s="268"/>
      <c r="H2961" s="268"/>
      <c r="I2961" s="268"/>
      <c r="J2961" s="268"/>
      <c r="K2961" s="268"/>
      <c r="L2961" s="268"/>
      <c r="M2961" s="268"/>
    </row>
    <row r="2962" spans="2:15" s="3" customFormat="1" ht="13.2" x14ac:dyDescent="0.25">
      <c r="B2962" s="35" t="str">
        <f>'3. PARTNER'!C$6</f>
        <v xml:space="preserve">Project leader: </v>
      </c>
      <c r="C2962" s="1062" t="str">
        <f>'3. PARTNER'!D$6</f>
        <v/>
      </c>
      <c r="D2962" s="1001"/>
      <c r="E2962" s="1001"/>
      <c r="F2962" s="1001"/>
      <c r="G2962" s="1001"/>
      <c r="H2962" s="1001"/>
      <c r="I2962" s="1001"/>
      <c r="J2962" s="1001"/>
      <c r="K2962" s="1001"/>
      <c r="L2962" s="1001"/>
      <c r="M2962" s="1001"/>
    </row>
    <row r="2963" spans="2:15" s="3" customFormat="1" ht="13.2" x14ac:dyDescent="0.25">
      <c r="B2963" s="313" t="str">
        <f>'5. PERSON'!B$7</f>
        <v xml:space="preserve">Amounts in: </v>
      </c>
      <c r="C2963" s="655" t="str">
        <f>'5. PERSON'!C$7</f>
        <v>SEK</v>
      </c>
      <c r="D2963" s="268"/>
      <c r="E2963" s="268"/>
      <c r="F2963" s="268"/>
      <c r="G2963" s="234"/>
      <c r="H2963" s="234"/>
      <c r="I2963" s="270"/>
      <c r="J2963" s="270"/>
      <c r="K2963" s="270"/>
      <c r="L2963" s="270"/>
      <c r="M2963" s="270"/>
    </row>
    <row r="2964" spans="2:15" s="3" customFormat="1" ht="13.2" x14ac:dyDescent="0.25">
      <c r="B2964" s="313"/>
      <c r="C2964" s="1053" t="str">
        <f>'3. PARTNER'!D$7</f>
        <v>Other basic data about the project is in sheet 2.</v>
      </c>
      <c r="D2964" s="1001"/>
      <c r="E2964" s="1001"/>
      <c r="F2964" s="1001"/>
      <c r="G2964" s="234"/>
      <c r="H2964" s="234"/>
      <c r="I2964" s="270"/>
      <c r="J2964" s="270"/>
      <c r="K2964" s="270"/>
      <c r="L2964" s="251" t="s">
        <v>4</v>
      </c>
      <c r="M2964" s="270"/>
    </row>
    <row r="2965" spans="2:15" ht="12.75" customHeight="1" x14ac:dyDescent="0.2">
      <c r="L2965" s="252" t="str">
        <f>IF('1. INTRO'!I$2="English","months","månader")</f>
        <v>months</v>
      </c>
    </row>
    <row r="2966" spans="2:15" s="3" customFormat="1" ht="13.8" x14ac:dyDescent="0.25">
      <c r="B2966" s="157" t="str">
        <f>IF('1. INTRO'!I$2="English","Project costs","Projektkostnader")</f>
        <v>Project costs</v>
      </c>
      <c r="C2966" s="668" t="str">
        <f>A72</f>
        <v>EXT114</v>
      </c>
      <c r="D2966" s="1227" t="str">
        <f>B72</f>
        <v/>
      </c>
      <c r="E2966" s="1001"/>
      <c r="F2966" s="1001"/>
      <c r="G2966" s="1001"/>
      <c r="H2966" s="1001"/>
      <c r="I2966" s="37"/>
      <c r="J2966" s="37"/>
      <c r="K2966" s="37"/>
      <c r="L2966" s="642">
        <f>SUMIF('5. PERSON'!$B$17:$B$192,$C2966,'5. PERSON'!AE$17:AE$192)</f>
        <v>0</v>
      </c>
      <c r="M2966" s="680" t="s">
        <v>330</v>
      </c>
    </row>
    <row r="2967" spans="2:15" s="3" customFormat="1" ht="6" customHeight="1" x14ac:dyDescent="0.25">
      <c r="B2967" s="57"/>
      <c r="C2967" s="37"/>
      <c r="D2967" s="37"/>
      <c r="E2967" s="37"/>
      <c r="F2967" s="37"/>
      <c r="G2967" s="37"/>
      <c r="H2967" s="37"/>
      <c r="I2967" s="37"/>
      <c r="J2967" s="37"/>
      <c r="K2967" s="37"/>
      <c r="L2967" s="37"/>
      <c r="M2967" s="37"/>
    </row>
    <row r="2968" spans="2:15" s="3" customFormat="1" ht="13.2" x14ac:dyDescent="0.25">
      <c r="B2968" s="110" t="str">
        <f>IF('1. INTRO'!I$2="English","Costs to be covered by funding body","Kostnader att täckas av finansiär")</f>
        <v>Costs to be covered by funding body</v>
      </c>
      <c r="C2968" s="111">
        <f>'5. PERSON'!G$15</f>
        <v>1900</v>
      </c>
      <c r="D2968" s="111" t="str">
        <f>'5. PERSON'!H$15</f>
        <v/>
      </c>
      <c r="E2968" s="111" t="str">
        <f>'5. PERSON'!I$15</f>
        <v/>
      </c>
      <c r="F2968" s="111" t="str">
        <f>'5. PERSON'!J$15</f>
        <v/>
      </c>
      <c r="G2968" s="111" t="str">
        <f>'5. PERSON'!K$15</f>
        <v/>
      </c>
      <c r="H2968" s="111" t="str">
        <f>'5. PERSON'!L$15</f>
        <v/>
      </c>
      <c r="I2968" s="111" t="str">
        <f>'5. PERSON'!M$15</f>
        <v/>
      </c>
      <c r="J2968" s="111" t="str">
        <f>'5. PERSON'!N$15</f>
        <v/>
      </c>
      <c r="K2968" s="111" t="str">
        <f>'5. PERSON'!O$15</f>
        <v/>
      </c>
      <c r="L2968" s="111" t="str">
        <f>'5. PERSON'!P$15</f>
        <v/>
      </c>
      <c r="M2968" s="112" t="s">
        <v>2</v>
      </c>
    </row>
    <row r="2969" spans="2:15" s="3" customFormat="1" ht="12.75" customHeight="1" x14ac:dyDescent="0.25">
      <c r="B2969" s="113" t="str">
        <f>IF('1. INTRO'!I$2="English","Salary including social costs (LKP)","Lön inklusive LKP")</f>
        <v>Salary including social costs (LKP)</v>
      </c>
      <c r="C2969" s="114">
        <f>IF('2. START'!$C$14&gt;0,SUMIF('5. PERSON'!$B$17:$B$192,$C2966,'5. PERSON'!DN$17:DN$192),SUMIF('5. PERSON'!$B$17:$B$192,$C2966,'5. PERSON'!AT$17:AT$192))</f>
        <v>0</v>
      </c>
      <c r="D2969" s="114">
        <f>IF('2. START'!$C$14&gt;0,SUMIF('5. PERSON'!$B$17:$B$192,$C2966,'5. PERSON'!DO$17:DO$192),SUMIF('5. PERSON'!$B$17:$B$192,$C2966,'5. PERSON'!AU$17:AU$192))</f>
        <v>0</v>
      </c>
      <c r="E2969" s="114">
        <f>IF('2. START'!$C$14&gt;0,SUMIF('5. PERSON'!$B$17:$B$192,$C2966,'5. PERSON'!DP$17:DP$192),SUMIF('5. PERSON'!$B$17:$B$192,$C2966,'5. PERSON'!AV$17:AV$192))</f>
        <v>0</v>
      </c>
      <c r="F2969" s="114">
        <f>IF('2. START'!$C$14&gt;0,SUMIF('5. PERSON'!$B$17:$B$192,$C2966,'5. PERSON'!DQ$17:DQ$192),SUMIF('5. PERSON'!$B$17:$B$192,$C2966,'5. PERSON'!AW$17:AW$192))</f>
        <v>0</v>
      </c>
      <c r="G2969" s="114">
        <f>IF('2. START'!$C$14&gt;0,SUMIF('5. PERSON'!$B$17:$B$192,$C2966,'5. PERSON'!DR$17:DR$192),SUMIF('5. PERSON'!$B$17:$B$192,$C2966,'5. PERSON'!AX$17:AX$192))</f>
        <v>0</v>
      </c>
      <c r="H2969" s="114">
        <f>IF('2. START'!$C$14&gt;0,SUMIF('5. PERSON'!$B$17:$B$192,$C2966,'5. PERSON'!DS$17:DS$192),SUMIF('5. PERSON'!$B$17:$B$192,$C2966,'5. PERSON'!AY$17:AY$192))</f>
        <v>0</v>
      </c>
      <c r="I2969" s="114">
        <f>IF('2. START'!$C$14&gt;0,SUMIF('5. PERSON'!$B$17:$B$192,$C2966,'5. PERSON'!DT$17:DT$192),SUMIF('5. PERSON'!$B$17:$B$192,$C2966,'5. PERSON'!AZ$17:AZ$192))</f>
        <v>0</v>
      </c>
      <c r="J2969" s="114">
        <f>IF('2. START'!$C$14&gt;0,SUMIF('5. PERSON'!$B$17:$B$192,$C2966,'5. PERSON'!DU$17:DU$192),SUMIF('5. PERSON'!$B$17:$B$192,$C2966,'5. PERSON'!BA$17:BA$192))</f>
        <v>0</v>
      </c>
      <c r="K2969" s="114">
        <f>IF('2. START'!$C$14&gt;0,SUMIF('5. PERSON'!$B$17:$B$192,$C2966,'5. PERSON'!DV$17:DV$192),SUMIF('5. PERSON'!$B$17:$B$192,$C2966,'5. PERSON'!BB$17:BB$192))</f>
        <v>0</v>
      </c>
      <c r="L2969" s="114">
        <f>IF('2. START'!$C$14&gt;0,SUMIF('5. PERSON'!$B$17:$B$192,$C2966,'5. PERSON'!DW$17:DW$192),SUMIF('5. PERSON'!$B$17:$B$192,$C2966,'5. PERSON'!BC$17:BC$192))</f>
        <v>0</v>
      </c>
      <c r="M2969" s="115">
        <f t="shared" ref="M2969:M2974" si="709">SUM(C2969:L2969)</f>
        <v>0</v>
      </c>
      <c r="O2969" s="4"/>
    </row>
    <row r="2970" spans="2:15" s="3" customFormat="1" ht="12.75" customHeight="1" x14ac:dyDescent="0.25">
      <c r="B2970" s="80" t="str">
        <f>IF('1. INTRO'!I$2="English","Operating","Drift")</f>
        <v>Operating</v>
      </c>
      <c r="C2970" s="116">
        <f>SUMIF('6. OPERATION'!$B$17:$B$149,$C2966,'6. OPERATION'!W$17:W$149)</f>
        <v>0</v>
      </c>
      <c r="D2970" s="116">
        <f>SUMIF('6. OPERATION'!$B$17:$B$149,$C2966,'6. OPERATION'!X$17:X$149)</f>
        <v>0</v>
      </c>
      <c r="E2970" s="116">
        <f>SUMIF('6. OPERATION'!$B$17:$B$149,$C2966,'6. OPERATION'!Y$17:Y$149)</f>
        <v>0</v>
      </c>
      <c r="F2970" s="116">
        <f>SUMIF('6. OPERATION'!$B$17:$B$149,$C2966,'6. OPERATION'!Z$17:Z$149)</f>
        <v>0</v>
      </c>
      <c r="G2970" s="116">
        <f>SUMIF('6. OPERATION'!$B$17:$B$149,$C2966,'6. OPERATION'!AA$17:AA$149)</f>
        <v>0</v>
      </c>
      <c r="H2970" s="116">
        <f>SUMIF('6. OPERATION'!$B$17:$B$149,$C2966,'6. OPERATION'!AB$17:AB$149)</f>
        <v>0</v>
      </c>
      <c r="I2970" s="116">
        <f>SUMIF('6. OPERATION'!$B$17:$B$149,$C2966,'6. OPERATION'!AC$17:AC$149)</f>
        <v>0</v>
      </c>
      <c r="J2970" s="116">
        <f>SUMIF('6. OPERATION'!$B$17:$B$149,$C2966,'6. OPERATION'!AD$17:AD$149)</f>
        <v>0</v>
      </c>
      <c r="K2970" s="116">
        <f>SUMIF('6. OPERATION'!$B$17:$B$149,$C2966,'6. OPERATION'!AE$17:AE$149)</f>
        <v>0</v>
      </c>
      <c r="L2970" s="116">
        <f>SUMIF('6. OPERATION'!$B$17:$B$149,$C2966,'6. OPERATION'!AF$17:AF$149)</f>
        <v>0</v>
      </c>
      <c r="M2970" s="117">
        <f t="shared" si="709"/>
        <v>0</v>
      </c>
    </row>
    <row r="2971" spans="2:15" s="3" customFormat="1" ht="13.2" x14ac:dyDescent="0.25">
      <c r="B2971" s="118" t="str">
        <f>IF('1. INTRO'!I$2="English","Equipment","Utrustning")</f>
        <v>Equipment</v>
      </c>
      <c r="C2971" s="119">
        <f>SUMIF('7. INVEST'!$B$17:$B$49,$C2966,'7. INVEST'!W$17:W$49)</f>
        <v>0</v>
      </c>
      <c r="D2971" s="119">
        <f>SUMIF('7. INVEST'!$B$17:$B$49,$C2966,'7. INVEST'!X$17:X$49)</f>
        <v>0</v>
      </c>
      <c r="E2971" s="119">
        <f>SUMIF('7. INVEST'!$B$17:$B$49,$C2966,'7. INVEST'!Y$17:Y$49)</f>
        <v>0</v>
      </c>
      <c r="F2971" s="119">
        <f>SUMIF('7. INVEST'!$B$17:$B$49,$C2966,'7. INVEST'!Z$17:Z$49)</f>
        <v>0</v>
      </c>
      <c r="G2971" s="119">
        <f>SUMIF('7. INVEST'!$B$17:$B$49,$C2966,'7. INVEST'!AA$17:AA$49)</f>
        <v>0</v>
      </c>
      <c r="H2971" s="119">
        <f>SUMIF('7. INVEST'!$B$17:$B$49,$C2966,'7. INVEST'!AB$17:AB$49)</f>
        <v>0</v>
      </c>
      <c r="I2971" s="119">
        <f>SUMIF('7. INVEST'!$B$17:$B$49,$C2966,'7. INVEST'!AC$17:AC$49)</f>
        <v>0</v>
      </c>
      <c r="J2971" s="119">
        <f>SUMIF('7. INVEST'!$B$17:$B$49,$C2966,'7. INVEST'!AD$17:AD$49)</f>
        <v>0</v>
      </c>
      <c r="K2971" s="119">
        <f>SUMIF('7. INVEST'!$B$17:$B$49,$C2966,'7. INVEST'!AE$17:AE$49)</f>
        <v>0</v>
      </c>
      <c r="L2971" s="119">
        <f>SUMIF('7. INVEST'!$B$17:$B$49,$C2966,'7. INVEST'!AF$17:AF$49)</f>
        <v>0</v>
      </c>
      <c r="M2971" s="120">
        <f t="shared" si="709"/>
        <v>0</v>
      </c>
    </row>
    <row r="2972" spans="2:15" s="3" customFormat="1" ht="13.2" x14ac:dyDescent="0.25">
      <c r="B2972" s="121" t="str">
        <f>IF('1. INTRO'!I$2="English",(IF('2. START'!C$11="NO","Facility accepted as direct cost by funding body","Facility")),IF('2. START'!C$11="NO","Lokal accepterad som direkt kostnad av finansiär","Lokal"))</f>
        <v>Facility</v>
      </c>
      <c r="C2972" s="116">
        <f>IF('2. START'!$C$11="NO",SUMIF('8. FACILIT'!$B$18:$B$50,$C2966,'8. FACILIT'!T$18:T$50),SUMIF('5. PERSON'!$B$17:$B$192,$C2966,'5. PERSON'!CP$17:CP$192)+SUMIF('6. OPERATION'!$B$17:$B$149,$C2966,'6. OPERATION'!BS$17:BS$149)+SUMIF('8. FACILIT'!$B$18:$B$50,$C2966,'8. FACILIT'!T$18:T$50))</f>
        <v>0</v>
      </c>
      <c r="D2972" s="116">
        <f>IF('2. START'!$C$11="NO",SUMIF('8. FACILIT'!$B$18:$B$50,$C2966,'8. FACILIT'!U$18:U$50),SUMIF('5. PERSON'!$B$17:$B$192,$C2966,'5. PERSON'!CQ$17:CQ$192)+SUMIF('6. OPERATION'!$B$17:$B$149,$C2966,'6. OPERATION'!BT$17:BT$149)+SUMIF('8. FACILIT'!$B$18:$B$50,$C2966,'8. FACILIT'!U$18:U$50))</f>
        <v>0</v>
      </c>
      <c r="E2972" s="116">
        <f>IF('2. START'!$C$11="NO",SUMIF('8. FACILIT'!$B$18:$B$50,$C2966,'8. FACILIT'!V$18:V$50),SUMIF('5. PERSON'!$B$17:$B$192,$C2966,'5. PERSON'!CR$17:CR$192)+SUMIF('6. OPERATION'!$B$17:$B$149,$C2966,'6. OPERATION'!BU$17:BU$149)+SUMIF('8. FACILIT'!$B$18:$B$50,$C2966,'8. FACILIT'!V$18:V$50))</f>
        <v>0</v>
      </c>
      <c r="F2972" s="116">
        <f>IF('2. START'!$C$11="NO",SUMIF('8. FACILIT'!$B$18:$B$50,$C2966,'8. FACILIT'!W$18:W$50),SUMIF('5. PERSON'!$B$17:$B$192,$C2966,'5. PERSON'!CS$17:CS$192)+SUMIF('6. OPERATION'!$B$17:$B$149,$C2966,'6. OPERATION'!BV$17:BV$149)+SUMIF('8. FACILIT'!$B$18:$B$50,$C2966,'8. FACILIT'!W$18:W$50))</f>
        <v>0</v>
      </c>
      <c r="G2972" s="116">
        <f>IF('2. START'!$C$11="NO",SUMIF('8. FACILIT'!$B$18:$B$50,$C2966,'8. FACILIT'!X$18:X$50),SUMIF('5. PERSON'!$B$17:$B$192,$C2966,'5. PERSON'!CT$17:CT$192)+SUMIF('6. OPERATION'!$B$17:$B$149,$C2966,'6. OPERATION'!BW$17:BW$149)+SUMIF('8. FACILIT'!$B$18:$B$50,$C2966,'8. FACILIT'!X$18:X$50))</f>
        <v>0</v>
      </c>
      <c r="H2972" s="116">
        <f>IF('2. START'!$C$11="NO",SUMIF('8. FACILIT'!$B$18:$B$50,$C2966,'8. FACILIT'!Y$18:Y$50),SUMIF('5. PERSON'!$B$17:$B$192,$C2966,'5. PERSON'!CU$17:CU$192)+SUMIF('6. OPERATION'!$B$17:$B$149,$C2966,'6. OPERATION'!BX$17:BX$149)+SUMIF('8. FACILIT'!$B$18:$B$50,$C2966,'8. FACILIT'!Y$18:Y$50))</f>
        <v>0</v>
      </c>
      <c r="I2972" s="116">
        <f>IF('2. START'!$C$11="NO",SUMIF('8. FACILIT'!$B$18:$B$50,$C2966,'8. FACILIT'!Z$18:Z$50),SUMIF('5. PERSON'!$B$17:$B$192,$C2966,'5. PERSON'!CV$17:CV$192)+SUMIF('6. OPERATION'!$B$17:$B$149,$C2966,'6. OPERATION'!BY$17:BY$149)+SUMIF('8. FACILIT'!$B$18:$B$50,$C2966,'8. FACILIT'!Z$18:Z$50))</f>
        <v>0</v>
      </c>
      <c r="J2972" s="116">
        <f>IF('2. START'!$C$11="NO",SUMIF('8. FACILIT'!$B$18:$B$50,$C2966,'8. FACILIT'!AA$18:AA$50),SUMIF('5. PERSON'!$B$17:$B$192,$C2966,'5. PERSON'!CW$17:CW$192)+SUMIF('6. OPERATION'!$B$17:$B$149,$C2966,'6. OPERATION'!BZ$17:BZ$149)+SUMIF('8. FACILIT'!$B$18:$B$50,$C2966,'8. FACILIT'!AA$18:AA$50))</f>
        <v>0</v>
      </c>
      <c r="K2972" s="116">
        <f>IF('2. START'!$C$11="NO",SUMIF('8. FACILIT'!$B$18:$B$50,$C2966,'8. FACILIT'!AB$18:AB$50),SUMIF('5. PERSON'!$B$17:$B$192,$C2966,'5. PERSON'!CX$17:CX$192)+SUMIF('6. OPERATION'!$B$17:$B$149,$C2966,'6. OPERATION'!CA$17:CA$149)+SUMIF('8. FACILIT'!$B$18:$B$50,$C2966,'8. FACILIT'!AB$18:AB$50))</f>
        <v>0</v>
      </c>
      <c r="L2972" s="116">
        <f>IF('2. START'!$C$11="NO",SUMIF('8. FACILIT'!$B$18:$B$50,$C2966,'8. FACILIT'!AC$18:AC$50),SUMIF('5. PERSON'!$B$17:$B$192,$C2966,'5. PERSON'!CY$17:CY$192)+SUMIF('6. OPERATION'!$B$17:$B$149,$C2966,'6. OPERATION'!CB$17:CB$149)+SUMIF('8. FACILIT'!$B$18:$B$50,$C2966,'8. FACILIT'!AC$18:AC$50))</f>
        <v>0</v>
      </c>
      <c r="M2972" s="117">
        <f t="shared" si="709"/>
        <v>0</v>
      </c>
    </row>
    <row r="2973" spans="2:15" s="3" customFormat="1" ht="13.2" x14ac:dyDescent="0.25">
      <c r="B2973" s="122" t="str">
        <f>IF('1. INTRO'!I$2="English",(IF('2. START'!C$11="NO","Indirect and facility charge accepted as OH by funding body","Indirect")),IF('2. START'!C$11="NO","Indirekt och lokalpåslag accepterade som OH av finansiär","Indirekt"))</f>
        <v>Indirect</v>
      </c>
      <c r="C2973" s="107">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107">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107">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107">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107">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107">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107">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107">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107">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107">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120">
        <f t="shared" si="709"/>
        <v>0</v>
      </c>
    </row>
    <row r="2974" spans="2:15" s="3" customFormat="1" ht="13.2" x14ac:dyDescent="0.25">
      <c r="B2974" s="124" t="s">
        <v>113</v>
      </c>
      <c r="C2974" s="102">
        <f>SUM(C2969:C2973)</f>
        <v>0</v>
      </c>
      <c r="D2974" s="102">
        <f t="shared" ref="D2974:L2974" si="710">SUM(D2969:D2973)</f>
        <v>0</v>
      </c>
      <c r="E2974" s="102">
        <f t="shared" si="710"/>
        <v>0</v>
      </c>
      <c r="F2974" s="102">
        <f t="shared" si="710"/>
        <v>0</v>
      </c>
      <c r="G2974" s="102">
        <f t="shared" si="710"/>
        <v>0</v>
      </c>
      <c r="H2974" s="102">
        <f t="shared" si="710"/>
        <v>0</v>
      </c>
      <c r="I2974" s="102">
        <f t="shared" si="710"/>
        <v>0</v>
      </c>
      <c r="J2974" s="102">
        <f t="shared" si="710"/>
        <v>0</v>
      </c>
      <c r="K2974" s="102">
        <f t="shared" si="710"/>
        <v>0</v>
      </c>
      <c r="L2974" s="102">
        <f t="shared" si="710"/>
        <v>0</v>
      </c>
      <c r="M2974" s="125">
        <f t="shared" si="709"/>
        <v>0</v>
      </c>
    </row>
    <row r="2975" spans="2:15" s="3" customFormat="1" ht="6" customHeight="1" x14ac:dyDescent="0.25">
      <c r="B2975" s="126"/>
      <c r="C2975" s="127"/>
      <c r="D2975" s="127"/>
      <c r="E2975" s="127"/>
      <c r="F2975" s="127"/>
      <c r="G2975" s="127"/>
      <c r="H2975" s="127"/>
      <c r="I2975" s="127"/>
      <c r="J2975" s="127"/>
      <c r="K2975" s="127"/>
      <c r="L2975" s="127"/>
      <c r="M2975" s="128"/>
    </row>
    <row r="2976" spans="2:15" s="3" customFormat="1" ht="13.2" x14ac:dyDescent="0.25">
      <c r="B2976" s="129" t="str">
        <f>IF('1. INTRO'!I$2="English","Costs to be co-funded","Kostnader att medfinansiera")</f>
        <v>Costs to be co-funded</v>
      </c>
      <c r="C2976" s="86"/>
      <c r="D2976" s="86"/>
      <c r="E2976" s="86"/>
      <c r="F2976" s="86"/>
      <c r="G2976" s="86"/>
      <c r="H2976" s="86"/>
      <c r="I2976" s="86"/>
      <c r="J2976" s="86"/>
      <c r="K2976" s="86"/>
      <c r="L2976" s="86"/>
      <c r="M2976" s="130"/>
    </row>
    <row r="2977" spans="2:15" s="3" customFormat="1" ht="13.2" x14ac:dyDescent="0.25">
      <c r="B2977" s="159" t="str">
        <f>IF('1. INTRO'!I$2="English",(IF('2. START'!C$11="NO","Indirect and facility charge not accepted as OH by funding body","")),IF('2. START'!C$11="NO","Indirekt och lokalpåslag inte accepterade som OH av finansiär",""))</f>
        <v/>
      </c>
      <c r="C2977" s="131">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31">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31">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31">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31">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31">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31">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31">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31">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31">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115">
        <f t="shared" ref="M2977:M2983" si="711">SUM(C2977:L2977)</f>
        <v>0</v>
      </c>
    </row>
    <row r="2978" spans="2:15" s="3" customFormat="1" ht="12.75" customHeight="1" x14ac:dyDescent="0.25">
      <c r="B2978" s="132" t="str">
        <f>IF('1. INTRO'!I$2="English",(IF('2. START'!C$14&gt;0,"Social costs (LKP) not accepted by funding body","")),IF('2. START'!C$14&gt;0,"LKP som inte accepteras av finansiär",""))</f>
        <v/>
      </c>
      <c r="C2978" s="133">
        <f>IF('2. START'!$C$14&gt;0,SUMIF('5. PERSON'!$B$17:$B$192,$C2966,'5. PERSON'!AT$17:AT$192)-SUMIF('5. PERSON'!$B$17:$B$192,$C2966,'5. PERSON'!DN$17:DN$192),0)</f>
        <v>0</v>
      </c>
      <c r="D2978" s="133">
        <f>IF('2. START'!$C$14&gt;0,SUMIF('5. PERSON'!$B$17:$B$192,$C2966,'5. PERSON'!AU$17:AU$192)-SUMIF('5. PERSON'!$B$17:$B$192,$C2966,'5. PERSON'!DO$17:DO$192),0)</f>
        <v>0</v>
      </c>
      <c r="E2978" s="133">
        <f>IF('2. START'!$C$14&gt;0,SUMIF('5. PERSON'!$B$17:$B$192,$C2966,'5. PERSON'!AV$17:AV$192)-SUMIF('5. PERSON'!$B$17:$B$192,$C2966,'5. PERSON'!DP$17:DP$192),0)</f>
        <v>0</v>
      </c>
      <c r="F2978" s="133">
        <f>IF('2. START'!$C$14&gt;0,SUMIF('5. PERSON'!$B$17:$B$192,$C2966,'5. PERSON'!AW$17:AW$192)-SUMIF('5. PERSON'!$B$17:$B$192,$C2966,'5. PERSON'!DQ$17:DQ$192),0)</f>
        <v>0</v>
      </c>
      <c r="G2978" s="133">
        <f>IF('2. START'!$C$14&gt;0,SUMIF('5. PERSON'!$B$17:$B$192,$C2966,'5. PERSON'!AX$17:AX$192)-SUMIF('5. PERSON'!$B$17:$B$192,$C2966,'5. PERSON'!DR$17:DR$192),0)</f>
        <v>0</v>
      </c>
      <c r="H2978" s="133">
        <f>IF('2. START'!$C$14&gt;0,SUMIF('5. PERSON'!$B$17:$B$192,$C2966,'5. PERSON'!AY$17:AY$192)-SUMIF('5. PERSON'!$B$17:$B$192,$C2966,'5. PERSON'!DS$17:DS$192),0)</f>
        <v>0</v>
      </c>
      <c r="I2978" s="133">
        <f>IF('2. START'!$C$14&gt;0,SUMIF('5. PERSON'!$B$17:$B$192,$C2966,'5. PERSON'!AZ$17:AZ$192)-SUMIF('5. PERSON'!$B$17:$B$192,$C2966,'5. PERSON'!DT$17:DT$192),0)</f>
        <v>0</v>
      </c>
      <c r="J2978" s="133">
        <f>IF('2. START'!$C$14&gt;0,SUMIF('5. PERSON'!$B$17:$B$192,$C2966,'5. PERSON'!BA$17:BA$192)-SUMIF('5. PERSON'!$B$17:$B$192,$C2966,'5. PERSON'!DU$17:DU$192),0)</f>
        <v>0</v>
      </c>
      <c r="K2978" s="133">
        <f>IF('2. START'!$C$14&gt;0,SUMIF('5. PERSON'!$B$17:$B$192,$C2966,'5. PERSON'!BB$17:BB$192)-SUMIF('5. PERSON'!$B$17:$B$192,$C2966,'5. PERSON'!DV$17:DV$192),0)</f>
        <v>0</v>
      </c>
      <c r="L2978" s="133">
        <f>IF('2. START'!$C$14&gt;0,SUMIF('5. PERSON'!$B$17:$B$192,$C2966,'5. PERSON'!BC$17:BC$192)-SUMIF('5. PERSON'!$B$17:$B$192,$C2966,'5. PERSON'!DW$17:DW$192),0)</f>
        <v>0</v>
      </c>
      <c r="M2978" s="117">
        <f t="shared" si="711"/>
        <v>0</v>
      </c>
    </row>
    <row r="2979" spans="2:15" s="3" customFormat="1" ht="12.75" customHeight="1" x14ac:dyDescent="0.25">
      <c r="B2979" s="118" t="str">
        <f>IF('1. INTRO'!I$2="English",(IF('5. PERSON'!BP$193&gt;0,"Salary including social costs (LKP)","")),IF('5. PERSON'!BP$193&gt;0,"Lön inklusive LKP",""))</f>
        <v/>
      </c>
      <c r="C2979" s="134">
        <f>SUMIF('5. PERSON'!$B$17:$B$192,$C2966,'5. PERSON'!BF$17:BF$192)</f>
        <v>0</v>
      </c>
      <c r="D2979" s="134">
        <f>SUMIF('5. PERSON'!$B$17:$B$192,$C2966,'5. PERSON'!BG$17:BG$192)</f>
        <v>0</v>
      </c>
      <c r="E2979" s="134">
        <f>SUMIF('5. PERSON'!$B$17:$B$192,$C2966,'5. PERSON'!BH$17:BH$192)</f>
        <v>0</v>
      </c>
      <c r="F2979" s="134">
        <f>SUMIF('5. PERSON'!$B$17:$B$192,$C2966,'5. PERSON'!BI$17:BI$192)</f>
        <v>0</v>
      </c>
      <c r="G2979" s="134">
        <f>SUMIF('5. PERSON'!$B$17:$B$192,$C2966,'5. PERSON'!BJ$17:BJ$192)</f>
        <v>0</v>
      </c>
      <c r="H2979" s="134">
        <f>SUMIF('5. PERSON'!$B$17:$B$192,$C2966,'5. PERSON'!BK$17:BK$192)</f>
        <v>0</v>
      </c>
      <c r="I2979" s="134">
        <f>SUMIF('5. PERSON'!$B$17:$B$192,$C2966,'5. PERSON'!BL$17:BL$192)</f>
        <v>0</v>
      </c>
      <c r="J2979" s="134">
        <f>SUMIF('5. PERSON'!$B$17:$B$192,$C2966,'5. PERSON'!BM$17:BM$192)</f>
        <v>0</v>
      </c>
      <c r="K2979" s="134">
        <f>SUMIF('5. PERSON'!$B$17:$B$192,$C2966,'5. PERSON'!BN$17:BN$192)</f>
        <v>0</v>
      </c>
      <c r="L2979" s="134">
        <f>SUMIF('5. PERSON'!$B$17:$B$192,$C2966,'5. PERSON'!BO$17:BO$192)</f>
        <v>0</v>
      </c>
      <c r="M2979" s="120">
        <f t="shared" si="711"/>
        <v>0</v>
      </c>
    </row>
    <row r="2980" spans="2:15" s="3" customFormat="1" ht="13.2" x14ac:dyDescent="0.25">
      <c r="B2980" s="80" t="str">
        <f>IF('1. INTRO'!I$2="English",(IF('6. OPERATION'!AS$150&gt;0,"Operating","")),IF('6. OPERATION'!AS$150&gt;0,"Drift",""))</f>
        <v/>
      </c>
      <c r="C2980" s="135">
        <f>SUMIF('6. OPERATION'!$B$17:$B$149,$C2966,'6. OPERATION'!AI$17:AI$149)</f>
        <v>0</v>
      </c>
      <c r="D2980" s="135">
        <f>SUMIF('6. OPERATION'!$B$17:$B$149,$C2966,'6. OPERATION'!AJ$17:AJ$149)</f>
        <v>0</v>
      </c>
      <c r="E2980" s="135">
        <f>SUMIF('6. OPERATION'!$B$17:$B$149,$C2966,'6. OPERATION'!AK$17:AK$149)</f>
        <v>0</v>
      </c>
      <c r="F2980" s="135">
        <f>SUMIF('6. OPERATION'!$B$17:$B$149,$C2966,'6. OPERATION'!AL$17:AL$149)</f>
        <v>0</v>
      </c>
      <c r="G2980" s="135">
        <f>SUMIF('6. OPERATION'!$B$17:$B$149,$C2966,'6. OPERATION'!AM$17:AM$149)</f>
        <v>0</v>
      </c>
      <c r="H2980" s="135">
        <f>SUMIF('6. OPERATION'!$B$17:$B$149,$C2966,'6. OPERATION'!AN$17:AN$149)</f>
        <v>0</v>
      </c>
      <c r="I2980" s="135">
        <f>SUMIF('6. OPERATION'!$B$17:$B$149,$C2966,'6. OPERATION'!AO$17:AO$149)</f>
        <v>0</v>
      </c>
      <c r="J2980" s="135">
        <f>SUMIF('6. OPERATION'!$B$17:$B$149,$C2966,'6. OPERATION'!AP$17:AP$149)</f>
        <v>0</v>
      </c>
      <c r="K2980" s="135">
        <f>SUMIF('6. OPERATION'!$B$17:$B$149,$C2966,'6. OPERATION'!AQ$17:AQ$149)</f>
        <v>0</v>
      </c>
      <c r="L2980" s="135">
        <f>SUMIF('6. OPERATION'!$B$17:$B$149,$C2966,'6. OPERATION'!AR$17:AR$149)</f>
        <v>0</v>
      </c>
      <c r="M2980" s="117">
        <f t="shared" si="711"/>
        <v>0</v>
      </c>
    </row>
    <row r="2981" spans="2:15" s="3" customFormat="1" ht="13.2" x14ac:dyDescent="0.25">
      <c r="B2981" s="118" t="str">
        <f>IF('1. INTRO'!I$2="English",(IF('7. INVEST'!AS$50&gt;0,"Equipment","")),IF('7. INVEST'!AS$50&gt;0,"Utrustning",""))</f>
        <v/>
      </c>
      <c r="C2981" s="134">
        <f>SUMIF('7. INVEST'!$B$17:$B$49,$C2966,'7. INVEST'!AI$17:AI$49)</f>
        <v>0</v>
      </c>
      <c r="D2981" s="134">
        <f>SUMIF('7. INVEST'!$B$17:$B$49,$C2966,'7. INVEST'!AJ$17:AJ$49)</f>
        <v>0</v>
      </c>
      <c r="E2981" s="134">
        <f>SUMIF('7. INVEST'!$B$17:$B$49,$C2966,'7. INVEST'!AK$17:AK$49)</f>
        <v>0</v>
      </c>
      <c r="F2981" s="134">
        <f>SUMIF('7. INVEST'!$B$17:$B$49,$C2966,'7. INVEST'!AL$17:AL$49)</f>
        <v>0</v>
      </c>
      <c r="G2981" s="134">
        <f>SUMIF('7. INVEST'!$B$17:$B$49,$C2966,'7. INVEST'!AM$17:AM$49)</f>
        <v>0</v>
      </c>
      <c r="H2981" s="134">
        <f>SUMIF('7. INVEST'!$B$17:$B$49,$C2966,'7. INVEST'!AN$17:AN$49)</f>
        <v>0</v>
      </c>
      <c r="I2981" s="134">
        <f>SUMIF('7. INVEST'!$B$17:$B$49,$C2966,'7. INVEST'!AO$17:AO$49)</f>
        <v>0</v>
      </c>
      <c r="J2981" s="134">
        <f>SUMIF('7. INVEST'!$B$17:$B$49,$C2966,'7. INVEST'!AP$17:AP$49)</f>
        <v>0</v>
      </c>
      <c r="K2981" s="134">
        <f>SUMIF('7. INVEST'!$B$17:$B$49,$C2966,'7. INVEST'!AQ$17:AQ$49)</f>
        <v>0</v>
      </c>
      <c r="L2981" s="134">
        <f>SUMIF('7. INVEST'!$B$17:$B$49,$C2966,'7. INVEST'!AR$17:AR$49)</f>
        <v>0</v>
      </c>
      <c r="M2981" s="120">
        <f t="shared" si="711"/>
        <v>0</v>
      </c>
    </row>
    <row r="2982" spans="2:15" s="3" customFormat="1" ht="13.2" x14ac:dyDescent="0.25">
      <c r="B2982" s="121" t="str">
        <f>IF('1. INTRO'!I$2="English",(IF('8. FACILIT'!AP$51&gt;0,"Facility","")),IF('8. FACILIT'!AP$51&gt;0,"Lokal",""))</f>
        <v/>
      </c>
      <c r="C2982" s="135">
        <f>SUMIF('5. PERSON'!$B$17:$B$192,$C2966,'5. PERSON'!DB$17:DB$192)+SUMIF('6. OPERATION'!$B$17:$B$149,$C2966,'6. OPERATION'!CE$17:CE$149)+SUMIF('8. FACILIT'!$B$18:$B$50,$C2966,'8. FACILIT'!AF$18:AF$50)</f>
        <v>0</v>
      </c>
      <c r="D2982" s="135">
        <f>SUMIF('5. PERSON'!$B$17:$B$192,$C2966,'5. PERSON'!DC$17:DC$192)+SUMIF('6. OPERATION'!$B$17:$B$149,$C2966,'6. OPERATION'!CF$17:CF$149)+SUMIF('8. FACILIT'!$B$18:$B$50,$C2966,'8. FACILIT'!AG$18:AG$50)</f>
        <v>0</v>
      </c>
      <c r="E2982" s="135">
        <f>SUMIF('5. PERSON'!$B$17:$B$192,$C2966,'5. PERSON'!DD$17:DD$192)+SUMIF('6. OPERATION'!$B$17:$B$149,$C2966,'6. OPERATION'!CG$17:CG$149)+SUMIF('8. FACILIT'!$B$18:$B$50,$C2966,'8. FACILIT'!AH$18:AH$50)</f>
        <v>0</v>
      </c>
      <c r="F2982" s="135">
        <f>SUMIF('5. PERSON'!$B$17:$B$192,$C2966,'5. PERSON'!DE$17:DE$192)+SUMIF('6. OPERATION'!$B$17:$B$149,$C2966,'6. OPERATION'!CH$17:CH$149)+SUMIF('8. FACILIT'!$B$18:$B$50,$C2966,'8. FACILIT'!AI$18:AI$50)</f>
        <v>0</v>
      </c>
      <c r="G2982" s="135">
        <f>SUMIF('5. PERSON'!$B$17:$B$192,$C2966,'5. PERSON'!DF$17:DF$192)+SUMIF('6. OPERATION'!$B$17:$B$149,$C2966,'6. OPERATION'!CI$17:CI$149)+SUMIF('8. FACILIT'!$B$18:$B$50,$C2966,'8. FACILIT'!AJ$18:AJ$50)</f>
        <v>0</v>
      </c>
      <c r="H2982" s="135">
        <f>SUMIF('5. PERSON'!$B$17:$B$192,$C2966,'5. PERSON'!DG$17:DG$192)+SUMIF('6. OPERATION'!$B$17:$B$149,$C2966,'6. OPERATION'!CJ$17:CJ$149)+SUMIF('8. FACILIT'!$B$18:$B$50,$C2966,'8. FACILIT'!AK$18:AK$50)</f>
        <v>0</v>
      </c>
      <c r="I2982" s="135">
        <f>SUMIF('5. PERSON'!$B$17:$B$192,$C2966,'5. PERSON'!DH$17:DH$192)+SUMIF('6. OPERATION'!$B$17:$B$149,$C2966,'6. OPERATION'!CK$17:CK$149)+SUMIF('8. FACILIT'!$B$18:$B$50,$C2966,'8. FACILIT'!AL$18:AL$50)</f>
        <v>0</v>
      </c>
      <c r="J2982" s="135">
        <f>SUMIF('5. PERSON'!$B$17:$B$192,$C2966,'5. PERSON'!DI$17:DI$192)+SUMIF('6. OPERATION'!$B$17:$B$149,$C2966,'6. OPERATION'!CL$17:CL$149)+SUMIF('8. FACILIT'!$B$18:$B$50,$C2966,'8. FACILIT'!AM$18:AM$50)</f>
        <v>0</v>
      </c>
      <c r="K2982" s="135">
        <f>SUMIF('5. PERSON'!$B$17:$B$192,$C2966,'5. PERSON'!DJ$17:DJ$192)+SUMIF('6. OPERATION'!$B$17:$B$149,$C2966,'6. OPERATION'!CM$17:CM$149)+SUMIF('8. FACILIT'!$B$18:$B$50,$C2966,'8. FACILIT'!AN$18:AN$50)</f>
        <v>0</v>
      </c>
      <c r="L2982" s="135">
        <f>SUMIF('5. PERSON'!$B$17:$B$192,$C2966,'5. PERSON'!DK$17:DK$192)+SUMIF('6. OPERATION'!$B$17:$B$149,$C2966,'6. OPERATION'!CN$17:CN$149)+SUMIF('8. FACILIT'!$B$18:$B$50,$C2966,'8. FACILIT'!AO$18:AO$50)</f>
        <v>0</v>
      </c>
      <c r="M2982" s="117">
        <f t="shared" si="711"/>
        <v>0</v>
      </c>
    </row>
    <row r="2983" spans="2:15" s="1" customFormat="1" ht="13.2" x14ac:dyDescent="0.25">
      <c r="B2983" s="122" t="str">
        <f>IF('1. INTRO'!I$2="English",(IF(('5. PERSON'!CN$193+'6. OPERATION'!BQ$150)&gt;0,"Indirect","")),IF(('5. PERSON'!CN$193+'6. OPERATION'!BQ$150)&gt;0,"Indirekt",""))</f>
        <v/>
      </c>
      <c r="C2983" s="107">
        <f>SUMIF('5. PERSON'!$B$17:$B$192,$C2966,'5. PERSON'!CD$17:CD$192)+SUMIF('6. OPERATION'!$B$17:$B$149,$C2966,'6. OPERATION'!BG$17:BG$149)</f>
        <v>0</v>
      </c>
      <c r="D2983" s="107">
        <f>SUMIF('5. PERSON'!$B$17:$B$192,$C2966,'5. PERSON'!CE$17:CE$192)+SUMIF('6. OPERATION'!$B$17:$B$149,$C2966,'6. OPERATION'!BH$17:BH$149)</f>
        <v>0</v>
      </c>
      <c r="E2983" s="107">
        <f>SUMIF('5. PERSON'!$B$17:$B$192,$C2966,'5. PERSON'!CF$17:CF$192)+SUMIF('6. OPERATION'!$B$17:$B$149,$C2966,'6. OPERATION'!BI$17:BI$149)</f>
        <v>0</v>
      </c>
      <c r="F2983" s="107">
        <f>SUMIF('5. PERSON'!$B$17:$B$192,$C2966,'5. PERSON'!CG$17:CG$192)+SUMIF('6. OPERATION'!$B$17:$B$149,$C2966,'6. OPERATION'!BJ$17:BJ$149)</f>
        <v>0</v>
      </c>
      <c r="G2983" s="107">
        <f>SUMIF('5. PERSON'!$B$17:$B$192,$C2966,'5. PERSON'!CH$17:CH$192)+SUMIF('6. OPERATION'!$B$17:$B$149,$C2966,'6. OPERATION'!BK$17:BK$149)</f>
        <v>0</v>
      </c>
      <c r="H2983" s="107">
        <f>SUMIF('5. PERSON'!$B$17:$B$192,$C2966,'5. PERSON'!CI$17:CI$192)+SUMIF('6. OPERATION'!$B$17:$B$149,$C2966,'6. OPERATION'!BL$17:BL$149)</f>
        <v>0</v>
      </c>
      <c r="I2983" s="107">
        <f>SUMIF('5. PERSON'!$B$17:$B$192,$C2966,'5. PERSON'!CJ$17:CJ$192)+SUMIF('6. OPERATION'!$B$17:$B$149,$C2966,'6. OPERATION'!BM$17:BM$149)</f>
        <v>0</v>
      </c>
      <c r="J2983" s="107">
        <f>SUMIF('5. PERSON'!$B$17:$B$192,$C2966,'5. PERSON'!CK$17:CK$192)+SUMIF('6. OPERATION'!$B$17:$B$149,$C2966,'6. OPERATION'!BN$17:BN$149)</f>
        <v>0</v>
      </c>
      <c r="K2983" s="107">
        <f>SUMIF('5. PERSON'!$B$17:$B$192,$C2966,'5. PERSON'!CL$17:CL$192)+SUMIF('6. OPERATION'!$B$17:$B$149,$C2966,'6. OPERATION'!BO$17:BO$149)</f>
        <v>0</v>
      </c>
      <c r="L2983" s="107">
        <f>SUMIF('5. PERSON'!$B$17:$B$192,$C2966,'5. PERSON'!CM$17:CM$192)+SUMIF('6. OPERATION'!$B$17:$B$149,$C2966,'6. OPERATION'!BP$17:BP$149)</f>
        <v>0</v>
      </c>
      <c r="M2983" s="123">
        <f t="shared" si="711"/>
        <v>0</v>
      </c>
    </row>
    <row r="2984" spans="2:15" s="3" customFormat="1" ht="13.2" x14ac:dyDescent="0.25">
      <c r="B2984" s="124" t="s">
        <v>113</v>
      </c>
      <c r="C2984" s="102">
        <f>SUM(C2977:C2983)</f>
        <v>0</v>
      </c>
      <c r="D2984" s="102">
        <f t="shared" ref="D2984:L2984" si="712">SUM(D2977:D2983)</f>
        <v>0</v>
      </c>
      <c r="E2984" s="102">
        <f t="shared" si="712"/>
        <v>0</v>
      </c>
      <c r="F2984" s="102">
        <f t="shared" si="712"/>
        <v>0</v>
      </c>
      <c r="G2984" s="102">
        <f t="shared" si="712"/>
        <v>0</v>
      </c>
      <c r="H2984" s="102">
        <f t="shared" si="712"/>
        <v>0</v>
      </c>
      <c r="I2984" s="102">
        <f t="shared" si="712"/>
        <v>0</v>
      </c>
      <c r="J2984" s="102">
        <f t="shared" si="712"/>
        <v>0</v>
      </c>
      <c r="K2984" s="102">
        <f t="shared" si="712"/>
        <v>0</v>
      </c>
      <c r="L2984" s="102">
        <f t="shared" si="712"/>
        <v>0</v>
      </c>
      <c r="M2984" s="125">
        <f t="shared" ref="M2984" si="713">SUM(M2977:M2983)</f>
        <v>0</v>
      </c>
      <c r="N2984" s="23"/>
      <c r="O2984" s="23"/>
    </row>
    <row r="2985" spans="2:15" s="3" customFormat="1" ht="6" customHeight="1" x14ac:dyDescent="0.25">
      <c r="B2985" s="136"/>
      <c r="C2985" s="127"/>
      <c r="D2985" s="127"/>
      <c r="E2985" s="127"/>
      <c r="F2985" s="127"/>
      <c r="G2985" s="127"/>
      <c r="H2985" s="127"/>
      <c r="I2985" s="127"/>
      <c r="J2985" s="127"/>
      <c r="K2985" s="127"/>
      <c r="L2985" s="127"/>
      <c r="M2985" s="137"/>
    </row>
    <row r="2986" spans="2:15" s="3" customFormat="1" ht="13.2" x14ac:dyDescent="0.25">
      <c r="B2986" s="129" t="str">
        <f>IF('1. INTRO'!I$2="English","Full cost","Full kostnad")</f>
        <v>Full cost</v>
      </c>
      <c r="C2986" s="127"/>
      <c r="D2986" s="127"/>
      <c r="E2986" s="127"/>
      <c r="F2986" s="127"/>
      <c r="G2986" s="127"/>
      <c r="H2986" s="127"/>
      <c r="I2986" s="127"/>
      <c r="J2986" s="127"/>
      <c r="K2986" s="127"/>
      <c r="L2986" s="127"/>
      <c r="M2986" s="137"/>
    </row>
    <row r="2987" spans="2:15" s="3" customFormat="1" ht="13.2" x14ac:dyDescent="0.25">
      <c r="B2987" s="113" t="str">
        <f>IF('1. INTRO'!I$2="English","Salary including social costs (LKP)","Lön inklusive LKP")</f>
        <v>Salary including social costs (LKP)</v>
      </c>
      <c r="C2987" s="138">
        <f>C2969+C2978+C2979</f>
        <v>0</v>
      </c>
      <c r="D2987" s="138">
        <f t="shared" ref="D2987:L2987" si="714">D2969+D2978+D2979</f>
        <v>0</v>
      </c>
      <c r="E2987" s="138">
        <f t="shared" si="714"/>
        <v>0</v>
      </c>
      <c r="F2987" s="138">
        <f t="shared" si="714"/>
        <v>0</v>
      </c>
      <c r="G2987" s="138">
        <f t="shared" si="714"/>
        <v>0</v>
      </c>
      <c r="H2987" s="138">
        <f t="shared" si="714"/>
        <v>0</v>
      </c>
      <c r="I2987" s="138">
        <f t="shared" si="714"/>
        <v>0</v>
      </c>
      <c r="J2987" s="138">
        <f t="shared" si="714"/>
        <v>0</v>
      </c>
      <c r="K2987" s="138">
        <f t="shared" si="714"/>
        <v>0</v>
      </c>
      <c r="L2987" s="138">
        <f t="shared" si="714"/>
        <v>0</v>
      </c>
      <c r="M2987" s="115">
        <f>SUM(C2987:L2987)</f>
        <v>0</v>
      </c>
    </row>
    <row r="2988" spans="2:15" s="3" customFormat="1" ht="13.2" x14ac:dyDescent="0.25">
      <c r="B2988" s="80" t="str">
        <f>IF('1. INTRO'!I$2="English","Operating","Drift")</f>
        <v>Operating</v>
      </c>
      <c r="C2988" s="139">
        <f>C2970+C2980</f>
        <v>0</v>
      </c>
      <c r="D2988" s="139">
        <f t="shared" ref="D2988:L2988" si="715">D2970+D2980</f>
        <v>0</v>
      </c>
      <c r="E2988" s="139">
        <f t="shared" si="715"/>
        <v>0</v>
      </c>
      <c r="F2988" s="139">
        <f t="shared" si="715"/>
        <v>0</v>
      </c>
      <c r="G2988" s="139">
        <f t="shared" si="715"/>
        <v>0</v>
      </c>
      <c r="H2988" s="139">
        <f t="shared" si="715"/>
        <v>0</v>
      </c>
      <c r="I2988" s="139">
        <f t="shared" si="715"/>
        <v>0</v>
      </c>
      <c r="J2988" s="139">
        <f t="shared" si="715"/>
        <v>0</v>
      </c>
      <c r="K2988" s="139">
        <f t="shared" si="715"/>
        <v>0</v>
      </c>
      <c r="L2988" s="139">
        <f t="shared" si="715"/>
        <v>0</v>
      </c>
      <c r="M2988" s="117">
        <f>SUM(C2988:L2988)</f>
        <v>0</v>
      </c>
    </row>
    <row r="2989" spans="2:15" s="3" customFormat="1" ht="13.2" x14ac:dyDescent="0.25">
      <c r="B2989" s="118" t="str">
        <f>IF('1. INTRO'!I$2="English","Equipment","Utrustning")</f>
        <v>Equipment</v>
      </c>
      <c r="C2989" s="140">
        <f>C2971+C2981</f>
        <v>0</v>
      </c>
      <c r="D2989" s="140">
        <f t="shared" ref="D2989:L2989" si="716">D2971+D2981</f>
        <v>0</v>
      </c>
      <c r="E2989" s="140">
        <f t="shared" si="716"/>
        <v>0</v>
      </c>
      <c r="F2989" s="140">
        <f t="shared" si="716"/>
        <v>0</v>
      </c>
      <c r="G2989" s="140">
        <f t="shared" si="716"/>
        <v>0</v>
      </c>
      <c r="H2989" s="140">
        <f t="shared" si="716"/>
        <v>0</v>
      </c>
      <c r="I2989" s="140">
        <f t="shared" si="716"/>
        <v>0</v>
      </c>
      <c r="J2989" s="140">
        <f t="shared" si="716"/>
        <v>0</v>
      </c>
      <c r="K2989" s="140">
        <f t="shared" si="716"/>
        <v>0</v>
      </c>
      <c r="L2989" s="140">
        <f t="shared" si="716"/>
        <v>0</v>
      </c>
      <c r="M2989" s="120">
        <f>SUM(C2989:L2989)</f>
        <v>0</v>
      </c>
    </row>
    <row r="2990" spans="2:15" s="3" customFormat="1" ht="13.2" x14ac:dyDescent="0.25">
      <c r="B2990" s="80" t="str">
        <f>IF('1. INTRO'!I$2="English","Facility","Lokal")</f>
        <v>Facility</v>
      </c>
      <c r="C2990" s="139">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39">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39">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39">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39">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39">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39">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39">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39">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39">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117">
        <f>SUM(C2990:L2990)</f>
        <v>0</v>
      </c>
    </row>
    <row r="2991" spans="2:15" s="3" customFormat="1" ht="13.2" x14ac:dyDescent="0.25">
      <c r="B2991" s="601" t="str">
        <f>IF('1. INTRO'!I$2="English","Indirect","Indirekt")</f>
        <v>Indirect</v>
      </c>
      <c r="C2991" s="141">
        <f>SUMIF('5. PERSON'!$B$17:$B$192,$C2966,'5. PERSON'!BR$17:BR$192)+SUMIF('5. PERSON'!$B$17:$B$192,$C2966,'5. PERSON'!CD$17:CD$192)+SUMIF('6. OPERATION'!$B$17:$B$149,$C2966,'6. OPERATION'!AU$17:AU$149)+SUMIF('6. OPERATION'!$B$17:$B$149,$C2966,'6. OPERATION'!BG$17:BG$149)</f>
        <v>0</v>
      </c>
      <c r="D2991" s="141">
        <f>SUMIF('5. PERSON'!$B$17:$B$192,$C2966,'5. PERSON'!BS$17:BS$192)+SUMIF('5. PERSON'!$B$17:$B$192,$C2966,'5. PERSON'!CE$17:CE$192)+SUMIF('6. OPERATION'!$B$17:$B$149,$C2966,'6. OPERATION'!AV$17:AV$149)+SUMIF('6. OPERATION'!$B$17:$B$149,$C2966,'6. OPERATION'!BH$17:BH$149)</f>
        <v>0</v>
      </c>
      <c r="E2991" s="141">
        <f>SUMIF('5. PERSON'!$B$17:$B$192,$C2966,'5. PERSON'!BT$17:BT$192)+SUMIF('5. PERSON'!$B$17:$B$192,$C2966,'5. PERSON'!CF$17:CF$192)+SUMIF('6. OPERATION'!$B$17:$B$149,$C2966,'6. OPERATION'!AW$17:AW$149)+SUMIF('6. OPERATION'!$B$17:$B$149,$C2966,'6. OPERATION'!BI$17:BI$149)</f>
        <v>0</v>
      </c>
      <c r="F2991" s="141">
        <f>SUMIF('5. PERSON'!$B$17:$B$192,$C2966,'5. PERSON'!BU$17:BU$192)+SUMIF('5. PERSON'!$B$17:$B$192,$C2966,'5. PERSON'!CG$17:CG$192)+SUMIF('6. OPERATION'!$B$17:$B$149,$C2966,'6. OPERATION'!AX$17:AX$149)+SUMIF('6. OPERATION'!$B$17:$B$149,$C2966,'6. OPERATION'!BJ$17:BJ$149)</f>
        <v>0</v>
      </c>
      <c r="G2991" s="141">
        <f>SUMIF('5. PERSON'!$B$17:$B$192,$C2966,'5. PERSON'!BV$17:BV$192)+SUMIF('5. PERSON'!$B$17:$B$192,$C2966,'5. PERSON'!CH$17:CH$192)+SUMIF('6. OPERATION'!$B$17:$B$149,$C2966,'6. OPERATION'!AY$17:AY$149)+SUMIF('6. OPERATION'!$B$17:$B$149,$C2966,'6. OPERATION'!BK$17:BK$149)</f>
        <v>0</v>
      </c>
      <c r="H2991" s="141">
        <f>SUMIF('5. PERSON'!$B$17:$B$192,$C2966,'5. PERSON'!BW$17:BW$192)+SUMIF('5. PERSON'!$B$17:$B$192,$C2966,'5. PERSON'!CI$17:CI$192)+SUMIF('6. OPERATION'!$B$17:$B$149,$C2966,'6. OPERATION'!AZ$17:AZ$149)+SUMIF('6. OPERATION'!$B$17:$B$149,$C2966,'6. OPERATION'!BL$17:BL$149)</f>
        <v>0</v>
      </c>
      <c r="I2991" s="141">
        <f>SUMIF('5. PERSON'!$B$17:$B$192,$C2966,'5. PERSON'!BX$17:BX$192)+SUMIF('5. PERSON'!$B$17:$B$192,$C2966,'5. PERSON'!CJ$17:CJ$192)+SUMIF('6. OPERATION'!$B$17:$B$149,$C2966,'6. OPERATION'!BA$17:BA$149)+SUMIF('6. OPERATION'!$B$17:$B$149,$C2966,'6. OPERATION'!BM$17:BM$149)</f>
        <v>0</v>
      </c>
      <c r="J2991" s="141">
        <f>SUMIF('5. PERSON'!$B$17:$B$192,$C2966,'5. PERSON'!BY$17:BY$192)+SUMIF('5. PERSON'!$B$17:$B$192,$C2966,'5. PERSON'!CK$17:CK$192)+SUMIF('6. OPERATION'!$B$17:$B$149,$C2966,'6. OPERATION'!BB$17:BB$149)+SUMIF('6. OPERATION'!$B$17:$B$149,$C2966,'6. OPERATION'!BN$17:BN$149)</f>
        <v>0</v>
      </c>
      <c r="K2991" s="141">
        <f>SUMIF('5. PERSON'!$B$17:$B$192,$C2966,'5. PERSON'!BZ$17:BZ$192)+SUMIF('5. PERSON'!$B$17:$B$192,$C2966,'5. PERSON'!CL$17:CL$192)+SUMIF('6. OPERATION'!$B$17:$B$149,$C2966,'6. OPERATION'!BC$17:BC$149)+SUMIF('6. OPERATION'!$B$17:$B$149,$C2966,'6. OPERATION'!BO$17:BO$149)</f>
        <v>0</v>
      </c>
      <c r="L2991" s="141">
        <f>SUMIF('5. PERSON'!$B$17:$B$192,$C2966,'5. PERSON'!CA$17:CA$192)+SUMIF('5. PERSON'!$B$17:$B$192,$C2966,'5. PERSON'!CM$17:CM$192)+SUMIF('6. OPERATION'!$B$17:$B$149,$C2966,'6. OPERATION'!BD$17:BD$149)+SUMIF('6. OPERATION'!$B$17:$B$149,$C2966,'6. OPERATION'!BP$17:BP$149)</f>
        <v>0</v>
      </c>
      <c r="M2991" s="123">
        <f>SUM(C2991:L2991)</f>
        <v>0</v>
      </c>
    </row>
    <row r="2992" spans="2:15" s="3" customFormat="1" ht="13.2" x14ac:dyDescent="0.25">
      <c r="B2992" s="124" t="s">
        <v>113</v>
      </c>
      <c r="C2992" s="88">
        <f>SUM(C2987:C2991)</f>
        <v>0</v>
      </c>
      <c r="D2992" s="88">
        <f t="shared" ref="D2992:M2992" si="717">SUM(D2987:D2991)</f>
        <v>0</v>
      </c>
      <c r="E2992" s="88">
        <f t="shared" si="717"/>
        <v>0</v>
      </c>
      <c r="F2992" s="88">
        <f t="shared" si="717"/>
        <v>0</v>
      </c>
      <c r="G2992" s="88">
        <f t="shared" si="717"/>
        <v>0</v>
      </c>
      <c r="H2992" s="88">
        <f t="shared" si="717"/>
        <v>0</v>
      </c>
      <c r="I2992" s="88">
        <f t="shared" si="717"/>
        <v>0</v>
      </c>
      <c r="J2992" s="88">
        <f t="shared" si="717"/>
        <v>0</v>
      </c>
      <c r="K2992" s="88">
        <f t="shared" si="717"/>
        <v>0</v>
      </c>
      <c r="L2992" s="88">
        <f t="shared" si="717"/>
        <v>0</v>
      </c>
      <c r="M2992" s="142">
        <f t="shared" si="717"/>
        <v>0</v>
      </c>
    </row>
    <row r="2993" spans="2:13" s="3" customFormat="1" ht="13.2" x14ac:dyDescent="0.25">
      <c r="B2993" s="287"/>
      <c r="C2993" s="37"/>
      <c r="D2993" s="37"/>
      <c r="E2993" s="37"/>
      <c r="F2993" s="37"/>
      <c r="G2993" s="37"/>
      <c r="H2993" s="37"/>
      <c r="I2993" s="37"/>
      <c r="J2993" s="37"/>
      <c r="K2993" s="37"/>
      <c r="L2993" s="37"/>
      <c r="M2993" s="37"/>
    </row>
    <row r="2994" spans="2:13" s="3" customFormat="1" ht="12.75" customHeight="1" x14ac:dyDescent="0.25">
      <c r="B2994" s="656" t="str">
        <f>IF('1. INTRO'!I$2="English","Co-funding share in full cost ","Medfinansieringsandel i full kostnad ")</f>
        <v xml:space="preserve">Co-funding share in full cost </v>
      </c>
      <c r="C2994" s="143" t="str">
        <f t="shared" ref="C2994:M2994" si="718">IF(C2992&gt;0,C2984/C2992,"")</f>
        <v/>
      </c>
      <c r="D2994" s="143" t="str">
        <f t="shared" si="718"/>
        <v/>
      </c>
      <c r="E2994" s="143" t="str">
        <f t="shared" si="718"/>
        <v/>
      </c>
      <c r="F2994" s="143" t="str">
        <f t="shared" si="718"/>
        <v/>
      </c>
      <c r="G2994" s="143" t="str">
        <f t="shared" si="718"/>
        <v/>
      </c>
      <c r="H2994" s="143" t="str">
        <f t="shared" si="718"/>
        <v/>
      </c>
      <c r="I2994" s="143" t="str">
        <f t="shared" si="718"/>
        <v/>
      </c>
      <c r="J2994" s="143" t="str">
        <f t="shared" si="718"/>
        <v/>
      </c>
      <c r="K2994" s="143" t="str">
        <f t="shared" si="718"/>
        <v/>
      </c>
      <c r="L2994" s="143" t="str">
        <f t="shared" si="718"/>
        <v/>
      </c>
      <c r="M2994" s="143" t="str">
        <f t="shared" si="718"/>
        <v/>
      </c>
    </row>
    <row r="2995" spans="2:13" ht="12.75" customHeight="1" x14ac:dyDescent="0.2"/>
    <row r="2996" spans="2:13" ht="12.75" customHeight="1" x14ac:dyDescent="0.25">
      <c r="D2996" s="676" t="str">
        <f>IF('1. INTRO'!I$2="English","Co-funding need in average per year: ","Medfinansieringsbehov i genomsnitt per år: ")</f>
        <v xml:space="preserve">Co-funding need in average per year: </v>
      </c>
      <c r="E2996" s="92" t="str">
        <f>IF(M2984=0,"",M2984/(DATEDIF('2. START'!C$18,'2. START'!C$19,"d")/365))</f>
        <v/>
      </c>
      <c r="H2996" s="676" t="str">
        <f>IF('1. INTRO'!I$2="English","Co-funding need 1/3 of total: ","Medfinansieringsbehov 1/3 av totalt: ")</f>
        <v xml:space="preserve">Co-funding need 1/3 of total: </v>
      </c>
      <c r="I2996" s="92">
        <f>M2984/3</f>
        <v>0</v>
      </c>
      <c r="L2996" s="287" t="str">
        <f>IF('1. INTRO'!I$2="English","Co-funding need total: ","Medfinansieringsbehov totalt: ")</f>
        <v xml:space="preserve">Co-funding need total: </v>
      </c>
      <c r="M2996" s="92">
        <f>M2984</f>
        <v>0</v>
      </c>
    </row>
    <row r="2997" spans="2:13" ht="12.75" customHeight="1" x14ac:dyDescent="0.25">
      <c r="B2997" s="53" t="str">
        <f>IF('1. INTRO'!I$2="English","Co-funding sources","Medfinansieringskällor")</f>
        <v>Co-funding sources</v>
      </c>
    </row>
    <row r="2998" spans="2:13" ht="12.75" customHeight="1" x14ac:dyDescent="0.25">
      <c r="B2998" s="225"/>
      <c r="C2998" s="226"/>
      <c r="D2998" s="226"/>
      <c r="E2998" s="226"/>
      <c r="F2998" s="226"/>
      <c r="G2998" s="226"/>
      <c r="H2998" s="226"/>
      <c r="I2998" s="226"/>
      <c r="J2998" s="226"/>
      <c r="K2998" s="226"/>
      <c r="L2998" s="227"/>
      <c r="M2998" s="168">
        <f>SUM(C2998:L2998)</f>
        <v>0</v>
      </c>
    </row>
    <row r="2999" spans="2:13" ht="12.75" customHeight="1" x14ac:dyDescent="0.25">
      <c r="B2999" s="228"/>
      <c r="C2999" s="229"/>
      <c r="D2999" s="229"/>
      <c r="E2999" s="229"/>
      <c r="F2999" s="229"/>
      <c r="G2999" s="229"/>
      <c r="H2999" s="229"/>
      <c r="I2999" s="229"/>
      <c r="J2999" s="229"/>
      <c r="K2999" s="229"/>
      <c r="L2999" s="230"/>
      <c r="M2999" s="120">
        <f t="shared" ref="M2999:M3002" si="719">SUM(C2999:L2999)</f>
        <v>0</v>
      </c>
    </row>
    <row r="3000" spans="2:13" ht="12.75" customHeight="1" x14ac:dyDescent="0.25">
      <c r="B3000" s="231"/>
      <c r="C3000" s="232"/>
      <c r="D3000" s="232"/>
      <c r="E3000" s="232"/>
      <c r="F3000" s="232"/>
      <c r="G3000" s="232"/>
      <c r="H3000" s="232"/>
      <c r="I3000" s="232"/>
      <c r="J3000" s="232"/>
      <c r="K3000" s="232"/>
      <c r="L3000" s="233"/>
      <c r="M3000" s="117">
        <f t="shared" si="719"/>
        <v>0</v>
      </c>
    </row>
    <row r="3001" spans="2:13" ht="12.75" customHeight="1" x14ac:dyDescent="0.25">
      <c r="B3001" s="228"/>
      <c r="C3001" s="229"/>
      <c r="D3001" s="229"/>
      <c r="E3001" s="229"/>
      <c r="F3001" s="229"/>
      <c r="G3001" s="229"/>
      <c r="H3001" s="229"/>
      <c r="I3001" s="229"/>
      <c r="J3001" s="229"/>
      <c r="K3001" s="229"/>
      <c r="L3001" s="230"/>
      <c r="M3001" s="120">
        <f t="shared" si="719"/>
        <v>0</v>
      </c>
    </row>
    <row r="3002" spans="2:13" ht="12.75" customHeight="1" x14ac:dyDescent="0.25">
      <c r="B3002" s="93"/>
      <c r="C3002" s="232"/>
      <c r="D3002" s="232"/>
      <c r="E3002" s="232"/>
      <c r="F3002" s="232"/>
      <c r="G3002" s="232"/>
      <c r="H3002" s="232"/>
      <c r="I3002" s="232"/>
      <c r="J3002" s="232"/>
      <c r="K3002" s="232"/>
      <c r="L3002" s="233"/>
      <c r="M3002" s="117">
        <f t="shared" si="719"/>
        <v>0</v>
      </c>
    </row>
    <row r="3003" spans="2:13" ht="12.75" customHeight="1" x14ac:dyDescent="0.25">
      <c r="B3003" s="84" t="str">
        <f>IF('1. INTRO'!I$2="English","Total co-funding ","Total medfinansiering ")</f>
        <v xml:space="preserve">Total co-funding </v>
      </c>
      <c r="C3003" s="87">
        <f t="shared" ref="C3003:M3003" si="720">SUM(C2998:C3002)</f>
        <v>0</v>
      </c>
      <c r="D3003" s="87">
        <f t="shared" si="720"/>
        <v>0</v>
      </c>
      <c r="E3003" s="87">
        <f t="shared" si="720"/>
        <v>0</v>
      </c>
      <c r="F3003" s="87">
        <f t="shared" si="720"/>
        <v>0</v>
      </c>
      <c r="G3003" s="87">
        <f t="shared" si="720"/>
        <v>0</v>
      </c>
      <c r="H3003" s="87">
        <f t="shared" si="720"/>
        <v>0</v>
      </c>
      <c r="I3003" s="87">
        <f t="shared" si="720"/>
        <v>0</v>
      </c>
      <c r="J3003" s="87">
        <f t="shared" si="720"/>
        <v>0</v>
      </c>
      <c r="K3003" s="87">
        <f t="shared" si="720"/>
        <v>0</v>
      </c>
      <c r="L3003" s="87">
        <f t="shared" si="720"/>
        <v>0</v>
      </c>
      <c r="M3003" s="142">
        <f t="shared" si="720"/>
        <v>0</v>
      </c>
    </row>
    <row r="3004" spans="2:13" ht="12.75" customHeight="1" x14ac:dyDescent="0.2"/>
    <row r="3005" spans="2:13" ht="12.75" customHeight="1" x14ac:dyDescent="0.2">
      <c r="B3005" s="667" t="str">
        <f>IF('1. INTRO'!I$2="English","Calculation comments","Kalkylkommentarer")</f>
        <v>Calculation comments</v>
      </c>
      <c r="C3005" s="37" t="str">
        <f>B72</f>
        <v/>
      </c>
    </row>
    <row r="3006" spans="2:13" ht="12.75" customHeight="1" x14ac:dyDescent="0.2">
      <c r="B3006" s="1142"/>
      <c r="C3006" s="1143"/>
      <c r="D3006" s="1143"/>
      <c r="E3006" s="1143"/>
      <c r="F3006" s="1143"/>
      <c r="G3006" s="1143"/>
      <c r="H3006" s="1143"/>
      <c r="I3006" s="1143"/>
      <c r="J3006" s="1143"/>
      <c r="K3006" s="1143"/>
      <c r="L3006" s="1143"/>
      <c r="M3006" s="1144"/>
    </row>
    <row r="3007" spans="2:13" ht="12.75" customHeight="1" x14ac:dyDescent="0.2">
      <c r="B3007" s="1145"/>
      <c r="C3007" s="1226"/>
      <c r="D3007" s="1226"/>
      <c r="E3007" s="1226"/>
      <c r="F3007" s="1226"/>
      <c r="G3007" s="1226"/>
      <c r="H3007" s="1226"/>
      <c r="I3007" s="1226"/>
      <c r="J3007" s="1226"/>
      <c r="K3007" s="1226"/>
      <c r="L3007" s="1226"/>
      <c r="M3007" s="1147"/>
    </row>
    <row r="3008" spans="2:13" ht="12.75" customHeight="1" x14ac:dyDescent="0.2">
      <c r="B3008" s="1145"/>
      <c r="C3008" s="1226"/>
      <c r="D3008" s="1226"/>
      <c r="E3008" s="1226"/>
      <c r="F3008" s="1226"/>
      <c r="G3008" s="1226"/>
      <c r="H3008" s="1226"/>
      <c r="I3008" s="1226"/>
      <c r="J3008" s="1226"/>
      <c r="K3008" s="1226"/>
      <c r="L3008" s="1226"/>
      <c r="M3008" s="1147"/>
    </row>
    <row r="3009" spans="2:15" ht="12.75" customHeight="1" x14ac:dyDescent="0.2">
      <c r="B3009" s="1145"/>
      <c r="C3009" s="1226"/>
      <c r="D3009" s="1226"/>
      <c r="E3009" s="1226"/>
      <c r="F3009" s="1226"/>
      <c r="G3009" s="1226"/>
      <c r="H3009" s="1226"/>
      <c r="I3009" s="1226"/>
      <c r="J3009" s="1226"/>
      <c r="K3009" s="1226"/>
      <c r="L3009" s="1226"/>
      <c r="M3009" s="1147"/>
    </row>
    <row r="3010" spans="2:15" ht="12.75" customHeight="1" x14ac:dyDescent="0.2">
      <c r="B3010" s="1148"/>
      <c r="C3010" s="1149"/>
      <c r="D3010" s="1149"/>
      <c r="E3010" s="1149"/>
      <c r="F3010" s="1149"/>
      <c r="G3010" s="1149"/>
      <c r="H3010" s="1149"/>
      <c r="I3010" s="1149"/>
      <c r="J3010" s="1149"/>
      <c r="K3010" s="1149"/>
      <c r="L3010" s="1149"/>
      <c r="M3010" s="1150"/>
    </row>
    <row r="3012" spans="2:15" s="3" customFormat="1" ht="12.75" customHeight="1" x14ac:dyDescent="0.25">
      <c r="B3012" s="313" t="str">
        <f>'3. PARTNER'!C$4</f>
        <v xml:space="preserve">Project: </v>
      </c>
      <c r="C3012" s="1062" t="str">
        <f>'3. PARTNER'!D$4</f>
        <v/>
      </c>
      <c r="D3012" s="1001"/>
      <c r="E3012" s="1001"/>
      <c r="F3012" s="1001"/>
      <c r="G3012" s="1001"/>
      <c r="H3012" s="1001"/>
      <c r="I3012" s="1001"/>
      <c r="J3012" s="1001"/>
      <c r="K3012" s="1001"/>
      <c r="L3012" s="1001"/>
      <c r="M3012" s="1001"/>
    </row>
    <row r="3013" spans="2:15" s="3" customFormat="1" ht="13.2" x14ac:dyDescent="0.25">
      <c r="B3013" s="313" t="str">
        <f>'3. PARTNER'!C$5</f>
        <v xml:space="preserve">Calculation for: </v>
      </c>
      <c r="C3013" s="1062" t="str">
        <f>'3. PARTNER'!D$5</f>
        <v>APPLICATION</v>
      </c>
      <c r="D3013" s="1001"/>
      <c r="E3013" s="268"/>
      <c r="F3013" s="268"/>
      <c r="G3013" s="268"/>
      <c r="H3013" s="268"/>
      <c r="I3013" s="268"/>
      <c r="J3013" s="268"/>
      <c r="K3013" s="268"/>
      <c r="L3013" s="268"/>
      <c r="M3013" s="268"/>
    </row>
    <row r="3014" spans="2:15" s="3" customFormat="1" ht="13.2" x14ac:dyDescent="0.25">
      <c r="B3014" s="35" t="str">
        <f>'3. PARTNER'!C$6</f>
        <v xml:space="preserve">Project leader: </v>
      </c>
      <c r="C3014" s="1062" t="str">
        <f>'3. PARTNER'!D$6</f>
        <v/>
      </c>
      <c r="D3014" s="1001"/>
      <c r="E3014" s="1001"/>
      <c r="F3014" s="1001"/>
      <c r="G3014" s="1001"/>
      <c r="H3014" s="1001"/>
      <c r="I3014" s="1001"/>
      <c r="J3014" s="1001"/>
      <c r="K3014" s="1001"/>
      <c r="L3014" s="1001"/>
      <c r="M3014" s="1001"/>
    </row>
    <row r="3015" spans="2:15" s="3" customFormat="1" ht="13.2" x14ac:dyDescent="0.25">
      <c r="B3015" s="313" t="str">
        <f>'5. PERSON'!B$7</f>
        <v xml:space="preserve">Amounts in: </v>
      </c>
      <c r="C3015" s="655" t="str">
        <f>'5. PERSON'!C$7</f>
        <v>SEK</v>
      </c>
      <c r="D3015" s="268"/>
      <c r="E3015" s="268"/>
      <c r="F3015" s="268"/>
      <c r="G3015" s="234"/>
      <c r="H3015" s="234"/>
      <c r="I3015" s="270"/>
      <c r="J3015" s="270"/>
      <c r="K3015" s="270"/>
      <c r="L3015" s="270"/>
      <c r="M3015" s="270"/>
    </row>
    <row r="3016" spans="2:15" s="3" customFormat="1" ht="13.2" x14ac:dyDescent="0.25">
      <c r="B3016" s="313"/>
      <c r="C3016" s="1053" t="str">
        <f>'3. PARTNER'!D$7</f>
        <v>Other basic data about the project is in sheet 2.</v>
      </c>
      <c r="D3016" s="1001"/>
      <c r="E3016" s="1001"/>
      <c r="F3016" s="1001"/>
      <c r="G3016" s="234"/>
      <c r="H3016" s="234"/>
      <c r="I3016" s="270"/>
      <c r="J3016" s="270"/>
      <c r="K3016" s="270"/>
      <c r="L3016" s="251" t="s">
        <v>4</v>
      </c>
      <c r="M3016" s="270"/>
    </row>
    <row r="3017" spans="2:15" ht="12.75" customHeight="1" x14ac:dyDescent="0.2">
      <c r="L3017" s="252" t="str">
        <f>IF('1. INTRO'!I$2="English","months","månader")</f>
        <v>months</v>
      </c>
    </row>
    <row r="3018" spans="2:15" s="3" customFormat="1" ht="13.8" x14ac:dyDescent="0.25">
      <c r="B3018" s="157" t="str">
        <f>IF('1. INTRO'!I$2="English","Project costs","Projektkostnader")</f>
        <v>Project costs</v>
      </c>
      <c r="C3018" s="668" t="str">
        <f>A73</f>
        <v>EXT115</v>
      </c>
      <c r="D3018" s="1227" t="str">
        <f>B73</f>
        <v/>
      </c>
      <c r="E3018" s="1001"/>
      <c r="F3018" s="1001"/>
      <c r="G3018" s="1001"/>
      <c r="H3018" s="1001"/>
      <c r="I3018" s="37"/>
      <c r="J3018" s="37"/>
      <c r="K3018" s="37"/>
      <c r="L3018" s="642">
        <f>SUMIF('5. PERSON'!$B$17:$B$192,$C3018,'5. PERSON'!AE$17:AE$192)</f>
        <v>0</v>
      </c>
      <c r="M3018" s="680" t="s">
        <v>330</v>
      </c>
    </row>
    <row r="3019" spans="2:15" s="3" customFormat="1" ht="6" customHeight="1" x14ac:dyDescent="0.25">
      <c r="B3019" s="57"/>
      <c r="C3019" s="37"/>
      <c r="D3019" s="37"/>
      <c r="E3019" s="37"/>
      <c r="F3019" s="37"/>
      <c r="G3019" s="37"/>
      <c r="H3019" s="37"/>
      <c r="I3019" s="37"/>
      <c r="J3019" s="37"/>
      <c r="K3019" s="37"/>
      <c r="L3019" s="37"/>
      <c r="M3019" s="37"/>
    </row>
    <row r="3020" spans="2:15" s="3" customFormat="1" ht="13.2" x14ac:dyDescent="0.25">
      <c r="B3020" s="110" t="str">
        <f>IF('1. INTRO'!I$2="English","Costs to be covered by funding body","Kostnader att täckas av finansiär")</f>
        <v>Costs to be covered by funding body</v>
      </c>
      <c r="C3020" s="111">
        <f>'5. PERSON'!G$15</f>
        <v>1900</v>
      </c>
      <c r="D3020" s="111" t="str">
        <f>'5. PERSON'!H$15</f>
        <v/>
      </c>
      <c r="E3020" s="111" t="str">
        <f>'5. PERSON'!I$15</f>
        <v/>
      </c>
      <c r="F3020" s="111" t="str">
        <f>'5. PERSON'!J$15</f>
        <v/>
      </c>
      <c r="G3020" s="111" t="str">
        <f>'5. PERSON'!K$15</f>
        <v/>
      </c>
      <c r="H3020" s="111" t="str">
        <f>'5. PERSON'!L$15</f>
        <v/>
      </c>
      <c r="I3020" s="111" t="str">
        <f>'5. PERSON'!M$15</f>
        <v/>
      </c>
      <c r="J3020" s="111" t="str">
        <f>'5. PERSON'!N$15</f>
        <v/>
      </c>
      <c r="K3020" s="111" t="str">
        <f>'5. PERSON'!O$15</f>
        <v/>
      </c>
      <c r="L3020" s="111" t="str">
        <f>'5. PERSON'!P$15</f>
        <v/>
      </c>
      <c r="M3020" s="112" t="s">
        <v>2</v>
      </c>
    </row>
    <row r="3021" spans="2:15" s="3" customFormat="1" ht="12.75" customHeight="1" x14ac:dyDescent="0.25">
      <c r="B3021" s="113" t="str">
        <f>IF('1. INTRO'!I$2="English","Salary including social costs (LKP)","Lön inklusive LKP")</f>
        <v>Salary including social costs (LKP)</v>
      </c>
      <c r="C3021" s="114">
        <f>IF('2. START'!$C$14&gt;0,SUMIF('5. PERSON'!$B$17:$B$192,$C3018,'5. PERSON'!DN$17:DN$192),SUMIF('5. PERSON'!$B$17:$B$192,$C3018,'5. PERSON'!AT$17:AT$192))</f>
        <v>0</v>
      </c>
      <c r="D3021" s="114">
        <f>IF('2. START'!$C$14&gt;0,SUMIF('5. PERSON'!$B$17:$B$192,$C3018,'5. PERSON'!DO$17:DO$192),SUMIF('5. PERSON'!$B$17:$B$192,$C3018,'5. PERSON'!AU$17:AU$192))</f>
        <v>0</v>
      </c>
      <c r="E3021" s="114">
        <f>IF('2. START'!$C$14&gt;0,SUMIF('5. PERSON'!$B$17:$B$192,$C3018,'5. PERSON'!DP$17:DP$192),SUMIF('5. PERSON'!$B$17:$B$192,$C3018,'5. PERSON'!AV$17:AV$192))</f>
        <v>0</v>
      </c>
      <c r="F3021" s="114">
        <f>IF('2. START'!$C$14&gt;0,SUMIF('5. PERSON'!$B$17:$B$192,$C3018,'5. PERSON'!DQ$17:DQ$192),SUMIF('5. PERSON'!$B$17:$B$192,$C3018,'5. PERSON'!AW$17:AW$192))</f>
        <v>0</v>
      </c>
      <c r="G3021" s="114">
        <f>IF('2. START'!$C$14&gt;0,SUMIF('5. PERSON'!$B$17:$B$192,$C3018,'5. PERSON'!DR$17:DR$192),SUMIF('5. PERSON'!$B$17:$B$192,$C3018,'5. PERSON'!AX$17:AX$192))</f>
        <v>0</v>
      </c>
      <c r="H3021" s="114">
        <f>IF('2. START'!$C$14&gt;0,SUMIF('5. PERSON'!$B$17:$B$192,$C3018,'5. PERSON'!DS$17:DS$192),SUMIF('5. PERSON'!$B$17:$B$192,$C3018,'5. PERSON'!AY$17:AY$192))</f>
        <v>0</v>
      </c>
      <c r="I3021" s="114">
        <f>IF('2. START'!$C$14&gt;0,SUMIF('5. PERSON'!$B$17:$B$192,$C3018,'5. PERSON'!DT$17:DT$192),SUMIF('5. PERSON'!$B$17:$B$192,$C3018,'5. PERSON'!AZ$17:AZ$192))</f>
        <v>0</v>
      </c>
      <c r="J3021" s="114">
        <f>IF('2. START'!$C$14&gt;0,SUMIF('5. PERSON'!$B$17:$B$192,$C3018,'5. PERSON'!DU$17:DU$192),SUMIF('5. PERSON'!$B$17:$B$192,$C3018,'5. PERSON'!BA$17:BA$192))</f>
        <v>0</v>
      </c>
      <c r="K3021" s="114">
        <f>IF('2. START'!$C$14&gt;0,SUMIF('5. PERSON'!$B$17:$B$192,$C3018,'5. PERSON'!DV$17:DV$192),SUMIF('5. PERSON'!$B$17:$B$192,$C3018,'5. PERSON'!BB$17:BB$192))</f>
        <v>0</v>
      </c>
      <c r="L3021" s="114">
        <f>IF('2. START'!$C$14&gt;0,SUMIF('5. PERSON'!$B$17:$B$192,$C3018,'5. PERSON'!DW$17:DW$192),SUMIF('5. PERSON'!$B$17:$B$192,$C3018,'5. PERSON'!BC$17:BC$192))</f>
        <v>0</v>
      </c>
      <c r="M3021" s="115">
        <f t="shared" ref="M3021:M3026" si="721">SUM(C3021:L3021)</f>
        <v>0</v>
      </c>
      <c r="O3021" s="4"/>
    </row>
    <row r="3022" spans="2:15" s="3" customFormat="1" ht="12.75" customHeight="1" x14ac:dyDescent="0.25">
      <c r="B3022" s="80" t="str">
        <f>IF('1. INTRO'!I$2="English","Operating","Drift")</f>
        <v>Operating</v>
      </c>
      <c r="C3022" s="116">
        <f>SUMIF('6. OPERATION'!$B$17:$B$149,$C3018,'6. OPERATION'!W$17:W$149)</f>
        <v>0</v>
      </c>
      <c r="D3022" s="116">
        <f>SUMIF('6. OPERATION'!$B$17:$B$149,$C3018,'6. OPERATION'!X$17:X$149)</f>
        <v>0</v>
      </c>
      <c r="E3022" s="116">
        <f>SUMIF('6. OPERATION'!$B$17:$B$149,$C3018,'6. OPERATION'!Y$17:Y$149)</f>
        <v>0</v>
      </c>
      <c r="F3022" s="116">
        <f>SUMIF('6. OPERATION'!$B$17:$B$149,$C3018,'6. OPERATION'!Z$17:Z$149)</f>
        <v>0</v>
      </c>
      <c r="G3022" s="116">
        <f>SUMIF('6. OPERATION'!$B$17:$B$149,$C3018,'6. OPERATION'!AA$17:AA$149)</f>
        <v>0</v>
      </c>
      <c r="H3022" s="116">
        <f>SUMIF('6. OPERATION'!$B$17:$B$149,$C3018,'6. OPERATION'!AB$17:AB$149)</f>
        <v>0</v>
      </c>
      <c r="I3022" s="116">
        <f>SUMIF('6. OPERATION'!$B$17:$B$149,$C3018,'6. OPERATION'!AC$17:AC$149)</f>
        <v>0</v>
      </c>
      <c r="J3022" s="116">
        <f>SUMIF('6. OPERATION'!$B$17:$B$149,$C3018,'6. OPERATION'!AD$17:AD$149)</f>
        <v>0</v>
      </c>
      <c r="K3022" s="116">
        <f>SUMIF('6. OPERATION'!$B$17:$B$149,$C3018,'6. OPERATION'!AE$17:AE$149)</f>
        <v>0</v>
      </c>
      <c r="L3022" s="116">
        <f>SUMIF('6. OPERATION'!$B$17:$B$149,$C3018,'6. OPERATION'!AF$17:AF$149)</f>
        <v>0</v>
      </c>
      <c r="M3022" s="117">
        <f t="shared" si="721"/>
        <v>0</v>
      </c>
    </row>
    <row r="3023" spans="2:15" s="3" customFormat="1" ht="13.2" x14ac:dyDescent="0.25">
      <c r="B3023" s="118" t="str">
        <f>IF('1. INTRO'!I$2="English","Equipment","Utrustning")</f>
        <v>Equipment</v>
      </c>
      <c r="C3023" s="119">
        <f>SUMIF('7. INVEST'!$B$17:$B$49,$C3018,'7. INVEST'!W$17:W$49)</f>
        <v>0</v>
      </c>
      <c r="D3023" s="119">
        <f>SUMIF('7. INVEST'!$B$17:$B$49,$C3018,'7. INVEST'!X$17:X$49)</f>
        <v>0</v>
      </c>
      <c r="E3023" s="119">
        <f>SUMIF('7. INVEST'!$B$17:$B$49,$C3018,'7. INVEST'!Y$17:Y$49)</f>
        <v>0</v>
      </c>
      <c r="F3023" s="119">
        <f>SUMIF('7. INVEST'!$B$17:$B$49,$C3018,'7. INVEST'!Z$17:Z$49)</f>
        <v>0</v>
      </c>
      <c r="G3023" s="119">
        <f>SUMIF('7. INVEST'!$B$17:$B$49,$C3018,'7. INVEST'!AA$17:AA$49)</f>
        <v>0</v>
      </c>
      <c r="H3023" s="119">
        <f>SUMIF('7. INVEST'!$B$17:$B$49,$C3018,'7. INVEST'!AB$17:AB$49)</f>
        <v>0</v>
      </c>
      <c r="I3023" s="119">
        <f>SUMIF('7. INVEST'!$B$17:$B$49,$C3018,'7. INVEST'!AC$17:AC$49)</f>
        <v>0</v>
      </c>
      <c r="J3023" s="119">
        <f>SUMIF('7. INVEST'!$B$17:$B$49,$C3018,'7. INVEST'!AD$17:AD$49)</f>
        <v>0</v>
      </c>
      <c r="K3023" s="119">
        <f>SUMIF('7. INVEST'!$B$17:$B$49,$C3018,'7. INVEST'!AE$17:AE$49)</f>
        <v>0</v>
      </c>
      <c r="L3023" s="119">
        <f>SUMIF('7. INVEST'!$B$17:$B$49,$C3018,'7. INVEST'!AF$17:AF$49)</f>
        <v>0</v>
      </c>
      <c r="M3023" s="120">
        <f t="shared" si="721"/>
        <v>0</v>
      </c>
    </row>
    <row r="3024" spans="2:15" s="3" customFormat="1" ht="13.2" x14ac:dyDescent="0.25">
      <c r="B3024" s="121" t="str">
        <f>IF('1. INTRO'!I$2="English",(IF('2. START'!C$11="NO","Facility accepted as direct cost by funding body","Facility")),IF('2. START'!C$11="NO","Lokal accepterad som direkt kostnad av finansiär","Lokal"))</f>
        <v>Facility</v>
      </c>
      <c r="C3024" s="116">
        <f>IF('2. START'!$C$11="NO",SUMIF('8. FACILIT'!$B$18:$B$50,$C3018,'8. FACILIT'!T$18:T$50),SUMIF('5. PERSON'!$B$17:$B$192,$C3018,'5. PERSON'!CP$17:CP$192)+SUMIF('6. OPERATION'!$B$17:$B$149,$C3018,'6. OPERATION'!BS$17:BS$149)+SUMIF('8. FACILIT'!$B$18:$B$50,$C3018,'8. FACILIT'!T$18:T$50))</f>
        <v>0</v>
      </c>
      <c r="D3024" s="116">
        <f>IF('2. START'!$C$11="NO",SUMIF('8. FACILIT'!$B$18:$B$50,$C3018,'8. FACILIT'!U$18:U$50),SUMIF('5. PERSON'!$B$17:$B$192,$C3018,'5. PERSON'!CQ$17:CQ$192)+SUMIF('6. OPERATION'!$B$17:$B$149,$C3018,'6. OPERATION'!BT$17:BT$149)+SUMIF('8. FACILIT'!$B$18:$B$50,$C3018,'8. FACILIT'!U$18:U$50))</f>
        <v>0</v>
      </c>
      <c r="E3024" s="116">
        <f>IF('2. START'!$C$11="NO",SUMIF('8. FACILIT'!$B$18:$B$50,$C3018,'8. FACILIT'!V$18:V$50),SUMIF('5. PERSON'!$B$17:$B$192,$C3018,'5. PERSON'!CR$17:CR$192)+SUMIF('6. OPERATION'!$B$17:$B$149,$C3018,'6. OPERATION'!BU$17:BU$149)+SUMIF('8. FACILIT'!$B$18:$B$50,$C3018,'8. FACILIT'!V$18:V$50))</f>
        <v>0</v>
      </c>
      <c r="F3024" s="116">
        <f>IF('2. START'!$C$11="NO",SUMIF('8. FACILIT'!$B$18:$B$50,$C3018,'8. FACILIT'!W$18:W$50),SUMIF('5. PERSON'!$B$17:$B$192,$C3018,'5. PERSON'!CS$17:CS$192)+SUMIF('6. OPERATION'!$B$17:$B$149,$C3018,'6. OPERATION'!BV$17:BV$149)+SUMIF('8. FACILIT'!$B$18:$B$50,$C3018,'8. FACILIT'!W$18:W$50))</f>
        <v>0</v>
      </c>
      <c r="G3024" s="116">
        <f>IF('2. START'!$C$11="NO",SUMIF('8. FACILIT'!$B$18:$B$50,$C3018,'8. FACILIT'!X$18:X$50),SUMIF('5. PERSON'!$B$17:$B$192,$C3018,'5. PERSON'!CT$17:CT$192)+SUMIF('6. OPERATION'!$B$17:$B$149,$C3018,'6. OPERATION'!BW$17:BW$149)+SUMIF('8. FACILIT'!$B$18:$B$50,$C3018,'8. FACILIT'!X$18:X$50))</f>
        <v>0</v>
      </c>
      <c r="H3024" s="116">
        <f>IF('2. START'!$C$11="NO",SUMIF('8. FACILIT'!$B$18:$B$50,$C3018,'8. FACILIT'!Y$18:Y$50),SUMIF('5. PERSON'!$B$17:$B$192,$C3018,'5. PERSON'!CU$17:CU$192)+SUMIF('6. OPERATION'!$B$17:$B$149,$C3018,'6. OPERATION'!BX$17:BX$149)+SUMIF('8. FACILIT'!$B$18:$B$50,$C3018,'8. FACILIT'!Y$18:Y$50))</f>
        <v>0</v>
      </c>
      <c r="I3024" s="116">
        <f>IF('2. START'!$C$11="NO",SUMIF('8. FACILIT'!$B$18:$B$50,$C3018,'8. FACILIT'!Z$18:Z$50),SUMIF('5. PERSON'!$B$17:$B$192,$C3018,'5. PERSON'!CV$17:CV$192)+SUMIF('6. OPERATION'!$B$17:$B$149,$C3018,'6. OPERATION'!BY$17:BY$149)+SUMIF('8. FACILIT'!$B$18:$B$50,$C3018,'8. FACILIT'!Z$18:Z$50))</f>
        <v>0</v>
      </c>
      <c r="J3024" s="116">
        <f>IF('2. START'!$C$11="NO",SUMIF('8. FACILIT'!$B$18:$B$50,$C3018,'8. FACILIT'!AA$18:AA$50),SUMIF('5. PERSON'!$B$17:$B$192,$C3018,'5. PERSON'!CW$17:CW$192)+SUMIF('6. OPERATION'!$B$17:$B$149,$C3018,'6. OPERATION'!BZ$17:BZ$149)+SUMIF('8. FACILIT'!$B$18:$B$50,$C3018,'8. FACILIT'!AA$18:AA$50))</f>
        <v>0</v>
      </c>
      <c r="K3024" s="116">
        <f>IF('2. START'!$C$11="NO",SUMIF('8. FACILIT'!$B$18:$B$50,$C3018,'8. FACILIT'!AB$18:AB$50),SUMIF('5. PERSON'!$B$17:$B$192,$C3018,'5. PERSON'!CX$17:CX$192)+SUMIF('6. OPERATION'!$B$17:$B$149,$C3018,'6. OPERATION'!CA$17:CA$149)+SUMIF('8. FACILIT'!$B$18:$B$50,$C3018,'8. FACILIT'!AB$18:AB$50))</f>
        <v>0</v>
      </c>
      <c r="L3024" s="116">
        <f>IF('2. START'!$C$11="NO",SUMIF('8. FACILIT'!$B$18:$B$50,$C3018,'8. FACILIT'!AC$18:AC$50),SUMIF('5. PERSON'!$B$17:$B$192,$C3018,'5. PERSON'!CY$17:CY$192)+SUMIF('6. OPERATION'!$B$17:$B$149,$C3018,'6. OPERATION'!CB$17:CB$149)+SUMIF('8. FACILIT'!$B$18:$B$50,$C3018,'8. FACILIT'!AC$18:AC$50))</f>
        <v>0</v>
      </c>
      <c r="M3024" s="117">
        <f t="shared" si="721"/>
        <v>0</v>
      </c>
    </row>
    <row r="3025" spans="2:15" s="3" customFormat="1" ht="13.2" x14ac:dyDescent="0.25">
      <c r="B3025" s="122" t="str">
        <f>IF('1. INTRO'!I$2="English",(IF('2. START'!C$11="NO","Indirect and facility charge accepted as OH by funding body","Indirect")),IF('2. START'!C$11="NO","Indirekt och lokalpåslag accepterade som OH av finansiär","Indirekt"))</f>
        <v>Indirect</v>
      </c>
      <c r="C3025" s="107">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107">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107">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107">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107">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107">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107">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107">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107">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107">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120">
        <f t="shared" si="721"/>
        <v>0</v>
      </c>
    </row>
    <row r="3026" spans="2:15" s="3" customFormat="1" ht="13.2" x14ac:dyDescent="0.25">
      <c r="B3026" s="124" t="s">
        <v>113</v>
      </c>
      <c r="C3026" s="102">
        <f>SUM(C3021:C3025)</f>
        <v>0</v>
      </c>
      <c r="D3026" s="102">
        <f t="shared" ref="D3026:L3026" si="722">SUM(D3021:D3025)</f>
        <v>0</v>
      </c>
      <c r="E3026" s="102">
        <f t="shared" si="722"/>
        <v>0</v>
      </c>
      <c r="F3026" s="102">
        <f t="shared" si="722"/>
        <v>0</v>
      </c>
      <c r="G3026" s="102">
        <f t="shared" si="722"/>
        <v>0</v>
      </c>
      <c r="H3026" s="102">
        <f t="shared" si="722"/>
        <v>0</v>
      </c>
      <c r="I3026" s="102">
        <f t="shared" si="722"/>
        <v>0</v>
      </c>
      <c r="J3026" s="102">
        <f t="shared" si="722"/>
        <v>0</v>
      </c>
      <c r="K3026" s="102">
        <f t="shared" si="722"/>
        <v>0</v>
      </c>
      <c r="L3026" s="102">
        <f t="shared" si="722"/>
        <v>0</v>
      </c>
      <c r="M3026" s="125">
        <f t="shared" si="721"/>
        <v>0</v>
      </c>
    </row>
    <row r="3027" spans="2:15" s="3" customFormat="1" ht="6" customHeight="1" x14ac:dyDescent="0.25">
      <c r="B3027" s="126"/>
      <c r="C3027" s="127"/>
      <c r="D3027" s="127"/>
      <c r="E3027" s="127"/>
      <c r="F3027" s="127"/>
      <c r="G3027" s="127"/>
      <c r="H3027" s="127"/>
      <c r="I3027" s="127"/>
      <c r="J3027" s="127"/>
      <c r="K3027" s="127"/>
      <c r="L3027" s="127"/>
      <c r="M3027" s="128"/>
    </row>
    <row r="3028" spans="2:15" s="3" customFormat="1" ht="13.2" x14ac:dyDescent="0.25">
      <c r="B3028" s="129" t="str">
        <f>IF('1. INTRO'!I$2="English","Costs to be co-funded","Kostnader att medfinansiera")</f>
        <v>Costs to be co-funded</v>
      </c>
      <c r="C3028" s="86"/>
      <c r="D3028" s="86"/>
      <c r="E3028" s="86"/>
      <c r="F3028" s="86"/>
      <c r="G3028" s="86"/>
      <c r="H3028" s="86"/>
      <c r="I3028" s="86"/>
      <c r="J3028" s="86"/>
      <c r="K3028" s="86"/>
      <c r="L3028" s="86"/>
      <c r="M3028" s="130"/>
    </row>
    <row r="3029" spans="2:15" s="3" customFormat="1" ht="13.2" x14ac:dyDescent="0.25">
      <c r="B3029" s="159" t="str">
        <f>IF('1. INTRO'!I$2="English",(IF('2. START'!C$11="NO","Indirect and facility charge not accepted as OH by funding body","")),IF('2. START'!C$11="NO","Indirekt och lokalpåslag inte accepterade som OH av finansiär",""))</f>
        <v/>
      </c>
      <c r="C3029" s="131">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31">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31">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31">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31">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31">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31">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31">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31">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31">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115">
        <f t="shared" ref="M3029:M3035" si="723">SUM(C3029:L3029)</f>
        <v>0</v>
      </c>
    </row>
    <row r="3030" spans="2:15" s="3" customFormat="1" ht="12.75" customHeight="1" x14ac:dyDescent="0.25">
      <c r="B3030" s="132" t="str">
        <f>IF('1. INTRO'!I$2="English",(IF('2. START'!C$14&gt;0,"Social costs (LKP) not accepted by funding body","")),IF('2. START'!C$14&gt;0,"LKP som inte accepteras av finansiär",""))</f>
        <v/>
      </c>
      <c r="C3030" s="133">
        <f>IF('2. START'!$C$14&gt;0,SUMIF('5. PERSON'!$B$17:$B$192,$C3018,'5. PERSON'!AT$17:AT$192)-SUMIF('5. PERSON'!$B$17:$B$192,$C3018,'5. PERSON'!DN$17:DN$192),0)</f>
        <v>0</v>
      </c>
      <c r="D3030" s="133">
        <f>IF('2. START'!$C$14&gt;0,SUMIF('5. PERSON'!$B$17:$B$192,$C3018,'5. PERSON'!AU$17:AU$192)-SUMIF('5. PERSON'!$B$17:$B$192,$C3018,'5. PERSON'!DO$17:DO$192),0)</f>
        <v>0</v>
      </c>
      <c r="E3030" s="133">
        <f>IF('2. START'!$C$14&gt;0,SUMIF('5. PERSON'!$B$17:$B$192,$C3018,'5. PERSON'!AV$17:AV$192)-SUMIF('5. PERSON'!$B$17:$B$192,$C3018,'5. PERSON'!DP$17:DP$192),0)</f>
        <v>0</v>
      </c>
      <c r="F3030" s="133">
        <f>IF('2. START'!$C$14&gt;0,SUMIF('5. PERSON'!$B$17:$B$192,$C3018,'5. PERSON'!AW$17:AW$192)-SUMIF('5. PERSON'!$B$17:$B$192,$C3018,'5. PERSON'!DQ$17:DQ$192),0)</f>
        <v>0</v>
      </c>
      <c r="G3030" s="133">
        <f>IF('2. START'!$C$14&gt;0,SUMIF('5. PERSON'!$B$17:$B$192,$C3018,'5. PERSON'!AX$17:AX$192)-SUMIF('5. PERSON'!$B$17:$B$192,$C3018,'5. PERSON'!DR$17:DR$192),0)</f>
        <v>0</v>
      </c>
      <c r="H3030" s="133">
        <f>IF('2. START'!$C$14&gt;0,SUMIF('5. PERSON'!$B$17:$B$192,$C3018,'5. PERSON'!AY$17:AY$192)-SUMIF('5. PERSON'!$B$17:$B$192,$C3018,'5. PERSON'!DS$17:DS$192),0)</f>
        <v>0</v>
      </c>
      <c r="I3030" s="133">
        <f>IF('2. START'!$C$14&gt;0,SUMIF('5. PERSON'!$B$17:$B$192,$C3018,'5. PERSON'!AZ$17:AZ$192)-SUMIF('5. PERSON'!$B$17:$B$192,$C3018,'5. PERSON'!DT$17:DT$192),0)</f>
        <v>0</v>
      </c>
      <c r="J3030" s="133">
        <f>IF('2. START'!$C$14&gt;0,SUMIF('5. PERSON'!$B$17:$B$192,$C3018,'5. PERSON'!BA$17:BA$192)-SUMIF('5. PERSON'!$B$17:$B$192,$C3018,'5. PERSON'!DU$17:DU$192),0)</f>
        <v>0</v>
      </c>
      <c r="K3030" s="133">
        <f>IF('2. START'!$C$14&gt;0,SUMIF('5. PERSON'!$B$17:$B$192,$C3018,'5. PERSON'!BB$17:BB$192)-SUMIF('5. PERSON'!$B$17:$B$192,$C3018,'5. PERSON'!DV$17:DV$192),0)</f>
        <v>0</v>
      </c>
      <c r="L3030" s="133">
        <f>IF('2. START'!$C$14&gt;0,SUMIF('5. PERSON'!$B$17:$B$192,$C3018,'5. PERSON'!BC$17:BC$192)-SUMIF('5. PERSON'!$B$17:$B$192,$C3018,'5. PERSON'!DW$17:DW$192),0)</f>
        <v>0</v>
      </c>
      <c r="M3030" s="117">
        <f t="shared" si="723"/>
        <v>0</v>
      </c>
    </row>
    <row r="3031" spans="2:15" s="3" customFormat="1" ht="12.75" customHeight="1" x14ac:dyDescent="0.25">
      <c r="B3031" s="118" t="str">
        <f>IF('1. INTRO'!I$2="English",(IF('5. PERSON'!BP$193&gt;0,"Salary including social costs (LKP)","")),IF('5. PERSON'!BP$193&gt;0,"Lön inklusive LKP",""))</f>
        <v/>
      </c>
      <c r="C3031" s="134">
        <f>SUMIF('5. PERSON'!$B$17:$B$192,$C3018,'5. PERSON'!BF$17:BF$192)</f>
        <v>0</v>
      </c>
      <c r="D3031" s="134">
        <f>SUMIF('5. PERSON'!$B$17:$B$192,$C3018,'5. PERSON'!BG$17:BG$192)</f>
        <v>0</v>
      </c>
      <c r="E3031" s="134">
        <f>SUMIF('5. PERSON'!$B$17:$B$192,$C3018,'5. PERSON'!BH$17:BH$192)</f>
        <v>0</v>
      </c>
      <c r="F3031" s="134">
        <f>SUMIF('5. PERSON'!$B$17:$B$192,$C3018,'5. PERSON'!BI$17:BI$192)</f>
        <v>0</v>
      </c>
      <c r="G3031" s="134">
        <f>SUMIF('5. PERSON'!$B$17:$B$192,$C3018,'5. PERSON'!BJ$17:BJ$192)</f>
        <v>0</v>
      </c>
      <c r="H3031" s="134">
        <f>SUMIF('5. PERSON'!$B$17:$B$192,$C3018,'5. PERSON'!BK$17:BK$192)</f>
        <v>0</v>
      </c>
      <c r="I3031" s="134">
        <f>SUMIF('5. PERSON'!$B$17:$B$192,$C3018,'5. PERSON'!BL$17:BL$192)</f>
        <v>0</v>
      </c>
      <c r="J3031" s="134">
        <f>SUMIF('5. PERSON'!$B$17:$B$192,$C3018,'5. PERSON'!BM$17:BM$192)</f>
        <v>0</v>
      </c>
      <c r="K3031" s="134">
        <f>SUMIF('5. PERSON'!$B$17:$B$192,$C3018,'5. PERSON'!BN$17:BN$192)</f>
        <v>0</v>
      </c>
      <c r="L3031" s="134">
        <f>SUMIF('5. PERSON'!$B$17:$B$192,$C3018,'5. PERSON'!BO$17:BO$192)</f>
        <v>0</v>
      </c>
      <c r="M3031" s="120">
        <f t="shared" si="723"/>
        <v>0</v>
      </c>
    </row>
    <row r="3032" spans="2:15" s="3" customFormat="1" ht="13.2" x14ac:dyDescent="0.25">
      <c r="B3032" s="80" t="str">
        <f>IF('1. INTRO'!I$2="English",(IF('6. OPERATION'!AS$150&gt;0,"Operating","")),IF('6. OPERATION'!AS$150&gt;0,"Drift",""))</f>
        <v/>
      </c>
      <c r="C3032" s="135">
        <f>SUMIF('6. OPERATION'!$B$17:$B$149,$C3018,'6. OPERATION'!AI$17:AI$149)</f>
        <v>0</v>
      </c>
      <c r="D3032" s="135">
        <f>SUMIF('6. OPERATION'!$B$17:$B$149,$C3018,'6. OPERATION'!AJ$17:AJ$149)</f>
        <v>0</v>
      </c>
      <c r="E3032" s="135">
        <f>SUMIF('6. OPERATION'!$B$17:$B$149,$C3018,'6. OPERATION'!AK$17:AK$149)</f>
        <v>0</v>
      </c>
      <c r="F3032" s="135">
        <f>SUMIF('6. OPERATION'!$B$17:$B$149,$C3018,'6. OPERATION'!AL$17:AL$149)</f>
        <v>0</v>
      </c>
      <c r="G3032" s="135">
        <f>SUMIF('6. OPERATION'!$B$17:$B$149,$C3018,'6. OPERATION'!AM$17:AM$149)</f>
        <v>0</v>
      </c>
      <c r="H3032" s="135">
        <f>SUMIF('6. OPERATION'!$B$17:$B$149,$C3018,'6. OPERATION'!AN$17:AN$149)</f>
        <v>0</v>
      </c>
      <c r="I3032" s="135">
        <f>SUMIF('6. OPERATION'!$B$17:$B$149,$C3018,'6. OPERATION'!AO$17:AO$149)</f>
        <v>0</v>
      </c>
      <c r="J3032" s="135">
        <f>SUMIF('6. OPERATION'!$B$17:$B$149,$C3018,'6. OPERATION'!AP$17:AP$149)</f>
        <v>0</v>
      </c>
      <c r="K3032" s="135">
        <f>SUMIF('6. OPERATION'!$B$17:$B$149,$C3018,'6. OPERATION'!AQ$17:AQ$149)</f>
        <v>0</v>
      </c>
      <c r="L3032" s="135">
        <f>SUMIF('6. OPERATION'!$B$17:$B$149,$C3018,'6. OPERATION'!AR$17:AR$149)</f>
        <v>0</v>
      </c>
      <c r="M3032" s="117">
        <f t="shared" si="723"/>
        <v>0</v>
      </c>
    </row>
    <row r="3033" spans="2:15" s="3" customFormat="1" ht="13.2" x14ac:dyDescent="0.25">
      <c r="B3033" s="118" t="str">
        <f>IF('1. INTRO'!I$2="English",(IF('7. INVEST'!AS$50&gt;0,"Equipment","")),IF('7. INVEST'!AS$50&gt;0,"Utrustning",""))</f>
        <v/>
      </c>
      <c r="C3033" s="134">
        <f>SUMIF('7. INVEST'!$B$17:$B$49,$C3018,'7. INVEST'!AI$17:AI$49)</f>
        <v>0</v>
      </c>
      <c r="D3033" s="134">
        <f>SUMIF('7. INVEST'!$B$17:$B$49,$C3018,'7. INVEST'!AJ$17:AJ$49)</f>
        <v>0</v>
      </c>
      <c r="E3033" s="134">
        <f>SUMIF('7. INVEST'!$B$17:$B$49,$C3018,'7. INVEST'!AK$17:AK$49)</f>
        <v>0</v>
      </c>
      <c r="F3033" s="134">
        <f>SUMIF('7. INVEST'!$B$17:$B$49,$C3018,'7. INVEST'!AL$17:AL$49)</f>
        <v>0</v>
      </c>
      <c r="G3033" s="134">
        <f>SUMIF('7. INVEST'!$B$17:$B$49,$C3018,'7. INVEST'!AM$17:AM$49)</f>
        <v>0</v>
      </c>
      <c r="H3033" s="134">
        <f>SUMIF('7. INVEST'!$B$17:$B$49,$C3018,'7. INVEST'!AN$17:AN$49)</f>
        <v>0</v>
      </c>
      <c r="I3033" s="134">
        <f>SUMIF('7. INVEST'!$B$17:$B$49,$C3018,'7. INVEST'!AO$17:AO$49)</f>
        <v>0</v>
      </c>
      <c r="J3033" s="134">
        <f>SUMIF('7. INVEST'!$B$17:$B$49,$C3018,'7. INVEST'!AP$17:AP$49)</f>
        <v>0</v>
      </c>
      <c r="K3033" s="134">
        <f>SUMIF('7. INVEST'!$B$17:$B$49,$C3018,'7. INVEST'!AQ$17:AQ$49)</f>
        <v>0</v>
      </c>
      <c r="L3033" s="134">
        <f>SUMIF('7. INVEST'!$B$17:$B$49,$C3018,'7. INVEST'!AR$17:AR$49)</f>
        <v>0</v>
      </c>
      <c r="M3033" s="120">
        <f t="shared" si="723"/>
        <v>0</v>
      </c>
    </row>
    <row r="3034" spans="2:15" s="3" customFormat="1" ht="13.2" x14ac:dyDescent="0.25">
      <c r="B3034" s="121" t="str">
        <f>IF('1. INTRO'!I$2="English",(IF('8. FACILIT'!AP$51&gt;0,"Facility","")),IF('8. FACILIT'!AP$51&gt;0,"Lokal",""))</f>
        <v/>
      </c>
      <c r="C3034" s="135">
        <f>SUMIF('5. PERSON'!$B$17:$B$192,$C3018,'5. PERSON'!DB$17:DB$192)+SUMIF('6. OPERATION'!$B$17:$B$149,$C3018,'6. OPERATION'!CE$17:CE$149)+SUMIF('8. FACILIT'!$B$18:$B$50,$C3018,'8. FACILIT'!AF$18:AF$50)</f>
        <v>0</v>
      </c>
      <c r="D3034" s="135">
        <f>SUMIF('5. PERSON'!$B$17:$B$192,$C3018,'5. PERSON'!DC$17:DC$192)+SUMIF('6. OPERATION'!$B$17:$B$149,$C3018,'6. OPERATION'!CF$17:CF$149)+SUMIF('8. FACILIT'!$B$18:$B$50,$C3018,'8. FACILIT'!AG$18:AG$50)</f>
        <v>0</v>
      </c>
      <c r="E3034" s="135">
        <f>SUMIF('5. PERSON'!$B$17:$B$192,$C3018,'5. PERSON'!DD$17:DD$192)+SUMIF('6. OPERATION'!$B$17:$B$149,$C3018,'6. OPERATION'!CG$17:CG$149)+SUMIF('8. FACILIT'!$B$18:$B$50,$C3018,'8. FACILIT'!AH$18:AH$50)</f>
        <v>0</v>
      </c>
      <c r="F3034" s="135">
        <f>SUMIF('5. PERSON'!$B$17:$B$192,$C3018,'5. PERSON'!DE$17:DE$192)+SUMIF('6. OPERATION'!$B$17:$B$149,$C3018,'6. OPERATION'!CH$17:CH$149)+SUMIF('8. FACILIT'!$B$18:$B$50,$C3018,'8. FACILIT'!AI$18:AI$50)</f>
        <v>0</v>
      </c>
      <c r="G3034" s="135">
        <f>SUMIF('5. PERSON'!$B$17:$B$192,$C3018,'5. PERSON'!DF$17:DF$192)+SUMIF('6. OPERATION'!$B$17:$B$149,$C3018,'6. OPERATION'!CI$17:CI$149)+SUMIF('8. FACILIT'!$B$18:$B$50,$C3018,'8. FACILIT'!AJ$18:AJ$50)</f>
        <v>0</v>
      </c>
      <c r="H3034" s="135">
        <f>SUMIF('5. PERSON'!$B$17:$B$192,$C3018,'5. PERSON'!DG$17:DG$192)+SUMIF('6. OPERATION'!$B$17:$B$149,$C3018,'6. OPERATION'!CJ$17:CJ$149)+SUMIF('8. FACILIT'!$B$18:$B$50,$C3018,'8. FACILIT'!AK$18:AK$50)</f>
        <v>0</v>
      </c>
      <c r="I3034" s="135">
        <f>SUMIF('5. PERSON'!$B$17:$B$192,$C3018,'5. PERSON'!DH$17:DH$192)+SUMIF('6. OPERATION'!$B$17:$B$149,$C3018,'6. OPERATION'!CK$17:CK$149)+SUMIF('8. FACILIT'!$B$18:$B$50,$C3018,'8. FACILIT'!AL$18:AL$50)</f>
        <v>0</v>
      </c>
      <c r="J3034" s="135">
        <f>SUMIF('5. PERSON'!$B$17:$B$192,$C3018,'5. PERSON'!DI$17:DI$192)+SUMIF('6. OPERATION'!$B$17:$B$149,$C3018,'6. OPERATION'!CL$17:CL$149)+SUMIF('8. FACILIT'!$B$18:$B$50,$C3018,'8. FACILIT'!AM$18:AM$50)</f>
        <v>0</v>
      </c>
      <c r="K3034" s="135">
        <f>SUMIF('5. PERSON'!$B$17:$B$192,$C3018,'5. PERSON'!DJ$17:DJ$192)+SUMIF('6. OPERATION'!$B$17:$B$149,$C3018,'6. OPERATION'!CM$17:CM$149)+SUMIF('8. FACILIT'!$B$18:$B$50,$C3018,'8. FACILIT'!AN$18:AN$50)</f>
        <v>0</v>
      </c>
      <c r="L3034" s="135">
        <f>SUMIF('5. PERSON'!$B$17:$B$192,$C3018,'5. PERSON'!DK$17:DK$192)+SUMIF('6. OPERATION'!$B$17:$B$149,$C3018,'6. OPERATION'!CN$17:CN$149)+SUMIF('8. FACILIT'!$B$18:$B$50,$C3018,'8. FACILIT'!AO$18:AO$50)</f>
        <v>0</v>
      </c>
      <c r="M3034" s="117">
        <f t="shared" si="723"/>
        <v>0</v>
      </c>
    </row>
    <row r="3035" spans="2:15" s="1" customFormat="1" ht="13.2" x14ac:dyDescent="0.25">
      <c r="B3035" s="122" t="str">
        <f>IF('1. INTRO'!I$2="English",(IF(('5. PERSON'!CN$193+'6. OPERATION'!BQ$150)&gt;0,"Indirect","")),IF(('5. PERSON'!CN$193+'6. OPERATION'!BQ$150)&gt;0,"Indirekt",""))</f>
        <v/>
      </c>
      <c r="C3035" s="107">
        <f>SUMIF('5. PERSON'!$B$17:$B$192,$C3018,'5. PERSON'!CD$17:CD$192)+SUMIF('6. OPERATION'!$B$17:$B$149,$C3018,'6. OPERATION'!BG$17:BG$149)</f>
        <v>0</v>
      </c>
      <c r="D3035" s="107">
        <f>SUMIF('5. PERSON'!$B$17:$B$192,$C3018,'5. PERSON'!CE$17:CE$192)+SUMIF('6. OPERATION'!$B$17:$B$149,$C3018,'6. OPERATION'!BH$17:BH$149)</f>
        <v>0</v>
      </c>
      <c r="E3035" s="107">
        <f>SUMIF('5. PERSON'!$B$17:$B$192,$C3018,'5. PERSON'!CF$17:CF$192)+SUMIF('6. OPERATION'!$B$17:$B$149,$C3018,'6. OPERATION'!BI$17:BI$149)</f>
        <v>0</v>
      </c>
      <c r="F3035" s="107">
        <f>SUMIF('5. PERSON'!$B$17:$B$192,$C3018,'5. PERSON'!CG$17:CG$192)+SUMIF('6. OPERATION'!$B$17:$B$149,$C3018,'6. OPERATION'!BJ$17:BJ$149)</f>
        <v>0</v>
      </c>
      <c r="G3035" s="107">
        <f>SUMIF('5. PERSON'!$B$17:$B$192,$C3018,'5. PERSON'!CH$17:CH$192)+SUMIF('6. OPERATION'!$B$17:$B$149,$C3018,'6. OPERATION'!BK$17:BK$149)</f>
        <v>0</v>
      </c>
      <c r="H3035" s="107">
        <f>SUMIF('5. PERSON'!$B$17:$B$192,$C3018,'5. PERSON'!CI$17:CI$192)+SUMIF('6. OPERATION'!$B$17:$B$149,$C3018,'6. OPERATION'!BL$17:BL$149)</f>
        <v>0</v>
      </c>
      <c r="I3035" s="107">
        <f>SUMIF('5. PERSON'!$B$17:$B$192,$C3018,'5. PERSON'!CJ$17:CJ$192)+SUMIF('6. OPERATION'!$B$17:$B$149,$C3018,'6. OPERATION'!BM$17:BM$149)</f>
        <v>0</v>
      </c>
      <c r="J3035" s="107">
        <f>SUMIF('5. PERSON'!$B$17:$B$192,$C3018,'5. PERSON'!CK$17:CK$192)+SUMIF('6. OPERATION'!$B$17:$B$149,$C3018,'6. OPERATION'!BN$17:BN$149)</f>
        <v>0</v>
      </c>
      <c r="K3035" s="107">
        <f>SUMIF('5. PERSON'!$B$17:$B$192,$C3018,'5. PERSON'!CL$17:CL$192)+SUMIF('6. OPERATION'!$B$17:$B$149,$C3018,'6. OPERATION'!BO$17:BO$149)</f>
        <v>0</v>
      </c>
      <c r="L3035" s="107">
        <f>SUMIF('5. PERSON'!$B$17:$B$192,$C3018,'5. PERSON'!CM$17:CM$192)+SUMIF('6. OPERATION'!$B$17:$B$149,$C3018,'6. OPERATION'!BP$17:BP$149)</f>
        <v>0</v>
      </c>
      <c r="M3035" s="123">
        <f t="shared" si="723"/>
        <v>0</v>
      </c>
    </row>
    <row r="3036" spans="2:15" s="3" customFormat="1" ht="13.2" x14ac:dyDescent="0.25">
      <c r="B3036" s="124" t="s">
        <v>113</v>
      </c>
      <c r="C3036" s="102">
        <f>SUM(C3029:C3035)</f>
        <v>0</v>
      </c>
      <c r="D3036" s="102">
        <f t="shared" ref="D3036:L3036" si="724">SUM(D3029:D3035)</f>
        <v>0</v>
      </c>
      <c r="E3036" s="102">
        <f t="shared" si="724"/>
        <v>0</v>
      </c>
      <c r="F3036" s="102">
        <f t="shared" si="724"/>
        <v>0</v>
      </c>
      <c r="G3036" s="102">
        <f t="shared" si="724"/>
        <v>0</v>
      </c>
      <c r="H3036" s="102">
        <f t="shared" si="724"/>
        <v>0</v>
      </c>
      <c r="I3036" s="102">
        <f t="shared" si="724"/>
        <v>0</v>
      </c>
      <c r="J3036" s="102">
        <f t="shared" si="724"/>
        <v>0</v>
      </c>
      <c r="K3036" s="102">
        <f t="shared" si="724"/>
        <v>0</v>
      </c>
      <c r="L3036" s="102">
        <f t="shared" si="724"/>
        <v>0</v>
      </c>
      <c r="M3036" s="125">
        <f t="shared" ref="M3036" si="725">SUM(M3029:M3035)</f>
        <v>0</v>
      </c>
      <c r="N3036" s="23"/>
      <c r="O3036" s="23"/>
    </row>
    <row r="3037" spans="2:15" s="3" customFormat="1" ht="6" customHeight="1" x14ac:dyDescent="0.25">
      <c r="B3037" s="136"/>
      <c r="C3037" s="127"/>
      <c r="D3037" s="127"/>
      <c r="E3037" s="127"/>
      <c r="F3037" s="127"/>
      <c r="G3037" s="127"/>
      <c r="H3037" s="127"/>
      <c r="I3037" s="127"/>
      <c r="J3037" s="127"/>
      <c r="K3037" s="127"/>
      <c r="L3037" s="127"/>
      <c r="M3037" s="137"/>
    </row>
    <row r="3038" spans="2:15" s="3" customFormat="1" ht="13.2" x14ac:dyDescent="0.25">
      <c r="B3038" s="129" t="str">
        <f>IF('1. INTRO'!I$2="English","Full cost","Full kostnad")</f>
        <v>Full cost</v>
      </c>
      <c r="C3038" s="127"/>
      <c r="D3038" s="127"/>
      <c r="E3038" s="127"/>
      <c r="F3038" s="127"/>
      <c r="G3038" s="127"/>
      <c r="H3038" s="127"/>
      <c r="I3038" s="127"/>
      <c r="J3038" s="127"/>
      <c r="K3038" s="127"/>
      <c r="L3038" s="127"/>
      <c r="M3038" s="137"/>
    </row>
    <row r="3039" spans="2:15" s="3" customFormat="1" ht="13.2" x14ac:dyDescent="0.25">
      <c r="B3039" s="113" t="str">
        <f>IF('1. INTRO'!I$2="English","Salary including social costs (LKP)","Lön inklusive LKP")</f>
        <v>Salary including social costs (LKP)</v>
      </c>
      <c r="C3039" s="138">
        <f>C3021+C3030+C3031</f>
        <v>0</v>
      </c>
      <c r="D3039" s="138">
        <f t="shared" ref="D3039:L3039" si="726">D3021+D3030+D3031</f>
        <v>0</v>
      </c>
      <c r="E3039" s="138">
        <f t="shared" si="726"/>
        <v>0</v>
      </c>
      <c r="F3039" s="138">
        <f t="shared" si="726"/>
        <v>0</v>
      </c>
      <c r="G3039" s="138">
        <f t="shared" si="726"/>
        <v>0</v>
      </c>
      <c r="H3039" s="138">
        <f t="shared" si="726"/>
        <v>0</v>
      </c>
      <c r="I3039" s="138">
        <f t="shared" si="726"/>
        <v>0</v>
      </c>
      <c r="J3039" s="138">
        <f t="shared" si="726"/>
        <v>0</v>
      </c>
      <c r="K3039" s="138">
        <f t="shared" si="726"/>
        <v>0</v>
      </c>
      <c r="L3039" s="138">
        <f t="shared" si="726"/>
        <v>0</v>
      </c>
      <c r="M3039" s="115">
        <f>SUM(C3039:L3039)</f>
        <v>0</v>
      </c>
    </row>
    <row r="3040" spans="2:15" s="3" customFormat="1" ht="13.2" x14ac:dyDescent="0.25">
      <c r="B3040" s="80" t="str">
        <f>IF('1. INTRO'!I$2="English","Operating","Drift")</f>
        <v>Operating</v>
      </c>
      <c r="C3040" s="139">
        <f>C3022+C3032</f>
        <v>0</v>
      </c>
      <c r="D3040" s="139">
        <f t="shared" ref="D3040:L3040" si="727">D3022+D3032</f>
        <v>0</v>
      </c>
      <c r="E3040" s="139">
        <f t="shared" si="727"/>
        <v>0</v>
      </c>
      <c r="F3040" s="139">
        <f t="shared" si="727"/>
        <v>0</v>
      </c>
      <c r="G3040" s="139">
        <f t="shared" si="727"/>
        <v>0</v>
      </c>
      <c r="H3040" s="139">
        <f t="shared" si="727"/>
        <v>0</v>
      </c>
      <c r="I3040" s="139">
        <f t="shared" si="727"/>
        <v>0</v>
      </c>
      <c r="J3040" s="139">
        <f t="shared" si="727"/>
        <v>0</v>
      </c>
      <c r="K3040" s="139">
        <f t="shared" si="727"/>
        <v>0</v>
      </c>
      <c r="L3040" s="139">
        <f t="shared" si="727"/>
        <v>0</v>
      </c>
      <c r="M3040" s="117">
        <f>SUM(C3040:L3040)</f>
        <v>0</v>
      </c>
    </row>
    <row r="3041" spans="2:13" s="3" customFormat="1" ht="13.2" x14ac:dyDescent="0.25">
      <c r="B3041" s="118" t="str">
        <f>IF('1. INTRO'!I$2="English","Equipment","Utrustning")</f>
        <v>Equipment</v>
      </c>
      <c r="C3041" s="140">
        <f>C3023+C3033</f>
        <v>0</v>
      </c>
      <c r="D3041" s="140">
        <f t="shared" ref="D3041:L3041" si="728">D3023+D3033</f>
        <v>0</v>
      </c>
      <c r="E3041" s="140">
        <f t="shared" si="728"/>
        <v>0</v>
      </c>
      <c r="F3041" s="140">
        <f t="shared" si="728"/>
        <v>0</v>
      </c>
      <c r="G3041" s="140">
        <f t="shared" si="728"/>
        <v>0</v>
      </c>
      <c r="H3041" s="140">
        <f t="shared" si="728"/>
        <v>0</v>
      </c>
      <c r="I3041" s="140">
        <f t="shared" si="728"/>
        <v>0</v>
      </c>
      <c r="J3041" s="140">
        <f t="shared" si="728"/>
        <v>0</v>
      </c>
      <c r="K3041" s="140">
        <f t="shared" si="728"/>
        <v>0</v>
      </c>
      <c r="L3041" s="140">
        <f t="shared" si="728"/>
        <v>0</v>
      </c>
      <c r="M3041" s="120">
        <f>SUM(C3041:L3041)</f>
        <v>0</v>
      </c>
    </row>
    <row r="3042" spans="2:13" s="3" customFormat="1" ht="13.2" x14ac:dyDescent="0.25">
      <c r="B3042" s="80" t="str">
        <f>IF('1. INTRO'!I$2="English","Facility","Lokal")</f>
        <v>Facility</v>
      </c>
      <c r="C3042" s="139">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39">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39">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39">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39">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39">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39">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39">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39">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39">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117">
        <f>SUM(C3042:L3042)</f>
        <v>0</v>
      </c>
    </row>
    <row r="3043" spans="2:13" s="3" customFormat="1" ht="13.2" x14ac:dyDescent="0.25">
      <c r="B3043" s="601" t="str">
        <f>IF('1. INTRO'!I$2="English","Indirect","Indirekt")</f>
        <v>Indirect</v>
      </c>
      <c r="C3043" s="141">
        <f>SUMIF('5. PERSON'!$B$17:$B$192,$C3018,'5. PERSON'!BR$17:BR$192)+SUMIF('5. PERSON'!$B$17:$B$192,$C3018,'5. PERSON'!CD$17:CD$192)+SUMIF('6. OPERATION'!$B$17:$B$149,$C3018,'6. OPERATION'!AU$17:AU$149)+SUMIF('6. OPERATION'!$B$17:$B$149,$C3018,'6. OPERATION'!BG$17:BG$149)</f>
        <v>0</v>
      </c>
      <c r="D3043" s="141">
        <f>SUMIF('5. PERSON'!$B$17:$B$192,$C3018,'5. PERSON'!BS$17:BS$192)+SUMIF('5. PERSON'!$B$17:$B$192,$C3018,'5. PERSON'!CE$17:CE$192)+SUMIF('6. OPERATION'!$B$17:$B$149,$C3018,'6. OPERATION'!AV$17:AV$149)+SUMIF('6. OPERATION'!$B$17:$B$149,$C3018,'6. OPERATION'!BH$17:BH$149)</f>
        <v>0</v>
      </c>
      <c r="E3043" s="141">
        <f>SUMIF('5. PERSON'!$B$17:$B$192,$C3018,'5. PERSON'!BT$17:BT$192)+SUMIF('5. PERSON'!$B$17:$B$192,$C3018,'5. PERSON'!CF$17:CF$192)+SUMIF('6. OPERATION'!$B$17:$B$149,$C3018,'6. OPERATION'!AW$17:AW$149)+SUMIF('6. OPERATION'!$B$17:$B$149,$C3018,'6. OPERATION'!BI$17:BI$149)</f>
        <v>0</v>
      </c>
      <c r="F3043" s="141">
        <f>SUMIF('5. PERSON'!$B$17:$B$192,$C3018,'5. PERSON'!BU$17:BU$192)+SUMIF('5. PERSON'!$B$17:$B$192,$C3018,'5. PERSON'!CG$17:CG$192)+SUMIF('6. OPERATION'!$B$17:$B$149,$C3018,'6. OPERATION'!AX$17:AX$149)+SUMIF('6. OPERATION'!$B$17:$B$149,$C3018,'6. OPERATION'!BJ$17:BJ$149)</f>
        <v>0</v>
      </c>
      <c r="G3043" s="141">
        <f>SUMIF('5. PERSON'!$B$17:$B$192,$C3018,'5. PERSON'!BV$17:BV$192)+SUMIF('5. PERSON'!$B$17:$B$192,$C3018,'5. PERSON'!CH$17:CH$192)+SUMIF('6. OPERATION'!$B$17:$B$149,$C3018,'6. OPERATION'!AY$17:AY$149)+SUMIF('6. OPERATION'!$B$17:$B$149,$C3018,'6. OPERATION'!BK$17:BK$149)</f>
        <v>0</v>
      </c>
      <c r="H3043" s="141">
        <f>SUMIF('5. PERSON'!$B$17:$B$192,$C3018,'5. PERSON'!BW$17:BW$192)+SUMIF('5. PERSON'!$B$17:$B$192,$C3018,'5. PERSON'!CI$17:CI$192)+SUMIF('6. OPERATION'!$B$17:$B$149,$C3018,'6. OPERATION'!AZ$17:AZ$149)+SUMIF('6. OPERATION'!$B$17:$B$149,$C3018,'6. OPERATION'!BL$17:BL$149)</f>
        <v>0</v>
      </c>
      <c r="I3043" s="141">
        <f>SUMIF('5. PERSON'!$B$17:$B$192,$C3018,'5. PERSON'!BX$17:BX$192)+SUMIF('5. PERSON'!$B$17:$B$192,$C3018,'5. PERSON'!CJ$17:CJ$192)+SUMIF('6. OPERATION'!$B$17:$B$149,$C3018,'6. OPERATION'!BA$17:BA$149)+SUMIF('6. OPERATION'!$B$17:$B$149,$C3018,'6. OPERATION'!BM$17:BM$149)</f>
        <v>0</v>
      </c>
      <c r="J3043" s="141">
        <f>SUMIF('5. PERSON'!$B$17:$B$192,$C3018,'5. PERSON'!BY$17:BY$192)+SUMIF('5. PERSON'!$B$17:$B$192,$C3018,'5. PERSON'!CK$17:CK$192)+SUMIF('6. OPERATION'!$B$17:$B$149,$C3018,'6. OPERATION'!BB$17:BB$149)+SUMIF('6. OPERATION'!$B$17:$B$149,$C3018,'6. OPERATION'!BN$17:BN$149)</f>
        <v>0</v>
      </c>
      <c r="K3043" s="141">
        <f>SUMIF('5. PERSON'!$B$17:$B$192,$C3018,'5. PERSON'!BZ$17:BZ$192)+SUMIF('5. PERSON'!$B$17:$B$192,$C3018,'5. PERSON'!CL$17:CL$192)+SUMIF('6. OPERATION'!$B$17:$B$149,$C3018,'6. OPERATION'!BC$17:BC$149)+SUMIF('6. OPERATION'!$B$17:$B$149,$C3018,'6. OPERATION'!BO$17:BO$149)</f>
        <v>0</v>
      </c>
      <c r="L3043" s="141">
        <f>SUMIF('5. PERSON'!$B$17:$B$192,$C3018,'5. PERSON'!CA$17:CA$192)+SUMIF('5. PERSON'!$B$17:$B$192,$C3018,'5. PERSON'!CM$17:CM$192)+SUMIF('6. OPERATION'!$B$17:$B$149,$C3018,'6. OPERATION'!BD$17:BD$149)+SUMIF('6. OPERATION'!$B$17:$B$149,$C3018,'6. OPERATION'!BP$17:BP$149)</f>
        <v>0</v>
      </c>
      <c r="M3043" s="123">
        <f>SUM(C3043:L3043)</f>
        <v>0</v>
      </c>
    </row>
    <row r="3044" spans="2:13" s="3" customFormat="1" ht="13.2" x14ac:dyDescent="0.25">
      <c r="B3044" s="124" t="s">
        <v>113</v>
      </c>
      <c r="C3044" s="88">
        <f>SUM(C3039:C3043)</f>
        <v>0</v>
      </c>
      <c r="D3044" s="88">
        <f t="shared" ref="D3044:M3044" si="729">SUM(D3039:D3043)</f>
        <v>0</v>
      </c>
      <c r="E3044" s="88">
        <f t="shared" si="729"/>
        <v>0</v>
      </c>
      <c r="F3044" s="88">
        <f t="shared" si="729"/>
        <v>0</v>
      </c>
      <c r="G3044" s="88">
        <f t="shared" si="729"/>
        <v>0</v>
      </c>
      <c r="H3044" s="88">
        <f t="shared" si="729"/>
        <v>0</v>
      </c>
      <c r="I3044" s="88">
        <f t="shared" si="729"/>
        <v>0</v>
      </c>
      <c r="J3044" s="88">
        <f t="shared" si="729"/>
        <v>0</v>
      </c>
      <c r="K3044" s="88">
        <f t="shared" si="729"/>
        <v>0</v>
      </c>
      <c r="L3044" s="88">
        <f t="shared" si="729"/>
        <v>0</v>
      </c>
      <c r="M3044" s="142">
        <f t="shared" si="729"/>
        <v>0</v>
      </c>
    </row>
    <row r="3045" spans="2:13" s="3" customFormat="1" ht="13.2" x14ac:dyDescent="0.25">
      <c r="B3045" s="287"/>
      <c r="C3045" s="37"/>
      <c r="D3045" s="37"/>
      <c r="E3045" s="37"/>
      <c r="F3045" s="37"/>
      <c r="G3045" s="37"/>
      <c r="H3045" s="37"/>
      <c r="I3045" s="37"/>
      <c r="J3045" s="37"/>
      <c r="K3045" s="37"/>
      <c r="L3045" s="37"/>
      <c r="M3045" s="37"/>
    </row>
    <row r="3046" spans="2:13" s="3" customFormat="1" ht="12.75" customHeight="1" x14ac:dyDescent="0.25">
      <c r="B3046" s="656" t="str">
        <f>IF('1. INTRO'!I$2="English","Co-funding share in full cost ","Medfinansieringsandel i full kostnad ")</f>
        <v xml:space="preserve">Co-funding share in full cost </v>
      </c>
      <c r="C3046" s="143" t="str">
        <f t="shared" ref="C3046:M3046" si="730">IF(C3044&gt;0,C3036/C3044,"")</f>
        <v/>
      </c>
      <c r="D3046" s="143" t="str">
        <f t="shared" si="730"/>
        <v/>
      </c>
      <c r="E3046" s="143" t="str">
        <f t="shared" si="730"/>
        <v/>
      </c>
      <c r="F3046" s="143" t="str">
        <f t="shared" si="730"/>
        <v/>
      </c>
      <c r="G3046" s="143" t="str">
        <f t="shared" si="730"/>
        <v/>
      </c>
      <c r="H3046" s="143" t="str">
        <f t="shared" si="730"/>
        <v/>
      </c>
      <c r="I3046" s="143" t="str">
        <f t="shared" si="730"/>
        <v/>
      </c>
      <c r="J3046" s="143" t="str">
        <f t="shared" si="730"/>
        <v/>
      </c>
      <c r="K3046" s="143" t="str">
        <f t="shared" si="730"/>
        <v/>
      </c>
      <c r="L3046" s="143" t="str">
        <f t="shared" si="730"/>
        <v/>
      </c>
      <c r="M3046" s="143" t="str">
        <f t="shared" si="730"/>
        <v/>
      </c>
    </row>
    <row r="3047" spans="2:13" ht="12.75" customHeight="1" x14ac:dyDescent="0.2"/>
    <row r="3048" spans="2:13" ht="12.75" customHeight="1" x14ac:dyDescent="0.25">
      <c r="D3048" s="676" t="str">
        <f>IF('1. INTRO'!I$2="English","Co-funding need in average per year: ","Medfinansieringsbehov i genomsnitt per år: ")</f>
        <v xml:space="preserve">Co-funding need in average per year: </v>
      </c>
      <c r="E3048" s="92" t="str">
        <f>IF(M3036=0,"",M3036/(DATEDIF('2. START'!C$18,'2. START'!C$19,"d")/365))</f>
        <v/>
      </c>
      <c r="H3048" s="676" t="str">
        <f>IF('1. INTRO'!I$2="English","Co-funding need 1/3 of total: ","Medfinansieringsbehov 1/3 av totalt: ")</f>
        <v xml:space="preserve">Co-funding need 1/3 of total: </v>
      </c>
      <c r="I3048" s="92">
        <f>M3036/3</f>
        <v>0</v>
      </c>
      <c r="L3048" s="287" t="str">
        <f>IF('1. INTRO'!I$2="English","Co-funding need total: ","Medfinansieringsbehov totalt: ")</f>
        <v xml:space="preserve">Co-funding need total: </v>
      </c>
      <c r="M3048" s="92">
        <f>M3036</f>
        <v>0</v>
      </c>
    </row>
    <row r="3049" spans="2:13" ht="12.75" customHeight="1" x14ac:dyDescent="0.25">
      <c r="B3049" s="53" t="str">
        <f>IF('1. INTRO'!I$2="English","Co-funding sources","Medfinansieringskällor")</f>
        <v>Co-funding sources</v>
      </c>
    </row>
    <row r="3050" spans="2:13" ht="12.75" customHeight="1" x14ac:dyDescent="0.25">
      <c r="B3050" s="225"/>
      <c r="C3050" s="226"/>
      <c r="D3050" s="226"/>
      <c r="E3050" s="226"/>
      <c r="F3050" s="226"/>
      <c r="G3050" s="226"/>
      <c r="H3050" s="226"/>
      <c r="I3050" s="226"/>
      <c r="J3050" s="226"/>
      <c r="K3050" s="226"/>
      <c r="L3050" s="227"/>
      <c r="M3050" s="168">
        <f>SUM(C3050:L3050)</f>
        <v>0</v>
      </c>
    </row>
    <row r="3051" spans="2:13" ht="12.75" customHeight="1" x14ac:dyDescent="0.25">
      <c r="B3051" s="228"/>
      <c r="C3051" s="229"/>
      <c r="D3051" s="229"/>
      <c r="E3051" s="229"/>
      <c r="F3051" s="229"/>
      <c r="G3051" s="229"/>
      <c r="H3051" s="229"/>
      <c r="I3051" s="229"/>
      <c r="J3051" s="229"/>
      <c r="K3051" s="229"/>
      <c r="L3051" s="230"/>
      <c r="M3051" s="120">
        <f t="shared" ref="M3051:M3054" si="731">SUM(C3051:L3051)</f>
        <v>0</v>
      </c>
    </row>
    <row r="3052" spans="2:13" ht="12.75" customHeight="1" x14ac:dyDescent="0.25">
      <c r="B3052" s="231"/>
      <c r="C3052" s="232"/>
      <c r="D3052" s="232"/>
      <c r="E3052" s="232"/>
      <c r="F3052" s="232"/>
      <c r="G3052" s="232"/>
      <c r="H3052" s="232"/>
      <c r="I3052" s="232"/>
      <c r="J3052" s="232"/>
      <c r="K3052" s="232"/>
      <c r="L3052" s="233"/>
      <c r="M3052" s="117">
        <f t="shared" si="731"/>
        <v>0</v>
      </c>
    </row>
    <row r="3053" spans="2:13" ht="12.75" customHeight="1" x14ac:dyDescent="0.25">
      <c r="B3053" s="228"/>
      <c r="C3053" s="229"/>
      <c r="D3053" s="229"/>
      <c r="E3053" s="229"/>
      <c r="F3053" s="229"/>
      <c r="G3053" s="229"/>
      <c r="H3053" s="229"/>
      <c r="I3053" s="229"/>
      <c r="J3053" s="229"/>
      <c r="K3053" s="229"/>
      <c r="L3053" s="230"/>
      <c r="M3053" s="120">
        <f t="shared" si="731"/>
        <v>0</v>
      </c>
    </row>
    <row r="3054" spans="2:13" ht="12.75" customHeight="1" x14ac:dyDescent="0.25">
      <c r="B3054" s="93"/>
      <c r="C3054" s="232"/>
      <c r="D3054" s="232"/>
      <c r="E3054" s="232"/>
      <c r="F3054" s="232"/>
      <c r="G3054" s="232"/>
      <c r="H3054" s="232"/>
      <c r="I3054" s="232"/>
      <c r="J3054" s="232"/>
      <c r="K3054" s="232"/>
      <c r="L3054" s="233"/>
      <c r="M3054" s="117">
        <f t="shared" si="731"/>
        <v>0</v>
      </c>
    </row>
    <row r="3055" spans="2:13" ht="12.75" customHeight="1" x14ac:dyDescent="0.25">
      <c r="B3055" s="84" t="str">
        <f>IF('1. INTRO'!I$2="English","Total co-funding ","Total medfinansiering ")</f>
        <v xml:space="preserve">Total co-funding </v>
      </c>
      <c r="C3055" s="87">
        <f t="shared" ref="C3055:M3055" si="732">SUM(C3050:C3054)</f>
        <v>0</v>
      </c>
      <c r="D3055" s="87">
        <f t="shared" si="732"/>
        <v>0</v>
      </c>
      <c r="E3055" s="87">
        <f t="shared" si="732"/>
        <v>0</v>
      </c>
      <c r="F3055" s="87">
        <f t="shared" si="732"/>
        <v>0</v>
      </c>
      <c r="G3055" s="87">
        <f t="shared" si="732"/>
        <v>0</v>
      </c>
      <c r="H3055" s="87">
        <f t="shared" si="732"/>
        <v>0</v>
      </c>
      <c r="I3055" s="87">
        <f t="shared" si="732"/>
        <v>0</v>
      </c>
      <c r="J3055" s="87">
        <f t="shared" si="732"/>
        <v>0</v>
      </c>
      <c r="K3055" s="87">
        <f t="shared" si="732"/>
        <v>0</v>
      </c>
      <c r="L3055" s="87">
        <f t="shared" si="732"/>
        <v>0</v>
      </c>
      <c r="M3055" s="142">
        <f t="shared" si="732"/>
        <v>0</v>
      </c>
    </row>
    <row r="3056" spans="2:13" ht="12.75" customHeight="1" x14ac:dyDescent="0.2"/>
    <row r="3057" spans="2:13" ht="12.75" customHeight="1" x14ac:dyDescent="0.2">
      <c r="B3057" s="667" t="str">
        <f>IF('1. INTRO'!I$2="English","Calculation comments","Kalkylkommentarer")</f>
        <v>Calculation comments</v>
      </c>
      <c r="C3057" s="37" t="str">
        <f>B73</f>
        <v/>
      </c>
    </row>
    <row r="3058" spans="2:13" ht="12.75" customHeight="1" x14ac:dyDescent="0.2">
      <c r="B3058" s="1142"/>
      <c r="C3058" s="1143"/>
      <c r="D3058" s="1143"/>
      <c r="E3058" s="1143"/>
      <c r="F3058" s="1143"/>
      <c r="G3058" s="1143"/>
      <c r="H3058" s="1143"/>
      <c r="I3058" s="1143"/>
      <c r="J3058" s="1143"/>
      <c r="K3058" s="1143"/>
      <c r="L3058" s="1143"/>
      <c r="M3058" s="1144"/>
    </row>
    <row r="3059" spans="2:13" ht="12.75" customHeight="1" x14ac:dyDescent="0.2">
      <c r="B3059" s="1145"/>
      <c r="C3059" s="1226"/>
      <c r="D3059" s="1226"/>
      <c r="E3059" s="1226"/>
      <c r="F3059" s="1226"/>
      <c r="G3059" s="1226"/>
      <c r="H3059" s="1226"/>
      <c r="I3059" s="1226"/>
      <c r="J3059" s="1226"/>
      <c r="K3059" s="1226"/>
      <c r="L3059" s="1226"/>
      <c r="M3059" s="1147"/>
    </row>
    <row r="3060" spans="2:13" ht="12.75" customHeight="1" x14ac:dyDescent="0.2">
      <c r="B3060" s="1145"/>
      <c r="C3060" s="1226"/>
      <c r="D3060" s="1226"/>
      <c r="E3060" s="1226"/>
      <c r="F3060" s="1226"/>
      <c r="G3060" s="1226"/>
      <c r="H3060" s="1226"/>
      <c r="I3060" s="1226"/>
      <c r="J3060" s="1226"/>
      <c r="K3060" s="1226"/>
      <c r="L3060" s="1226"/>
      <c r="M3060" s="1147"/>
    </row>
    <row r="3061" spans="2:13" ht="12.75" customHeight="1" x14ac:dyDescent="0.2">
      <c r="B3061" s="1145"/>
      <c r="C3061" s="1226"/>
      <c r="D3061" s="1226"/>
      <c r="E3061" s="1226"/>
      <c r="F3061" s="1226"/>
      <c r="G3061" s="1226"/>
      <c r="H3061" s="1226"/>
      <c r="I3061" s="1226"/>
      <c r="J3061" s="1226"/>
      <c r="K3061" s="1226"/>
      <c r="L3061" s="1226"/>
      <c r="M3061" s="1147"/>
    </row>
    <row r="3062" spans="2:13" ht="12.75" customHeight="1" x14ac:dyDescent="0.2">
      <c r="B3062" s="1148"/>
      <c r="C3062" s="1149"/>
      <c r="D3062" s="1149"/>
      <c r="E3062" s="1149"/>
      <c r="F3062" s="1149"/>
      <c r="G3062" s="1149"/>
      <c r="H3062" s="1149"/>
      <c r="I3062" s="1149"/>
      <c r="J3062" s="1149"/>
      <c r="K3062" s="1149"/>
      <c r="L3062" s="1149"/>
      <c r="M3062" s="1150"/>
    </row>
    <row r="3064" spans="2:13" s="3" customFormat="1" ht="12.75" customHeight="1" x14ac:dyDescent="0.25">
      <c r="B3064" s="313" t="str">
        <f>'3. PARTNER'!C$4</f>
        <v xml:space="preserve">Project: </v>
      </c>
      <c r="C3064" s="1062" t="str">
        <f>'3. PARTNER'!D$4</f>
        <v/>
      </c>
      <c r="D3064" s="1001"/>
      <c r="E3064" s="1001"/>
      <c r="F3064" s="1001"/>
      <c r="G3064" s="1001"/>
      <c r="H3064" s="1001"/>
      <c r="I3064" s="1001"/>
      <c r="J3064" s="1001"/>
      <c r="K3064" s="1001"/>
      <c r="L3064" s="1001"/>
      <c r="M3064" s="1001"/>
    </row>
    <row r="3065" spans="2:13" s="3" customFormat="1" ht="13.2" x14ac:dyDescent="0.25">
      <c r="B3065" s="313" t="str">
        <f>'3. PARTNER'!C$5</f>
        <v xml:space="preserve">Calculation for: </v>
      </c>
      <c r="C3065" s="1062" t="str">
        <f>'3. PARTNER'!D$5</f>
        <v>APPLICATION</v>
      </c>
      <c r="D3065" s="1001"/>
      <c r="E3065" s="268"/>
      <c r="F3065" s="268"/>
      <c r="G3065" s="268"/>
      <c r="H3065" s="268"/>
      <c r="I3065" s="268"/>
      <c r="J3065" s="268"/>
      <c r="K3065" s="268"/>
      <c r="L3065" s="268"/>
      <c r="M3065" s="268"/>
    </row>
    <row r="3066" spans="2:13" s="3" customFormat="1" ht="13.2" x14ac:dyDescent="0.25">
      <c r="B3066" s="35" t="str">
        <f>'3. PARTNER'!C$6</f>
        <v xml:space="preserve">Project leader: </v>
      </c>
      <c r="C3066" s="1062" t="str">
        <f>'3. PARTNER'!D$6</f>
        <v/>
      </c>
      <c r="D3066" s="1001"/>
      <c r="E3066" s="1001"/>
      <c r="F3066" s="1001"/>
      <c r="G3066" s="1001"/>
      <c r="H3066" s="1001"/>
      <c r="I3066" s="1001"/>
      <c r="J3066" s="1001"/>
      <c r="K3066" s="1001"/>
      <c r="L3066" s="1001"/>
      <c r="M3066" s="1001"/>
    </row>
    <row r="3067" spans="2:13" s="3" customFormat="1" ht="13.2" x14ac:dyDescent="0.25">
      <c r="B3067" s="313" t="str">
        <f>'5. PERSON'!B$7</f>
        <v xml:space="preserve">Amounts in: </v>
      </c>
      <c r="C3067" s="655" t="str">
        <f>'5. PERSON'!C$7</f>
        <v>SEK</v>
      </c>
      <c r="D3067" s="268"/>
      <c r="E3067" s="268"/>
      <c r="F3067" s="268"/>
      <c r="G3067" s="234"/>
      <c r="H3067" s="234"/>
      <c r="I3067" s="270"/>
      <c r="J3067" s="270"/>
      <c r="K3067" s="270"/>
      <c r="L3067" s="270"/>
      <c r="M3067" s="270"/>
    </row>
    <row r="3068" spans="2:13" s="3" customFormat="1" ht="13.2" x14ac:dyDescent="0.25">
      <c r="B3068" s="313"/>
      <c r="C3068" s="1053" t="str">
        <f>'3. PARTNER'!D$7</f>
        <v>Other basic data about the project is in sheet 2.</v>
      </c>
      <c r="D3068" s="1001"/>
      <c r="E3068" s="1001"/>
      <c r="F3068" s="1001"/>
      <c r="G3068" s="234"/>
      <c r="H3068" s="234"/>
      <c r="I3068" s="270"/>
      <c r="J3068" s="270"/>
      <c r="K3068" s="270"/>
      <c r="L3068" s="251" t="s">
        <v>4</v>
      </c>
      <c r="M3068" s="270"/>
    </row>
    <row r="3069" spans="2:13" ht="12.75" customHeight="1" x14ac:dyDescent="0.2">
      <c r="L3069" s="252" t="str">
        <f>IF('1. INTRO'!I$2="English","months","månader")</f>
        <v>months</v>
      </c>
    </row>
    <row r="3070" spans="2:13" s="3" customFormat="1" ht="13.8" x14ac:dyDescent="0.25">
      <c r="B3070" s="157" t="str">
        <f>IF('1. INTRO'!I$2="English","Project costs","Projektkostnader")</f>
        <v>Project costs</v>
      </c>
      <c r="C3070" s="668" t="str">
        <f>A74</f>
        <v>EXT116</v>
      </c>
      <c r="D3070" s="1227" t="str">
        <f>B74</f>
        <v/>
      </c>
      <c r="E3070" s="1001"/>
      <c r="F3070" s="1001"/>
      <c r="G3070" s="1001"/>
      <c r="H3070" s="1001"/>
      <c r="I3070" s="37"/>
      <c r="J3070" s="37"/>
      <c r="K3070" s="37"/>
      <c r="L3070" s="642">
        <f>SUMIF('5. PERSON'!$B$17:$B$192,$C3070,'5. PERSON'!AE$17:AE$192)</f>
        <v>0</v>
      </c>
      <c r="M3070" s="680" t="s">
        <v>330</v>
      </c>
    </row>
    <row r="3071" spans="2:13" s="3" customFormat="1" ht="6" customHeight="1" x14ac:dyDescent="0.25">
      <c r="B3071" s="57"/>
      <c r="C3071" s="37"/>
      <c r="D3071" s="37"/>
      <c r="E3071" s="37"/>
      <c r="F3071" s="37"/>
      <c r="G3071" s="37"/>
      <c r="H3071" s="37"/>
      <c r="I3071" s="37"/>
      <c r="J3071" s="37"/>
      <c r="K3071" s="37"/>
      <c r="L3071" s="37"/>
      <c r="M3071" s="37"/>
    </row>
    <row r="3072" spans="2:13" s="3" customFormat="1" ht="13.2" x14ac:dyDescent="0.25">
      <c r="B3072" s="110" t="str">
        <f>IF('1. INTRO'!I$2="English","Costs to be covered by funding body","Kostnader att täckas av finansiär")</f>
        <v>Costs to be covered by funding body</v>
      </c>
      <c r="C3072" s="111">
        <f>'5. PERSON'!G$15</f>
        <v>1900</v>
      </c>
      <c r="D3072" s="111" t="str">
        <f>'5. PERSON'!H$15</f>
        <v/>
      </c>
      <c r="E3072" s="111" t="str">
        <f>'5. PERSON'!I$15</f>
        <v/>
      </c>
      <c r="F3072" s="111" t="str">
        <f>'5. PERSON'!J$15</f>
        <v/>
      </c>
      <c r="G3072" s="111" t="str">
        <f>'5. PERSON'!K$15</f>
        <v/>
      </c>
      <c r="H3072" s="111" t="str">
        <f>'5. PERSON'!L$15</f>
        <v/>
      </c>
      <c r="I3072" s="111" t="str">
        <f>'5. PERSON'!M$15</f>
        <v/>
      </c>
      <c r="J3072" s="111" t="str">
        <f>'5. PERSON'!N$15</f>
        <v/>
      </c>
      <c r="K3072" s="111" t="str">
        <f>'5. PERSON'!O$15</f>
        <v/>
      </c>
      <c r="L3072" s="111" t="str">
        <f>'5. PERSON'!P$15</f>
        <v/>
      </c>
      <c r="M3072" s="112" t="s">
        <v>2</v>
      </c>
    </row>
    <row r="3073" spans="2:15" s="3" customFormat="1" ht="12.75" customHeight="1" x14ac:dyDescent="0.25">
      <c r="B3073" s="113" t="str">
        <f>IF('1. INTRO'!I$2="English","Salary including social costs (LKP)","Lön inklusive LKP")</f>
        <v>Salary including social costs (LKP)</v>
      </c>
      <c r="C3073" s="114">
        <f>IF('2. START'!$C$14&gt;0,SUMIF('5. PERSON'!$B$17:$B$192,$C3070,'5. PERSON'!DN$17:DN$192),SUMIF('5. PERSON'!$B$17:$B$192,$C3070,'5. PERSON'!AT$17:AT$192))</f>
        <v>0</v>
      </c>
      <c r="D3073" s="114">
        <f>IF('2. START'!$C$14&gt;0,SUMIF('5. PERSON'!$B$17:$B$192,$C3070,'5. PERSON'!DO$17:DO$192),SUMIF('5. PERSON'!$B$17:$B$192,$C3070,'5. PERSON'!AU$17:AU$192))</f>
        <v>0</v>
      </c>
      <c r="E3073" s="114">
        <f>IF('2. START'!$C$14&gt;0,SUMIF('5. PERSON'!$B$17:$B$192,$C3070,'5. PERSON'!DP$17:DP$192),SUMIF('5. PERSON'!$B$17:$B$192,$C3070,'5. PERSON'!AV$17:AV$192))</f>
        <v>0</v>
      </c>
      <c r="F3073" s="114">
        <f>IF('2. START'!$C$14&gt;0,SUMIF('5. PERSON'!$B$17:$B$192,$C3070,'5. PERSON'!DQ$17:DQ$192),SUMIF('5. PERSON'!$B$17:$B$192,$C3070,'5. PERSON'!AW$17:AW$192))</f>
        <v>0</v>
      </c>
      <c r="G3073" s="114">
        <f>IF('2. START'!$C$14&gt;0,SUMIF('5. PERSON'!$B$17:$B$192,$C3070,'5. PERSON'!DR$17:DR$192),SUMIF('5. PERSON'!$B$17:$B$192,$C3070,'5. PERSON'!AX$17:AX$192))</f>
        <v>0</v>
      </c>
      <c r="H3073" s="114">
        <f>IF('2. START'!$C$14&gt;0,SUMIF('5. PERSON'!$B$17:$B$192,$C3070,'5. PERSON'!DS$17:DS$192),SUMIF('5. PERSON'!$B$17:$B$192,$C3070,'5. PERSON'!AY$17:AY$192))</f>
        <v>0</v>
      </c>
      <c r="I3073" s="114">
        <f>IF('2. START'!$C$14&gt;0,SUMIF('5. PERSON'!$B$17:$B$192,$C3070,'5. PERSON'!DT$17:DT$192),SUMIF('5. PERSON'!$B$17:$B$192,$C3070,'5. PERSON'!AZ$17:AZ$192))</f>
        <v>0</v>
      </c>
      <c r="J3073" s="114">
        <f>IF('2. START'!$C$14&gt;0,SUMIF('5. PERSON'!$B$17:$B$192,$C3070,'5. PERSON'!DU$17:DU$192),SUMIF('5. PERSON'!$B$17:$B$192,$C3070,'5. PERSON'!BA$17:BA$192))</f>
        <v>0</v>
      </c>
      <c r="K3073" s="114">
        <f>IF('2. START'!$C$14&gt;0,SUMIF('5. PERSON'!$B$17:$B$192,$C3070,'5. PERSON'!DV$17:DV$192),SUMIF('5. PERSON'!$B$17:$B$192,$C3070,'5. PERSON'!BB$17:BB$192))</f>
        <v>0</v>
      </c>
      <c r="L3073" s="114">
        <f>IF('2. START'!$C$14&gt;0,SUMIF('5. PERSON'!$B$17:$B$192,$C3070,'5. PERSON'!DW$17:DW$192),SUMIF('5. PERSON'!$B$17:$B$192,$C3070,'5. PERSON'!BC$17:BC$192))</f>
        <v>0</v>
      </c>
      <c r="M3073" s="115">
        <f t="shared" ref="M3073:M3078" si="733">SUM(C3073:L3073)</f>
        <v>0</v>
      </c>
      <c r="O3073" s="4"/>
    </row>
    <row r="3074" spans="2:15" s="3" customFormat="1" ht="12.75" customHeight="1" x14ac:dyDescent="0.25">
      <c r="B3074" s="80" t="str">
        <f>IF('1. INTRO'!I$2="English","Operating","Drift")</f>
        <v>Operating</v>
      </c>
      <c r="C3074" s="116">
        <f>SUMIF('6. OPERATION'!$B$17:$B$149,$C3070,'6. OPERATION'!W$17:W$149)</f>
        <v>0</v>
      </c>
      <c r="D3074" s="116">
        <f>SUMIF('6. OPERATION'!$B$17:$B$149,$C3070,'6. OPERATION'!X$17:X$149)</f>
        <v>0</v>
      </c>
      <c r="E3074" s="116">
        <f>SUMIF('6. OPERATION'!$B$17:$B$149,$C3070,'6. OPERATION'!Y$17:Y$149)</f>
        <v>0</v>
      </c>
      <c r="F3074" s="116">
        <f>SUMIF('6. OPERATION'!$B$17:$B$149,$C3070,'6. OPERATION'!Z$17:Z$149)</f>
        <v>0</v>
      </c>
      <c r="G3074" s="116">
        <f>SUMIF('6. OPERATION'!$B$17:$B$149,$C3070,'6. OPERATION'!AA$17:AA$149)</f>
        <v>0</v>
      </c>
      <c r="H3074" s="116">
        <f>SUMIF('6. OPERATION'!$B$17:$B$149,$C3070,'6. OPERATION'!AB$17:AB$149)</f>
        <v>0</v>
      </c>
      <c r="I3074" s="116">
        <f>SUMIF('6. OPERATION'!$B$17:$B$149,$C3070,'6. OPERATION'!AC$17:AC$149)</f>
        <v>0</v>
      </c>
      <c r="J3074" s="116">
        <f>SUMIF('6. OPERATION'!$B$17:$B$149,$C3070,'6. OPERATION'!AD$17:AD$149)</f>
        <v>0</v>
      </c>
      <c r="K3074" s="116">
        <f>SUMIF('6. OPERATION'!$B$17:$B$149,$C3070,'6. OPERATION'!AE$17:AE$149)</f>
        <v>0</v>
      </c>
      <c r="L3074" s="116">
        <f>SUMIF('6. OPERATION'!$B$17:$B$149,$C3070,'6. OPERATION'!AF$17:AF$149)</f>
        <v>0</v>
      </c>
      <c r="M3074" s="117">
        <f t="shared" si="733"/>
        <v>0</v>
      </c>
    </row>
    <row r="3075" spans="2:15" s="3" customFormat="1" ht="13.2" x14ac:dyDescent="0.25">
      <c r="B3075" s="118" t="str">
        <f>IF('1. INTRO'!I$2="English","Equipment","Utrustning")</f>
        <v>Equipment</v>
      </c>
      <c r="C3075" s="119">
        <f>SUMIF('7. INVEST'!$B$17:$B$49,$C3070,'7. INVEST'!W$17:W$49)</f>
        <v>0</v>
      </c>
      <c r="D3075" s="119">
        <f>SUMIF('7. INVEST'!$B$17:$B$49,$C3070,'7. INVEST'!X$17:X$49)</f>
        <v>0</v>
      </c>
      <c r="E3075" s="119">
        <f>SUMIF('7. INVEST'!$B$17:$B$49,$C3070,'7. INVEST'!Y$17:Y$49)</f>
        <v>0</v>
      </c>
      <c r="F3075" s="119">
        <f>SUMIF('7. INVEST'!$B$17:$B$49,$C3070,'7. INVEST'!Z$17:Z$49)</f>
        <v>0</v>
      </c>
      <c r="G3075" s="119">
        <f>SUMIF('7. INVEST'!$B$17:$B$49,$C3070,'7. INVEST'!AA$17:AA$49)</f>
        <v>0</v>
      </c>
      <c r="H3075" s="119">
        <f>SUMIF('7. INVEST'!$B$17:$B$49,$C3070,'7. INVEST'!AB$17:AB$49)</f>
        <v>0</v>
      </c>
      <c r="I3075" s="119">
        <f>SUMIF('7. INVEST'!$B$17:$B$49,$C3070,'7. INVEST'!AC$17:AC$49)</f>
        <v>0</v>
      </c>
      <c r="J3075" s="119">
        <f>SUMIF('7. INVEST'!$B$17:$B$49,$C3070,'7. INVEST'!AD$17:AD$49)</f>
        <v>0</v>
      </c>
      <c r="K3075" s="119">
        <f>SUMIF('7. INVEST'!$B$17:$B$49,$C3070,'7. INVEST'!AE$17:AE$49)</f>
        <v>0</v>
      </c>
      <c r="L3075" s="119">
        <f>SUMIF('7. INVEST'!$B$17:$B$49,$C3070,'7. INVEST'!AF$17:AF$49)</f>
        <v>0</v>
      </c>
      <c r="M3075" s="120">
        <f t="shared" si="733"/>
        <v>0</v>
      </c>
    </row>
    <row r="3076" spans="2:15" s="3" customFormat="1" ht="13.2" x14ac:dyDescent="0.25">
      <c r="B3076" s="121" t="str">
        <f>IF('1. INTRO'!I$2="English",(IF('2. START'!C$11="NO","Facility accepted as direct cost by funding body","Facility")),IF('2. START'!C$11="NO","Lokal accepterad som direkt kostnad av finansiär","Lokal"))</f>
        <v>Facility</v>
      </c>
      <c r="C3076" s="116">
        <f>IF('2. START'!$C$11="NO",SUMIF('8. FACILIT'!$B$18:$B$50,$C3070,'8. FACILIT'!T$18:T$50),SUMIF('5. PERSON'!$B$17:$B$192,$C3070,'5. PERSON'!CP$17:CP$192)+SUMIF('6. OPERATION'!$B$17:$B$149,$C3070,'6. OPERATION'!BS$17:BS$149)+SUMIF('8. FACILIT'!$B$18:$B$50,$C3070,'8. FACILIT'!T$18:T$50))</f>
        <v>0</v>
      </c>
      <c r="D3076" s="116">
        <f>IF('2. START'!$C$11="NO",SUMIF('8. FACILIT'!$B$18:$B$50,$C3070,'8. FACILIT'!U$18:U$50),SUMIF('5. PERSON'!$B$17:$B$192,$C3070,'5. PERSON'!CQ$17:CQ$192)+SUMIF('6. OPERATION'!$B$17:$B$149,$C3070,'6. OPERATION'!BT$17:BT$149)+SUMIF('8. FACILIT'!$B$18:$B$50,$C3070,'8. FACILIT'!U$18:U$50))</f>
        <v>0</v>
      </c>
      <c r="E3076" s="116">
        <f>IF('2. START'!$C$11="NO",SUMIF('8. FACILIT'!$B$18:$B$50,$C3070,'8. FACILIT'!V$18:V$50),SUMIF('5. PERSON'!$B$17:$B$192,$C3070,'5. PERSON'!CR$17:CR$192)+SUMIF('6. OPERATION'!$B$17:$B$149,$C3070,'6. OPERATION'!BU$17:BU$149)+SUMIF('8. FACILIT'!$B$18:$B$50,$C3070,'8. FACILIT'!V$18:V$50))</f>
        <v>0</v>
      </c>
      <c r="F3076" s="116">
        <f>IF('2. START'!$C$11="NO",SUMIF('8. FACILIT'!$B$18:$B$50,$C3070,'8. FACILIT'!W$18:W$50),SUMIF('5. PERSON'!$B$17:$B$192,$C3070,'5. PERSON'!CS$17:CS$192)+SUMIF('6. OPERATION'!$B$17:$B$149,$C3070,'6. OPERATION'!BV$17:BV$149)+SUMIF('8. FACILIT'!$B$18:$B$50,$C3070,'8. FACILIT'!W$18:W$50))</f>
        <v>0</v>
      </c>
      <c r="G3076" s="116">
        <f>IF('2. START'!$C$11="NO",SUMIF('8. FACILIT'!$B$18:$B$50,$C3070,'8. FACILIT'!X$18:X$50),SUMIF('5. PERSON'!$B$17:$B$192,$C3070,'5. PERSON'!CT$17:CT$192)+SUMIF('6. OPERATION'!$B$17:$B$149,$C3070,'6. OPERATION'!BW$17:BW$149)+SUMIF('8. FACILIT'!$B$18:$B$50,$C3070,'8. FACILIT'!X$18:X$50))</f>
        <v>0</v>
      </c>
      <c r="H3076" s="116">
        <f>IF('2. START'!$C$11="NO",SUMIF('8. FACILIT'!$B$18:$B$50,$C3070,'8. FACILIT'!Y$18:Y$50),SUMIF('5. PERSON'!$B$17:$B$192,$C3070,'5. PERSON'!CU$17:CU$192)+SUMIF('6. OPERATION'!$B$17:$B$149,$C3070,'6. OPERATION'!BX$17:BX$149)+SUMIF('8. FACILIT'!$B$18:$B$50,$C3070,'8. FACILIT'!Y$18:Y$50))</f>
        <v>0</v>
      </c>
      <c r="I3076" s="116">
        <f>IF('2. START'!$C$11="NO",SUMIF('8. FACILIT'!$B$18:$B$50,$C3070,'8. FACILIT'!Z$18:Z$50),SUMIF('5. PERSON'!$B$17:$B$192,$C3070,'5. PERSON'!CV$17:CV$192)+SUMIF('6. OPERATION'!$B$17:$B$149,$C3070,'6. OPERATION'!BY$17:BY$149)+SUMIF('8. FACILIT'!$B$18:$B$50,$C3070,'8. FACILIT'!Z$18:Z$50))</f>
        <v>0</v>
      </c>
      <c r="J3076" s="116">
        <f>IF('2. START'!$C$11="NO",SUMIF('8. FACILIT'!$B$18:$B$50,$C3070,'8. FACILIT'!AA$18:AA$50),SUMIF('5. PERSON'!$B$17:$B$192,$C3070,'5. PERSON'!CW$17:CW$192)+SUMIF('6. OPERATION'!$B$17:$B$149,$C3070,'6. OPERATION'!BZ$17:BZ$149)+SUMIF('8. FACILIT'!$B$18:$B$50,$C3070,'8. FACILIT'!AA$18:AA$50))</f>
        <v>0</v>
      </c>
      <c r="K3076" s="116">
        <f>IF('2. START'!$C$11="NO",SUMIF('8. FACILIT'!$B$18:$B$50,$C3070,'8. FACILIT'!AB$18:AB$50),SUMIF('5. PERSON'!$B$17:$B$192,$C3070,'5. PERSON'!CX$17:CX$192)+SUMIF('6. OPERATION'!$B$17:$B$149,$C3070,'6. OPERATION'!CA$17:CA$149)+SUMIF('8. FACILIT'!$B$18:$B$50,$C3070,'8. FACILIT'!AB$18:AB$50))</f>
        <v>0</v>
      </c>
      <c r="L3076" s="116">
        <f>IF('2. START'!$C$11="NO",SUMIF('8. FACILIT'!$B$18:$B$50,$C3070,'8. FACILIT'!AC$18:AC$50),SUMIF('5. PERSON'!$B$17:$B$192,$C3070,'5. PERSON'!CY$17:CY$192)+SUMIF('6. OPERATION'!$B$17:$B$149,$C3070,'6. OPERATION'!CB$17:CB$149)+SUMIF('8. FACILIT'!$B$18:$B$50,$C3070,'8. FACILIT'!AC$18:AC$50))</f>
        <v>0</v>
      </c>
      <c r="M3076" s="117">
        <f t="shared" si="733"/>
        <v>0</v>
      </c>
    </row>
    <row r="3077" spans="2:15" s="3" customFormat="1" ht="13.2" x14ac:dyDescent="0.25">
      <c r="B3077" s="122" t="str">
        <f>IF('1. INTRO'!I$2="English",(IF('2. START'!C$11="NO","Indirect and facility charge accepted as OH by funding body","Indirect")),IF('2. START'!C$11="NO","Indirekt och lokalpåslag accepterade som OH av finansiär","Indirekt"))</f>
        <v>Indirect</v>
      </c>
      <c r="C3077" s="107">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107">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107">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107">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107">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107">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107">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107">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107">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107">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120">
        <f t="shared" si="733"/>
        <v>0</v>
      </c>
    </row>
    <row r="3078" spans="2:15" s="3" customFormat="1" ht="13.2" x14ac:dyDescent="0.25">
      <c r="B3078" s="124" t="s">
        <v>113</v>
      </c>
      <c r="C3078" s="102">
        <f>SUM(C3073:C3077)</f>
        <v>0</v>
      </c>
      <c r="D3078" s="102">
        <f t="shared" ref="D3078:L3078" si="734">SUM(D3073:D3077)</f>
        <v>0</v>
      </c>
      <c r="E3078" s="102">
        <f t="shared" si="734"/>
        <v>0</v>
      </c>
      <c r="F3078" s="102">
        <f t="shared" si="734"/>
        <v>0</v>
      </c>
      <c r="G3078" s="102">
        <f t="shared" si="734"/>
        <v>0</v>
      </c>
      <c r="H3078" s="102">
        <f t="shared" si="734"/>
        <v>0</v>
      </c>
      <c r="I3078" s="102">
        <f t="shared" si="734"/>
        <v>0</v>
      </c>
      <c r="J3078" s="102">
        <f t="shared" si="734"/>
        <v>0</v>
      </c>
      <c r="K3078" s="102">
        <f t="shared" si="734"/>
        <v>0</v>
      </c>
      <c r="L3078" s="102">
        <f t="shared" si="734"/>
        <v>0</v>
      </c>
      <c r="M3078" s="125">
        <f t="shared" si="733"/>
        <v>0</v>
      </c>
    </row>
    <row r="3079" spans="2:15" s="3" customFormat="1" ht="6" customHeight="1" x14ac:dyDescent="0.25">
      <c r="B3079" s="126"/>
      <c r="C3079" s="127"/>
      <c r="D3079" s="127"/>
      <c r="E3079" s="127"/>
      <c r="F3079" s="127"/>
      <c r="G3079" s="127"/>
      <c r="H3079" s="127"/>
      <c r="I3079" s="127"/>
      <c r="J3079" s="127"/>
      <c r="K3079" s="127"/>
      <c r="L3079" s="127"/>
      <c r="M3079" s="128"/>
    </row>
    <row r="3080" spans="2:15" s="3" customFormat="1" ht="13.2" x14ac:dyDescent="0.25">
      <c r="B3080" s="129" t="str">
        <f>IF('1. INTRO'!I$2="English","Costs to be co-funded","Kostnader att medfinansiera")</f>
        <v>Costs to be co-funded</v>
      </c>
      <c r="C3080" s="86"/>
      <c r="D3080" s="86"/>
      <c r="E3080" s="86"/>
      <c r="F3080" s="86"/>
      <c r="G3080" s="86"/>
      <c r="H3080" s="86"/>
      <c r="I3080" s="86"/>
      <c r="J3080" s="86"/>
      <c r="K3080" s="86"/>
      <c r="L3080" s="86"/>
      <c r="M3080" s="130"/>
    </row>
    <row r="3081" spans="2:15" s="3" customFormat="1" ht="13.2" x14ac:dyDescent="0.25">
      <c r="B3081" s="159" t="str">
        <f>IF('1. INTRO'!I$2="English",(IF('2. START'!C$11="NO","Indirect and facility charge not accepted as OH by funding body","")),IF('2. START'!C$11="NO","Indirekt och lokalpåslag inte accepterade som OH av finansiär",""))</f>
        <v/>
      </c>
      <c r="C3081" s="131">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31">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31">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31">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31">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31">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31">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31">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31">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31">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115">
        <f t="shared" ref="M3081:M3087" si="735">SUM(C3081:L3081)</f>
        <v>0</v>
      </c>
    </row>
    <row r="3082" spans="2:15" s="3" customFormat="1" ht="12.75" customHeight="1" x14ac:dyDescent="0.25">
      <c r="B3082" s="132" t="str">
        <f>IF('1. INTRO'!I$2="English",(IF('2. START'!C$14&gt;0,"Social costs (LKP) not accepted by funding body","")),IF('2. START'!C$14&gt;0,"LKP som inte accepteras av finansiär",""))</f>
        <v/>
      </c>
      <c r="C3082" s="133">
        <f>IF('2. START'!$C$14&gt;0,SUMIF('5. PERSON'!$B$17:$B$192,$C3070,'5. PERSON'!AT$17:AT$192)-SUMIF('5. PERSON'!$B$17:$B$192,$C3070,'5. PERSON'!DN$17:DN$192),0)</f>
        <v>0</v>
      </c>
      <c r="D3082" s="133">
        <f>IF('2. START'!$C$14&gt;0,SUMIF('5. PERSON'!$B$17:$B$192,$C3070,'5. PERSON'!AU$17:AU$192)-SUMIF('5. PERSON'!$B$17:$B$192,$C3070,'5. PERSON'!DO$17:DO$192),0)</f>
        <v>0</v>
      </c>
      <c r="E3082" s="133">
        <f>IF('2. START'!$C$14&gt;0,SUMIF('5. PERSON'!$B$17:$B$192,$C3070,'5. PERSON'!AV$17:AV$192)-SUMIF('5. PERSON'!$B$17:$B$192,$C3070,'5. PERSON'!DP$17:DP$192),0)</f>
        <v>0</v>
      </c>
      <c r="F3082" s="133">
        <f>IF('2. START'!$C$14&gt;0,SUMIF('5. PERSON'!$B$17:$B$192,$C3070,'5. PERSON'!AW$17:AW$192)-SUMIF('5. PERSON'!$B$17:$B$192,$C3070,'5. PERSON'!DQ$17:DQ$192),0)</f>
        <v>0</v>
      </c>
      <c r="G3082" s="133">
        <f>IF('2. START'!$C$14&gt;0,SUMIF('5. PERSON'!$B$17:$B$192,$C3070,'5. PERSON'!AX$17:AX$192)-SUMIF('5. PERSON'!$B$17:$B$192,$C3070,'5. PERSON'!DR$17:DR$192),0)</f>
        <v>0</v>
      </c>
      <c r="H3082" s="133">
        <f>IF('2. START'!$C$14&gt;0,SUMIF('5. PERSON'!$B$17:$B$192,$C3070,'5. PERSON'!AY$17:AY$192)-SUMIF('5. PERSON'!$B$17:$B$192,$C3070,'5. PERSON'!DS$17:DS$192),0)</f>
        <v>0</v>
      </c>
      <c r="I3082" s="133">
        <f>IF('2. START'!$C$14&gt;0,SUMIF('5. PERSON'!$B$17:$B$192,$C3070,'5. PERSON'!AZ$17:AZ$192)-SUMIF('5. PERSON'!$B$17:$B$192,$C3070,'5. PERSON'!DT$17:DT$192),0)</f>
        <v>0</v>
      </c>
      <c r="J3082" s="133">
        <f>IF('2. START'!$C$14&gt;0,SUMIF('5. PERSON'!$B$17:$B$192,$C3070,'5. PERSON'!BA$17:BA$192)-SUMIF('5. PERSON'!$B$17:$B$192,$C3070,'5. PERSON'!DU$17:DU$192),0)</f>
        <v>0</v>
      </c>
      <c r="K3082" s="133">
        <f>IF('2. START'!$C$14&gt;0,SUMIF('5. PERSON'!$B$17:$B$192,$C3070,'5. PERSON'!BB$17:BB$192)-SUMIF('5. PERSON'!$B$17:$B$192,$C3070,'5. PERSON'!DV$17:DV$192),0)</f>
        <v>0</v>
      </c>
      <c r="L3082" s="133">
        <f>IF('2. START'!$C$14&gt;0,SUMIF('5. PERSON'!$B$17:$B$192,$C3070,'5. PERSON'!BC$17:BC$192)-SUMIF('5. PERSON'!$B$17:$B$192,$C3070,'5. PERSON'!DW$17:DW$192),0)</f>
        <v>0</v>
      </c>
      <c r="M3082" s="117">
        <f t="shared" si="735"/>
        <v>0</v>
      </c>
    </row>
    <row r="3083" spans="2:15" s="3" customFormat="1" ht="12.75" customHeight="1" x14ac:dyDescent="0.25">
      <c r="B3083" s="118" t="str">
        <f>IF('1. INTRO'!I$2="English",(IF('5. PERSON'!BP$193&gt;0,"Salary including social costs (LKP)","")),IF('5. PERSON'!BP$193&gt;0,"Lön inklusive LKP",""))</f>
        <v/>
      </c>
      <c r="C3083" s="134">
        <f>SUMIF('5. PERSON'!$B$17:$B$192,$C3070,'5. PERSON'!BF$17:BF$192)</f>
        <v>0</v>
      </c>
      <c r="D3083" s="134">
        <f>SUMIF('5. PERSON'!$B$17:$B$192,$C3070,'5. PERSON'!BG$17:BG$192)</f>
        <v>0</v>
      </c>
      <c r="E3083" s="134">
        <f>SUMIF('5. PERSON'!$B$17:$B$192,$C3070,'5. PERSON'!BH$17:BH$192)</f>
        <v>0</v>
      </c>
      <c r="F3083" s="134">
        <f>SUMIF('5. PERSON'!$B$17:$B$192,$C3070,'5. PERSON'!BI$17:BI$192)</f>
        <v>0</v>
      </c>
      <c r="G3083" s="134">
        <f>SUMIF('5. PERSON'!$B$17:$B$192,$C3070,'5. PERSON'!BJ$17:BJ$192)</f>
        <v>0</v>
      </c>
      <c r="H3083" s="134">
        <f>SUMIF('5. PERSON'!$B$17:$B$192,$C3070,'5. PERSON'!BK$17:BK$192)</f>
        <v>0</v>
      </c>
      <c r="I3083" s="134">
        <f>SUMIF('5. PERSON'!$B$17:$B$192,$C3070,'5. PERSON'!BL$17:BL$192)</f>
        <v>0</v>
      </c>
      <c r="J3083" s="134">
        <f>SUMIF('5. PERSON'!$B$17:$B$192,$C3070,'5. PERSON'!BM$17:BM$192)</f>
        <v>0</v>
      </c>
      <c r="K3083" s="134">
        <f>SUMIF('5. PERSON'!$B$17:$B$192,$C3070,'5. PERSON'!BN$17:BN$192)</f>
        <v>0</v>
      </c>
      <c r="L3083" s="134">
        <f>SUMIF('5. PERSON'!$B$17:$B$192,$C3070,'5. PERSON'!BO$17:BO$192)</f>
        <v>0</v>
      </c>
      <c r="M3083" s="120">
        <f t="shared" si="735"/>
        <v>0</v>
      </c>
    </row>
    <row r="3084" spans="2:15" s="3" customFormat="1" ht="13.2" x14ac:dyDescent="0.25">
      <c r="B3084" s="80" t="str">
        <f>IF('1. INTRO'!I$2="English",(IF('6. OPERATION'!AS$150&gt;0,"Operating","")),IF('6. OPERATION'!AS$150&gt;0,"Drift",""))</f>
        <v/>
      </c>
      <c r="C3084" s="135">
        <f>SUMIF('6. OPERATION'!$B$17:$B$149,$C3070,'6. OPERATION'!AI$17:AI$149)</f>
        <v>0</v>
      </c>
      <c r="D3084" s="135">
        <f>SUMIF('6. OPERATION'!$B$17:$B$149,$C3070,'6. OPERATION'!AJ$17:AJ$149)</f>
        <v>0</v>
      </c>
      <c r="E3084" s="135">
        <f>SUMIF('6. OPERATION'!$B$17:$B$149,$C3070,'6. OPERATION'!AK$17:AK$149)</f>
        <v>0</v>
      </c>
      <c r="F3084" s="135">
        <f>SUMIF('6. OPERATION'!$B$17:$B$149,$C3070,'6. OPERATION'!AL$17:AL$149)</f>
        <v>0</v>
      </c>
      <c r="G3084" s="135">
        <f>SUMIF('6. OPERATION'!$B$17:$B$149,$C3070,'6. OPERATION'!AM$17:AM$149)</f>
        <v>0</v>
      </c>
      <c r="H3084" s="135">
        <f>SUMIF('6. OPERATION'!$B$17:$B$149,$C3070,'6. OPERATION'!AN$17:AN$149)</f>
        <v>0</v>
      </c>
      <c r="I3084" s="135">
        <f>SUMIF('6. OPERATION'!$B$17:$B$149,$C3070,'6. OPERATION'!AO$17:AO$149)</f>
        <v>0</v>
      </c>
      <c r="J3084" s="135">
        <f>SUMIF('6. OPERATION'!$B$17:$B$149,$C3070,'6. OPERATION'!AP$17:AP$149)</f>
        <v>0</v>
      </c>
      <c r="K3084" s="135">
        <f>SUMIF('6. OPERATION'!$B$17:$B$149,$C3070,'6. OPERATION'!AQ$17:AQ$149)</f>
        <v>0</v>
      </c>
      <c r="L3084" s="135">
        <f>SUMIF('6. OPERATION'!$B$17:$B$149,$C3070,'6. OPERATION'!AR$17:AR$149)</f>
        <v>0</v>
      </c>
      <c r="M3084" s="117">
        <f t="shared" si="735"/>
        <v>0</v>
      </c>
    </row>
    <row r="3085" spans="2:15" s="3" customFormat="1" ht="13.2" x14ac:dyDescent="0.25">
      <c r="B3085" s="118" t="str">
        <f>IF('1. INTRO'!I$2="English",(IF('7. INVEST'!AS$50&gt;0,"Equipment","")),IF('7. INVEST'!AS$50&gt;0,"Utrustning",""))</f>
        <v/>
      </c>
      <c r="C3085" s="134">
        <f>SUMIF('7. INVEST'!$B$17:$B$49,$C3070,'7. INVEST'!AI$17:AI$49)</f>
        <v>0</v>
      </c>
      <c r="D3085" s="134">
        <f>SUMIF('7. INVEST'!$B$17:$B$49,$C3070,'7. INVEST'!AJ$17:AJ$49)</f>
        <v>0</v>
      </c>
      <c r="E3085" s="134">
        <f>SUMIF('7. INVEST'!$B$17:$B$49,$C3070,'7. INVEST'!AK$17:AK$49)</f>
        <v>0</v>
      </c>
      <c r="F3085" s="134">
        <f>SUMIF('7. INVEST'!$B$17:$B$49,$C3070,'7. INVEST'!AL$17:AL$49)</f>
        <v>0</v>
      </c>
      <c r="G3085" s="134">
        <f>SUMIF('7. INVEST'!$B$17:$B$49,$C3070,'7. INVEST'!AM$17:AM$49)</f>
        <v>0</v>
      </c>
      <c r="H3085" s="134">
        <f>SUMIF('7. INVEST'!$B$17:$B$49,$C3070,'7. INVEST'!AN$17:AN$49)</f>
        <v>0</v>
      </c>
      <c r="I3085" s="134">
        <f>SUMIF('7. INVEST'!$B$17:$B$49,$C3070,'7. INVEST'!AO$17:AO$49)</f>
        <v>0</v>
      </c>
      <c r="J3085" s="134">
        <f>SUMIF('7. INVEST'!$B$17:$B$49,$C3070,'7. INVEST'!AP$17:AP$49)</f>
        <v>0</v>
      </c>
      <c r="K3085" s="134">
        <f>SUMIF('7. INVEST'!$B$17:$B$49,$C3070,'7. INVEST'!AQ$17:AQ$49)</f>
        <v>0</v>
      </c>
      <c r="L3085" s="134">
        <f>SUMIF('7. INVEST'!$B$17:$B$49,$C3070,'7. INVEST'!AR$17:AR$49)</f>
        <v>0</v>
      </c>
      <c r="M3085" s="120">
        <f t="shared" si="735"/>
        <v>0</v>
      </c>
    </row>
    <row r="3086" spans="2:15" s="3" customFormat="1" ht="13.2" x14ac:dyDescent="0.25">
      <c r="B3086" s="121" t="str">
        <f>IF('1. INTRO'!I$2="English",(IF('8. FACILIT'!AP$51&gt;0,"Facility","")),IF('8. FACILIT'!AP$51&gt;0,"Lokal",""))</f>
        <v/>
      </c>
      <c r="C3086" s="135">
        <f>SUMIF('5. PERSON'!$B$17:$B$192,$C3070,'5. PERSON'!DB$17:DB$192)+SUMIF('6. OPERATION'!$B$17:$B$149,$C3070,'6. OPERATION'!CE$17:CE$149)+SUMIF('8. FACILIT'!$B$18:$B$50,$C3070,'8. FACILIT'!AF$18:AF$50)</f>
        <v>0</v>
      </c>
      <c r="D3086" s="135">
        <f>SUMIF('5. PERSON'!$B$17:$B$192,$C3070,'5. PERSON'!DC$17:DC$192)+SUMIF('6. OPERATION'!$B$17:$B$149,$C3070,'6. OPERATION'!CF$17:CF$149)+SUMIF('8. FACILIT'!$B$18:$B$50,$C3070,'8. FACILIT'!AG$18:AG$50)</f>
        <v>0</v>
      </c>
      <c r="E3086" s="135">
        <f>SUMIF('5. PERSON'!$B$17:$B$192,$C3070,'5. PERSON'!DD$17:DD$192)+SUMIF('6. OPERATION'!$B$17:$B$149,$C3070,'6. OPERATION'!CG$17:CG$149)+SUMIF('8. FACILIT'!$B$18:$B$50,$C3070,'8. FACILIT'!AH$18:AH$50)</f>
        <v>0</v>
      </c>
      <c r="F3086" s="135">
        <f>SUMIF('5. PERSON'!$B$17:$B$192,$C3070,'5. PERSON'!DE$17:DE$192)+SUMIF('6. OPERATION'!$B$17:$B$149,$C3070,'6. OPERATION'!CH$17:CH$149)+SUMIF('8. FACILIT'!$B$18:$B$50,$C3070,'8. FACILIT'!AI$18:AI$50)</f>
        <v>0</v>
      </c>
      <c r="G3086" s="135">
        <f>SUMIF('5. PERSON'!$B$17:$B$192,$C3070,'5. PERSON'!DF$17:DF$192)+SUMIF('6. OPERATION'!$B$17:$B$149,$C3070,'6. OPERATION'!CI$17:CI$149)+SUMIF('8. FACILIT'!$B$18:$B$50,$C3070,'8. FACILIT'!AJ$18:AJ$50)</f>
        <v>0</v>
      </c>
      <c r="H3086" s="135">
        <f>SUMIF('5. PERSON'!$B$17:$B$192,$C3070,'5. PERSON'!DG$17:DG$192)+SUMIF('6. OPERATION'!$B$17:$B$149,$C3070,'6. OPERATION'!CJ$17:CJ$149)+SUMIF('8. FACILIT'!$B$18:$B$50,$C3070,'8. FACILIT'!AK$18:AK$50)</f>
        <v>0</v>
      </c>
      <c r="I3086" s="135">
        <f>SUMIF('5. PERSON'!$B$17:$B$192,$C3070,'5. PERSON'!DH$17:DH$192)+SUMIF('6. OPERATION'!$B$17:$B$149,$C3070,'6. OPERATION'!CK$17:CK$149)+SUMIF('8. FACILIT'!$B$18:$B$50,$C3070,'8. FACILIT'!AL$18:AL$50)</f>
        <v>0</v>
      </c>
      <c r="J3086" s="135">
        <f>SUMIF('5. PERSON'!$B$17:$B$192,$C3070,'5. PERSON'!DI$17:DI$192)+SUMIF('6. OPERATION'!$B$17:$B$149,$C3070,'6. OPERATION'!CL$17:CL$149)+SUMIF('8. FACILIT'!$B$18:$B$50,$C3070,'8. FACILIT'!AM$18:AM$50)</f>
        <v>0</v>
      </c>
      <c r="K3086" s="135">
        <f>SUMIF('5. PERSON'!$B$17:$B$192,$C3070,'5. PERSON'!DJ$17:DJ$192)+SUMIF('6. OPERATION'!$B$17:$B$149,$C3070,'6. OPERATION'!CM$17:CM$149)+SUMIF('8. FACILIT'!$B$18:$B$50,$C3070,'8. FACILIT'!AN$18:AN$50)</f>
        <v>0</v>
      </c>
      <c r="L3086" s="135">
        <f>SUMIF('5. PERSON'!$B$17:$B$192,$C3070,'5. PERSON'!DK$17:DK$192)+SUMIF('6. OPERATION'!$B$17:$B$149,$C3070,'6. OPERATION'!CN$17:CN$149)+SUMIF('8. FACILIT'!$B$18:$B$50,$C3070,'8. FACILIT'!AO$18:AO$50)</f>
        <v>0</v>
      </c>
      <c r="M3086" s="117">
        <f t="shared" si="735"/>
        <v>0</v>
      </c>
    </row>
    <row r="3087" spans="2:15" s="1" customFormat="1" ht="13.2" x14ac:dyDescent="0.25">
      <c r="B3087" s="122" t="str">
        <f>IF('1. INTRO'!I$2="English",(IF(('5. PERSON'!CN$193+'6. OPERATION'!BQ$150)&gt;0,"Indirect","")),IF(('5. PERSON'!CN$193+'6. OPERATION'!BQ$150)&gt;0,"Indirekt",""))</f>
        <v/>
      </c>
      <c r="C3087" s="107">
        <f>SUMIF('5. PERSON'!$B$17:$B$192,$C3070,'5. PERSON'!CD$17:CD$192)+SUMIF('6. OPERATION'!$B$17:$B$149,$C3070,'6. OPERATION'!BG$17:BG$149)</f>
        <v>0</v>
      </c>
      <c r="D3087" s="107">
        <f>SUMIF('5. PERSON'!$B$17:$B$192,$C3070,'5. PERSON'!CE$17:CE$192)+SUMIF('6. OPERATION'!$B$17:$B$149,$C3070,'6. OPERATION'!BH$17:BH$149)</f>
        <v>0</v>
      </c>
      <c r="E3087" s="107">
        <f>SUMIF('5. PERSON'!$B$17:$B$192,$C3070,'5. PERSON'!CF$17:CF$192)+SUMIF('6. OPERATION'!$B$17:$B$149,$C3070,'6. OPERATION'!BI$17:BI$149)</f>
        <v>0</v>
      </c>
      <c r="F3087" s="107">
        <f>SUMIF('5. PERSON'!$B$17:$B$192,$C3070,'5. PERSON'!CG$17:CG$192)+SUMIF('6. OPERATION'!$B$17:$B$149,$C3070,'6. OPERATION'!BJ$17:BJ$149)</f>
        <v>0</v>
      </c>
      <c r="G3087" s="107">
        <f>SUMIF('5. PERSON'!$B$17:$B$192,$C3070,'5. PERSON'!CH$17:CH$192)+SUMIF('6. OPERATION'!$B$17:$B$149,$C3070,'6. OPERATION'!BK$17:BK$149)</f>
        <v>0</v>
      </c>
      <c r="H3087" s="107">
        <f>SUMIF('5. PERSON'!$B$17:$B$192,$C3070,'5. PERSON'!CI$17:CI$192)+SUMIF('6. OPERATION'!$B$17:$B$149,$C3070,'6. OPERATION'!BL$17:BL$149)</f>
        <v>0</v>
      </c>
      <c r="I3087" s="107">
        <f>SUMIF('5. PERSON'!$B$17:$B$192,$C3070,'5. PERSON'!CJ$17:CJ$192)+SUMIF('6. OPERATION'!$B$17:$B$149,$C3070,'6. OPERATION'!BM$17:BM$149)</f>
        <v>0</v>
      </c>
      <c r="J3087" s="107">
        <f>SUMIF('5. PERSON'!$B$17:$B$192,$C3070,'5. PERSON'!CK$17:CK$192)+SUMIF('6. OPERATION'!$B$17:$B$149,$C3070,'6. OPERATION'!BN$17:BN$149)</f>
        <v>0</v>
      </c>
      <c r="K3087" s="107">
        <f>SUMIF('5. PERSON'!$B$17:$B$192,$C3070,'5. PERSON'!CL$17:CL$192)+SUMIF('6. OPERATION'!$B$17:$B$149,$C3070,'6. OPERATION'!BO$17:BO$149)</f>
        <v>0</v>
      </c>
      <c r="L3087" s="107">
        <f>SUMIF('5. PERSON'!$B$17:$B$192,$C3070,'5. PERSON'!CM$17:CM$192)+SUMIF('6. OPERATION'!$B$17:$B$149,$C3070,'6. OPERATION'!BP$17:BP$149)</f>
        <v>0</v>
      </c>
      <c r="M3087" s="123">
        <f t="shared" si="735"/>
        <v>0</v>
      </c>
    </row>
    <row r="3088" spans="2:15" s="3" customFormat="1" ht="13.2" x14ac:dyDescent="0.25">
      <c r="B3088" s="124" t="s">
        <v>113</v>
      </c>
      <c r="C3088" s="102">
        <f>SUM(C3081:C3087)</f>
        <v>0</v>
      </c>
      <c r="D3088" s="102">
        <f t="shared" ref="D3088:L3088" si="736">SUM(D3081:D3087)</f>
        <v>0</v>
      </c>
      <c r="E3088" s="102">
        <f t="shared" si="736"/>
        <v>0</v>
      </c>
      <c r="F3088" s="102">
        <f t="shared" si="736"/>
        <v>0</v>
      </c>
      <c r="G3088" s="102">
        <f t="shared" si="736"/>
        <v>0</v>
      </c>
      <c r="H3088" s="102">
        <f t="shared" si="736"/>
        <v>0</v>
      </c>
      <c r="I3088" s="102">
        <f t="shared" si="736"/>
        <v>0</v>
      </c>
      <c r="J3088" s="102">
        <f t="shared" si="736"/>
        <v>0</v>
      </c>
      <c r="K3088" s="102">
        <f t="shared" si="736"/>
        <v>0</v>
      </c>
      <c r="L3088" s="102">
        <f t="shared" si="736"/>
        <v>0</v>
      </c>
      <c r="M3088" s="125">
        <f t="shared" ref="M3088" si="737">SUM(M3081:M3087)</f>
        <v>0</v>
      </c>
      <c r="N3088" s="23"/>
      <c r="O3088" s="23"/>
    </row>
    <row r="3089" spans="2:13" s="3" customFormat="1" ht="6" customHeight="1" x14ac:dyDescent="0.25">
      <c r="B3089" s="136"/>
      <c r="C3089" s="127"/>
      <c r="D3089" s="127"/>
      <c r="E3089" s="127"/>
      <c r="F3089" s="127"/>
      <c r="G3089" s="127"/>
      <c r="H3089" s="127"/>
      <c r="I3089" s="127"/>
      <c r="J3089" s="127"/>
      <c r="K3089" s="127"/>
      <c r="L3089" s="127"/>
      <c r="M3089" s="137"/>
    </row>
    <row r="3090" spans="2:13" s="3" customFormat="1" ht="13.2" x14ac:dyDescent="0.25">
      <c r="B3090" s="129" t="str">
        <f>IF('1. INTRO'!I$2="English","Full cost","Full kostnad")</f>
        <v>Full cost</v>
      </c>
      <c r="C3090" s="127"/>
      <c r="D3090" s="127"/>
      <c r="E3090" s="127"/>
      <c r="F3090" s="127"/>
      <c r="G3090" s="127"/>
      <c r="H3090" s="127"/>
      <c r="I3090" s="127"/>
      <c r="J3090" s="127"/>
      <c r="K3090" s="127"/>
      <c r="L3090" s="127"/>
      <c r="M3090" s="137"/>
    </row>
    <row r="3091" spans="2:13" s="3" customFormat="1" ht="13.2" x14ac:dyDescent="0.25">
      <c r="B3091" s="113" t="str">
        <f>IF('1. INTRO'!I$2="English","Salary including social costs (LKP)","Lön inklusive LKP")</f>
        <v>Salary including social costs (LKP)</v>
      </c>
      <c r="C3091" s="138">
        <f>C3073+C3082+C3083</f>
        <v>0</v>
      </c>
      <c r="D3091" s="138">
        <f t="shared" ref="D3091:L3091" si="738">D3073+D3082+D3083</f>
        <v>0</v>
      </c>
      <c r="E3091" s="138">
        <f t="shared" si="738"/>
        <v>0</v>
      </c>
      <c r="F3091" s="138">
        <f t="shared" si="738"/>
        <v>0</v>
      </c>
      <c r="G3091" s="138">
        <f t="shared" si="738"/>
        <v>0</v>
      </c>
      <c r="H3091" s="138">
        <f t="shared" si="738"/>
        <v>0</v>
      </c>
      <c r="I3091" s="138">
        <f t="shared" si="738"/>
        <v>0</v>
      </c>
      <c r="J3091" s="138">
        <f t="shared" si="738"/>
        <v>0</v>
      </c>
      <c r="K3091" s="138">
        <f t="shared" si="738"/>
        <v>0</v>
      </c>
      <c r="L3091" s="138">
        <f t="shared" si="738"/>
        <v>0</v>
      </c>
      <c r="M3091" s="115">
        <f>SUM(C3091:L3091)</f>
        <v>0</v>
      </c>
    </row>
    <row r="3092" spans="2:13" s="3" customFormat="1" ht="13.2" x14ac:dyDescent="0.25">
      <c r="B3092" s="80" t="str">
        <f>IF('1. INTRO'!I$2="English","Operating","Drift")</f>
        <v>Operating</v>
      </c>
      <c r="C3092" s="139">
        <f>C3074+C3084</f>
        <v>0</v>
      </c>
      <c r="D3092" s="139">
        <f t="shared" ref="D3092:L3092" si="739">D3074+D3084</f>
        <v>0</v>
      </c>
      <c r="E3092" s="139">
        <f t="shared" si="739"/>
        <v>0</v>
      </c>
      <c r="F3092" s="139">
        <f t="shared" si="739"/>
        <v>0</v>
      </c>
      <c r="G3092" s="139">
        <f t="shared" si="739"/>
        <v>0</v>
      </c>
      <c r="H3092" s="139">
        <f t="shared" si="739"/>
        <v>0</v>
      </c>
      <c r="I3092" s="139">
        <f t="shared" si="739"/>
        <v>0</v>
      </c>
      <c r="J3092" s="139">
        <f t="shared" si="739"/>
        <v>0</v>
      </c>
      <c r="K3092" s="139">
        <f t="shared" si="739"/>
        <v>0</v>
      </c>
      <c r="L3092" s="139">
        <f t="shared" si="739"/>
        <v>0</v>
      </c>
      <c r="M3092" s="117">
        <f>SUM(C3092:L3092)</f>
        <v>0</v>
      </c>
    </row>
    <row r="3093" spans="2:13" s="3" customFormat="1" ht="13.2" x14ac:dyDescent="0.25">
      <c r="B3093" s="118" t="str">
        <f>IF('1. INTRO'!I$2="English","Equipment","Utrustning")</f>
        <v>Equipment</v>
      </c>
      <c r="C3093" s="140">
        <f>C3075+C3085</f>
        <v>0</v>
      </c>
      <c r="D3093" s="140">
        <f t="shared" ref="D3093:L3093" si="740">D3075+D3085</f>
        <v>0</v>
      </c>
      <c r="E3093" s="140">
        <f t="shared" si="740"/>
        <v>0</v>
      </c>
      <c r="F3093" s="140">
        <f t="shared" si="740"/>
        <v>0</v>
      </c>
      <c r="G3093" s="140">
        <f t="shared" si="740"/>
        <v>0</v>
      </c>
      <c r="H3093" s="140">
        <f t="shared" si="740"/>
        <v>0</v>
      </c>
      <c r="I3093" s="140">
        <f t="shared" si="740"/>
        <v>0</v>
      </c>
      <c r="J3093" s="140">
        <f t="shared" si="740"/>
        <v>0</v>
      </c>
      <c r="K3093" s="140">
        <f t="shared" si="740"/>
        <v>0</v>
      </c>
      <c r="L3093" s="140">
        <f t="shared" si="740"/>
        <v>0</v>
      </c>
      <c r="M3093" s="120">
        <f>SUM(C3093:L3093)</f>
        <v>0</v>
      </c>
    </row>
    <row r="3094" spans="2:13" s="3" customFormat="1" ht="13.2" x14ac:dyDescent="0.25">
      <c r="B3094" s="80" t="str">
        <f>IF('1. INTRO'!I$2="English","Facility","Lokal")</f>
        <v>Facility</v>
      </c>
      <c r="C3094" s="139">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39">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39">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39">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39">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39">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39">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39">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39">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39">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117">
        <f>SUM(C3094:L3094)</f>
        <v>0</v>
      </c>
    </row>
    <row r="3095" spans="2:13" s="3" customFormat="1" ht="13.2" x14ac:dyDescent="0.25">
      <c r="B3095" s="601" t="str">
        <f>IF('1. INTRO'!I$2="English","Indirect","Indirekt")</f>
        <v>Indirect</v>
      </c>
      <c r="C3095" s="141">
        <f>SUMIF('5. PERSON'!$B$17:$B$192,$C3070,'5. PERSON'!BR$17:BR$192)+SUMIF('5. PERSON'!$B$17:$B$192,$C3070,'5. PERSON'!CD$17:CD$192)+SUMIF('6. OPERATION'!$B$17:$B$149,$C3070,'6. OPERATION'!AU$17:AU$149)+SUMIF('6. OPERATION'!$B$17:$B$149,$C3070,'6. OPERATION'!BG$17:BG$149)</f>
        <v>0</v>
      </c>
      <c r="D3095" s="141">
        <f>SUMIF('5. PERSON'!$B$17:$B$192,$C3070,'5. PERSON'!BS$17:BS$192)+SUMIF('5. PERSON'!$B$17:$B$192,$C3070,'5. PERSON'!CE$17:CE$192)+SUMIF('6. OPERATION'!$B$17:$B$149,$C3070,'6. OPERATION'!AV$17:AV$149)+SUMIF('6. OPERATION'!$B$17:$B$149,$C3070,'6. OPERATION'!BH$17:BH$149)</f>
        <v>0</v>
      </c>
      <c r="E3095" s="141">
        <f>SUMIF('5. PERSON'!$B$17:$B$192,$C3070,'5. PERSON'!BT$17:BT$192)+SUMIF('5. PERSON'!$B$17:$B$192,$C3070,'5. PERSON'!CF$17:CF$192)+SUMIF('6. OPERATION'!$B$17:$B$149,$C3070,'6. OPERATION'!AW$17:AW$149)+SUMIF('6. OPERATION'!$B$17:$B$149,$C3070,'6. OPERATION'!BI$17:BI$149)</f>
        <v>0</v>
      </c>
      <c r="F3095" s="141">
        <f>SUMIF('5. PERSON'!$B$17:$B$192,$C3070,'5. PERSON'!BU$17:BU$192)+SUMIF('5. PERSON'!$B$17:$B$192,$C3070,'5. PERSON'!CG$17:CG$192)+SUMIF('6. OPERATION'!$B$17:$B$149,$C3070,'6. OPERATION'!AX$17:AX$149)+SUMIF('6. OPERATION'!$B$17:$B$149,$C3070,'6. OPERATION'!BJ$17:BJ$149)</f>
        <v>0</v>
      </c>
      <c r="G3095" s="141">
        <f>SUMIF('5. PERSON'!$B$17:$B$192,$C3070,'5. PERSON'!BV$17:BV$192)+SUMIF('5. PERSON'!$B$17:$B$192,$C3070,'5. PERSON'!CH$17:CH$192)+SUMIF('6. OPERATION'!$B$17:$B$149,$C3070,'6. OPERATION'!AY$17:AY$149)+SUMIF('6. OPERATION'!$B$17:$B$149,$C3070,'6. OPERATION'!BK$17:BK$149)</f>
        <v>0</v>
      </c>
      <c r="H3095" s="141">
        <f>SUMIF('5. PERSON'!$B$17:$B$192,$C3070,'5. PERSON'!BW$17:BW$192)+SUMIF('5. PERSON'!$B$17:$B$192,$C3070,'5. PERSON'!CI$17:CI$192)+SUMIF('6. OPERATION'!$B$17:$B$149,$C3070,'6. OPERATION'!AZ$17:AZ$149)+SUMIF('6. OPERATION'!$B$17:$B$149,$C3070,'6. OPERATION'!BL$17:BL$149)</f>
        <v>0</v>
      </c>
      <c r="I3095" s="141">
        <f>SUMIF('5. PERSON'!$B$17:$B$192,$C3070,'5. PERSON'!BX$17:BX$192)+SUMIF('5. PERSON'!$B$17:$B$192,$C3070,'5. PERSON'!CJ$17:CJ$192)+SUMIF('6. OPERATION'!$B$17:$B$149,$C3070,'6. OPERATION'!BA$17:BA$149)+SUMIF('6. OPERATION'!$B$17:$B$149,$C3070,'6. OPERATION'!BM$17:BM$149)</f>
        <v>0</v>
      </c>
      <c r="J3095" s="141">
        <f>SUMIF('5. PERSON'!$B$17:$B$192,$C3070,'5. PERSON'!BY$17:BY$192)+SUMIF('5. PERSON'!$B$17:$B$192,$C3070,'5. PERSON'!CK$17:CK$192)+SUMIF('6. OPERATION'!$B$17:$B$149,$C3070,'6. OPERATION'!BB$17:BB$149)+SUMIF('6. OPERATION'!$B$17:$B$149,$C3070,'6. OPERATION'!BN$17:BN$149)</f>
        <v>0</v>
      </c>
      <c r="K3095" s="141">
        <f>SUMIF('5. PERSON'!$B$17:$B$192,$C3070,'5. PERSON'!BZ$17:BZ$192)+SUMIF('5. PERSON'!$B$17:$B$192,$C3070,'5. PERSON'!CL$17:CL$192)+SUMIF('6. OPERATION'!$B$17:$B$149,$C3070,'6. OPERATION'!BC$17:BC$149)+SUMIF('6. OPERATION'!$B$17:$B$149,$C3070,'6. OPERATION'!BO$17:BO$149)</f>
        <v>0</v>
      </c>
      <c r="L3095" s="141">
        <f>SUMIF('5. PERSON'!$B$17:$B$192,$C3070,'5. PERSON'!CA$17:CA$192)+SUMIF('5. PERSON'!$B$17:$B$192,$C3070,'5. PERSON'!CM$17:CM$192)+SUMIF('6. OPERATION'!$B$17:$B$149,$C3070,'6. OPERATION'!BD$17:BD$149)+SUMIF('6. OPERATION'!$B$17:$B$149,$C3070,'6. OPERATION'!BP$17:BP$149)</f>
        <v>0</v>
      </c>
      <c r="M3095" s="123">
        <f>SUM(C3095:L3095)</f>
        <v>0</v>
      </c>
    </row>
    <row r="3096" spans="2:13" s="3" customFormat="1" ht="13.2" x14ac:dyDescent="0.25">
      <c r="B3096" s="124" t="s">
        <v>113</v>
      </c>
      <c r="C3096" s="88">
        <f>SUM(C3091:C3095)</f>
        <v>0</v>
      </c>
      <c r="D3096" s="88">
        <f t="shared" ref="D3096:M3096" si="741">SUM(D3091:D3095)</f>
        <v>0</v>
      </c>
      <c r="E3096" s="88">
        <f t="shared" si="741"/>
        <v>0</v>
      </c>
      <c r="F3096" s="88">
        <f t="shared" si="741"/>
        <v>0</v>
      </c>
      <c r="G3096" s="88">
        <f t="shared" si="741"/>
        <v>0</v>
      </c>
      <c r="H3096" s="88">
        <f t="shared" si="741"/>
        <v>0</v>
      </c>
      <c r="I3096" s="88">
        <f t="shared" si="741"/>
        <v>0</v>
      </c>
      <c r="J3096" s="88">
        <f t="shared" si="741"/>
        <v>0</v>
      </c>
      <c r="K3096" s="88">
        <f t="shared" si="741"/>
        <v>0</v>
      </c>
      <c r="L3096" s="88">
        <f t="shared" si="741"/>
        <v>0</v>
      </c>
      <c r="M3096" s="142">
        <f t="shared" si="741"/>
        <v>0</v>
      </c>
    </row>
    <row r="3097" spans="2:13" s="3" customFormat="1" ht="13.2" x14ac:dyDescent="0.25">
      <c r="B3097" s="287"/>
      <c r="C3097" s="37"/>
      <c r="D3097" s="37"/>
      <c r="E3097" s="37"/>
      <c r="F3097" s="37"/>
      <c r="G3097" s="37"/>
      <c r="H3097" s="37"/>
      <c r="I3097" s="37"/>
      <c r="J3097" s="37"/>
      <c r="K3097" s="37"/>
      <c r="L3097" s="37"/>
      <c r="M3097" s="37"/>
    </row>
    <row r="3098" spans="2:13" s="3" customFormat="1" ht="12.75" customHeight="1" x14ac:dyDescent="0.25">
      <c r="B3098" s="656" t="str">
        <f>IF('1. INTRO'!I$2="English","Co-funding share in full cost ","Medfinansieringsandel i full kostnad ")</f>
        <v xml:space="preserve">Co-funding share in full cost </v>
      </c>
      <c r="C3098" s="143" t="str">
        <f t="shared" ref="C3098:M3098" si="742">IF(C3096&gt;0,C3088/C3096,"")</f>
        <v/>
      </c>
      <c r="D3098" s="143" t="str">
        <f t="shared" si="742"/>
        <v/>
      </c>
      <c r="E3098" s="143" t="str">
        <f t="shared" si="742"/>
        <v/>
      </c>
      <c r="F3098" s="143" t="str">
        <f t="shared" si="742"/>
        <v/>
      </c>
      <c r="G3098" s="143" t="str">
        <f t="shared" si="742"/>
        <v/>
      </c>
      <c r="H3098" s="143" t="str">
        <f t="shared" si="742"/>
        <v/>
      </c>
      <c r="I3098" s="143" t="str">
        <f t="shared" si="742"/>
        <v/>
      </c>
      <c r="J3098" s="143" t="str">
        <f t="shared" si="742"/>
        <v/>
      </c>
      <c r="K3098" s="143" t="str">
        <f t="shared" si="742"/>
        <v/>
      </c>
      <c r="L3098" s="143" t="str">
        <f t="shared" si="742"/>
        <v/>
      </c>
      <c r="M3098" s="143" t="str">
        <f t="shared" si="742"/>
        <v/>
      </c>
    </row>
    <row r="3099" spans="2:13" ht="12.75" customHeight="1" x14ac:dyDescent="0.2"/>
    <row r="3100" spans="2:13" ht="12.75" customHeight="1" x14ac:dyDescent="0.25">
      <c r="D3100" s="676" t="str">
        <f>IF('1. INTRO'!I$2="English","Co-funding need in average per year: ","Medfinansieringsbehov i genomsnitt per år: ")</f>
        <v xml:space="preserve">Co-funding need in average per year: </v>
      </c>
      <c r="E3100" s="92" t="str">
        <f>IF(M3088=0,"",M3088/(DATEDIF('2. START'!C$18,'2. START'!C$19,"d")/365))</f>
        <v/>
      </c>
      <c r="H3100" s="676" t="str">
        <f>IF('1. INTRO'!I$2="English","Co-funding need 1/3 of total: ","Medfinansieringsbehov 1/3 av totalt: ")</f>
        <v xml:space="preserve">Co-funding need 1/3 of total: </v>
      </c>
      <c r="I3100" s="92">
        <f>M3088/3</f>
        <v>0</v>
      </c>
      <c r="L3100" s="287" t="str">
        <f>IF('1. INTRO'!I$2="English","Co-funding need total: ","Medfinansieringsbehov totalt: ")</f>
        <v xml:space="preserve">Co-funding need total: </v>
      </c>
      <c r="M3100" s="92">
        <f>M3088</f>
        <v>0</v>
      </c>
    </row>
    <row r="3101" spans="2:13" ht="12.75" customHeight="1" x14ac:dyDescent="0.25">
      <c r="B3101" s="53" t="str">
        <f>IF('1. INTRO'!I$2="English","Co-funding sources","Medfinansieringskällor")</f>
        <v>Co-funding sources</v>
      </c>
    </row>
    <row r="3102" spans="2:13" ht="12.75" customHeight="1" x14ac:dyDescent="0.25">
      <c r="B3102" s="225"/>
      <c r="C3102" s="226"/>
      <c r="D3102" s="226"/>
      <c r="E3102" s="226"/>
      <c r="F3102" s="226"/>
      <c r="G3102" s="226"/>
      <c r="H3102" s="226"/>
      <c r="I3102" s="226"/>
      <c r="J3102" s="226"/>
      <c r="K3102" s="226"/>
      <c r="L3102" s="227"/>
      <c r="M3102" s="168">
        <f>SUM(C3102:L3102)</f>
        <v>0</v>
      </c>
    </row>
    <row r="3103" spans="2:13" ht="12.75" customHeight="1" x14ac:dyDescent="0.25">
      <c r="B3103" s="228"/>
      <c r="C3103" s="229"/>
      <c r="D3103" s="229"/>
      <c r="E3103" s="229"/>
      <c r="F3103" s="229"/>
      <c r="G3103" s="229"/>
      <c r="H3103" s="229"/>
      <c r="I3103" s="229"/>
      <c r="J3103" s="229"/>
      <c r="K3103" s="229"/>
      <c r="L3103" s="230"/>
      <c r="M3103" s="120">
        <f t="shared" ref="M3103:M3106" si="743">SUM(C3103:L3103)</f>
        <v>0</v>
      </c>
    </row>
    <row r="3104" spans="2:13" ht="12.75" customHeight="1" x14ac:dyDescent="0.25">
      <c r="B3104" s="231"/>
      <c r="C3104" s="232"/>
      <c r="D3104" s="232"/>
      <c r="E3104" s="232"/>
      <c r="F3104" s="232"/>
      <c r="G3104" s="232"/>
      <c r="H3104" s="232"/>
      <c r="I3104" s="232"/>
      <c r="J3104" s="232"/>
      <c r="K3104" s="232"/>
      <c r="L3104" s="233"/>
      <c r="M3104" s="117">
        <f t="shared" si="743"/>
        <v>0</v>
      </c>
    </row>
    <row r="3105" spans="2:13" ht="12.75" customHeight="1" x14ac:dyDescent="0.25">
      <c r="B3105" s="228"/>
      <c r="C3105" s="229"/>
      <c r="D3105" s="229"/>
      <c r="E3105" s="229"/>
      <c r="F3105" s="229"/>
      <c r="G3105" s="229"/>
      <c r="H3105" s="229"/>
      <c r="I3105" s="229"/>
      <c r="J3105" s="229"/>
      <c r="K3105" s="229"/>
      <c r="L3105" s="230"/>
      <c r="M3105" s="120">
        <f t="shared" si="743"/>
        <v>0</v>
      </c>
    </row>
    <row r="3106" spans="2:13" ht="12.75" customHeight="1" x14ac:dyDescent="0.25">
      <c r="B3106" s="93"/>
      <c r="C3106" s="232"/>
      <c r="D3106" s="232"/>
      <c r="E3106" s="232"/>
      <c r="F3106" s="232"/>
      <c r="G3106" s="232"/>
      <c r="H3106" s="232"/>
      <c r="I3106" s="232"/>
      <c r="J3106" s="232"/>
      <c r="K3106" s="232"/>
      <c r="L3106" s="233"/>
      <c r="M3106" s="117">
        <f t="shared" si="743"/>
        <v>0</v>
      </c>
    </row>
    <row r="3107" spans="2:13" ht="12.75" customHeight="1" x14ac:dyDescent="0.25">
      <c r="B3107" s="84" t="str">
        <f>IF('1. INTRO'!I$2="English","Total co-funding ","Total medfinansiering ")</f>
        <v xml:space="preserve">Total co-funding </v>
      </c>
      <c r="C3107" s="87">
        <f t="shared" ref="C3107:M3107" si="744">SUM(C3102:C3106)</f>
        <v>0</v>
      </c>
      <c r="D3107" s="87">
        <f t="shared" si="744"/>
        <v>0</v>
      </c>
      <c r="E3107" s="87">
        <f t="shared" si="744"/>
        <v>0</v>
      </c>
      <c r="F3107" s="87">
        <f t="shared" si="744"/>
        <v>0</v>
      </c>
      <c r="G3107" s="87">
        <f t="shared" si="744"/>
        <v>0</v>
      </c>
      <c r="H3107" s="87">
        <f t="shared" si="744"/>
        <v>0</v>
      </c>
      <c r="I3107" s="87">
        <f t="shared" si="744"/>
        <v>0</v>
      </c>
      <c r="J3107" s="87">
        <f t="shared" si="744"/>
        <v>0</v>
      </c>
      <c r="K3107" s="87">
        <f t="shared" si="744"/>
        <v>0</v>
      </c>
      <c r="L3107" s="87">
        <f t="shared" si="744"/>
        <v>0</v>
      </c>
      <c r="M3107" s="142">
        <f t="shared" si="744"/>
        <v>0</v>
      </c>
    </row>
    <row r="3108" spans="2:13" ht="12.75" customHeight="1" x14ac:dyDescent="0.2"/>
    <row r="3109" spans="2:13" ht="12.75" customHeight="1" x14ac:dyDescent="0.2">
      <c r="B3109" s="667" t="str">
        <f>IF('1. INTRO'!I$2="English","Calculation comments","Kalkylkommentarer")</f>
        <v>Calculation comments</v>
      </c>
      <c r="C3109" s="37" t="str">
        <f>B74</f>
        <v/>
      </c>
    </row>
    <row r="3110" spans="2:13" ht="12.75" customHeight="1" x14ac:dyDescent="0.2">
      <c r="B3110" s="1142"/>
      <c r="C3110" s="1143"/>
      <c r="D3110" s="1143"/>
      <c r="E3110" s="1143"/>
      <c r="F3110" s="1143"/>
      <c r="G3110" s="1143"/>
      <c r="H3110" s="1143"/>
      <c r="I3110" s="1143"/>
      <c r="J3110" s="1143"/>
      <c r="K3110" s="1143"/>
      <c r="L3110" s="1143"/>
      <c r="M3110" s="1144"/>
    </row>
    <row r="3111" spans="2:13" ht="12.75" customHeight="1" x14ac:dyDescent="0.2">
      <c r="B3111" s="1145"/>
      <c r="C3111" s="1226"/>
      <c r="D3111" s="1226"/>
      <c r="E3111" s="1226"/>
      <c r="F3111" s="1226"/>
      <c r="G3111" s="1226"/>
      <c r="H3111" s="1226"/>
      <c r="I3111" s="1226"/>
      <c r="J3111" s="1226"/>
      <c r="K3111" s="1226"/>
      <c r="L3111" s="1226"/>
      <c r="M3111" s="1147"/>
    </row>
    <row r="3112" spans="2:13" ht="12.75" customHeight="1" x14ac:dyDescent="0.2">
      <c r="B3112" s="1145"/>
      <c r="C3112" s="1226"/>
      <c r="D3112" s="1226"/>
      <c r="E3112" s="1226"/>
      <c r="F3112" s="1226"/>
      <c r="G3112" s="1226"/>
      <c r="H3112" s="1226"/>
      <c r="I3112" s="1226"/>
      <c r="J3112" s="1226"/>
      <c r="K3112" s="1226"/>
      <c r="L3112" s="1226"/>
      <c r="M3112" s="1147"/>
    </row>
    <row r="3113" spans="2:13" ht="12.75" customHeight="1" x14ac:dyDescent="0.2">
      <c r="B3113" s="1145"/>
      <c r="C3113" s="1226"/>
      <c r="D3113" s="1226"/>
      <c r="E3113" s="1226"/>
      <c r="F3113" s="1226"/>
      <c r="G3113" s="1226"/>
      <c r="H3113" s="1226"/>
      <c r="I3113" s="1226"/>
      <c r="J3113" s="1226"/>
      <c r="K3113" s="1226"/>
      <c r="L3113" s="1226"/>
      <c r="M3113" s="1147"/>
    </row>
    <row r="3114" spans="2:13" ht="12.75" customHeight="1" x14ac:dyDescent="0.2">
      <c r="B3114" s="1148"/>
      <c r="C3114" s="1149"/>
      <c r="D3114" s="1149"/>
      <c r="E3114" s="1149"/>
      <c r="F3114" s="1149"/>
      <c r="G3114" s="1149"/>
      <c r="H3114" s="1149"/>
      <c r="I3114" s="1149"/>
      <c r="J3114" s="1149"/>
      <c r="K3114" s="1149"/>
      <c r="L3114" s="1149"/>
      <c r="M3114" s="1150"/>
    </row>
    <row r="3116" spans="2:13" s="3" customFormat="1" ht="12.75" customHeight="1" x14ac:dyDescent="0.25">
      <c r="B3116" s="313" t="str">
        <f>'3. PARTNER'!C$4</f>
        <v xml:space="preserve">Project: </v>
      </c>
      <c r="C3116" s="1062" t="str">
        <f>'3. PARTNER'!D$4</f>
        <v/>
      </c>
      <c r="D3116" s="1001"/>
      <c r="E3116" s="1001"/>
      <c r="F3116" s="1001"/>
      <c r="G3116" s="1001"/>
      <c r="H3116" s="1001"/>
      <c r="I3116" s="1001"/>
      <c r="J3116" s="1001"/>
      <c r="K3116" s="1001"/>
      <c r="L3116" s="1001"/>
      <c r="M3116" s="1001"/>
    </row>
    <row r="3117" spans="2:13" s="3" customFormat="1" ht="13.2" x14ac:dyDescent="0.25">
      <c r="B3117" s="313" t="str">
        <f>'3. PARTNER'!C$5</f>
        <v xml:space="preserve">Calculation for: </v>
      </c>
      <c r="C3117" s="1062" t="str">
        <f>'3. PARTNER'!D$5</f>
        <v>APPLICATION</v>
      </c>
      <c r="D3117" s="1001"/>
      <c r="E3117" s="268"/>
      <c r="F3117" s="268"/>
      <c r="G3117" s="268"/>
      <c r="H3117" s="268"/>
      <c r="I3117" s="268"/>
      <c r="J3117" s="268"/>
      <c r="K3117" s="268"/>
      <c r="L3117" s="268"/>
      <c r="M3117" s="268"/>
    </row>
    <row r="3118" spans="2:13" s="3" customFormat="1" ht="13.2" x14ac:dyDescent="0.25">
      <c r="B3118" s="35" t="str">
        <f>'3. PARTNER'!C$6</f>
        <v xml:space="preserve">Project leader: </v>
      </c>
      <c r="C3118" s="1062" t="str">
        <f>'3. PARTNER'!D$6</f>
        <v/>
      </c>
      <c r="D3118" s="1001"/>
      <c r="E3118" s="1001"/>
      <c r="F3118" s="1001"/>
      <c r="G3118" s="1001"/>
      <c r="H3118" s="1001"/>
      <c r="I3118" s="1001"/>
      <c r="J3118" s="1001"/>
      <c r="K3118" s="1001"/>
      <c r="L3118" s="1001"/>
      <c r="M3118" s="1001"/>
    </row>
    <row r="3119" spans="2:13" s="3" customFormat="1" ht="13.2" x14ac:dyDescent="0.25">
      <c r="B3119" s="313" t="str">
        <f>'5. PERSON'!B$7</f>
        <v xml:space="preserve">Amounts in: </v>
      </c>
      <c r="C3119" s="655" t="str">
        <f>'5. PERSON'!C$7</f>
        <v>SEK</v>
      </c>
      <c r="D3119" s="268"/>
      <c r="E3119" s="268"/>
      <c r="F3119" s="268"/>
      <c r="G3119" s="234"/>
      <c r="H3119" s="234"/>
      <c r="I3119" s="270"/>
      <c r="J3119" s="270"/>
      <c r="K3119" s="270"/>
      <c r="L3119" s="270"/>
      <c r="M3119" s="270"/>
    </row>
    <row r="3120" spans="2:13" s="3" customFormat="1" ht="13.2" x14ac:dyDescent="0.25">
      <c r="B3120" s="313"/>
      <c r="C3120" s="1053" t="str">
        <f>'3. PARTNER'!D$7</f>
        <v>Other basic data about the project is in sheet 2.</v>
      </c>
      <c r="D3120" s="1001"/>
      <c r="E3120" s="1001"/>
      <c r="F3120" s="1001"/>
      <c r="G3120" s="234"/>
      <c r="H3120" s="234"/>
      <c r="I3120" s="270"/>
      <c r="J3120" s="270"/>
      <c r="K3120" s="270"/>
      <c r="L3120" s="251" t="s">
        <v>4</v>
      </c>
      <c r="M3120" s="270"/>
    </row>
    <row r="3121" spans="2:15" ht="12.75" customHeight="1" x14ac:dyDescent="0.2">
      <c r="L3121" s="252" t="str">
        <f>IF('1. INTRO'!I$2="English","months","månader")</f>
        <v>months</v>
      </c>
    </row>
    <row r="3122" spans="2:15" s="3" customFormat="1" ht="13.8" x14ac:dyDescent="0.25">
      <c r="B3122" s="157" t="str">
        <f>IF('1. INTRO'!I$2="English","Project costs","Projektkostnader")</f>
        <v>Project costs</v>
      </c>
      <c r="C3122" s="668" t="str">
        <f>A75</f>
        <v>EXT117</v>
      </c>
      <c r="D3122" s="1227" t="str">
        <f>B75</f>
        <v/>
      </c>
      <c r="E3122" s="1001"/>
      <c r="F3122" s="1001"/>
      <c r="G3122" s="1001"/>
      <c r="H3122" s="1001"/>
      <c r="I3122" s="37"/>
      <c r="J3122" s="37"/>
      <c r="K3122" s="37"/>
      <c r="L3122" s="642">
        <f>SUMIF('5. PERSON'!$B$17:$B$192,$C3122,'5. PERSON'!AE$17:AE$192)</f>
        <v>0</v>
      </c>
      <c r="M3122" s="680" t="s">
        <v>330</v>
      </c>
    </row>
    <row r="3123" spans="2:15" s="3" customFormat="1" ht="6" customHeight="1" x14ac:dyDescent="0.25">
      <c r="B3123" s="57"/>
      <c r="C3123" s="37"/>
      <c r="D3123" s="37"/>
      <c r="E3123" s="37"/>
      <c r="F3123" s="37"/>
      <c r="G3123" s="37"/>
      <c r="H3123" s="37"/>
      <c r="I3123" s="37"/>
      <c r="J3123" s="37"/>
      <c r="K3123" s="37"/>
      <c r="L3123" s="37"/>
      <c r="M3123" s="37"/>
    </row>
    <row r="3124" spans="2:15" s="3" customFormat="1" ht="13.2" x14ac:dyDescent="0.25">
      <c r="B3124" s="110" t="str">
        <f>IF('1. INTRO'!I$2="English","Costs to be covered by funding body","Kostnader att täckas av finansiär")</f>
        <v>Costs to be covered by funding body</v>
      </c>
      <c r="C3124" s="111">
        <f>'5. PERSON'!G$15</f>
        <v>1900</v>
      </c>
      <c r="D3124" s="111" t="str">
        <f>'5. PERSON'!H$15</f>
        <v/>
      </c>
      <c r="E3124" s="111" t="str">
        <f>'5. PERSON'!I$15</f>
        <v/>
      </c>
      <c r="F3124" s="111" t="str">
        <f>'5. PERSON'!J$15</f>
        <v/>
      </c>
      <c r="G3124" s="111" t="str">
        <f>'5. PERSON'!K$15</f>
        <v/>
      </c>
      <c r="H3124" s="111" t="str">
        <f>'5. PERSON'!L$15</f>
        <v/>
      </c>
      <c r="I3124" s="111" t="str">
        <f>'5. PERSON'!M$15</f>
        <v/>
      </c>
      <c r="J3124" s="111" t="str">
        <f>'5. PERSON'!N$15</f>
        <v/>
      </c>
      <c r="K3124" s="111" t="str">
        <f>'5. PERSON'!O$15</f>
        <v/>
      </c>
      <c r="L3124" s="111" t="str">
        <f>'5. PERSON'!P$15</f>
        <v/>
      </c>
      <c r="M3124" s="112" t="s">
        <v>2</v>
      </c>
    </row>
    <row r="3125" spans="2:15" s="3" customFormat="1" ht="12.75" customHeight="1" x14ac:dyDescent="0.25">
      <c r="B3125" s="113" t="str">
        <f>IF('1. INTRO'!I$2="English","Salary including social costs (LKP)","Lön inklusive LKP")</f>
        <v>Salary including social costs (LKP)</v>
      </c>
      <c r="C3125" s="114">
        <f>IF('2. START'!$C$14&gt;0,SUMIF('5. PERSON'!$B$17:$B$192,$C3122,'5. PERSON'!DN$17:DN$192),SUMIF('5. PERSON'!$B$17:$B$192,$C3122,'5. PERSON'!AT$17:AT$192))</f>
        <v>0</v>
      </c>
      <c r="D3125" s="114">
        <f>IF('2. START'!$C$14&gt;0,SUMIF('5. PERSON'!$B$17:$B$192,$C3122,'5. PERSON'!DO$17:DO$192),SUMIF('5. PERSON'!$B$17:$B$192,$C3122,'5. PERSON'!AU$17:AU$192))</f>
        <v>0</v>
      </c>
      <c r="E3125" s="114">
        <f>IF('2. START'!$C$14&gt;0,SUMIF('5. PERSON'!$B$17:$B$192,$C3122,'5. PERSON'!DP$17:DP$192),SUMIF('5. PERSON'!$B$17:$B$192,$C3122,'5. PERSON'!AV$17:AV$192))</f>
        <v>0</v>
      </c>
      <c r="F3125" s="114">
        <f>IF('2. START'!$C$14&gt;0,SUMIF('5. PERSON'!$B$17:$B$192,$C3122,'5. PERSON'!DQ$17:DQ$192),SUMIF('5. PERSON'!$B$17:$B$192,$C3122,'5. PERSON'!AW$17:AW$192))</f>
        <v>0</v>
      </c>
      <c r="G3125" s="114">
        <f>IF('2. START'!$C$14&gt;0,SUMIF('5. PERSON'!$B$17:$B$192,$C3122,'5. PERSON'!DR$17:DR$192),SUMIF('5. PERSON'!$B$17:$B$192,$C3122,'5. PERSON'!AX$17:AX$192))</f>
        <v>0</v>
      </c>
      <c r="H3125" s="114">
        <f>IF('2. START'!$C$14&gt;0,SUMIF('5. PERSON'!$B$17:$B$192,$C3122,'5. PERSON'!DS$17:DS$192),SUMIF('5. PERSON'!$B$17:$B$192,$C3122,'5. PERSON'!AY$17:AY$192))</f>
        <v>0</v>
      </c>
      <c r="I3125" s="114">
        <f>IF('2. START'!$C$14&gt;0,SUMIF('5. PERSON'!$B$17:$B$192,$C3122,'5. PERSON'!DT$17:DT$192),SUMIF('5. PERSON'!$B$17:$B$192,$C3122,'5. PERSON'!AZ$17:AZ$192))</f>
        <v>0</v>
      </c>
      <c r="J3125" s="114">
        <f>IF('2. START'!$C$14&gt;0,SUMIF('5. PERSON'!$B$17:$B$192,$C3122,'5. PERSON'!DU$17:DU$192),SUMIF('5. PERSON'!$B$17:$B$192,$C3122,'5. PERSON'!BA$17:BA$192))</f>
        <v>0</v>
      </c>
      <c r="K3125" s="114">
        <f>IF('2. START'!$C$14&gt;0,SUMIF('5. PERSON'!$B$17:$B$192,$C3122,'5. PERSON'!DV$17:DV$192),SUMIF('5. PERSON'!$B$17:$B$192,$C3122,'5. PERSON'!BB$17:BB$192))</f>
        <v>0</v>
      </c>
      <c r="L3125" s="114">
        <f>IF('2. START'!$C$14&gt;0,SUMIF('5. PERSON'!$B$17:$B$192,$C3122,'5. PERSON'!DW$17:DW$192),SUMIF('5. PERSON'!$B$17:$B$192,$C3122,'5. PERSON'!BC$17:BC$192))</f>
        <v>0</v>
      </c>
      <c r="M3125" s="115">
        <f t="shared" ref="M3125:M3130" si="745">SUM(C3125:L3125)</f>
        <v>0</v>
      </c>
      <c r="O3125" s="4"/>
    </row>
    <row r="3126" spans="2:15" s="3" customFormat="1" ht="12.75" customHeight="1" x14ac:dyDescent="0.25">
      <c r="B3126" s="80" t="str">
        <f>IF('1. INTRO'!I$2="English","Operating","Drift")</f>
        <v>Operating</v>
      </c>
      <c r="C3126" s="116">
        <f>SUMIF('6. OPERATION'!$B$17:$B$149,$C3122,'6. OPERATION'!W$17:W$149)</f>
        <v>0</v>
      </c>
      <c r="D3126" s="116">
        <f>SUMIF('6. OPERATION'!$B$17:$B$149,$C3122,'6. OPERATION'!X$17:X$149)</f>
        <v>0</v>
      </c>
      <c r="E3126" s="116">
        <f>SUMIF('6. OPERATION'!$B$17:$B$149,$C3122,'6. OPERATION'!Y$17:Y$149)</f>
        <v>0</v>
      </c>
      <c r="F3126" s="116">
        <f>SUMIF('6. OPERATION'!$B$17:$B$149,$C3122,'6. OPERATION'!Z$17:Z$149)</f>
        <v>0</v>
      </c>
      <c r="G3126" s="116">
        <f>SUMIF('6. OPERATION'!$B$17:$B$149,$C3122,'6. OPERATION'!AA$17:AA$149)</f>
        <v>0</v>
      </c>
      <c r="H3126" s="116">
        <f>SUMIF('6. OPERATION'!$B$17:$B$149,$C3122,'6. OPERATION'!AB$17:AB$149)</f>
        <v>0</v>
      </c>
      <c r="I3126" s="116">
        <f>SUMIF('6. OPERATION'!$B$17:$B$149,$C3122,'6. OPERATION'!AC$17:AC$149)</f>
        <v>0</v>
      </c>
      <c r="J3126" s="116">
        <f>SUMIF('6. OPERATION'!$B$17:$B$149,$C3122,'6. OPERATION'!AD$17:AD$149)</f>
        <v>0</v>
      </c>
      <c r="K3126" s="116">
        <f>SUMIF('6. OPERATION'!$B$17:$B$149,$C3122,'6. OPERATION'!AE$17:AE$149)</f>
        <v>0</v>
      </c>
      <c r="L3126" s="116">
        <f>SUMIF('6. OPERATION'!$B$17:$B$149,$C3122,'6. OPERATION'!AF$17:AF$149)</f>
        <v>0</v>
      </c>
      <c r="M3126" s="117">
        <f t="shared" si="745"/>
        <v>0</v>
      </c>
    </row>
    <row r="3127" spans="2:15" s="3" customFormat="1" ht="13.2" x14ac:dyDescent="0.25">
      <c r="B3127" s="118" t="str">
        <f>IF('1. INTRO'!I$2="English","Equipment","Utrustning")</f>
        <v>Equipment</v>
      </c>
      <c r="C3127" s="119">
        <f>SUMIF('7. INVEST'!$B$17:$B$49,$C3122,'7. INVEST'!W$17:W$49)</f>
        <v>0</v>
      </c>
      <c r="D3127" s="119">
        <f>SUMIF('7. INVEST'!$B$17:$B$49,$C3122,'7. INVEST'!X$17:X$49)</f>
        <v>0</v>
      </c>
      <c r="E3127" s="119">
        <f>SUMIF('7. INVEST'!$B$17:$B$49,$C3122,'7. INVEST'!Y$17:Y$49)</f>
        <v>0</v>
      </c>
      <c r="F3127" s="119">
        <f>SUMIF('7. INVEST'!$B$17:$B$49,$C3122,'7. INVEST'!Z$17:Z$49)</f>
        <v>0</v>
      </c>
      <c r="G3127" s="119">
        <f>SUMIF('7. INVEST'!$B$17:$B$49,$C3122,'7. INVEST'!AA$17:AA$49)</f>
        <v>0</v>
      </c>
      <c r="H3127" s="119">
        <f>SUMIF('7. INVEST'!$B$17:$B$49,$C3122,'7. INVEST'!AB$17:AB$49)</f>
        <v>0</v>
      </c>
      <c r="I3127" s="119">
        <f>SUMIF('7. INVEST'!$B$17:$B$49,$C3122,'7. INVEST'!AC$17:AC$49)</f>
        <v>0</v>
      </c>
      <c r="J3127" s="119">
        <f>SUMIF('7. INVEST'!$B$17:$B$49,$C3122,'7. INVEST'!AD$17:AD$49)</f>
        <v>0</v>
      </c>
      <c r="K3127" s="119">
        <f>SUMIF('7. INVEST'!$B$17:$B$49,$C3122,'7. INVEST'!AE$17:AE$49)</f>
        <v>0</v>
      </c>
      <c r="L3127" s="119">
        <f>SUMIF('7. INVEST'!$B$17:$B$49,$C3122,'7. INVEST'!AF$17:AF$49)</f>
        <v>0</v>
      </c>
      <c r="M3127" s="120">
        <f t="shared" si="745"/>
        <v>0</v>
      </c>
    </row>
    <row r="3128" spans="2:15" s="3" customFormat="1" ht="13.2" x14ac:dyDescent="0.25">
      <c r="B3128" s="121" t="str">
        <f>IF('1. INTRO'!I$2="English",(IF('2. START'!C$11="NO","Facility accepted as direct cost by funding body","Facility")),IF('2. START'!C$11="NO","Lokal accepterad som direkt kostnad av finansiär","Lokal"))</f>
        <v>Facility</v>
      </c>
      <c r="C3128" s="116">
        <f>IF('2. START'!$C$11="NO",SUMIF('8. FACILIT'!$B$18:$B$50,$C3122,'8. FACILIT'!T$18:T$50),SUMIF('5. PERSON'!$B$17:$B$192,$C3122,'5. PERSON'!CP$17:CP$192)+SUMIF('6. OPERATION'!$B$17:$B$149,$C3122,'6. OPERATION'!BS$17:BS$149)+SUMIF('8. FACILIT'!$B$18:$B$50,$C3122,'8. FACILIT'!T$18:T$50))</f>
        <v>0</v>
      </c>
      <c r="D3128" s="116">
        <f>IF('2. START'!$C$11="NO",SUMIF('8. FACILIT'!$B$18:$B$50,$C3122,'8. FACILIT'!U$18:U$50),SUMIF('5. PERSON'!$B$17:$B$192,$C3122,'5. PERSON'!CQ$17:CQ$192)+SUMIF('6. OPERATION'!$B$17:$B$149,$C3122,'6. OPERATION'!BT$17:BT$149)+SUMIF('8. FACILIT'!$B$18:$B$50,$C3122,'8. FACILIT'!U$18:U$50))</f>
        <v>0</v>
      </c>
      <c r="E3128" s="116">
        <f>IF('2. START'!$C$11="NO",SUMIF('8. FACILIT'!$B$18:$B$50,$C3122,'8. FACILIT'!V$18:V$50),SUMIF('5. PERSON'!$B$17:$B$192,$C3122,'5. PERSON'!CR$17:CR$192)+SUMIF('6. OPERATION'!$B$17:$B$149,$C3122,'6. OPERATION'!BU$17:BU$149)+SUMIF('8. FACILIT'!$B$18:$B$50,$C3122,'8. FACILIT'!V$18:V$50))</f>
        <v>0</v>
      </c>
      <c r="F3128" s="116">
        <f>IF('2. START'!$C$11="NO",SUMIF('8. FACILIT'!$B$18:$B$50,$C3122,'8. FACILIT'!W$18:W$50),SUMIF('5. PERSON'!$B$17:$B$192,$C3122,'5. PERSON'!CS$17:CS$192)+SUMIF('6. OPERATION'!$B$17:$B$149,$C3122,'6. OPERATION'!BV$17:BV$149)+SUMIF('8. FACILIT'!$B$18:$B$50,$C3122,'8. FACILIT'!W$18:W$50))</f>
        <v>0</v>
      </c>
      <c r="G3128" s="116">
        <f>IF('2. START'!$C$11="NO",SUMIF('8. FACILIT'!$B$18:$B$50,$C3122,'8. FACILIT'!X$18:X$50),SUMIF('5. PERSON'!$B$17:$B$192,$C3122,'5. PERSON'!CT$17:CT$192)+SUMIF('6. OPERATION'!$B$17:$B$149,$C3122,'6. OPERATION'!BW$17:BW$149)+SUMIF('8. FACILIT'!$B$18:$B$50,$C3122,'8. FACILIT'!X$18:X$50))</f>
        <v>0</v>
      </c>
      <c r="H3128" s="116">
        <f>IF('2. START'!$C$11="NO",SUMIF('8. FACILIT'!$B$18:$B$50,$C3122,'8. FACILIT'!Y$18:Y$50),SUMIF('5. PERSON'!$B$17:$B$192,$C3122,'5. PERSON'!CU$17:CU$192)+SUMIF('6. OPERATION'!$B$17:$B$149,$C3122,'6. OPERATION'!BX$17:BX$149)+SUMIF('8. FACILIT'!$B$18:$B$50,$C3122,'8. FACILIT'!Y$18:Y$50))</f>
        <v>0</v>
      </c>
      <c r="I3128" s="116">
        <f>IF('2. START'!$C$11="NO",SUMIF('8. FACILIT'!$B$18:$B$50,$C3122,'8. FACILIT'!Z$18:Z$50),SUMIF('5. PERSON'!$B$17:$B$192,$C3122,'5. PERSON'!CV$17:CV$192)+SUMIF('6. OPERATION'!$B$17:$B$149,$C3122,'6. OPERATION'!BY$17:BY$149)+SUMIF('8. FACILIT'!$B$18:$B$50,$C3122,'8. FACILIT'!Z$18:Z$50))</f>
        <v>0</v>
      </c>
      <c r="J3128" s="116">
        <f>IF('2. START'!$C$11="NO",SUMIF('8. FACILIT'!$B$18:$B$50,$C3122,'8. FACILIT'!AA$18:AA$50),SUMIF('5. PERSON'!$B$17:$B$192,$C3122,'5. PERSON'!CW$17:CW$192)+SUMIF('6. OPERATION'!$B$17:$B$149,$C3122,'6. OPERATION'!BZ$17:BZ$149)+SUMIF('8. FACILIT'!$B$18:$B$50,$C3122,'8. FACILIT'!AA$18:AA$50))</f>
        <v>0</v>
      </c>
      <c r="K3128" s="116">
        <f>IF('2. START'!$C$11="NO",SUMIF('8. FACILIT'!$B$18:$B$50,$C3122,'8. FACILIT'!AB$18:AB$50),SUMIF('5. PERSON'!$B$17:$B$192,$C3122,'5. PERSON'!CX$17:CX$192)+SUMIF('6. OPERATION'!$B$17:$B$149,$C3122,'6. OPERATION'!CA$17:CA$149)+SUMIF('8. FACILIT'!$B$18:$B$50,$C3122,'8. FACILIT'!AB$18:AB$50))</f>
        <v>0</v>
      </c>
      <c r="L3128" s="116">
        <f>IF('2. START'!$C$11="NO",SUMIF('8. FACILIT'!$B$18:$B$50,$C3122,'8. FACILIT'!AC$18:AC$50),SUMIF('5. PERSON'!$B$17:$B$192,$C3122,'5. PERSON'!CY$17:CY$192)+SUMIF('6. OPERATION'!$B$17:$B$149,$C3122,'6. OPERATION'!CB$17:CB$149)+SUMIF('8. FACILIT'!$B$18:$B$50,$C3122,'8. FACILIT'!AC$18:AC$50))</f>
        <v>0</v>
      </c>
      <c r="M3128" s="117">
        <f t="shared" si="745"/>
        <v>0</v>
      </c>
    </row>
    <row r="3129" spans="2:15" s="3" customFormat="1" ht="13.2" x14ac:dyDescent="0.25">
      <c r="B3129" s="122" t="str">
        <f>IF('1. INTRO'!I$2="English",(IF('2. START'!C$11="NO","Indirect and facility charge accepted as OH by funding body","Indirect")),IF('2. START'!C$11="NO","Indirekt och lokalpåslag accepterade som OH av finansiär","Indirekt"))</f>
        <v>Indirect</v>
      </c>
      <c r="C3129" s="107">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107">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107">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107">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107">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107">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107">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107">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107">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107">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120">
        <f t="shared" si="745"/>
        <v>0</v>
      </c>
    </row>
    <row r="3130" spans="2:15" s="3" customFormat="1" ht="13.2" x14ac:dyDescent="0.25">
      <c r="B3130" s="124" t="s">
        <v>113</v>
      </c>
      <c r="C3130" s="102">
        <f>SUM(C3125:C3129)</f>
        <v>0</v>
      </c>
      <c r="D3130" s="102">
        <f t="shared" ref="D3130:L3130" si="746">SUM(D3125:D3129)</f>
        <v>0</v>
      </c>
      <c r="E3130" s="102">
        <f t="shared" si="746"/>
        <v>0</v>
      </c>
      <c r="F3130" s="102">
        <f t="shared" si="746"/>
        <v>0</v>
      </c>
      <c r="G3130" s="102">
        <f t="shared" si="746"/>
        <v>0</v>
      </c>
      <c r="H3130" s="102">
        <f t="shared" si="746"/>
        <v>0</v>
      </c>
      <c r="I3130" s="102">
        <f t="shared" si="746"/>
        <v>0</v>
      </c>
      <c r="J3130" s="102">
        <f t="shared" si="746"/>
        <v>0</v>
      </c>
      <c r="K3130" s="102">
        <f t="shared" si="746"/>
        <v>0</v>
      </c>
      <c r="L3130" s="102">
        <f t="shared" si="746"/>
        <v>0</v>
      </c>
      <c r="M3130" s="125">
        <f t="shared" si="745"/>
        <v>0</v>
      </c>
    </row>
    <row r="3131" spans="2:15" s="3" customFormat="1" ht="6" customHeight="1" x14ac:dyDescent="0.25">
      <c r="B3131" s="126"/>
      <c r="C3131" s="127"/>
      <c r="D3131" s="127"/>
      <c r="E3131" s="127"/>
      <c r="F3131" s="127"/>
      <c r="G3131" s="127"/>
      <c r="H3131" s="127"/>
      <c r="I3131" s="127"/>
      <c r="J3131" s="127"/>
      <c r="K3131" s="127"/>
      <c r="L3131" s="127"/>
      <c r="M3131" s="128"/>
    </row>
    <row r="3132" spans="2:15" s="3" customFormat="1" ht="13.2" x14ac:dyDescent="0.25">
      <c r="B3132" s="129" t="str">
        <f>IF('1. INTRO'!I$2="English","Costs to be co-funded","Kostnader att medfinansiera")</f>
        <v>Costs to be co-funded</v>
      </c>
      <c r="C3132" s="86"/>
      <c r="D3132" s="86"/>
      <c r="E3132" s="86"/>
      <c r="F3132" s="86"/>
      <c r="G3132" s="86"/>
      <c r="H3132" s="86"/>
      <c r="I3132" s="86"/>
      <c r="J3132" s="86"/>
      <c r="K3132" s="86"/>
      <c r="L3132" s="86"/>
      <c r="M3132" s="130"/>
    </row>
    <row r="3133" spans="2:15" s="3" customFormat="1" ht="13.2" x14ac:dyDescent="0.25">
      <c r="B3133" s="159" t="str">
        <f>IF('1. INTRO'!I$2="English",(IF('2. START'!C$11="NO","Indirect and facility charge not accepted as OH by funding body","")),IF('2. START'!C$11="NO","Indirekt och lokalpåslag inte accepterade som OH av finansiär",""))</f>
        <v/>
      </c>
      <c r="C3133" s="131">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31">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31">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31">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31">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31">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31">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31">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31">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31">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115">
        <f t="shared" ref="M3133:M3139" si="747">SUM(C3133:L3133)</f>
        <v>0</v>
      </c>
    </row>
    <row r="3134" spans="2:15" s="3" customFormat="1" ht="12.75" customHeight="1" x14ac:dyDescent="0.25">
      <c r="B3134" s="132" t="str">
        <f>IF('1. INTRO'!I$2="English",(IF('2. START'!C$14&gt;0,"Social costs (LKP) not accepted by funding body","")),IF('2. START'!C$14&gt;0,"LKP som inte accepteras av finansiär",""))</f>
        <v/>
      </c>
      <c r="C3134" s="133">
        <f>IF('2. START'!$C$14&gt;0,SUMIF('5. PERSON'!$B$17:$B$192,$C3122,'5. PERSON'!AT$17:AT$192)-SUMIF('5. PERSON'!$B$17:$B$192,$C3122,'5. PERSON'!DN$17:DN$192),0)</f>
        <v>0</v>
      </c>
      <c r="D3134" s="133">
        <f>IF('2. START'!$C$14&gt;0,SUMIF('5. PERSON'!$B$17:$B$192,$C3122,'5. PERSON'!AU$17:AU$192)-SUMIF('5. PERSON'!$B$17:$B$192,$C3122,'5. PERSON'!DO$17:DO$192),0)</f>
        <v>0</v>
      </c>
      <c r="E3134" s="133">
        <f>IF('2. START'!$C$14&gt;0,SUMIF('5. PERSON'!$B$17:$B$192,$C3122,'5. PERSON'!AV$17:AV$192)-SUMIF('5. PERSON'!$B$17:$B$192,$C3122,'5. PERSON'!DP$17:DP$192),0)</f>
        <v>0</v>
      </c>
      <c r="F3134" s="133">
        <f>IF('2. START'!$C$14&gt;0,SUMIF('5. PERSON'!$B$17:$B$192,$C3122,'5. PERSON'!AW$17:AW$192)-SUMIF('5. PERSON'!$B$17:$B$192,$C3122,'5. PERSON'!DQ$17:DQ$192),0)</f>
        <v>0</v>
      </c>
      <c r="G3134" s="133">
        <f>IF('2. START'!$C$14&gt;0,SUMIF('5. PERSON'!$B$17:$B$192,$C3122,'5. PERSON'!AX$17:AX$192)-SUMIF('5. PERSON'!$B$17:$B$192,$C3122,'5. PERSON'!DR$17:DR$192),0)</f>
        <v>0</v>
      </c>
      <c r="H3134" s="133">
        <f>IF('2. START'!$C$14&gt;0,SUMIF('5. PERSON'!$B$17:$B$192,$C3122,'5. PERSON'!AY$17:AY$192)-SUMIF('5. PERSON'!$B$17:$B$192,$C3122,'5. PERSON'!DS$17:DS$192),0)</f>
        <v>0</v>
      </c>
      <c r="I3134" s="133">
        <f>IF('2. START'!$C$14&gt;0,SUMIF('5. PERSON'!$B$17:$B$192,$C3122,'5. PERSON'!AZ$17:AZ$192)-SUMIF('5. PERSON'!$B$17:$B$192,$C3122,'5. PERSON'!DT$17:DT$192),0)</f>
        <v>0</v>
      </c>
      <c r="J3134" s="133">
        <f>IF('2. START'!$C$14&gt;0,SUMIF('5. PERSON'!$B$17:$B$192,$C3122,'5. PERSON'!BA$17:BA$192)-SUMIF('5. PERSON'!$B$17:$B$192,$C3122,'5. PERSON'!DU$17:DU$192),0)</f>
        <v>0</v>
      </c>
      <c r="K3134" s="133">
        <f>IF('2. START'!$C$14&gt;0,SUMIF('5. PERSON'!$B$17:$B$192,$C3122,'5. PERSON'!BB$17:BB$192)-SUMIF('5. PERSON'!$B$17:$B$192,$C3122,'5. PERSON'!DV$17:DV$192),0)</f>
        <v>0</v>
      </c>
      <c r="L3134" s="133">
        <f>IF('2. START'!$C$14&gt;0,SUMIF('5. PERSON'!$B$17:$B$192,$C3122,'5. PERSON'!BC$17:BC$192)-SUMIF('5. PERSON'!$B$17:$B$192,$C3122,'5. PERSON'!DW$17:DW$192),0)</f>
        <v>0</v>
      </c>
      <c r="M3134" s="117">
        <f t="shared" si="747"/>
        <v>0</v>
      </c>
    </row>
    <row r="3135" spans="2:15" s="3" customFormat="1" ht="12.75" customHeight="1" x14ac:dyDescent="0.25">
      <c r="B3135" s="118" t="str">
        <f>IF('1. INTRO'!I$2="English",(IF('5. PERSON'!BP$193&gt;0,"Salary including social costs (LKP)","")),IF('5. PERSON'!BP$193&gt;0,"Lön inklusive LKP",""))</f>
        <v/>
      </c>
      <c r="C3135" s="134">
        <f>SUMIF('5. PERSON'!$B$17:$B$192,$C3122,'5. PERSON'!BF$17:BF$192)</f>
        <v>0</v>
      </c>
      <c r="D3135" s="134">
        <f>SUMIF('5. PERSON'!$B$17:$B$192,$C3122,'5. PERSON'!BG$17:BG$192)</f>
        <v>0</v>
      </c>
      <c r="E3135" s="134">
        <f>SUMIF('5. PERSON'!$B$17:$B$192,$C3122,'5. PERSON'!BH$17:BH$192)</f>
        <v>0</v>
      </c>
      <c r="F3135" s="134">
        <f>SUMIF('5. PERSON'!$B$17:$B$192,$C3122,'5. PERSON'!BI$17:BI$192)</f>
        <v>0</v>
      </c>
      <c r="G3135" s="134">
        <f>SUMIF('5. PERSON'!$B$17:$B$192,$C3122,'5. PERSON'!BJ$17:BJ$192)</f>
        <v>0</v>
      </c>
      <c r="H3135" s="134">
        <f>SUMIF('5. PERSON'!$B$17:$B$192,$C3122,'5. PERSON'!BK$17:BK$192)</f>
        <v>0</v>
      </c>
      <c r="I3135" s="134">
        <f>SUMIF('5. PERSON'!$B$17:$B$192,$C3122,'5. PERSON'!BL$17:BL$192)</f>
        <v>0</v>
      </c>
      <c r="J3135" s="134">
        <f>SUMIF('5. PERSON'!$B$17:$B$192,$C3122,'5. PERSON'!BM$17:BM$192)</f>
        <v>0</v>
      </c>
      <c r="K3135" s="134">
        <f>SUMIF('5. PERSON'!$B$17:$B$192,$C3122,'5. PERSON'!BN$17:BN$192)</f>
        <v>0</v>
      </c>
      <c r="L3135" s="134">
        <f>SUMIF('5. PERSON'!$B$17:$B$192,$C3122,'5. PERSON'!BO$17:BO$192)</f>
        <v>0</v>
      </c>
      <c r="M3135" s="120">
        <f t="shared" si="747"/>
        <v>0</v>
      </c>
    </row>
    <row r="3136" spans="2:15" s="3" customFormat="1" ht="13.2" x14ac:dyDescent="0.25">
      <c r="B3136" s="80" t="str">
        <f>IF('1. INTRO'!I$2="English",(IF('6. OPERATION'!AS$150&gt;0,"Operating","")),IF('6. OPERATION'!AS$150&gt;0,"Drift",""))</f>
        <v/>
      </c>
      <c r="C3136" s="135">
        <f>SUMIF('6. OPERATION'!$B$17:$B$149,$C3122,'6. OPERATION'!AI$17:AI$149)</f>
        <v>0</v>
      </c>
      <c r="D3136" s="135">
        <f>SUMIF('6. OPERATION'!$B$17:$B$149,$C3122,'6. OPERATION'!AJ$17:AJ$149)</f>
        <v>0</v>
      </c>
      <c r="E3136" s="135">
        <f>SUMIF('6. OPERATION'!$B$17:$B$149,$C3122,'6. OPERATION'!AK$17:AK$149)</f>
        <v>0</v>
      </c>
      <c r="F3136" s="135">
        <f>SUMIF('6. OPERATION'!$B$17:$B$149,$C3122,'6. OPERATION'!AL$17:AL$149)</f>
        <v>0</v>
      </c>
      <c r="G3136" s="135">
        <f>SUMIF('6. OPERATION'!$B$17:$B$149,$C3122,'6. OPERATION'!AM$17:AM$149)</f>
        <v>0</v>
      </c>
      <c r="H3136" s="135">
        <f>SUMIF('6. OPERATION'!$B$17:$B$149,$C3122,'6. OPERATION'!AN$17:AN$149)</f>
        <v>0</v>
      </c>
      <c r="I3136" s="135">
        <f>SUMIF('6. OPERATION'!$B$17:$B$149,$C3122,'6. OPERATION'!AO$17:AO$149)</f>
        <v>0</v>
      </c>
      <c r="J3136" s="135">
        <f>SUMIF('6. OPERATION'!$B$17:$B$149,$C3122,'6. OPERATION'!AP$17:AP$149)</f>
        <v>0</v>
      </c>
      <c r="K3136" s="135">
        <f>SUMIF('6. OPERATION'!$B$17:$B$149,$C3122,'6. OPERATION'!AQ$17:AQ$149)</f>
        <v>0</v>
      </c>
      <c r="L3136" s="135">
        <f>SUMIF('6. OPERATION'!$B$17:$B$149,$C3122,'6. OPERATION'!AR$17:AR$149)</f>
        <v>0</v>
      </c>
      <c r="M3136" s="117">
        <f t="shared" si="747"/>
        <v>0</v>
      </c>
    </row>
    <row r="3137" spans="2:15" s="3" customFormat="1" ht="13.2" x14ac:dyDescent="0.25">
      <c r="B3137" s="118" t="str">
        <f>IF('1. INTRO'!I$2="English",(IF('7. INVEST'!AS$50&gt;0,"Equipment","")),IF('7. INVEST'!AS$50&gt;0,"Utrustning",""))</f>
        <v/>
      </c>
      <c r="C3137" s="134">
        <f>SUMIF('7. INVEST'!$B$17:$B$49,$C3122,'7. INVEST'!AI$17:AI$49)</f>
        <v>0</v>
      </c>
      <c r="D3137" s="134">
        <f>SUMIF('7. INVEST'!$B$17:$B$49,$C3122,'7. INVEST'!AJ$17:AJ$49)</f>
        <v>0</v>
      </c>
      <c r="E3137" s="134">
        <f>SUMIF('7. INVEST'!$B$17:$B$49,$C3122,'7. INVEST'!AK$17:AK$49)</f>
        <v>0</v>
      </c>
      <c r="F3137" s="134">
        <f>SUMIF('7. INVEST'!$B$17:$B$49,$C3122,'7. INVEST'!AL$17:AL$49)</f>
        <v>0</v>
      </c>
      <c r="G3137" s="134">
        <f>SUMIF('7. INVEST'!$B$17:$B$49,$C3122,'7. INVEST'!AM$17:AM$49)</f>
        <v>0</v>
      </c>
      <c r="H3137" s="134">
        <f>SUMIF('7. INVEST'!$B$17:$B$49,$C3122,'7. INVEST'!AN$17:AN$49)</f>
        <v>0</v>
      </c>
      <c r="I3137" s="134">
        <f>SUMIF('7. INVEST'!$B$17:$B$49,$C3122,'7. INVEST'!AO$17:AO$49)</f>
        <v>0</v>
      </c>
      <c r="J3137" s="134">
        <f>SUMIF('7. INVEST'!$B$17:$B$49,$C3122,'7. INVEST'!AP$17:AP$49)</f>
        <v>0</v>
      </c>
      <c r="K3137" s="134">
        <f>SUMIF('7. INVEST'!$B$17:$B$49,$C3122,'7. INVEST'!AQ$17:AQ$49)</f>
        <v>0</v>
      </c>
      <c r="L3137" s="134">
        <f>SUMIF('7. INVEST'!$B$17:$B$49,$C3122,'7. INVEST'!AR$17:AR$49)</f>
        <v>0</v>
      </c>
      <c r="M3137" s="120">
        <f t="shared" si="747"/>
        <v>0</v>
      </c>
    </row>
    <row r="3138" spans="2:15" s="3" customFormat="1" ht="13.2" x14ac:dyDescent="0.25">
      <c r="B3138" s="121" t="str">
        <f>IF('1. INTRO'!I$2="English",(IF('8. FACILIT'!AP$51&gt;0,"Facility","")),IF('8. FACILIT'!AP$51&gt;0,"Lokal",""))</f>
        <v/>
      </c>
      <c r="C3138" s="135">
        <f>SUMIF('5. PERSON'!$B$17:$B$192,$C3122,'5. PERSON'!DB$17:DB$192)+SUMIF('6. OPERATION'!$B$17:$B$149,$C3122,'6. OPERATION'!CE$17:CE$149)+SUMIF('8. FACILIT'!$B$18:$B$50,$C3122,'8. FACILIT'!AF$18:AF$50)</f>
        <v>0</v>
      </c>
      <c r="D3138" s="135">
        <f>SUMIF('5. PERSON'!$B$17:$B$192,$C3122,'5. PERSON'!DC$17:DC$192)+SUMIF('6. OPERATION'!$B$17:$B$149,$C3122,'6. OPERATION'!CF$17:CF$149)+SUMIF('8. FACILIT'!$B$18:$B$50,$C3122,'8. FACILIT'!AG$18:AG$50)</f>
        <v>0</v>
      </c>
      <c r="E3138" s="135">
        <f>SUMIF('5. PERSON'!$B$17:$B$192,$C3122,'5. PERSON'!DD$17:DD$192)+SUMIF('6. OPERATION'!$B$17:$B$149,$C3122,'6. OPERATION'!CG$17:CG$149)+SUMIF('8. FACILIT'!$B$18:$B$50,$C3122,'8. FACILIT'!AH$18:AH$50)</f>
        <v>0</v>
      </c>
      <c r="F3138" s="135">
        <f>SUMIF('5. PERSON'!$B$17:$B$192,$C3122,'5. PERSON'!DE$17:DE$192)+SUMIF('6. OPERATION'!$B$17:$B$149,$C3122,'6. OPERATION'!CH$17:CH$149)+SUMIF('8. FACILIT'!$B$18:$B$50,$C3122,'8. FACILIT'!AI$18:AI$50)</f>
        <v>0</v>
      </c>
      <c r="G3138" s="135">
        <f>SUMIF('5. PERSON'!$B$17:$B$192,$C3122,'5. PERSON'!DF$17:DF$192)+SUMIF('6. OPERATION'!$B$17:$B$149,$C3122,'6. OPERATION'!CI$17:CI$149)+SUMIF('8. FACILIT'!$B$18:$B$50,$C3122,'8. FACILIT'!AJ$18:AJ$50)</f>
        <v>0</v>
      </c>
      <c r="H3138" s="135">
        <f>SUMIF('5. PERSON'!$B$17:$B$192,$C3122,'5. PERSON'!DG$17:DG$192)+SUMIF('6. OPERATION'!$B$17:$B$149,$C3122,'6. OPERATION'!CJ$17:CJ$149)+SUMIF('8. FACILIT'!$B$18:$B$50,$C3122,'8. FACILIT'!AK$18:AK$50)</f>
        <v>0</v>
      </c>
      <c r="I3138" s="135">
        <f>SUMIF('5. PERSON'!$B$17:$B$192,$C3122,'5. PERSON'!DH$17:DH$192)+SUMIF('6. OPERATION'!$B$17:$B$149,$C3122,'6. OPERATION'!CK$17:CK$149)+SUMIF('8. FACILIT'!$B$18:$B$50,$C3122,'8. FACILIT'!AL$18:AL$50)</f>
        <v>0</v>
      </c>
      <c r="J3138" s="135">
        <f>SUMIF('5. PERSON'!$B$17:$B$192,$C3122,'5. PERSON'!DI$17:DI$192)+SUMIF('6. OPERATION'!$B$17:$B$149,$C3122,'6. OPERATION'!CL$17:CL$149)+SUMIF('8. FACILIT'!$B$18:$B$50,$C3122,'8. FACILIT'!AM$18:AM$50)</f>
        <v>0</v>
      </c>
      <c r="K3138" s="135">
        <f>SUMIF('5. PERSON'!$B$17:$B$192,$C3122,'5. PERSON'!DJ$17:DJ$192)+SUMIF('6. OPERATION'!$B$17:$B$149,$C3122,'6. OPERATION'!CM$17:CM$149)+SUMIF('8. FACILIT'!$B$18:$B$50,$C3122,'8. FACILIT'!AN$18:AN$50)</f>
        <v>0</v>
      </c>
      <c r="L3138" s="135">
        <f>SUMIF('5. PERSON'!$B$17:$B$192,$C3122,'5. PERSON'!DK$17:DK$192)+SUMIF('6. OPERATION'!$B$17:$B$149,$C3122,'6. OPERATION'!CN$17:CN$149)+SUMIF('8. FACILIT'!$B$18:$B$50,$C3122,'8. FACILIT'!AO$18:AO$50)</f>
        <v>0</v>
      </c>
      <c r="M3138" s="117">
        <f t="shared" si="747"/>
        <v>0</v>
      </c>
    </row>
    <row r="3139" spans="2:15" s="1" customFormat="1" ht="13.2" x14ac:dyDescent="0.25">
      <c r="B3139" s="122" t="str">
        <f>IF('1. INTRO'!I$2="English",(IF(('5. PERSON'!CN$193+'6. OPERATION'!BQ$150)&gt;0,"Indirect","")),IF(('5. PERSON'!CN$193+'6. OPERATION'!BQ$150)&gt;0,"Indirekt",""))</f>
        <v/>
      </c>
      <c r="C3139" s="107">
        <f>SUMIF('5. PERSON'!$B$17:$B$192,$C3122,'5. PERSON'!CD$17:CD$192)+SUMIF('6. OPERATION'!$B$17:$B$149,$C3122,'6. OPERATION'!BG$17:BG$149)</f>
        <v>0</v>
      </c>
      <c r="D3139" s="107">
        <f>SUMIF('5. PERSON'!$B$17:$B$192,$C3122,'5. PERSON'!CE$17:CE$192)+SUMIF('6. OPERATION'!$B$17:$B$149,$C3122,'6. OPERATION'!BH$17:BH$149)</f>
        <v>0</v>
      </c>
      <c r="E3139" s="107">
        <f>SUMIF('5. PERSON'!$B$17:$B$192,$C3122,'5. PERSON'!CF$17:CF$192)+SUMIF('6. OPERATION'!$B$17:$B$149,$C3122,'6. OPERATION'!BI$17:BI$149)</f>
        <v>0</v>
      </c>
      <c r="F3139" s="107">
        <f>SUMIF('5. PERSON'!$B$17:$B$192,$C3122,'5. PERSON'!CG$17:CG$192)+SUMIF('6. OPERATION'!$B$17:$B$149,$C3122,'6. OPERATION'!BJ$17:BJ$149)</f>
        <v>0</v>
      </c>
      <c r="G3139" s="107">
        <f>SUMIF('5. PERSON'!$B$17:$B$192,$C3122,'5. PERSON'!CH$17:CH$192)+SUMIF('6. OPERATION'!$B$17:$B$149,$C3122,'6. OPERATION'!BK$17:BK$149)</f>
        <v>0</v>
      </c>
      <c r="H3139" s="107">
        <f>SUMIF('5. PERSON'!$B$17:$B$192,$C3122,'5. PERSON'!CI$17:CI$192)+SUMIF('6. OPERATION'!$B$17:$B$149,$C3122,'6. OPERATION'!BL$17:BL$149)</f>
        <v>0</v>
      </c>
      <c r="I3139" s="107">
        <f>SUMIF('5. PERSON'!$B$17:$B$192,$C3122,'5. PERSON'!CJ$17:CJ$192)+SUMIF('6. OPERATION'!$B$17:$B$149,$C3122,'6. OPERATION'!BM$17:BM$149)</f>
        <v>0</v>
      </c>
      <c r="J3139" s="107">
        <f>SUMIF('5. PERSON'!$B$17:$B$192,$C3122,'5. PERSON'!CK$17:CK$192)+SUMIF('6. OPERATION'!$B$17:$B$149,$C3122,'6. OPERATION'!BN$17:BN$149)</f>
        <v>0</v>
      </c>
      <c r="K3139" s="107">
        <f>SUMIF('5. PERSON'!$B$17:$B$192,$C3122,'5. PERSON'!CL$17:CL$192)+SUMIF('6. OPERATION'!$B$17:$B$149,$C3122,'6. OPERATION'!BO$17:BO$149)</f>
        <v>0</v>
      </c>
      <c r="L3139" s="107">
        <f>SUMIF('5. PERSON'!$B$17:$B$192,$C3122,'5. PERSON'!CM$17:CM$192)+SUMIF('6. OPERATION'!$B$17:$B$149,$C3122,'6. OPERATION'!BP$17:BP$149)</f>
        <v>0</v>
      </c>
      <c r="M3139" s="123">
        <f t="shared" si="747"/>
        <v>0</v>
      </c>
    </row>
    <row r="3140" spans="2:15" s="3" customFormat="1" ht="13.2" x14ac:dyDescent="0.25">
      <c r="B3140" s="124" t="s">
        <v>113</v>
      </c>
      <c r="C3140" s="102">
        <f>SUM(C3133:C3139)</f>
        <v>0</v>
      </c>
      <c r="D3140" s="102">
        <f t="shared" ref="D3140:L3140" si="748">SUM(D3133:D3139)</f>
        <v>0</v>
      </c>
      <c r="E3140" s="102">
        <f t="shared" si="748"/>
        <v>0</v>
      </c>
      <c r="F3140" s="102">
        <f t="shared" si="748"/>
        <v>0</v>
      </c>
      <c r="G3140" s="102">
        <f t="shared" si="748"/>
        <v>0</v>
      </c>
      <c r="H3140" s="102">
        <f t="shared" si="748"/>
        <v>0</v>
      </c>
      <c r="I3140" s="102">
        <f t="shared" si="748"/>
        <v>0</v>
      </c>
      <c r="J3140" s="102">
        <f t="shared" si="748"/>
        <v>0</v>
      </c>
      <c r="K3140" s="102">
        <f t="shared" si="748"/>
        <v>0</v>
      </c>
      <c r="L3140" s="102">
        <f t="shared" si="748"/>
        <v>0</v>
      </c>
      <c r="M3140" s="125">
        <f t="shared" ref="M3140" si="749">SUM(M3133:M3139)</f>
        <v>0</v>
      </c>
      <c r="N3140" s="23"/>
      <c r="O3140" s="23"/>
    </row>
    <row r="3141" spans="2:15" s="3" customFormat="1" ht="6" customHeight="1" x14ac:dyDescent="0.25">
      <c r="B3141" s="136"/>
      <c r="C3141" s="127"/>
      <c r="D3141" s="127"/>
      <c r="E3141" s="127"/>
      <c r="F3141" s="127"/>
      <c r="G3141" s="127"/>
      <c r="H3141" s="127"/>
      <c r="I3141" s="127"/>
      <c r="J3141" s="127"/>
      <c r="K3141" s="127"/>
      <c r="L3141" s="127"/>
      <c r="M3141" s="137"/>
    </row>
    <row r="3142" spans="2:15" s="3" customFormat="1" ht="13.2" x14ac:dyDescent="0.25">
      <c r="B3142" s="129" t="str">
        <f>IF('1. INTRO'!I$2="English","Full cost","Full kostnad")</f>
        <v>Full cost</v>
      </c>
      <c r="C3142" s="127"/>
      <c r="D3142" s="127"/>
      <c r="E3142" s="127"/>
      <c r="F3142" s="127"/>
      <c r="G3142" s="127"/>
      <c r="H3142" s="127"/>
      <c r="I3142" s="127"/>
      <c r="J3142" s="127"/>
      <c r="K3142" s="127"/>
      <c r="L3142" s="127"/>
      <c r="M3142" s="137"/>
    </row>
    <row r="3143" spans="2:15" s="3" customFormat="1" ht="13.2" x14ac:dyDescent="0.25">
      <c r="B3143" s="113" t="str">
        <f>IF('1. INTRO'!I$2="English","Salary including social costs (LKP)","Lön inklusive LKP")</f>
        <v>Salary including social costs (LKP)</v>
      </c>
      <c r="C3143" s="138">
        <f>C3125+C3134+C3135</f>
        <v>0</v>
      </c>
      <c r="D3143" s="138">
        <f t="shared" ref="D3143:L3143" si="750">D3125+D3134+D3135</f>
        <v>0</v>
      </c>
      <c r="E3143" s="138">
        <f t="shared" si="750"/>
        <v>0</v>
      </c>
      <c r="F3143" s="138">
        <f t="shared" si="750"/>
        <v>0</v>
      </c>
      <c r="G3143" s="138">
        <f t="shared" si="750"/>
        <v>0</v>
      </c>
      <c r="H3143" s="138">
        <f t="shared" si="750"/>
        <v>0</v>
      </c>
      <c r="I3143" s="138">
        <f t="shared" si="750"/>
        <v>0</v>
      </c>
      <c r="J3143" s="138">
        <f t="shared" si="750"/>
        <v>0</v>
      </c>
      <c r="K3143" s="138">
        <f t="shared" si="750"/>
        <v>0</v>
      </c>
      <c r="L3143" s="138">
        <f t="shared" si="750"/>
        <v>0</v>
      </c>
      <c r="M3143" s="115">
        <f>SUM(C3143:L3143)</f>
        <v>0</v>
      </c>
    </row>
    <row r="3144" spans="2:15" s="3" customFormat="1" ht="13.2" x14ac:dyDescent="0.25">
      <c r="B3144" s="80" t="str">
        <f>IF('1. INTRO'!I$2="English","Operating","Drift")</f>
        <v>Operating</v>
      </c>
      <c r="C3144" s="139">
        <f>C3126+C3136</f>
        <v>0</v>
      </c>
      <c r="D3144" s="139">
        <f t="shared" ref="D3144:L3144" si="751">D3126+D3136</f>
        <v>0</v>
      </c>
      <c r="E3144" s="139">
        <f t="shared" si="751"/>
        <v>0</v>
      </c>
      <c r="F3144" s="139">
        <f t="shared" si="751"/>
        <v>0</v>
      </c>
      <c r="G3144" s="139">
        <f t="shared" si="751"/>
        <v>0</v>
      </c>
      <c r="H3144" s="139">
        <f t="shared" si="751"/>
        <v>0</v>
      </c>
      <c r="I3144" s="139">
        <f t="shared" si="751"/>
        <v>0</v>
      </c>
      <c r="J3144" s="139">
        <f t="shared" si="751"/>
        <v>0</v>
      </c>
      <c r="K3144" s="139">
        <f t="shared" si="751"/>
        <v>0</v>
      </c>
      <c r="L3144" s="139">
        <f t="shared" si="751"/>
        <v>0</v>
      </c>
      <c r="M3144" s="117">
        <f>SUM(C3144:L3144)</f>
        <v>0</v>
      </c>
    </row>
    <row r="3145" spans="2:15" s="3" customFormat="1" ht="13.2" x14ac:dyDescent="0.25">
      <c r="B3145" s="118" t="str">
        <f>IF('1. INTRO'!I$2="English","Equipment","Utrustning")</f>
        <v>Equipment</v>
      </c>
      <c r="C3145" s="140">
        <f>C3127+C3137</f>
        <v>0</v>
      </c>
      <c r="D3145" s="140">
        <f t="shared" ref="D3145:L3145" si="752">D3127+D3137</f>
        <v>0</v>
      </c>
      <c r="E3145" s="140">
        <f t="shared" si="752"/>
        <v>0</v>
      </c>
      <c r="F3145" s="140">
        <f t="shared" si="752"/>
        <v>0</v>
      </c>
      <c r="G3145" s="140">
        <f t="shared" si="752"/>
        <v>0</v>
      </c>
      <c r="H3145" s="140">
        <f t="shared" si="752"/>
        <v>0</v>
      </c>
      <c r="I3145" s="140">
        <f t="shared" si="752"/>
        <v>0</v>
      </c>
      <c r="J3145" s="140">
        <f t="shared" si="752"/>
        <v>0</v>
      </c>
      <c r="K3145" s="140">
        <f t="shared" si="752"/>
        <v>0</v>
      </c>
      <c r="L3145" s="140">
        <f t="shared" si="752"/>
        <v>0</v>
      </c>
      <c r="M3145" s="120">
        <f>SUM(C3145:L3145)</f>
        <v>0</v>
      </c>
    </row>
    <row r="3146" spans="2:15" s="3" customFormat="1" ht="13.2" x14ac:dyDescent="0.25">
      <c r="B3146" s="80" t="str">
        <f>IF('1. INTRO'!I$2="English","Facility","Lokal")</f>
        <v>Facility</v>
      </c>
      <c r="C3146" s="139">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39">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39">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39">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39">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39">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39">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39">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39">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39">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117">
        <f>SUM(C3146:L3146)</f>
        <v>0</v>
      </c>
    </row>
    <row r="3147" spans="2:15" s="3" customFormat="1" ht="13.2" x14ac:dyDescent="0.25">
      <c r="B3147" s="601" t="str">
        <f>IF('1. INTRO'!I$2="English","Indirect","Indirekt")</f>
        <v>Indirect</v>
      </c>
      <c r="C3147" s="141">
        <f>SUMIF('5. PERSON'!$B$17:$B$192,$C3122,'5. PERSON'!BR$17:BR$192)+SUMIF('5. PERSON'!$B$17:$B$192,$C3122,'5. PERSON'!CD$17:CD$192)+SUMIF('6. OPERATION'!$B$17:$B$149,$C3122,'6. OPERATION'!AU$17:AU$149)+SUMIF('6. OPERATION'!$B$17:$B$149,$C3122,'6. OPERATION'!BG$17:BG$149)</f>
        <v>0</v>
      </c>
      <c r="D3147" s="141">
        <f>SUMIF('5. PERSON'!$B$17:$B$192,$C3122,'5. PERSON'!BS$17:BS$192)+SUMIF('5. PERSON'!$B$17:$B$192,$C3122,'5. PERSON'!CE$17:CE$192)+SUMIF('6. OPERATION'!$B$17:$B$149,$C3122,'6. OPERATION'!AV$17:AV$149)+SUMIF('6. OPERATION'!$B$17:$B$149,$C3122,'6. OPERATION'!BH$17:BH$149)</f>
        <v>0</v>
      </c>
      <c r="E3147" s="141">
        <f>SUMIF('5. PERSON'!$B$17:$B$192,$C3122,'5. PERSON'!BT$17:BT$192)+SUMIF('5. PERSON'!$B$17:$B$192,$C3122,'5. PERSON'!CF$17:CF$192)+SUMIF('6. OPERATION'!$B$17:$B$149,$C3122,'6. OPERATION'!AW$17:AW$149)+SUMIF('6. OPERATION'!$B$17:$B$149,$C3122,'6. OPERATION'!BI$17:BI$149)</f>
        <v>0</v>
      </c>
      <c r="F3147" s="141">
        <f>SUMIF('5. PERSON'!$B$17:$B$192,$C3122,'5. PERSON'!BU$17:BU$192)+SUMIF('5. PERSON'!$B$17:$B$192,$C3122,'5. PERSON'!CG$17:CG$192)+SUMIF('6. OPERATION'!$B$17:$B$149,$C3122,'6. OPERATION'!AX$17:AX$149)+SUMIF('6. OPERATION'!$B$17:$B$149,$C3122,'6. OPERATION'!BJ$17:BJ$149)</f>
        <v>0</v>
      </c>
      <c r="G3147" s="141">
        <f>SUMIF('5. PERSON'!$B$17:$B$192,$C3122,'5. PERSON'!BV$17:BV$192)+SUMIF('5. PERSON'!$B$17:$B$192,$C3122,'5. PERSON'!CH$17:CH$192)+SUMIF('6. OPERATION'!$B$17:$B$149,$C3122,'6. OPERATION'!AY$17:AY$149)+SUMIF('6. OPERATION'!$B$17:$B$149,$C3122,'6. OPERATION'!BK$17:BK$149)</f>
        <v>0</v>
      </c>
      <c r="H3147" s="141">
        <f>SUMIF('5. PERSON'!$B$17:$B$192,$C3122,'5. PERSON'!BW$17:BW$192)+SUMIF('5. PERSON'!$B$17:$B$192,$C3122,'5. PERSON'!CI$17:CI$192)+SUMIF('6. OPERATION'!$B$17:$B$149,$C3122,'6. OPERATION'!AZ$17:AZ$149)+SUMIF('6. OPERATION'!$B$17:$B$149,$C3122,'6. OPERATION'!BL$17:BL$149)</f>
        <v>0</v>
      </c>
      <c r="I3147" s="141">
        <f>SUMIF('5. PERSON'!$B$17:$B$192,$C3122,'5. PERSON'!BX$17:BX$192)+SUMIF('5. PERSON'!$B$17:$B$192,$C3122,'5. PERSON'!CJ$17:CJ$192)+SUMIF('6. OPERATION'!$B$17:$B$149,$C3122,'6. OPERATION'!BA$17:BA$149)+SUMIF('6. OPERATION'!$B$17:$B$149,$C3122,'6. OPERATION'!BM$17:BM$149)</f>
        <v>0</v>
      </c>
      <c r="J3147" s="141">
        <f>SUMIF('5. PERSON'!$B$17:$B$192,$C3122,'5. PERSON'!BY$17:BY$192)+SUMIF('5. PERSON'!$B$17:$B$192,$C3122,'5. PERSON'!CK$17:CK$192)+SUMIF('6. OPERATION'!$B$17:$B$149,$C3122,'6. OPERATION'!BB$17:BB$149)+SUMIF('6. OPERATION'!$B$17:$B$149,$C3122,'6. OPERATION'!BN$17:BN$149)</f>
        <v>0</v>
      </c>
      <c r="K3147" s="141">
        <f>SUMIF('5. PERSON'!$B$17:$B$192,$C3122,'5. PERSON'!BZ$17:BZ$192)+SUMIF('5. PERSON'!$B$17:$B$192,$C3122,'5. PERSON'!CL$17:CL$192)+SUMIF('6. OPERATION'!$B$17:$B$149,$C3122,'6. OPERATION'!BC$17:BC$149)+SUMIF('6. OPERATION'!$B$17:$B$149,$C3122,'6. OPERATION'!BO$17:BO$149)</f>
        <v>0</v>
      </c>
      <c r="L3147" s="141">
        <f>SUMIF('5. PERSON'!$B$17:$B$192,$C3122,'5. PERSON'!CA$17:CA$192)+SUMIF('5. PERSON'!$B$17:$B$192,$C3122,'5. PERSON'!CM$17:CM$192)+SUMIF('6. OPERATION'!$B$17:$B$149,$C3122,'6. OPERATION'!BD$17:BD$149)+SUMIF('6. OPERATION'!$B$17:$B$149,$C3122,'6. OPERATION'!BP$17:BP$149)</f>
        <v>0</v>
      </c>
      <c r="M3147" s="123">
        <f>SUM(C3147:L3147)</f>
        <v>0</v>
      </c>
    </row>
    <row r="3148" spans="2:15" s="3" customFormat="1" ht="13.2" x14ac:dyDescent="0.25">
      <c r="B3148" s="124" t="s">
        <v>113</v>
      </c>
      <c r="C3148" s="88">
        <f>SUM(C3143:C3147)</f>
        <v>0</v>
      </c>
      <c r="D3148" s="88">
        <f t="shared" ref="D3148:M3148" si="753">SUM(D3143:D3147)</f>
        <v>0</v>
      </c>
      <c r="E3148" s="88">
        <f t="shared" si="753"/>
        <v>0</v>
      </c>
      <c r="F3148" s="88">
        <f t="shared" si="753"/>
        <v>0</v>
      </c>
      <c r="G3148" s="88">
        <f t="shared" si="753"/>
        <v>0</v>
      </c>
      <c r="H3148" s="88">
        <f t="shared" si="753"/>
        <v>0</v>
      </c>
      <c r="I3148" s="88">
        <f t="shared" si="753"/>
        <v>0</v>
      </c>
      <c r="J3148" s="88">
        <f t="shared" si="753"/>
        <v>0</v>
      </c>
      <c r="K3148" s="88">
        <f t="shared" si="753"/>
        <v>0</v>
      </c>
      <c r="L3148" s="88">
        <f t="shared" si="753"/>
        <v>0</v>
      </c>
      <c r="M3148" s="142">
        <f t="shared" si="753"/>
        <v>0</v>
      </c>
    </row>
    <row r="3149" spans="2:15" s="3" customFormat="1" ht="13.2" x14ac:dyDescent="0.25">
      <c r="B3149" s="287"/>
      <c r="C3149" s="37"/>
      <c r="D3149" s="37"/>
      <c r="E3149" s="37"/>
      <c r="F3149" s="37"/>
      <c r="G3149" s="37"/>
      <c r="H3149" s="37"/>
      <c r="I3149" s="37"/>
      <c r="J3149" s="37"/>
      <c r="K3149" s="37"/>
      <c r="L3149" s="37"/>
      <c r="M3149" s="37"/>
    </row>
    <row r="3150" spans="2:15" s="3" customFormat="1" ht="12.75" customHeight="1" x14ac:dyDescent="0.25">
      <c r="B3150" s="656" t="str">
        <f>IF('1. INTRO'!I$2="English","Co-funding share in full cost ","Medfinansieringsandel i full kostnad ")</f>
        <v xml:space="preserve">Co-funding share in full cost </v>
      </c>
      <c r="C3150" s="143" t="str">
        <f t="shared" ref="C3150:M3150" si="754">IF(C3148&gt;0,C3140/C3148,"")</f>
        <v/>
      </c>
      <c r="D3150" s="143" t="str">
        <f t="shared" si="754"/>
        <v/>
      </c>
      <c r="E3150" s="143" t="str">
        <f t="shared" si="754"/>
        <v/>
      </c>
      <c r="F3150" s="143" t="str">
        <f t="shared" si="754"/>
        <v/>
      </c>
      <c r="G3150" s="143" t="str">
        <f t="shared" si="754"/>
        <v/>
      </c>
      <c r="H3150" s="143" t="str">
        <f t="shared" si="754"/>
        <v/>
      </c>
      <c r="I3150" s="143" t="str">
        <f t="shared" si="754"/>
        <v/>
      </c>
      <c r="J3150" s="143" t="str">
        <f t="shared" si="754"/>
        <v/>
      </c>
      <c r="K3150" s="143" t="str">
        <f t="shared" si="754"/>
        <v/>
      </c>
      <c r="L3150" s="143" t="str">
        <f t="shared" si="754"/>
        <v/>
      </c>
      <c r="M3150" s="143" t="str">
        <f t="shared" si="754"/>
        <v/>
      </c>
    </row>
    <row r="3151" spans="2:15" ht="12.75" customHeight="1" x14ac:dyDescent="0.2"/>
    <row r="3152" spans="2:15" ht="12.75" customHeight="1" x14ac:dyDescent="0.25">
      <c r="D3152" s="676" t="str">
        <f>IF('1. INTRO'!I$2="English","Co-funding need in average per year: ","Medfinansieringsbehov i genomsnitt per år: ")</f>
        <v xml:space="preserve">Co-funding need in average per year: </v>
      </c>
      <c r="E3152" s="92" t="str">
        <f>IF(M3140=0,"",M3140/(DATEDIF('2. START'!C$18,'2. START'!C$19,"d")/365))</f>
        <v/>
      </c>
      <c r="H3152" s="676" t="str">
        <f>IF('1. INTRO'!I$2="English","Co-funding need 1/3 of total: ","Medfinansieringsbehov 1/3 av totalt: ")</f>
        <v xml:space="preserve">Co-funding need 1/3 of total: </v>
      </c>
      <c r="I3152" s="92">
        <f>M3140/3</f>
        <v>0</v>
      </c>
      <c r="L3152" s="287" t="str">
        <f>IF('1. INTRO'!I$2="English","Co-funding need total: ","Medfinansieringsbehov totalt: ")</f>
        <v xml:space="preserve">Co-funding need total: </v>
      </c>
      <c r="M3152" s="92">
        <f>M3140</f>
        <v>0</v>
      </c>
    </row>
    <row r="3153" spans="2:13" ht="12.75" customHeight="1" x14ac:dyDescent="0.25">
      <c r="B3153" s="53" t="str">
        <f>IF('1. INTRO'!I$2="English","Co-funding sources","Medfinansieringskällor")</f>
        <v>Co-funding sources</v>
      </c>
    </row>
    <row r="3154" spans="2:13" ht="12.75" customHeight="1" x14ac:dyDescent="0.25">
      <c r="B3154" s="225"/>
      <c r="C3154" s="226"/>
      <c r="D3154" s="226"/>
      <c r="E3154" s="226"/>
      <c r="F3154" s="226"/>
      <c r="G3154" s="226"/>
      <c r="H3154" s="226"/>
      <c r="I3154" s="226"/>
      <c r="J3154" s="226"/>
      <c r="K3154" s="226"/>
      <c r="L3154" s="227"/>
      <c r="M3154" s="168">
        <f>SUM(C3154:L3154)</f>
        <v>0</v>
      </c>
    </row>
    <row r="3155" spans="2:13" ht="12.75" customHeight="1" x14ac:dyDescent="0.25">
      <c r="B3155" s="228"/>
      <c r="C3155" s="229"/>
      <c r="D3155" s="229"/>
      <c r="E3155" s="229"/>
      <c r="F3155" s="229"/>
      <c r="G3155" s="229"/>
      <c r="H3155" s="229"/>
      <c r="I3155" s="229"/>
      <c r="J3155" s="229"/>
      <c r="K3155" s="229"/>
      <c r="L3155" s="230"/>
      <c r="M3155" s="120">
        <f t="shared" ref="M3155:M3158" si="755">SUM(C3155:L3155)</f>
        <v>0</v>
      </c>
    </row>
    <row r="3156" spans="2:13" ht="12.75" customHeight="1" x14ac:dyDescent="0.25">
      <c r="B3156" s="231"/>
      <c r="C3156" s="232"/>
      <c r="D3156" s="232"/>
      <c r="E3156" s="232"/>
      <c r="F3156" s="232"/>
      <c r="G3156" s="232"/>
      <c r="H3156" s="232"/>
      <c r="I3156" s="232"/>
      <c r="J3156" s="232"/>
      <c r="K3156" s="232"/>
      <c r="L3156" s="233"/>
      <c r="M3156" s="117">
        <f t="shared" si="755"/>
        <v>0</v>
      </c>
    </row>
    <row r="3157" spans="2:13" ht="12.75" customHeight="1" x14ac:dyDescent="0.25">
      <c r="B3157" s="228"/>
      <c r="C3157" s="229"/>
      <c r="D3157" s="229"/>
      <c r="E3157" s="229"/>
      <c r="F3157" s="229"/>
      <c r="G3157" s="229"/>
      <c r="H3157" s="229"/>
      <c r="I3157" s="229"/>
      <c r="J3157" s="229"/>
      <c r="K3157" s="229"/>
      <c r="L3157" s="230"/>
      <c r="M3157" s="120">
        <f t="shared" si="755"/>
        <v>0</v>
      </c>
    </row>
    <row r="3158" spans="2:13" ht="12.75" customHeight="1" x14ac:dyDescent="0.25">
      <c r="B3158" s="93"/>
      <c r="C3158" s="232"/>
      <c r="D3158" s="232"/>
      <c r="E3158" s="232"/>
      <c r="F3158" s="232"/>
      <c r="G3158" s="232"/>
      <c r="H3158" s="232"/>
      <c r="I3158" s="232"/>
      <c r="J3158" s="232"/>
      <c r="K3158" s="232"/>
      <c r="L3158" s="233"/>
      <c r="M3158" s="117">
        <f t="shared" si="755"/>
        <v>0</v>
      </c>
    </row>
    <row r="3159" spans="2:13" ht="12.75" customHeight="1" x14ac:dyDescent="0.25">
      <c r="B3159" s="84" t="str">
        <f>IF('1. INTRO'!I$2="English","Total co-funding ","Total medfinansiering ")</f>
        <v xml:space="preserve">Total co-funding </v>
      </c>
      <c r="C3159" s="87">
        <f t="shared" ref="C3159:M3159" si="756">SUM(C3154:C3158)</f>
        <v>0</v>
      </c>
      <c r="D3159" s="87">
        <f t="shared" si="756"/>
        <v>0</v>
      </c>
      <c r="E3159" s="87">
        <f t="shared" si="756"/>
        <v>0</v>
      </c>
      <c r="F3159" s="87">
        <f t="shared" si="756"/>
        <v>0</v>
      </c>
      <c r="G3159" s="87">
        <f t="shared" si="756"/>
        <v>0</v>
      </c>
      <c r="H3159" s="87">
        <f t="shared" si="756"/>
        <v>0</v>
      </c>
      <c r="I3159" s="87">
        <f t="shared" si="756"/>
        <v>0</v>
      </c>
      <c r="J3159" s="87">
        <f t="shared" si="756"/>
        <v>0</v>
      </c>
      <c r="K3159" s="87">
        <f t="shared" si="756"/>
        <v>0</v>
      </c>
      <c r="L3159" s="87">
        <f t="shared" si="756"/>
        <v>0</v>
      </c>
      <c r="M3159" s="142">
        <f t="shared" si="756"/>
        <v>0</v>
      </c>
    </row>
    <row r="3160" spans="2:13" ht="12.75" customHeight="1" x14ac:dyDescent="0.2"/>
    <row r="3161" spans="2:13" ht="12.75" customHeight="1" x14ac:dyDescent="0.2">
      <c r="B3161" s="667" t="str">
        <f>IF('1. INTRO'!I$2="English","Calculation comments","Kalkylkommentarer")</f>
        <v>Calculation comments</v>
      </c>
      <c r="C3161" s="37" t="str">
        <f>B75</f>
        <v/>
      </c>
    </row>
    <row r="3162" spans="2:13" ht="12.75" customHeight="1" x14ac:dyDescent="0.2">
      <c r="B3162" s="1142"/>
      <c r="C3162" s="1143"/>
      <c r="D3162" s="1143"/>
      <c r="E3162" s="1143"/>
      <c r="F3162" s="1143"/>
      <c r="G3162" s="1143"/>
      <c r="H3162" s="1143"/>
      <c r="I3162" s="1143"/>
      <c r="J3162" s="1143"/>
      <c r="K3162" s="1143"/>
      <c r="L3162" s="1143"/>
      <c r="M3162" s="1144"/>
    </row>
    <row r="3163" spans="2:13" ht="12.75" customHeight="1" x14ac:dyDescent="0.2">
      <c r="B3163" s="1145"/>
      <c r="C3163" s="1226"/>
      <c r="D3163" s="1226"/>
      <c r="E3163" s="1226"/>
      <c r="F3163" s="1226"/>
      <c r="G3163" s="1226"/>
      <c r="H3163" s="1226"/>
      <c r="I3163" s="1226"/>
      <c r="J3163" s="1226"/>
      <c r="K3163" s="1226"/>
      <c r="L3163" s="1226"/>
      <c r="M3163" s="1147"/>
    </row>
    <row r="3164" spans="2:13" ht="12.75" customHeight="1" x14ac:dyDescent="0.2">
      <c r="B3164" s="1145"/>
      <c r="C3164" s="1226"/>
      <c r="D3164" s="1226"/>
      <c r="E3164" s="1226"/>
      <c r="F3164" s="1226"/>
      <c r="G3164" s="1226"/>
      <c r="H3164" s="1226"/>
      <c r="I3164" s="1226"/>
      <c r="J3164" s="1226"/>
      <c r="K3164" s="1226"/>
      <c r="L3164" s="1226"/>
      <c r="M3164" s="1147"/>
    </row>
    <row r="3165" spans="2:13" ht="12.75" customHeight="1" x14ac:dyDescent="0.2">
      <c r="B3165" s="1145"/>
      <c r="C3165" s="1226"/>
      <c r="D3165" s="1226"/>
      <c r="E3165" s="1226"/>
      <c r="F3165" s="1226"/>
      <c r="G3165" s="1226"/>
      <c r="H3165" s="1226"/>
      <c r="I3165" s="1226"/>
      <c r="J3165" s="1226"/>
      <c r="K3165" s="1226"/>
      <c r="L3165" s="1226"/>
      <c r="M3165" s="1147"/>
    </row>
    <row r="3166" spans="2:13" ht="12.75" customHeight="1" x14ac:dyDescent="0.2">
      <c r="B3166" s="1148"/>
      <c r="C3166" s="1149"/>
      <c r="D3166" s="1149"/>
      <c r="E3166" s="1149"/>
      <c r="F3166" s="1149"/>
      <c r="G3166" s="1149"/>
      <c r="H3166" s="1149"/>
      <c r="I3166" s="1149"/>
      <c r="J3166" s="1149"/>
      <c r="K3166" s="1149"/>
      <c r="L3166" s="1149"/>
      <c r="M3166" s="1150"/>
    </row>
    <row r="3168" spans="2:13" s="3" customFormat="1" ht="12.75" customHeight="1" x14ac:dyDescent="0.25">
      <c r="B3168" s="313" t="str">
        <f>'3. PARTNER'!C$4</f>
        <v xml:space="preserve">Project: </v>
      </c>
      <c r="C3168" s="1062" t="str">
        <f>'3. PARTNER'!D$4</f>
        <v/>
      </c>
      <c r="D3168" s="1001"/>
      <c r="E3168" s="1001"/>
      <c r="F3168" s="1001"/>
      <c r="G3168" s="1001"/>
      <c r="H3168" s="1001"/>
      <c r="I3168" s="1001"/>
      <c r="J3168" s="1001"/>
      <c r="K3168" s="1001"/>
      <c r="L3168" s="1001"/>
      <c r="M3168" s="1001"/>
    </row>
    <row r="3169" spans="2:15" s="3" customFormat="1" ht="13.2" x14ac:dyDescent="0.25">
      <c r="B3169" s="313" t="str">
        <f>'3. PARTNER'!C$5</f>
        <v xml:space="preserve">Calculation for: </v>
      </c>
      <c r="C3169" s="1062" t="str">
        <f>'3. PARTNER'!D$5</f>
        <v>APPLICATION</v>
      </c>
      <c r="D3169" s="1001"/>
      <c r="E3169" s="268"/>
      <c r="F3169" s="268"/>
      <c r="G3169" s="268"/>
      <c r="H3169" s="268"/>
      <c r="I3169" s="268"/>
      <c r="J3169" s="268"/>
      <c r="K3169" s="268"/>
      <c r="L3169" s="268"/>
      <c r="M3169" s="268"/>
    </row>
    <row r="3170" spans="2:15" s="3" customFormat="1" ht="13.2" x14ac:dyDescent="0.25">
      <c r="B3170" s="35" t="str">
        <f>'3. PARTNER'!C$6</f>
        <v xml:space="preserve">Project leader: </v>
      </c>
      <c r="C3170" s="1062" t="str">
        <f>'3. PARTNER'!D$6</f>
        <v/>
      </c>
      <c r="D3170" s="1001"/>
      <c r="E3170" s="1001"/>
      <c r="F3170" s="1001"/>
      <c r="G3170" s="1001"/>
      <c r="H3170" s="1001"/>
      <c r="I3170" s="1001"/>
      <c r="J3170" s="1001"/>
      <c r="K3170" s="1001"/>
      <c r="L3170" s="1001"/>
      <c r="M3170" s="1001"/>
    </row>
    <row r="3171" spans="2:15" s="3" customFormat="1" ht="13.2" x14ac:dyDescent="0.25">
      <c r="B3171" s="313" t="str">
        <f>'5. PERSON'!B$7</f>
        <v xml:space="preserve">Amounts in: </v>
      </c>
      <c r="C3171" s="655" t="str">
        <f>'5. PERSON'!C$7</f>
        <v>SEK</v>
      </c>
      <c r="D3171" s="268"/>
      <c r="E3171" s="268"/>
      <c r="F3171" s="268"/>
      <c r="G3171" s="234"/>
      <c r="H3171" s="234"/>
      <c r="I3171" s="270"/>
      <c r="J3171" s="270"/>
      <c r="K3171" s="270"/>
      <c r="L3171" s="270"/>
      <c r="M3171" s="270"/>
    </row>
    <row r="3172" spans="2:15" s="3" customFormat="1" ht="13.2" x14ac:dyDescent="0.25">
      <c r="B3172" s="313"/>
      <c r="C3172" s="1053" t="str">
        <f>'3. PARTNER'!D$7</f>
        <v>Other basic data about the project is in sheet 2.</v>
      </c>
      <c r="D3172" s="1001"/>
      <c r="E3172" s="1001"/>
      <c r="F3172" s="1001"/>
      <c r="G3172" s="234"/>
      <c r="H3172" s="234"/>
      <c r="I3172" s="270"/>
      <c r="J3172" s="270"/>
      <c r="K3172" s="270"/>
      <c r="L3172" s="251" t="s">
        <v>4</v>
      </c>
      <c r="M3172" s="270"/>
    </row>
    <row r="3173" spans="2:15" ht="12.75" customHeight="1" x14ac:dyDescent="0.2">
      <c r="L3173" s="252" t="str">
        <f>IF('1. INTRO'!I$2="English","months","månader")</f>
        <v>months</v>
      </c>
    </row>
    <row r="3174" spans="2:15" s="3" customFormat="1" ht="13.8" x14ac:dyDescent="0.25">
      <c r="B3174" s="157" t="str">
        <f>IF('1. INTRO'!I$2="English","Project costs","Projektkostnader")</f>
        <v>Project costs</v>
      </c>
      <c r="C3174" s="668" t="str">
        <f>A76</f>
        <v>EXT118</v>
      </c>
      <c r="D3174" s="1227" t="str">
        <f>B76</f>
        <v/>
      </c>
      <c r="E3174" s="1001"/>
      <c r="F3174" s="1001"/>
      <c r="G3174" s="1001"/>
      <c r="H3174" s="1001"/>
      <c r="I3174" s="37"/>
      <c r="J3174" s="37"/>
      <c r="K3174" s="37"/>
      <c r="L3174" s="642">
        <f>SUMIF('5. PERSON'!$B$17:$B$192,$C3174,'5. PERSON'!AE$17:AE$192)</f>
        <v>0</v>
      </c>
      <c r="M3174" s="680" t="s">
        <v>330</v>
      </c>
    </row>
    <row r="3175" spans="2:15" s="3" customFormat="1" ht="6" customHeight="1" x14ac:dyDescent="0.25">
      <c r="B3175" s="57"/>
      <c r="C3175" s="37"/>
      <c r="D3175" s="37"/>
      <c r="E3175" s="37"/>
      <c r="F3175" s="37"/>
      <c r="G3175" s="37"/>
      <c r="H3175" s="37"/>
      <c r="I3175" s="37"/>
      <c r="J3175" s="37"/>
      <c r="K3175" s="37"/>
      <c r="L3175" s="37"/>
      <c r="M3175" s="37"/>
    </row>
    <row r="3176" spans="2:15" s="3" customFormat="1" ht="13.2" x14ac:dyDescent="0.25">
      <c r="B3176" s="110" t="str">
        <f>IF('1. INTRO'!I$2="English","Costs to be covered by funding body","Kostnader att täckas av finansiär")</f>
        <v>Costs to be covered by funding body</v>
      </c>
      <c r="C3176" s="111">
        <f>'5. PERSON'!G$15</f>
        <v>1900</v>
      </c>
      <c r="D3176" s="111" t="str">
        <f>'5. PERSON'!H$15</f>
        <v/>
      </c>
      <c r="E3176" s="111" t="str">
        <f>'5. PERSON'!I$15</f>
        <v/>
      </c>
      <c r="F3176" s="111" t="str">
        <f>'5. PERSON'!J$15</f>
        <v/>
      </c>
      <c r="G3176" s="111" t="str">
        <f>'5. PERSON'!K$15</f>
        <v/>
      </c>
      <c r="H3176" s="111" t="str">
        <f>'5. PERSON'!L$15</f>
        <v/>
      </c>
      <c r="I3176" s="111" t="str">
        <f>'5. PERSON'!M$15</f>
        <v/>
      </c>
      <c r="J3176" s="111" t="str">
        <f>'5. PERSON'!N$15</f>
        <v/>
      </c>
      <c r="K3176" s="111" t="str">
        <f>'5. PERSON'!O$15</f>
        <v/>
      </c>
      <c r="L3176" s="111" t="str">
        <f>'5. PERSON'!P$15</f>
        <v/>
      </c>
      <c r="M3176" s="112" t="s">
        <v>2</v>
      </c>
    </row>
    <row r="3177" spans="2:15" s="3" customFormat="1" ht="12.75" customHeight="1" x14ac:dyDescent="0.25">
      <c r="B3177" s="113" t="str">
        <f>IF('1. INTRO'!I$2="English","Salary including social costs (LKP)","Lön inklusive LKP")</f>
        <v>Salary including social costs (LKP)</v>
      </c>
      <c r="C3177" s="114">
        <f>IF('2. START'!$C$14&gt;0,SUMIF('5. PERSON'!$B$17:$B$192,$C3174,'5. PERSON'!DN$17:DN$192),SUMIF('5. PERSON'!$B$17:$B$192,$C3174,'5. PERSON'!AT$17:AT$192))</f>
        <v>0</v>
      </c>
      <c r="D3177" s="114">
        <f>IF('2. START'!$C$14&gt;0,SUMIF('5. PERSON'!$B$17:$B$192,$C3174,'5. PERSON'!DO$17:DO$192),SUMIF('5. PERSON'!$B$17:$B$192,$C3174,'5. PERSON'!AU$17:AU$192))</f>
        <v>0</v>
      </c>
      <c r="E3177" s="114">
        <f>IF('2. START'!$C$14&gt;0,SUMIF('5. PERSON'!$B$17:$B$192,$C3174,'5. PERSON'!DP$17:DP$192),SUMIF('5. PERSON'!$B$17:$B$192,$C3174,'5. PERSON'!AV$17:AV$192))</f>
        <v>0</v>
      </c>
      <c r="F3177" s="114">
        <f>IF('2. START'!$C$14&gt;0,SUMIF('5. PERSON'!$B$17:$B$192,$C3174,'5. PERSON'!DQ$17:DQ$192),SUMIF('5. PERSON'!$B$17:$B$192,$C3174,'5. PERSON'!AW$17:AW$192))</f>
        <v>0</v>
      </c>
      <c r="G3177" s="114">
        <f>IF('2. START'!$C$14&gt;0,SUMIF('5. PERSON'!$B$17:$B$192,$C3174,'5. PERSON'!DR$17:DR$192),SUMIF('5. PERSON'!$B$17:$B$192,$C3174,'5. PERSON'!AX$17:AX$192))</f>
        <v>0</v>
      </c>
      <c r="H3177" s="114">
        <f>IF('2. START'!$C$14&gt;0,SUMIF('5. PERSON'!$B$17:$B$192,$C3174,'5. PERSON'!DS$17:DS$192),SUMIF('5. PERSON'!$B$17:$B$192,$C3174,'5. PERSON'!AY$17:AY$192))</f>
        <v>0</v>
      </c>
      <c r="I3177" s="114">
        <f>IF('2. START'!$C$14&gt;0,SUMIF('5. PERSON'!$B$17:$B$192,$C3174,'5. PERSON'!DT$17:DT$192),SUMIF('5. PERSON'!$B$17:$B$192,$C3174,'5. PERSON'!AZ$17:AZ$192))</f>
        <v>0</v>
      </c>
      <c r="J3177" s="114">
        <f>IF('2. START'!$C$14&gt;0,SUMIF('5. PERSON'!$B$17:$B$192,$C3174,'5. PERSON'!DU$17:DU$192),SUMIF('5. PERSON'!$B$17:$B$192,$C3174,'5. PERSON'!BA$17:BA$192))</f>
        <v>0</v>
      </c>
      <c r="K3177" s="114">
        <f>IF('2. START'!$C$14&gt;0,SUMIF('5. PERSON'!$B$17:$B$192,$C3174,'5. PERSON'!DV$17:DV$192),SUMIF('5. PERSON'!$B$17:$B$192,$C3174,'5. PERSON'!BB$17:BB$192))</f>
        <v>0</v>
      </c>
      <c r="L3177" s="114">
        <f>IF('2. START'!$C$14&gt;0,SUMIF('5. PERSON'!$B$17:$B$192,$C3174,'5. PERSON'!DW$17:DW$192),SUMIF('5. PERSON'!$B$17:$B$192,$C3174,'5. PERSON'!BC$17:BC$192))</f>
        <v>0</v>
      </c>
      <c r="M3177" s="115">
        <f t="shared" ref="M3177:M3182" si="757">SUM(C3177:L3177)</f>
        <v>0</v>
      </c>
      <c r="O3177" s="4"/>
    </row>
    <row r="3178" spans="2:15" s="3" customFormat="1" ht="12.75" customHeight="1" x14ac:dyDescent="0.25">
      <c r="B3178" s="80" t="str">
        <f>IF('1. INTRO'!I$2="English","Operating","Drift")</f>
        <v>Operating</v>
      </c>
      <c r="C3178" s="116">
        <f>SUMIF('6. OPERATION'!$B$17:$B$149,$C3174,'6. OPERATION'!W$17:W$149)</f>
        <v>0</v>
      </c>
      <c r="D3178" s="116">
        <f>SUMIF('6. OPERATION'!$B$17:$B$149,$C3174,'6. OPERATION'!X$17:X$149)</f>
        <v>0</v>
      </c>
      <c r="E3178" s="116">
        <f>SUMIF('6. OPERATION'!$B$17:$B$149,$C3174,'6. OPERATION'!Y$17:Y$149)</f>
        <v>0</v>
      </c>
      <c r="F3178" s="116">
        <f>SUMIF('6. OPERATION'!$B$17:$B$149,$C3174,'6. OPERATION'!Z$17:Z$149)</f>
        <v>0</v>
      </c>
      <c r="G3178" s="116">
        <f>SUMIF('6. OPERATION'!$B$17:$B$149,$C3174,'6. OPERATION'!AA$17:AA$149)</f>
        <v>0</v>
      </c>
      <c r="H3178" s="116">
        <f>SUMIF('6. OPERATION'!$B$17:$B$149,$C3174,'6. OPERATION'!AB$17:AB$149)</f>
        <v>0</v>
      </c>
      <c r="I3178" s="116">
        <f>SUMIF('6. OPERATION'!$B$17:$B$149,$C3174,'6. OPERATION'!AC$17:AC$149)</f>
        <v>0</v>
      </c>
      <c r="J3178" s="116">
        <f>SUMIF('6. OPERATION'!$B$17:$B$149,$C3174,'6. OPERATION'!AD$17:AD$149)</f>
        <v>0</v>
      </c>
      <c r="K3178" s="116">
        <f>SUMIF('6. OPERATION'!$B$17:$B$149,$C3174,'6. OPERATION'!AE$17:AE$149)</f>
        <v>0</v>
      </c>
      <c r="L3178" s="116">
        <f>SUMIF('6. OPERATION'!$B$17:$B$149,$C3174,'6. OPERATION'!AF$17:AF$149)</f>
        <v>0</v>
      </c>
      <c r="M3178" s="117">
        <f t="shared" si="757"/>
        <v>0</v>
      </c>
    </row>
    <row r="3179" spans="2:15" s="3" customFormat="1" ht="13.2" x14ac:dyDescent="0.25">
      <c r="B3179" s="118" t="str">
        <f>IF('1. INTRO'!I$2="English","Equipment","Utrustning")</f>
        <v>Equipment</v>
      </c>
      <c r="C3179" s="119">
        <f>SUMIF('7. INVEST'!$B$17:$B$49,$C3174,'7. INVEST'!W$17:W$49)</f>
        <v>0</v>
      </c>
      <c r="D3179" s="119">
        <f>SUMIF('7. INVEST'!$B$17:$B$49,$C3174,'7. INVEST'!X$17:X$49)</f>
        <v>0</v>
      </c>
      <c r="E3179" s="119">
        <f>SUMIF('7. INVEST'!$B$17:$B$49,$C3174,'7. INVEST'!Y$17:Y$49)</f>
        <v>0</v>
      </c>
      <c r="F3179" s="119">
        <f>SUMIF('7. INVEST'!$B$17:$B$49,$C3174,'7. INVEST'!Z$17:Z$49)</f>
        <v>0</v>
      </c>
      <c r="G3179" s="119">
        <f>SUMIF('7. INVEST'!$B$17:$B$49,$C3174,'7. INVEST'!AA$17:AA$49)</f>
        <v>0</v>
      </c>
      <c r="H3179" s="119">
        <f>SUMIF('7. INVEST'!$B$17:$B$49,$C3174,'7. INVEST'!AB$17:AB$49)</f>
        <v>0</v>
      </c>
      <c r="I3179" s="119">
        <f>SUMIF('7. INVEST'!$B$17:$B$49,$C3174,'7. INVEST'!AC$17:AC$49)</f>
        <v>0</v>
      </c>
      <c r="J3179" s="119">
        <f>SUMIF('7. INVEST'!$B$17:$B$49,$C3174,'7. INVEST'!AD$17:AD$49)</f>
        <v>0</v>
      </c>
      <c r="K3179" s="119">
        <f>SUMIF('7. INVEST'!$B$17:$B$49,$C3174,'7. INVEST'!AE$17:AE$49)</f>
        <v>0</v>
      </c>
      <c r="L3179" s="119">
        <f>SUMIF('7. INVEST'!$B$17:$B$49,$C3174,'7. INVEST'!AF$17:AF$49)</f>
        <v>0</v>
      </c>
      <c r="M3179" s="120">
        <f t="shared" si="757"/>
        <v>0</v>
      </c>
    </row>
    <row r="3180" spans="2:15" s="3" customFormat="1" ht="13.2" x14ac:dyDescent="0.25">
      <c r="B3180" s="121" t="str">
        <f>IF('1. INTRO'!I$2="English",(IF('2. START'!C$11="NO","Facility accepted as direct cost by funding body","Facility")),IF('2. START'!C$11="NO","Lokal accepterad som direkt kostnad av finansiär","Lokal"))</f>
        <v>Facility</v>
      </c>
      <c r="C3180" s="116">
        <f>IF('2. START'!$C$11="NO",SUMIF('8. FACILIT'!$B$18:$B$50,$C3174,'8. FACILIT'!T$18:T$50),SUMIF('5. PERSON'!$B$17:$B$192,$C3174,'5. PERSON'!CP$17:CP$192)+SUMIF('6. OPERATION'!$B$17:$B$149,$C3174,'6. OPERATION'!BS$17:BS$149)+SUMIF('8. FACILIT'!$B$18:$B$50,$C3174,'8. FACILIT'!T$18:T$50))</f>
        <v>0</v>
      </c>
      <c r="D3180" s="116">
        <f>IF('2. START'!$C$11="NO",SUMIF('8. FACILIT'!$B$18:$B$50,$C3174,'8. FACILIT'!U$18:U$50),SUMIF('5. PERSON'!$B$17:$B$192,$C3174,'5. PERSON'!CQ$17:CQ$192)+SUMIF('6. OPERATION'!$B$17:$B$149,$C3174,'6. OPERATION'!BT$17:BT$149)+SUMIF('8. FACILIT'!$B$18:$B$50,$C3174,'8. FACILIT'!U$18:U$50))</f>
        <v>0</v>
      </c>
      <c r="E3180" s="116">
        <f>IF('2. START'!$C$11="NO",SUMIF('8. FACILIT'!$B$18:$B$50,$C3174,'8. FACILIT'!V$18:V$50),SUMIF('5. PERSON'!$B$17:$B$192,$C3174,'5. PERSON'!CR$17:CR$192)+SUMIF('6. OPERATION'!$B$17:$B$149,$C3174,'6. OPERATION'!BU$17:BU$149)+SUMIF('8. FACILIT'!$B$18:$B$50,$C3174,'8. FACILIT'!V$18:V$50))</f>
        <v>0</v>
      </c>
      <c r="F3180" s="116">
        <f>IF('2. START'!$C$11="NO",SUMIF('8. FACILIT'!$B$18:$B$50,$C3174,'8. FACILIT'!W$18:W$50),SUMIF('5. PERSON'!$B$17:$B$192,$C3174,'5. PERSON'!CS$17:CS$192)+SUMIF('6. OPERATION'!$B$17:$B$149,$C3174,'6. OPERATION'!BV$17:BV$149)+SUMIF('8. FACILIT'!$B$18:$B$50,$C3174,'8. FACILIT'!W$18:W$50))</f>
        <v>0</v>
      </c>
      <c r="G3180" s="116">
        <f>IF('2. START'!$C$11="NO",SUMIF('8. FACILIT'!$B$18:$B$50,$C3174,'8. FACILIT'!X$18:X$50),SUMIF('5. PERSON'!$B$17:$B$192,$C3174,'5. PERSON'!CT$17:CT$192)+SUMIF('6. OPERATION'!$B$17:$B$149,$C3174,'6. OPERATION'!BW$17:BW$149)+SUMIF('8. FACILIT'!$B$18:$B$50,$C3174,'8. FACILIT'!X$18:X$50))</f>
        <v>0</v>
      </c>
      <c r="H3180" s="116">
        <f>IF('2. START'!$C$11="NO",SUMIF('8. FACILIT'!$B$18:$B$50,$C3174,'8. FACILIT'!Y$18:Y$50),SUMIF('5. PERSON'!$B$17:$B$192,$C3174,'5. PERSON'!CU$17:CU$192)+SUMIF('6. OPERATION'!$B$17:$B$149,$C3174,'6. OPERATION'!BX$17:BX$149)+SUMIF('8. FACILIT'!$B$18:$B$50,$C3174,'8. FACILIT'!Y$18:Y$50))</f>
        <v>0</v>
      </c>
      <c r="I3180" s="116">
        <f>IF('2. START'!$C$11="NO",SUMIF('8. FACILIT'!$B$18:$B$50,$C3174,'8. FACILIT'!Z$18:Z$50),SUMIF('5. PERSON'!$B$17:$B$192,$C3174,'5. PERSON'!CV$17:CV$192)+SUMIF('6. OPERATION'!$B$17:$B$149,$C3174,'6. OPERATION'!BY$17:BY$149)+SUMIF('8. FACILIT'!$B$18:$B$50,$C3174,'8. FACILIT'!Z$18:Z$50))</f>
        <v>0</v>
      </c>
      <c r="J3180" s="116">
        <f>IF('2. START'!$C$11="NO",SUMIF('8. FACILIT'!$B$18:$B$50,$C3174,'8. FACILIT'!AA$18:AA$50),SUMIF('5. PERSON'!$B$17:$B$192,$C3174,'5. PERSON'!CW$17:CW$192)+SUMIF('6. OPERATION'!$B$17:$B$149,$C3174,'6. OPERATION'!BZ$17:BZ$149)+SUMIF('8. FACILIT'!$B$18:$B$50,$C3174,'8. FACILIT'!AA$18:AA$50))</f>
        <v>0</v>
      </c>
      <c r="K3180" s="116">
        <f>IF('2. START'!$C$11="NO",SUMIF('8. FACILIT'!$B$18:$B$50,$C3174,'8. FACILIT'!AB$18:AB$50),SUMIF('5. PERSON'!$B$17:$B$192,$C3174,'5. PERSON'!CX$17:CX$192)+SUMIF('6. OPERATION'!$B$17:$B$149,$C3174,'6. OPERATION'!CA$17:CA$149)+SUMIF('8. FACILIT'!$B$18:$B$50,$C3174,'8. FACILIT'!AB$18:AB$50))</f>
        <v>0</v>
      </c>
      <c r="L3180" s="116">
        <f>IF('2. START'!$C$11="NO",SUMIF('8. FACILIT'!$B$18:$B$50,$C3174,'8. FACILIT'!AC$18:AC$50),SUMIF('5. PERSON'!$B$17:$B$192,$C3174,'5. PERSON'!CY$17:CY$192)+SUMIF('6. OPERATION'!$B$17:$B$149,$C3174,'6. OPERATION'!CB$17:CB$149)+SUMIF('8. FACILIT'!$B$18:$B$50,$C3174,'8. FACILIT'!AC$18:AC$50))</f>
        <v>0</v>
      </c>
      <c r="M3180" s="117">
        <f t="shared" si="757"/>
        <v>0</v>
      </c>
    </row>
    <row r="3181" spans="2:15" s="3" customFormat="1" ht="13.2" x14ac:dyDescent="0.25">
      <c r="B3181" s="122" t="str">
        <f>IF('1. INTRO'!I$2="English",(IF('2. START'!C$11="NO","Indirect and facility charge accepted as OH by funding body","Indirect")),IF('2. START'!C$11="NO","Indirekt och lokalpåslag accepterade som OH av finansiär","Indirekt"))</f>
        <v>Indirect</v>
      </c>
      <c r="C3181" s="107">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107">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107">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107">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107">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107">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107">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107">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107">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107">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120">
        <f t="shared" si="757"/>
        <v>0</v>
      </c>
    </row>
    <row r="3182" spans="2:15" s="3" customFormat="1" ht="13.2" x14ac:dyDescent="0.25">
      <c r="B3182" s="124" t="s">
        <v>113</v>
      </c>
      <c r="C3182" s="102">
        <f>SUM(C3177:C3181)</f>
        <v>0</v>
      </c>
      <c r="D3182" s="102">
        <f t="shared" ref="D3182:L3182" si="758">SUM(D3177:D3181)</f>
        <v>0</v>
      </c>
      <c r="E3182" s="102">
        <f t="shared" si="758"/>
        <v>0</v>
      </c>
      <c r="F3182" s="102">
        <f t="shared" si="758"/>
        <v>0</v>
      </c>
      <c r="G3182" s="102">
        <f t="shared" si="758"/>
        <v>0</v>
      </c>
      <c r="H3182" s="102">
        <f t="shared" si="758"/>
        <v>0</v>
      </c>
      <c r="I3182" s="102">
        <f t="shared" si="758"/>
        <v>0</v>
      </c>
      <c r="J3182" s="102">
        <f t="shared" si="758"/>
        <v>0</v>
      </c>
      <c r="K3182" s="102">
        <f t="shared" si="758"/>
        <v>0</v>
      </c>
      <c r="L3182" s="102">
        <f t="shared" si="758"/>
        <v>0</v>
      </c>
      <c r="M3182" s="125">
        <f t="shared" si="757"/>
        <v>0</v>
      </c>
    </row>
    <row r="3183" spans="2:15" s="3" customFormat="1" ht="6" customHeight="1" x14ac:dyDescent="0.25">
      <c r="B3183" s="126"/>
      <c r="C3183" s="127"/>
      <c r="D3183" s="127"/>
      <c r="E3183" s="127"/>
      <c r="F3183" s="127"/>
      <c r="G3183" s="127"/>
      <c r="H3183" s="127"/>
      <c r="I3183" s="127"/>
      <c r="J3183" s="127"/>
      <c r="K3183" s="127"/>
      <c r="L3183" s="127"/>
      <c r="M3183" s="128"/>
    </row>
    <row r="3184" spans="2:15" s="3" customFormat="1" ht="13.2" x14ac:dyDescent="0.25">
      <c r="B3184" s="129" t="str">
        <f>IF('1. INTRO'!I$2="English","Costs to be co-funded","Kostnader att medfinansiera")</f>
        <v>Costs to be co-funded</v>
      </c>
      <c r="C3184" s="86"/>
      <c r="D3184" s="86"/>
      <c r="E3184" s="86"/>
      <c r="F3184" s="86"/>
      <c r="G3184" s="86"/>
      <c r="H3184" s="86"/>
      <c r="I3184" s="86"/>
      <c r="J3184" s="86"/>
      <c r="K3184" s="86"/>
      <c r="L3184" s="86"/>
      <c r="M3184" s="130"/>
    </row>
    <row r="3185" spans="2:15" s="3" customFormat="1" ht="13.2" x14ac:dyDescent="0.25">
      <c r="B3185" s="159" t="str">
        <f>IF('1. INTRO'!I$2="English",(IF('2. START'!C$11="NO","Indirect and facility charge not accepted as OH by funding body","")),IF('2. START'!C$11="NO","Indirekt och lokalpåslag inte accepterade som OH av finansiär",""))</f>
        <v/>
      </c>
      <c r="C3185" s="131">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31">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31">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31">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31">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31">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31">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31">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31">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31">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115">
        <f t="shared" ref="M3185:M3191" si="759">SUM(C3185:L3185)</f>
        <v>0</v>
      </c>
    </row>
    <row r="3186" spans="2:15" s="3" customFormat="1" ht="12.75" customHeight="1" x14ac:dyDescent="0.25">
      <c r="B3186" s="132" t="str">
        <f>IF('1. INTRO'!I$2="English",(IF('2. START'!C$14&gt;0,"Social costs (LKP) not accepted by funding body","")),IF('2. START'!C$14&gt;0,"LKP som inte accepteras av finansiär",""))</f>
        <v/>
      </c>
      <c r="C3186" s="133">
        <f>IF('2. START'!$C$14&gt;0,SUMIF('5. PERSON'!$B$17:$B$192,$C3174,'5. PERSON'!AT$17:AT$192)-SUMIF('5. PERSON'!$B$17:$B$192,$C3174,'5. PERSON'!DN$17:DN$192),0)</f>
        <v>0</v>
      </c>
      <c r="D3186" s="133">
        <f>IF('2. START'!$C$14&gt;0,SUMIF('5. PERSON'!$B$17:$B$192,$C3174,'5. PERSON'!AU$17:AU$192)-SUMIF('5. PERSON'!$B$17:$B$192,$C3174,'5. PERSON'!DO$17:DO$192),0)</f>
        <v>0</v>
      </c>
      <c r="E3186" s="133">
        <f>IF('2. START'!$C$14&gt;0,SUMIF('5. PERSON'!$B$17:$B$192,$C3174,'5. PERSON'!AV$17:AV$192)-SUMIF('5. PERSON'!$B$17:$B$192,$C3174,'5. PERSON'!DP$17:DP$192),0)</f>
        <v>0</v>
      </c>
      <c r="F3186" s="133">
        <f>IF('2. START'!$C$14&gt;0,SUMIF('5. PERSON'!$B$17:$B$192,$C3174,'5. PERSON'!AW$17:AW$192)-SUMIF('5. PERSON'!$B$17:$B$192,$C3174,'5. PERSON'!DQ$17:DQ$192),0)</f>
        <v>0</v>
      </c>
      <c r="G3186" s="133">
        <f>IF('2. START'!$C$14&gt;0,SUMIF('5. PERSON'!$B$17:$B$192,$C3174,'5. PERSON'!AX$17:AX$192)-SUMIF('5. PERSON'!$B$17:$B$192,$C3174,'5. PERSON'!DR$17:DR$192),0)</f>
        <v>0</v>
      </c>
      <c r="H3186" s="133">
        <f>IF('2. START'!$C$14&gt;0,SUMIF('5. PERSON'!$B$17:$B$192,$C3174,'5. PERSON'!AY$17:AY$192)-SUMIF('5. PERSON'!$B$17:$B$192,$C3174,'5. PERSON'!DS$17:DS$192),0)</f>
        <v>0</v>
      </c>
      <c r="I3186" s="133">
        <f>IF('2. START'!$C$14&gt;0,SUMIF('5. PERSON'!$B$17:$B$192,$C3174,'5. PERSON'!AZ$17:AZ$192)-SUMIF('5. PERSON'!$B$17:$B$192,$C3174,'5. PERSON'!DT$17:DT$192),0)</f>
        <v>0</v>
      </c>
      <c r="J3186" s="133">
        <f>IF('2. START'!$C$14&gt;0,SUMIF('5. PERSON'!$B$17:$B$192,$C3174,'5. PERSON'!BA$17:BA$192)-SUMIF('5. PERSON'!$B$17:$B$192,$C3174,'5. PERSON'!DU$17:DU$192),0)</f>
        <v>0</v>
      </c>
      <c r="K3186" s="133">
        <f>IF('2. START'!$C$14&gt;0,SUMIF('5. PERSON'!$B$17:$B$192,$C3174,'5. PERSON'!BB$17:BB$192)-SUMIF('5. PERSON'!$B$17:$B$192,$C3174,'5. PERSON'!DV$17:DV$192),0)</f>
        <v>0</v>
      </c>
      <c r="L3186" s="133">
        <f>IF('2. START'!$C$14&gt;0,SUMIF('5. PERSON'!$B$17:$B$192,$C3174,'5. PERSON'!BC$17:BC$192)-SUMIF('5. PERSON'!$B$17:$B$192,$C3174,'5. PERSON'!DW$17:DW$192),0)</f>
        <v>0</v>
      </c>
      <c r="M3186" s="117">
        <f t="shared" si="759"/>
        <v>0</v>
      </c>
    </row>
    <row r="3187" spans="2:15" s="3" customFormat="1" ht="12.75" customHeight="1" x14ac:dyDescent="0.25">
      <c r="B3187" s="118" t="str">
        <f>IF('1. INTRO'!I$2="English",(IF('5. PERSON'!BP$193&gt;0,"Salary including social costs (LKP)","")),IF('5. PERSON'!BP$193&gt;0,"Lön inklusive LKP",""))</f>
        <v/>
      </c>
      <c r="C3187" s="134">
        <f>SUMIF('5. PERSON'!$B$17:$B$192,$C3174,'5. PERSON'!BF$17:BF$192)</f>
        <v>0</v>
      </c>
      <c r="D3187" s="134">
        <f>SUMIF('5. PERSON'!$B$17:$B$192,$C3174,'5. PERSON'!BG$17:BG$192)</f>
        <v>0</v>
      </c>
      <c r="E3187" s="134">
        <f>SUMIF('5. PERSON'!$B$17:$B$192,$C3174,'5. PERSON'!BH$17:BH$192)</f>
        <v>0</v>
      </c>
      <c r="F3187" s="134">
        <f>SUMIF('5. PERSON'!$B$17:$B$192,$C3174,'5. PERSON'!BI$17:BI$192)</f>
        <v>0</v>
      </c>
      <c r="G3187" s="134">
        <f>SUMIF('5. PERSON'!$B$17:$B$192,$C3174,'5. PERSON'!BJ$17:BJ$192)</f>
        <v>0</v>
      </c>
      <c r="H3187" s="134">
        <f>SUMIF('5. PERSON'!$B$17:$B$192,$C3174,'5. PERSON'!BK$17:BK$192)</f>
        <v>0</v>
      </c>
      <c r="I3187" s="134">
        <f>SUMIF('5. PERSON'!$B$17:$B$192,$C3174,'5. PERSON'!BL$17:BL$192)</f>
        <v>0</v>
      </c>
      <c r="J3187" s="134">
        <f>SUMIF('5. PERSON'!$B$17:$B$192,$C3174,'5. PERSON'!BM$17:BM$192)</f>
        <v>0</v>
      </c>
      <c r="K3187" s="134">
        <f>SUMIF('5. PERSON'!$B$17:$B$192,$C3174,'5. PERSON'!BN$17:BN$192)</f>
        <v>0</v>
      </c>
      <c r="L3187" s="134">
        <f>SUMIF('5. PERSON'!$B$17:$B$192,$C3174,'5. PERSON'!BO$17:BO$192)</f>
        <v>0</v>
      </c>
      <c r="M3187" s="120">
        <f t="shared" si="759"/>
        <v>0</v>
      </c>
    </row>
    <row r="3188" spans="2:15" s="3" customFormat="1" ht="13.2" x14ac:dyDescent="0.25">
      <c r="B3188" s="80" t="str">
        <f>IF('1. INTRO'!I$2="English",(IF('6. OPERATION'!AS$150&gt;0,"Operating","")),IF('6. OPERATION'!AS$150&gt;0,"Drift",""))</f>
        <v/>
      </c>
      <c r="C3188" s="135">
        <f>SUMIF('6. OPERATION'!$B$17:$B$149,$C3174,'6. OPERATION'!AI$17:AI$149)</f>
        <v>0</v>
      </c>
      <c r="D3188" s="135">
        <f>SUMIF('6. OPERATION'!$B$17:$B$149,$C3174,'6. OPERATION'!AJ$17:AJ$149)</f>
        <v>0</v>
      </c>
      <c r="E3188" s="135">
        <f>SUMIF('6. OPERATION'!$B$17:$B$149,$C3174,'6. OPERATION'!AK$17:AK$149)</f>
        <v>0</v>
      </c>
      <c r="F3188" s="135">
        <f>SUMIF('6. OPERATION'!$B$17:$B$149,$C3174,'6. OPERATION'!AL$17:AL$149)</f>
        <v>0</v>
      </c>
      <c r="G3188" s="135">
        <f>SUMIF('6. OPERATION'!$B$17:$B$149,$C3174,'6. OPERATION'!AM$17:AM$149)</f>
        <v>0</v>
      </c>
      <c r="H3188" s="135">
        <f>SUMIF('6. OPERATION'!$B$17:$B$149,$C3174,'6. OPERATION'!AN$17:AN$149)</f>
        <v>0</v>
      </c>
      <c r="I3188" s="135">
        <f>SUMIF('6. OPERATION'!$B$17:$B$149,$C3174,'6. OPERATION'!AO$17:AO$149)</f>
        <v>0</v>
      </c>
      <c r="J3188" s="135">
        <f>SUMIF('6. OPERATION'!$B$17:$B$149,$C3174,'6. OPERATION'!AP$17:AP$149)</f>
        <v>0</v>
      </c>
      <c r="K3188" s="135">
        <f>SUMIF('6. OPERATION'!$B$17:$B$149,$C3174,'6. OPERATION'!AQ$17:AQ$149)</f>
        <v>0</v>
      </c>
      <c r="L3188" s="135">
        <f>SUMIF('6. OPERATION'!$B$17:$B$149,$C3174,'6. OPERATION'!AR$17:AR$149)</f>
        <v>0</v>
      </c>
      <c r="M3188" s="117">
        <f t="shared" si="759"/>
        <v>0</v>
      </c>
    </row>
    <row r="3189" spans="2:15" s="3" customFormat="1" ht="13.2" x14ac:dyDescent="0.25">
      <c r="B3189" s="118" t="str">
        <f>IF('1. INTRO'!I$2="English",(IF('7. INVEST'!AS$50&gt;0,"Equipment","")),IF('7. INVEST'!AS$50&gt;0,"Utrustning",""))</f>
        <v/>
      </c>
      <c r="C3189" s="134">
        <f>SUMIF('7. INVEST'!$B$17:$B$49,$C3174,'7. INVEST'!AI$17:AI$49)</f>
        <v>0</v>
      </c>
      <c r="D3189" s="134">
        <f>SUMIF('7. INVEST'!$B$17:$B$49,$C3174,'7. INVEST'!AJ$17:AJ$49)</f>
        <v>0</v>
      </c>
      <c r="E3189" s="134">
        <f>SUMIF('7. INVEST'!$B$17:$B$49,$C3174,'7. INVEST'!AK$17:AK$49)</f>
        <v>0</v>
      </c>
      <c r="F3189" s="134">
        <f>SUMIF('7. INVEST'!$B$17:$B$49,$C3174,'7. INVEST'!AL$17:AL$49)</f>
        <v>0</v>
      </c>
      <c r="G3189" s="134">
        <f>SUMIF('7. INVEST'!$B$17:$B$49,$C3174,'7. INVEST'!AM$17:AM$49)</f>
        <v>0</v>
      </c>
      <c r="H3189" s="134">
        <f>SUMIF('7. INVEST'!$B$17:$B$49,$C3174,'7. INVEST'!AN$17:AN$49)</f>
        <v>0</v>
      </c>
      <c r="I3189" s="134">
        <f>SUMIF('7. INVEST'!$B$17:$B$49,$C3174,'7. INVEST'!AO$17:AO$49)</f>
        <v>0</v>
      </c>
      <c r="J3189" s="134">
        <f>SUMIF('7. INVEST'!$B$17:$B$49,$C3174,'7. INVEST'!AP$17:AP$49)</f>
        <v>0</v>
      </c>
      <c r="K3189" s="134">
        <f>SUMIF('7. INVEST'!$B$17:$B$49,$C3174,'7. INVEST'!AQ$17:AQ$49)</f>
        <v>0</v>
      </c>
      <c r="L3189" s="134">
        <f>SUMIF('7. INVEST'!$B$17:$B$49,$C3174,'7. INVEST'!AR$17:AR$49)</f>
        <v>0</v>
      </c>
      <c r="M3189" s="120">
        <f t="shared" si="759"/>
        <v>0</v>
      </c>
    </row>
    <row r="3190" spans="2:15" s="3" customFormat="1" ht="13.2" x14ac:dyDescent="0.25">
      <c r="B3190" s="121" t="str">
        <f>IF('1. INTRO'!I$2="English",(IF('8. FACILIT'!AP$51&gt;0,"Facility","")),IF('8. FACILIT'!AP$51&gt;0,"Lokal",""))</f>
        <v/>
      </c>
      <c r="C3190" s="135">
        <f>SUMIF('5. PERSON'!$B$17:$B$192,$C3174,'5. PERSON'!DB$17:DB$192)+SUMIF('6. OPERATION'!$B$17:$B$149,$C3174,'6. OPERATION'!CE$17:CE$149)+SUMIF('8. FACILIT'!$B$18:$B$50,$C3174,'8. FACILIT'!AF$18:AF$50)</f>
        <v>0</v>
      </c>
      <c r="D3190" s="135">
        <f>SUMIF('5. PERSON'!$B$17:$B$192,$C3174,'5. PERSON'!DC$17:DC$192)+SUMIF('6. OPERATION'!$B$17:$B$149,$C3174,'6. OPERATION'!CF$17:CF$149)+SUMIF('8. FACILIT'!$B$18:$B$50,$C3174,'8. FACILIT'!AG$18:AG$50)</f>
        <v>0</v>
      </c>
      <c r="E3190" s="135">
        <f>SUMIF('5. PERSON'!$B$17:$B$192,$C3174,'5. PERSON'!DD$17:DD$192)+SUMIF('6. OPERATION'!$B$17:$B$149,$C3174,'6. OPERATION'!CG$17:CG$149)+SUMIF('8. FACILIT'!$B$18:$B$50,$C3174,'8. FACILIT'!AH$18:AH$50)</f>
        <v>0</v>
      </c>
      <c r="F3190" s="135">
        <f>SUMIF('5. PERSON'!$B$17:$B$192,$C3174,'5. PERSON'!DE$17:DE$192)+SUMIF('6. OPERATION'!$B$17:$B$149,$C3174,'6. OPERATION'!CH$17:CH$149)+SUMIF('8. FACILIT'!$B$18:$B$50,$C3174,'8. FACILIT'!AI$18:AI$50)</f>
        <v>0</v>
      </c>
      <c r="G3190" s="135">
        <f>SUMIF('5. PERSON'!$B$17:$B$192,$C3174,'5. PERSON'!DF$17:DF$192)+SUMIF('6. OPERATION'!$B$17:$B$149,$C3174,'6. OPERATION'!CI$17:CI$149)+SUMIF('8. FACILIT'!$B$18:$B$50,$C3174,'8. FACILIT'!AJ$18:AJ$50)</f>
        <v>0</v>
      </c>
      <c r="H3190" s="135">
        <f>SUMIF('5. PERSON'!$B$17:$B$192,$C3174,'5. PERSON'!DG$17:DG$192)+SUMIF('6. OPERATION'!$B$17:$B$149,$C3174,'6. OPERATION'!CJ$17:CJ$149)+SUMIF('8. FACILIT'!$B$18:$B$50,$C3174,'8. FACILIT'!AK$18:AK$50)</f>
        <v>0</v>
      </c>
      <c r="I3190" s="135">
        <f>SUMIF('5. PERSON'!$B$17:$B$192,$C3174,'5. PERSON'!DH$17:DH$192)+SUMIF('6. OPERATION'!$B$17:$B$149,$C3174,'6. OPERATION'!CK$17:CK$149)+SUMIF('8. FACILIT'!$B$18:$B$50,$C3174,'8. FACILIT'!AL$18:AL$50)</f>
        <v>0</v>
      </c>
      <c r="J3190" s="135">
        <f>SUMIF('5. PERSON'!$B$17:$B$192,$C3174,'5. PERSON'!DI$17:DI$192)+SUMIF('6. OPERATION'!$B$17:$B$149,$C3174,'6. OPERATION'!CL$17:CL$149)+SUMIF('8. FACILIT'!$B$18:$B$50,$C3174,'8. FACILIT'!AM$18:AM$50)</f>
        <v>0</v>
      </c>
      <c r="K3190" s="135">
        <f>SUMIF('5. PERSON'!$B$17:$B$192,$C3174,'5. PERSON'!DJ$17:DJ$192)+SUMIF('6. OPERATION'!$B$17:$B$149,$C3174,'6. OPERATION'!CM$17:CM$149)+SUMIF('8. FACILIT'!$B$18:$B$50,$C3174,'8. FACILIT'!AN$18:AN$50)</f>
        <v>0</v>
      </c>
      <c r="L3190" s="135">
        <f>SUMIF('5. PERSON'!$B$17:$B$192,$C3174,'5. PERSON'!DK$17:DK$192)+SUMIF('6. OPERATION'!$B$17:$B$149,$C3174,'6. OPERATION'!CN$17:CN$149)+SUMIF('8. FACILIT'!$B$18:$B$50,$C3174,'8. FACILIT'!AO$18:AO$50)</f>
        <v>0</v>
      </c>
      <c r="M3190" s="117">
        <f t="shared" si="759"/>
        <v>0</v>
      </c>
    </row>
    <row r="3191" spans="2:15" s="1" customFormat="1" ht="13.2" x14ac:dyDescent="0.25">
      <c r="B3191" s="122" t="str">
        <f>IF('1. INTRO'!I$2="English",(IF(('5. PERSON'!CN$193+'6. OPERATION'!BQ$150)&gt;0,"Indirect","")),IF(('5. PERSON'!CN$193+'6. OPERATION'!BQ$150)&gt;0,"Indirekt",""))</f>
        <v/>
      </c>
      <c r="C3191" s="107">
        <f>SUMIF('5. PERSON'!$B$17:$B$192,$C3174,'5. PERSON'!CD$17:CD$192)+SUMIF('6. OPERATION'!$B$17:$B$149,$C3174,'6. OPERATION'!BG$17:BG$149)</f>
        <v>0</v>
      </c>
      <c r="D3191" s="107">
        <f>SUMIF('5. PERSON'!$B$17:$B$192,$C3174,'5. PERSON'!CE$17:CE$192)+SUMIF('6. OPERATION'!$B$17:$B$149,$C3174,'6. OPERATION'!BH$17:BH$149)</f>
        <v>0</v>
      </c>
      <c r="E3191" s="107">
        <f>SUMIF('5. PERSON'!$B$17:$B$192,$C3174,'5. PERSON'!CF$17:CF$192)+SUMIF('6. OPERATION'!$B$17:$B$149,$C3174,'6. OPERATION'!BI$17:BI$149)</f>
        <v>0</v>
      </c>
      <c r="F3191" s="107">
        <f>SUMIF('5. PERSON'!$B$17:$B$192,$C3174,'5. PERSON'!CG$17:CG$192)+SUMIF('6. OPERATION'!$B$17:$B$149,$C3174,'6. OPERATION'!BJ$17:BJ$149)</f>
        <v>0</v>
      </c>
      <c r="G3191" s="107">
        <f>SUMIF('5. PERSON'!$B$17:$B$192,$C3174,'5. PERSON'!CH$17:CH$192)+SUMIF('6. OPERATION'!$B$17:$B$149,$C3174,'6. OPERATION'!BK$17:BK$149)</f>
        <v>0</v>
      </c>
      <c r="H3191" s="107">
        <f>SUMIF('5. PERSON'!$B$17:$B$192,$C3174,'5. PERSON'!CI$17:CI$192)+SUMIF('6. OPERATION'!$B$17:$B$149,$C3174,'6. OPERATION'!BL$17:BL$149)</f>
        <v>0</v>
      </c>
      <c r="I3191" s="107">
        <f>SUMIF('5. PERSON'!$B$17:$B$192,$C3174,'5. PERSON'!CJ$17:CJ$192)+SUMIF('6. OPERATION'!$B$17:$B$149,$C3174,'6. OPERATION'!BM$17:BM$149)</f>
        <v>0</v>
      </c>
      <c r="J3191" s="107">
        <f>SUMIF('5. PERSON'!$B$17:$B$192,$C3174,'5. PERSON'!CK$17:CK$192)+SUMIF('6. OPERATION'!$B$17:$B$149,$C3174,'6. OPERATION'!BN$17:BN$149)</f>
        <v>0</v>
      </c>
      <c r="K3191" s="107">
        <f>SUMIF('5. PERSON'!$B$17:$B$192,$C3174,'5. PERSON'!CL$17:CL$192)+SUMIF('6. OPERATION'!$B$17:$B$149,$C3174,'6. OPERATION'!BO$17:BO$149)</f>
        <v>0</v>
      </c>
      <c r="L3191" s="107">
        <f>SUMIF('5. PERSON'!$B$17:$B$192,$C3174,'5. PERSON'!CM$17:CM$192)+SUMIF('6. OPERATION'!$B$17:$B$149,$C3174,'6. OPERATION'!BP$17:BP$149)</f>
        <v>0</v>
      </c>
      <c r="M3191" s="123">
        <f t="shared" si="759"/>
        <v>0</v>
      </c>
    </row>
    <row r="3192" spans="2:15" s="3" customFormat="1" ht="13.2" x14ac:dyDescent="0.25">
      <c r="B3192" s="124" t="s">
        <v>113</v>
      </c>
      <c r="C3192" s="102">
        <f>SUM(C3185:C3191)</f>
        <v>0</v>
      </c>
      <c r="D3192" s="102">
        <f t="shared" ref="D3192:L3192" si="760">SUM(D3185:D3191)</f>
        <v>0</v>
      </c>
      <c r="E3192" s="102">
        <f t="shared" si="760"/>
        <v>0</v>
      </c>
      <c r="F3192" s="102">
        <f t="shared" si="760"/>
        <v>0</v>
      </c>
      <c r="G3192" s="102">
        <f t="shared" si="760"/>
        <v>0</v>
      </c>
      <c r="H3192" s="102">
        <f t="shared" si="760"/>
        <v>0</v>
      </c>
      <c r="I3192" s="102">
        <f t="shared" si="760"/>
        <v>0</v>
      </c>
      <c r="J3192" s="102">
        <f t="shared" si="760"/>
        <v>0</v>
      </c>
      <c r="K3192" s="102">
        <f t="shared" si="760"/>
        <v>0</v>
      </c>
      <c r="L3192" s="102">
        <f t="shared" si="760"/>
        <v>0</v>
      </c>
      <c r="M3192" s="125">
        <f t="shared" ref="M3192" si="761">SUM(M3185:M3191)</f>
        <v>0</v>
      </c>
      <c r="N3192" s="23"/>
      <c r="O3192" s="23"/>
    </row>
    <row r="3193" spans="2:15" s="3" customFormat="1" ht="6" customHeight="1" x14ac:dyDescent="0.25">
      <c r="B3193" s="136"/>
      <c r="C3193" s="127"/>
      <c r="D3193" s="127"/>
      <c r="E3193" s="127"/>
      <c r="F3193" s="127"/>
      <c r="G3193" s="127"/>
      <c r="H3193" s="127"/>
      <c r="I3193" s="127"/>
      <c r="J3193" s="127"/>
      <c r="K3193" s="127"/>
      <c r="L3193" s="127"/>
      <c r="M3193" s="137"/>
    </row>
    <row r="3194" spans="2:15" s="3" customFormat="1" ht="13.2" x14ac:dyDescent="0.25">
      <c r="B3194" s="129" t="str">
        <f>IF('1. INTRO'!I$2="English","Full cost","Full kostnad")</f>
        <v>Full cost</v>
      </c>
      <c r="C3194" s="127"/>
      <c r="D3194" s="127"/>
      <c r="E3194" s="127"/>
      <c r="F3194" s="127"/>
      <c r="G3194" s="127"/>
      <c r="H3194" s="127"/>
      <c r="I3194" s="127"/>
      <c r="J3194" s="127"/>
      <c r="K3194" s="127"/>
      <c r="L3194" s="127"/>
      <c r="M3194" s="137"/>
    </row>
    <row r="3195" spans="2:15" s="3" customFormat="1" ht="13.2" x14ac:dyDescent="0.25">
      <c r="B3195" s="113" t="str">
        <f>IF('1. INTRO'!I$2="English","Salary including social costs (LKP)","Lön inklusive LKP")</f>
        <v>Salary including social costs (LKP)</v>
      </c>
      <c r="C3195" s="138">
        <f>C3177+C3186+C3187</f>
        <v>0</v>
      </c>
      <c r="D3195" s="138">
        <f t="shared" ref="D3195:L3195" si="762">D3177+D3186+D3187</f>
        <v>0</v>
      </c>
      <c r="E3195" s="138">
        <f t="shared" si="762"/>
        <v>0</v>
      </c>
      <c r="F3195" s="138">
        <f t="shared" si="762"/>
        <v>0</v>
      </c>
      <c r="G3195" s="138">
        <f t="shared" si="762"/>
        <v>0</v>
      </c>
      <c r="H3195" s="138">
        <f t="shared" si="762"/>
        <v>0</v>
      </c>
      <c r="I3195" s="138">
        <f t="shared" si="762"/>
        <v>0</v>
      </c>
      <c r="J3195" s="138">
        <f t="shared" si="762"/>
        <v>0</v>
      </c>
      <c r="K3195" s="138">
        <f t="shared" si="762"/>
        <v>0</v>
      </c>
      <c r="L3195" s="138">
        <f t="shared" si="762"/>
        <v>0</v>
      </c>
      <c r="M3195" s="115">
        <f>SUM(C3195:L3195)</f>
        <v>0</v>
      </c>
    </row>
    <row r="3196" spans="2:15" s="3" customFormat="1" ht="13.2" x14ac:dyDescent="0.25">
      <c r="B3196" s="80" t="str">
        <f>IF('1. INTRO'!I$2="English","Operating","Drift")</f>
        <v>Operating</v>
      </c>
      <c r="C3196" s="139">
        <f>C3178+C3188</f>
        <v>0</v>
      </c>
      <c r="D3196" s="139">
        <f t="shared" ref="D3196:L3196" si="763">D3178+D3188</f>
        <v>0</v>
      </c>
      <c r="E3196" s="139">
        <f t="shared" si="763"/>
        <v>0</v>
      </c>
      <c r="F3196" s="139">
        <f t="shared" si="763"/>
        <v>0</v>
      </c>
      <c r="G3196" s="139">
        <f t="shared" si="763"/>
        <v>0</v>
      </c>
      <c r="H3196" s="139">
        <f t="shared" si="763"/>
        <v>0</v>
      </c>
      <c r="I3196" s="139">
        <f t="shared" si="763"/>
        <v>0</v>
      </c>
      <c r="J3196" s="139">
        <f t="shared" si="763"/>
        <v>0</v>
      </c>
      <c r="K3196" s="139">
        <f t="shared" si="763"/>
        <v>0</v>
      </c>
      <c r="L3196" s="139">
        <f t="shared" si="763"/>
        <v>0</v>
      </c>
      <c r="M3196" s="117">
        <f>SUM(C3196:L3196)</f>
        <v>0</v>
      </c>
    </row>
    <row r="3197" spans="2:15" s="3" customFormat="1" ht="13.2" x14ac:dyDescent="0.25">
      <c r="B3197" s="118" t="str">
        <f>IF('1. INTRO'!I$2="English","Equipment","Utrustning")</f>
        <v>Equipment</v>
      </c>
      <c r="C3197" s="140">
        <f>C3179+C3189</f>
        <v>0</v>
      </c>
      <c r="D3197" s="140">
        <f t="shared" ref="D3197:L3197" si="764">D3179+D3189</f>
        <v>0</v>
      </c>
      <c r="E3197" s="140">
        <f t="shared" si="764"/>
        <v>0</v>
      </c>
      <c r="F3197" s="140">
        <f t="shared" si="764"/>
        <v>0</v>
      </c>
      <c r="G3197" s="140">
        <f t="shared" si="764"/>
        <v>0</v>
      </c>
      <c r="H3197" s="140">
        <f t="shared" si="764"/>
        <v>0</v>
      </c>
      <c r="I3197" s="140">
        <f t="shared" si="764"/>
        <v>0</v>
      </c>
      <c r="J3197" s="140">
        <f t="shared" si="764"/>
        <v>0</v>
      </c>
      <c r="K3197" s="140">
        <f t="shared" si="764"/>
        <v>0</v>
      </c>
      <c r="L3197" s="140">
        <f t="shared" si="764"/>
        <v>0</v>
      </c>
      <c r="M3197" s="120">
        <f>SUM(C3197:L3197)</f>
        <v>0</v>
      </c>
    </row>
    <row r="3198" spans="2:15" s="3" customFormat="1" ht="13.2" x14ac:dyDescent="0.25">
      <c r="B3198" s="80" t="str">
        <f>IF('1. INTRO'!I$2="English","Facility","Lokal")</f>
        <v>Facility</v>
      </c>
      <c r="C3198" s="139">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39">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39">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39">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39">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39">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39">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39">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39">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39">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117">
        <f>SUM(C3198:L3198)</f>
        <v>0</v>
      </c>
    </row>
    <row r="3199" spans="2:15" s="3" customFormat="1" ht="13.2" x14ac:dyDescent="0.25">
      <c r="B3199" s="601" t="str">
        <f>IF('1. INTRO'!I$2="English","Indirect","Indirekt")</f>
        <v>Indirect</v>
      </c>
      <c r="C3199" s="141">
        <f>SUMIF('5. PERSON'!$B$17:$B$192,$C3174,'5. PERSON'!BR$17:BR$192)+SUMIF('5. PERSON'!$B$17:$B$192,$C3174,'5. PERSON'!CD$17:CD$192)+SUMIF('6. OPERATION'!$B$17:$B$149,$C3174,'6. OPERATION'!AU$17:AU$149)+SUMIF('6. OPERATION'!$B$17:$B$149,$C3174,'6. OPERATION'!BG$17:BG$149)</f>
        <v>0</v>
      </c>
      <c r="D3199" s="141">
        <f>SUMIF('5. PERSON'!$B$17:$B$192,$C3174,'5. PERSON'!BS$17:BS$192)+SUMIF('5. PERSON'!$B$17:$B$192,$C3174,'5. PERSON'!CE$17:CE$192)+SUMIF('6. OPERATION'!$B$17:$B$149,$C3174,'6. OPERATION'!AV$17:AV$149)+SUMIF('6. OPERATION'!$B$17:$B$149,$C3174,'6. OPERATION'!BH$17:BH$149)</f>
        <v>0</v>
      </c>
      <c r="E3199" s="141">
        <f>SUMIF('5. PERSON'!$B$17:$B$192,$C3174,'5. PERSON'!BT$17:BT$192)+SUMIF('5. PERSON'!$B$17:$B$192,$C3174,'5. PERSON'!CF$17:CF$192)+SUMIF('6. OPERATION'!$B$17:$B$149,$C3174,'6. OPERATION'!AW$17:AW$149)+SUMIF('6. OPERATION'!$B$17:$B$149,$C3174,'6. OPERATION'!BI$17:BI$149)</f>
        <v>0</v>
      </c>
      <c r="F3199" s="141">
        <f>SUMIF('5. PERSON'!$B$17:$B$192,$C3174,'5. PERSON'!BU$17:BU$192)+SUMIF('5. PERSON'!$B$17:$B$192,$C3174,'5. PERSON'!CG$17:CG$192)+SUMIF('6. OPERATION'!$B$17:$B$149,$C3174,'6. OPERATION'!AX$17:AX$149)+SUMIF('6. OPERATION'!$B$17:$B$149,$C3174,'6. OPERATION'!BJ$17:BJ$149)</f>
        <v>0</v>
      </c>
      <c r="G3199" s="141">
        <f>SUMIF('5. PERSON'!$B$17:$B$192,$C3174,'5. PERSON'!BV$17:BV$192)+SUMIF('5. PERSON'!$B$17:$B$192,$C3174,'5. PERSON'!CH$17:CH$192)+SUMIF('6. OPERATION'!$B$17:$B$149,$C3174,'6. OPERATION'!AY$17:AY$149)+SUMIF('6. OPERATION'!$B$17:$B$149,$C3174,'6. OPERATION'!BK$17:BK$149)</f>
        <v>0</v>
      </c>
      <c r="H3199" s="141">
        <f>SUMIF('5. PERSON'!$B$17:$B$192,$C3174,'5. PERSON'!BW$17:BW$192)+SUMIF('5. PERSON'!$B$17:$B$192,$C3174,'5. PERSON'!CI$17:CI$192)+SUMIF('6. OPERATION'!$B$17:$B$149,$C3174,'6. OPERATION'!AZ$17:AZ$149)+SUMIF('6. OPERATION'!$B$17:$B$149,$C3174,'6. OPERATION'!BL$17:BL$149)</f>
        <v>0</v>
      </c>
      <c r="I3199" s="141">
        <f>SUMIF('5. PERSON'!$B$17:$B$192,$C3174,'5. PERSON'!BX$17:BX$192)+SUMIF('5. PERSON'!$B$17:$B$192,$C3174,'5. PERSON'!CJ$17:CJ$192)+SUMIF('6. OPERATION'!$B$17:$B$149,$C3174,'6. OPERATION'!BA$17:BA$149)+SUMIF('6. OPERATION'!$B$17:$B$149,$C3174,'6. OPERATION'!BM$17:BM$149)</f>
        <v>0</v>
      </c>
      <c r="J3199" s="141">
        <f>SUMIF('5. PERSON'!$B$17:$B$192,$C3174,'5. PERSON'!BY$17:BY$192)+SUMIF('5. PERSON'!$B$17:$B$192,$C3174,'5. PERSON'!CK$17:CK$192)+SUMIF('6. OPERATION'!$B$17:$B$149,$C3174,'6. OPERATION'!BB$17:BB$149)+SUMIF('6. OPERATION'!$B$17:$B$149,$C3174,'6. OPERATION'!BN$17:BN$149)</f>
        <v>0</v>
      </c>
      <c r="K3199" s="141">
        <f>SUMIF('5. PERSON'!$B$17:$B$192,$C3174,'5. PERSON'!BZ$17:BZ$192)+SUMIF('5. PERSON'!$B$17:$B$192,$C3174,'5. PERSON'!CL$17:CL$192)+SUMIF('6. OPERATION'!$B$17:$B$149,$C3174,'6. OPERATION'!BC$17:BC$149)+SUMIF('6. OPERATION'!$B$17:$B$149,$C3174,'6. OPERATION'!BO$17:BO$149)</f>
        <v>0</v>
      </c>
      <c r="L3199" s="141">
        <f>SUMIF('5. PERSON'!$B$17:$B$192,$C3174,'5. PERSON'!CA$17:CA$192)+SUMIF('5. PERSON'!$B$17:$B$192,$C3174,'5. PERSON'!CM$17:CM$192)+SUMIF('6. OPERATION'!$B$17:$B$149,$C3174,'6. OPERATION'!BD$17:BD$149)+SUMIF('6. OPERATION'!$B$17:$B$149,$C3174,'6. OPERATION'!BP$17:BP$149)</f>
        <v>0</v>
      </c>
      <c r="M3199" s="123">
        <f>SUM(C3199:L3199)</f>
        <v>0</v>
      </c>
    </row>
    <row r="3200" spans="2:15" s="3" customFormat="1" ht="13.2" x14ac:dyDescent="0.25">
      <c r="B3200" s="124" t="s">
        <v>113</v>
      </c>
      <c r="C3200" s="88">
        <f>SUM(C3195:C3199)</f>
        <v>0</v>
      </c>
      <c r="D3200" s="88">
        <f t="shared" ref="D3200:M3200" si="765">SUM(D3195:D3199)</f>
        <v>0</v>
      </c>
      <c r="E3200" s="88">
        <f t="shared" si="765"/>
        <v>0</v>
      </c>
      <c r="F3200" s="88">
        <f t="shared" si="765"/>
        <v>0</v>
      </c>
      <c r="G3200" s="88">
        <f t="shared" si="765"/>
        <v>0</v>
      </c>
      <c r="H3200" s="88">
        <f t="shared" si="765"/>
        <v>0</v>
      </c>
      <c r="I3200" s="88">
        <f t="shared" si="765"/>
        <v>0</v>
      </c>
      <c r="J3200" s="88">
        <f t="shared" si="765"/>
        <v>0</v>
      </c>
      <c r="K3200" s="88">
        <f t="shared" si="765"/>
        <v>0</v>
      </c>
      <c r="L3200" s="88">
        <f t="shared" si="765"/>
        <v>0</v>
      </c>
      <c r="M3200" s="142">
        <f t="shared" si="765"/>
        <v>0</v>
      </c>
    </row>
    <row r="3201" spans="2:13" s="3" customFormat="1" ht="13.2" x14ac:dyDescent="0.25">
      <c r="B3201" s="287"/>
      <c r="C3201" s="37"/>
      <c r="D3201" s="37"/>
      <c r="E3201" s="37"/>
      <c r="F3201" s="37"/>
      <c r="G3201" s="37"/>
      <c r="H3201" s="37"/>
      <c r="I3201" s="37"/>
      <c r="J3201" s="37"/>
      <c r="K3201" s="37"/>
      <c r="L3201" s="37"/>
      <c r="M3201" s="37"/>
    </row>
    <row r="3202" spans="2:13" s="3" customFormat="1" ht="12.75" customHeight="1" x14ac:dyDescent="0.25">
      <c r="B3202" s="656" t="str">
        <f>IF('1. INTRO'!I$2="English","Co-funding share in full cost ","Medfinansieringsandel i full kostnad ")</f>
        <v xml:space="preserve">Co-funding share in full cost </v>
      </c>
      <c r="C3202" s="143" t="str">
        <f t="shared" ref="C3202:M3202" si="766">IF(C3200&gt;0,C3192/C3200,"")</f>
        <v/>
      </c>
      <c r="D3202" s="143" t="str">
        <f t="shared" si="766"/>
        <v/>
      </c>
      <c r="E3202" s="143" t="str">
        <f t="shared" si="766"/>
        <v/>
      </c>
      <c r="F3202" s="143" t="str">
        <f t="shared" si="766"/>
        <v/>
      </c>
      <c r="G3202" s="143" t="str">
        <f t="shared" si="766"/>
        <v/>
      </c>
      <c r="H3202" s="143" t="str">
        <f t="shared" si="766"/>
        <v/>
      </c>
      <c r="I3202" s="143" t="str">
        <f t="shared" si="766"/>
        <v/>
      </c>
      <c r="J3202" s="143" t="str">
        <f t="shared" si="766"/>
        <v/>
      </c>
      <c r="K3202" s="143" t="str">
        <f t="shared" si="766"/>
        <v/>
      </c>
      <c r="L3202" s="143" t="str">
        <f t="shared" si="766"/>
        <v/>
      </c>
      <c r="M3202" s="143" t="str">
        <f t="shared" si="766"/>
        <v/>
      </c>
    </row>
    <row r="3203" spans="2:13" ht="12.75" customHeight="1" x14ac:dyDescent="0.2"/>
    <row r="3204" spans="2:13" ht="12.75" customHeight="1" x14ac:dyDescent="0.25">
      <c r="D3204" s="676" t="str">
        <f>IF('1. INTRO'!I$2="English","Co-funding need in average per year: ","Medfinansieringsbehov i genomsnitt per år: ")</f>
        <v xml:space="preserve">Co-funding need in average per year: </v>
      </c>
      <c r="E3204" s="92" t="str">
        <f>IF(M3192=0,"",M3192/(DATEDIF('2. START'!C$18,'2. START'!C$19,"d")/365))</f>
        <v/>
      </c>
      <c r="H3204" s="676" t="str">
        <f>IF('1. INTRO'!I$2="English","Co-funding need 1/3 of total: ","Medfinansieringsbehov 1/3 av totalt: ")</f>
        <v xml:space="preserve">Co-funding need 1/3 of total: </v>
      </c>
      <c r="I3204" s="92">
        <f>M3192/3</f>
        <v>0</v>
      </c>
      <c r="L3204" s="287" t="str">
        <f>IF('1. INTRO'!I$2="English","Co-funding need total: ","Medfinansieringsbehov totalt: ")</f>
        <v xml:space="preserve">Co-funding need total: </v>
      </c>
      <c r="M3204" s="92">
        <f>M3192</f>
        <v>0</v>
      </c>
    </row>
    <row r="3205" spans="2:13" ht="12.75" customHeight="1" x14ac:dyDescent="0.25">
      <c r="B3205" s="53" t="str">
        <f>IF('1. INTRO'!I$2="English","Co-funding sources","Medfinansieringskällor")</f>
        <v>Co-funding sources</v>
      </c>
    </row>
    <row r="3206" spans="2:13" ht="12.75" customHeight="1" x14ac:dyDescent="0.25">
      <c r="B3206" s="225"/>
      <c r="C3206" s="226"/>
      <c r="D3206" s="226"/>
      <c r="E3206" s="226"/>
      <c r="F3206" s="226"/>
      <c r="G3206" s="226"/>
      <c r="H3206" s="226"/>
      <c r="I3206" s="226"/>
      <c r="J3206" s="226"/>
      <c r="K3206" s="226"/>
      <c r="L3206" s="227"/>
      <c r="M3206" s="168">
        <f>SUM(C3206:L3206)</f>
        <v>0</v>
      </c>
    </row>
    <row r="3207" spans="2:13" ht="12.75" customHeight="1" x14ac:dyDescent="0.25">
      <c r="B3207" s="228"/>
      <c r="C3207" s="229"/>
      <c r="D3207" s="229"/>
      <c r="E3207" s="229"/>
      <c r="F3207" s="229"/>
      <c r="G3207" s="229"/>
      <c r="H3207" s="229"/>
      <c r="I3207" s="229"/>
      <c r="J3207" s="229"/>
      <c r="K3207" s="229"/>
      <c r="L3207" s="230"/>
      <c r="M3207" s="120">
        <f t="shared" ref="M3207:M3210" si="767">SUM(C3207:L3207)</f>
        <v>0</v>
      </c>
    </row>
    <row r="3208" spans="2:13" ht="12.75" customHeight="1" x14ac:dyDescent="0.25">
      <c r="B3208" s="231"/>
      <c r="C3208" s="232"/>
      <c r="D3208" s="232"/>
      <c r="E3208" s="232"/>
      <c r="F3208" s="232"/>
      <c r="G3208" s="232"/>
      <c r="H3208" s="232"/>
      <c r="I3208" s="232"/>
      <c r="J3208" s="232"/>
      <c r="K3208" s="232"/>
      <c r="L3208" s="233"/>
      <c r="M3208" s="117">
        <f t="shared" si="767"/>
        <v>0</v>
      </c>
    </row>
    <row r="3209" spans="2:13" ht="12.75" customHeight="1" x14ac:dyDescent="0.25">
      <c r="B3209" s="228"/>
      <c r="C3209" s="229"/>
      <c r="D3209" s="229"/>
      <c r="E3209" s="229"/>
      <c r="F3209" s="229"/>
      <c r="G3209" s="229"/>
      <c r="H3209" s="229"/>
      <c r="I3209" s="229"/>
      <c r="J3209" s="229"/>
      <c r="K3209" s="229"/>
      <c r="L3209" s="230"/>
      <c r="M3209" s="120">
        <f t="shared" si="767"/>
        <v>0</v>
      </c>
    </row>
    <row r="3210" spans="2:13" ht="12.75" customHeight="1" x14ac:dyDescent="0.25">
      <c r="B3210" s="93"/>
      <c r="C3210" s="232"/>
      <c r="D3210" s="232"/>
      <c r="E3210" s="232"/>
      <c r="F3210" s="232"/>
      <c r="G3210" s="232"/>
      <c r="H3210" s="232"/>
      <c r="I3210" s="232"/>
      <c r="J3210" s="232"/>
      <c r="K3210" s="232"/>
      <c r="L3210" s="233"/>
      <c r="M3210" s="117">
        <f t="shared" si="767"/>
        <v>0</v>
      </c>
    </row>
    <row r="3211" spans="2:13" ht="12.75" customHeight="1" x14ac:dyDescent="0.25">
      <c r="B3211" s="84" t="str">
        <f>IF('1. INTRO'!I$2="English","Total co-funding ","Total medfinansiering ")</f>
        <v xml:space="preserve">Total co-funding </v>
      </c>
      <c r="C3211" s="87">
        <f t="shared" ref="C3211:M3211" si="768">SUM(C3206:C3210)</f>
        <v>0</v>
      </c>
      <c r="D3211" s="87">
        <f t="shared" si="768"/>
        <v>0</v>
      </c>
      <c r="E3211" s="87">
        <f t="shared" si="768"/>
        <v>0</v>
      </c>
      <c r="F3211" s="87">
        <f t="shared" si="768"/>
        <v>0</v>
      </c>
      <c r="G3211" s="87">
        <f t="shared" si="768"/>
        <v>0</v>
      </c>
      <c r="H3211" s="87">
        <f t="shared" si="768"/>
        <v>0</v>
      </c>
      <c r="I3211" s="87">
        <f t="shared" si="768"/>
        <v>0</v>
      </c>
      <c r="J3211" s="87">
        <f t="shared" si="768"/>
        <v>0</v>
      </c>
      <c r="K3211" s="87">
        <f t="shared" si="768"/>
        <v>0</v>
      </c>
      <c r="L3211" s="87">
        <f t="shared" si="768"/>
        <v>0</v>
      </c>
      <c r="M3211" s="142">
        <f t="shared" si="768"/>
        <v>0</v>
      </c>
    </row>
    <row r="3212" spans="2:13" ht="12.75" customHeight="1" x14ac:dyDescent="0.2"/>
    <row r="3213" spans="2:13" ht="12.75" customHeight="1" x14ac:dyDescent="0.2">
      <c r="B3213" s="667" t="str">
        <f>IF('1. INTRO'!I$2="English","Calculation comments","Kalkylkommentarer")</f>
        <v>Calculation comments</v>
      </c>
      <c r="C3213" s="37" t="str">
        <f>B76</f>
        <v/>
      </c>
    </row>
    <row r="3214" spans="2:13" ht="12.75" customHeight="1" x14ac:dyDescent="0.2">
      <c r="B3214" s="1142"/>
      <c r="C3214" s="1143"/>
      <c r="D3214" s="1143"/>
      <c r="E3214" s="1143"/>
      <c r="F3214" s="1143"/>
      <c r="G3214" s="1143"/>
      <c r="H3214" s="1143"/>
      <c r="I3214" s="1143"/>
      <c r="J3214" s="1143"/>
      <c r="K3214" s="1143"/>
      <c r="L3214" s="1143"/>
      <c r="M3214" s="1144"/>
    </row>
    <row r="3215" spans="2:13" ht="12.75" customHeight="1" x14ac:dyDescent="0.2">
      <c r="B3215" s="1145"/>
      <c r="C3215" s="1226"/>
      <c r="D3215" s="1226"/>
      <c r="E3215" s="1226"/>
      <c r="F3215" s="1226"/>
      <c r="G3215" s="1226"/>
      <c r="H3215" s="1226"/>
      <c r="I3215" s="1226"/>
      <c r="J3215" s="1226"/>
      <c r="K3215" s="1226"/>
      <c r="L3215" s="1226"/>
      <c r="M3215" s="1147"/>
    </row>
    <row r="3216" spans="2:13" ht="12.75" customHeight="1" x14ac:dyDescent="0.2">
      <c r="B3216" s="1145"/>
      <c r="C3216" s="1226"/>
      <c r="D3216" s="1226"/>
      <c r="E3216" s="1226"/>
      <c r="F3216" s="1226"/>
      <c r="G3216" s="1226"/>
      <c r="H3216" s="1226"/>
      <c r="I3216" s="1226"/>
      <c r="J3216" s="1226"/>
      <c r="K3216" s="1226"/>
      <c r="L3216" s="1226"/>
      <c r="M3216" s="1147"/>
    </row>
    <row r="3217" spans="2:15" ht="12.75" customHeight="1" x14ac:dyDescent="0.2">
      <c r="B3217" s="1145"/>
      <c r="C3217" s="1226"/>
      <c r="D3217" s="1226"/>
      <c r="E3217" s="1226"/>
      <c r="F3217" s="1226"/>
      <c r="G3217" s="1226"/>
      <c r="H3217" s="1226"/>
      <c r="I3217" s="1226"/>
      <c r="J3217" s="1226"/>
      <c r="K3217" s="1226"/>
      <c r="L3217" s="1226"/>
      <c r="M3217" s="1147"/>
    </row>
    <row r="3218" spans="2:15" ht="12.75" customHeight="1" x14ac:dyDescent="0.2">
      <c r="B3218" s="1148"/>
      <c r="C3218" s="1149"/>
      <c r="D3218" s="1149"/>
      <c r="E3218" s="1149"/>
      <c r="F3218" s="1149"/>
      <c r="G3218" s="1149"/>
      <c r="H3218" s="1149"/>
      <c r="I3218" s="1149"/>
      <c r="J3218" s="1149"/>
      <c r="K3218" s="1149"/>
      <c r="L3218" s="1149"/>
      <c r="M3218" s="1150"/>
    </row>
    <row r="3220" spans="2:15" s="3" customFormat="1" ht="12.75" customHeight="1" x14ac:dyDescent="0.25">
      <c r="B3220" s="313" t="str">
        <f>'3. PARTNER'!C$4</f>
        <v xml:space="preserve">Project: </v>
      </c>
      <c r="C3220" s="1062" t="str">
        <f>'3. PARTNER'!D$4</f>
        <v/>
      </c>
      <c r="D3220" s="1001"/>
      <c r="E3220" s="1001"/>
      <c r="F3220" s="1001"/>
      <c r="G3220" s="1001"/>
      <c r="H3220" s="1001"/>
      <c r="I3220" s="1001"/>
      <c r="J3220" s="1001"/>
      <c r="K3220" s="1001"/>
      <c r="L3220" s="1001"/>
      <c r="M3220" s="1001"/>
    </row>
    <row r="3221" spans="2:15" s="3" customFormat="1" ht="13.2" x14ac:dyDescent="0.25">
      <c r="B3221" s="313" t="str">
        <f>'3. PARTNER'!C$5</f>
        <v xml:space="preserve">Calculation for: </v>
      </c>
      <c r="C3221" s="1062" t="str">
        <f>'3. PARTNER'!D$5</f>
        <v>APPLICATION</v>
      </c>
      <c r="D3221" s="1001"/>
      <c r="E3221" s="268"/>
      <c r="F3221" s="268"/>
      <c r="G3221" s="268"/>
      <c r="H3221" s="268"/>
      <c r="I3221" s="268"/>
      <c r="J3221" s="268"/>
      <c r="K3221" s="268"/>
      <c r="L3221" s="268"/>
      <c r="M3221" s="268"/>
    </row>
    <row r="3222" spans="2:15" s="3" customFormat="1" ht="13.2" x14ac:dyDescent="0.25">
      <c r="B3222" s="35" t="str">
        <f>'3. PARTNER'!C$6</f>
        <v xml:space="preserve">Project leader: </v>
      </c>
      <c r="C3222" s="1062" t="str">
        <f>'3. PARTNER'!D$6</f>
        <v/>
      </c>
      <c r="D3222" s="1001"/>
      <c r="E3222" s="1001"/>
      <c r="F3222" s="1001"/>
      <c r="G3222" s="1001"/>
      <c r="H3222" s="1001"/>
      <c r="I3222" s="1001"/>
      <c r="J3222" s="1001"/>
      <c r="K3222" s="1001"/>
      <c r="L3222" s="1001"/>
      <c r="M3222" s="1001"/>
    </row>
    <row r="3223" spans="2:15" s="3" customFormat="1" ht="13.2" x14ac:dyDescent="0.25">
      <c r="B3223" s="313" t="str">
        <f>'5. PERSON'!B$7</f>
        <v xml:space="preserve">Amounts in: </v>
      </c>
      <c r="C3223" s="655" t="str">
        <f>'5. PERSON'!C$7</f>
        <v>SEK</v>
      </c>
      <c r="D3223" s="268"/>
      <c r="E3223" s="268"/>
      <c r="F3223" s="268"/>
      <c r="G3223" s="234"/>
      <c r="H3223" s="234"/>
      <c r="I3223" s="270"/>
      <c r="J3223" s="270"/>
      <c r="K3223" s="270"/>
      <c r="L3223" s="270"/>
      <c r="M3223" s="270"/>
    </row>
    <row r="3224" spans="2:15" s="3" customFormat="1" ht="13.2" x14ac:dyDescent="0.25">
      <c r="B3224" s="313"/>
      <c r="C3224" s="1053" t="str">
        <f>'3. PARTNER'!D$7</f>
        <v>Other basic data about the project is in sheet 2.</v>
      </c>
      <c r="D3224" s="1001"/>
      <c r="E3224" s="1001"/>
      <c r="F3224" s="1001"/>
      <c r="G3224" s="234"/>
      <c r="H3224" s="234"/>
      <c r="I3224" s="270"/>
      <c r="J3224" s="270"/>
      <c r="K3224" s="270"/>
      <c r="L3224" s="251" t="s">
        <v>4</v>
      </c>
      <c r="M3224" s="270"/>
    </row>
    <row r="3225" spans="2:15" ht="12.75" customHeight="1" x14ac:dyDescent="0.2">
      <c r="L3225" s="252" t="str">
        <f>IF('1. INTRO'!I$2="English","months","månader")</f>
        <v>months</v>
      </c>
    </row>
    <row r="3226" spans="2:15" s="3" customFormat="1" ht="13.8" x14ac:dyDescent="0.25">
      <c r="B3226" s="157" t="str">
        <f>IF('1. INTRO'!I$2="English","Project costs","Projektkostnader")</f>
        <v>Project costs</v>
      </c>
      <c r="C3226" s="668" t="str">
        <f>A77</f>
        <v>EXT119</v>
      </c>
      <c r="D3226" s="1227" t="str">
        <f>B77</f>
        <v/>
      </c>
      <c r="E3226" s="1001"/>
      <c r="F3226" s="1001"/>
      <c r="G3226" s="1001"/>
      <c r="H3226" s="1001"/>
      <c r="I3226" s="37"/>
      <c r="J3226" s="37"/>
      <c r="K3226" s="37"/>
      <c r="L3226" s="642">
        <f>SUMIF('5. PERSON'!$B$17:$B$192,$C3226,'5. PERSON'!AE$17:AE$192)</f>
        <v>0</v>
      </c>
      <c r="M3226" s="680" t="s">
        <v>330</v>
      </c>
    </row>
    <row r="3227" spans="2:15" s="3" customFormat="1" ht="6" customHeight="1" x14ac:dyDescent="0.25">
      <c r="B3227" s="57"/>
      <c r="C3227" s="37"/>
      <c r="D3227" s="37"/>
      <c r="E3227" s="37"/>
      <c r="F3227" s="37"/>
      <c r="G3227" s="37"/>
      <c r="H3227" s="37"/>
      <c r="I3227" s="37"/>
      <c r="J3227" s="37"/>
      <c r="K3227" s="37"/>
      <c r="L3227" s="37"/>
      <c r="M3227" s="37"/>
    </row>
    <row r="3228" spans="2:15" s="3" customFormat="1" ht="13.2" x14ac:dyDescent="0.25">
      <c r="B3228" s="110" t="str">
        <f>IF('1. INTRO'!I$2="English","Costs to be covered by funding body","Kostnader att täckas av finansiär")</f>
        <v>Costs to be covered by funding body</v>
      </c>
      <c r="C3228" s="111">
        <f>'5. PERSON'!G$15</f>
        <v>1900</v>
      </c>
      <c r="D3228" s="111" t="str">
        <f>'5. PERSON'!H$15</f>
        <v/>
      </c>
      <c r="E3228" s="111" t="str">
        <f>'5. PERSON'!I$15</f>
        <v/>
      </c>
      <c r="F3228" s="111" t="str">
        <f>'5. PERSON'!J$15</f>
        <v/>
      </c>
      <c r="G3228" s="111" t="str">
        <f>'5. PERSON'!K$15</f>
        <v/>
      </c>
      <c r="H3228" s="111" t="str">
        <f>'5. PERSON'!L$15</f>
        <v/>
      </c>
      <c r="I3228" s="111" t="str">
        <f>'5. PERSON'!M$15</f>
        <v/>
      </c>
      <c r="J3228" s="111" t="str">
        <f>'5. PERSON'!N$15</f>
        <v/>
      </c>
      <c r="K3228" s="111" t="str">
        <f>'5. PERSON'!O$15</f>
        <v/>
      </c>
      <c r="L3228" s="111" t="str">
        <f>'5. PERSON'!P$15</f>
        <v/>
      </c>
      <c r="M3228" s="112" t="s">
        <v>2</v>
      </c>
    </row>
    <row r="3229" spans="2:15" s="3" customFormat="1" ht="12.75" customHeight="1" x14ac:dyDescent="0.25">
      <c r="B3229" s="113" t="str">
        <f>IF('1. INTRO'!I$2="English","Salary including social costs (LKP)","Lön inklusive LKP")</f>
        <v>Salary including social costs (LKP)</v>
      </c>
      <c r="C3229" s="114">
        <f>IF('2. START'!$C$14&gt;0,SUMIF('5. PERSON'!$B$17:$B$192,$C3226,'5. PERSON'!DN$17:DN$192),SUMIF('5. PERSON'!$B$17:$B$192,$C3226,'5. PERSON'!AT$17:AT$192))</f>
        <v>0</v>
      </c>
      <c r="D3229" s="114">
        <f>IF('2. START'!$C$14&gt;0,SUMIF('5. PERSON'!$B$17:$B$192,$C3226,'5. PERSON'!DO$17:DO$192),SUMIF('5. PERSON'!$B$17:$B$192,$C3226,'5. PERSON'!AU$17:AU$192))</f>
        <v>0</v>
      </c>
      <c r="E3229" s="114">
        <f>IF('2. START'!$C$14&gt;0,SUMIF('5. PERSON'!$B$17:$B$192,$C3226,'5. PERSON'!DP$17:DP$192),SUMIF('5. PERSON'!$B$17:$B$192,$C3226,'5. PERSON'!AV$17:AV$192))</f>
        <v>0</v>
      </c>
      <c r="F3229" s="114">
        <f>IF('2. START'!$C$14&gt;0,SUMIF('5. PERSON'!$B$17:$B$192,$C3226,'5. PERSON'!DQ$17:DQ$192),SUMIF('5. PERSON'!$B$17:$B$192,$C3226,'5. PERSON'!AW$17:AW$192))</f>
        <v>0</v>
      </c>
      <c r="G3229" s="114">
        <f>IF('2. START'!$C$14&gt;0,SUMIF('5. PERSON'!$B$17:$B$192,$C3226,'5. PERSON'!DR$17:DR$192),SUMIF('5. PERSON'!$B$17:$B$192,$C3226,'5. PERSON'!AX$17:AX$192))</f>
        <v>0</v>
      </c>
      <c r="H3229" s="114">
        <f>IF('2. START'!$C$14&gt;0,SUMIF('5. PERSON'!$B$17:$B$192,$C3226,'5. PERSON'!DS$17:DS$192),SUMIF('5. PERSON'!$B$17:$B$192,$C3226,'5. PERSON'!AY$17:AY$192))</f>
        <v>0</v>
      </c>
      <c r="I3229" s="114">
        <f>IF('2. START'!$C$14&gt;0,SUMIF('5. PERSON'!$B$17:$B$192,$C3226,'5. PERSON'!DT$17:DT$192),SUMIF('5. PERSON'!$B$17:$B$192,$C3226,'5. PERSON'!AZ$17:AZ$192))</f>
        <v>0</v>
      </c>
      <c r="J3229" s="114">
        <f>IF('2. START'!$C$14&gt;0,SUMIF('5. PERSON'!$B$17:$B$192,$C3226,'5. PERSON'!DU$17:DU$192),SUMIF('5. PERSON'!$B$17:$B$192,$C3226,'5. PERSON'!BA$17:BA$192))</f>
        <v>0</v>
      </c>
      <c r="K3229" s="114">
        <f>IF('2. START'!$C$14&gt;0,SUMIF('5. PERSON'!$B$17:$B$192,$C3226,'5. PERSON'!DV$17:DV$192),SUMIF('5. PERSON'!$B$17:$B$192,$C3226,'5. PERSON'!BB$17:BB$192))</f>
        <v>0</v>
      </c>
      <c r="L3229" s="114">
        <f>IF('2. START'!$C$14&gt;0,SUMIF('5. PERSON'!$B$17:$B$192,$C3226,'5. PERSON'!DW$17:DW$192),SUMIF('5. PERSON'!$B$17:$B$192,$C3226,'5. PERSON'!BC$17:BC$192))</f>
        <v>0</v>
      </c>
      <c r="M3229" s="115">
        <f t="shared" ref="M3229:M3234" si="769">SUM(C3229:L3229)</f>
        <v>0</v>
      </c>
      <c r="O3229" s="4"/>
    </row>
    <row r="3230" spans="2:15" s="3" customFormat="1" ht="12.75" customHeight="1" x14ac:dyDescent="0.25">
      <c r="B3230" s="80" t="str">
        <f>IF('1. INTRO'!I$2="English","Operating","Drift")</f>
        <v>Operating</v>
      </c>
      <c r="C3230" s="116">
        <f>SUMIF('6. OPERATION'!$B$17:$B$149,$C3226,'6. OPERATION'!W$17:W$149)</f>
        <v>0</v>
      </c>
      <c r="D3230" s="116">
        <f>SUMIF('6. OPERATION'!$B$17:$B$149,$C3226,'6. OPERATION'!X$17:X$149)</f>
        <v>0</v>
      </c>
      <c r="E3230" s="116">
        <f>SUMIF('6. OPERATION'!$B$17:$B$149,$C3226,'6. OPERATION'!Y$17:Y$149)</f>
        <v>0</v>
      </c>
      <c r="F3230" s="116">
        <f>SUMIF('6. OPERATION'!$B$17:$B$149,$C3226,'6. OPERATION'!Z$17:Z$149)</f>
        <v>0</v>
      </c>
      <c r="G3230" s="116">
        <f>SUMIF('6. OPERATION'!$B$17:$B$149,$C3226,'6. OPERATION'!AA$17:AA$149)</f>
        <v>0</v>
      </c>
      <c r="H3230" s="116">
        <f>SUMIF('6. OPERATION'!$B$17:$B$149,$C3226,'6. OPERATION'!AB$17:AB$149)</f>
        <v>0</v>
      </c>
      <c r="I3230" s="116">
        <f>SUMIF('6. OPERATION'!$B$17:$B$149,$C3226,'6. OPERATION'!AC$17:AC$149)</f>
        <v>0</v>
      </c>
      <c r="J3230" s="116">
        <f>SUMIF('6. OPERATION'!$B$17:$B$149,$C3226,'6. OPERATION'!AD$17:AD$149)</f>
        <v>0</v>
      </c>
      <c r="K3230" s="116">
        <f>SUMIF('6. OPERATION'!$B$17:$B$149,$C3226,'6. OPERATION'!AE$17:AE$149)</f>
        <v>0</v>
      </c>
      <c r="L3230" s="116">
        <f>SUMIF('6. OPERATION'!$B$17:$B$149,$C3226,'6. OPERATION'!AF$17:AF$149)</f>
        <v>0</v>
      </c>
      <c r="M3230" s="117">
        <f t="shared" si="769"/>
        <v>0</v>
      </c>
    </row>
    <row r="3231" spans="2:15" s="3" customFormat="1" ht="13.2" x14ac:dyDescent="0.25">
      <c r="B3231" s="118" t="str">
        <f>IF('1. INTRO'!I$2="English","Equipment","Utrustning")</f>
        <v>Equipment</v>
      </c>
      <c r="C3231" s="119">
        <f>SUMIF('7. INVEST'!$B$17:$B$49,$C3226,'7. INVEST'!W$17:W$49)</f>
        <v>0</v>
      </c>
      <c r="D3231" s="119">
        <f>SUMIF('7. INVEST'!$B$17:$B$49,$C3226,'7. INVEST'!X$17:X$49)</f>
        <v>0</v>
      </c>
      <c r="E3231" s="119">
        <f>SUMIF('7. INVEST'!$B$17:$B$49,$C3226,'7. INVEST'!Y$17:Y$49)</f>
        <v>0</v>
      </c>
      <c r="F3231" s="119">
        <f>SUMIF('7. INVEST'!$B$17:$B$49,$C3226,'7. INVEST'!Z$17:Z$49)</f>
        <v>0</v>
      </c>
      <c r="G3231" s="119">
        <f>SUMIF('7. INVEST'!$B$17:$B$49,$C3226,'7. INVEST'!AA$17:AA$49)</f>
        <v>0</v>
      </c>
      <c r="H3231" s="119">
        <f>SUMIF('7. INVEST'!$B$17:$B$49,$C3226,'7. INVEST'!AB$17:AB$49)</f>
        <v>0</v>
      </c>
      <c r="I3231" s="119">
        <f>SUMIF('7. INVEST'!$B$17:$B$49,$C3226,'7. INVEST'!AC$17:AC$49)</f>
        <v>0</v>
      </c>
      <c r="J3231" s="119">
        <f>SUMIF('7. INVEST'!$B$17:$B$49,$C3226,'7. INVEST'!AD$17:AD$49)</f>
        <v>0</v>
      </c>
      <c r="K3231" s="119">
        <f>SUMIF('7. INVEST'!$B$17:$B$49,$C3226,'7. INVEST'!AE$17:AE$49)</f>
        <v>0</v>
      </c>
      <c r="L3231" s="119">
        <f>SUMIF('7. INVEST'!$B$17:$B$49,$C3226,'7. INVEST'!AF$17:AF$49)</f>
        <v>0</v>
      </c>
      <c r="M3231" s="120">
        <f t="shared" si="769"/>
        <v>0</v>
      </c>
    </row>
    <row r="3232" spans="2:15" s="3" customFormat="1" ht="13.2" x14ac:dyDescent="0.25">
      <c r="B3232" s="121" t="str">
        <f>IF('1. INTRO'!I$2="English",(IF('2. START'!C$11="NO","Facility accepted as direct cost by funding body","Facility")),IF('2. START'!C$11="NO","Lokal accepterad som direkt kostnad av finansiär","Lokal"))</f>
        <v>Facility</v>
      </c>
      <c r="C3232" s="116">
        <f>IF('2. START'!$C$11="NO",SUMIF('8. FACILIT'!$B$18:$B$50,$C3226,'8. FACILIT'!T$18:T$50),SUMIF('5. PERSON'!$B$17:$B$192,$C3226,'5. PERSON'!CP$17:CP$192)+SUMIF('6. OPERATION'!$B$17:$B$149,$C3226,'6. OPERATION'!BS$17:BS$149)+SUMIF('8. FACILIT'!$B$18:$B$50,$C3226,'8. FACILIT'!T$18:T$50))</f>
        <v>0</v>
      </c>
      <c r="D3232" s="116">
        <f>IF('2. START'!$C$11="NO",SUMIF('8. FACILIT'!$B$18:$B$50,$C3226,'8. FACILIT'!U$18:U$50),SUMIF('5. PERSON'!$B$17:$B$192,$C3226,'5. PERSON'!CQ$17:CQ$192)+SUMIF('6. OPERATION'!$B$17:$B$149,$C3226,'6. OPERATION'!BT$17:BT$149)+SUMIF('8. FACILIT'!$B$18:$B$50,$C3226,'8. FACILIT'!U$18:U$50))</f>
        <v>0</v>
      </c>
      <c r="E3232" s="116">
        <f>IF('2. START'!$C$11="NO",SUMIF('8. FACILIT'!$B$18:$B$50,$C3226,'8. FACILIT'!V$18:V$50),SUMIF('5. PERSON'!$B$17:$B$192,$C3226,'5. PERSON'!CR$17:CR$192)+SUMIF('6. OPERATION'!$B$17:$B$149,$C3226,'6. OPERATION'!BU$17:BU$149)+SUMIF('8. FACILIT'!$B$18:$B$50,$C3226,'8. FACILIT'!V$18:V$50))</f>
        <v>0</v>
      </c>
      <c r="F3232" s="116">
        <f>IF('2. START'!$C$11="NO",SUMIF('8. FACILIT'!$B$18:$B$50,$C3226,'8. FACILIT'!W$18:W$50),SUMIF('5. PERSON'!$B$17:$B$192,$C3226,'5. PERSON'!CS$17:CS$192)+SUMIF('6. OPERATION'!$B$17:$B$149,$C3226,'6. OPERATION'!BV$17:BV$149)+SUMIF('8. FACILIT'!$B$18:$B$50,$C3226,'8. FACILIT'!W$18:W$50))</f>
        <v>0</v>
      </c>
      <c r="G3232" s="116">
        <f>IF('2. START'!$C$11="NO",SUMIF('8. FACILIT'!$B$18:$B$50,$C3226,'8. FACILIT'!X$18:X$50),SUMIF('5. PERSON'!$B$17:$B$192,$C3226,'5. PERSON'!CT$17:CT$192)+SUMIF('6. OPERATION'!$B$17:$B$149,$C3226,'6. OPERATION'!BW$17:BW$149)+SUMIF('8. FACILIT'!$B$18:$B$50,$C3226,'8. FACILIT'!X$18:X$50))</f>
        <v>0</v>
      </c>
      <c r="H3232" s="116">
        <f>IF('2. START'!$C$11="NO",SUMIF('8. FACILIT'!$B$18:$B$50,$C3226,'8. FACILIT'!Y$18:Y$50),SUMIF('5. PERSON'!$B$17:$B$192,$C3226,'5. PERSON'!CU$17:CU$192)+SUMIF('6. OPERATION'!$B$17:$B$149,$C3226,'6. OPERATION'!BX$17:BX$149)+SUMIF('8. FACILIT'!$B$18:$B$50,$C3226,'8. FACILIT'!Y$18:Y$50))</f>
        <v>0</v>
      </c>
      <c r="I3232" s="116">
        <f>IF('2. START'!$C$11="NO",SUMIF('8. FACILIT'!$B$18:$B$50,$C3226,'8. FACILIT'!Z$18:Z$50),SUMIF('5. PERSON'!$B$17:$B$192,$C3226,'5. PERSON'!CV$17:CV$192)+SUMIF('6. OPERATION'!$B$17:$B$149,$C3226,'6. OPERATION'!BY$17:BY$149)+SUMIF('8. FACILIT'!$B$18:$B$50,$C3226,'8. FACILIT'!Z$18:Z$50))</f>
        <v>0</v>
      </c>
      <c r="J3232" s="116">
        <f>IF('2. START'!$C$11="NO",SUMIF('8. FACILIT'!$B$18:$B$50,$C3226,'8. FACILIT'!AA$18:AA$50),SUMIF('5. PERSON'!$B$17:$B$192,$C3226,'5. PERSON'!CW$17:CW$192)+SUMIF('6. OPERATION'!$B$17:$B$149,$C3226,'6. OPERATION'!BZ$17:BZ$149)+SUMIF('8. FACILIT'!$B$18:$B$50,$C3226,'8. FACILIT'!AA$18:AA$50))</f>
        <v>0</v>
      </c>
      <c r="K3232" s="116">
        <f>IF('2. START'!$C$11="NO",SUMIF('8. FACILIT'!$B$18:$B$50,$C3226,'8. FACILIT'!AB$18:AB$50),SUMIF('5. PERSON'!$B$17:$B$192,$C3226,'5. PERSON'!CX$17:CX$192)+SUMIF('6. OPERATION'!$B$17:$B$149,$C3226,'6. OPERATION'!CA$17:CA$149)+SUMIF('8. FACILIT'!$B$18:$B$50,$C3226,'8. FACILIT'!AB$18:AB$50))</f>
        <v>0</v>
      </c>
      <c r="L3232" s="116">
        <f>IF('2. START'!$C$11="NO",SUMIF('8. FACILIT'!$B$18:$B$50,$C3226,'8. FACILIT'!AC$18:AC$50),SUMIF('5. PERSON'!$B$17:$B$192,$C3226,'5. PERSON'!CY$17:CY$192)+SUMIF('6. OPERATION'!$B$17:$B$149,$C3226,'6. OPERATION'!CB$17:CB$149)+SUMIF('8. FACILIT'!$B$18:$B$50,$C3226,'8. FACILIT'!AC$18:AC$50))</f>
        <v>0</v>
      </c>
      <c r="M3232" s="117">
        <f t="shared" si="769"/>
        <v>0</v>
      </c>
    </row>
    <row r="3233" spans="2:15" s="3" customFormat="1" ht="13.2" x14ac:dyDescent="0.25">
      <c r="B3233" s="122" t="str">
        <f>IF('1. INTRO'!I$2="English",(IF('2. START'!C$11="NO","Indirect and facility charge accepted as OH by funding body","Indirect")),IF('2. START'!C$11="NO","Indirekt och lokalpåslag accepterade som OH av finansiär","Indirekt"))</f>
        <v>Indirect</v>
      </c>
      <c r="C3233" s="107">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107">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107">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107">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107">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107">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107">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107">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107">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107">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120">
        <f t="shared" si="769"/>
        <v>0</v>
      </c>
    </row>
    <row r="3234" spans="2:15" s="3" customFormat="1" ht="13.2" x14ac:dyDescent="0.25">
      <c r="B3234" s="124" t="s">
        <v>113</v>
      </c>
      <c r="C3234" s="102">
        <f>SUM(C3229:C3233)</f>
        <v>0</v>
      </c>
      <c r="D3234" s="102">
        <f t="shared" ref="D3234:L3234" si="770">SUM(D3229:D3233)</f>
        <v>0</v>
      </c>
      <c r="E3234" s="102">
        <f t="shared" si="770"/>
        <v>0</v>
      </c>
      <c r="F3234" s="102">
        <f t="shared" si="770"/>
        <v>0</v>
      </c>
      <c r="G3234" s="102">
        <f t="shared" si="770"/>
        <v>0</v>
      </c>
      <c r="H3234" s="102">
        <f t="shared" si="770"/>
        <v>0</v>
      </c>
      <c r="I3234" s="102">
        <f t="shared" si="770"/>
        <v>0</v>
      </c>
      <c r="J3234" s="102">
        <f t="shared" si="770"/>
        <v>0</v>
      </c>
      <c r="K3234" s="102">
        <f t="shared" si="770"/>
        <v>0</v>
      </c>
      <c r="L3234" s="102">
        <f t="shared" si="770"/>
        <v>0</v>
      </c>
      <c r="M3234" s="125">
        <f t="shared" si="769"/>
        <v>0</v>
      </c>
    </row>
    <row r="3235" spans="2:15" s="3" customFormat="1" ht="6" customHeight="1" x14ac:dyDescent="0.25">
      <c r="B3235" s="126"/>
      <c r="C3235" s="127"/>
      <c r="D3235" s="127"/>
      <c r="E3235" s="127"/>
      <c r="F3235" s="127"/>
      <c r="G3235" s="127"/>
      <c r="H3235" s="127"/>
      <c r="I3235" s="127"/>
      <c r="J3235" s="127"/>
      <c r="K3235" s="127"/>
      <c r="L3235" s="127"/>
      <c r="M3235" s="128"/>
    </row>
    <row r="3236" spans="2:15" s="3" customFormat="1" ht="13.2" x14ac:dyDescent="0.25">
      <c r="B3236" s="129" t="str">
        <f>IF('1. INTRO'!I$2="English","Costs to be co-funded","Kostnader att medfinansiera")</f>
        <v>Costs to be co-funded</v>
      </c>
      <c r="C3236" s="86"/>
      <c r="D3236" s="86"/>
      <c r="E3236" s="86"/>
      <c r="F3236" s="86"/>
      <c r="G3236" s="86"/>
      <c r="H3236" s="86"/>
      <c r="I3236" s="86"/>
      <c r="J3236" s="86"/>
      <c r="K3236" s="86"/>
      <c r="L3236" s="86"/>
      <c r="M3236" s="130"/>
    </row>
    <row r="3237" spans="2:15" s="3" customFormat="1" ht="13.2" x14ac:dyDescent="0.25">
      <c r="B3237" s="159" t="str">
        <f>IF('1. INTRO'!I$2="English",(IF('2. START'!C$11="NO","Indirect and facility charge not accepted as OH by funding body","")),IF('2. START'!C$11="NO","Indirekt och lokalpåslag inte accepterade som OH av finansiär",""))</f>
        <v/>
      </c>
      <c r="C3237" s="131">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31">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31">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31">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31">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31">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31">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31">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31">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31">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115">
        <f t="shared" ref="M3237:M3243" si="771">SUM(C3237:L3237)</f>
        <v>0</v>
      </c>
    </row>
    <row r="3238" spans="2:15" s="3" customFormat="1" ht="12.75" customHeight="1" x14ac:dyDescent="0.25">
      <c r="B3238" s="132" t="str">
        <f>IF('1. INTRO'!I$2="English",(IF('2. START'!C$14&gt;0,"Social costs (LKP) not accepted by funding body","")),IF('2. START'!C$14&gt;0,"LKP som inte accepteras av finansiär",""))</f>
        <v/>
      </c>
      <c r="C3238" s="133">
        <f>IF('2. START'!$C$14&gt;0,SUMIF('5. PERSON'!$B$17:$B$192,$C3226,'5. PERSON'!AT$17:AT$192)-SUMIF('5. PERSON'!$B$17:$B$192,$C3226,'5. PERSON'!DN$17:DN$192),0)</f>
        <v>0</v>
      </c>
      <c r="D3238" s="133">
        <f>IF('2. START'!$C$14&gt;0,SUMIF('5. PERSON'!$B$17:$B$192,$C3226,'5. PERSON'!AU$17:AU$192)-SUMIF('5. PERSON'!$B$17:$B$192,$C3226,'5. PERSON'!DO$17:DO$192),0)</f>
        <v>0</v>
      </c>
      <c r="E3238" s="133">
        <f>IF('2. START'!$C$14&gt;0,SUMIF('5. PERSON'!$B$17:$B$192,$C3226,'5. PERSON'!AV$17:AV$192)-SUMIF('5. PERSON'!$B$17:$B$192,$C3226,'5. PERSON'!DP$17:DP$192),0)</f>
        <v>0</v>
      </c>
      <c r="F3238" s="133">
        <f>IF('2. START'!$C$14&gt;0,SUMIF('5. PERSON'!$B$17:$B$192,$C3226,'5. PERSON'!AW$17:AW$192)-SUMIF('5. PERSON'!$B$17:$B$192,$C3226,'5. PERSON'!DQ$17:DQ$192),0)</f>
        <v>0</v>
      </c>
      <c r="G3238" s="133">
        <f>IF('2. START'!$C$14&gt;0,SUMIF('5. PERSON'!$B$17:$B$192,$C3226,'5. PERSON'!AX$17:AX$192)-SUMIF('5. PERSON'!$B$17:$B$192,$C3226,'5. PERSON'!DR$17:DR$192),0)</f>
        <v>0</v>
      </c>
      <c r="H3238" s="133">
        <f>IF('2. START'!$C$14&gt;0,SUMIF('5. PERSON'!$B$17:$B$192,$C3226,'5. PERSON'!AY$17:AY$192)-SUMIF('5. PERSON'!$B$17:$B$192,$C3226,'5. PERSON'!DS$17:DS$192),0)</f>
        <v>0</v>
      </c>
      <c r="I3238" s="133">
        <f>IF('2. START'!$C$14&gt;0,SUMIF('5. PERSON'!$B$17:$B$192,$C3226,'5. PERSON'!AZ$17:AZ$192)-SUMIF('5. PERSON'!$B$17:$B$192,$C3226,'5. PERSON'!DT$17:DT$192),0)</f>
        <v>0</v>
      </c>
      <c r="J3238" s="133">
        <f>IF('2. START'!$C$14&gt;0,SUMIF('5. PERSON'!$B$17:$B$192,$C3226,'5. PERSON'!BA$17:BA$192)-SUMIF('5. PERSON'!$B$17:$B$192,$C3226,'5. PERSON'!DU$17:DU$192),0)</f>
        <v>0</v>
      </c>
      <c r="K3238" s="133">
        <f>IF('2. START'!$C$14&gt;0,SUMIF('5. PERSON'!$B$17:$B$192,$C3226,'5. PERSON'!BB$17:BB$192)-SUMIF('5. PERSON'!$B$17:$B$192,$C3226,'5. PERSON'!DV$17:DV$192),0)</f>
        <v>0</v>
      </c>
      <c r="L3238" s="133">
        <f>IF('2. START'!$C$14&gt;0,SUMIF('5. PERSON'!$B$17:$B$192,$C3226,'5. PERSON'!BC$17:BC$192)-SUMIF('5. PERSON'!$B$17:$B$192,$C3226,'5. PERSON'!DW$17:DW$192),0)</f>
        <v>0</v>
      </c>
      <c r="M3238" s="117">
        <f t="shared" si="771"/>
        <v>0</v>
      </c>
    </row>
    <row r="3239" spans="2:15" s="3" customFormat="1" ht="12.75" customHeight="1" x14ac:dyDescent="0.25">
      <c r="B3239" s="118" t="str">
        <f>IF('1. INTRO'!I$2="English",(IF('5. PERSON'!BP$193&gt;0,"Salary including social costs (LKP)","")),IF('5. PERSON'!BP$193&gt;0,"Lön inklusive LKP",""))</f>
        <v/>
      </c>
      <c r="C3239" s="134">
        <f>SUMIF('5. PERSON'!$B$17:$B$192,$C3226,'5. PERSON'!BF$17:BF$192)</f>
        <v>0</v>
      </c>
      <c r="D3239" s="134">
        <f>SUMIF('5. PERSON'!$B$17:$B$192,$C3226,'5. PERSON'!BG$17:BG$192)</f>
        <v>0</v>
      </c>
      <c r="E3239" s="134">
        <f>SUMIF('5. PERSON'!$B$17:$B$192,$C3226,'5. PERSON'!BH$17:BH$192)</f>
        <v>0</v>
      </c>
      <c r="F3239" s="134">
        <f>SUMIF('5. PERSON'!$B$17:$B$192,$C3226,'5. PERSON'!BI$17:BI$192)</f>
        <v>0</v>
      </c>
      <c r="G3239" s="134">
        <f>SUMIF('5. PERSON'!$B$17:$B$192,$C3226,'5. PERSON'!BJ$17:BJ$192)</f>
        <v>0</v>
      </c>
      <c r="H3239" s="134">
        <f>SUMIF('5. PERSON'!$B$17:$B$192,$C3226,'5. PERSON'!BK$17:BK$192)</f>
        <v>0</v>
      </c>
      <c r="I3239" s="134">
        <f>SUMIF('5. PERSON'!$B$17:$B$192,$C3226,'5. PERSON'!BL$17:BL$192)</f>
        <v>0</v>
      </c>
      <c r="J3239" s="134">
        <f>SUMIF('5. PERSON'!$B$17:$B$192,$C3226,'5. PERSON'!BM$17:BM$192)</f>
        <v>0</v>
      </c>
      <c r="K3239" s="134">
        <f>SUMIF('5. PERSON'!$B$17:$B$192,$C3226,'5. PERSON'!BN$17:BN$192)</f>
        <v>0</v>
      </c>
      <c r="L3239" s="134">
        <f>SUMIF('5. PERSON'!$B$17:$B$192,$C3226,'5. PERSON'!BO$17:BO$192)</f>
        <v>0</v>
      </c>
      <c r="M3239" s="120">
        <f t="shared" si="771"/>
        <v>0</v>
      </c>
    </row>
    <row r="3240" spans="2:15" s="3" customFormat="1" ht="13.2" x14ac:dyDescent="0.25">
      <c r="B3240" s="80" t="str">
        <f>IF('1. INTRO'!I$2="English",(IF('6. OPERATION'!AS$150&gt;0,"Operating","")),IF('6. OPERATION'!AS$150&gt;0,"Drift",""))</f>
        <v/>
      </c>
      <c r="C3240" s="135">
        <f>SUMIF('6. OPERATION'!$B$17:$B$149,$C3226,'6. OPERATION'!AI$17:AI$149)</f>
        <v>0</v>
      </c>
      <c r="D3240" s="135">
        <f>SUMIF('6. OPERATION'!$B$17:$B$149,$C3226,'6. OPERATION'!AJ$17:AJ$149)</f>
        <v>0</v>
      </c>
      <c r="E3240" s="135">
        <f>SUMIF('6. OPERATION'!$B$17:$B$149,$C3226,'6. OPERATION'!AK$17:AK$149)</f>
        <v>0</v>
      </c>
      <c r="F3240" s="135">
        <f>SUMIF('6. OPERATION'!$B$17:$B$149,$C3226,'6. OPERATION'!AL$17:AL$149)</f>
        <v>0</v>
      </c>
      <c r="G3240" s="135">
        <f>SUMIF('6. OPERATION'!$B$17:$B$149,$C3226,'6. OPERATION'!AM$17:AM$149)</f>
        <v>0</v>
      </c>
      <c r="H3240" s="135">
        <f>SUMIF('6. OPERATION'!$B$17:$B$149,$C3226,'6. OPERATION'!AN$17:AN$149)</f>
        <v>0</v>
      </c>
      <c r="I3240" s="135">
        <f>SUMIF('6. OPERATION'!$B$17:$B$149,$C3226,'6. OPERATION'!AO$17:AO$149)</f>
        <v>0</v>
      </c>
      <c r="J3240" s="135">
        <f>SUMIF('6. OPERATION'!$B$17:$B$149,$C3226,'6. OPERATION'!AP$17:AP$149)</f>
        <v>0</v>
      </c>
      <c r="K3240" s="135">
        <f>SUMIF('6. OPERATION'!$B$17:$B$149,$C3226,'6. OPERATION'!AQ$17:AQ$149)</f>
        <v>0</v>
      </c>
      <c r="L3240" s="135">
        <f>SUMIF('6. OPERATION'!$B$17:$B$149,$C3226,'6. OPERATION'!AR$17:AR$149)</f>
        <v>0</v>
      </c>
      <c r="M3240" s="117">
        <f t="shared" si="771"/>
        <v>0</v>
      </c>
    </row>
    <row r="3241" spans="2:15" s="3" customFormat="1" ht="13.2" x14ac:dyDescent="0.25">
      <c r="B3241" s="118" t="str">
        <f>IF('1. INTRO'!I$2="English",(IF('7. INVEST'!AS$50&gt;0,"Equipment","")),IF('7. INVEST'!AS$50&gt;0,"Utrustning",""))</f>
        <v/>
      </c>
      <c r="C3241" s="134">
        <f>SUMIF('7. INVEST'!$B$17:$B$49,$C3226,'7. INVEST'!AI$17:AI$49)</f>
        <v>0</v>
      </c>
      <c r="D3241" s="134">
        <f>SUMIF('7. INVEST'!$B$17:$B$49,$C3226,'7. INVEST'!AJ$17:AJ$49)</f>
        <v>0</v>
      </c>
      <c r="E3241" s="134">
        <f>SUMIF('7. INVEST'!$B$17:$B$49,$C3226,'7. INVEST'!AK$17:AK$49)</f>
        <v>0</v>
      </c>
      <c r="F3241" s="134">
        <f>SUMIF('7. INVEST'!$B$17:$B$49,$C3226,'7. INVEST'!AL$17:AL$49)</f>
        <v>0</v>
      </c>
      <c r="G3241" s="134">
        <f>SUMIF('7. INVEST'!$B$17:$B$49,$C3226,'7. INVEST'!AM$17:AM$49)</f>
        <v>0</v>
      </c>
      <c r="H3241" s="134">
        <f>SUMIF('7. INVEST'!$B$17:$B$49,$C3226,'7. INVEST'!AN$17:AN$49)</f>
        <v>0</v>
      </c>
      <c r="I3241" s="134">
        <f>SUMIF('7. INVEST'!$B$17:$B$49,$C3226,'7. INVEST'!AO$17:AO$49)</f>
        <v>0</v>
      </c>
      <c r="J3241" s="134">
        <f>SUMIF('7. INVEST'!$B$17:$B$49,$C3226,'7. INVEST'!AP$17:AP$49)</f>
        <v>0</v>
      </c>
      <c r="K3241" s="134">
        <f>SUMIF('7. INVEST'!$B$17:$B$49,$C3226,'7. INVEST'!AQ$17:AQ$49)</f>
        <v>0</v>
      </c>
      <c r="L3241" s="134">
        <f>SUMIF('7. INVEST'!$B$17:$B$49,$C3226,'7. INVEST'!AR$17:AR$49)</f>
        <v>0</v>
      </c>
      <c r="M3241" s="120">
        <f t="shared" si="771"/>
        <v>0</v>
      </c>
    </row>
    <row r="3242" spans="2:15" s="3" customFormat="1" ht="13.2" x14ac:dyDescent="0.25">
      <c r="B3242" s="121" t="str">
        <f>IF('1. INTRO'!I$2="English",(IF('8. FACILIT'!AP$51&gt;0,"Facility","")),IF('8. FACILIT'!AP$51&gt;0,"Lokal",""))</f>
        <v/>
      </c>
      <c r="C3242" s="135">
        <f>SUMIF('5. PERSON'!$B$17:$B$192,$C3226,'5. PERSON'!DB$17:DB$192)+SUMIF('6. OPERATION'!$B$17:$B$149,$C3226,'6. OPERATION'!CE$17:CE$149)+SUMIF('8. FACILIT'!$B$18:$B$50,$C3226,'8. FACILIT'!AF$18:AF$50)</f>
        <v>0</v>
      </c>
      <c r="D3242" s="135">
        <f>SUMIF('5. PERSON'!$B$17:$B$192,$C3226,'5. PERSON'!DC$17:DC$192)+SUMIF('6. OPERATION'!$B$17:$B$149,$C3226,'6. OPERATION'!CF$17:CF$149)+SUMIF('8. FACILIT'!$B$18:$B$50,$C3226,'8. FACILIT'!AG$18:AG$50)</f>
        <v>0</v>
      </c>
      <c r="E3242" s="135">
        <f>SUMIF('5. PERSON'!$B$17:$B$192,$C3226,'5. PERSON'!DD$17:DD$192)+SUMIF('6. OPERATION'!$B$17:$B$149,$C3226,'6. OPERATION'!CG$17:CG$149)+SUMIF('8. FACILIT'!$B$18:$B$50,$C3226,'8. FACILIT'!AH$18:AH$50)</f>
        <v>0</v>
      </c>
      <c r="F3242" s="135">
        <f>SUMIF('5. PERSON'!$B$17:$B$192,$C3226,'5. PERSON'!DE$17:DE$192)+SUMIF('6. OPERATION'!$B$17:$B$149,$C3226,'6. OPERATION'!CH$17:CH$149)+SUMIF('8. FACILIT'!$B$18:$B$50,$C3226,'8. FACILIT'!AI$18:AI$50)</f>
        <v>0</v>
      </c>
      <c r="G3242" s="135">
        <f>SUMIF('5. PERSON'!$B$17:$B$192,$C3226,'5. PERSON'!DF$17:DF$192)+SUMIF('6. OPERATION'!$B$17:$B$149,$C3226,'6. OPERATION'!CI$17:CI$149)+SUMIF('8. FACILIT'!$B$18:$B$50,$C3226,'8. FACILIT'!AJ$18:AJ$50)</f>
        <v>0</v>
      </c>
      <c r="H3242" s="135">
        <f>SUMIF('5. PERSON'!$B$17:$B$192,$C3226,'5. PERSON'!DG$17:DG$192)+SUMIF('6. OPERATION'!$B$17:$B$149,$C3226,'6. OPERATION'!CJ$17:CJ$149)+SUMIF('8. FACILIT'!$B$18:$B$50,$C3226,'8. FACILIT'!AK$18:AK$50)</f>
        <v>0</v>
      </c>
      <c r="I3242" s="135">
        <f>SUMIF('5. PERSON'!$B$17:$B$192,$C3226,'5. PERSON'!DH$17:DH$192)+SUMIF('6. OPERATION'!$B$17:$B$149,$C3226,'6. OPERATION'!CK$17:CK$149)+SUMIF('8. FACILIT'!$B$18:$B$50,$C3226,'8. FACILIT'!AL$18:AL$50)</f>
        <v>0</v>
      </c>
      <c r="J3242" s="135">
        <f>SUMIF('5. PERSON'!$B$17:$B$192,$C3226,'5. PERSON'!DI$17:DI$192)+SUMIF('6. OPERATION'!$B$17:$B$149,$C3226,'6. OPERATION'!CL$17:CL$149)+SUMIF('8. FACILIT'!$B$18:$B$50,$C3226,'8. FACILIT'!AM$18:AM$50)</f>
        <v>0</v>
      </c>
      <c r="K3242" s="135">
        <f>SUMIF('5. PERSON'!$B$17:$B$192,$C3226,'5. PERSON'!DJ$17:DJ$192)+SUMIF('6. OPERATION'!$B$17:$B$149,$C3226,'6. OPERATION'!CM$17:CM$149)+SUMIF('8. FACILIT'!$B$18:$B$50,$C3226,'8. FACILIT'!AN$18:AN$50)</f>
        <v>0</v>
      </c>
      <c r="L3242" s="135">
        <f>SUMIF('5. PERSON'!$B$17:$B$192,$C3226,'5. PERSON'!DK$17:DK$192)+SUMIF('6. OPERATION'!$B$17:$B$149,$C3226,'6. OPERATION'!CN$17:CN$149)+SUMIF('8. FACILIT'!$B$18:$B$50,$C3226,'8. FACILIT'!AO$18:AO$50)</f>
        <v>0</v>
      </c>
      <c r="M3242" s="117">
        <f t="shared" si="771"/>
        <v>0</v>
      </c>
    </row>
    <row r="3243" spans="2:15" s="1" customFormat="1" ht="13.2" x14ac:dyDescent="0.25">
      <c r="B3243" s="122" t="str">
        <f>IF('1. INTRO'!I$2="English",(IF(('5. PERSON'!CN$193+'6. OPERATION'!BQ$150)&gt;0,"Indirect","")),IF(('5. PERSON'!CN$193+'6. OPERATION'!BQ$150)&gt;0,"Indirekt",""))</f>
        <v/>
      </c>
      <c r="C3243" s="107">
        <f>SUMIF('5. PERSON'!$B$17:$B$192,$C3226,'5. PERSON'!CD$17:CD$192)+SUMIF('6. OPERATION'!$B$17:$B$149,$C3226,'6. OPERATION'!BG$17:BG$149)</f>
        <v>0</v>
      </c>
      <c r="D3243" s="107">
        <f>SUMIF('5. PERSON'!$B$17:$B$192,$C3226,'5. PERSON'!CE$17:CE$192)+SUMIF('6. OPERATION'!$B$17:$B$149,$C3226,'6. OPERATION'!BH$17:BH$149)</f>
        <v>0</v>
      </c>
      <c r="E3243" s="107">
        <f>SUMIF('5. PERSON'!$B$17:$B$192,$C3226,'5. PERSON'!CF$17:CF$192)+SUMIF('6. OPERATION'!$B$17:$B$149,$C3226,'6. OPERATION'!BI$17:BI$149)</f>
        <v>0</v>
      </c>
      <c r="F3243" s="107">
        <f>SUMIF('5. PERSON'!$B$17:$B$192,$C3226,'5. PERSON'!CG$17:CG$192)+SUMIF('6. OPERATION'!$B$17:$B$149,$C3226,'6. OPERATION'!BJ$17:BJ$149)</f>
        <v>0</v>
      </c>
      <c r="G3243" s="107">
        <f>SUMIF('5. PERSON'!$B$17:$B$192,$C3226,'5. PERSON'!CH$17:CH$192)+SUMIF('6. OPERATION'!$B$17:$B$149,$C3226,'6. OPERATION'!BK$17:BK$149)</f>
        <v>0</v>
      </c>
      <c r="H3243" s="107">
        <f>SUMIF('5. PERSON'!$B$17:$B$192,$C3226,'5. PERSON'!CI$17:CI$192)+SUMIF('6. OPERATION'!$B$17:$B$149,$C3226,'6. OPERATION'!BL$17:BL$149)</f>
        <v>0</v>
      </c>
      <c r="I3243" s="107">
        <f>SUMIF('5. PERSON'!$B$17:$B$192,$C3226,'5. PERSON'!CJ$17:CJ$192)+SUMIF('6. OPERATION'!$B$17:$B$149,$C3226,'6. OPERATION'!BM$17:BM$149)</f>
        <v>0</v>
      </c>
      <c r="J3243" s="107">
        <f>SUMIF('5. PERSON'!$B$17:$B$192,$C3226,'5. PERSON'!CK$17:CK$192)+SUMIF('6. OPERATION'!$B$17:$B$149,$C3226,'6. OPERATION'!BN$17:BN$149)</f>
        <v>0</v>
      </c>
      <c r="K3243" s="107">
        <f>SUMIF('5. PERSON'!$B$17:$B$192,$C3226,'5. PERSON'!CL$17:CL$192)+SUMIF('6. OPERATION'!$B$17:$B$149,$C3226,'6. OPERATION'!BO$17:BO$149)</f>
        <v>0</v>
      </c>
      <c r="L3243" s="107">
        <f>SUMIF('5. PERSON'!$B$17:$B$192,$C3226,'5. PERSON'!CM$17:CM$192)+SUMIF('6. OPERATION'!$B$17:$B$149,$C3226,'6. OPERATION'!BP$17:BP$149)</f>
        <v>0</v>
      </c>
      <c r="M3243" s="123">
        <f t="shared" si="771"/>
        <v>0</v>
      </c>
    </row>
    <row r="3244" spans="2:15" s="3" customFormat="1" ht="13.2" x14ac:dyDescent="0.25">
      <c r="B3244" s="124" t="s">
        <v>113</v>
      </c>
      <c r="C3244" s="102">
        <f>SUM(C3237:C3243)</f>
        <v>0</v>
      </c>
      <c r="D3244" s="102">
        <f t="shared" ref="D3244:L3244" si="772">SUM(D3237:D3243)</f>
        <v>0</v>
      </c>
      <c r="E3244" s="102">
        <f t="shared" si="772"/>
        <v>0</v>
      </c>
      <c r="F3244" s="102">
        <f t="shared" si="772"/>
        <v>0</v>
      </c>
      <c r="G3244" s="102">
        <f t="shared" si="772"/>
        <v>0</v>
      </c>
      <c r="H3244" s="102">
        <f t="shared" si="772"/>
        <v>0</v>
      </c>
      <c r="I3244" s="102">
        <f t="shared" si="772"/>
        <v>0</v>
      </c>
      <c r="J3244" s="102">
        <f t="shared" si="772"/>
        <v>0</v>
      </c>
      <c r="K3244" s="102">
        <f t="shared" si="772"/>
        <v>0</v>
      </c>
      <c r="L3244" s="102">
        <f t="shared" si="772"/>
        <v>0</v>
      </c>
      <c r="M3244" s="125">
        <f t="shared" ref="M3244" si="773">SUM(M3237:M3243)</f>
        <v>0</v>
      </c>
      <c r="N3244" s="23"/>
      <c r="O3244" s="23"/>
    </row>
    <row r="3245" spans="2:15" s="3" customFormat="1" ht="6" customHeight="1" x14ac:dyDescent="0.25">
      <c r="B3245" s="136"/>
      <c r="C3245" s="127"/>
      <c r="D3245" s="127"/>
      <c r="E3245" s="127"/>
      <c r="F3245" s="127"/>
      <c r="G3245" s="127"/>
      <c r="H3245" s="127"/>
      <c r="I3245" s="127"/>
      <c r="J3245" s="127"/>
      <c r="K3245" s="127"/>
      <c r="L3245" s="127"/>
      <c r="M3245" s="137"/>
    </row>
    <row r="3246" spans="2:15" s="3" customFormat="1" ht="13.2" x14ac:dyDescent="0.25">
      <c r="B3246" s="129" t="str">
        <f>IF('1. INTRO'!I$2="English","Full cost","Full kostnad")</f>
        <v>Full cost</v>
      </c>
      <c r="C3246" s="127"/>
      <c r="D3246" s="127"/>
      <c r="E3246" s="127"/>
      <c r="F3246" s="127"/>
      <c r="G3246" s="127"/>
      <c r="H3246" s="127"/>
      <c r="I3246" s="127"/>
      <c r="J3246" s="127"/>
      <c r="K3246" s="127"/>
      <c r="L3246" s="127"/>
      <c r="M3246" s="137"/>
    </row>
    <row r="3247" spans="2:15" s="3" customFormat="1" ht="13.2" x14ac:dyDescent="0.25">
      <c r="B3247" s="113" t="str">
        <f>IF('1. INTRO'!I$2="English","Salary including social costs (LKP)","Lön inklusive LKP")</f>
        <v>Salary including social costs (LKP)</v>
      </c>
      <c r="C3247" s="138">
        <f>C3229+C3238+C3239</f>
        <v>0</v>
      </c>
      <c r="D3247" s="138">
        <f t="shared" ref="D3247:L3247" si="774">D3229+D3238+D3239</f>
        <v>0</v>
      </c>
      <c r="E3247" s="138">
        <f t="shared" si="774"/>
        <v>0</v>
      </c>
      <c r="F3247" s="138">
        <f t="shared" si="774"/>
        <v>0</v>
      </c>
      <c r="G3247" s="138">
        <f t="shared" si="774"/>
        <v>0</v>
      </c>
      <c r="H3247" s="138">
        <f t="shared" si="774"/>
        <v>0</v>
      </c>
      <c r="I3247" s="138">
        <f t="shared" si="774"/>
        <v>0</v>
      </c>
      <c r="J3247" s="138">
        <f t="shared" si="774"/>
        <v>0</v>
      </c>
      <c r="K3247" s="138">
        <f t="shared" si="774"/>
        <v>0</v>
      </c>
      <c r="L3247" s="138">
        <f t="shared" si="774"/>
        <v>0</v>
      </c>
      <c r="M3247" s="115">
        <f>SUM(C3247:L3247)</f>
        <v>0</v>
      </c>
    </row>
    <row r="3248" spans="2:15" s="3" customFormat="1" ht="13.2" x14ac:dyDescent="0.25">
      <c r="B3248" s="80" t="str">
        <f>IF('1. INTRO'!I$2="English","Operating","Drift")</f>
        <v>Operating</v>
      </c>
      <c r="C3248" s="139">
        <f>C3230+C3240</f>
        <v>0</v>
      </c>
      <c r="D3248" s="139">
        <f t="shared" ref="D3248:L3248" si="775">D3230+D3240</f>
        <v>0</v>
      </c>
      <c r="E3248" s="139">
        <f t="shared" si="775"/>
        <v>0</v>
      </c>
      <c r="F3248" s="139">
        <f t="shared" si="775"/>
        <v>0</v>
      </c>
      <c r="G3248" s="139">
        <f t="shared" si="775"/>
        <v>0</v>
      </c>
      <c r="H3248" s="139">
        <f t="shared" si="775"/>
        <v>0</v>
      </c>
      <c r="I3248" s="139">
        <f t="shared" si="775"/>
        <v>0</v>
      </c>
      <c r="J3248" s="139">
        <f t="shared" si="775"/>
        <v>0</v>
      </c>
      <c r="K3248" s="139">
        <f t="shared" si="775"/>
        <v>0</v>
      </c>
      <c r="L3248" s="139">
        <f t="shared" si="775"/>
        <v>0</v>
      </c>
      <c r="M3248" s="117">
        <f>SUM(C3248:L3248)</f>
        <v>0</v>
      </c>
    </row>
    <row r="3249" spans="2:13" s="3" customFormat="1" ht="13.2" x14ac:dyDescent="0.25">
      <c r="B3249" s="118" t="str">
        <f>IF('1. INTRO'!I$2="English","Equipment","Utrustning")</f>
        <v>Equipment</v>
      </c>
      <c r="C3249" s="140">
        <f>C3231+C3241</f>
        <v>0</v>
      </c>
      <c r="D3249" s="140">
        <f t="shared" ref="D3249:L3249" si="776">D3231+D3241</f>
        <v>0</v>
      </c>
      <c r="E3249" s="140">
        <f t="shared" si="776"/>
        <v>0</v>
      </c>
      <c r="F3249" s="140">
        <f t="shared" si="776"/>
        <v>0</v>
      </c>
      <c r="G3249" s="140">
        <f t="shared" si="776"/>
        <v>0</v>
      </c>
      <c r="H3249" s="140">
        <f t="shared" si="776"/>
        <v>0</v>
      </c>
      <c r="I3249" s="140">
        <f t="shared" si="776"/>
        <v>0</v>
      </c>
      <c r="J3249" s="140">
        <f t="shared" si="776"/>
        <v>0</v>
      </c>
      <c r="K3249" s="140">
        <f t="shared" si="776"/>
        <v>0</v>
      </c>
      <c r="L3249" s="140">
        <f t="shared" si="776"/>
        <v>0</v>
      </c>
      <c r="M3249" s="120">
        <f>SUM(C3249:L3249)</f>
        <v>0</v>
      </c>
    </row>
    <row r="3250" spans="2:13" s="3" customFormat="1" ht="13.2" x14ac:dyDescent="0.25">
      <c r="B3250" s="80" t="str">
        <f>IF('1. INTRO'!I$2="English","Facility","Lokal")</f>
        <v>Facility</v>
      </c>
      <c r="C3250" s="139">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39">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39">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39">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39">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39">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39">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39">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39">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39">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117">
        <f>SUM(C3250:L3250)</f>
        <v>0</v>
      </c>
    </row>
    <row r="3251" spans="2:13" s="3" customFormat="1" ht="13.2" x14ac:dyDescent="0.25">
      <c r="B3251" s="601" t="str">
        <f>IF('1. INTRO'!I$2="English","Indirect","Indirekt")</f>
        <v>Indirect</v>
      </c>
      <c r="C3251" s="141">
        <f>SUMIF('5. PERSON'!$B$17:$B$192,$C3226,'5. PERSON'!BR$17:BR$192)+SUMIF('5. PERSON'!$B$17:$B$192,$C3226,'5. PERSON'!CD$17:CD$192)+SUMIF('6. OPERATION'!$B$17:$B$149,$C3226,'6. OPERATION'!AU$17:AU$149)+SUMIF('6. OPERATION'!$B$17:$B$149,$C3226,'6. OPERATION'!BG$17:BG$149)</f>
        <v>0</v>
      </c>
      <c r="D3251" s="141">
        <f>SUMIF('5. PERSON'!$B$17:$B$192,$C3226,'5. PERSON'!BS$17:BS$192)+SUMIF('5. PERSON'!$B$17:$B$192,$C3226,'5. PERSON'!CE$17:CE$192)+SUMIF('6. OPERATION'!$B$17:$B$149,$C3226,'6. OPERATION'!AV$17:AV$149)+SUMIF('6. OPERATION'!$B$17:$B$149,$C3226,'6. OPERATION'!BH$17:BH$149)</f>
        <v>0</v>
      </c>
      <c r="E3251" s="141">
        <f>SUMIF('5. PERSON'!$B$17:$B$192,$C3226,'5. PERSON'!BT$17:BT$192)+SUMIF('5. PERSON'!$B$17:$B$192,$C3226,'5. PERSON'!CF$17:CF$192)+SUMIF('6. OPERATION'!$B$17:$B$149,$C3226,'6. OPERATION'!AW$17:AW$149)+SUMIF('6. OPERATION'!$B$17:$B$149,$C3226,'6. OPERATION'!BI$17:BI$149)</f>
        <v>0</v>
      </c>
      <c r="F3251" s="141">
        <f>SUMIF('5. PERSON'!$B$17:$B$192,$C3226,'5. PERSON'!BU$17:BU$192)+SUMIF('5. PERSON'!$B$17:$B$192,$C3226,'5. PERSON'!CG$17:CG$192)+SUMIF('6. OPERATION'!$B$17:$B$149,$C3226,'6. OPERATION'!AX$17:AX$149)+SUMIF('6. OPERATION'!$B$17:$B$149,$C3226,'6. OPERATION'!BJ$17:BJ$149)</f>
        <v>0</v>
      </c>
      <c r="G3251" s="141">
        <f>SUMIF('5. PERSON'!$B$17:$B$192,$C3226,'5. PERSON'!BV$17:BV$192)+SUMIF('5. PERSON'!$B$17:$B$192,$C3226,'5. PERSON'!CH$17:CH$192)+SUMIF('6. OPERATION'!$B$17:$B$149,$C3226,'6. OPERATION'!AY$17:AY$149)+SUMIF('6. OPERATION'!$B$17:$B$149,$C3226,'6. OPERATION'!BK$17:BK$149)</f>
        <v>0</v>
      </c>
      <c r="H3251" s="141">
        <f>SUMIF('5. PERSON'!$B$17:$B$192,$C3226,'5. PERSON'!BW$17:BW$192)+SUMIF('5. PERSON'!$B$17:$B$192,$C3226,'5. PERSON'!CI$17:CI$192)+SUMIF('6. OPERATION'!$B$17:$B$149,$C3226,'6. OPERATION'!AZ$17:AZ$149)+SUMIF('6. OPERATION'!$B$17:$B$149,$C3226,'6. OPERATION'!BL$17:BL$149)</f>
        <v>0</v>
      </c>
      <c r="I3251" s="141">
        <f>SUMIF('5. PERSON'!$B$17:$B$192,$C3226,'5. PERSON'!BX$17:BX$192)+SUMIF('5. PERSON'!$B$17:$B$192,$C3226,'5. PERSON'!CJ$17:CJ$192)+SUMIF('6. OPERATION'!$B$17:$B$149,$C3226,'6. OPERATION'!BA$17:BA$149)+SUMIF('6. OPERATION'!$B$17:$B$149,$C3226,'6. OPERATION'!BM$17:BM$149)</f>
        <v>0</v>
      </c>
      <c r="J3251" s="141">
        <f>SUMIF('5. PERSON'!$B$17:$B$192,$C3226,'5. PERSON'!BY$17:BY$192)+SUMIF('5. PERSON'!$B$17:$B$192,$C3226,'5. PERSON'!CK$17:CK$192)+SUMIF('6. OPERATION'!$B$17:$B$149,$C3226,'6. OPERATION'!BB$17:BB$149)+SUMIF('6. OPERATION'!$B$17:$B$149,$C3226,'6. OPERATION'!BN$17:BN$149)</f>
        <v>0</v>
      </c>
      <c r="K3251" s="141">
        <f>SUMIF('5. PERSON'!$B$17:$B$192,$C3226,'5. PERSON'!BZ$17:BZ$192)+SUMIF('5. PERSON'!$B$17:$B$192,$C3226,'5. PERSON'!CL$17:CL$192)+SUMIF('6. OPERATION'!$B$17:$B$149,$C3226,'6. OPERATION'!BC$17:BC$149)+SUMIF('6. OPERATION'!$B$17:$B$149,$C3226,'6. OPERATION'!BO$17:BO$149)</f>
        <v>0</v>
      </c>
      <c r="L3251" s="141">
        <f>SUMIF('5. PERSON'!$B$17:$B$192,$C3226,'5. PERSON'!CA$17:CA$192)+SUMIF('5. PERSON'!$B$17:$B$192,$C3226,'5. PERSON'!CM$17:CM$192)+SUMIF('6. OPERATION'!$B$17:$B$149,$C3226,'6. OPERATION'!BD$17:BD$149)+SUMIF('6. OPERATION'!$B$17:$B$149,$C3226,'6. OPERATION'!BP$17:BP$149)</f>
        <v>0</v>
      </c>
      <c r="M3251" s="123">
        <f>SUM(C3251:L3251)</f>
        <v>0</v>
      </c>
    </row>
    <row r="3252" spans="2:13" s="3" customFormat="1" ht="13.2" x14ac:dyDescent="0.25">
      <c r="B3252" s="124" t="s">
        <v>113</v>
      </c>
      <c r="C3252" s="88">
        <f>SUM(C3247:C3251)</f>
        <v>0</v>
      </c>
      <c r="D3252" s="88">
        <f t="shared" ref="D3252:M3252" si="777">SUM(D3247:D3251)</f>
        <v>0</v>
      </c>
      <c r="E3252" s="88">
        <f t="shared" si="777"/>
        <v>0</v>
      </c>
      <c r="F3252" s="88">
        <f t="shared" si="777"/>
        <v>0</v>
      </c>
      <c r="G3252" s="88">
        <f t="shared" si="777"/>
        <v>0</v>
      </c>
      <c r="H3252" s="88">
        <f t="shared" si="777"/>
        <v>0</v>
      </c>
      <c r="I3252" s="88">
        <f t="shared" si="777"/>
        <v>0</v>
      </c>
      <c r="J3252" s="88">
        <f t="shared" si="777"/>
        <v>0</v>
      </c>
      <c r="K3252" s="88">
        <f t="shared" si="777"/>
        <v>0</v>
      </c>
      <c r="L3252" s="88">
        <f t="shared" si="777"/>
        <v>0</v>
      </c>
      <c r="M3252" s="142">
        <f t="shared" si="777"/>
        <v>0</v>
      </c>
    </row>
    <row r="3253" spans="2:13" s="3" customFormat="1" ht="13.2" x14ac:dyDescent="0.25">
      <c r="B3253" s="287"/>
      <c r="C3253" s="37"/>
      <c r="D3253" s="37"/>
      <c r="E3253" s="37"/>
      <c r="F3253" s="37"/>
      <c r="G3253" s="37"/>
      <c r="H3253" s="37"/>
      <c r="I3253" s="37"/>
      <c r="J3253" s="37"/>
      <c r="K3253" s="37"/>
      <c r="L3253" s="37"/>
      <c r="M3253" s="37"/>
    </row>
    <row r="3254" spans="2:13" s="3" customFormat="1" ht="12.75" customHeight="1" x14ac:dyDescent="0.25">
      <c r="B3254" s="656" t="str">
        <f>IF('1. INTRO'!I$2="English","Co-funding share in full cost ","Medfinansieringsandel i full kostnad ")</f>
        <v xml:space="preserve">Co-funding share in full cost </v>
      </c>
      <c r="C3254" s="143" t="str">
        <f t="shared" ref="C3254:M3254" si="778">IF(C3252&gt;0,C3244/C3252,"")</f>
        <v/>
      </c>
      <c r="D3254" s="143" t="str">
        <f t="shared" si="778"/>
        <v/>
      </c>
      <c r="E3254" s="143" t="str">
        <f t="shared" si="778"/>
        <v/>
      </c>
      <c r="F3254" s="143" t="str">
        <f t="shared" si="778"/>
        <v/>
      </c>
      <c r="G3254" s="143" t="str">
        <f t="shared" si="778"/>
        <v/>
      </c>
      <c r="H3254" s="143" t="str">
        <f t="shared" si="778"/>
        <v/>
      </c>
      <c r="I3254" s="143" t="str">
        <f t="shared" si="778"/>
        <v/>
      </c>
      <c r="J3254" s="143" t="str">
        <f t="shared" si="778"/>
        <v/>
      </c>
      <c r="K3254" s="143" t="str">
        <f t="shared" si="778"/>
        <v/>
      </c>
      <c r="L3254" s="143" t="str">
        <f t="shared" si="778"/>
        <v/>
      </c>
      <c r="M3254" s="143" t="str">
        <f t="shared" si="778"/>
        <v/>
      </c>
    </row>
    <row r="3255" spans="2:13" ht="12.75" customHeight="1" x14ac:dyDescent="0.2"/>
    <row r="3256" spans="2:13" ht="12.75" customHeight="1" x14ac:dyDescent="0.25">
      <c r="D3256" s="676" t="str">
        <f>IF('1. INTRO'!I$2="English","Co-funding need in average per year: ","Medfinansieringsbehov i genomsnitt per år: ")</f>
        <v xml:space="preserve">Co-funding need in average per year: </v>
      </c>
      <c r="E3256" s="92" t="str">
        <f>IF(M3244=0,"",M3244/(DATEDIF('2. START'!C$18,'2. START'!C$19,"d")/365))</f>
        <v/>
      </c>
      <c r="H3256" s="676" t="str">
        <f>IF('1. INTRO'!I$2="English","Co-funding need 1/3 of total: ","Medfinansieringsbehov 1/3 av totalt: ")</f>
        <v xml:space="preserve">Co-funding need 1/3 of total: </v>
      </c>
      <c r="I3256" s="92">
        <f>M3244/3</f>
        <v>0</v>
      </c>
      <c r="L3256" s="287" t="str">
        <f>IF('1. INTRO'!I$2="English","Co-funding need total: ","Medfinansieringsbehov totalt: ")</f>
        <v xml:space="preserve">Co-funding need total: </v>
      </c>
      <c r="M3256" s="92">
        <f>M3244</f>
        <v>0</v>
      </c>
    </row>
    <row r="3257" spans="2:13" ht="12.75" customHeight="1" x14ac:dyDescent="0.25">
      <c r="B3257" s="53" t="str">
        <f>IF('1. INTRO'!I$2="English","Co-funding sources","Medfinansieringskällor")</f>
        <v>Co-funding sources</v>
      </c>
    </row>
    <row r="3258" spans="2:13" ht="12.75" customHeight="1" x14ac:dyDescent="0.25">
      <c r="B3258" s="225"/>
      <c r="C3258" s="226"/>
      <c r="D3258" s="226"/>
      <c r="E3258" s="226"/>
      <c r="F3258" s="226"/>
      <c r="G3258" s="226"/>
      <c r="H3258" s="226"/>
      <c r="I3258" s="226"/>
      <c r="J3258" s="226"/>
      <c r="K3258" s="226"/>
      <c r="L3258" s="227"/>
      <c r="M3258" s="168">
        <f>SUM(C3258:L3258)</f>
        <v>0</v>
      </c>
    </row>
    <row r="3259" spans="2:13" ht="12.75" customHeight="1" x14ac:dyDescent="0.25">
      <c r="B3259" s="228"/>
      <c r="C3259" s="229"/>
      <c r="D3259" s="229"/>
      <c r="E3259" s="229"/>
      <c r="F3259" s="229"/>
      <c r="G3259" s="229"/>
      <c r="H3259" s="229"/>
      <c r="I3259" s="229"/>
      <c r="J3259" s="229"/>
      <c r="K3259" s="229"/>
      <c r="L3259" s="230"/>
      <c r="M3259" s="120">
        <f t="shared" ref="M3259:M3262" si="779">SUM(C3259:L3259)</f>
        <v>0</v>
      </c>
    </row>
    <row r="3260" spans="2:13" ht="12.75" customHeight="1" x14ac:dyDescent="0.25">
      <c r="B3260" s="231"/>
      <c r="C3260" s="232"/>
      <c r="D3260" s="232"/>
      <c r="E3260" s="232"/>
      <c r="F3260" s="232"/>
      <c r="G3260" s="232"/>
      <c r="H3260" s="232"/>
      <c r="I3260" s="232"/>
      <c r="J3260" s="232"/>
      <c r="K3260" s="232"/>
      <c r="L3260" s="233"/>
      <c r="M3260" s="117">
        <f t="shared" si="779"/>
        <v>0</v>
      </c>
    </row>
    <row r="3261" spans="2:13" ht="12.75" customHeight="1" x14ac:dyDescent="0.25">
      <c r="B3261" s="228"/>
      <c r="C3261" s="229"/>
      <c r="D3261" s="229"/>
      <c r="E3261" s="229"/>
      <c r="F3261" s="229"/>
      <c r="G3261" s="229"/>
      <c r="H3261" s="229"/>
      <c r="I3261" s="229"/>
      <c r="J3261" s="229"/>
      <c r="K3261" s="229"/>
      <c r="L3261" s="230"/>
      <c r="M3261" s="120">
        <f t="shared" si="779"/>
        <v>0</v>
      </c>
    </row>
    <row r="3262" spans="2:13" ht="12.75" customHeight="1" x14ac:dyDescent="0.25">
      <c r="B3262" s="93"/>
      <c r="C3262" s="232"/>
      <c r="D3262" s="232"/>
      <c r="E3262" s="232"/>
      <c r="F3262" s="232"/>
      <c r="G3262" s="232"/>
      <c r="H3262" s="232"/>
      <c r="I3262" s="232"/>
      <c r="J3262" s="232"/>
      <c r="K3262" s="232"/>
      <c r="L3262" s="233"/>
      <c r="M3262" s="117">
        <f t="shared" si="779"/>
        <v>0</v>
      </c>
    </row>
    <row r="3263" spans="2:13" ht="12.75" customHeight="1" x14ac:dyDescent="0.25">
      <c r="B3263" s="84" t="str">
        <f>IF('1. INTRO'!I$2="English","Total co-funding ","Total medfinansiering ")</f>
        <v xml:space="preserve">Total co-funding </v>
      </c>
      <c r="C3263" s="87">
        <f t="shared" ref="C3263:M3263" si="780">SUM(C3258:C3262)</f>
        <v>0</v>
      </c>
      <c r="D3263" s="87">
        <f t="shared" si="780"/>
        <v>0</v>
      </c>
      <c r="E3263" s="87">
        <f t="shared" si="780"/>
        <v>0</v>
      </c>
      <c r="F3263" s="87">
        <f t="shared" si="780"/>
        <v>0</v>
      </c>
      <c r="G3263" s="87">
        <f t="shared" si="780"/>
        <v>0</v>
      </c>
      <c r="H3263" s="87">
        <f t="shared" si="780"/>
        <v>0</v>
      </c>
      <c r="I3263" s="87">
        <f t="shared" si="780"/>
        <v>0</v>
      </c>
      <c r="J3263" s="87">
        <f t="shared" si="780"/>
        <v>0</v>
      </c>
      <c r="K3263" s="87">
        <f t="shared" si="780"/>
        <v>0</v>
      </c>
      <c r="L3263" s="87">
        <f t="shared" si="780"/>
        <v>0</v>
      </c>
      <c r="M3263" s="142">
        <f t="shared" si="780"/>
        <v>0</v>
      </c>
    </row>
    <row r="3264" spans="2:13" ht="12.75" customHeight="1" x14ac:dyDescent="0.2"/>
    <row r="3265" spans="2:13" ht="12.75" customHeight="1" x14ac:dyDescent="0.2">
      <c r="B3265" s="667" t="str">
        <f>IF('1. INTRO'!I$2="English","Calculation comments","Kalkylkommentarer")</f>
        <v>Calculation comments</v>
      </c>
      <c r="C3265" s="37" t="str">
        <f>B77</f>
        <v/>
      </c>
    </row>
    <row r="3266" spans="2:13" ht="12.75" customHeight="1" x14ac:dyDescent="0.2">
      <c r="B3266" s="1142"/>
      <c r="C3266" s="1143"/>
      <c r="D3266" s="1143"/>
      <c r="E3266" s="1143"/>
      <c r="F3266" s="1143"/>
      <c r="G3266" s="1143"/>
      <c r="H3266" s="1143"/>
      <c r="I3266" s="1143"/>
      <c r="J3266" s="1143"/>
      <c r="K3266" s="1143"/>
      <c r="L3266" s="1143"/>
      <c r="M3266" s="1144"/>
    </row>
    <row r="3267" spans="2:13" ht="12.75" customHeight="1" x14ac:dyDescent="0.2">
      <c r="B3267" s="1145"/>
      <c r="C3267" s="1226"/>
      <c r="D3267" s="1226"/>
      <c r="E3267" s="1226"/>
      <c r="F3267" s="1226"/>
      <c r="G3267" s="1226"/>
      <c r="H3267" s="1226"/>
      <c r="I3267" s="1226"/>
      <c r="J3267" s="1226"/>
      <c r="K3267" s="1226"/>
      <c r="L3267" s="1226"/>
      <c r="M3267" s="1147"/>
    </row>
    <row r="3268" spans="2:13" ht="12.75" customHeight="1" x14ac:dyDescent="0.2">
      <c r="B3268" s="1145"/>
      <c r="C3268" s="1226"/>
      <c r="D3268" s="1226"/>
      <c r="E3268" s="1226"/>
      <c r="F3268" s="1226"/>
      <c r="G3268" s="1226"/>
      <c r="H3268" s="1226"/>
      <c r="I3268" s="1226"/>
      <c r="J3268" s="1226"/>
      <c r="K3268" s="1226"/>
      <c r="L3268" s="1226"/>
      <c r="M3268" s="1147"/>
    </row>
    <row r="3269" spans="2:13" ht="12.75" customHeight="1" x14ac:dyDescent="0.2">
      <c r="B3269" s="1145"/>
      <c r="C3269" s="1226"/>
      <c r="D3269" s="1226"/>
      <c r="E3269" s="1226"/>
      <c r="F3269" s="1226"/>
      <c r="G3269" s="1226"/>
      <c r="H3269" s="1226"/>
      <c r="I3269" s="1226"/>
      <c r="J3269" s="1226"/>
      <c r="K3269" s="1226"/>
      <c r="L3269" s="1226"/>
      <c r="M3269" s="1147"/>
    </row>
    <row r="3270" spans="2:13" ht="12.75" customHeight="1" x14ac:dyDescent="0.2">
      <c r="B3270" s="1148"/>
      <c r="C3270" s="1149"/>
      <c r="D3270" s="1149"/>
      <c r="E3270" s="1149"/>
      <c r="F3270" s="1149"/>
      <c r="G3270" s="1149"/>
      <c r="H3270" s="1149"/>
      <c r="I3270" s="1149"/>
      <c r="J3270" s="1149"/>
      <c r="K3270" s="1149"/>
      <c r="L3270" s="1149"/>
      <c r="M3270" s="1150"/>
    </row>
    <row r="3272" spans="2:13" s="3" customFormat="1" ht="12.75" customHeight="1" x14ac:dyDescent="0.25">
      <c r="B3272" s="313" t="str">
        <f>'3. PARTNER'!C$4</f>
        <v xml:space="preserve">Project: </v>
      </c>
      <c r="C3272" s="1062" t="str">
        <f>'3. PARTNER'!D$4</f>
        <v/>
      </c>
      <c r="D3272" s="1001"/>
      <c r="E3272" s="1001"/>
      <c r="F3272" s="1001"/>
      <c r="G3272" s="1001"/>
      <c r="H3272" s="1001"/>
      <c r="I3272" s="1001"/>
      <c r="J3272" s="1001"/>
      <c r="K3272" s="1001"/>
      <c r="L3272" s="1001"/>
      <c r="M3272" s="1001"/>
    </row>
    <row r="3273" spans="2:13" s="3" customFormat="1" ht="13.2" x14ac:dyDescent="0.25">
      <c r="B3273" s="313" t="str">
        <f>'3. PARTNER'!C$5</f>
        <v xml:space="preserve">Calculation for: </v>
      </c>
      <c r="C3273" s="1062" t="str">
        <f>'3. PARTNER'!D$5</f>
        <v>APPLICATION</v>
      </c>
      <c r="D3273" s="1001"/>
      <c r="E3273" s="268"/>
      <c r="F3273" s="268"/>
      <c r="G3273" s="268"/>
      <c r="H3273" s="268"/>
      <c r="I3273" s="268"/>
      <c r="J3273" s="268"/>
      <c r="K3273" s="268"/>
      <c r="L3273" s="268"/>
      <c r="M3273" s="268"/>
    </row>
    <row r="3274" spans="2:13" s="3" customFormat="1" ht="13.2" x14ac:dyDescent="0.25">
      <c r="B3274" s="35" t="str">
        <f>'3. PARTNER'!C$6</f>
        <v xml:space="preserve">Project leader: </v>
      </c>
      <c r="C3274" s="1062" t="str">
        <f>'3. PARTNER'!D$6</f>
        <v/>
      </c>
      <c r="D3274" s="1001"/>
      <c r="E3274" s="1001"/>
      <c r="F3274" s="1001"/>
      <c r="G3274" s="1001"/>
      <c r="H3274" s="1001"/>
      <c r="I3274" s="1001"/>
      <c r="J3274" s="1001"/>
      <c r="K3274" s="1001"/>
      <c r="L3274" s="1001"/>
      <c r="M3274" s="1001"/>
    </row>
    <row r="3275" spans="2:13" s="3" customFormat="1" ht="13.2" x14ac:dyDescent="0.25">
      <c r="B3275" s="313" t="str">
        <f>'5. PERSON'!B$7</f>
        <v xml:space="preserve">Amounts in: </v>
      </c>
      <c r="C3275" s="655" t="str">
        <f>'5. PERSON'!C$7</f>
        <v>SEK</v>
      </c>
      <c r="D3275" s="268"/>
      <c r="E3275" s="268"/>
      <c r="F3275" s="268"/>
      <c r="G3275" s="234"/>
      <c r="H3275" s="234"/>
      <c r="I3275" s="270"/>
      <c r="J3275" s="270"/>
      <c r="K3275" s="270"/>
      <c r="L3275" s="270"/>
      <c r="M3275" s="270"/>
    </row>
    <row r="3276" spans="2:13" s="3" customFormat="1" ht="13.2" x14ac:dyDescent="0.25">
      <c r="B3276" s="313"/>
      <c r="C3276" s="1053" t="str">
        <f>'3. PARTNER'!D$7</f>
        <v>Other basic data about the project is in sheet 2.</v>
      </c>
      <c r="D3276" s="1001"/>
      <c r="E3276" s="1001"/>
      <c r="F3276" s="1001"/>
      <c r="G3276" s="234"/>
      <c r="H3276" s="234"/>
      <c r="I3276" s="270"/>
      <c r="J3276" s="270"/>
      <c r="K3276" s="270"/>
      <c r="L3276" s="251" t="s">
        <v>4</v>
      </c>
      <c r="M3276" s="270"/>
    </row>
    <row r="3277" spans="2:13" ht="12.75" customHeight="1" x14ac:dyDescent="0.2">
      <c r="L3277" s="252" t="str">
        <f>IF('1. INTRO'!I$2="English","months","månader")</f>
        <v>months</v>
      </c>
    </row>
    <row r="3278" spans="2:13" s="3" customFormat="1" ht="13.8" x14ac:dyDescent="0.25">
      <c r="B3278" s="157" t="str">
        <f>IF('1. INTRO'!I$2="English","Project costs","Projektkostnader")</f>
        <v>Project costs</v>
      </c>
      <c r="C3278" s="668" t="str">
        <f>A78</f>
        <v>EXT120</v>
      </c>
      <c r="D3278" s="1227" t="str">
        <f>B78</f>
        <v/>
      </c>
      <c r="E3278" s="1001"/>
      <c r="F3278" s="1001"/>
      <c r="G3278" s="1001"/>
      <c r="H3278" s="1001"/>
      <c r="I3278" s="37"/>
      <c r="J3278" s="37"/>
      <c r="K3278" s="37"/>
      <c r="L3278" s="642">
        <f>SUMIF('5. PERSON'!$B$17:$B$192,$C3278,'5. PERSON'!AE$17:AE$192)</f>
        <v>0</v>
      </c>
      <c r="M3278" s="680" t="s">
        <v>330</v>
      </c>
    </row>
    <row r="3279" spans="2:13" s="3" customFormat="1" ht="6" customHeight="1" x14ac:dyDescent="0.25">
      <c r="B3279" s="57"/>
      <c r="C3279" s="37"/>
      <c r="D3279" s="37"/>
      <c r="E3279" s="37"/>
      <c r="F3279" s="37"/>
      <c r="G3279" s="37"/>
      <c r="H3279" s="37"/>
      <c r="I3279" s="37"/>
      <c r="J3279" s="37"/>
      <c r="K3279" s="37"/>
      <c r="L3279" s="37"/>
      <c r="M3279" s="37"/>
    </row>
    <row r="3280" spans="2:13" s="3" customFormat="1" ht="13.2" x14ac:dyDescent="0.25">
      <c r="B3280" s="110" t="str">
        <f>IF('1. INTRO'!I$2="English","Costs to be covered by funding body","Kostnader att täckas av finansiär")</f>
        <v>Costs to be covered by funding body</v>
      </c>
      <c r="C3280" s="111">
        <f>'5. PERSON'!G$15</f>
        <v>1900</v>
      </c>
      <c r="D3280" s="111" t="str">
        <f>'5. PERSON'!H$15</f>
        <v/>
      </c>
      <c r="E3280" s="111" t="str">
        <f>'5. PERSON'!I$15</f>
        <v/>
      </c>
      <c r="F3280" s="111" t="str">
        <f>'5. PERSON'!J$15</f>
        <v/>
      </c>
      <c r="G3280" s="111" t="str">
        <f>'5. PERSON'!K$15</f>
        <v/>
      </c>
      <c r="H3280" s="111" t="str">
        <f>'5. PERSON'!L$15</f>
        <v/>
      </c>
      <c r="I3280" s="111" t="str">
        <f>'5. PERSON'!M$15</f>
        <v/>
      </c>
      <c r="J3280" s="111" t="str">
        <f>'5. PERSON'!N$15</f>
        <v/>
      </c>
      <c r="K3280" s="111" t="str">
        <f>'5. PERSON'!O$15</f>
        <v/>
      </c>
      <c r="L3280" s="111" t="str">
        <f>'5. PERSON'!P$15</f>
        <v/>
      </c>
      <c r="M3280" s="112" t="s">
        <v>2</v>
      </c>
    </row>
    <row r="3281" spans="2:15" s="3" customFormat="1" ht="12.75" customHeight="1" x14ac:dyDescent="0.25">
      <c r="B3281" s="113" t="str">
        <f>IF('1. INTRO'!I$2="English","Salary including social costs (LKP)","Lön inklusive LKP")</f>
        <v>Salary including social costs (LKP)</v>
      </c>
      <c r="C3281" s="114">
        <f>IF('2. START'!$C$14&gt;0,SUMIF('5. PERSON'!$B$17:$B$192,$C3278,'5. PERSON'!DN$17:DN$192),SUMIF('5. PERSON'!$B$17:$B$192,$C3278,'5. PERSON'!AT$17:AT$192))</f>
        <v>0</v>
      </c>
      <c r="D3281" s="114">
        <f>IF('2. START'!$C$14&gt;0,SUMIF('5. PERSON'!$B$17:$B$192,$C3278,'5. PERSON'!DO$17:DO$192),SUMIF('5. PERSON'!$B$17:$B$192,$C3278,'5. PERSON'!AU$17:AU$192))</f>
        <v>0</v>
      </c>
      <c r="E3281" s="114">
        <f>IF('2. START'!$C$14&gt;0,SUMIF('5. PERSON'!$B$17:$B$192,$C3278,'5. PERSON'!DP$17:DP$192),SUMIF('5. PERSON'!$B$17:$B$192,$C3278,'5. PERSON'!AV$17:AV$192))</f>
        <v>0</v>
      </c>
      <c r="F3281" s="114">
        <f>IF('2. START'!$C$14&gt;0,SUMIF('5. PERSON'!$B$17:$B$192,$C3278,'5. PERSON'!DQ$17:DQ$192),SUMIF('5. PERSON'!$B$17:$B$192,$C3278,'5. PERSON'!AW$17:AW$192))</f>
        <v>0</v>
      </c>
      <c r="G3281" s="114">
        <f>IF('2. START'!$C$14&gt;0,SUMIF('5. PERSON'!$B$17:$B$192,$C3278,'5. PERSON'!DR$17:DR$192),SUMIF('5. PERSON'!$B$17:$B$192,$C3278,'5. PERSON'!AX$17:AX$192))</f>
        <v>0</v>
      </c>
      <c r="H3281" s="114">
        <f>IF('2. START'!$C$14&gt;0,SUMIF('5. PERSON'!$B$17:$B$192,$C3278,'5. PERSON'!DS$17:DS$192),SUMIF('5. PERSON'!$B$17:$B$192,$C3278,'5. PERSON'!AY$17:AY$192))</f>
        <v>0</v>
      </c>
      <c r="I3281" s="114">
        <f>IF('2. START'!$C$14&gt;0,SUMIF('5. PERSON'!$B$17:$B$192,$C3278,'5. PERSON'!DT$17:DT$192),SUMIF('5. PERSON'!$B$17:$B$192,$C3278,'5. PERSON'!AZ$17:AZ$192))</f>
        <v>0</v>
      </c>
      <c r="J3281" s="114">
        <f>IF('2. START'!$C$14&gt;0,SUMIF('5. PERSON'!$B$17:$B$192,$C3278,'5. PERSON'!DU$17:DU$192),SUMIF('5. PERSON'!$B$17:$B$192,$C3278,'5. PERSON'!BA$17:BA$192))</f>
        <v>0</v>
      </c>
      <c r="K3281" s="114">
        <f>IF('2. START'!$C$14&gt;0,SUMIF('5. PERSON'!$B$17:$B$192,$C3278,'5. PERSON'!DV$17:DV$192),SUMIF('5. PERSON'!$B$17:$B$192,$C3278,'5. PERSON'!BB$17:BB$192))</f>
        <v>0</v>
      </c>
      <c r="L3281" s="114">
        <f>IF('2. START'!$C$14&gt;0,SUMIF('5. PERSON'!$B$17:$B$192,$C3278,'5. PERSON'!DW$17:DW$192),SUMIF('5. PERSON'!$B$17:$B$192,$C3278,'5. PERSON'!BC$17:BC$192))</f>
        <v>0</v>
      </c>
      <c r="M3281" s="115">
        <f t="shared" ref="M3281:M3286" si="781">SUM(C3281:L3281)</f>
        <v>0</v>
      </c>
      <c r="O3281" s="4"/>
    </row>
    <row r="3282" spans="2:15" s="3" customFormat="1" ht="12.75" customHeight="1" x14ac:dyDescent="0.25">
      <c r="B3282" s="80" t="str">
        <f>IF('1. INTRO'!I$2="English","Operating","Drift")</f>
        <v>Operating</v>
      </c>
      <c r="C3282" s="116">
        <f>SUMIF('6. OPERATION'!$B$17:$B$149,$C3278,'6. OPERATION'!W$17:W$149)</f>
        <v>0</v>
      </c>
      <c r="D3282" s="116">
        <f>SUMIF('6. OPERATION'!$B$17:$B$149,$C3278,'6. OPERATION'!X$17:X$149)</f>
        <v>0</v>
      </c>
      <c r="E3282" s="116">
        <f>SUMIF('6. OPERATION'!$B$17:$B$149,$C3278,'6. OPERATION'!Y$17:Y$149)</f>
        <v>0</v>
      </c>
      <c r="F3282" s="116">
        <f>SUMIF('6. OPERATION'!$B$17:$B$149,$C3278,'6. OPERATION'!Z$17:Z$149)</f>
        <v>0</v>
      </c>
      <c r="G3282" s="116">
        <f>SUMIF('6. OPERATION'!$B$17:$B$149,$C3278,'6. OPERATION'!AA$17:AA$149)</f>
        <v>0</v>
      </c>
      <c r="H3282" s="116">
        <f>SUMIF('6. OPERATION'!$B$17:$B$149,$C3278,'6. OPERATION'!AB$17:AB$149)</f>
        <v>0</v>
      </c>
      <c r="I3282" s="116">
        <f>SUMIF('6. OPERATION'!$B$17:$B$149,$C3278,'6. OPERATION'!AC$17:AC$149)</f>
        <v>0</v>
      </c>
      <c r="J3282" s="116">
        <f>SUMIF('6. OPERATION'!$B$17:$B$149,$C3278,'6. OPERATION'!AD$17:AD$149)</f>
        <v>0</v>
      </c>
      <c r="K3282" s="116">
        <f>SUMIF('6. OPERATION'!$B$17:$B$149,$C3278,'6. OPERATION'!AE$17:AE$149)</f>
        <v>0</v>
      </c>
      <c r="L3282" s="116">
        <f>SUMIF('6. OPERATION'!$B$17:$B$149,$C3278,'6. OPERATION'!AF$17:AF$149)</f>
        <v>0</v>
      </c>
      <c r="M3282" s="117">
        <f t="shared" si="781"/>
        <v>0</v>
      </c>
    </row>
    <row r="3283" spans="2:15" s="3" customFormat="1" ht="13.2" x14ac:dyDescent="0.25">
      <c r="B3283" s="118" t="str">
        <f>IF('1. INTRO'!I$2="English","Equipment","Utrustning")</f>
        <v>Equipment</v>
      </c>
      <c r="C3283" s="119">
        <f>SUMIF('7. INVEST'!$B$17:$B$49,$C3278,'7. INVEST'!W$17:W$49)</f>
        <v>0</v>
      </c>
      <c r="D3283" s="119">
        <f>SUMIF('7. INVEST'!$B$17:$B$49,$C3278,'7. INVEST'!X$17:X$49)</f>
        <v>0</v>
      </c>
      <c r="E3283" s="119">
        <f>SUMIF('7. INVEST'!$B$17:$B$49,$C3278,'7. INVEST'!Y$17:Y$49)</f>
        <v>0</v>
      </c>
      <c r="F3283" s="119">
        <f>SUMIF('7. INVEST'!$B$17:$B$49,$C3278,'7. INVEST'!Z$17:Z$49)</f>
        <v>0</v>
      </c>
      <c r="G3283" s="119">
        <f>SUMIF('7. INVEST'!$B$17:$B$49,$C3278,'7. INVEST'!AA$17:AA$49)</f>
        <v>0</v>
      </c>
      <c r="H3283" s="119">
        <f>SUMIF('7. INVEST'!$B$17:$B$49,$C3278,'7. INVEST'!AB$17:AB$49)</f>
        <v>0</v>
      </c>
      <c r="I3283" s="119">
        <f>SUMIF('7. INVEST'!$B$17:$B$49,$C3278,'7. INVEST'!AC$17:AC$49)</f>
        <v>0</v>
      </c>
      <c r="J3283" s="119">
        <f>SUMIF('7. INVEST'!$B$17:$B$49,$C3278,'7. INVEST'!AD$17:AD$49)</f>
        <v>0</v>
      </c>
      <c r="K3283" s="119">
        <f>SUMIF('7. INVEST'!$B$17:$B$49,$C3278,'7. INVEST'!AE$17:AE$49)</f>
        <v>0</v>
      </c>
      <c r="L3283" s="119">
        <f>SUMIF('7. INVEST'!$B$17:$B$49,$C3278,'7. INVEST'!AF$17:AF$49)</f>
        <v>0</v>
      </c>
      <c r="M3283" s="120">
        <f t="shared" si="781"/>
        <v>0</v>
      </c>
    </row>
    <row r="3284" spans="2:15" s="3" customFormat="1" ht="13.2" x14ac:dyDescent="0.25">
      <c r="B3284" s="121" t="str">
        <f>IF('1. INTRO'!I$2="English",(IF('2. START'!C$11="NO","Facility accepted as direct cost by funding body","Facility")),IF('2. START'!C$11="NO","Lokal accepterad som direkt kostnad av finansiär","Lokal"))</f>
        <v>Facility</v>
      </c>
      <c r="C3284" s="116">
        <f>IF('2. START'!$C$11="NO",SUMIF('8. FACILIT'!$B$18:$B$50,$C3278,'8. FACILIT'!T$18:T$50),SUMIF('5. PERSON'!$B$17:$B$192,$C3278,'5. PERSON'!CP$17:CP$192)+SUMIF('6. OPERATION'!$B$17:$B$149,$C3278,'6. OPERATION'!BS$17:BS$149)+SUMIF('8. FACILIT'!$B$18:$B$50,$C3278,'8. FACILIT'!T$18:T$50))</f>
        <v>0</v>
      </c>
      <c r="D3284" s="116">
        <f>IF('2. START'!$C$11="NO",SUMIF('8. FACILIT'!$B$18:$B$50,$C3278,'8. FACILIT'!U$18:U$50),SUMIF('5. PERSON'!$B$17:$B$192,$C3278,'5. PERSON'!CQ$17:CQ$192)+SUMIF('6. OPERATION'!$B$17:$B$149,$C3278,'6. OPERATION'!BT$17:BT$149)+SUMIF('8. FACILIT'!$B$18:$B$50,$C3278,'8. FACILIT'!U$18:U$50))</f>
        <v>0</v>
      </c>
      <c r="E3284" s="116">
        <f>IF('2. START'!$C$11="NO",SUMIF('8. FACILIT'!$B$18:$B$50,$C3278,'8. FACILIT'!V$18:V$50),SUMIF('5. PERSON'!$B$17:$B$192,$C3278,'5. PERSON'!CR$17:CR$192)+SUMIF('6. OPERATION'!$B$17:$B$149,$C3278,'6. OPERATION'!BU$17:BU$149)+SUMIF('8. FACILIT'!$B$18:$B$50,$C3278,'8. FACILIT'!V$18:V$50))</f>
        <v>0</v>
      </c>
      <c r="F3284" s="116">
        <f>IF('2. START'!$C$11="NO",SUMIF('8. FACILIT'!$B$18:$B$50,$C3278,'8. FACILIT'!W$18:W$50),SUMIF('5. PERSON'!$B$17:$B$192,$C3278,'5. PERSON'!CS$17:CS$192)+SUMIF('6. OPERATION'!$B$17:$B$149,$C3278,'6. OPERATION'!BV$17:BV$149)+SUMIF('8. FACILIT'!$B$18:$B$50,$C3278,'8. FACILIT'!W$18:W$50))</f>
        <v>0</v>
      </c>
      <c r="G3284" s="116">
        <f>IF('2. START'!$C$11="NO",SUMIF('8. FACILIT'!$B$18:$B$50,$C3278,'8. FACILIT'!X$18:X$50),SUMIF('5. PERSON'!$B$17:$B$192,$C3278,'5. PERSON'!CT$17:CT$192)+SUMIF('6. OPERATION'!$B$17:$B$149,$C3278,'6. OPERATION'!BW$17:BW$149)+SUMIF('8. FACILIT'!$B$18:$B$50,$C3278,'8. FACILIT'!X$18:X$50))</f>
        <v>0</v>
      </c>
      <c r="H3284" s="116">
        <f>IF('2. START'!$C$11="NO",SUMIF('8. FACILIT'!$B$18:$B$50,$C3278,'8. FACILIT'!Y$18:Y$50),SUMIF('5. PERSON'!$B$17:$B$192,$C3278,'5. PERSON'!CU$17:CU$192)+SUMIF('6. OPERATION'!$B$17:$B$149,$C3278,'6. OPERATION'!BX$17:BX$149)+SUMIF('8. FACILIT'!$B$18:$B$50,$C3278,'8. FACILIT'!Y$18:Y$50))</f>
        <v>0</v>
      </c>
      <c r="I3284" s="116">
        <f>IF('2. START'!$C$11="NO",SUMIF('8. FACILIT'!$B$18:$B$50,$C3278,'8. FACILIT'!Z$18:Z$50),SUMIF('5. PERSON'!$B$17:$B$192,$C3278,'5. PERSON'!CV$17:CV$192)+SUMIF('6. OPERATION'!$B$17:$B$149,$C3278,'6. OPERATION'!BY$17:BY$149)+SUMIF('8. FACILIT'!$B$18:$B$50,$C3278,'8. FACILIT'!Z$18:Z$50))</f>
        <v>0</v>
      </c>
      <c r="J3284" s="116">
        <f>IF('2. START'!$C$11="NO",SUMIF('8. FACILIT'!$B$18:$B$50,$C3278,'8. FACILIT'!AA$18:AA$50),SUMIF('5. PERSON'!$B$17:$B$192,$C3278,'5. PERSON'!CW$17:CW$192)+SUMIF('6. OPERATION'!$B$17:$B$149,$C3278,'6. OPERATION'!BZ$17:BZ$149)+SUMIF('8. FACILIT'!$B$18:$B$50,$C3278,'8. FACILIT'!AA$18:AA$50))</f>
        <v>0</v>
      </c>
      <c r="K3284" s="116">
        <f>IF('2. START'!$C$11="NO",SUMIF('8. FACILIT'!$B$18:$B$50,$C3278,'8. FACILIT'!AB$18:AB$50),SUMIF('5. PERSON'!$B$17:$B$192,$C3278,'5. PERSON'!CX$17:CX$192)+SUMIF('6. OPERATION'!$B$17:$B$149,$C3278,'6. OPERATION'!CA$17:CA$149)+SUMIF('8. FACILIT'!$B$18:$B$50,$C3278,'8. FACILIT'!AB$18:AB$50))</f>
        <v>0</v>
      </c>
      <c r="L3284" s="116">
        <f>IF('2. START'!$C$11="NO",SUMIF('8. FACILIT'!$B$18:$B$50,$C3278,'8. FACILIT'!AC$18:AC$50),SUMIF('5. PERSON'!$B$17:$B$192,$C3278,'5. PERSON'!CY$17:CY$192)+SUMIF('6. OPERATION'!$B$17:$B$149,$C3278,'6. OPERATION'!CB$17:CB$149)+SUMIF('8. FACILIT'!$B$18:$B$50,$C3278,'8. FACILIT'!AC$18:AC$50))</f>
        <v>0</v>
      </c>
      <c r="M3284" s="117">
        <f t="shared" si="781"/>
        <v>0</v>
      </c>
    </row>
    <row r="3285" spans="2:15" s="3" customFormat="1" ht="13.2" x14ac:dyDescent="0.25">
      <c r="B3285" s="122" t="str">
        <f>IF('1. INTRO'!I$2="English",(IF('2. START'!C$11="NO","Indirect and facility charge accepted as OH by funding body","Indirect")),IF('2. START'!C$11="NO","Indirekt och lokalpåslag accepterade som OH av finansiär","Indirekt"))</f>
        <v>Indirect</v>
      </c>
      <c r="C3285" s="107">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107">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107">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107">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107">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107">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107">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107">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107">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107">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120">
        <f t="shared" si="781"/>
        <v>0</v>
      </c>
    </row>
    <row r="3286" spans="2:15" s="3" customFormat="1" ht="13.2" x14ac:dyDescent="0.25">
      <c r="B3286" s="124" t="s">
        <v>113</v>
      </c>
      <c r="C3286" s="102">
        <f>SUM(C3281:C3285)</f>
        <v>0</v>
      </c>
      <c r="D3286" s="102">
        <f t="shared" ref="D3286:L3286" si="782">SUM(D3281:D3285)</f>
        <v>0</v>
      </c>
      <c r="E3286" s="102">
        <f t="shared" si="782"/>
        <v>0</v>
      </c>
      <c r="F3286" s="102">
        <f t="shared" si="782"/>
        <v>0</v>
      </c>
      <c r="G3286" s="102">
        <f t="shared" si="782"/>
        <v>0</v>
      </c>
      <c r="H3286" s="102">
        <f t="shared" si="782"/>
        <v>0</v>
      </c>
      <c r="I3286" s="102">
        <f t="shared" si="782"/>
        <v>0</v>
      </c>
      <c r="J3286" s="102">
        <f t="shared" si="782"/>
        <v>0</v>
      </c>
      <c r="K3286" s="102">
        <f t="shared" si="782"/>
        <v>0</v>
      </c>
      <c r="L3286" s="102">
        <f t="shared" si="782"/>
        <v>0</v>
      </c>
      <c r="M3286" s="125">
        <f t="shared" si="781"/>
        <v>0</v>
      </c>
    </row>
    <row r="3287" spans="2:15" s="3" customFormat="1" ht="6" customHeight="1" x14ac:dyDescent="0.25">
      <c r="B3287" s="126"/>
      <c r="C3287" s="127"/>
      <c r="D3287" s="127"/>
      <c r="E3287" s="127"/>
      <c r="F3287" s="127"/>
      <c r="G3287" s="127"/>
      <c r="H3287" s="127"/>
      <c r="I3287" s="127"/>
      <c r="J3287" s="127"/>
      <c r="K3287" s="127"/>
      <c r="L3287" s="127"/>
      <c r="M3287" s="128"/>
    </row>
    <row r="3288" spans="2:15" s="3" customFormat="1" ht="13.2" x14ac:dyDescent="0.25">
      <c r="B3288" s="129" t="str">
        <f>IF('1. INTRO'!I$2="English","Costs to be co-funded","Kostnader att medfinansiera")</f>
        <v>Costs to be co-funded</v>
      </c>
      <c r="C3288" s="86"/>
      <c r="D3288" s="86"/>
      <c r="E3288" s="86"/>
      <c r="F3288" s="86"/>
      <c r="G3288" s="86"/>
      <c r="H3288" s="86"/>
      <c r="I3288" s="86"/>
      <c r="J3288" s="86"/>
      <c r="K3288" s="86"/>
      <c r="L3288" s="86"/>
      <c r="M3288" s="130"/>
    </row>
    <row r="3289" spans="2:15" s="3" customFormat="1" ht="13.2" x14ac:dyDescent="0.25">
      <c r="B3289" s="159" t="str">
        <f>IF('1. INTRO'!I$2="English",(IF('2. START'!C$11="NO","Indirect and facility charge not accepted as OH by funding body","")),IF('2. START'!C$11="NO","Indirekt och lokalpåslag inte accepterade som OH av finansiär",""))</f>
        <v/>
      </c>
      <c r="C3289" s="131">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31">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31">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31">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31">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31">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31">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31">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31">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31">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115">
        <f t="shared" ref="M3289:M3295" si="783">SUM(C3289:L3289)</f>
        <v>0</v>
      </c>
    </row>
    <row r="3290" spans="2:15" s="3" customFormat="1" ht="12.75" customHeight="1" x14ac:dyDescent="0.25">
      <c r="B3290" s="132" t="str">
        <f>IF('1. INTRO'!I$2="English",(IF('2. START'!C$14&gt;0,"Social costs (LKP) not accepted by funding body","")),IF('2. START'!C$14&gt;0,"LKP som inte accepteras av finansiär",""))</f>
        <v/>
      </c>
      <c r="C3290" s="133">
        <f>IF('2. START'!$C$14&gt;0,SUMIF('5. PERSON'!$B$17:$B$192,$C3278,'5. PERSON'!AT$17:AT$192)-SUMIF('5. PERSON'!$B$17:$B$192,$C3278,'5. PERSON'!DN$17:DN$192),0)</f>
        <v>0</v>
      </c>
      <c r="D3290" s="133">
        <f>IF('2. START'!$C$14&gt;0,SUMIF('5. PERSON'!$B$17:$B$192,$C3278,'5. PERSON'!AU$17:AU$192)-SUMIF('5. PERSON'!$B$17:$B$192,$C3278,'5. PERSON'!DO$17:DO$192),0)</f>
        <v>0</v>
      </c>
      <c r="E3290" s="133">
        <f>IF('2. START'!$C$14&gt;0,SUMIF('5. PERSON'!$B$17:$B$192,$C3278,'5. PERSON'!AV$17:AV$192)-SUMIF('5. PERSON'!$B$17:$B$192,$C3278,'5. PERSON'!DP$17:DP$192),0)</f>
        <v>0</v>
      </c>
      <c r="F3290" s="133">
        <f>IF('2. START'!$C$14&gt;0,SUMIF('5. PERSON'!$B$17:$B$192,$C3278,'5. PERSON'!AW$17:AW$192)-SUMIF('5. PERSON'!$B$17:$B$192,$C3278,'5. PERSON'!DQ$17:DQ$192),0)</f>
        <v>0</v>
      </c>
      <c r="G3290" s="133">
        <f>IF('2. START'!$C$14&gt;0,SUMIF('5. PERSON'!$B$17:$B$192,$C3278,'5. PERSON'!AX$17:AX$192)-SUMIF('5. PERSON'!$B$17:$B$192,$C3278,'5. PERSON'!DR$17:DR$192),0)</f>
        <v>0</v>
      </c>
      <c r="H3290" s="133">
        <f>IF('2. START'!$C$14&gt;0,SUMIF('5. PERSON'!$B$17:$B$192,$C3278,'5. PERSON'!AY$17:AY$192)-SUMIF('5. PERSON'!$B$17:$B$192,$C3278,'5. PERSON'!DS$17:DS$192),0)</f>
        <v>0</v>
      </c>
      <c r="I3290" s="133">
        <f>IF('2. START'!$C$14&gt;0,SUMIF('5. PERSON'!$B$17:$B$192,$C3278,'5. PERSON'!AZ$17:AZ$192)-SUMIF('5. PERSON'!$B$17:$B$192,$C3278,'5. PERSON'!DT$17:DT$192),0)</f>
        <v>0</v>
      </c>
      <c r="J3290" s="133">
        <f>IF('2. START'!$C$14&gt;0,SUMIF('5. PERSON'!$B$17:$B$192,$C3278,'5. PERSON'!BA$17:BA$192)-SUMIF('5. PERSON'!$B$17:$B$192,$C3278,'5. PERSON'!DU$17:DU$192),0)</f>
        <v>0</v>
      </c>
      <c r="K3290" s="133">
        <f>IF('2. START'!$C$14&gt;0,SUMIF('5. PERSON'!$B$17:$B$192,$C3278,'5. PERSON'!BB$17:BB$192)-SUMIF('5. PERSON'!$B$17:$B$192,$C3278,'5. PERSON'!DV$17:DV$192),0)</f>
        <v>0</v>
      </c>
      <c r="L3290" s="133">
        <f>IF('2. START'!$C$14&gt;0,SUMIF('5. PERSON'!$B$17:$B$192,$C3278,'5. PERSON'!BC$17:BC$192)-SUMIF('5. PERSON'!$B$17:$B$192,$C3278,'5. PERSON'!DW$17:DW$192),0)</f>
        <v>0</v>
      </c>
      <c r="M3290" s="117">
        <f t="shared" si="783"/>
        <v>0</v>
      </c>
    </row>
    <row r="3291" spans="2:15" s="3" customFormat="1" ht="12.75" customHeight="1" x14ac:dyDescent="0.25">
      <c r="B3291" s="118" t="str">
        <f>IF('1. INTRO'!I$2="English",(IF('5. PERSON'!BP$193&gt;0,"Salary including social costs (LKP)","")),IF('5. PERSON'!BP$193&gt;0,"Lön inklusive LKP",""))</f>
        <v/>
      </c>
      <c r="C3291" s="134">
        <f>SUMIF('5. PERSON'!$B$17:$B$192,$C3278,'5. PERSON'!BF$17:BF$192)</f>
        <v>0</v>
      </c>
      <c r="D3291" s="134">
        <f>SUMIF('5. PERSON'!$B$17:$B$192,$C3278,'5. PERSON'!BG$17:BG$192)</f>
        <v>0</v>
      </c>
      <c r="E3291" s="134">
        <f>SUMIF('5. PERSON'!$B$17:$B$192,$C3278,'5. PERSON'!BH$17:BH$192)</f>
        <v>0</v>
      </c>
      <c r="F3291" s="134">
        <f>SUMIF('5. PERSON'!$B$17:$B$192,$C3278,'5. PERSON'!BI$17:BI$192)</f>
        <v>0</v>
      </c>
      <c r="G3291" s="134">
        <f>SUMIF('5. PERSON'!$B$17:$B$192,$C3278,'5. PERSON'!BJ$17:BJ$192)</f>
        <v>0</v>
      </c>
      <c r="H3291" s="134">
        <f>SUMIF('5. PERSON'!$B$17:$B$192,$C3278,'5. PERSON'!BK$17:BK$192)</f>
        <v>0</v>
      </c>
      <c r="I3291" s="134">
        <f>SUMIF('5. PERSON'!$B$17:$B$192,$C3278,'5. PERSON'!BL$17:BL$192)</f>
        <v>0</v>
      </c>
      <c r="J3291" s="134">
        <f>SUMIF('5. PERSON'!$B$17:$B$192,$C3278,'5. PERSON'!BM$17:BM$192)</f>
        <v>0</v>
      </c>
      <c r="K3291" s="134">
        <f>SUMIF('5. PERSON'!$B$17:$B$192,$C3278,'5. PERSON'!BN$17:BN$192)</f>
        <v>0</v>
      </c>
      <c r="L3291" s="134">
        <f>SUMIF('5. PERSON'!$B$17:$B$192,$C3278,'5. PERSON'!BO$17:BO$192)</f>
        <v>0</v>
      </c>
      <c r="M3291" s="120">
        <f t="shared" si="783"/>
        <v>0</v>
      </c>
    </row>
    <row r="3292" spans="2:15" s="3" customFormat="1" ht="13.2" x14ac:dyDescent="0.25">
      <c r="B3292" s="80" t="str">
        <f>IF('1. INTRO'!I$2="English",(IF('6. OPERATION'!AS$150&gt;0,"Operating","")),IF('6. OPERATION'!AS$150&gt;0,"Drift",""))</f>
        <v/>
      </c>
      <c r="C3292" s="135">
        <f>SUMIF('6. OPERATION'!$B$17:$B$149,$C3278,'6. OPERATION'!AI$17:AI$149)</f>
        <v>0</v>
      </c>
      <c r="D3292" s="135">
        <f>SUMIF('6. OPERATION'!$B$17:$B$149,$C3278,'6. OPERATION'!AJ$17:AJ$149)</f>
        <v>0</v>
      </c>
      <c r="E3292" s="135">
        <f>SUMIF('6. OPERATION'!$B$17:$B$149,$C3278,'6. OPERATION'!AK$17:AK$149)</f>
        <v>0</v>
      </c>
      <c r="F3292" s="135">
        <f>SUMIF('6. OPERATION'!$B$17:$B$149,$C3278,'6. OPERATION'!AL$17:AL$149)</f>
        <v>0</v>
      </c>
      <c r="G3292" s="135">
        <f>SUMIF('6. OPERATION'!$B$17:$B$149,$C3278,'6. OPERATION'!AM$17:AM$149)</f>
        <v>0</v>
      </c>
      <c r="H3292" s="135">
        <f>SUMIF('6. OPERATION'!$B$17:$B$149,$C3278,'6. OPERATION'!AN$17:AN$149)</f>
        <v>0</v>
      </c>
      <c r="I3292" s="135">
        <f>SUMIF('6. OPERATION'!$B$17:$B$149,$C3278,'6. OPERATION'!AO$17:AO$149)</f>
        <v>0</v>
      </c>
      <c r="J3292" s="135">
        <f>SUMIF('6. OPERATION'!$B$17:$B$149,$C3278,'6. OPERATION'!AP$17:AP$149)</f>
        <v>0</v>
      </c>
      <c r="K3292" s="135">
        <f>SUMIF('6. OPERATION'!$B$17:$B$149,$C3278,'6. OPERATION'!AQ$17:AQ$149)</f>
        <v>0</v>
      </c>
      <c r="L3292" s="135">
        <f>SUMIF('6. OPERATION'!$B$17:$B$149,$C3278,'6. OPERATION'!AR$17:AR$149)</f>
        <v>0</v>
      </c>
      <c r="M3292" s="117">
        <f t="shared" si="783"/>
        <v>0</v>
      </c>
    </row>
    <row r="3293" spans="2:15" s="3" customFormat="1" ht="13.2" x14ac:dyDescent="0.25">
      <c r="B3293" s="118" t="str">
        <f>IF('1. INTRO'!I$2="English",(IF('7. INVEST'!AS$50&gt;0,"Equipment","")),IF('7. INVEST'!AS$50&gt;0,"Utrustning",""))</f>
        <v/>
      </c>
      <c r="C3293" s="134">
        <f>SUMIF('7. INVEST'!$B$17:$B$49,$C3278,'7. INVEST'!AI$17:AI$49)</f>
        <v>0</v>
      </c>
      <c r="D3293" s="134">
        <f>SUMIF('7. INVEST'!$B$17:$B$49,$C3278,'7. INVEST'!AJ$17:AJ$49)</f>
        <v>0</v>
      </c>
      <c r="E3293" s="134">
        <f>SUMIF('7. INVEST'!$B$17:$B$49,$C3278,'7. INVEST'!AK$17:AK$49)</f>
        <v>0</v>
      </c>
      <c r="F3293" s="134">
        <f>SUMIF('7. INVEST'!$B$17:$B$49,$C3278,'7. INVEST'!AL$17:AL$49)</f>
        <v>0</v>
      </c>
      <c r="G3293" s="134">
        <f>SUMIF('7. INVEST'!$B$17:$B$49,$C3278,'7. INVEST'!AM$17:AM$49)</f>
        <v>0</v>
      </c>
      <c r="H3293" s="134">
        <f>SUMIF('7. INVEST'!$B$17:$B$49,$C3278,'7. INVEST'!AN$17:AN$49)</f>
        <v>0</v>
      </c>
      <c r="I3293" s="134">
        <f>SUMIF('7. INVEST'!$B$17:$B$49,$C3278,'7. INVEST'!AO$17:AO$49)</f>
        <v>0</v>
      </c>
      <c r="J3293" s="134">
        <f>SUMIF('7. INVEST'!$B$17:$B$49,$C3278,'7. INVEST'!AP$17:AP$49)</f>
        <v>0</v>
      </c>
      <c r="K3293" s="134">
        <f>SUMIF('7. INVEST'!$B$17:$B$49,$C3278,'7. INVEST'!AQ$17:AQ$49)</f>
        <v>0</v>
      </c>
      <c r="L3293" s="134">
        <f>SUMIF('7. INVEST'!$B$17:$B$49,$C3278,'7. INVEST'!AR$17:AR$49)</f>
        <v>0</v>
      </c>
      <c r="M3293" s="120">
        <f t="shared" si="783"/>
        <v>0</v>
      </c>
    </row>
    <row r="3294" spans="2:15" s="3" customFormat="1" ht="13.2" x14ac:dyDescent="0.25">
      <c r="B3294" s="121" t="str">
        <f>IF('1. INTRO'!I$2="English",(IF('8. FACILIT'!AP$51&gt;0,"Facility","")),IF('8. FACILIT'!AP$51&gt;0,"Lokal",""))</f>
        <v/>
      </c>
      <c r="C3294" s="135">
        <f>SUMIF('5. PERSON'!$B$17:$B$192,$C3278,'5. PERSON'!DB$17:DB$192)+SUMIF('6. OPERATION'!$B$17:$B$149,$C3278,'6. OPERATION'!CE$17:CE$149)+SUMIF('8. FACILIT'!$B$18:$B$50,$C3278,'8. FACILIT'!AF$18:AF$50)</f>
        <v>0</v>
      </c>
      <c r="D3294" s="135">
        <f>SUMIF('5. PERSON'!$B$17:$B$192,$C3278,'5. PERSON'!DC$17:DC$192)+SUMIF('6. OPERATION'!$B$17:$B$149,$C3278,'6. OPERATION'!CF$17:CF$149)+SUMIF('8. FACILIT'!$B$18:$B$50,$C3278,'8. FACILIT'!AG$18:AG$50)</f>
        <v>0</v>
      </c>
      <c r="E3294" s="135">
        <f>SUMIF('5. PERSON'!$B$17:$B$192,$C3278,'5. PERSON'!DD$17:DD$192)+SUMIF('6. OPERATION'!$B$17:$B$149,$C3278,'6. OPERATION'!CG$17:CG$149)+SUMIF('8. FACILIT'!$B$18:$B$50,$C3278,'8. FACILIT'!AH$18:AH$50)</f>
        <v>0</v>
      </c>
      <c r="F3294" s="135">
        <f>SUMIF('5. PERSON'!$B$17:$B$192,$C3278,'5. PERSON'!DE$17:DE$192)+SUMIF('6. OPERATION'!$B$17:$B$149,$C3278,'6. OPERATION'!CH$17:CH$149)+SUMIF('8. FACILIT'!$B$18:$B$50,$C3278,'8. FACILIT'!AI$18:AI$50)</f>
        <v>0</v>
      </c>
      <c r="G3294" s="135">
        <f>SUMIF('5. PERSON'!$B$17:$B$192,$C3278,'5. PERSON'!DF$17:DF$192)+SUMIF('6. OPERATION'!$B$17:$B$149,$C3278,'6. OPERATION'!CI$17:CI$149)+SUMIF('8. FACILIT'!$B$18:$B$50,$C3278,'8. FACILIT'!AJ$18:AJ$50)</f>
        <v>0</v>
      </c>
      <c r="H3294" s="135">
        <f>SUMIF('5. PERSON'!$B$17:$B$192,$C3278,'5. PERSON'!DG$17:DG$192)+SUMIF('6. OPERATION'!$B$17:$B$149,$C3278,'6. OPERATION'!CJ$17:CJ$149)+SUMIF('8. FACILIT'!$B$18:$B$50,$C3278,'8. FACILIT'!AK$18:AK$50)</f>
        <v>0</v>
      </c>
      <c r="I3294" s="135">
        <f>SUMIF('5. PERSON'!$B$17:$B$192,$C3278,'5. PERSON'!DH$17:DH$192)+SUMIF('6. OPERATION'!$B$17:$B$149,$C3278,'6. OPERATION'!CK$17:CK$149)+SUMIF('8. FACILIT'!$B$18:$B$50,$C3278,'8. FACILIT'!AL$18:AL$50)</f>
        <v>0</v>
      </c>
      <c r="J3294" s="135">
        <f>SUMIF('5. PERSON'!$B$17:$B$192,$C3278,'5. PERSON'!DI$17:DI$192)+SUMIF('6. OPERATION'!$B$17:$B$149,$C3278,'6. OPERATION'!CL$17:CL$149)+SUMIF('8. FACILIT'!$B$18:$B$50,$C3278,'8. FACILIT'!AM$18:AM$50)</f>
        <v>0</v>
      </c>
      <c r="K3294" s="135">
        <f>SUMIF('5. PERSON'!$B$17:$B$192,$C3278,'5. PERSON'!DJ$17:DJ$192)+SUMIF('6. OPERATION'!$B$17:$B$149,$C3278,'6. OPERATION'!CM$17:CM$149)+SUMIF('8. FACILIT'!$B$18:$B$50,$C3278,'8. FACILIT'!AN$18:AN$50)</f>
        <v>0</v>
      </c>
      <c r="L3294" s="135">
        <f>SUMIF('5. PERSON'!$B$17:$B$192,$C3278,'5. PERSON'!DK$17:DK$192)+SUMIF('6. OPERATION'!$B$17:$B$149,$C3278,'6. OPERATION'!CN$17:CN$149)+SUMIF('8. FACILIT'!$B$18:$B$50,$C3278,'8. FACILIT'!AO$18:AO$50)</f>
        <v>0</v>
      </c>
      <c r="M3294" s="117">
        <f t="shared" si="783"/>
        <v>0</v>
      </c>
    </row>
    <row r="3295" spans="2:15" s="1" customFormat="1" ht="13.2" x14ac:dyDescent="0.25">
      <c r="B3295" s="122" t="str">
        <f>IF('1. INTRO'!I$2="English",(IF(('5. PERSON'!CN$193+'6. OPERATION'!BQ$150)&gt;0,"Indirect","")),IF(('5. PERSON'!CN$193+'6. OPERATION'!BQ$150)&gt;0,"Indirekt",""))</f>
        <v/>
      </c>
      <c r="C3295" s="107">
        <f>SUMIF('5. PERSON'!$B$17:$B$192,$C3278,'5. PERSON'!CD$17:CD$192)+SUMIF('6. OPERATION'!$B$17:$B$149,$C3278,'6. OPERATION'!BG$17:BG$149)</f>
        <v>0</v>
      </c>
      <c r="D3295" s="107">
        <f>SUMIF('5. PERSON'!$B$17:$B$192,$C3278,'5. PERSON'!CE$17:CE$192)+SUMIF('6. OPERATION'!$B$17:$B$149,$C3278,'6. OPERATION'!BH$17:BH$149)</f>
        <v>0</v>
      </c>
      <c r="E3295" s="107">
        <f>SUMIF('5. PERSON'!$B$17:$B$192,$C3278,'5. PERSON'!CF$17:CF$192)+SUMIF('6. OPERATION'!$B$17:$B$149,$C3278,'6. OPERATION'!BI$17:BI$149)</f>
        <v>0</v>
      </c>
      <c r="F3295" s="107">
        <f>SUMIF('5. PERSON'!$B$17:$B$192,$C3278,'5. PERSON'!CG$17:CG$192)+SUMIF('6. OPERATION'!$B$17:$B$149,$C3278,'6. OPERATION'!BJ$17:BJ$149)</f>
        <v>0</v>
      </c>
      <c r="G3295" s="107">
        <f>SUMIF('5. PERSON'!$B$17:$B$192,$C3278,'5. PERSON'!CH$17:CH$192)+SUMIF('6. OPERATION'!$B$17:$B$149,$C3278,'6. OPERATION'!BK$17:BK$149)</f>
        <v>0</v>
      </c>
      <c r="H3295" s="107">
        <f>SUMIF('5. PERSON'!$B$17:$B$192,$C3278,'5. PERSON'!CI$17:CI$192)+SUMIF('6. OPERATION'!$B$17:$B$149,$C3278,'6. OPERATION'!BL$17:BL$149)</f>
        <v>0</v>
      </c>
      <c r="I3295" s="107">
        <f>SUMIF('5. PERSON'!$B$17:$B$192,$C3278,'5. PERSON'!CJ$17:CJ$192)+SUMIF('6. OPERATION'!$B$17:$B$149,$C3278,'6. OPERATION'!BM$17:BM$149)</f>
        <v>0</v>
      </c>
      <c r="J3295" s="107">
        <f>SUMIF('5. PERSON'!$B$17:$B$192,$C3278,'5. PERSON'!CK$17:CK$192)+SUMIF('6. OPERATION'!$B$17:$B$149,$C3278,'6. OPERATION'!BN$17:BN$149)</f>
        <v>0</v>
      </c>
      <c r="K3295" s="107">
        <f>SUMIF('5. PERSON'!$B$17:$B$192,$C3278,'5. PERSON'!CL$17:CL$192)+SUMIF('6. OPERATION'!$B$17:$B$149,$C3278,'6. OPERATION'!BO$17:BO$149)</f>
        <v>0</v>
      </c>
      <c r="L3295" s="107">
        <f>SUMIF('5. PERSON'!$B$17:$B$192,$C3278,'5. PERSON'!CM$17:CM$192)+SUMIF('6. OPERATION'!$B$17:$B$149,$C3278,'6. OPERATION'!BP$17:BP$149)</f>
        <v>0</v>
      </c>
      <c r="M3295" s="123">
        <f t="shared" si="783"/>
        <v>0</v>
      </c>
    </row>
    <row r="3296" spans="2:15" s="3" customFormat="1" ht="13.2" x14ac:dyDescent="0.25">
      <c r="B3296" s="124" t="s">
        <v>113</v>
      </c>
      <c r="C3296" s="102">
        <f>SUM(C3289:C3295)</f>
        <v>0</v>
      </c>
      <c r="D3296" s="102">
        <f t="shared" ref="D3296:L3296" si="784">SUM(D3289:D3295)</f>
        <v>0</v>
      </c>
      <c r="E3296" s="102">
        <f t="shared" si="784"/>
        <v>0</v>
      </c>
      <c r="F3296" s="102">
        <f t="shared" si="784"/>
        <v>0</v>
      </c>
      <c r="G3296" s="102">
        <f t="shared" si="784"/>
        <v>0</v>
      </c>
      <c r="H3296" s="102">
        <f t="shared" si="784"/>
        <v>0</v>
      </c>
      <c r="I3296" s="102">
        <f t="shared" si="784"/>
        <v>0</v>
      </c>
      <c r="J3296" s="102">
        <f t="shared" si="784"/>
        <v>0</v>
      </c>
      <c r="K3296" s="102">
        <f t="shared" si="784"/>
        <v>0</v>
      </c>
      <c r="L3296" s="102">
        <f t="shared" si="784"/>
        <v>0</v>
      </c>
      <c r="M3296" s="125">
        <f t="shared" ref="M3296" si="785">SUM(M3289:M3295)</f>
        <v>0</v>
      </c>
      <c r="N3296" s="23"/>
      <c r="O3296" s="23"/>
    </row>
    <row r="3297" spans="2:13" s="3" customFormat="1" ht="6" customHeight="1" x14ac:dyDescent="0.25">
      <c r="B3297" s="136"/>
      <c r="C3297" s="127"/>
      <c r="D3297" s="127"/>
      <c r="E3297" s="127"/>
      <c r="F3297" s="127"/>
      <c r="G3297" s="127"/>
      <c r="H3297" s="127"/>
      <c r="I3297" s="127"/>
      <c r="J3297" s="127"/>
      <c r="K3297" s="127"/>
      <c r="L3297" s="127"/>
      <c r="M3297" s="137"/>
    </row>
    <row r="3298" spans="2:13" s="3" customFormat="1" ht="13.2" x14ac:dyDescent="0.25">
      <c r="B3298" s="129" t="str">
        <f>IF('1. INTRO'!I$2="English","Full cost","Full kostnad")</f>
        <v>Full cost</v>
      </c>
      <c r="C3298" s="127"/>
      <c r="D3298" s="127"/>
      <c r="E3298" s="127"/>
      <c r="F3298" s="127"/>
      <c r="G3298" s="127"/>
      <c r="H3298" s="127"/>
      <c r="I3298" s="127"/>
      <c r="J3298" s="127"/>
      <c r="K3298" s="127"/>
      <c r="L3298" s="127"/>
      <c r="M3298" s="137"/>
    </row>
    <row r="3299" spans="2:13" s="3" customFormat="1" ht="13.2" x14ac:dyDescent="0.25">
      <c r="B3299" s="113" t="str">
        <f>IF('1. INTRO'!I$2="English","Salary including social costs (LKP)","Lön inklusive LKP")</f>
        <v>Salary including social costs (LKP)</v>
      </c>
      <c r="C3299" s="138">
        <f>C3281+C3290+C3291</f>
        <v>0</v>
      </c>
      <c r="D3299" s="138">
        <f t="shared" ref="D3299:L3299" si="786">D3281+D3290+D3291</f>
        <v>0</v>
      </c>
      <c r="E3299" s="138">
        <f t="shared" si="786"/>
        <v>0</v>
      </c>
      <c r="F3299" s="138">
        <f t="shared" si="786"/>
        <v>0</v>
      </c>
      <c r="G3299" s="138">
        <f t="shared" si="786"/>
        <v>0</v>
      </c>
      <c r="H3299" s="138">
        <f t="shared" si="786"/>
        <v>0</v>
      </c>
      <c r="I3299" s="138">
        <f t="shared" si="786"/>
        <v>0</v>
      </c>
      <c r="J3299" s="138">
        <f t="shared" si="786"/>
        <v>0</v>
      </c>
      <c r="K3299" s="138">
        <f t="shared" si="786"/>
        <v>0</v>
      </c>
      <c r="L3299" s="138">
        <f t="shared" si="786"/>
        <v>0</v>
      </c>
      <c r="M3299" s="115">
        <f>SUM(C3299:L3299)</f>
        <v>0</v>
      </c>
    </row>
    <row r="3300" spans="2:13" s="3" customFormat="1" ht="13.2" x14ac:dyDescent="0.25">
      <c r="B3300" s="80" t="str">
        <f>IF('1. INTRO'!I$2="English","Operating","Drift")</f>
        <v>Operating</v>
      </c>
      <c r="C3300" s="139">
        <f>C3282+C3292</f>
        <v>0</v>
      </c>
      <c r="D3300" s="139">
        <f t="shared" ref="D3300:L3300" si="787">D3282+D3292</f>
        <v>0</v>
      </c>
      <c r="E3300" s="139">
        <f t="shared" si="787"/>
        <v>0</v>
      </c>
      <c r="F3300" s="139">
        <f t="shared" si="787"/>
        <v>0</v>
      </c>
      <c r="G3300" s="139">
        <f t="shared" si="787"/>
        <v>0</v>
      </c>
      <c r="H3300" s="139">
        <f t="shared" si="787"/>
        <v>0</v>
      </c>
      <c r="I3300" s="139">
        <f t="shared" si="787"/>
        <v>0</v>
      </c>
      <c r="J3300" s="139">
        <f t="shared" si="787"/>
        <v>0</v>
      </c>
      <c r="K3300" s="139">
        <f t="shared" si="787"/>
        <v>0</v>
      </c>
      <c r="L3300" s="139">
        <f t="shared" si="787"/>
        <v>0</v>
      </c>
      <c r="M3300" s="117">
        <f>SUM(C3300:L3300)</f>
        <v>0</v>
      </c>
    </row>
    <row r="3301" spans="2:13" s="3" customFormat="1" ht="13.2" x14ac:dyDescent="0.25">
      <c r="B3301" s="118" t="str">
        <f>IF('1. INTRO'!I$2="English","Equipment","Utrustning")</f>
        <v>Equipment</v>
      </c>
      <c r="C3301" s="140">
        <f>C3283+C3293</f>
        <v>0</v>
      </c>
      <c r="D3301" s="140">
        <f t="shared" ref="D3301:L3301" si="788">D3283+D3293</f>
        <v>0</v>
      </c>
      <c r="E3301" s="140">
        <f t="shared" si="788"/>
        <v>0</v>
      </c>
      <c r="F3301" s="140">
        <f t="shared" si="788"/>
        <v>0</v>
      </c>
      <c r="G3301" s="140">
        <f t="shared" si="788"/>
        <v>0</v>
      </c>
      <c r="H3301" s="140">
        <f t="shared" si="788"/>
        <v>0</v>
      </c>
      <c r="I3301" s="140">
        <f t="shared" si="788"/>
        <v>0</v>
      </c>
      <c r="J3301" s="140">
        <f t="shared" si="788"/>
        <v>0</v>
      </c>
      <c r="K3301" s="140">
        <f t="shared" si="788"/>
        <v>0</v>
      </c>
      <c r="L3301" s="140">
        <f t="shared" si="788"/>
        <v>0</v>
      </c>
      <c r="M3301" s="120">
        <f>SUM(C3301:L3301)</f>
        <v>0</v>
      </c>
    </row>
    <row r="3302" spans="2:13" s="3" customFormat="1" ht="13.2" x14ac:dyDescent="0.25">
      <c r="B3302" s="80" t="str">
        <f>IF('1. INTRO'!I$2="English","Facility","Lokal")</f>
        <v>Facility</v>
      </c>
      <c r="C3302" s="139">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39">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39">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39">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39">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39">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39">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39">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39">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39">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117">
        <f>SUM(C3302:L3302)</f>
        <v>0</v>
      </c>
    </row>
    <row r="3303" spans="2:13" s="3" customFormat="1" ht="13.2" x14ac:dyDescent="0.25">
      <c r="B3303" s="601" t="str">
        <f>IF('1. INTRO'!I$2="English","Indirect","Indirekt")</f>
        <v>Indirect</v>
      </c>
      <c r="C3303" s="141">
        <f>SUMIF('5. PERSON'!$B$17:$B$192,$C3278,'5. PERSON'!BR$17:BR$192)+SUMIF('5. PERSON'!$B$17:$B$192,$C3278,'5. PERSON'!CD$17:CD$192)+SUMIF('6. OPERATION'!$B$17:$B$149,$C3278,'6. OPERATION'!AU$17:AU$149)+SUMIF('6. OPERATION'!$B$17:$B$149,$C3278,'6. OPERATION'!BG$17:BG$149)</f>
        <v>0</v>
      </c>
      <c r="D3303" s="141">
        <f>SUMIF('5. PERSON'!$B$17:$B$192,$C3278,'5. PERSON'!BS$17:BS$192)+SUMIF('5. PERSON'!$B$17:$B$192,$C3278,'5. PERSON'!CE$17:CE$192)+SUMIF('6. OPERATION'!$B$17:$B$149,$C3278,'6. OPERATION'!AV$17:AV$149)+SUMIF('6. OPERATION'!$B$17:$B$149,$C3278,'6. OPERATION'!BH$17:BH$149)</f>
        <v>0</v>
      </c>
      <c r="E3303" s="141">
        <f>SUMIF('5. PERSON'!$B$17:$B$192,$C3278,'5. PERSON'!BT$17:BT$192)+SUMIF('5. PERSON'!$B$17:$B$192,$C3278,'5. PERSON'!CF$17:CF$192)+SUMIF('6. OPERATION'!$B$17:$B$149,$C3278,'6. OPERATION'!AW$17:AW$149)+SUMIF('6. OPERATION'!$B$17:$B$149,$C3278,'6. OPERATION'!BI$17:BI$149)</f>
        <v>0</v>
      </c>
      <c r="F3303" s="141">
        <f>SUMIF('5. PERSON'!$B$17:$B$192,$C3278,'5. PERSON'!BU$17:BU$192)+SUMIF('5. PERSON'!$B$17:$B$192,$C3278,'5. PERSON'!CG$17:CG$192)+SUMIF('6. OPERATION'!$B$17:$B$149,$C3278,'6. OPERATION'!AX$17:AX$149)+SUMIF('6. OPERATION'!$B$17:$B$149,$C3278,'6. OPERATION'!BJ$17:BJ$149)</f>
        <v>0</v>
      </c>
      <c r="G3303" s="141">
        <f>SUMIF('5. PERSON'!$B$17:$B$192,$C3278,'5. PERSON'!BV$17:BV$192)+SUMIF('5. PERSON'!$B$17:$B$192,$C3278,'5. PERSON'!CH$17:CH$192)+SUMIF('6. OPERATION'!$B$17:$B$149,$C3278,'6. OPERATION'!AY$17:AY$149)+SUMIF('6. OPERATION'!$B$17:$B$149,$C3278,'6. OPERATION'!BK$17:BK$149)</f>
        <v>0</v>
      </c>
      <c r="H3303" s="141">
        <f>SUMIF('5. PERSON'!$B$17:$B$192,$C3278,'5. PERSON'!BW$17:BW$192)+SUMIF('5. PERSON'!$B$17:$B$192,$C3278,'5. PERSON'!CI$17:CI$192)+SUMIF('6. OPERATION'!$B$17:$B$149,$C3278,'6. OPERATION'!AZ$17:AZ$149)+SUMIF('6. OPERATION'!$B$17:$B$149,$C3278,'6. OPERATION'!BL$17:BL$149)</f>
        <v>0</v>
      </c>
      <c r="I3303" s="141">
        <f>SUMIF('5. PERSON'!$B$17:$B$192,$C3278,'5. PERSON'!BX$17:BX$192)+SUMIF('5. PERSON'!$B$17:$B$192,$C3278,'5. PERSON'!CJ$17:CJ$192)+SUMIF('6. OPERATION'!$B$17:$B$149,$C3278,'6. OPERATION'!BA$17:BA$149)+SUMIF('6. OPERATION'!$B$17:$B$149,$C3278,'6. OPERATION'!BM$17:BM$149)</f>
        <v>0</v>
      </c>
      <c r="J3303" s="141">
        <f>SUMIF('5. PERSON'!$B$17:$B$192,$C3278,'5. PERSON'!BY$17:BY$192)+SUMIF('5. PERSON'!$B$17:$B$192,$C3278,'5. PERSON'!CK$17:CK$192)+SUMIF('6. OPERATION'!$B$17:$B$149,$C3278,'6. OPERATION'!BB$17:BB$149)+SUMIF('6. OPERATION'!$B$17:$B$149,$C3278,'6. OPERATION'!BN$17:BN$149)</f>
        <v>0</v>
      </c>
      <c r="K3303" s="141">
        <f>SUMIF('5. PERSON'!$B$17:$B$192,$C3278,'5. PERSON'!BZ$17:BZ$192)+SUMIF('5. PERSON'!$B$17:$B$192,$C3278,'5. PERSON'!CL$17:CL$192)+SUMIF('6. OPERATION'!$B$17:$B$149,$C3278,'6. OPERATION'!BC$17:BC$149)+SUMIF('6. OPERATION'!$B$17:$B$149,$C3278,'6. OPERATION'!BO$17:BO$149)</f>
        <v>0</v>
      </c>
      <c r="L3303" s="141">
        <f>SUMIF('5. PERSON'!$B$17:$B$192,$C3278,'5. PERSON'!CA$17:CA$192)+SUMIF('5. PERSON'!$B$17:$B$192,$C3278,'5. PERSON'!CM$17:CM$192)+SUMIF('6. OPERATION'!$B$17:$B$149,$C3278,'6. OPERATION'!BD$17:BD$149)+SUMIF('6. OPERATION'!$B$17:$B$149,$C3278,'6. OPERATION'!BP$17:BP$149)</f>
        <v>0</v>
      </c>
      <c r="M3303" s="123">
        <f>SUM(C3303:L3303)</f>
        <v>0</v>
      </c>
    </row>
    <row r="3304" spans="2:13" s="3" customFormat="1" ht="13.2" x14ac:dyDescent="0.25">
      <c r="B3304" s="124" t="s">
        <v>113</v>
      </c>
      <c r="C3304" s="88">
        <f>SUM(C3299:C3303)</f>
        <v>0</v>
      </c>
      <c r="D3304" s="88">
        <f t="shared" ref="D3304:M3304" si="789">SUM(D3299:D3303)</f>
        <v>0</v>
      </c>
      <c r="E3304" s="88">
        <f t="shared" si="789"/>
        <v>0</v>
      </c>
      <c r="F3304" s="88">
        <f t="shared" si="789"/>
        <v>0</v>
      </c>
      <c r="G3304" s="88">
        <f t="shared" si="789"/>
        <v>0</v>
      </c>
      <c r="H3304" s="88">
        <f t="shared" si="789"/>
        <v>0</v>
      </c>
      <c r="I3304" s="88">
        <f t="shared" si="789"/>
        <v>0</v>
      </c>
      <c r="J3304" s="88">
        <f t="shared" si="789"/>
        <v>0</v>
      </c>
      <c r="K3304" s="88">
        <f t="shared" si="789"/>
        <v>0</v>
      </c>
      <c r="L3304" s="88">
        <f t="shared" si="789"/>
        <v>0</v>
      </c>
      <c r="M3304" s="142">
        <f t="shared" si="789"/>
        <v>0</v>
      </c>
    </row>
    <row r="3305" spans="2:13" s="3" customFormat="1" ht="13.2" x14ac:dyDescent="0.25">
      <c r="B3305" s="287"/>
      <c r="C3305" s="37"/>
      <c r="D3305" s="37"/>
      <c r="E3305" s="37"/>
      <c r="F3305" s="37"/>
      <c r="G3305" s="37"/>
      <c r="H3305" s="37"/>
      <c r="I3305" s="37"/>
      <c r="J3305" s="37"/>
      <c r="K3305" s="37"/>
      <c r="L3305" s="37"/>
      <c r="M3305" s="37"/>
    </row>
    <row r="3306" spans="2:13" s="3" customFormat="1" ht="12.75" customHeight="1" x14ac:dyDescent="0.25">
      <c r="B3306" s="656" t="str">
        <f>IF('1. INTRO'!I$2="English","Co-funding share in full cost ","Medfinansieringsandel i full kostnad ")</f>
        <v xml:space="preserve">Co-funding share in full cost </v>
      </c>
      <c r="C3306" s="143" t="str">
        <f t="shared" ref="C3306:M3306" si="790">IF(C3304&gt;0,C3296/C3304,"")</f>
        <v/>
      </c>
      <c r="D3306" s="143" t="str">
        <f t="shared" si="790"/>
        <v/>
      </c>
      <c r="E3306" s="143" t="str">
        <f t="shared" si="790"/>
        <v/>
      </c>
      <c r="F3306" s="143" t="str">
        <f t="shared" si="790"/>
        <v/>
      </c>
      <c r="G3306" s="143" t="str">
        <f t="shared" si="790"/>
        <v/>
      </c>
      <c r="H3306" s="143" t="str">
        <f t="shared" si="790"/>
        <v/>
      </c>
      <c r="I3306" s="143" t="str">
        <f t="shared" si="790"/>
        <v/>
      </c>
      <c r="J3306" s="143" t="str">
        <f t="shared" si="790"/>
        <v/>
      </c>
      <c r="K3306" s="143" t="str">
        <f t="shared" si="790"/>
        <v/>
      </c>
      <c r="L3306" s="143" t="str">
        <f t="shared" si="790"/>
        <v/>
      </c>
      <c r="M3306" s="143" t="str">
        <f t="shared" si="790"/>
        <v/>
      </c>
    </row>
    <row r="3307" spans="2:13" ht="12.75" customHeight="1" x14ac:dyDescent="0.2"/>
    <row r="3308" spans="2:13" ht="12.75" customHeight="1" x14ac:dyDescent="0.25">
      <c r="D3308" s="676" t="str">
        <f>IF('1. INTRO'!I$2="English","Co-funding need in average per year: ","Medfinansieringsbehov i genomsnitt per år: ")</f>
        <v xml:space="preserve">Co-funding need in average per year: </v>
      </c>
      <c r="E3308" s="92" t="str">
        <f>IF(M3296=0,"",M3296/(DATEDIF('2. START'!C$18,'2. START'!C$19,"d")/365))</f>
        <v/>
      </c>
      <c r="H3308" s="676" t="str">
        <f>IF('1. INTRO'!I$2="English","Co-funding need 1/3 of total: ","Medfinansieringsbehov 1/3 av totalt: ")</f>
        <v xml:space="preserve">Co-funding need 1/3 of total: </v>
      </c>
      <c r="I3308" s="92">
        <f>M3296/3</f>
        <v>0</v>
      </c>
      <c r="L3308" s="287" t="str">
        <f>IF('1. INTRO'!I$2="English","Co-funding need total: ","Medfinansieringsbehov totalt: ")</f>
        <v xml:space="preserve">Co-funding need total: </v>
      </c>
      <c r="M3308" s="92">
        <f>M3296</f>
        <v>0</v>
      </c>
    </row>
    <row r="3309" spans="2:13" ht="12.75" customHeight="1" x14ac:dyDescent="0.25">
      <c r="B3309" s="53" t="str">
        <f>IF('1. INTRO'!I$2="English","Co-funding sources","Medfinansieringskällor")</f>
        <v>Co-funding sources</v>
      </c>
    </row>
    <row r="3310" spans="2:13" ht="12.75" customHeight="1" x14ac:dyDescent="0.25">
      <c r="B3310" s="225"/>
      <c r="C3310" s="226"/>
      <c r="D3310" s="226"/>
      <c r="E3310" s="226"/>
      <c r="F3310" s="226"/>
      <c r="G3310" s="226"/>
      <c r="H3310" s="226"/>
      <c r="I3310" s="226"/>
      <c r="J3310" s="226"/>
      <c r="K3310" s="226"/>
      <c r="L3310" s="227"/>
      <c r="M3310" s="168">
        <f>SUM(C3310:L3310)</f>
        <v>0</v>
      </c>
    </row>
    <row r="3311" spans="2:13" ht="12.75" customHeight="1" x14ac:dyDescent="0.25">
      <c r="B3311" s="228"/>
      <c r="C3311" s="229"/>
      <c r="D3311" s="229"/>
      <c r="E3311" s="229"/>
      <c r="F3311" s="229"/>
      <c r="G3311" s="229"/>
      <c r="H3311" s="229"/>
      <c r="I3311" s="229"/>
      <c r="J3311" s="229"/>
      <c r="K3311" s="229"/>
      <c r="L3311" s="230"/>
      <c r="M3311" s="120">
        <f t="shared" ref="M3311:M3314" si="791">SUM(C3311:L3311)</f>
        <v>0</v>
      </c>
    </row>
    <row r="3312" spans="2:13" ht="12.75" customHeight="1" x14ac:dyDescent="0.25">
      <c r="B3312" s="231"/>
      <c r="C3312" s="232"/>
      <c r="D3312" s="232"/>
      <c r="E3312" s="232"/>
      <c r="F3312" s="232"/>
      <c r="G3312" s="232"/>
      <c r="H3312" s="232"/>
      <c r="I3312" s="232"/>
      <c r="J3312" s="232"/>
      <c r="K3312" s="232"/>
      <c r="L3312" s="233"/>
      <c r="M3312" s="117">
        <f t="shared" si="791"/>
        <v>0</v>
      </c>
    </row>
    <row r="3313" spans="2:13" ht="12.75" customHeight="1" x14ac:dyDescent="0.25">
      <c r="B3313" s="228"/>
      <c r="C3313" s="229"/>
      <c r="D3313" s="229"/>
      <c r="E3313" s="229"/>
      <c r="F3313" s="229"/>
      <c r="G3313" s="229"/>
      <c r="H3313" s="229"/>
      <c r="I3313" s="229"/>
      <c r="J3313" s="229"/>
      <c r="K3313" s="229"/>
      <c r="L3313" s="230"/>
      <c r="M3313" s="120">
        <f t="shared" si="791"/>
        <v>0</v>
      </c>
    </row>
    <row r="3314" spans="2:13" ht="12.75" customHeight="1" x14ac:dyDescent="0.25">
      <c r="B3314" s="93"/>
      <c r="C3314" s="232"/>
      <c r="D3314" s="232"/>
      <c r="E3314" s="232"/>
      <c r="F3314" s="232"/>
      <c r="G3314" s="232"/>
      <c r="H3314" s="232"/>
      <c r="I3314" s="232"/>
      <c r="J3314" s="232"/>
      <c r="K3314" s="232"/>
      <c r="L3314" s="233"/>
      <c r="M3314" s="117">
        <f t="shared" si="791"/>
        <v>0</v>
      </c>
    </row>
    <row r="3315" spans="2:13" ht="12.75" customHeight="1" x14ac:dyDescent="0.25">
      <c r="B3315" s="84" t="str">
        <f>IF('1. INTRO'!I$2="English","Total co-funding ","Total medfinansiering ")</f>
        <v xml:space="preserve">Total co-funding </v>
      </c>
      <c r="C3315" s="87">
        <f t="shared" ref="C3315:M3315" si="792">SUM(C3310:C3314)</f>
        <v>0</v>
      </c>
      <c r="D3315" s="87">
        <f t="shared" si="792"/>
        <v>0</v>
      </c>
      <c r="E3315" s="87">
        <f t="shared" si="792"/>
        <v>0</v>
      </c>
      <c r="F3315" s="87">
        <f t="shared" si="792"/>
        <v>0</v>
      </c>
      <c r="G3315" s="87">
        <f t="shared" si="792"/>
        <v>0</v>
      </c>
      <c r="H3315" s="87">
        <f t="shared" si="792"/>
        <v>0</v>
      </c>
      <c r="I3315" s="87">
        <f t="shared" si="792"/>
        <v>0</v>
      </c>
      <c r="J3315" s="87">
        <f t="shared" si="792"/>
        <v>0</v>
      </c>
      <c r="K3315" s="87">
        <f t="shared" si="792"/>
        <v>0</v>
      </c>
      <c r="L3315" s="87">
        <f t="shared" si="792"/>
        <v>0</v>
      </c>
      <c r="M3315" s="142">
        <f t="shared" si="792"/>
        <v>0</v>
      </c>
    </row>
    <row r="3316" spans="2:13" ht="12.75" customHeight="1" x14ac:dyDescent="0.2"/>
    <row r="3317" spans="2:13" ht="12.75" customHeight="1" x14ac:dyDescent="0.2">
      <c r="B3317" s="667" t="str">
        <f>IF('1. INTRO'!I$2="English","Calculation comments","Kalkylkommentarer")</f>
        <v>Calculation comments</v>
      </c>
      <c r="C3317" s="37" t="str">
        <f>B78</f>
        <v/>
      </c>
    </row>
    <row r="3318" spans="2:13" ht="12.75" customHeight="1" x14ac:dyDescent="0.2">
      <c r="B3318" s="1142"/>
      <c r="C3318" s="1143"/>
      <c r="D3318" s="1143"/>
      <c r="E3318" s="1143"/>
      <c r="F3318" s="1143"/>
      <c r="G3318" s="1143"/>
      <c r="H3318" s="1143"/>
      <c r="I3318" s="1143"/>
      <c r="J3318" s="1143"/>
      <c r="K3318" s="1143"/>
      <c r="L3318" s="1143"/>
      <c r="M3318" s="1144"/>
    </row>
    <row r="3319" spans="2:13" ht="12.75" customHeight="1" x14ac:dyDescent="0.2">
      <c r="B3319" s="1145"/>
      <c r="C3319" s="1226"/>
      <c r="D3319" s="1226"/>
      <c r="E3319" s="1226"/>
      <c r="F3319" s="1226"/>
      <c r="G3319" s="1226"/>
      <c r="H3319" s="1226"/>
      <c r="I3319" s="1226"/>
      <c r="J3319" s="1226"/>
      <c r="K3319" s="1226"/>
      <c r="L3319" s="1226"/>
      <c r="M3319" s="1147"/>
    </row>
    <row r="3320" spans="2:13" ht="12.75" customHeight="1" x14ac:dyDescent="0.2">
      <c r="B3320" s="1145"/>
      <c r="C3320" s="1226"/>
      <c r="D3320" s="1226"/>
      <c r="E3320" s="1226"/>
      <c r="F3320" s="1226"/>
      <c r="G3320" s="1226"/>
      <c r="H3320" s="1226"/>
      <c r="I3320" s="1226"/>
      <c r="J3320" s="1226"/>
      <c r="K3320" s="1226"/>
      <c r="L3320" s="1226"/>
      <c r="M3320" s="1147"/>
    </row>
    <row r="3321" spans="2:13" ht="12.75" customHeight="1" x14ac:dyDescent="0.2">
      <c r="B3321" s="1145"/>
      <c r="C3321" s="1226"/>
      <c r="D3321" s="1226"/>
      <c r="E3321" s="1226"/>
      <c r="F3321" s="1226"/>
      <c r="G3321" s="1226"/>
      <c r="H3321" s="1226"/>
      <c r="I3321" s="1226"/>
      <c r="J3321" s="1226"/>
      <c r="K3321" s="1226"/>
      <c r="L3321" s="1226"/>
      <c r="M3321" s="1147"/>
    </row>
    <row r="3322" spans="2:13" ht="12.75" customHeight="1" x14ac:dyDescent="0.2">
      <c r="B3322" s="1148"/>
      <c r="C3322" s="1149"/>
      <c r="D3322" s="1149"/>
      <c r="E3322" s="1149"/>
      <c r="F3322" s="1149"/>
      <c r="G3322" s="1149"/>
      <c r="H3322" s="1149"/>
      <c r="I3322" s="1149"/>
      <c r="J3322" s="1149"/>
      <c r="K3322" s="1149"/>
      <c r="L3322" s="1149"/>
      <c r="M3322" s="1150"/>
    </row>
    <row r="3324" spans="2:13" s="3" customFormat="1" ht="12.75" customHeight="1" x14ac:dyDescent="0.25">
      <c r="B3324" s="313" t="str">
        <f>'3. PARTNER'!C$4</f>
        <v xml:space="preserve">Project: </v>
      </c>
      <c r="C3324" s="1062" t="str">
        <f>'3. PARTNER'!D$4</f>
        <v/>
      </c>
      <c r="D3324" s="1001"/>
      <c r="E3324" s="1001"/>
      <c r="F3324" s="1001"/>
      <c r="G3324" s="1001"/>
      <c r="H3324" s="1001"/>
      <c r="I3324" s="1001"/>
      <c r="J3324" s="1001"/>
      <c r="K3324" s="1001"/>
      <c r="L3324" s="1001"/>
      <c r="M3324" s="1001"/>
    </row>
    <row r="3325" spans="2:13" s="3" customFormat="1" ht="13.2" x14ac:dyDescent="0.25">
      <c r="B3325" s="313" t="str">
        <f>'3. PARTNER'!C$5</f>
        <v xml:space="preserve">Calculation for: </v>
      </c>
      <c r="C3325" s="1062" t="str">
        <f>'3. PARTNER'!D$5</f>
        <v>APPLICATION</v>
      </c>
      <c r="D3325" s="1001"/>
      <c r="E3325" s="268"/>
      <c r="F3325" s="268"/>
      <c r="G3325" s="268"/>
      <c r="H3325" s="268"/>
      <c r="I3325" s="268"/>
      <c r="J3325" s="268"/>
      <c r="K3325" s="268"/>
      <c r="L3325" s="268"/>
      <c r="M3325" s="268"/>
    </row>
    <row r="3326" spans="2:13" s="3" customFormat="1" ht="13.2" x14ac:dyDescent="0.25">
      <c r="B3326" s="35" t="str">
        <f>'3. PARTNER'!C$6</f>
        <v xml:space="preserve">Project leader: </v>
      </c>
      <c r="C3326" s="1062" t="str">
        <f>'3. PARTNER'!D$6</f>
        <v/>
      </c>
      <c r="D3326" s="1001"/>
      <c r="E3326" s="1001"/>
      <c r="F3326" s="1001"/>
      <c r="G3326" s="1001"/>
      <c r="H3326" s="1001"/>
      <c r="I3326" s="1001"/>
      <c r="J3326" s="1001"/>
      <c r="K3326" s="1001"/>
      <c r="L3326" s="1001"/>
      <c r="M3326" s="1001"/>
    </row>
    <row r="3327" spans="2:13" s="3" customFormat="1" ht="13.2" x14ac:dyDescent="0.25">
      <c r="B3327" s="313" t="str">
        <f>'5. PERSON'!B$7</f>
        <v xml:space="preserve">Amounts in: </v>
      </c>
      <c r="C3327" s="655" t="str">
        <f>'5. PERSON'!C$7</f>
        <v>SEK</v>
      </c>
      <c r="D3327" s="268"/>
      <c r="E3327" s="268"/>
      <c r="F3327" s="268"/>
      <c r="G3327" s="234"/>
      <c r="H3327" s="234"/>
      <c r="I3327" s="270"/>
      <c r="J3327" s="270"/>
      <c r="K3327" s="270"/>
      <c r="L3327" s="270"/>
      <c r="M3327" s="270"/>
    </row>
    <row r="3328" spans="2:13" s="3" customFormat="1" ht="13.2" x14ac:dyDescent="0.25">
      <c r="B3328" s="313"/>
      <c r="C3328" s="1053" t="str">
        <f>'3. PARTNER'!D$7</f>
        <v>Other basic data about the project is in sheet 2.</v>
      </c>
      <c r="D3328" s="1001"/>
      <c r="E3328" s="1001"/>
      <c r="F3328" s="1001"/>
      <c r="G3328" s="234"/>
      <c r="H3328" s="234"/>
      <c r="I3328" s="270"/>
      <c r="J3328" s="270"/>
      <c r="K3328" s="270"/>
      <c r="L3328" s="251" t="s">
        <v>4</v>
      </c>
      <c r="M3328" s="270"/>
    </row>
    <row r="3329" spans="2:15" ht="12.75" customHeight="1" x14ac:dyDescent="0.2">
      <c r="L3329" s="252" t="str">
        <f>IF('1. INTRO'!I$2="English","months","månader")</f>
        <v>months</v>
      </c>
    </row>
    <row r="3330" spans="2:15" s="3" customFormat="1" ht="13.8" x14ac:dyDescent="0.25">
      <c r="B3330" s="157" t="str">
        <f>IF('1. INTRO'!I$2="English","Project costs","Projektkostnader")</f>
        <v>Project costs</v>
      </c>
      <c r="C3330" s="668" t="str">
        <f>A79</f>
        <v>EXT121</v>
      </c>
      <c r="D3330" s="1227" t="str">
        <f>B79</f>
        <v/>
      </c>
      <c r="E3330" s="1001"/>
      <c r="F3330" s="1001"/>
      <c r="G3330" s="1001"/>
      <c r="H3330" s="1001"/>
      <c r="I3330" s="37"/>
      <c r="J3330" s="37"/>
      <c r="K3330" s="37"/>
      <c r="L3330" s="642">
        <f>SUMIF('5. PERSON'!$B$17:$B$192,$C3330,'5. PERSON'!AE$17:AE$192)</f>
        <v>0</v>
      </c>
      <c r="M3330" s="680" t="s">
        <v>330</v>
      </c>
    </row>
    <row r="3331" spans="2:15" s="3" customFormat="1" ht="6" customHeight="1" x14ac:dyDescent="0.25">
      <c r="B3331" s="57"/>
      <c r="C3331" s="37"/>
      <c r="D3331" s="37"/>
      <c r="E3331" s="37"/>
      <c r="F3331" s="37"/>
      <c r="G3331" s="37"/>
      <c r="H3331" s="37"/>
      <c r="I3331" s="37"/>
      <c r="J3331" s="37"/>
      <c r="K3331" s="37"/>
      <c r="L3331" s="37"/>
      <c r="M3331" s="37"/>
    </row>
    <row r="3332" spans="2:15" s="3" customFormat="1" ht="13.2" x14ac:dyDescent="0.25">
      <c r="B3332" s="110" t="str">
        <f>IF('1. INTRO'!I$2="English","Costs to be covered by funding body","Kostnader att täckas av finansiär")</f>
        <v>Costs to be covered by funding body</v>
      </c>
      <c r="C3332" s="111">
        <f>'5. PERSON'!G$15</f>
        <v>1900</v>
      </c>
      <c r="D3332" s="111" t="str">
        <f>'5. PERSON'!H$15</f>
        <v/>
      </c>
      <c r="E3332" s="111" t="str">
        <f>'5. PERSON'!I$15</f>
        <v/>
      </c>
      <c r="F3332" s="111" t="str">
        <f>'5. PERSON'!J$15</f>
        <v/>
      </c>
      <c r="G3332" s="111" t="str">
        <f>'5. PERSON'!K$15</f>
        <v/>
      </c>
      <c r="H3332" s="111" t="str">
        <f>'5. PERSON'!L$15</f>
        <v/>
      </c>
      <c r="I3332" s="111" t="str">
        <f>'5. PERSON'!M$15</f>
        <v/>
      </c>
      <c r="J3332" s="111" t="str">
        <f>'5. PERSON'!N$15</f>
        <v/>
      </c>
      <c r="K3332" s="111" t="str">
        <f>'5. PERSON'!O$15</f>
        <v/>
      </c>
      <c r="L3332" s="111" t="str">
        <f>'5. PERSON'!P$15</f>
        <v/>
      </c>
      <c r="M3332" s="112" t="s">
        <v>2</v>
      </c>
    </row>
    <row r="3333" spans="2:15" s="3" customFormat="1" ht="12.75" customHeight="1" x14ac:dyDescent="0.25">
      <c r="B3333" s="113" t="str">
        <f>IF('1. INTRO'!I$2="English","Salary including social costs (LKP)","Lön inklusive LKP")</f>
        <v>Salary including social costs (LKP)</v>
      </c>
      <c r="C3333" s="114">
        <f>IF('2. START'!$C$14&gt;0,SUMIF('5. PERSON'!$B$17:$B$192,$C3330,'5. PERSON'!DN$17:DN$192),SUMIF('5. PERSON'!$B$17:$B$192,$C3330,'5. PERSON'!AT$17:AT$192))</f>
        <v>0</v>
      </c>
      <c r="D3333" s="114">
        <f>IF('2. START'!$C$14&gt;0,SUMIF('5. PERSON'!$B$17:$B$192,$C3330,'5. PERSON'!DO$17:DO$192),SUMIF('5. PERSON'!$B$17:$B$192,$C3330,'5. PERSON'!AU$17:AU$192))</f>
        <v>0</v>
      </c>
      <c r="E3333" s="114">
        <f>IF('2. START'!$C$14&gt;0,SUMIF('5. PERSON'!$B$17:$B$192,$C3330,'5. PERSON'!DP$17:DP$192),SUMIF('5. PERSON'!$B$17:$B$192,$C3330,'5. PERSON'!AV$17:AV$192))</f>
        <v>0</v>
      </c>
      <c r="F3333" s="114">
        <f>IF('2. START'!$C$14&gt;0,SUMIF('5. PERSON'!$B$17:$B$192,$C3330,'5. PERSON'!DQ$17:DQ$192),SUMIF('5. PERSON'!$B$17:$B$192,$C3330,'5. PERSON'!AW$17:AW$192))</f>
        <v>0</v>
      </c>
      <c r="G3333" s="114">
        <f>IF('2. START'!$C$14&gt;0,SUMIF('5. PERSON'!$B$17:$B$192,$C3330,'5. PERSON'!DR$17:DR$192),SUMIF('5. PERSON'!$B$17:$B$192,$C3330,'5. PERSON'!AX$17:AX$192))</f>
        <v>0</v>
      </c>
      <c r="H3333" s="114">
        <f>IF('2. START'!$C$14&gt;0,SUMIF('5. PERSON'!$B$17:$B$192,$C3330,'5. PERSON'!DS$17:DS$192),SUMIF('5. PERSON'!$B$17:$B$192,$C3330,'5. PERSON'!AY$17:AY$192))</f>
        <v>0</v>
      </c>
      <c r="I3333" s="114">
        <f>IF('2. START'!$C$14&gt;0,SUMIF('5. PERSON'!$B$17:$B$192,$C3330,'5. PERSON'!DT$17:DT$192),SUMIF('5. PERSON'!$B$17:$B$192,$C3330,'5. PERSON'!AZ$17:AZ$192))</f>
        <v>0</v>
      </c>
      <c r="J3333" s="114">
        <f>IF('2. START'!$C$14&gt;0,SUMIF('5. PERSON'!$B$17:$B$192,$C3330,'5. PERSON'!DU$17:DU$192),SUMIF('5. PERSON'!$B$17:$B$192,$C3330,'5. PERSON'!BA$17:BA$192))</f>
        <v>0</v>
      </c>
      <c r="K3333" s="114">
        <f>IF('2. START'!$C$14&gt;0,SUMIF('5. PERSON'!$B$17:$B$192,$C3330,'5. PERSON'!DV$17:DV$192),SUMIF('5. PERSON'!$B$17:$B$192,$C3330,'5. PERSON'!BB$17:BB$192))</f>
        <v>0</v>
      </c>
      <c r="L3333" s="114">
        <f>IF('2. START'!$C$14&gt;0,SUMIF('5. PERSON'!$B$17:$B$192,$C3330,'5. PERSON'!DW$17:DW$192),SUMIF('5. PERSON'!$B$17:$B$192,$C3330,'5. PERSON'!BC$17:BC$192))</f>
        <v>0</v>
      </c>
      <c r="M3333" s="115">
        <f t="shared" ref="M3333:M3338" si="793">SUM(C3333:L3333)</f>
        <v>0</v>
      </c>
      <c r="O3333" s="4"/>
    </row>
    <row r="3334" spans="2:15" s="3" customFormat="1" ht="12.75" customHeight="1" x14ac:dyDescent="0.25">
      <c r="B3334" s="80" t="str">
        <f>IF('1. INTRO'!I$2="English","Operating","Drift")</f>
        <v>Operating</v>
      </c>
      <c r="C3334" s="116">
        <f>SUMIF('6. OPERATION'!$B$17:$B$149,$C3330,'6. OPERATION'!W$17:W$149)</f>
        <v>0</v>
      </c>
      <c r="D3334" s="116">
        <f>SUMIF('6. OPERATION'!$B$17:$B$149,$C3330,'6. OPERATION'!X$17:X$149)</f>
        <v>0</v>
      </c>
      <c r="E3334" s="116">
        <f>SUMIF('6. OPERATION'!$B$17:$B$149,$C3330,'6. OPERATION'!Y$17:Y$149)</f>
        <v>0</v>
      </c>
      <c r="F3334" s="116">
        <f>SUMIF('6. OPERATION'!$B$17:$B$149,$C3330,'6. OPERATION'!Z$17:Z$149)</f>
        <v>0</v>
      </c>
      <c r="G3334" s="116">
        <f>SUMIF('6. OPERATION'!$B$17:$B$149,$C3330,'6. OPERATION'!AA$17:AA$149)</f>
        <v>0</v>
      </c>
      <c r="H3334" s="116">
        <f>SUMIF('6. OPERATION'!$B$17:$B$149,$C3330,'6. OPERATION'!AB$17:AB$149)</f>
        <v>0</v>
      </c>
      <c r="I3334" s="116">
        <f>SUMIF('6. OPERATION'!$B$17:$B$149,$C3330,'6. OPERATION'!AC$17:AC$149)</f>
        <v>0</v>
      </c>
      <c r="J3334" s="116">
        <f>SUMIF('6. OPERATION'!$B$17:$B$149,$C3330,'6. OPERATION'!AD$17:AD$149)</f>
        <v>0</v>
      </c>
      <c r="K3334" s="116">
        <f>SUMIF('6. OPERATION'!$B$17:$B$149,$C3330,'6. OPERATION'!AE$17:AE$149)</f>
        <v>0</v>
      </c>
      <c r="L3334" s="116">
        <f>SUMIF('6. OPERATION'!$B$17:$B$149,$C3330,'6. OPERATION'!AF$17:AF$149)</f>
        <v>0</v>
      </c>
      <c r="M3334" s="117">
        <f t="shared" si="793"/>
        <v>0</v>
      </c>
    </row>
    <row r="3335" spans="2:15" s="3" customFormat="1" ht="13.2" x14ac:dyDescent="0.25">
      <c r="B3335" s="118" t="str">
        <f>IF('1. INTRO'!I$2="English","Equipment","Utrustning")</f>
        <v>Equipment</v>
      </c>
      <c r="C3335" s="119">
        <f>SUMIF('7. INVEST'!$B$17:$B$49,$C3330,'7. INVEST'!W$17:W$49)</f>
        <v>0</v>
      </c>
      <c r="D3335" s="119">
        <f>SUMIF('7. INVEST'!$B$17:$B$49,$C3330,'7. INVEST'!X$17:X$49)</f>
        <v>0</v>
      </c>
      <c r="E3335" s="119">
        <f>SUMIF('7. INVEST'!$B$17:$B$49,$C3330,'7. INVEST'!Y$17:Y$49)</f>
        <v>0</v>
      </c>
      <c r="F3335" s="119">
        <f>SUMIF('7. INVEST'!$B$17:$B$49,$C3330,'7. INVEST'!Z$17:Z$49)</f>
        <v>0</v>
      </c>
      <c r="G3335" s="119">
        <f>SUMIF('7. INVEST'!$B$17:$B$49,$C3330,'7. INVEST'!AA$17:AA$49)</f>
        <v>0</v>
      </c>
      <c r="H3335" s="119">
        <f>SUMIF('7. INVEST'!$B$17:$B$49,$C3330,'7. INVEST'!AB$17:AB$49)</f>
        <v>0</v>
      </c>
      <c r="I3335" s="119">
        <f>SUMIF('7. INVEST'!$B$17:$B$49,$C3330,'7. INVEST'!AC$17:AC$49)</f>
        <v>0</v>
      </c>
      <c r="J3335" s="119">
        <f>SUMIF('7. INVEST'!$B$17:$B$49,$C3330,'7. INVEST'!AD$17:AD$49)</f>
        <v>0</v>
      </c>
      <c r="K3335" s="119">
        <f>SUMIF('7. INVEST'!$B$17:$B$49,$C3330,'7. INVEST'!AE$17:AE$49)</f>
        <v>0</v>
      </c>
      <c r="L3335" s="119">
        <f>SUMIF('7. INVEST'!$B$17:$B$49,$C3330,'7. INVEST'!AF$17:AF$49)</f>
        <v>0</v>
      </c>
      <c r="M3335" s="120">
        <f t="shared" si="793"/>
        <v>0</v>
      </c>
    </row>
    <row r="3336" spans="2:15" s="3" customFormat="1" ht="13.2" x14ac:dyDescent="0.25">
      <c r="B3336" s="121" t="str">
        <f>IF('1. INTRO'!I$2="English",(IF('2. START'!C$11="NO","Facility accepted as direct cost by funding body","Facility")),IF('2. START'!C$11="NO","Lokal accepterad som direkt kostnad av finansiär","Lokal"))</f>
        <v>Facility</v>
      </c>
      <c r="C3336" s="116">
        <f>IF('2. START'!$C$11="NO",SUMIF('8. FACILIT'!$B$18:$B$50,$C3330,'8. FACILIT'!T$18:T$50),SUMIF('5. PERSON'!$B$17:$B$192,$C3330,'5. PERSON'!CP$17:CP$192)+SUMIF('6. OPERATION'!$B$17:$B$149,$C3330,'6. OPERATION'!BS$17:BS$149)+SUMIF('8. FACILIT'!$B$18:$B$50,$C3330,'8. FACILIT'!T$18:T$50))</f>
        <v>0</v>
      </c>
      <c r="D3336" s="116">
        <f>IF('2. START'!$C$11="NO",SUMIF('8. FACILIT'!$B$18:$B$50,$C3330,'8. FACILIT'!U$18:U$50),SUMIF('5. PERSON'!$B$17:$B$192,$C3330,'5. PERSON'!CQ$17:CQ$192)+SUMIF('6. OPERATION'!$B$17:$B$149,$C3330,'6. OPERATION'!BT$17:BT$149)+SUMIF('8. FACILIT'!$B$18:$B$50,$C3330,'8. FACILIT'!U$18:U$50))</f>
        <v>0</v>
      </c>
      <c r="E3336" s="116">
        <f>IF('2. START'!$C$11="NO",SUMIF('8. FACILIT'!$B$18:$B$50,$C3330,'8. FACILIT'!V$18:V$50),SUMIF('5. PERSON'!$B$17:$B$192,$C3330,'5. PERSON'!CR$17:CR$192)+SUMIF('6. OPERATION'!$B$17:$B$149,$C3330,'6. OPERATION'!BU$17:BU$149)+SUMIF('8. FACILIT'!$B$18:$B$50,$C3330,'8. FACILIT'!V$18:V$50))</f>
        <v>0</v>
      </c>
      <c r="F3336" s="116">
        <f>IF('2. START'!$C$11="NO",SUMIF('8. FACILIT'!$B$18:$B$50,$C3330,'8. FACILIT'!W$18:W$50),SUMIF('5. PERSON'!$B$17:$B$192,$C3330,'5. PERSON'!CS$17:CS$192)+SUMIF('6. OPERATION'!$B$17:$B$149,$C3330,'6. OPERATION'!BV$17:BV$149)+SUMIF('8. FACILIT'!$B$18:$B$50,$C3330,'8. FACILIT'!W$18:W$50))</f>
        <v>0</v>
      </c>
      <c r="G3336" s="116">
        <f>IF('2. START'!$C$11="NO",SUMIF('8. FACILIT'!$B$18:$B$50,$C3330,'8. FACILIT'!X$18:X$50),SUMIF('5. PERSON'!$B$17:$B$192,$C3330,'5. PERSON'!CT$17:CT$192)+SUMIF('6. OPERATION'!$B$17:$B$149,$C3330,'6. OPERATION'!BW$17:BW$149)+SUMIF('8. FACILIT'!$B$18:$B$50,$C3330,'8. FACILIT'!X$18:X$50))</f>
        <v>0</v>
      </c>
      <c r="H3336" s="116">
        <f>IF('2. START'!$C$11="NO",SUMIF('8. FACILIT'!$B$18:$B$50,$C3330,'8. FACILIT'!Y$18:Y$50),SUMIF('5. PERSON'!$B$17:$B$192,$C3330,'5. PERSON'!CU$17:CU$192)+SUMIF('6. OPERATION'!$B$17:$B$149,$C3330,'6. OPERATION'!BX$17:BX$149)+SUMIF('8. FACILIT'!$B$18:$B$50,$C3330,'8. FACILIT'!Y$18:Y$50))</f>
        <v>0</v>
      </c>
      <c r="I3336" s="116">
        <f>IF('2. START'!$C$11="NO",SUMIF('8. FACILIT'!$B$18:$B$50,$C3330,'8. FACILIT'!Z$18:Z$50),SUMIF('5. PERSON'!$B$17:$B$192,$C3330,'5. PERSON'!CV$17:CV$192)+SUMIF('6. OPERATION'!$B$17:$B$149,$C3330,'6. OPERATION'!BY$17:BY$149)+SUMIF('8. FACILIT'!$B$18:$B$50,$C3330,'8. FACILIT'!Z$18:Z$50))</f>
        <v>0</v>
      </c>
      <c r="J3336" s="116">
        <f>IF('2. START'!$C$11="NO",SUMIF('8. FACILIT'!$B$18:$B$50,$C3330,'8. FACILIT'!AA$18:AA$50),SUMIF('5. PERSON'!$B$17:$B$192,$C3330,'5. PERSON'!CW$17:CW$192)+SUMIF('6. OPERATION'!$B$17:$B$149,$C3330,'6. OPERATION'!BZ$17:BZ$149)+SUMIF('8. FACILIT'!$B$18:$B$50,$C3330,'8. FACILIT'!AA$18:AA$50))</f>
        <v>0</v>
      </c>
      <c r="K3336" s="116">
        <f>IF('2. START'!$C$11="NO",SUMIF('8. FACILIT'!$B$18:$B$50,$C3330,'8. FACILIT'!AB$18:AB$50),SUMIF('5. PERSON'!$B$17:$B$192,$C3330,'5. PERSON'!CX$17:CX$192)+SUMIF('6. OPERATION'!$B$17:$B$149,$C3330,'6. OPERATION'!CA$17:CA$149)+SUMIF('8. FACILIT'!$B$18:$B$50,$C3330,'8. FACILIT'!AB$18:AB$50))</f>
        <v>0</v>
      </c>
      <c r="L3336" s="116">
        <f>IF('2. START'!$C$11="NO",SUMIF('8. FACILIT'!$B$18:$B$50,$C3330,'8. FACILIT'!AC$18:AC$50),SUMIF('5. PERSON'!$B$17:$B$192,$C3330,'5. PERSON'!CY$17:CY$192)+SUMIF('6. OPERATION'!$B$17:$B$149,$C3330,'6. OPERATION'!CB$17:CB$149)+SUMIF('8. FACILIT'!$B$18:$B$50,$C3330,'8. FACILIT'!AC$18:AC$50))</f>
        <v>0</v>
      </c>
      <c r="M3336" s="117">
        <f t="shared" si="793"/>
        <v>0</v>
      </c>
    </row>
    <row r="3337" spans="2:15" s="3" customFormat="1" ht="13.2" x14ac:dyDescent="0.25">
      <c r="B3337" s="122" t="str">
        <f>IF('1. INTRO'!I$2="English",(IF('2. START'!C$11="NO","Indirect and facility charge accepted as OH by funding body","Indirect")),IF('2. START'!C$11="NO","Indirekt och lokalpåslag accepterade som OH av finansiär","Indirekt"))</f>
        <v>Indirect</v>
      </c>
      <c r="C3337" s="107">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107">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107">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107">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107">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107">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107">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107">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107">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107">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120">
        <f t="shared" si="793"/>
        <v>0</v>
      </c>
    </row>
    <row r="3338" spans="2:15" s="3" customFormat="1" ht="13.2" x14ac:dyDescent="0.25">
      <c r="B3338" s="124" t="s">
        <v>113</v>
      </c>
      <c r="C3338" s="102">
        <f>SUM(C3333:C3337)</f>
        <v>0</v>
      </c>
      <c r="D3338" s="102">
        <f t="shared" ref="D3338:L3338" si="794">SUM(D3333:D3337)</f>
        <v>0</v>
      </c>
      <c r="E3338" s="102">
        <f t="shared" si="794"/>
        <v>0</v>
      </c>
      <c r="F3338" s="102">
        <f t="shared" si="794"/>
        <v>0</v>
      </c>
      <c r="G3338" s="102">
        <f t="shared" si="794"/>
        <v>0</v>
      </c>
      <c r="H3338" s="102">
        <f t="shared" si="794"/>
        <v>0</v>
      </c>
      <c r="I3338" s="102">
        <f t="shared" si="794"/>
        <v>0</v>
      </c>
      <c r="J3338" s="102">
        <f t="shared" si="794"/>
        <v>0</v>
      </c>
      <c r="K3338" s="102">
        <f t="shared" si="794"/>
        <v>0</v>
      </c>
      <c r="L3338" s="102">
        <f t="shared" si="794"/>
        <v>0</v>
      </c>
      <c r="M3338" s="125">
        <f t="shared" si="793"/>
        <v>0</v>
      </c>
    </row>
    <row r="3339" spans="2:15" s="3" customFormat="1" ht="6" customHeight="1" x14ac:dyDescent="0.25">
      <c r="B3339" s="126"/>
      <c r="C3339" s="127"/>
      <c r="D3339" s="127"/>
      <c r="E3339" s="127"/>
      <c r="F3339" s="127"/>
      <c r="G3339" s="127"/>
      <c r="H3339" s="127"/>
      <c r="I3339" s="127"/>
      <c r="J3339" s="127"/>
      <c r="K3339" s="127"/>
      <c r="L3339" s="127"/>
      <c r="M3339" s="128"/>
    </row>
    <row r="3340" spans="2:15" s="3" customFormat="1" ht="13.2" x14ac:dyDescent="0.25">
      <c r="B3340" s="129" t="str">
        <f>IF('1. INTRO'!I$2="English","Costs to be co-funded","Kostnader att medfinansiera")</f>
        <v>Costs to be co-funded</v>
      </c>
      <c r="C3340" s="86"/>
      <c r="D3340" s="86"/>
      <c r="E3340" s="86"/>
      <c r="F3340" s="86"/>
      <c r="G3340" s="86"/>
      <c r="H3340" s="86"/>
      <c r="I3340" s="86"/>
      <c r="J3340" s="86"/>
      <c r="K3340" s="86"/>
      <c r="L3340" s="86"/>
      <c r="M3340" s="130"/>
    </row>
    <row r="3341" spans="2:15" s="3" customFormat="1" ht="13.2" x14ac:dyDescent="0.25">
      <c r="B3341" s="159" t="str">
        <f>IF('1. INTRO'!I$2="English",(IF('2. START'!C$11="NO","Indirect and facility charge not accepted as OH by funding body","")),IF('2. START'!C$11="NO","Indirekt och lokalpåslag inte accepterade som OH av finansiär",""))</f>
        <v/>
      </c>
      <c r="C3341" s="131">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31">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31">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31">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31">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31">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31">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31">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31">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31">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115">
        <f t="shared" ref="M3341:M3347" si="795">SUM(C3341:L3341)</f>
        <v>0</v>
      </c>
    </row>
    <row r="3342" spans="2:15" s="3" customFormat="1" ht="12.75" customHeight="1" x14ac:dyDescent="0.25">
      <c r="B3342" s="132" t="str">
        <f>IF('1. INTRO'!I$2="English",(IF('2. START'!C$14&gt;0,"Social costs (LKP) not accepted by funding body","")),IF('2. START'!C$14&gt;0,"LKP som inte accepteras av finansiär",""))</f>
        <v/>
      </c>
      <c r="C3342" s="133">
        <f>IF('2. START'!$C$14&gt;0,SUMIF('5. PERSON'!$B$17:$B$192,$C3330,'5. PERSON'!AT$17:AT$192)-SUMIF('5. PERSON'!$B$17:$B$192,$C3330,'5. PERSON'!DN$17:DN$192),0)</f>
        <v>0</v>
      </c>
      <c r="D3342" s="133">
        <f>IF('2. START'!$C$14&gt;0,SUMIF('5. PERSON'!$B$17:$B$192,$C3330,'5. PERSON'!AU$17:AU$192)-SUMIF('5. PERSON'!$B$17:$B$192,$C3330,'5. PERSON'!DO$17:DO$192),0)</f>
        <v>0</v>
      </c>
      <c r="E3342" s="133">
        <f>IF('2. START'!$C$14&gt;0,SUMIF('5. PERSON'!$B$17:$B$192,$C3330,'5. PERSON'!AV$17:AV$192)-SUMIF('5. PERSON'!$B$17:$B$192,$C3330,'5. PERSON'!DP$17:DP$192),0)</f>
        <v>0</v>
      </c>
      <c r="F3342" s="133">
        <f>IF('2. START'!$C$14&gt;0,SUMIF('5. PERSON'!$B$17:$B$192,$C3330,'5. PERSON'!AW$17:AW$192)-SUMIF('5. PERSON'!$B$17:$B$192,$C3330,'5. PERSON'!DQ$17:DQ$192),0)</f>
        <v>0</v>
      </c>
      <c r="G3342" s="133">
        <f>IF('2. START'!$C$14&gt;0,SUMIF('5. PERSON'!$B$17:$B$192,$C3330,'5. PERSON'!AX$17:AX$192)-SUMIF('5. PERSON'!$B$17:$B$192,$C3330,'5. PERSON'!DR$17:DR$192),0)</f>
        <v>0</v>
      </c>
      <c r="H3342" s="133">
        <f>IF('2. START'!$C$14&gt;0,SUMIF('5. PERSON'!$B$17:$B$192,$C3330,'5. PERSON'!AY$17:AY$192)-SUMIF('5. PERSON'!$B$17:$B$192,$C3330,'5. PERSON'!DS$17:DS$192),0)</f>
        <v>0</v>
      </c>
      <c r="I3342" s="133">
        <f>IF('2. START'!$C$14&gt;0,SUMIF('5. PERSON'!$B$17:$B$192,$C3330,'5. PERSON'!AZ$17:AZ$192)-SUMIF('5. PERSON'!$B$17:$B$192,$C3330,'5. PERSON'!DT$17:DT$192),0)</f>
        <v>0</v>
      </c>
      <c r="J3342" s="133">
        <f>IF('2. START'!$C$14&gt;0,SUMIF('5. PERSON'!$B$17:$B$192,$C3330,'5. PERSON'!BA$17:BA$192)-SUMIF('5. PERSON'!$B$17:$B$192,$C3330,'5. PERSON'!DU$17:DU$192),0)</f>
        <v>0</v>
      </c>
      <c r="K3342" s="133">
        <f>IF('2. START'!$C$14&gt;0,SUMIF('5. PERSON'!$B$17:$B$192,$C3330,'5. PERSON'!BB$17:BB$192)-SUMIF('5. PERSON'!$B$17:$B$192,$C3330,'5. PERSON'!DV$17:DV$192),0)</f>
        <v>0</v>
      </c>
      <c r="L3342" s="133">
        <f>IF('2. START'!$C$14&gt;0,SUMIF('5. PERSON'!$B$17:$B$192,$C3330,'5. PERSON'!BC$17:BC$192)-SUMIF('5. PERSON'!$B$17:$B$192,$C3330,'5. PERSON'!DW$17:DW$192),0)</f>
        <v>0</v>
      </c>
      <c r="M3342" s="117">
        <f t="shared" si="795"/>
        <v>0</v>
      </c>
    </row>
    <row r="3343" spans="2:15" s="3" customFormat="1" ht="12.75" customHeight="1" x14ac:dyDescent="0.25">
      <c r="B3343" s="118" t="str">
        <f>IF('1. INTRO'!I$2="English",(IF('5. PERSON'!BP$193&gt;0,"Salary including social costs (LKP)","")),IF('5. PERSON'!BP$193&gt;0,"Lön inklusive LKP",""))</f>
        <v/>
      </c>
      <c r="C3343" s="134">
        <f>SUMIF('5. PERSON'!$B$17:$B$192,$C3330,'5. PERSON'!BF$17:BF$192)</f>
        <v>0</v>
      </c>
      <c r="D3343" s="134">
        <f>SUMIF('5. PERSON'!$B$17:$B$192,$C3330,'5. PERSON'!BG$17:BG$192)</f>
        <v>0</v>
      </c>
      <c r="E3343" s="134">
        <f>SUMIF('5. PERSON'!$B$17:$B$192,$C3330,'5. PERSON'!BH$17:BH$192)</f>
        <v>0</v>
      </c>
      <c r="F3343" s="134">
        <f>SUMIF('5. PERSON'!$B$17:$B$192,$C3330,'5. PERSON'!BI$17:BI$192)</f>
        <v>0</v>
      </c>
      <c r="G3343" s="134">
        <f>SUMIF('5. PERSON'!$B$17:$B$192,$C3330,'5. PERSON'!BJ$17:BJ$192)</f>
        <v>0</v>
      </c>
      <c r="H3343" s="134">
        <f>SUMIF('5. PERSON'!$B$17:$B$192,$C3330,'5. PERSON'!BK$17:BK$192)</f>
        <v>0</v>
      </c>
      <c r="I3343" s="134">
        <f>SUMIF('5. PERSON'!$B$17:$B$192,$C3330,'5. PERSON'!BL$17:BL$192)</f>
        <v>0</v>
      </c>
      <c r="J3343" s="134">
        <f>SUMIF('5. PERSON'!$B$17:$B$192,$C3330,'5. PERSON'!BM$17:BM$192)</f>
        <v>0</v>
      </c>
      <c r="K3343" s="134">
        <f>SUMIF('5. PERSON'!$B$17:$B$192,$C3330,'5. PERSON'!BN$17:BN$192)</f>
        <v>0</v>
      </c>
      <c r="L3343" s="134">
        <f>SUMIF('5. PERSON'!$B$17:$B$192,$C3330,'5. PERSON'!BO$17:BO$192)</f>
        <v>0</v>
      </c>
      <c r="M3343" s="120">
        <f t="shared" si="795"/>
        <v>0</v>
      </c>
    </row>
    <row r="3344" spans="2:15" s="3" customFormat="1" ht="13.2" x14ac:dyDescent="0.25">
      <c r="B3344" s="80" t="str">
        <f>IF('1. INTRO'!I$2="English",(IF('6. OPERATION'!AS$150&gt;0,"Operating","")),IF('6. OPERATION'!AS$150&gt;0,"Drift",""))</f>
        <v/>
      </c>
      <c r="C3344" s="135">
        <f>SUMIF('6. OPERATION'!$B$17:$B$149,$C3330,'6. OPERATION'!AI$17:AI$149)</f>
        <v>0</v>
      </c>
      <c r="D3344" s="135">
        <f>SUMIF('6. OPERATION'!$B$17:$B$149,$C3330,'6. OPERATION'!AJ$17:AJ$149)</f>
        <v>0</v>
      </c>
      <c r="E3344" s="135">
        <f>SUMIF('6. OPERATION'!$B$17:$B$149,$C3330,'6. OPERATION'!AK$17:AK$149)</f>
        <v>0</v>
      </c>
      <c r="F3344" s="135">
        <f>SUMIF('6. OPERATION'!$B$17:$B$149,$C3330,'6. OPERATION'!AL$17:AL$149)</f>
        <v>0</v>
      </c>
      <c r="G3344" s="135">
        <f>SUMIF('6. OPERATION'!$B$17:$B$149,$C3330,'6. OPERATION'!AM$17:AM$149)</f>
        <v>0</v>
      </c>
      <c r="H3344" s="135">
        <f>SUMIF('6. OPERATION'!$B$17:$B$149,$C3330,'6. OPERATION'!AN$17:AN$149)</f>
        <v>0</v>
      </c>
      <c r="I3344" s="135">
        <f>SUMIF('6. OPERATION'!$B$17:$B$149,$C3330,'6. OPERATION'!AO$17:AO$149)</f>
        <v>0</v>
      </c>
      <c r="J3344" s="135">
        <f>SUMIF('6. OPERATION'!$B$17:$B$149,$C3330,'6. OPERATION'!AP$17:AP$149)</f>
        <v>0</v>
      </c>
      <c r="K3344" s="135">
        <f>SUMIF('6. OPERATION'!$B$17:$B$149,$C3330,'6. OPERATION'!AQ$17:AQ$149)</f>
        <v>0</v>
      </c>
      <c r="L3344" s="135">
        <f>SUMIF('6. OPERATION'!$B$17:$B$149,$C3330,'6. OPERATION'!AR$17:AR$149)</f>
        <v>0</v>
      </c>
      <c r="M3344" s="117">
        <f t="shared" si="795"/>
        <v>0</v>
      </c>
    </row>
    <row r="3345" spans="2:15" s="3" customFormat="1" ht="13.2" x14ac:dyDescent="0.25">
      <c r="B3345" s="118" t="str">
        <f>IF('1. INTRO'!I$2="English",(IF('7. INVEST'!AS$50&gt;0,"Equipment","")),IF('7. INVEST'!AS$50&gt;0,"Utrustning",""))</f>
        <v/>
      </c>
      <c r="C3345" s="134">
        <f>SUMIF('7. INVEST'!$B$17:$B$49,$C3330,'7. INVEST'!AI$17:AI$49)</f>
        <v>0</v>
      </c>
      <c r="D3345" s="134">
        <f>SUMIF('7. INVEST'!$B$17:$B$49,$C3330,'7. INVEST'!AJ$17:AJ$49)</f>
        <v>0</v>
      </c>
      <c r="E3345" s="134">
        <f>SUMIF('7. INVEST'!$B$17:$B$49,$C3330,'7. INVEST'!AK$17:AK$49)</f>
        <v>0</v>
      </c>
      <c r="F3345" s="134">
        <f>SUMIF('7. INVEST'!$B$17:$B$49,$C3330,'7. INVEST'!AL$17:AL$49)</f>
        <v>0</v>
      </c>
      <c r="G3345" s="134">
        <f>SUMIF('7. INVEST'!$B$17:$B$49,$C3330,'7. INVEST'!AM$17:AM$49)</f>
        <v>0</v>
      </c>
      <c r="H3345" s="134">
        <f>SUMIF('7. INVEST'!$B$17:$B$49,$C3330,'7. INVEST'!AN$17:AN$49)</f>
        <v>0</v>
      </c>
      <c r="I3345" s="134">
        <f>SUMIF('7. INVEST'!$B$17:$B$49,$C3330,'7. INVEST'!AO$17:AO$49)</f>
        <v>0</v>
      </c>
      <c r="J3345" s="134">
        <f>SUMIF('7. INVEST'!$B$17:$B$49,$C3330,'7. INVEST'!AP$17:AP$49)</f>
        <v>0</v>
      </c>
      <c r="K3345" s="134">
        <f>SUMIF('7. INVEST'!$B$17:$B$49,$C3330,'7. INVEST'!AQ$17:AQ$49)</f>
        <v>0</v>
      </c>
      <c r="L3345" s="134">
        <f>SUMIF('7. INVEST'!$B$17:$B$49,$C3330,'7. INVEST'!AR$17:AR$49)</f>
        <v>0</v>
      </c>
      <c r="M3345" s="120">
        <f t="shared" si="795"/>
        <v>0</v>
      </c>
    </row>
    <row r="3346" spans="2:15" s="3" customFormat="1" ht="13.2" x14ac:dyDescent="0.25">
      <c r="B3346" s="121" t="str">
        <f>IF('1. INTRO'!I$2="English",(IF('8. FACILIT'!AP$51&gt;0,"Facility","")),IF('8. FACILIT'!AP$51&gt;0,"Lokal",""))</f>
        <v/>
      </c>
      <c r="C3346" s="135">
        <f>SUMIF('5. PERSON'!$B$17:$B$192,$C3330,'5. PERSON'!DB$17:DB$192)+SUMIF('6. OPERATION'!$B$17:$B$149,$C3330,'6. OPERATION'!CE$17:CE$149)+SUMIF('8. FACILIT'!$B$18:$B$50,$C3330,'8. FACILIT'!AF$18:AF$50)</f>
        <v>0</v>
      </c>
      <c r="D3346" s="135">
        <f>SUMIF('5. PERSON'!$B$17:$B$192,$C3330,'5. PERSON'!DC$17:DC$192)+SUMIF('6. OPERATION'!$B$17:$B$149,$C3330,'6. OPERATION'!CF$17:CF$149)+SUMIF('8. FACILIT'!$B$18:$B$50,$C3330,'8. FACILIT'!AG$18:AG$50)</f>
        <v>0</v>
      </c>
      <c r="E3346" s="135">
        <f>SUMIF('5. PERSON'!$B$17:$B$192,$C3330,'5. PERSON'!DD$17:DD$192)+SUMIF('6. OPERATION'!$B$17:$B$149,$C3330,'6. OPERATION'!CG$17:CG$149)+SUMIF('8. FACILIT'!$B$18:$B$50,$C3330,'8. FACILIT'!AH$18:AH$50)</f>
        <v>0</v>
      </c>
      <c r="F3346" s="135">
        <f>SUMIF('5. PERSON'!$B$17:$B$192,$C3330,'5. PERSON'!DE$17:DE$192)+SUMIF('6. OPERATION'!$B$17:$B$149,$C3330,'6. OPERATION'!CH$17:CH$149)+SUMIF('8. FACILIT'!$B$18:$B$50,$C3330,'8. FACILIT'!AI$18:AI$50)</f>
        <v>0</v>
      </c>
      <c r="G3346" s="135">
        <f>SUMIF('5. PERSON'!$B$17:$B$192,$C3330,'5. PERSON'!DF$17:DF$192)+SUMIF('6. OPERATION'!$B$17:$B$149,$C3330,'6. OPERATION'!CI$17:CI$149)+SUMIF('8. FACILIT'!$B$18:$B$50,$C3330,'8. FACILIT'!AJ$18:AJ$50)</f>
        <v>0</v>
      </c>
      <c r="H3346" s="135">
        <f>SUMIF('5. PERSON'!$B$17:$B$192,$C3330,'5. PERSON'!DG$17:DG$192)+SUMIF('6. OPERATION'!$B$17:$B$149,$C3330,'6. OPERATION'!CJ$17:CJ$149)+SUMIF('8. FACILIT'!$B$18:$B$50,$C3330,'8. FACILIT'!AK$18:AK$50)</f>
        <v>0</v>
      </c>
      <c r="I3346" s="135">
        <f>SUMIF('5. PERSON'!$B$17:$B$192,$C3330,'5. PERSON'!DH$17:DH$192)+SUMIF('6. OPERATION'!$B$17:$B$149,$C3330,'6. OPERATION'!CK$17:CK$149)+SUMIF('8. FACILIT'!$B$18:$B$50,$C3330,'8. FACILIT'!AL$18:AL$50)</f>
        <v>0</v>
      </c>
      <c r="J3346" s="135">
        <f>SUMIF('5. PERSON'!$B$17:$B$192,$C3330,'5. PERSON'!DI$17:DI$192)+SUMIF('6. OPERATION'!$B$17:$B$149,$C3330,'6. OPERATION'!CL$17:CL$149)+SUMIF('8. FACILIT'!$B$18:$B$50,$C3330,'8. FACILIT'!AM$18:AM$50)</f>
        <v>0</v>
      </c>
      <c r="K3346" s="135">
        <f>SUMIF('5. PERSON'!$B$17:$B$192,$C3330,'5. PERSON'!DJ$17:DJ$192)+SUMIF('6. OPERATION'!$B$17:$B$149,$C3330,'6. OPERATION'!CM$17:CM$149)+SUMIF('8. FACILIT'!$B$18:$B$50,$C3330,'8. FACILIT'!AN$18:AN$50)</f>
        <v>0</v>
      </c>
      <c r="L3346" s="135">
        <f>SUMIF('5. PERSON'!$B$17:$B$192,$C3330,'5. PERSON'!DK$17:DK$192)+SUMIF('6. OPERATION'!$B$17:$B$149,$C3330,'6. OPERATION'!CN$17:CN$149)+SUMIF('8. FACILIT'!$B$18:$B$50,$C3330,'8. FACILIT'!AO$18:AO$50)</f>
        <v>0</v>
      </c>
      <c r="M3346" s="117">
        <f t="shared" si="795"/>
        <v>0</v>
      </c>
    </row>
    <row r="3347" spans="2:15" s="1" customFormat="1" ht="13.2" x14ac:dyDescent="0.25">
      <c r="B3347" s="122" t="str">
        <f>IF('1. INTRO'!I$2="English",(IF(('5. PERSON'!CN$193+'6. OPERATION'!BQ$150)&gt;0,"Indirect","")),IF(('5. PERSON'!CN$193+'6. OPERATION'!BQ$150)&gt;0,"Indirekt",""))</f>
        <v/>
      </c>
      <c r="C3347" s="107">
        <f>SUMIF('5. PERSON'!$B$17:$B$192,$C3330,'5. PERSON'!CD$17:CD$192)+SUMIF('6. OPERATION'!$B$17:$B$149,$C3330,'6. OPERATION'!BG$17:BG$149)</f>
        <v>0</v>
      </c>
      <c r="D3347" s="107">
        <f>SUMIF('5. PERSON'!$B$17:$B$192,$C3330,'5. PERSON'!CE$17:CE$192)+SUMIF('6. OPERATION'!$B$17:$B$149,$C3330,'6. OPERATION'!BH$17:BH$149)</f>
        <v>0</v>
      </c>
      <c r="E3347" s="107">
        <f>SUMIF('5. PERSON'!$B$17:$B$192,$C3330,'5. PERSON'!CF$17:CF$192)+SUMIF('6. OPERATION'!$B$17:$B$149,$C3330,'6. OPERATION'!BI$17:BI$149)</f>
        <v>0</v>
      </c>
      <c r="F3347" s="107">
        <f>SUMIF('5. PERSON'!$B$17:$B$192,$C3330,'5. PERSON'!CG$17:CG$192)+SUMIF('6. OPERATION'!$B$17:$B$149,$C3330,'6. OPERATION'!BJ$17:BJ$149)</f>
        <v>0</v>
      </c>
      <c r="G3347" s="107">
        <f>SUMIF('5. PERSON'!$B$17:$B$192,$C3330,'5. PERSON'!CH$17:CH$192)+SUMIF('6. OPERATION'!$B$17:$B$149,$C3330,'6. OPERATION'!BK$17:BK$149)</f>
        <v>0</v>
      </c>
      <c r="H3347" s="107">
        <f>SUMIF('5. PERSON'!$B$17:$B$192,$C3330,'5. PERSON'!CI$17:CI$192)+SUMIF('6. OPERATION'!$B$17:$B$149,$C3330,'6. OPERATION'!BL$17:BL$149)</f>
        <v>0</v>
      </c>
      <c r="I3347" s="107">
        <f>SUMIF('5. PERSON'!$B$17:$B$192,$C3330,'5. PERSON'!CJ$17:CJ$192)+SUMIF('6. OPERATION'!$B$17:$B$149,$C3330,'6. OPERATION'!BM$17:BM$149)</f>
        <v>0</v>
      </c>
      <c r="J3347" s="107">
        <f>SUMIF('5. PERSON'!$B$17:$B$192,$C3330,'5. PERSON'!CK$17:CK$192)+SUMIF('6. OPERATION'!$B$17:$B$149,$C3330,'6. OPERATION'!BN$17:BN$149)</f>
        <v>0</v>
      </c>
      <c r="K3347" s="107">
        <f>SUMIF('5. PERSON'!$B$17:$B$192,$C3330,'5. PERSON'!CL$17:CL$192)+SUMIF('6. OPERATION'!$B$17:$B$149,$C3330,'6. OPERATION'!BO$17:BO$149)</f>
        <v>0</v>
      </c>
      <c r="L3347" s="107">
        <f>SUMIF('5. PERSON'!$B$17:$B$192,$C3330,'5. PERSON'!CM$17:CM$192)+SUMIF('6. OPERATION'!$B$17:$B$149,$C3330,'6. OPERATION'!BP$17:BP$149)</f>
        <v>0</v>
      </c>
      <c r="M3347" s="123">
        <f t="shared" si="795"/>
        <v>0</v>
      </c>
    </row>
    <row r="3348" spans="2:15" s="3" customFormat="1" ht="13.2" x14ac:dyDescent="0.25">
      <c r="B3348" s="124" t="s">
        <v>113</v>
      </c>
      <c r="C3348" s="102">
        <f>SUM(C3341:C3347)</f>
        <v>0</v>
      </c>
      <c r="D3348" s="102">
        <f t="shared" ref="D3348:L3348" si="796">SUM(D3341:D3347)</f>
        <v>0</v>
      </c>
      <c r="E3348" s="102">
        <f t="shared" si="796"/>
        <v>0</v>
      </c>
      <c r="F3348" s="102">
        <f t="shared" si="796"/>
        <v>0</v>
      </c>
      <c r="G3348" s="102">
        <f t="shared" si="796"/>
        <v>0</v>
      </c>
      <c r="H3348" s="102">
        <f t="shared" si="796"/>
        <v>0</v>
      </c>
      <c r="I3348" s="102">
        <f t="shared" si="796"/>
        <v>0</v>
      </c>
      <c r="J3348" s="102">
        <f t="shared" si="796"/>
        <v>0</v>
      </c>
      <c r="K3348" s="102">
        <f t="shared" si="796"/>
        <v>0</v>
      </c>
      <c r="L3348" s="102">
        <f t="shared" si="796"/>
        <v>0</v>
      </c>
      <c r="M3348" s="125">
        <f t="shared" ref="M3348" si="797">SUM(M3341:M3347)</f>
        <v>0</v>
      </c>
      <c r="N3348" s="23"/>
      <c r="O3348" s="23"/>
    </row>
    <row r="3349" spans="2:15" s="3" customFormat="1" ht="6" customHeight="1" x14ac:dyDescent="0.25">
      <c r="B3349" s="136"/>
      <c r="C3349" s="127"/>
      <c r="D3349" s="127"/>
      <c r="E3349" s="127"/>
      <c r="F3349" s="127"/>
      <c r="G3349" s="127"/>
      <c r="H3349" s="127"/>
      <c r="I3349" s="127"/>
      <c r="J3349" s="127"/>
      <c r="K3349" s="127"/>
      <c r="L3349" s="127"/>
      <c r="M3349" s="137"/>
    </row>
    <row r="3350" spans="2:15" s="3" customFormat="1" ht="13.2" x14ac:dyDescent="0.25">
      <c r="B3350" s="129" t="str">
        <f>IF('1. INTRO'!I$2="English","Full cost","Full kostnad")</f>
        <v>Full cost</v>
      </c>
      <c r="C3350" s="127"/>
      <c r="D3350" s="127"/>
      <c r="E3350" s="127"/>
      <c r="F3350" s="127"/>
      <c r="G3350" s="127"/>
      <c r="H3350" s="127"/>
      <c r="I3350" s="127"/>
      <c r="J3350" s="127"/>
      <c r="K3350" s="127"/>
      <c r="L3350" s="127"/>
      <c r="M3350" s="137"/>
    </row>
    <row r="3351" spans="2:15" s="3" customFormat="1" ht="13.2" x14ac:dyDescent="0.25">
      <c r="B3351" s="113" t="str">
        <f>IF('1. INTRO'!I$2="English","Salary including social costs (LKP)","Lön inklusive LKP")</f>
        <v>Salary including social costs (LKP)</v>
      </c>
      <c r="C3351" s="138">
        <f>C3333+C3342+C3343</f>
        <v>0</v>
      </c>
      <c r="D3351" s="138">
        <f t="shared" ref="D3351:L3351" si="798">D3333+D3342+D3343</f>
        <v>0</v>
      </c>
      <c r="E3351" s="138">
        <f t="shared" si="798"/>
        <v>0</v>
      </c>
      <c r="F3351" s="138">
        <f t="shared" si="798"/>
        <v>0</v>
      </c>
      <c r="G3351" s="138">
        <f t="shared" si="798"/>
        <v>0</v>
      </c>
      <c r="H3351" s="138">
        <f t="shared" si="798"/>
        <v>0</v>
      </c>
      <c r="I3351" s="138">
        <f t="shared" si="798"/>
        <v>0</v>
      </c>
      <c r="J3351" s="138">
        <f t="shared" si="798"/>
        <v>0</v>
      </c>
      <c r="K3351" s="138">
        <f t="shared" si="798"/>
        <v>0</v>
      </c>
      <c r="L3351" s="138">
        <f t="shared" si="798"/>
        <v>0</v>
      </c>
      <c r="M3351" s="115">
        <f>SUM(C3351:L3351)</f>
        <v>0</v>
      </c>
    </row>
    <row r="3352" spans="2:15" s="3" customFormat="1" ht="13.2" x14ac:dyDescent="0.25">
      <c r="B3352" s="80" t="str">
        <f>IF('1. INTRO'!I$2="English","Operating","Drift")</f>
        <v>Operating</v>
      </c>
      <c r="C3352" s="139">
        <f>C3334+C3344</f>
        <v>0</v>
      </c>
      <c r="D3352" s="139">
        <f t="shared" ref="D3352:L3352" si="799">D3334+D3344</f>
        <v>0</v>
      </c>
      <c r="E3352" s="139">
        <f t="shared" si="799"/>
        <v>0</v>
      </c>
      <c r="F3352" s="139">
        <f t="shared" si="799"/>
        <v>0</v>
      </c>
      <c r="G3352" s="139">
        <f t="shared" si="799"/>
        <v>0</v>
      </c>
      <c r="H3352" s="139">
        <f t="shared" si="799"/>
        <v>0</v>
      </c>
      <c r="I3352" s="139">
        <f t="shared" si="799"/>
        <v>0</v>
      </c>
      <c r="J3352" s="139">
        <f t="shared" si="799"/>
        <v>0</v>
      </c>
      <c r="K3352" s="139">
        <f t="shared" si="799"/>
        <v>0</v>
      </c>
      <c r="L3352" s="139">
        <f t="shared" si="799"/>
        <v>0</v>
      </c>
      <c r="M3352" s="117">
        <f>SUM(C3352:L3352)</f>
        <v>0</v>
      </c>
    </row>
    <row r="3353" spans="2:15" s="3" customFormat="1" ht="13.2" x14ac:dyDescent="0.25">
      <c r="B3353" s="118" t="str">
        <f>IF('1. INTRO'!I$2="English","Equipment","Utrustning")</f>
        <v>Equipment</v>
      </c>
      <c r="C3353" s="140">
        <f>C3335+C3345</f>
        <v>0</v>
      </c>
      <c r="D3353" s="140">
        <f t="shared" ref="D3353:L3353" si="800">D3335+D3345</f>
        <v>0</v>
      </c>
      <c r="E3353" s="140">
        <f t="shared" si="800"/>
        <v>0</v>
      </c>
      <c r="F3353" s="140">
        <f t="shared" si="800"/>
        <v>0</v>
      </c>
      <c r="G3353" s="140">
        <f t="shared" si="800"/>
        <v>0</v>
      </c>
      <c r="H3353" s="140">
        <f t="shared" si="800"/>
        <v>0</v>
      </c>
      <c r="I3353" s="140">
        <f t="shared" si="800"/>
        <v>0</v>
      </c>
      <c r="J3353" s="140">
        <f t="shared" si="800"/>
        <v>0</v>
      </c>
      <c r="K3353" s="140">
        <f t="shared" si="800"/>
        <v>0</v>
      </c>
      <c r="L3353" s="140">
        <f t="shared" si="800"/>
        <v>0</v>
      </c>
      <c r="M3353" s="120">
        <f>SUM(C3353:L3353)</f>
        <v>0</v>
      </c>
    </row>
    <row r="3354" spans="2:15" s="3" customFormat="1" ht="13.2" x14ac:dyDescent="0.25">
      <c r="B3354" s="80" t="str">
        <f>IF('1. INTRO'!I$2="English","Facility","Lokal")</f>
        <v>Facility</v>
      </c>
      <c r="C3354" s="139">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39">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39">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39">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39">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39">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39">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39">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39">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39">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117">
        <f>SUM(C3354:L3354)</f>
        <v>0</v>
      </c>
    </row>
    <row r="3355" spans="2:15" s="3" customFormat="1" ht="13.2" x14ac:dyDescent="0.25">
      <c r="B3355" s="601" t="str">
        <f>IF('1. INTRO'!I$2="English","Indirect","Indirekt")</f>
        <v>Indirect</v>
      </c>
      <c r="C3355" s="141">
        <f>SUMIF('5. PERSON'!$B$17:$B$192,$C3330,'5. PERSON'!BR$17:BR$192)+SUMIF('5. PERSON'!$B$17:$B$192,$C3330,'5. PERSON'!CD$17:CD$192)+SUMIF('6. OPERATION'!$B$17:$B$149,$C3330,'6. OPERATION'!AU$17:AU$149)+SUMIF('6. OPERATION'!$B$17:$B$149,$C3330,'6. OPERATION'!BG$17:BG$149)</f>
        <v>0</v>
      </c>
      <c r="D3355" s="141">
        <f>SUMIF('5. PERSON'!$B$17:$B$192,$C3330,'5. PERSON'!BS$17:BS$192)+SUMIF('5. PERSON'!$B$17:$B$192,$C3330,'5. PERSON'!CE$17:CE$192)+SUMIF('6. OPERATION'!$B$17:$B$149,$C3330,'6. OPERATION'!AV$17:AV$149)+SUMIF('6. OPERATION'!$B$17:$B$149,$C3330,'6. OPERATION'!BH$17:BH$149)</f>
        <v>0</v>
      </c>
      <c r="E3355" s="141">
        <f>SUMIF('5. PERSON'!$B$17:$B$192,$C3330,'5. PERSON'!BT$17:BT$192)+SUMIF('5. PERSON'!$B$17:$B$192,$C3330,'5. PERSON'!CF$17:CF$192)+SUMIF('6. OPERATION'!$B$17:$B$149,$C3330,'6. OPERATION'!AW$17:AW$149)+SUMIF('6. OPERATION'!$B$17:$B$149,$C3330,'6. OPERATION'!BI$17:BI$149)</f>
        <v>0</v>
      </c>
      <c r="F3355" s="141">
        <f>SUMIF('5. PERSON'!$B$17:$B$192,$C3330,'5. PERSON'!BU$17:BU$192)+SUMIF('5. PERSON'!$B$17:$B$192,$C3330,'5. PERSON'!CG$17:CG$192)+SUMIF('6. OPERATION'!$B$17:$B$149,$C3330,'6. OPERATION'!AX$17:AX$149)+SUMIF('6. OPERATION'!$B$17:$B$149,$C3330,'6. OPERATION'!BJ$17:BJ$149)</f>
        <v>0</v>
      </c>
      <c r="G3355" s="141">
        <f>SUMIF('5. PERSON'!$B$17:$B$192,$C3330,'5. PERSON'!BV$17:BV$192)+SUMIF('5. PERSON'!$B$17:$B$192,$C3330,'5. PERSON'!CH$17:CH$192)+SUMIF('6. OPERATION'!$B$17:$B$149,$C3330,'6. OPERATION'!AY$17:AY$149)+SUMIF('6. OPERATION'!$B$17:$B$149,$C3330,'6. OPERATION'!BK$17:BK$149)</f>
        <v>0</v>
      </c>
      <c r="H3355" s="141">
        <f>SUMIF('5. PERSON'!$B$17:$B$192,$C3330,'5. PERSON'!BW$17:BW$192)+SUMIF('5. PERSON'!$B$17:$B$192,$C3330,'5. PERSON'!CI$17:CI$192)+SUMIF('6. OPERATION'!$B$17:$B$149,$C3330,'6. OPERATION'!AZ$17:AZ$149)+SUMIF('6. OPERATION'!$B$17:$B$149,$C3330,'6. OPERATION'!BL$17:BL$149)</f>
        <v>0</v>
      </c>
      <c r="I3355" s="141">
        <f>SUMIF('5. PERSON'!$B$17:$B$192,$C3330,'5. PERSON'!BX$17:BX$192)+SUMIF('5. PERSON'!$B$17:$B$192,$C3330,'5. PERSON'!CJ$17:CJ$192)+SUMIF('6. OPERATION'!$B$17:$B$149,$C3330,'6. OPERATION'!BA$17:BA$149)+SUMIF('6. OPERATION'!$B$17:$B$149,$C3330,'6. OPERATION'!BM$17:BM$149)</f>
        <v>0</v>
      </c>
      <c r="J3355" s="141">
        <f>SUMIF('5. PERSON'!$B$17:$B$192,$C3330,'5. PERSON'!BY$17:BY$192)+SUMIF('5. PERSON'!$B$17:$B$192,$C3330,'5. PERSON'!CK$17:CK$192)+SUMIF('6. OPERATION'!$B$17:$B$149,$C3330,'6. OPERATION'!BB$17:BB$149)+SUMIF('6. OPERATION'!$B$17:$B$149,$C3330,'6. OPERATION'!BN$17:BN$149)</f>
        <v>0</v>
      </c>
      <c r="K3355" s="141">
        <f>SUMIF('5. PERSON'!$B$17:$B$192,$C3330,'5. PERSON'!BZ$17:BZ$192)+SUMIF('5. PERSON'!$B$17:$B$192,$C3330,'5. PERSON'!CL$17:CL$192)+SUMIF('6. OPERATION'!$B$17:$B$149,$C3330,'6. OPERATION'!BC$17:BC$149)+SUMIF('6. OPERATION'!$B$17:$B$149,$C3330,'6. OPERATION'!BO$17:BO$149)</f>
        <v>0</v>
      </c>
      <c r="L3355" s="141">
        <f>SUMIF('5. PERSON'!$B$17:$B$192,$C3330,'5. PERSON'!CA$17:CA$192)+SUMIF('5. PERSON'!$B$17:$B$192,$C3330,'5. PERSON'!CM$17:CM$192)+SUMIF('6. OPERATION'!$B$17:$B$149,$C3330,'6. OPERATION'!BD$17:BD$149)+SUMIF('6. OPERATION'!$B$17:$B$149,$C3330,'6. OPERATION'!BP$17:BP$149)</f>
        <v>0</v>
      </c>
      <c r="M3355" s="123">
        <f>SUM(C3355:L3355)</f>
        <v>0</v>
      </c>
    </row>
    <row r="3356" spans="2:15" s="3" customFormat="1" ht="13.2" x14ac:dyDescent="0.25">
      <c r="B3356" s="124" t="s">
        <v>113</v>
      </c>
      <c r="C3356" s="88">
        <f>SUM(C3351:C3355)</f>
        <v>0</v>
      </c>
      <c r="D3356" s="88">
        <f t="shared" ref="D3356:M3356" si="801">SUM(D3351:D3355)</f>
        <v>0</v>
      </c>
      <c r="E3356" s="88">
        <f t="shared" si="801"/>
        <v>0</v>
      </c>
      <c r="F3356" s="88">
        <f t="shared" si="801"/>
        <v>0</v>
      </c>
      <c r="G3356" s="88">
        <f t="shared" si="801"/>
        <v>0</v>
      </c>
      <c r="H3356" s="88">
        <f t="shared" si="801"/>
        <v>0</v>
      </c>
      <c r="I3356" s="88">
        <f t="shared" si="801"/>
        <v>0</v>
      </c>
      <c r="J3356" s="88">
        <f t="shared" si="801"/>
        <v>0</v>
      </c>
      <c r="K3356" s="88">
        <f t="shared" si="801"/>
        <v>0</v>
      </c>
      <c r="L3356" s="88">
        <f t="shared" si="801"/>
        <v>0</v>
      </c>
      <c r="M3356" s="142">
        <f t="shared" si="801"/>
        <v>0</v>
      </c>
    </row>
    <row r="3357" spans="2:15" s="3" customFormat="1" ht="13.2" x14ac:dyDescent="0.25">
      <c r="B3357" s="287"/>
      <c r="C3357" s="37"/>
      <c r="D3357" s="37"/>
      <c r="E3357" s="37"/>
      <c r="F3357" s="37"/>
      <c r="G3357" s="37"/>
      <c r="H3357" s="37"/>
      <c r="I3357" s="37"/>
      <c r="J3357" s="37"/>
      <c r="K3357" s="37"/>
      <c r="L3357" s="37"/>
      <c r="M3357" s="37"/>
    </row>
    <row r="3358" spans="2:15" s="3" customFormat="1" ht="12.75" customHeight="1" x14ac:dyDescent="0.25">
      <c r="B3358" s="656" t="str">
        <f>IF('1. INTRO'!I$2="English","Co-funding share in full cost ","Medfinansieringsandel i full kostnad ")</f>
        <v xml:space="preserve">Co-funding share in full cost </v>
      </c>
      <c r="C3358" s="143" t="str">
        <f t="shared" ref="C3358:M3358" si="802">IF(C3356&gt;0,C3348/C3356,"")</f>
        <v/>
      </c>
      <c r="D3358" s="143" t="str">
        <f t="shared" si="802"/>
        <v/>
      </c>
      <c r="E3358" s="143" t="str">
        <f t="shared" si="802"/>
        <v/>
      </c>
      <c r="F3358" s="143" t="str">
        <f t="shared" si="802"/>
        <v/>
      </c>
      <c r="G3358" s="143" t="str">
        <f t="shared" si="802"/>
        <v/>
      </c>
      <c r="H3358" s="143" t="str">
        <f t="shared" si="802"/>
        <v/>
      </c>
      <c r="I3358" s="143" t="str">
        <f t="shared" si="802"/>
        <v/>
      </c>
      <c r="J3358" s="143" t="str">
        <f t="shared" si="802"/>
        <v/>
      </c>
      <c r="K3358" s="143" t="str">
        <f t="shared" si="802"/>
        <v/>
      </c>
      <c r="L3358" s="143" t="str">
        <f t="shared" si="802"/>
        <v/>
      </c>
      <c r="M3358" s="143" t="str">
        <f t="shared" si="802"/>
        <v/>
      </c>
    </row>
    <row r="3359" spans="2:15" ht="12.75" customHeight="1" x14ac:dyDescent="0.2"/>
    <row r="3360" spans="2:15" ht="12.75" customHeight="1" x14ac:dyDescent="0.25">
      <c r="D3360" s="676" t="str">
        <f>IF('1. INTRO'!I$2="English","Co-funding need in average per year: ","Medfinansieringsbehov i genomsnitt per år: ")</f>
        <v xml:space="preserve">Co-funding need in average per year: </v>
      </c>
      <c r="E3360" s="92" t="str">
        <f>IF(M3348=0,"",M3348/(DATEDIF('2. START'!C$18,'2. START'!C$19,"d")/365))</f>
        <v/>
      </c>
      <c r="H3360" s="676" t="str">
        <f>IF('1. INTRO'!I$2="English","Co-funding need 1/3 of total: ","Medfinansieringsbehov 1/3 av totalt: ")</f>
        <v xml:space="preserve">Co-funding need 1/3 of total: </v>
      </c>
      <c r="I3360" s="92">
        <f>M3348/3</f>
        <v>0</v>
      </c>
      <c r="L3360" s="287" t="str">
        <f>IF('1. INTRO'!I$2="English","Co-funding need total: ","Medfinansieringsbehov totalt: ")</f>
        <v xml:space="preserve">Co-funding need total: </v>
      </c>
      <c r="M3360" s="92">
        <f>M3348</f>
        <v>0</v>
      </c>
    </row>
    <row r="3361" spans="2:13" ht="12.75" customHeight="1" x14ac:dyDescent="0.25">
      <c r="B3361" s="53" t="str">
        <f>IF('1. INTRO'!I$2="English","Co-funding sources","Medfinansieringskällor")</f>
        <v>Co-funding sources</v>
      </c>
    </row>
    <row r="3362" spans="2:13" ht="12.75" customHeight="1" x14ac:dyDescent="0.25">
      <c r="B3362" s="225"/>
      <c r="C3362" s="226"/>
      <c r="D3362" s="226"/>
      <c r="E3362" s="226"/>
      <c r="F3362" s="226"/>
      <c r="G3362" s="226"/>
      <c r="H3362" s="226"/>
      <c r="I3362" s="226"/>
      <c r="J3362" s="226"/>
      <c r="K3362" s="226"/>
      <c r="L3362" s="227"/>
      <c r="M3362" s="168">
        <f>SUM(C3362:L3362)</f>
        <v>0</v>
      </c>
    </row>
    <row r="3363" spans="2:13" ht="12.75" customHeight="1" x14ac:dyDescent="0.25">
      <c r="B3363" s="228"/>
      <c r="C3363" s="229"/>
      <c r="D3363" s="229"/>
      <c r="E3363" s="229"/>
      <c r="F3363" s="229"/>
      <c r="G3363" s="229"/>
      <c r="H3363" s="229"/>
      <c r="I3363" s="229"/>
      <c r="J3363" s="229"/>
      <c r="K3363" s="229"/>
      <c r="L3363" s="230"/>
      <c r="M3363" s="120">
        <f t="shared" ref="M3363:M3366" si="803">SUM(C3363:L3363)</f>
        <v>0</v>
      </c>
    </row>
    <row r="3364" spans="2:13" ht="12.75" customHeight="1" x14ac:dyDescent="0.25">
      <c r="B3364" s="231"/>
      <c r="C3364" s="232"/>
      <c r="D3364" s="232"/>
      <c r="E3364" s="232"/>
      <c r="F3364" s="232"/>
      <c r="G3364" s="232"/>
      <c r="H3364" s="232"/>
      <c r="I3364" s="232"/>
      <c r="J3364" s="232"/>
      <c r="K3364" s="232"/>
      <c r="L3364" s="233"/>
      <c r="M3364" s="117">
        <f t="shared" si="803"/>
        <v>0</v>
      </c>
    </row>
    <row r="3365" spans="2:13" ht="12.75" customHeight="1" x14ac:dyDescent="0.25">
      <c r="B3365" s="228"/>
      <c r="C3365" s="229"/>
      <c r="D3365" s="229"/>
      <c r="E3365" s="229"/>
      <c r="F3365" s="229"/>
      <c r="G3365" s="229"/>
      <c r="H3365" s="229"/>
      <c r="I3365" s="229"/>
      <c r="J3365" s="229"/>
      <c r="K3365" s="229"/>
      <c r="L3365" s="230"/>
      <c r="M3365" s="120">
        <f t="shared" si="803"/>
        <v>0</v>
      </c>
    </row>
    <row r="3366" spans="2:13" ht="12.75" customHeight="1" x14ac:dyDescent="0.25">
      <c r="B3366" s="93"/>
      <c r="C3366" s="232"/>
      <c r="D3366" s="232"/>
      <c r="E3366" s="232"/>
      <c r="F3366" s="232"/>
      <c r="G3366" s="232"/>
      <c r="H3366" s="232"/>
      <c r="I3366" s="232"/>
      <c r="J3366" s="232"/>
      <c r="K3366" s="232"/>
      <c r="L3366" s="233"/>
      <c r="M3366" s="117">
        <f t="shared" si="803"/>
        <v>0</v>
      </c>
    </row>
    <row r="3367" spans="2:13" ht="12.75" customHeight="1" x14ac:dyDescent="0.25">
      <c r="B3367" s="84" t="str">
        <f>IF('1. INTRO'!I$2="English","Total co-funding ","Total medfinansiering ")</f>
        <v xml:space="preserve">Total co-funding </v>
      </c>
      <c r="C3367" s="87">
        <f t="shared" ref="C3367:M3367" si="804">SUM(C3362:C3366)</f>
        <v>0</v>
      </c>
      <c r="D3367" s="87">
        <f t="shared" si="804"/>
        <v>0</v>
      </c>
      <c r="E3367" s="87">
        <f t="shared" si="804"/>
        <v>0</v>
      </c>
      <c r="F3367" s="87">
        <f t="shared" si="804"/>
        <v>0</v>
      </c>
      <c r="G3367" s="87">
        <f t="shared" si="804"/>
        <v>0</v>
      </c>
      <c r="H3367" s="87">
        <f t="shared" si="804"/>
        <v>0</v>
      </c>
      <c r="I3367" s="87">
        <f t="shared" si="804"/>
        <v>0</v>
      </c>
      <c r="J3367" s="87">
        <f t="shared" si="804"/>
        <v>0</v>
      </c>
      <c r="K3367" s="87">
        <f t="shared" si="804"/>
        <v>0</v>
      </c>
      <c r="L3367" s="87">
        <f t="shared" si="804"/>
        <v>0</v>
      </c>
      <c r="M3367" s="142">
        <f t="shared" si="804"/>
        <v>0</v>
      </c>
    </row>
    <row r="3368" spans="2:13" ht="12.75" customHeight="1" x14ac:dyDescent="0.2"/>
    <row r="3369" spans="2:13" ht="12.75" customHeight="1" x14ac:dyDescent="0.2">
      <c r="B3369" s="667" t="str">
        <f>IF('1. INTRO'!I$2="English","Calculation comments","Kalkylkommentarer")</f>
        <v>Calculation comments</v>
      </c>
      <c r="C3369" s="37" t="str">
        <f>B79</f>
        <v/>
      </c>
    </row>
    <row r="3370" spans="2:13" ht="12.75" customHeight="1" x14ac:dyDescent="0.2">
      <c r="B3370" s="1142"/>
      <c r="C3370" s="1143"/>
      <c r="D3370" s="1143"/>
      <c r="E3370" s="1143"/>
      <c r="F3370" s="1143"/>
      <c r="G3370" s="1143"/>
      <c r="H3370" s="1143"/>
      <c r="I3370" s="1143"/>
      <c r="J3370" s="1143"/>
      <c r="K3370" s="1143"/>
      <c r="L3370" s="1143"/>
      <c r="M3370" s="1144"/>
    </row>
    <row r="3371" spans="2:13" ht="12.75" customHeight="1" x14ac:dyDescent="0.2">
      <c r="B3371" s="1145"/>
      <c r="C3371" s="1226"/>
      <c r="D3371" s="1226"/>
      <c r="E3371" s="1226"/>
      <c r="F3371" s="1226"/>
      <c r="G3371" s="1226"/>
      <c r="H3371" s="1226"/>
      <c r="I3371" s="1226"/>
      <c r="J3371" s="1226"/>
      <c r="K3371" s="1226"/>
      <c r="L3371" s="1226"/>
      <c r="M3371" s="1147"/>
    </row>
    <row r="3372" spans="2:13" ht="12.75" customHeight="1" x14ac:dyDescent="0.2">
      <c r="B3372" s="1145"/>
      <c r="C3372" s="1226"/>
      <c r="D3372" s="1226"/>
      <c r="E3372" s="1226"/>
      <c r="F3372" s="1226"/>
      <c r="G3372" s="1226"/>
      <c r="H3372" s="1226"/>
      <c r="I3372" s="1226"/>
      <c r="J3372" s="1226"/>
      <c r="K3372" s="1226"/>
      <c r="L3372" s="1226"/>
      <c r="M3372" s="1147"/>
    </row>
    <row r="3373" spans="2:13" ht="12.75" customHeight="1" x14ac:dyDescent="0.2">
      <c r="B3373" s="1145"/>
      <c r="C3373" s="1226"/>
      <c r="D3373" s="1226"/>
      <c r="E3373" s="1226"/>
      <c r="F3373" s="1226"/>
      <c r="G3373" s="1226"/>
      <c r="H3373" s="1226"/>
      <c r="I3373" s="1226"/>
      <c r="J3373" s="1226"/>
      <c r="K3373" s="1226"/>
      <c r="L3373" s="1226"/>
      <c r="M3373" s="1147"/>
    </row>
    <row r="3374" spans="2:13" ht="12.75" customHeight="1" x14ac:dyDescent="0.2">
      <c r="B3374" s="1148"/>
      <c r="C3374" s="1149"/>
      <c r="D3374" s="1149"/>
      <c r="E3374" s="1149"/>
      <c r="F3374" s="1149"/>
      <c r="G3374" s="1149"/>
      <c r="H3374" s="1149"/>
      <c r="I3374" s="1149"/>
      <c r="J3374" s="1149"/>
      <c r="K3374" s="1149"/>
      <c r="L3374" s="1149"/>
      <c r="M3374" s="1150"/>
    </row>
    <row r="3376" spans="2:13" s="3" customFormat="1" ht="12.75" customHeight="1" x14ac:dyDescent="0.25">
      <c r="B3376" s="313" t="str">
        <f>'3. PARTNER'!C$4</f>
        <v xml:space="preserve">Project: </v>
      </c>
      <c r="C3376" s="1062" t="str">
        <f>'3. PARTNER'!D$4</f>
        <v/>
      </c>
      <c r="D3376" s="1001"/>
      <c r="E3376" s="1001"/>
      <c r="F3376" s="1001"/>
      <c r="G3376" s="1001"/>
      <c r="H3376" s="1001"/>
      <c r="I3376" s="1001"/>
      <c r="J3376" s="1001"/>
      <c r="K3376" s="1001"/>
      <c r="L3376" s="1001"/>
      <c r="M3376" s="1001"/>
    </row>
    <row r="3377" spans="2:15" s="3" customFormat="1" ht="13.2" x14ac:dyDescent="0.25">
      <c r="B3377" s="313" t="str">
        <f>'3. PARTNER'!C$5</f>
        <v xml:space="preserve">Calculation for: </v>
      </c>
      <c r="C3377" s="1062" t="str">
        <f>'3. PARTNER'!D$5</f>
        <v>APPLICATION</v>
      </c>
      <c r="D3377" s="1001"/>
      <c r="E3377" s="268"/>
      <c r="F3377" s="268"/>
      <c r="G3377" s="268"/>
      <c r="H3377" s="268"/>
      <c r="I3377" s="268"/>
      <c r="J3377" s="268"/>
      <c r="K3377" s="268"/>
      <c r="L3377" s="268"/>
      <c r="M3377" s="268"/>
    </row>
    <row r="3378" spans="2:15" s="3" customFormat="1" ht="13.2" x14ac:dyDescent="0.25">
      <c r="B3378" s="35" t="str">
        <f>'3. PARTNER'!C$6</f>
        <v xml:space="preserve">Project leader: </v>
      </c>
      <c r="C3378" s="1062" t="str">
        <f>'3. PARTNER'!D$6</f>
        <v/>
      </c>
      <c r="D3378" s="1001"/>
      <c r="E3378" s="1001"/>
      <c r="F3378" s="1001"/>
      <c r="G3378" s="1001"/>
      <c r="H3378" s="1001"/>
      <c r="I3378" s="1001"/>
      <c r="J3378" s="1001"/>
      <c r="K3378" s="1001"/>
      <c r="L3378" s="1001"/>
      <c r="M3378" s="1001"/>
    </row>
    <row r="3379" spans="2:15" s="3" customFormat="1" ht="13.2" x14ac:dyDescent="0.25">
      <c r="B3379" s="313" t="str">
        <f>'5. PERSON'!B$7</f>
        <v xml:space="preserve">Amounts in: </v>
      </c>
      <c r="C3379" s="655" t="str">
        <f>'5. PERSON'!C$7</f>
        <v>SEK</v>
      </c>
      <c r="D3379" s="268"/>
      <c r="E3379" s="268"/>
      <c r="F3379" s="268"/>
      <c r="G3379" s="234"/>
      <c r="H3379" s="234"/>
      <c r="I3379" s="270"/>
      <c r="J3379" s="270"/>
      <c r="K3379" s="270"/>
      <c r="L3379" s="270"/>
      <c r="M3379" s="270"/>
    </row>
    <row r="3380" spans="2:15" s="3" customFormat="1" ht="13.2" x14ac:dyDescent="0.25">
      <c r="B3380" s="313"/>
      <c r="C3380" s="1053" t="str">
        <f>'3. PARTNER'!D$7</f>
        <v>Other basic data about the project is in sheet 2.</v>
      </c>
      <c r="D3380" s="1001"/>
      <c r="E3380" s="1001"/>
      <c r="F3380" s="1001"/>
      <c r="G3380" s="234"/>
      <c r="H3380" s="234"/>
      <c r="I3380" s="270"/>
      <c r="J3380" s="270"/>
      <c r="K3380" s="270"/>
      <c r="L3380" s="251" t="s">
        <v>4</v>
      </c>
      <c r="M3380" s="270"/>
    </row>
    <row r="3381" spans="2:15" ht="12.75" customHeight="1" x14ac:dyDescent="0.2">
      <c r="L3381" s="252" t="str">
        <f>IF('1. INTRO'!I$2="English","months","månader")</f>
        <v>months</v>
      </c>
    </row>
    <row r="3382" spans="2:15" s="3" customFormat="1" ht="13.8" x14ac:dyDescent="0.25">
      <c r="B3382" s="157" t="str">
        <f>IF('1. INTRO'!I$2="English","Project costs","Projektkostnader")</f>
        <v>Project costs</v>
      </c>
      <c r="C3382" s="668" t="str">
        <f>A80</f>
        <v>EXT122</v>
      </c>
      <c r="D3382" s="1227" t="str">
        <f>B80</f>
        <v/>
      </c>
      <c r="E3382" s="1001"/>
      <c r="F3382" s="1001"/>
      <c r="G3382" s="1001"/>
      <c r="H3382" s="1001"/>
      <c r="I3382" s="37"/>
      <c r="J3382" s="37"/>
      <c r="K3382" s="37"/>
      <c r="L3382" s="642">
        <f>SUMIF('5. PERSON'!$B$17:$B$192,$C3382,'5. PERSON'!AE$17:AE$192)</f>
        <v>0</v>
      </c>
      <c r="M3382" s="680" t="s">
        <v>330</v>
      </c>
    </row>
    <row r="3383" spans="2:15" s="3" customFormat="1" ht="6" customHeight="1" x14ac:dyDescent="0.25">
      <c r="B3383" s="57"/>
      <c r="C3383" s="37"/>
      <c r="D3383" s="37"/>
      <c r="E3383" s="37"/>
      <c r="F3383" s="37"/>
      <c r="G3383" s="37"/>
      <c r="H3383" s="37"/>
      <c r="I3383" s="37"/>
      <c r="J3383" s="37"/>
      <c r="K3383" s="37"/>
      <c r="L3383" s="37"/>
      <c r="M3383" s="37"/>
    </row>
    <row r="3384" spans="2:15" s="3" customFormat="1" ht="13.2" x14ac:dyDescent="0.25">
      <c r="B3384" s="110" t="str">
        <f>IF('1. INTRO'!I$2="English","Costs to be covered by funding body","Kostnader att täckas av finansiär")</f>
        <v>Costs to be covered by funding body</v>
      </c>
      <c r="C3384" s="111">
        <f>'5. PERSON'!G$15</f>
        <v>1900</v>
      </c>
      <c r="D3384" s="111" t="str">
        <f>'5. PERSON'!H$15</f>
        <v/>
      </c>
      <c r="E3384" s="111" t="str">
        <f>'5. PERSON'!I$15</f>
        <v/>
      </c>
      <c r="F3384" s="111" t="str">
        <f>'5. PERSON'!J$15</f>
        <v/>
      </c>
      <c r="G3384" s="111" t="str">
        <f>'5. PERSON'!K$15</f>
        <v/>
      </c>
      <c r="H3384" s="111" t="str">
        <f>'5. PERSON'!L$15</f>
        <v/>
      </c>
      <c r="I3384" s="111" t="str">
        <f>'5. PERSON'!M$15</f>
        <v/>
      </c>
      <c r="J3384" s="111" t="str">
        <f>'5. PERSON'!N$15</f>
        <v/>
      </c>
      <c r="K3384" s="111" t="str">
        <f>'5. PERSON'!O$15</f>
        <v/>
      </c>
      <c r="L3384" s="111" t="str">
        <f>'5. PERSON'!P$15</f>
        <v/>
      </c>
      <c r="M3384" s="112" t="s">
        <v>2</v>
      </c>
    </row>
    <row r="3385" spans="2:15" s="3" customFormat="1" ht="12.75" customHeight="1" x14ac:dyDescent="0.25">
      <c r="B3385" s="113" t="str">
        <f>IF('1. INTRO'!I$2="English","Salary including social costs (LKP)","Lön inklusive LKP")</f>
        <v>Salary including social costs (LKP)</v>
      </c>
      <c r="C3385" s="114">
        <f>IF('2. START'!$C$14&gt;0,SUMIF('5. PERSON'!$B$17:$B$192,$C3382,'5. PERSON'!DN$17:DN$192),SUMIF('5. PERSON'!$B$17:$B$192,$C3382,'5. PERSON'!AT$17:AT$192))</f>
        <v>0</v>
      </c>
      <c r="D3385" s="114">
        <f>IF('2. START'!$C$14&gt;0,SUMIF('5. PERSON'!$B$17:$B$192,$C3382,'5. PERSON'!DO$17:DO$192),SUMIF('5. PERSON'!$B$17:$B$192,$C3382,'5. PERSON'!AU$17:AU$192))</f>
        <v>0</v>
      </c>
      <c r="E3385" s="114">
        <f>IF('2. START'!$C$14&gt;0,SUMIF('5. PERSON'!$B$17:$B$192,$C3382,'5. PERSON'!DP$17:DP$192),SUMIF('5. PERSON'!$B$17:$B$192,$C3382,'5. PERSON'!AV$17:AV$192))</f>
        <v>0</v>
      </c>
      <c r="F3385" s="114">
        <f>IF('2. START'!$C$14&gt;0,SUMIF('5. PERSON'!$B$17:$B$192,$C3382,'5. PERSON'!DQ$17:DQ$192),SUMIF('5. PERSON'!$B$17:$B$192,$C3382,'5. PERSON'!AW$17:AW$192))</f>
        <v>0</v>
      </c>
      <c r="G3385" s="114">
        <f>IF('2. START'!$C$14&gt;0,SUMIF('5. PERSON'!$B$17:$B$192,$C3382,'5. PERSON'!DR$17:DR$192),SUMIF('5. PERSON'!$B$17:$B$192,$C3382,'5. PERSON'!AX$17:AX$192))</f>
        <v>0</v>
      </c>
      <c r="H3385" s="114">
        <f>IF('2. START'!$C$14&gt;0,SUMIF('5. PERSON'!$B$17:$B$192,$C3382,'5. PERSON'!DS$17:DS$192),SUMIF('5. PERSON'!$B$17:$B$192,$C3382,'5. PERSON'!AY$17:AY$192))</f>
        <v>0</v>
      </c>
      <c r="I3385" s="114">
        <f>IF('2. START'!$C$14&gt;0,SUMIF('5. PERSON'!$B$17:$B$192,$C3382,'5. PERSON'!DT$17:DT$192),SUMIF('5. PERSON'!$B$17:$B$192,$C3382,'5. PERSON'!AZ$17:AZ$192))</f>
        <v>0</v>
      </c>
      <c r="J3385" s="114">
        <f>IF('2. START'!$C$14&gt;0,SUMIF('5. PERSON'!$B$17:$B$192,$C3382,'5. PERSON'!DU$17:DU$192),SUMIF('5. PERSON'!$B$17:$B$192,$C3382,'5. PERSON'!BA$17:BA$192))</f>
        <v>0</v>
      </c>
      <c r="K3385" s="114">
        <f>IF('2. START'!$C$14&gt;0,SUMIF('5. PERSON'!$B$17:$B$192,$C3382,'5. PERSON'!DV$17:DV$192),SUMIF('5. PERSON'!$B$17:$B$192,$C3382,'5. PERSON'!BB$17:BB$192))</f>
        <v>0</v>
      </c>
      <c r="L3385" s="114">
        <f>IF('2. START'!$C$14&gt;0,SUMIF('5. PERSON'!$B$17:$B$192,$C3382,'5. PERSON'!DW$17:DW$192),SUMIF('5. PERSON'!$B$17:$B$192,$C3382,'5. PERSON'!BC$17:BC$192))</f>
        <v>0</v>
      </c>
      <c r="M3385" s="115">
        <f t="shared" ref="M3385:M3390" si="805">SUM(C3385:L3385)</f>
        <v>0</v>
      </c>
      <c r="O3385" s="4"/>
    </row>
    <row r="3386" spans="2:15" s="3" customFormat="1" ht="12.75" customHeight="1" x14ac:dyDescent="0.25">
      <c r="B3386" s="80" t="str">
        <f>IF('1. INTRO'!I$2="English","Operating","Drift")</f>
        <v>Operating</v>
      </c>
      <c r="C3386" s="116">
        <f>SUMIF('6. OPERATION'!$B$17:$B$149,$C3382,'6. OPERATION'!W$17:W$149)</f>
        <v>0</v>
      </c>
      <c r="D3386" s="116">
        <f>SUMIF('6. OPERATION'!$B$17:$B$149,$C3382,'6. OPERATION'!X$17:X$149)</f>
        <v>0</v>
      </c>
      <c r="E3386" s="116">
        <f>SUMIF('6. OPERATION'!$B$17:$B$149,$C3382,'6. OPERATION'!Y$17:Y$149)</f>
        <v>0</v>
      </c>
      <c r="F3386" s="116">
        <f>SUMIF('6. OPERATION'!$B$17:$B$149,$C3382,'6. OPERATION'!Z$17:Z$149)</f>
        <v>0</v>
      </c>
      <c r="G3386" s="116">
        <f>SUMIF('6. OPERATION'!$B$17:$B$149,$C3382,'6. OPERATION'!AA$17:AA$149)</f>
        <v>0</v>
      </c>
      <c r="H3386" s="116">
        <f>SUMIF('6. OPERATION'!$B$17:$B$149,$C3382,'6. OPERATION'!AB$17:AB$149)</f>
        <v>0</v>
      </c>
      <c r="I3386" s="116">
        <f>SUMIF('6. OPERATION'!$B$17:$B$149,$C3382,'6. OPERATION'!AC$17:AC$149)</f>
        <v>0</v>
      </c>
      <c r="J3386" s="116">
        <f>SUMIF('6. OPERATION'!$B$17:$B$149,$C3382,'6. OPERATION'!AD$17:AD$149)</f>
        <v>0</v>
      </c>
      <c r="K3386" s="116">
        <f>SUMIF('6. OPERATION'!$B$17:$B$149,$C3382,'6. OPERATION'!AE$17:AE$149)</f>
        <v>0</v>
      </c>
      <c r="L3386" s="116">
        <f>SUMIF('6. OPERATION'!$B$17:$B$149,$C3382,'6. OPERATION'!AF$17:AF$149)</f>
        <v>0</v>
      </c>
      <c r="M3386" s="117">
        <f t="shared" si="805"/>
        <v>0</v>
      </c>
    </row>
    <row r="3387" spans="2:15" s="3" customFormat="1" ht="13.2" x14ac:dyDescent="0.25">
      <c r="B3387" s="118" t="str">
        <f>IF('1. INTRO'!I$2="English","Equipment","Utrustning")</f>
        <v>Equipment</v>
      </c>
      <c r="C3387" s="119">
        <f>SUMIF('7. INVEST'!$B$17:$B$49,$C3382,'7. INVEST'!W$17:W$49)</f>
        <v>0</v>
      </c>
      <c r="D3387" s="119">
        <f>SUMIF('7. INVEST'!$B$17:$B$49,$C3382,'7. INVEST'!X$17:X$49)</f>
        <v>0</v>
      </c>
      <c r="E3387" s="119">
        <f>SUMIF('7. INVEST'!$B$17:$B$49,$C3382,'7. INVEST'!Y$17:Y$49)</f>
        <v>0</v>
      </c>
      <c r="F3387" s="119">
        <f>SUMIF('7. INVEST'!$B$17:$B$49,$C3382,'7. INVEST'!Z$17:Z$49)</f>
        <v>0</v>
      </c>
      <c r="G3387" s="119">
        <f>SUMIF('7. INVEST'!$B$17:$B$49,$C3382,'7. INVEST'!AA$17:AA$49)</f>
        <v>0</v>
      </c>
      <c r="H3387" s="119">
        <f>SUMIF('7. INVEST'!$B$17:$B$49,$C3382,'7. INVEST'!AB$17:AB$49)</f>
        <v>0</v>
      </c>
      <c r="I3387" s="119">
        <f>SUMIF('7. INVEST'!$B$17:$B$49,$C3382,'7. INVEST'!AC$17:AC$49)</f>
        <v>0</v>
      </c>
      <c r="J3387" s="119">
        <f>SUMIF('7. INVEST'!$B$17:$B$49,$C3382,'7. INVEST'!AD$17:AD$49)</f>
        <v>0</v>
      </c>
      <c r="K3387" s="119">
        <f>SUMIF('7. INVEST'!$B$17:$B$49,$C3382,'7. INVEST'!AE$17:AE$49)</f>
        <v>0</v>
      </c>
      <c r="L3387" s="119">
        <f>SUMIF('7. INVEST'!$B$17:$B$49,$C3382,'7. INVEST'!AF$17:AF$49)</f>
        <v>0</v>
      </c>
      <c r="M3387" s="120">
        <f t="shared" si="805"/>
        <v>0</v>
      </c>
    </row>
    <row r="3388" spans="2:15" s="3" customFormat="1" ht="13.2" x14ac:dyDescent="0.25">
      <c r="B3388" s="121" t="str">
        <f>IF('1. INTRO'!I$2="English",(IF('2. START'!C$11="NO","Facility accepted as direct cost by funding body","Facility")),IF('2. START'!C$11="NO","Lokal accepterad som direkt kostnad av finansiär","Lokal"))</f>
        <v>Facility</v>
      </c>
      <c r="C3388" s="116">
        <f>IF('2. START'!$C$11="NO",SUMIF('8. FACILIT'!$B$18:$B$50,$C3382,'8. FACILIT'!T$18:T$50),SUMIF('5. PERSON'!$B$17:$B$192,$C3382,'5. PERSON'!CP$17:CP$192)+SUMIF('6. OPERATION'!$B$17:$B$149,$C3382,'6. OPERATION'!BS$17:BS$149)+SUMIF('8. FACILIT'!$B$18:$B$50,$C3382,'8. FACILIT'!T$18:T$50))</f>
        <v>0</v>
      </c>
      <c r="D3388" s="116">
        <f>IF('2. START'!$C$11="NO",SUMIF('8. FACILIT'!$B$18:$B$50,$C3382,'8. FACILIT'!U$18:U$50),SUMIF('5. PERSON'!$B$17:$B$192,$C3382,'5. PERSON'!CQ$17:CQ$192)+SUMIF('6. OPERATION'!$B$17:$B$149,$C3382,'6. OPERATION'!BT$17:BT$149)+SUMIF('8. FACILIT'!$B$18:$B$50,$C3382,'8. FACILIT'!U$18:U$50))</f>
        <v>0</v>
      </c>
      <c r="E3388" s="116">
        <f>IF('2. START'!$C$11="NO",SUMIF('8. FACILIT'!$B$18:$B$50,$C3382,'8. FACILIT'!V$18:V$50),SUMIF('5. PERSON'!$B$17:$B$192,$C3382,'5. PERSON'!CR$17:CR$192)+SUMIF('6. OPERATION'!$B$17:$B$149,$C3382,'6. OPERATION'!BU$17:BU$149)+SUMIF('8. FACILIT'!$B$18:$B$50,$C3382,'8. FACILIT'!V$18:V$50))</f>
        <v>0</v>
      </c>
      <c r="F3388" s="116">
        <f>IF('2. START'!$C$11="NO",SUMIF('8. FACILIT'!$B$18:$B$50,$C3382,'8. FACILIT'!W$18:W$50),SUMIF('5. PERSON'!$B$17:$B$192,$C3382,'5. PERSON'!CS$17:CS$192)+SUMIF('6. OPERATION'!$B$17:$B$149,$C3382,'6. OPERATION'!BV$17:BV$149)+SUMIF('8. FACILIT'!$B$18:$B$50,$C3382,'8. FACILIT'!W$18:W$50))</f>
        <v>0</v>
      </c>
      <c r="G3388" s="116">
        <f>IF('2. START'!$C$11="NO",SUMIF('8. FACILIT'!$B$18:$B$50,$C3382,'8. FACILIT'!X$18:X$50),SUMIF('5. PERSON'!$B$17:$B$192,$C3382,'5. PERSON'!CT$17:CT$192)+SUMIF('6. OPERATION'!$B$17:$B$149,$C3382,'6. OPERATION'!BW$17:BW$149)+SUMIF('8. FACILIT'!$B$18:$B$50,$C3382,'8. FACILIT'!X$18:X$50))</f>
        <v>0</v>
      </c>
      <c r="H3388" s="116">
        <f>IF('2. START'!$C$11="NO",SUMIF('8. FACILIT'!$B$18:$B$50,$C3382,'8. FACILIT'!Y$18:Y$50),SUMIF('5. PERSON'!$B$17:$B$192,$C3382,'5. PERSON'!CU$17:CU$192)+SUMIF('6. OPERATION'!$B$17:$B$149,$C3382,'6. OPERATION'!BX$17:BX$149)+SUMIF('8. FACILIT'!$B$18:$B$50,$C3382,'8. FACILIT'!Y$18:Y$50))</f>
        <v>0</v>
      </c>
      <c r="I3388" s="116">
        <f>IF('2. START'!$C$11="NO",SUMIF('8. FACILIT'!$B$18:$B$50,$C3382,'8. FACILIT'!Z$18:Z$50),SUMIF('5. PERSON'!$B$17:$B$192,$C3382,'5. PERSON'!CV$17:CV$192)+SUMIF('6. OPERATION'!$B$17:$B$149,$C3382,'6. OPERATION'!BY$17:BY$149)+SUMIF('8. FACILIT'!$B$18:$B$50,$C3382,'8. FACILIT'!Z$18:Z$50))</f>
        <v>0</v>
      </c>
      <c r="J3388" s="116">
        <f>IF('2. START'!$C$11="NO",SUMIF('8. FACILIT'!$B$18:$B$50,$C3382,'8. FACILIT'!AA$18:AA$50),SUMIF('5. PERSON'!$B$17:$B$192,$C3382,'5. PERSON'!CW$17:CW$192)+SUMIF('6. OPERATION'!$B$17:$B$149,$C3382,'6. OPERATION'!BZ$17:BZ$149)+SUMIF('8. FACILIT'!$B$18:$B$50,$C3382,'8. FACILIT'!AA$18:AA$50))</f>
        <v>0</v>
      </c>
      <c r="K3388" s="116">
        <f>IF('2. START'!$C$11="NO",SUMIF('8. FACILIT'!$B$18:$B$50,$C3382,'8. FACILIT'!AB$18:AB$50),SUMIF('5. PERSON'!$B$17:$B$192,$C3382,'5. PERSON'!CX$17:CX$192)+SUMIF('6. OPERATION'!$B$17:$B$149,$C3382,'6. OPERATION'!CA$17:CA$149)+SUMIF('8. FACILIT'!$B$18:$B$50,$C3382,'8. FACILIT'!AB$18:AB$50))</f>
        <v>0</v>
      </c>
      <c r="L3388" s="116">
        <f>IF('2. START'!$C$11="NO",SUMIF('8. FACILIT'!$B$18:$B$50,$C3382,'8. FACILIT'!AC$18:AC$50),SUMIF('5. PERSON'!$B$17:$B$192,$C3382,'5. PERSON'!CY$17:CY$192)+SUMIF('6. OPERATION'!$B$17:$B$149,$C3382,'6. OPERATION'!CB$17:CB$149)+SUMIF('8. FACILIT'!$B$18:$B$50,$C3382,'8. FACILIT'!AC$18:AC$50))</f>
        <v>0</v>
      </c>
      <c r="M3388" s="117">
        <f t="shared" si="805"/>
        <v>0</v>
      </c>
    </row>
    <row r="3389" spans="2:15" s="3" customFormat="1" ht="13.2" x14ac:dyDescent="0.25">
      <c r="B3389" s="122" t="str">
        <f>IF('1. INTRO'!I$2="English",(IF('2. START'!C$11="NO","Indirect and facility charge accepted as OH by funding body","Indirect")),IF('2. START'!C$11="NO","Indirekt och lokalpåslag accepterade som OH av finansiär","Indirekt"))</f>
        <v>Indirect</v>
      </c>
      <c r="C3389" s="107">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107">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107">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107">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107">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107">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107">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107">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107">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107">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120">
        <f t="shared" si="805"/>
        <v>0</v>
      </c>
    </row>
    <row r="3390" spans="2:15" s="3" customFormat="1" ht="13.2" x14ac:dyDescent="0.25">
      <c r="B3390" s="124" t="s">
        <v>113</v>
      </c>
      <c r="C3390" s="102">
        <f>SUM(C3385:C3389)</f>
        <v>0</v>
      </c>
      <c r="D3390" s="102">
        <f t="shared" ref="D3390:L3390" si="806">SUM(D3385:D3389)</f>
        <v>0</v>
      </c>
      <c r="E3390" s="102">
        <f t="shared" si="806"/>
        <v>0</v>
      </c>
      <c r="F3390" s="102">
        <f t="shared" si="806"/>
        <v>0</v>
      </c>
      <c r="G3390" s="102">
        <f t="shared" si="806"/>
        <v>0</v>
      </c>
      <c r="H3390" s="102">
        <f t="shared" si="806"/>
        <v>0</v>
      </c>
      <c r="I3390" s="102">
        <f t="shared" si="806"/>
        <v>0</v>
      </c>
      <c r="J3390" s="102">
        <f t="shared" si="806"/>
        <v>0</v>
      </c>
      <c r="K3390" s="102">
        <f t="shared" si="806"/>
        <v>0</v>
      </c>
      <c r="L3390" s="102">
        <f t="shared" si="806"/>
        <v>0</v>
      </c>
      <c r="M3390" s="125">
        <f t="shared" si="805"/>
        <v>0</v>
      </c>
    </row>
    <row r="3391" spans="2:15" s="3" customFormat="1" ht="6" customHeight="1" x14ac:dyDescent="0.25">
      <c r="B3391" s="126"/>
      <c r="C3391" s="127"/>
      <c r="D3391" s="127"/>
      <c r="E3391" s="127"/>
      <c r="F3391" s="127"/>
      <c r="G3391" s="127"/>
      <c r="H3391" s="127"/>
      <c r="I3391" s="127"/>
      <c r="J3391" s="127"/>
      <c r="K3391" s="127"/>
      <c r="L3391" s="127"/>
      <c r="M3391" s="128"/>
    </row>
    <row r="3392" spans="2:15" s="3" customFormat="1" ht="13.2" x14ac:dyDescent="0.25">
      <c r="B3392" s="129" t="str">
        <f>IF('1. INTRO'!I$2="English","Costs to be co-funded","Kostnader att medfinansiera")</f>
        <v>Costs to be co-funded</v>
      </c>
      <c r="C3392" s="86"/>
      <c r="D3392" s="86"/>
      <c r="E3392" s="86"/>
      <c r="F3392" s="86"/>
      <c r="G3392" s="86"/>
      <c r="H3392" s="86"/>
      <c r="I3392" s="86"/>
      <c r="J3392" s="86"/>
      <c r="K3392" s="86"/>
      <c r="L3392" s="86"/>
      <c r="M3392" s="130"/>
    </row>
    <row r="3393" spans="2:15" s="3" customFormat="1" ht="13.2" x14ac:dyDescent="0.25">
      <c r="B3393" s="159" t="str">
        <f>IF('1. INTRO'!I$2="English",(IF('2. START'!C$11="NO","Indirect and facility charge not accepted as OH by funding body","")),IF('2. START'!C$11="NO","Indirekt och lokalpåslag inte accepterade som OH av finansiär",""))</f>
        <v/>
      </c>
      <c r="C3393" s="131">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31">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31">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31">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31">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31">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31">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31">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31">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31">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115">
        <f t="shared" ref="M3393:M3399" si="807">SUM(C3393:L3393)</f>
        <v>0</v>
      </c>
    </row>
    <row r="3394" spans="2:15" s="3" customFormat="1" ht="12.75" customHeight="1" x14ac:dyDescent="0.25">
      <c r="B3394" s="132" t="str">
        <f>IF('1. INTRO'!I$2="English",(IF('2. START'!C$14&gt;0,"Social costs (LKP) not accepted by funding body","")),IF('2. START'!C$14&gt;0,"LKP som inte accepteras av finansiär",""))</f>
        <v/>
      </c>
      <c r="C3394" s="133">
        <f>IF('2. START'!$C$14&gt;0,SUMIF('5. PERSON'!$B$17:$B$192,$C3382,'5. PERSON'!AT$17:AT$192)-SUMIF('5. PERSON'!$B$17:$B$192,$C3382,'5. PERSON'!DN$17:DN$192),0)</f>
        <v>0</v>
      </c>
      <c r="D3394" s="133">
        <f>IF('2. START'!$C$14&gt;0,SUMIF('5. PERSON'!$B$17:$B$192,$C3382,'5. PERSON'!AU$17:AU$192)-SUMIF('5. PERSON'!$B$17:$B$192,$C3382,'5. PERSON'!DO$17:DO$192),0)</f>
        <v>0</v>
      </c>
      <c r="E3394" s="133">
        <f>IF('2. START'!$C$14&gt;0,SUMIF('5. PERSON'!$B$17:$B$192,$C3382,'5. PERSON'!AV$17:AV$192)-SUMIF('5. PERSON'!$B$17:$B$192,$C3382,'5. PERSON'!DP$17:DP$192),0)</f>
        <v>0</v>
      </c>
      <c r="F3394" s="133">
        <f>IF('2. START'!$C$14&gt;0,SUMIF('5. PERSON'!$B$17:$B$192,$C3382,'5. PERSON'!AW$17:AW$192)-SUMIF('5. PERSON'!$B$17:$B$192,$C3382,'5. PERSON'!DQ$17:DQ$192),0)</f>
        <v>0</v>
      </c>
      <c r="G3394" s="133">
        <f>IF('2. START'!$C$14&gt;0,SUMIF('5. PERSON'!$B$17:$B$192,$C3382,'5. PERSON'!AX$17:AX$192)-SUMIF('5. PERSON'!$B$17:$B$192,$C3382,'5. PERSON'!DR$17:DR$192),0)</f>
        <v>0</v>
      </c>
      <c r="H3394" s="133">
        <f>IF('2. START'!$C$14&gt;0,SUMIF('5. PERSON'!$B$17:$B$192,$C3382,'5. PERSON'!AY$17:AY$192)-SUMIF('5. PERSON'!$B$17:$B$192,$C3382,'5. PERSON'!DS$17:DS$192),0)</f>
        <v>0</v>
      </c>
      <c r="I3394" s="133">
        <f>IF('2. START'!$C$14&gt;0,SUMIF('5. PERSON'!$B$17:$B$192,$C3382,'5. PERSON'!AZ$17:AZ$192)-SUMIF('5. PERSON'!$B$17:$B$192,$C3382,'5. PERSON'!DT$17:DT$192),0)</f>
        <v>0</v>
      </c>
      <c r="J3394" s="133">
        <f>IF('2. START'!$C$14&gt;0,SUMIF('5. PERSON'!$B$17:$B$192,$C3382,'5. PERSON'!BA$17:BA$192)-SUMIF('5. PERSON'!$B$17:$B$192,$C3382,'5. PERSON'!DU$17:DU$192),0)</f>
        <v>0</v>
      </c>
      <c r="K3394" s="133">
        <f>IF('2. START'!$C$14&gt;0,SUMIF('5. PERSON'!$B$17:$B$192,$C3382,'5. PERSON'!BB$17:BB$192)-SUMIF('5. PERSON'!$B$17:$B$192,$C3382,'5. PERSON'!DV$17:DV$192),0)</f>
        <v>0</v>
      </c>
      <c r="L3394" s="133">
        <f>IF('2. START'!$C$14&gt;0,SUMIF('5. PERSON'!$B$17:$B$192,$C3382,'5. PERSON'!BC$17:BC$192)-SUMIF('5. PERSON'!$B$17:$B$192,$C3382,'5. PERSON'!DW$17:DW$192),0)</f>
        <v>0</v>
      </c>
      <c r="M3394" s="117">
        <f t="shared" si="807"/>
        <v>0</v>
      </c>
    </row>
    <row r="3395" spans="2:15" s="3" customFormat="1" ht="12.75" customHeight="1" x14ac:dyDescent="0.25">
      <c r="B3395" s="118" t="str">
        <f>IF('1. INTRO'!I$2="English",(IF('5. PERSON'!BP$193&gt;0,"Salary including social costs (LKP)","")),IF('5. PERSON'!BP$193&gt;0,"Lön inklusive LKP",""))</f>
        <v/>
      </c>
      <c r="C3395" s="134">
        <f>SUMIF('5. PERSON'!$B$17:$B$192,$C3382,'5. PERSON'!BF$17:BF$192)</f>
        <v>0</v>
      </c>
      <c r="D3395" s="134">
        <f>SUMIF('5. PERSON'!$B$17:$B$192,$C3382,'5. PERSON'!BG$17:BG$192)</f>
        <v>0</v>
      </c>
      <c r="E3395" s="134">
        <f>SUMIF('5. PERSON'!$B$17:$B$192,$C3382,'5. PERSON'!BH$17:BH$192)</f>
        <v>0</v>
      </c>
      <c r="F3395" s="134">
        <f>SUMIF('5. PERSON'!$B$17:$B$192,$C3382,'5. PERSON'!BI$17:BI$192)</f>
        <v>0</v>
      </c>
      <c r="G3395" s="134">
        <f>SUMIF('5. PERSON'!$B$17:$B$192,$C3382,'5. PERSON'!BJ$17:BJ$192)</f>
        <v>0</v>
      </c>
      <c r="H3395" s="134">
        <f>SUMIF('5. PERSON'!$B$17:$B$192,$C3382,'5. PERSON'!BK$17:BK$192)</f>
        <v>0</v>
      </c>
      <c r="I3395" s="134">
        <f>SUMIF('5. PERSON'!$B$17:$B$192,$C3382,'5. PERSON'!BL$17:BL$192)</f>
        <v>0</v>
      </c>
      <c r="J3395" s="134">
        <f>SUMIF('5. PERSON'!$B$17:$B$192,$C3382,'5. PERSON'!BM$17:BM$192)</f>
        <v>0</v>
      </c>
      <c r="K3395" s="134">
        <f>SUMIF('5. PERSON'!$B$17:$B$192,$C3382,'5. PERSON'!BN$17:BN$192)</f>
        <v>0</v>
      </c>
      <c r="L3395" s="134">
        <f>SUMIF('5. PERSON'!$B$17:$B$192,$C3382,'5. PERSON'!BO$17:BO$192)</f>
        <v>0</v>
      </c>
      <c r="M3395" s="120">
        <f t="shared" si="807"/>
        <v>0</v>
      </c>
    </row>
    <row r="3396" spans="2:15" s="3" customFormat="1" ht="13.2" x14ac:dyDescent="0.25">
      <c r="B3396" s="80" t="str">
        <f>IF('1. INTRO'!I$2="English",(IF('6. OPERATION'!AS$150&gt;0,"Operating","")),IF('6. OPERATION'!AS$150&gt;0,"Drift",""))</f>
        <v/>
      </c>
      <c r="C3396" s="135">
        <f>SUMIF('6. OPERATION'!$B$17:$B$149,$C3382,'6. OPERATION'!AI$17:AI$149)</f>
        <v>0</v>
      </c>
      <c r="D3396" s="135">
        <f>SUMIF('6. OPERATION'!$B$17:$B$149,$C3382,'6. OPERATION'!AJ$17:AJ$149)</f>
        <v>0</v>
      </c>
      <c r="E3396" s="135">
        <f>SUMIF('6. OPERATION'!$B$17:$B$149,$C3382,'6. OPERATION'!AK$17:AK$149)</f>
        <v>0</v>
      </c>
      <c r="F3396" s="135">
        <f>SUMIF('6. OPERATION'!$B$17:$B$149,$C3382,'6. OPERATION'!AL$17:AL$149)</f>
        <v>0</v>
      </c>
      <c r="G3396" s="135">
        <f>SUMIF('6. OPERATION'!$B$17:$B$149,$C3382,'6. OPERATION'!AM$17:AM$149)</f>
        <v>0</v>
      </c>
      <c r="H3396" s="135">
        <f>SUMIF('6. OPERATION'!$B$17:$B$149,$C3382,'6. OPERATION'!AN$17:AN$149)</f>
        <v>0</v>
      </c>
      <c r="I3396" s="135">
        <f>SUMIF('6. OPERATION'!$B$17:$B$149,$C3382,'6. OPERATION'!AO$17:AO$149)</f>
        <v>0</v>
      </c>
      <c r="J3396" s="135">
        <f>SUMIF('6. OPERATION'!$B$17:$B$149,$C3382,'6. OPERATION'!AP$17:AP$149)</f>
        <v>0</v>
      </c>
      <c r="K3396" s="135">
        <f>SUMIF('6. OPERATION'!$B$17:$B$149,$C3382,'6. OPERATION'!AQ$17:AQ$149)</f>
        <v>0</v>
      </c>
      <c r="L3396" s="135">
        <f>SUMIF('6. OPERATION'!$B$17:$B$149,$C3382,'6. OPERATION'!AR$17:AR$149)</f>
        <v>0</v>
      </c>
      <c r="M3396" s="117">
        <f t="shared" si="807"/>
        <v>0</v>
      </c>
    </row>
    <row r="3397" spans="2:15" s="3" customFormat="1" ht="13.2" x14ac:dyDescent="0.25">
      <c r="B3397" s="118" t="str">
        <f>IF('1. INTRO'!I$2="English",(IF('7. INVEST'!AS$50&gt;0,"Equipment","")),IF('7. INVEST'!AS$50&gt;0,"Utrustning",""))</f>
        <v/>
      </c>
      <c r="C3397" s="134">
        <f>SUMIF('7. INVEST'!$B$17:$B$49,$C3382,'7. INVEST'!AI$17:AI$49)</f>
        <v>0</v>
      </c>
      <c r="D3397" s="134">
        <f>SUMIF('7. INVEST'!$B$17:$B$49,$C3382,'7. INVEST'!AJ$17:AJ$49)</f>
        <v>0</v>
      </c>
      <c r="E3397" s="134">
        <f>SUMIF('7. INVEST'!$B$17:$B$49,$C3382,'7. INVEST'!AK$17:AK$49)</f>
        <v>0</v>
      </c>
      <c r="F3397" s="134">
        <f>SUMIF('7. INVEST'!$B$17:$B$49,$C3382,'7. INVEST'!AL$17:AL$49)</f>
        <v>0</v>
      </c>
      <c r="G3397" s="134">
        <f>SUMIF('7. INVEST'!$B$17:$B$49,$C3382,'7. INVEST'!AM$17:AM$49)</f>
        <v>0</v>
      </c>
      <c r="H3397" s="134">
        <f>SUMIF('7. INVEST'!$B$17:$B$49,$C3382,'7. INVEST'!AN$17:AN$49)</f>
        <v>0</v>
      </c>
      <c r="I3397" s="134">
        <f>SUMIF('7. INVEST'!$B$17:$B$49,$C3382,'7. INVEST'!AO$17:AO$49)</f>
        <v>0</v>
      </c>
      <c r="J3397" s="134">
        <f>SUMIF('7. INVEST'!$B$17:$B$49,$C3382,'7. INVEST'!AP$17:AP$49)</f>
        <v>0</v>
      </c>
      <c r="K3397" s="134">
        <f>SUMIF('7. INVEST'!$B$17:$B$49,$C3382,'7. INVEST'!AQ$17:AQ$49)</f>
        <v>0</v>
      </c>
      <c r="L3397" s="134">
        <f>SUMIF('7. INVEST'!$B$17:$B$49,$C3382,'7. INVEST'!AR$17:AR$49)</f>
        <v>0</v>
      </c>
      <c r="M3397" s="120">
        <f t="shared" si="807"/>
        <v>0</v>
      </c>
    </row>
    <row r="3398" spans="2:15" s="3" customFormat="1" ht="13.2" x14ac:dyDescent="0.25">
      <c r="B3398" s="121" t="str">
        <f>IF('1. INTRO'!I$2="English",(IF('8. FACILIT'!AP$51&gt;0,"Facility","")),IF('8. FACILIT'!AP$51&gt;0,"Lokal",""))</f>
        <v/>
      </c>
      <c r="C3398" s="135">
        <f>SUMIF('5. PERSON'!$B$17:$B$192,$C3382,'5. PERSON'!DB$17:DB$192)+SUMIF('6. OPERATION'!$B$17:$B$149,$C3382,'6. OPERATION'!CE$17:CE$149)+SUMIF('8. FACILIT'!$B$18:$B$50,$C3382,'8. FACILIT'!AF$18:AF$50)</f>
        <v>0</v>
      </c>
      <c r="D3398" s="135">
        <f>SUMIF('5. PERSON'!$B$17:$B$192,$C3382,'5. PERSON'!DC$17:DC$192)+SUMIF('6. OPERATION'!$B$17:$B$149,$C3382,'6. OPERATION'!CF$17:CF$149)+SUMIF('8. FACILIT'!$B$18:$B$50,$C3382,'8. FACILIT'!AG$18:AG$50)</f>
        <v>0</v>
      </c>
      <c r="E3398" s="135">
        <f>SUMIF('5. PERSON'!$B$17:$B$192,$C3382,'5. PERSON'!DD$17:DD$192)+SUMIF('6. OPERATION'!$B$17:$B$149,$C3382,'6. OPERATION'!CG$17:CG$149)+SUMIF('8. FACILIT'!$B$18:$B$50,$C3382,'8. FACILIT'!AH$18:AH$50)</f>
        <v>0</v>
      </c>
      <c r="F3398" s="135">
        <f>SUMIF('5. PERSON'!$B$17:$B$192,$C3382,'5. PERSON'!DE$17:DE$192)+SUMIF('6. OPERATION'!$B$17:$B$149,$C3382,'6. OPERATION'!CH$17:CH$149)+SUMIF('8. FACILIT'!$B$18:$B$50,$C3382,'8. FACILIT'!AI$18:AI$50)</f>
        <v>0</v>
      </c>
      <c r="G3398" s="135">
        <f>SUMIF('5. PERSON'!$B$17:$B$192,$C3382,'5. PERSON'!DF$17:DF$192)+SUMIF('6. OPERATION'!$B$17:$B$149,$C3382,'6. OPERATION'!CI$17:CI$149)+SUMIF('8. FACILIT'!$B$18:$B$50,$C3382,'8. FACILIT'!AJ$18:AJ$50)</f>
        <v>0</v>
      </c>
      <c r="H3398" s="135">
        <f>SUMIF('5. PERSON'!$B$17:$B$192,$C3382,'5. PERSON'!DG$17:DG$192)+SUMIF('6. OPERATION'!$B$17:$B$149,$C3382,'6. OPERATION'!CJ$17:CJ$149)+SUMIF('8. FACILIT'!$B$18:$B$50,$C3382,'8. FACILIT'!AK$18:AK$50)</f>
        <v>0</v>
      </c>
      <c r="I3398" s="135">
        <f>SUMIF('5. PERSON'!$B$17:$B$192,$C3382,'5. PERSON'!DH$17:DH$192)+SUMIF('6. OPERATION'!$B$17:$B$149,$C3382,'6. OPERATION'!CK$17:CK$149)+SUMIF('8. FACILIT'!$B$18:$B$50,$C3382,'8. FACILIT'!AL$18:AL$50)</f>
        <v>0</v>
      </c>
      <c r="J3398" s="135">
        <f>SUMIF('5. PERSON'!$B$17:$B$192,$C3382,'5. PERSON'!DI$17:DI$192)+SUMIF('6. OPERATION'!$B$17:$B$149,$C3382,'6. OPERATION'!CL$17:CL$149)+SUMIF('8. FACILIT'!$B$18:$B$50,$C3382,'8. FACILIT'!AM$18:AM$50)</f>
        <v>0</v>
      </c>
      <c r="K3398" s="135">
        <f>SUMIF('5. PERSON'!$B$17:$B$192,$C3382,'5. PERSON'!DJ$17:DJ$192)+SUMIF('6. OPERATION'!$B$17:$B$149,$C3382,'6. OPERATION'!CM$17:CM$149)+SUMIF('8. FACILIT'!$B$18:$B$50,$C3382,'8. FACILIT'!AN$18:AN$50)</f>
        <v>0</v>
      </c>
      <c r="L3398" s="135">
        <f>SUMIF('5. PERSON'!$B$17:$B$192,$C3382,'5. PERSON'!DK$17:DK$192)+SUMIF('6. OPERATION'!$B$17:$B$149,$C3382,'6. OPERATION'!CN$17:CN$149)+SUMIF('8. FACILIT'!$B$18:$B$50,$C3382,'8. FACILIT'!AO$18:AO$50)</f>
        <v>0</v>
      </c>
      <c r="M3398" s="117">
        <f t="shared" si="807"/>
        <v>0</v>
      </c>
    </row>
    <row r="3399" spans="2:15" s="1" customFormat="1" ht="13.2" x14ac:dyDescent="0.25">
      <c r="B3399" s="122" t="str">
        <f>IF('1. INTRO'!I$2="English",(IF(('5. PERSON'!CN$193+'6. OPERATION'!BQ$150)&gt;0,"Indirect","")),IF(('5. PERSON'!CN$193+'6. OPERATION'!BQ$150)&gt;0,"Indirekt",""))</f>
        <v/>
      </c>
      <c r="C3399" s="107">
        <f>SUMIF('5. PERSON'!$B$17:$B$192,$C3382,'5. PERSON'!CD$17:CD$192)+SUMIF('6. OPERATION'!$B$17:$B$149,$C3382,'6. OPERATION'!BG$17:BG$149)</f>
        <v>0</v>
      </c>
      <c r="D3399" s="107">
        <f>SUMIF('5. PERSON'!$B$17:$B$192,$C3382,'5. PERSON'!CE$17:CE$192)+SUMIF('6. OPERATION'!$B$17:$B$149,$C3382,'6. OPERATION'!BH$17:BH$149)</f>
        <v>0</v>
      </c>
      <c r="E3399" s="107">
        <f>SUMIF('5. PERSON'!$B$17:$B$192,$C3382,'5. PERSON'!CF$17:CF$192)+SUMIF('6. OPERATION'!$B$17:$B$149,$C3382,'6. OPERATION'!BI$17:BI$149)</f>
        <v>0</v>
      </c>
      <c r="F3399" s="107">
        <f>SUMIF('5. PERSON'!$B$17:$B$192,$C3382,'5. PERSON'!CG$17:CG$192)+SUMIF('6. OPERATION'!$B$17:$B$149,$C3382,'6. OPERATION'!BJ$17:BJ$149)</f>
        <v>0</v>
      </c>
      <c r="G3399" s="107">
        <f>SUMIF('5. PERSON'!$B$17:$B$192,$C3382,'5. PERSON'!CH$17:CH$192)+SUMIF('6. OPERATION'!$B$17:$B$149,$C3382,'6. OPERATION'!BK$17:BK$149)</f>
        <v>0</v>
      </c>
      <c r="H3399" s="107">
        <f>SUMIF('5. PERSON'!$B$17:$B$192,$C3382,'5. PERSON'!CI$17:CI$192)+SUMIF('6. OPERATION'!$B$17:$B$149,$C3382,'6. OPERATION'!BL$17:BL$149)</f>
        <v>0</v>
      </c>
      <c r="I3399" s="107">
        <f>SUMIF('5. PERSON'!$B$17:$B$192,$C3382,'5. PERSON'!CJ$17:CJ$192)+SUMIF('6. OPERATION'!$B$17:$B$149,$C3382,'6. OPERATION'!BM$17:BM$149)</f>
        <v>0</v>
      </c>
      <c r="J3399" s="107">
        <f>SUMIF('5. PERSON'!$B$17:$B$192,$C3382,'5. PERSON'!CK$17:CK$192)+SUMIF('6. OPERATION'!$B$17:$B$149,$C3382,'6. OPERATION'!BN$17:BN$149)</f>
        <v>0</v>
      </c>
      <c r="K3399" s="107">
        <f>SUMIF('5. PERSON'!$B$17:$B$192,$C3382,'5. PERSON'!CL$17:CL$192)+SUMIF('6. OPERATION'!$B$17:$B$149,$C3382,'6. OPERATION'!BO$17:BO$149)</f>
        <v>0</v>
      </c>
      <c r="L3399" s="107">
        <f>SUMIF('5. PERSON'!$B$17:$B$192,$C3382,'5. PERSON'!CM$17:CM$192)+SUMIF('6. OPERATION'!$B$17:$B$149,$C3382,'6. OPERATION'!BP$17:BP$149)</f>
        <v>0</v>
      </c>
      <c r="M3399" s="123">
        <f t="shared" si="807"/>
        <v>0</v>
      </c>
    </row>
    <row r="3400" spans="2:15" s="3" customFormat="1" ht="13.2" x14ac:dyDescent="0.25">
      <c r="B3400" s="124" t="s">
        <v>113</v>
      </c>
      <c r="C3400" s="102">
        <f>SUM(C3393:C3399)</f>
        <v>0</v>
      </c>
      <c r="D3400" s="102">
        <f t="shared" ref="D3400:L3400" si="808">SUM(D3393:D3399)</f>
        <v>0</v>
      </c>
      <c r="E3400" s="102">
        <f t="shared" si="808"/>
        <v>0</v>
      </c>
      <c r="F3400" s="102">
        <f t="shared" si="808"/>
        <v>0</v>
      </c>
      <c r="G3400" s="102">
        <f t="shared" si="808"/>
        <v>0</v>
      </c>
      <c r="H3400" s="102">
        <f t="shared" si="808"/>
        <v>0</v>
      </c>
      <c r="I3400" s="102">
        <f t="shared" si="808"/>
        <v>0</v>
      </c>
      <c r="J3400" s="102">
        <f t="shared" si="808"/>
        <v>0</v>
      </c>
      <c r="K3400" s="102">
        <f t="shared" si="808"/>
        <v>0</v>
      </c>
      <c r="L3400" s="102">
        <f t="shared" si="808"/>
        <v>0</v>
      </c>
      <c r="M3400" s="125">
        <f t="shared" ref="M3400" si="809">SUM(M3393:M3399)</f>
        <v>0</v>
      </c>
      <c r="N3400" s="23"/>
      <c r="O3400" s="23"/>
    </row>
    <row r="3401" spans="2:15" s="3" customFormat="1" ht="6" customHeight="1" x14ac:dyDescent="0.25">
      <c r="B3401" s="136"/>
      <c r="C3401" s="127"/>
      <c r="D3401" s="127"/>
      <c r="E3401" s="127"/>
      <c r="F3401" s="127"/>
      <c r="G3401" s="127"/>
      <c r="H3401" s="127"/>
      <c r="I3401" s="127"/>
      <c r="J3401" s="127"/>
      <c r="K3401" s="127"/>
      <c r="L3401" s="127"/>
      <c r="M3401" s="137"/>
    </row>
    <row r="3402" spans="2:15" s="3" customFormat="1" ht="13.2" x14ac:dyDescent="0.25">
      <c r="B3402" s="129" t="str">
        <f>IF('1. INTRO'!I$2="English","Full cost","Full kostnad")</f>
        <v>Full cost</v>
      </c>
      <c r="C3402" s="127"/>
      <c r="D3402" s="127"/>
      <c r="E3402" s="127"/>
      <c r="F3402" s="127"/>
      <c r="G3402" s="127"/>
      <c r="H3402" s="127"/>
      <c r="I3402" s="127"/>
      <c r="J3402" s="127"/>
      <c r="K3402" s="127"/>
      <c r="L3402" s="127"/>
      <c r="M3402" s="137"/>
    </row>
    <row r="3403" spans="2:15" s="3" customFormat="1" ht="13.2" x14ac:dyDescent="0.25">
      <c r="B3403" s="113" t="str">
        <f>IF('1. INTRO'!I$2="English","Salary including social costs (LKP)","Lön inklusive LKP")</f>
        <v>Salary including social costs (LKP)</v>
      </c>
      <c r="C3403" s="138">
        <f>C3385+C3394+C3395</f>
        <v>0</v>
      </c>
      <c r="D3403" s="138">
        <f t="shared" ref="D3403:L3403" si="810">D3385+D3394+D3395</f>
        <v>0</v>
      </c>
      <c r="E3403" s="138">
        <f t="shared" si="810"/>
        <v>0</v>
      </c>
      <c r="F3403" s="138">
        <f t="shared" si="810"/>
        <v>0</v>
      </c>
      <c r="G3403" s="138">
        <f t="shared" si="810"/>
        <v>0</v>
      </c>
      <c r="H3403" s="138">
        <f t="shared" si="810"/>
        <v>0</v>
      </c>
      <c r="I3403" s="138">
        <f t="shared" si="810"/>
        <v>0</v>
      </c>
      <c r="J3403" s="138">
        <f t="shared" si="810"/>
        <v>0</v>
      </c>
      <c r="K3403" s="138">
        <f t="shared" si="810"/>
        <v>0</v>
      </c>
      <c r="L3403" s="138">
        <f t="shared" si="810"/>
        <v>0</v>
      </c>
      <c r="M3403" s="115">
        <f>SUM(C3403:L3403)</f>
        <v>0</v>
      </c>
    </row>
    <row r="3404" spans="2:15" s="3" customFormat="1" ht="13.2" x14ac:dyDescent="0.25">
      <c r="B3404" s="80" t="str">
        <f>IF('1. INTRO'!I$2="English","Operating","Drift")</f>
        <v>Operating</v>
      </c>
      <c r="C3404" s="139">
        <f>C3386+C3396</f>
        <v>0</v>
      </c>
      <c r="D3404" s="139">
        <f t="shared" ref="D3404:L3404" si="811">D3386+D3396</f>
        <v>0</v>
      </c>
      <c r="E3404" s="139">
        <f t="shared" si="811"/>
        <v>0</v>
      </c>
      <c r="F3404" s="139">
        <f t="shared" si="811"/>
        <v>0</v>
      </c>
      <c r="G3404" s="139">
        <f t="shared" si="811"/>
        <v>0</v>
      </c>
      <c r="H3404" s="139">
        <f t="shared" si="811"/>
        <v>0</v>
      </c>
      <c r="I3404" s="139">
        <f t="shared" si="811"/>
        <v>0</v>
      </c>
      <c r="J3404" s="139">
        <f t="shared" si="811"/>
        <v>0</v>
      </c>
      <c r="K3404" s="139">
        <f t="shared" si="811"/>
        <v>0</v>
      </c>
      <c r="L3404" s="139">
        <f t="shared" si="811"/>
        <v>0</v>
      </c>
      <c r="M3404" s="117">
        <f>SUM(C3404:L3404)</f>
        <v>0</v>
      </c>
    </row>
    <row r="3405" spans="2:15" s="3" customFormat="1" ht="13.2" x14ac:dyDescent="0.25">
      <c r="B3405" s="118" t="str">
        <f>IF('1. INTRO'!I$2="English","Equipment","Utrustning")</f>
        <v>Equipment</v>
      </c>
      <c r="C3405" s="140">
        <f>C3387+C3397</f>
        <v>0</v>
      </c>
      <c r="D3405" s="140">
        <f t="shared" ref="D3405:L3405" si="812">D3387+D3397</f>
        <v>0</v>
      </c>
      <c r="E3405" s="140">
        <f t="shared" si="812"/>
        <v>0</v>
      </c>
      <c r="F3405" s="140">
        <f t="shared" si="812"/>
        <v>0</v>
      </c>
      <c r="G3405" s="140">
        <f t="shared" si="812"/>
        <v>0</v>
      </c>
      <c r="H3405" s="140">
        <f t="shared" si="812"/>
        <v>0</v>
      </c>
      <c r="I3405" s="140">
        <f t="shared" si="812"/>
        <v>0</v>
      </c>
      <c r="J3405" s="140">
        <f t="shared" si="812"/>
        <v>0</v>
      </c>
      <c r="K3405" s="140">
        <f t="shared" si="812"/>
        <v>0</v>
      </c>
      <c r="L3405" s="140">
        <f t="shared" si="812"/>
        <v>0</v>
      </c>
      <c r="M3405" s="120">
        <f>SUM(C3405:L3405)</f>
        <v>0</v>
      </c>
    </row>
    <row r="3406" spans="2:15" s="3" customFormat="1" ht="13.2" x14ac:dyDescent="0.25">
      <c r="B3406" s="80" t="str">
        <f>IF('1. INTRO'!I$2="English","Facility","Lokal")</f>
        <v>Facility</v>
      </c>
      <c r="C3406" s="139">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39">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39">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39">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39">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39">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39">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39">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39">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39">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117">
        <f>SUM(C3406:L3406)</f>
        <v>0</v>
      </c>
    </row>
    <row r="3407" spans="2:15" s="3" customFormat="1" ht="13.2" x14ac:dyDescent="0.25">
      <c r="B3407" s="601" t="str">
        <f>IF('1. INTRO'!I$2="English","Indirect","Indirekt")</f>
        <v>Indirect</v>
      </c>
      <c r="C3407" s="141">
        <f>SUMIF('5. PERSON'!$B$17:$B$192,$C3382,'5. PERSON'!BR$17:BR$192)+SUMIF('5. PERSON'!$B$17:$B$192,$C3382,'5. PERSON'!CD$17:CD$192)+SUMIF('6. OPERATION'!$B$17:$B$149,$C3382,'6. OPERATION'!AU$17:AU$149)+SUMIF('6. OPERATION'!$B$17:$B$149,$C3382,'6. OPERATION'!BG$17:BG$149)</f>
        <v>0</v>
      </c>
      <c r="D3407" s="141">
        <f>SUMIF('5. PERSON'!$B$17:$B$192,$C3382,'5. PERSON'!BS$17:BS$192)+SUMIF('5. PERSON'!$B$17:$B$192,$C3382,'5. PERSON'!CE$17:CE$192)+SUMIF('6. OPERATION'!$B$17:$B$149,$C3382,'6. OPERATION'!AV$17:AV$149)+SUMIF('6. OPERATION'!$B$17:$B$149,$C3382,'6. OPERATION'!BH$17:BH$149)</f>
        <v>0</v>
      </c>
      <c r="E3407" s="141">
        <f>SUMIF('5. PERSON'!$B$17:$B$192,$C3382,'5. PERSON'!BT$17:BT$192)+SUMIF('5. PERSON'!$B$17:$B$192,$C3382,'5. PERSON'!CF$17:CF$192)+SUMIF('6. OPERATION'!$B$17:$B$149,$C3382,'6. OPERATION'!AW$17:AW$149)+SUMIF('6. OPERATION'!$B$17:$B$149,$C3382,'6. OPERATION'!BI$17:BI$149)</f>
        <v>0</v>
      </c>
      <c r="F3407" s="141">
        <f>SUMIF('5. PERSON'!$B$17:$B$192,$C3382,'5. PERSON'!BU$17:BU$192)+SUMIF('5. PERSON'!$B$17:$B$192,$C3382,'5. PERSON'!CG$17:CG$192)+SUMIF('6. OPERATION'!$B$17:$B$149,$C3382,'6. OPERATION'!AX$17:AX$149)+SUMIF('6. OPERATION'!$B$17:$B$149,$C3382,'6. OPERATION'!BJ$17:BJ$149)</f>
        <v>0</v>
      </c>
      <c r="G3407" s="141">
        <f>SUMIF('5. PERSON'!$B$17:$B$192,$C3382,'5. PERSON'!BV$17:BV$192)+SUMIF('5. PERSON'!$B$17:$B$192,$C3382,'5. PERSON'!CH$17:CH$192)+SUMIF('6. OPERATION'!$B$17:$B$149,$C3382,'6. OPERATION'!AY$17:AY$149)+SUMIF('6. OPERATION'!$B$17:$B$149,$C3382,'6. OPERATION'!BK$17:BK$149)</f>
        <v>0</v>
      </c>
      <c r="H3407" s="141">
        <f>SUMIF('5. PERSON'!$B$17:$B$192,$C3382,'5. PERSON'!BW$17:BW$192)+SUMIF('5. PERSON'!$B$17:$B$192,$C3382,'5. PERSON'!CI$17:CI$192)+SUMIF('6. OPERATION'!$B$17:$B$149,$C3382,'6. OPERATION'!AZ$17:AZ$149)+SUMIF('6. OPERATION'!$B$17:$B$149,$C3382,'6. OPERATION'!BL$17:BL$149)</f>
        <v>0</v>
      </c>
      <c r="I3407" s="141">
        <f>SUMIF('5. PERSON'!$B$17:$B$192,$C3382,'5. PERSON'!BX$17:BX$192)+SUMIF('5. PERSON'!$B$17:$B$192,$C3382,'5. PERSON'!CJ$17:CJ$192)+SUMIF('6. OPERATION'!$B$17:$B$149,$C3382,'6. OPERATION'!BA$17:BA$149)+SUMIF('6. OPERATION'!$B$17:$B$149,$C3382,'6. OPERATION'!BM$17:BM$149)</f>
        <v>0</v>
      </c>
      <c r="J3407" s="141">
        <f>SUMIF('5. PERSON'!$B$17:$B$192,$C3382,'5. PERSON'!BY$17:BY$192)+SUMIF('5. PERSON'!$B$17:$B$192,$C3382,'5. PERSON'!CK$17:CK$192)+SUMIF('6. OPERATION'!$B$17:$B$149,$C3382,'6. OPERATION'!BB$17:BB$149)+SUMIF('6. OPERATION'!$B$17:$B$149,$C3382,'6. OPERATION'!BN$17:BN$149)</f>
        <v>0</v>
      </c>
      <c r="K3407" s="141">
        <f>SUMIF('5. PERSON'!$B$17:$B$192,$C3382,'5. PERSON'!BZ$17:BZ$192)+SUMIF('5. PERSON'!$B$17:$B$192,$C3382,'5. PERSON'!CL$17:CL$192)+SUMIF('6. OPERATION'!$B$17:$B$149,$C3382,'6. OPERATION'!BC$17:BC$149)+SUMIF('6. OPERATION'!$B$17:$B$149,$C3382,'6. OPERATION'!BO$17:BO$149)</f>
        <v>0</v>
      </c>
      <c r="L3407" s="141">
        <f>SUMIF('5. PERSON'!$B$17:$B$192,$C3382,'5. PERSON'!CA$17:CA$192)+SUMIF('5. PERSON'!$B$17:$B$192,$C3382,'5. PERSON'!CM$17:CM$192)+SUMIF('6. OPERATION'!$B$17:$B$149,$C3382,'6. OPERATION'!BD$17:BD$149)+SUMIF('6. OPERATION'!$B$17:$B$149,$C3382,'6. OPERATION'!BP$17:BP$149)</f>
        <v>0</v>
      </c>
      <c r="M3407" s="123">
        <f>SUM(C3407:L3407)</f>
        <v>0</v>
      </c>
    </row>
    <row r="3408" spans="2:15" s="3" customFormat="1" ht="13.2" x14ac:dyDescent="0.25">
      <c r="B3408" s="124" t="s">
        <v>113</v>
      </c>
      <c r="C3408" s="88">
        <f>SUM(C3403:C3407)</f>
        <v>0</v>
      </c>
      <c r="D3408" s="88">
        <f t="shared" ref="D3408:M3408" si="813">SUM(D3403:D3407)</f>
        <v>0</v>
      </c>
      <c r="E3408" s="88">
        <f t="shared" si="813"/>
        <v>0</v>
      </c>
      <c r="F3408" s="88">
        <f t="shared" si="813"/>
        <v>0</v>
      </c>
      <c r="G3408" s="88">
        <f t="shared" si="813"/>
        <v>0</v>
      </c>
      <c r="H3408" s="88">
        <f t="shared" si="813"/>
        <v>0</v>
      </c>
      <c r="I3408" s="88">
        <f t="shared" si="813"/>
        <v>0</v>
      </c>
      <c r="J3408" s="88">
        <f t="shared" si="813"/>
        <v>0</v>
      </c>
      <c r="K3408" s="88">
        <f t="shared" si="813"/>
        <v>0</v>
      </c>
      <c r="L3408" s="88">
        <f t="shared" si="813"/>
        <v>0</v>
      </c>
      <c r="M3408" s="142">
        <f t="shared" si="813"/>
        <v>0</v>
      </c>
    </row>
    <row r="3409" spans="2:13" s="3" customFormat="1" ht="13.2" x14ac:dyDescent="0.25">
      <c r="B3409" s="287"/>
      <c r="C3409" s="37"/>
      <c r="D3409" s="37"/>
      <c r="E3409" s="37"/>
      <c r="F3409" s="37"/>
      <c r="G3409" s="37"/>
      <c r="H3409" s="37"/>
      <c r="I3409" s="37"/>
      <c r="J3409" s="37"/>
      <c r="K3409" s="37"/>
      <c r="L3409" s="37"/>
      <c r="M3409" s="37"/>
    </row>
    <row r="3410" spans="2:13" s="3" customFormat="1" ht="12.75" customHeight="1" x14ac:dyDescent="0.25">
      <c r="B3410" s="656" t="str">
        <f>IF('1. INTRO'!I$2="English","Co-funding share in full cost ","Medfinansieringsandel i full kostnad ")</f>
        <v xml:space="preserve">Co-funding share in full cost </v>
      </c>
      <c r="C3410" s="143" t="str">
        <f t="shared" ref="C3410:M3410" si="814">IF(C3408&gt;0,C3400/C3408,"")</f>
        <v/>
      </c>
      <c r="D3410" s="143" t="str">
        <f t="shared" si="814"/>
        <v/>
      </c>
      <c r="E3410" s="143" t="str">
        <f t="shared" si="814"/>
        <v/>
      </c>
      <c r="F3410" s="143" t="str">
        <f t="shared" si="814"/>
        <v/>
      </c>
      <c r="G3410" s="143" t="str">
        <f t="shared" si="814"/>
        <v/>
      </c>
      <c r="H3410" s="143" t="str">
        <f t="shared" si="814"/>
        <v/>
      </c>
      <c r="I3410" s="143" t="str">
        <f t="shared" si="814"/>
        <v/>
      </c>
      <c r="J3410" s="143" t="str">
        <f t="shared" si="814"/>
        <v/>
      </c>
      <c r="K3410" s="143" t="str">
        <f t="shared" si="814"/>
        <v/>
      </c>
      <c r="L3410" s="143" t="str">
        <f t="shared" si="814"/>
        <v/>
      </c>
      <c r="M3410" s="143" t="str">
        <f t="shared" si="814"/>
        <v/>
      </c>
    </row>
    <row r="3411" spans="2:13" ht="12.75" customHeight="1" x14ac:dyDescent="0.2"/>
    <row r="3412" spans="2:13" ht="12.75" customHeight="1" x14ac:dyDescent="0.25">
      <c r="D3412" s="676" t="str">
        <f>IF('1. INTRO'!I$2="English","Co-funding need in average per year: ","Medfinansieringsbehov i genomsnitt per år: ")</f>
        <v xml:space="preserve">Co-funding need in average per year: </v>
      </c>
      <c r="E3412" s="92" t="str">
        <f>IF(M3400=0,"",M3400/(DATEDIF('2. START'!C$18,'2. START'!C$19,"d")/365))</f>
        <v/>
      </c>
      <c r="H3412" s="676" t="str">
        <f>IF('1. INTRO'!I$2="English","Co-funding need 1/3 of total: ","Medfinansieringsbehov 1/3 av totalt: ")</f>
        <v xml:space="preserve">Co-funding need 1/3 of total: </v>
      </c>
      <c r="I3412" s="92">
        <f>M3400/3</f>
        <v>0</v>
      </c>
      <c r="L3412" s="287" t="str">
        <f>IF('1. INTRO'!I$2="English","Co-funding need total: ","Medfinansieringsbehov totalt: ")</f>
        <v xml:space="preserve">Co-funding need total: </v>
      </c>
      <c r="M3412" s="92">
        <f>M3400</f>
        <v>0</v>
      </c>
    </row>
    <row r="3413" spans="2:13" ht="12.75" customHeight="1" x14ac:dyDescent="0.25">
      <c r="B3413" s="53" t="str">
        <f>IF('1. INTRO'!I$2="English","Co-funding sources","Medfinansieringskällor")</f>
        <v>Co-funding sources</v>
      </c>
    </row>
    <row r="3414" spans="2:13" ht="12.75" customHeight="1" x14ac:dyDescent="0.25">
      <c r="B3414" s="225"/>
      <c r="C3414" s="226"/>
      <c r="D3414" s="226"/>
      <c r="E3414" s="226"/>
      <c r="F3414" s="226"/>
      <c r="G3414" s="226"/>
      <c r="H3414" s="226"/>
      <c r="I3414" s="226"/>
      <c r="J3414" s="226"/>
      <c r="K3414" s="226"/>
      <c r="L3414" s="227"/>
      <c r="M3414" s="168">
        <f>SUM(C3414:L3414)</f>
        <v>0</v>
      </c>
    </row>
    <row r="3415" spans="2:13" ht="12.75" customHeight="1" x14ac:dyDescent="0.25">
      <c r="B3415" s="228"/>
      <c r="C3415" s="229"/>
      <c r="D3415" s="229"/>
      <c r="E3415" s="229"/>
      <c r="F3415" s="229"/>
      <c r="G3415" s="229"/>
      <c r="H3415" s="229"/>
      <c r="I3415" s="229"/>
      <c r="J3415" s="229"/>
      <c r="K3415" s="229"/>
      <c r="L3415" s="230"/>
      <c r="M3415" s="120">
        <f t="shared" ref="M3415:M3418" si="815">SUM(C3415:L3415)</f>
        <v>0</v>
      </c>
    </row>
    <row r="3416" spans="2:13" ht="12.75" customHeight="1" x14ac:dyDescent="0.25">
      <c r="B3416" s="231"/>
      <c r="C3416" s="232"/>
      <c r="D3416" s="232"/>
      <c r="E3416" s="232"/>
      <c r="F3416" s="232"/>
      <c r="G3416" s="232"/>
      <c r="H3416" s="232"/>
      <c r="I3416" s="232"/>
      <c r="J3416" s="232"/>
      <c r="K3416" s="232"/>
      <c r="L3416" s="233"/>
      <c r="M3416" s="117">
        <f t="shared" si="815"/>
        <v>0</v>
      </c>
    </row>
    <row r="3417" spans="2:13" ht="12.75" customHeight="1" x14ac:dyDescent="0.25">
      <c r="B3417" s="228"/>
      <c r="C3417" s="229"/>
      <c r="D3417" s="229"/>
      <c r="E3417" s="229"/>
      <c r="F3417" s="229"/>
      <c r="G3417" s="229"/>
      <c r="H3417" s="229"/>
      <c r="I3417" s="229"/>
      <c r="J3417" s="229"/>
      <c r="K3417" s="229"/>
      <c r="L3417" s="230"/>
      <c r="M3417" s="120">
        <f t="shared" si="815"/>
        <v>0</v>
      </c>
    </row>
    <row r="3418" spans="2:13" ht="12.75" customHeight="1" x14ac:dyDescent="0.25">
      <c r="B3418" s="93"/>
      <c r="C3418" s="232"/>
      <c r="D3418" s="232"/>
      <c r="E3418" s="232"/>
      <c r="F3418" s="232"/>
      <c r="G3418" s="232"/>
      <c r="H3418" s="232"/>
      <c r="I3418" s="232"/>
      <c r="J3418" s="232"/>
      <c r="K3418" s="232"/>
      <c r="L3418" s="233"/>
      <c r="M3418" s="117">
        <f t="shared" si="815"/>
        <v>0</v>
      </c>
    </row>
    <row r="3419" spans="2:13" ht="12.75" customHeight="1" x14ac:dyDescent="0.25">
      <c r="B3419" s="84" t="str">
        <f>IF('1. INTRO'!I$2="English","Total co-funding ","Total medfinansiering ")</f>
        <v xml:space="preserve">Total co-funding </v>
      </c>
      <c r="C3419" s="87">
        <f t="shared" ref="C3419:M3419" si="816">SUM(C3414:C3418)</f>
        <v>0</v>
      </c>
      <c r="D3419" s="87">
        <f t="shared" si="816"/>
        <v>0</v>
      </c>
      <c r="E3419" s="87">
        <f t="shared" si="816"/>
        <v>0</v>
      </c>
      <c r="F3419" s="87">
        <f t="shared" si="816"/>
        <v>0</v>
      </c>
      <c r="G3419" s="87">
        <f t="shared" si="816"/>
        <v>0</v>
      </c>
      <c r="H3419" s="87">
        <f t="shared" si="816"/>
        <v>0</v>
      </c>
      <c r="I3419" s="87">
        <f t="shared" si="816"/>
        <v>0</v>
      </c>
      <c r="J3419" s="87">
        <f t="shared" si="816"/>
        <v>0</v>
      </c>
      <c r="K3419" s="87">
        <f t="shared" si="816"/>
        <v>0</v>
      </c>
      <c r="L3419" s="87">
        <f t="shared" si="816"/>
        <v>0</v>
      </c>
      <c r="M3419" s="142">
        <f t="shared" si="816"/>
        <v>0</v>
      </c>
    </row>
    <row r="3420" spans="2:13" ht="12.75" customHeight="1" x14ac:dyDescent="0.2"/>
    <row r="3421" spans="2:13" ht="12.75" customHeight="1" x14ac:dyDescent="0.2">
      <c r="B3421" s="667" t="str">
        <f>IF('1. INTRO'!I$2="English","Calculation comments","Kalkylkommentarer")</f>
        <v>Calculation comments</v>
      </c>
      <c r="C3421" s="37" t="str">
        <f>B80</f>
        <v/>
      </c>
      <c r="G3421" s="37">
        <f>J80</f>
        <v>0</v>
      </c>
    </row>
    <row r="3422" spans="2:13" ht="12.75" customHeight="1" x14ac:dyDescent="0.2">
      <c r="B3422" s="1142"/>
      <c r="C3422" s="1143"/>
      <c r="D3422" s="1143"/>
      <c r="E3422" s="1143"/>
      <c r="F3422" s="1143"/>
      <c r="G3422" s="1143"/>
      <c r="H3422" s="1143"/>
      <c r="I3422" s="1143"/>
      <c r="J3422" s="1143"/>
      <c r="K3422" s="1143"/>
      <c r="L3422" s="1143"/>
      <c r="M3422" s="1144"/>
    </row>
    <row r="3423" spans="2:13" ht="12.75" customHeight="1" x14ac:dyDescent="0.2">
      <c r="B3423" s="1145"/>
      <c r="C3423" s="1226"/>
      <c r="D3423" s="1226"/>
      <c r="E3423" s="1226"/>
      <c r="F3423" s="1226"/>
      <c r="G3423" s="1226"/>
      <c r="H3423" s="1226"/>
      <c r="I3423" s="1226"/>
      <c r="J3423" s="1226"/>
      <c r="K3423" s="1226"/>
      <c r="L3423" s="1226"/>
      <c r="M3423" s="1147"/>
    </row>
    <row r="3424" spans="2:13" ht="12.75" customHeight="1" x14ac:dyDescent="0.2">
      <c r="B3424" s="1145"/>
      <c r="C3424" s="1226"/>
      <c r="D3424" s="1226"/>
      <c r="E3424" s="1226"/>
      <c r="F3424" s="1226"/>
      <c r="G3424" s="1226"/>
      <c r="H3424" s="1226"/>
      <c r="I3424" s="1226"/>
      <c r="J3424" s="1226"/>
      <c r="K3424" s="1226"/>
      <c r="L3424" s="1226"/>
      <c r="M3424" s="1147"/>
    </row>
    <row r="3425" spans="2:15" ht="12.75" customHeight="1" x14ac:dyDescent="0.2">
      <c r="B3425" s="1145"/>
      <c r="C3425" s="1226"/>
      <c r="D3425" s="1226"/>
      <c r="E3425" s="1226"/>
      <c r="F3425" s="1226"/>
      <c r="G3425" s="1226"/>
      <c r="H3425" s="1226"/>
      <c r="I3425" s="1226"/>
      <c r="J3425" s="1226"/>
      <c r="K3425" s="1226"/>
      <c r="L3425" s="1226"/>
      <c r="M3425" s="1147"/>
    </row>
    <row r="3426" spans="2:15" ht="12.75" customHeight="1" x14ac:dyDescent="0.2">
      <c r="B3426" s="1148"/>
      <c r="C3426" s="1149"/>
      <c r="D3426" s="1149"/>
      <c r="E3426" s="1149"/>
      <c r="F3426" s="1149"/>
      <c r="G3426" s="1149"/>
      <c r="H3426" s="1149"/>
      <c r="I3426" s="1149"/>
      <c r="J3426" s="1149"/>
      <c r="K3426" s="1149"/>
      <c r="L3426" s="1149"/>
      <c r="M3426" s="1150"/>
    </row>
    <row r="3427" spans="2:15" ht="12.75" customHeight="1" x14ac:dyDescent="0.2">
      <c r="B3427" s="169"/>
      <c r="C3427" s="169"/>
      <c r="D3427" s="169"/>
      <c r="E3427" s="169"/>
      <c r="F3427" s="169"/>
      <c r="G3427" s="169"/>
      <c r="H3427" s="169"/>
      <c r="I3427" s="169"/>
      <c r="J3427" s="169"/>
      <c r="K3427" s="169"/>
      <c r="L3427" s="169"/>
      <c r="M3427" s="169"/>
    </row>
    <row r="3428" spans="2:15" s="3" customFormat="1" ht="12.75" customHeight="1" x14ac:dyDescent="0.25">
      <c r="B3428" s="313" t="str">
        <f>'3. PARTNER'!C$4</f>
        <v xml:space="preserve">Project: </v>
      </c>
      <c r="C3428" s="1062" t="str">
        <f>'3. PARTNER'!D$4</f>
        <v/>
      </c>
      <c r="D3428" s="1001"/>
      <c r="E3428" s="1001"/>
      <c r="F3428" s="1001"/>
      <c r="G3428" s="1001"/>
      <c r="H3428" s="1001"/>
      <c r="I3428" s="1001"/>
      <c r="J3428" s="1001"/>
      <c r="K3428" s="1001"/>
      <c r="L3428" s="1001"/>
      <c r="M3428" s="1001"/>
    </row>
    <row r="3429" spans="2:15" s="3" customFormat="1" ht="13.2" x14ac:dyDescent="0.25">
      <c r="B3429" s="313" t="str">
        <f>'3. PARTNER'!C$5</f>
        <v xml:space="preserve">Calculation for: </v>
      </c>
      <c r="C3429" s="1062" t="str">
        <f>'3. PARTNER'!D$5</f>
        <v>APPLICATION</v>
      </c>
      <c r="D3429" s="1001"/>
      <c r="E3429" s="268"/>
      <c r="F3429" s="268"/>
      <c r="G3429" s="268"/>
      <c r="H3429" s="268"/>
      <c r="I3429" s="268"/>
      <c r="J3429" s="268"/>
      <c r="K3429" s="268"/>
      <c r="L3429" s="268"/>
      <c r="M3429" s="268"/>
    </row>
    <row r="3430" spans="2:15" s="3" customFormat="1" ht="13.2" x14ac:dyDescent="0.25">
      <c r="B3430" s="35" t="str">
        <f>'3. PARTNER'!C$6</f>
        <v xml:space="preserve">Project leader: </v>
      </c>
      <c r="C3430" s="1062" t="str">
        <f>'3. PARTNER'!D$6</f>
        <v/>
      </c>
      <c r="D3430" s="1001"/>
      <c r="E3430" s="1001"/>
      <c r="F3430" s="1001"/>
      <c r="G3430" s="1001"/>
      <c r="H3430" s="1001"/>
      <c r="I3430" s="1001"/>
      <c r="J3430" s="1001"/>
      <c r="K3430" s="1001"/>
      <c r="L3430" s="1001"/>
      <c r="M3430" s="1001"/>
    </row>
    <row r="3431" spans="2:15" s="3" customFormat="1" ht="13.2" x14ac:dyDescent="0.25">
      <c r="B3431" s="313" t="str">
        <f>'5. PERSON'!B$7</f>
        <v xml:space="preserve">Amounts in: </v>
      </c>
      <c r="C3431" s="655" t="str">
        <f>'5. PERSON'!C$7</f>
        <v>SEK</v>
      </c>
      <c r="D3431" s="268"/>
      <c r="E3431" s="268"/>
      <c r="F3431" s="268"/>
      <c r="G3431" s="234"/>
      <c r="H3431" s="234"/>
      <c r="I3431" s="270"/>
      <c r="J3431" s="270"/>
      <c r="K3431" s="270"/>
      <c r="L3431" s="270"/>
      <c r="M3431" s="270"/>
    </row>
    <row r="3432" spans="2:15" s="3" customFormat="1" ht="13.2" x14ac:dyDescent="0.25">
      <c r="B3432" s="313"/>
      <c r="C3432" s="1053" t="str">
        <f>'3. PARTNER'!D$7</f>
        <v>Other basic data about the project is in sheet 2.</v>
      </c>
      <c r="D3432" s="1001"/>
      <c r="E3432" s="1001"/>
      <c r="F3432" s="1001"/>
      <c r="G3432" s="234"/>
      <c r="H3432" s="234"/>
      <c r="I3432" s="270"/>
      <c r="J3432" s="270"/>
      <c r="K3432" s="270"/>
      <c r="L3432" s="251" t="s">
        <v>4</v>
      </c>
      <c r="M3432" s="270"/>
    </row>
    <row r="3433" spans="2:15" ht="12.75" customHeight="1" x14ac:dyDescent="0.2">
      <c r="L3433" s="252" t="str">
        <f>IF('1. INTRO'!I$2="English","months","månader")</f>
        <v>months</v>
      </c>
    </row>
    <row r="3434" spans="2:15" s="3" customFormat="1" ht="13.8" x14ac:dyDescent="0.25">
      <c r="B3434" s="157" t="str">
        <f>IF('1. INTRO'!I$2="English","Project costs","Projektkostnader")</f>
        <v>Project costs</v>
      </c>
      <c r="C3434" s="668" t="str">
        <f>A81</f>
        <v>EXT123</v>
      </c>
      <c r="D3434" s="1227" t="str">
        <f>B81</f>
        <v/>
      </c>
      <c r="E3434" s="1001"/>
      <c r="F3434" s="1001"/>
      <c r="G3434" s="1001"/>
      <c r="H3434" s="1001"/>
      <c r="I3434" s="37"/>
      <c r="J3434" s="37"/>
      <c r="K3434" s="37"/>
      <c r="L3434" s="642">
        <f>SUMIF('5. PERSON'!$B$17:$B$192,$C3434,'5. PERSON'!AE$17:AE$192)</f>
        <v>0</v>
      </c>
      <c r="M3434" s="680" t="s">
        <v>330</v>
      </c>
    </row>
    <row r="3435" spans="2:15" s="3" customFormat="1" ht="6" customHeight="1" x14ac:dyDescent="0.25">
      <c r="B3435" s="57"/>
      <c r="C3435" s="37"/>
      <c r="D3435" s="37"/>
      <c r="E3435" s="37"/>
      <c r="F3435" s="37"/>
      <c r="G3435" s="37"/>
      <c r="H3435" s="37"/>
      <c r="I3435" s="37"/>
      <c r="J3435" s="37"/>
      <c r="K3435" s="37"/>
      <c r="L3435" s="37"/>
      <c r="M3435" s="37"/>
    </row>
    <row r="3436" spans="2:15" s="3" customFormat="1" ht="13.2" x14ac:dyDescent="0.25">
      <c r="B3436" s="110" t="str">
        <f>IF('1. INTRO'!I$2="English","Costs to be covered by funding body","Kostnader att täckas av finansiär")</f>
        <v>Costs to be covered by funding body</v>
      </c>
      <c r="C3436" s="111">
        <f>'5. PERSON'!G$15</f>
        <v>1900</v>
      </c>
      <c r="D3436" s="111" t="str">
        <f>'5. PERSON'!H$15</f>
        <v/>
      </c>
      <c r="E3436" s="111" t="str">
        <f>'5. PERSON'!I$15</f>
        <v/>
      </c>
      <c r="F3436" s="111" t="str">
        <f>'5. PERSON'!J$15</f>
        <v/>
      </c>
      <c r="G3436" s="111" t="str">
        <f>'5. PERSON'!K$15</f>
        <v/>
      </c>
      <c r="H3436" s="111" t="str">
        <f>'5. PERSON'!L$15</f>
        <v/>
      </c>
      <c r="I3436" s="111" t="str">
        <f>'5. PERSON'!M$15</f>
        <v/>
      </c>
      <c r="J3436" s="111" t="str">
        <f>'5. PERSON'!N$15</f>
        <v/>
      </c>
      <c r="K3436" s="111" t="str">
        <f>'5. PERSON'!O$15</f>
        <v/>
      </c>
      <c r="L3436" s="111" t="str">
        <f>'5. PERSON'!P$15</f>
        <v/>
      </c>
      <c r="M3436" s="112" t="s">
        <v>2</v>
      </c>
    </row>
    <row r="3437" spans="2:15" s="3" customFormat="1" ht="12.75" customHeight="1" x14ac:dyDescent="0.25">
      <c r="B3437" s="113" t="str">
        <f>IF('1. INTRO'!I$2="English","Salary including social costs (LKP)","Lön inklusive LKP")</f>
        <v>Salary including social costs (LKP)</v>
      </c>
      <c r="C3437" s="114">
        <f>IF('2. START'!$C$14&gt;0,SUMIF('5. PERSON'!$B$17:$B$192,$C3434,'5. PERSON'!DN$17:DN$192),SUMIF('5. PERSON'!$B$17:$B$192,$C3434,'5. PERSON'!AT$17:AT$192))</f>
        <v>0</v>
      </c>
      <c r="D3437" s="114">
        <f>IF('2. START'!$C$14&gt;0,SUMIF('5. PERSON'!$B$17:$B$192,$C3434,'5. PERSON'!DO$17:DO$192),SUMIF('5. PERSON'!$B$17:$B$192,$C3434,'5. PERSON'!AU$17:AU$192))</f>
        <v>0</v>
      </c>
      <c r="E3437" s="114">
        <f>IF('2. START'!$C$14&gt;0,SUMIF('5. PERSON'!$B$17:$B$192,$C3434,'5. PERSON'!DP$17:DP$192),SUMIF('5. PERSON'!$B$17:$B$192,$C3434,'5. PERSON'!AV$17:AV$192))</f>
        <v>0</v>
      </c>
      <c r="F3437" s="114">
        <f>IF('2. START'!$C$14&gt;0,SUMIF('5. PERSON'!$B$17:$B$192,$C3434,'5. PERSON'!DQ$17:DQ$192),SUMIF('5. PERSON'!$B$17:$B$192,$C3434,'5. PERSON'!AW$17:AW$192))</f>
        <v>0</v>
      </c>
      <c r="G3437" s="114">
        <f>IF('2. START'!$C$14&gt;0,SUMIF('5. PERSON'!$B$17:$B$192,$C3434,'5. PERSON'!DR$17:DR$192),SUMIF('5. PERSON'!$B$17:$B$192,$C3434,'5. PERSON'!AX$17:AX$192))</f>
        <v>0</v>
      </c>
      <c r="H3437" s="114">
        <f>IF('2. START'!$C$14&gt;0,SUMIF('5. PERSON'!$B$17:$B$192,$C3434,'5. PERSON'!DS$17:DS$192),SUMIF('5. PERSON'!$B$17:$B$192,$C3434,'5. PERSON'!AY$17:AY$192))</f>
        <v>0</v>
      </c>
      <c r="I3437" s="114">
        <f>IF('2. START'!$C$14&gt;0,SUMIF('5. PERSON'!$B$17:$B$192,$C3434,'5. PERSON'!DT$17:DT$192),SUMIF('5. PERSON'!$B$17:$B$192,$C3434,'5. PERSON'!AZ$17:AZ$192))</f>
        <v>0</v>
      </c>
      <c r="J3437" s="114">
        <f>IF('2. START'!$C$14&gt;0,SUMIF('5. PERSON'!$B$17:$B$192,$C3434,'5. PERSON'!DU$17:DU$192),SUMIF('5. PERSON'!$B$17:$B$192,$C3434,'5. PERSON'!BA$17:BA$192))</f>
        <v>0</v>
      </c>
      <c r="K3437" s="114">
        <f>IF('2. START'!$C$14&gt;0,SUMIF('5. PERSON'!$B$17:$B$192,$C3434,'5. PERSON'!DV$17:DV$192),SUMIF('5. PERSON'!$B$17:$B$192,$C3434,'5. PERSON'!BB$17:BB$192))</f>
        <v>0</v>
      </c>
      <c r="L3437" s="114">
        <f>IF('2. START'!$C$14&gt;0,SUMIF('5. PERSON'!$B$17:$B$192,$C3434,'5. PERSON'!DW$17:DW$192),SUMIF('5. PERSON'!$B$17:$B$192,$C3434,'5. PERSON'!BC$17:BC$192))</f>
        <v>0</v>
      </c>
      <c r="M3437" s="115">
        <f t="shared" ref="M3437:M3442" si="817">SUM(C3437:L3437)</f>
        <v>0</v>
      </c>
      <c r="O3437" s="4"/>
    </row>
    <row r="3438" spans="2:15" s="3" customFormat="1" ht="12.75" customHeight="1" x14ac:dyDescent="0.25">
      <c r="B3438" s="80" t="str">
        <f>IF('1. INTRO'!I$2="English","Operating","Drift")</f>
        <v>Operating</v>
      </c>
      <c r="C3438" s="116">
        <f>SUMIF('6. OPERATION'!$B$17:$B$149,$C3434,'6. OPERATION'!W$17:W$149)</f>
        <v>0</v>
      </c>
      <c r="D3438" s="116">
        <f>SUMIF('6. OPERATION'!$B$17:$B$149,$C3434,'6. OPERATION'!X$17:X$149)</f>
        <v>0</v>
      </c>
      <c r="E3438" s="116">
        <f>SUMIF('6. OPERATION'!$B$17:$B$149,$C3434,'6. OPERATION'!Y$17:Y$149)</f>
        <v>0</v>
      </c>
      <c r="F3438" s="116">
        <f>SUMIF('6. OPERATION'!$B$17:$B$149,$C3434,'6. OPERATION'!Z$17:Z$149)</f>
        <v>0</v>
      </c>
      <c r="G3438" s="116">
        <f>SUMIF('6. OPERATION'!$B$17:$B$149,$C3434,'6. OPERATION'!AA$17:AA$149)</f>
        <v>0</v>
      </c>
      <c r="H3438" s="116">
        <f>SUMIF('6. OPERATION'!$B$17:$B$149,$C3434,'6. OPERATION'!AB$17:AB$149)</f>
        <v>0</v>
      </c>
      <c r="I3438" s="116">
        <f>SUMIF('6. OPERATION'!$B$17:$B$149,$C3434,'6. OPERATION'!AC$17:AC$149)</f>
        <v>0</v>
      </c>
      <c r="J3438" s="116">
        <f>SUMIF('6. OPERATION'!$B$17:$B$149,$C3434,'6. OPERATION'!AD$17:AD$149)</f>
        <v>0</v>
      </c>
      <c r="K3438" s="116">
        <f>SUMIF('6. OPERATION'!$B$17:$B$149,$C3434,'6. OPERATION'!AE$17:AE$149)</f>
        <v>0</v>
      </c>
      <c r="L3438" s="116">
        <f>SUMIF('6. OPERATION'!$B$17:$B$149,$C3434,'6. OPERATION'!AF$17:AF$149)</f>
        <v>0</v>
      </c>
      <c r="M3438" s="117">
        <f t="shared" si="817"/>
        <v>0</v>
      </c>
    </row>
    <row r="3439" spans="2:15" s="3" customFormat="1" ht="13.2" x14ac:dyDescent="0.25">
      <c r="B3439" s="118" t="str">
        <f>IF('1. INTRO'!I$2="English","Equipment","Utrustning")</f>
        <v>Equipment</v>
      </c>
      <c r="C3439" s="119">
        <f>SUMIF('7. INVEST'!$B$17:$B$49,$C3434,'7. INVEST'!W$17:W$49)</f>
        <v>0</v>
      </c>
      <c r="D3439" s="119">
        <f>SUMIF('7. INVEST'!$B$17:$B$49,$C3434,'7. INVEST'!X$17:X$49)</f>
        <v>0</v>
      </c>
      <c r="E3439" s="119">
        <f>SUMIF('7. INVEST'!$B$17:$B$49,$C3434,'7. INVEST'!Y$17:Y$49)</f>
        <v>0</v>
      </c>
      <c r="F3439" s="119">
        <f>SUMIF('7. INVEST'!$B$17:$B$49,$C3434,'7. INVEST'!Z$17:Z$49)</f>
        <v>0</v>
      </c>
      <c r="G3439" s="119">
        <f>SUMIF('7. INVEST'!$B$17:$B$49,$C3434,'7. INVEST'!AA$17:AA$49)</f>
        <v>0</v>
      </c>
      <c r="H3439" s="119">
        <f>SUMIF('7. INVEST'!$B$17:$B$49,$C3434,'7. INVEST'!AB$17:AB$49)</f>
        <v>0</v>
      </c>
      <c r="I3439" s="119">
        <f>SUMIF('7. INVEST'!$B$17:$B$49,$C3434,'7. INVEST'!AC$17:AC$49)</f>
        <v>0</v>
      </c>
      <c r="J3439" s="119">
        <f>SUMIF('7. INVEST'!$B$17:$B$49,$C3434,'7. INVEST'!AD$17:AD$49)</f>
        <v>0</v>
      </c>
      <c r="K3439" s="119">
        <f>SUMIF('7. INVEST'!$B$17:$B$49,$C3434,'7. INVEST'!AE$17:AE$49)</f>
        <v>0</v>
      </c>
      <c r="L3439" s="119">
        <f>SUMIF('7. INVEST'!$B$17:$B$49,$C3434,'7. INVEST'!AF$17:AF$49)</f>
        <v>0</v>
      </c>
      <c r="M3439" s="120">
        <f t="shared" si="817"/>
        <v>0</v>
      </c>
    </row>
    <row r="3440" spans="2:15" s="3" customFormat="1" ht="13.2" x14ac:dyDescent="0.25">
      <c r="B3440" s="121" t="str">
        <f>IF('1. INTRO'!I$2="English",(IF('2. START'!C$11="NO","Facility accepted as direct cost by funding body","Facility")),IF('2. START'!C$11="NO","Lokal accepterad som direkt kostnad av finansiär","Lokal"))</f>
        <v>Facility</v>
      </c>
      <c r="C3440" s="116">
        <f>IF('2. START'!$C$11="NO",SUMIF('8. FACILIT'!$B$18:$B$50,$C3434,'8. FACILIT'!T$18:T$50),SUMIF('5. PERSON'!$B$17:$B$192,$C3434,'5. PERSON'!CP$17:CP$192)+SUMIF('6. OPERATION'!$B$17:$B$149,$C3434,'6. OPERATION'!BS$17:BS$149)+SUMIF('8. FACILIT'!$B$18:$B$50,$C3434,'8. FACILIT'!T$18:T$50))</f>
        <v>0</v>
      </c>
      <c r="D3440" s="116">
        <f>IF('2. START'!$C$11="NO",SUMIF('8. FACILIT'!$B$18:$B$50,$C3434,'8. FACILIT'!U$18:U$50),SUMIF('5. PERSON'!$B$17:$B$192,$C3434,'5. PERSON'!CQ$17:CQ$192)+SUMIF('6. OPERATION'!$B$17:$B$149,$C3434,'6. OPERATION'!BT$17:BT$149)+SUMIF('8. FACILIT'!$B$18:$B$50,$C3434,'8. FACILIT'!U$18:U$50))</f>
        <v>0</v>
      </c>
      <c r="E3440" s="116">
        <f>IF('2. START'!$C$11="NO",SUMIF('8. FACILIT'!$B$18:$B$50,$C3434,'8. FACILIT'!V$18:V$50),SUMIF('5. PERSON'!$B$17:$B$192,$C3434,'5. PERSON'!CR$17:CR$192)+SUMIF('6. OPERATION'!$B$17:$B$149,$C3434,'6. OPERATION'!BU$17:BU$149)+SUMIF('8. FACILIT'!$B$18:$B$50,$C3434,'8. FACILIT'!V$18:V$50))</f>
        <v>0</v>
      </c>
      <c r="F3440" s="116">
        <f>IF('2. START'!$C$11="NO",SUMIF('8. FACILIT'!$B$18:$B$50,$C3434,'8. FACILIT'!W$18:W$50),SUMIF('5. PERSON'!$B$17:$B$192,$C3434,'5. PERSON'!CS$17:CS$192)+SUMIF('6. OPERATION'!$B$17:$B$149,$C3434,'6. OPERATION'!BV$17:BV$149)+SUMIF('8. FACILIT'!$B$18:$B$50,$C3434,'8. FACILIT'!W$18:W$50))</f>
        <v>0</v>
      </c>
      <c r="G3440" s="116">
        <f>IF('2. START'!$C$11="NO",SUMIF('8. FACILIT'!$B$18:$B$50,$C3434,'8. FACILIT'!X$18:X$50),SUMIF('5. PERSON'!$B$17:$B$192,$C3434,'5. PERSON'!CT$17:CT$192)+SUMIF('6. OPERATION'!$B$17:$B$149,$C3434,'6. OPERATION'!BW$17:BW$149)+SUMIF('8. FACILIT'!$B$18:$B$50,$C3434,'8. FACILIT'!X$18:X$50))</f>
        <v>0</v>
      </c>
      <c r="H3440" s="116">
        <f>IF('2. START'!$C$11="NO",SUMIF('8. FACILIT'!$B$18:$B$50,$C3434,'8. FACILIT'!Y$18:Y$50),SUMIF('5. PERSON'!$B$17:$B$192,$C3434,'5. PERSON'!CU$17:CU$192)+SUMIF('6. OPERATION'!$B$17:$B$149,$C3434,'6. OPERATION'!BX$17:BX$149)+SUMIF('8. FACILIT'!$B$18:$B$50,$C3434,'8. FACILIT'!Y$18:Y$50))</f>
        <v>0</v>
      </c>
      <c r="I3440" s="116">
        <f>IF('2. START'!$C$11="NO",SUMIF('8. FACILIT'!$B$18:$B$50,$C3434,'8. FACILIT'!Z$18:Z$50),SUMIF('5. PERSON'!$B$17:$B$192,$C3434,'5. PERSON'!CV$17:CV$192)+SUMIF('6. OPERATION'!$B$17:$B$149,$C3434,'6. OPERATION'!BY$17:BY$149)+SUMIF('8. FACILIT'!$B$18:$B$50,$C3434,'8. FACILIT'!Z$18:Z$50))</f>
        <v>0</v>
      </c>
      <c r="J3440" s="116">
        <f>IF('2. START'!$C$11="NO",SUMIF('8. FACILIT'!$B$18:$B$50,$C3434,'8. FACILIT'!AA$18:AA$50),SUMIF('5. PERSON'!$B$17:$B$192,$C3434,'5. PERSON'!CW$17:CW$192)+SUMIF('6. OPERATION'!$B$17:$B$149,$C3434,'6. OPERATION'!BZ$17:BZ$149)+SUMIF('8. FACILIT'!$B$18:$B$50,$C3434,'8. FACILIT'!AA$18:AA$50))</f>
        <v>0</v>
      </c>
      <c r="K3440" s="116">
        <f>IF('2. START'!$C$11="NO",SUMIF('8. FACILIT'!$B$18:$B$50,$C3434,'8. FACILIT'!AB$18:AB$50),SUMIF('5. PERSON'!$B$17:$B$192,$C3434,'5. PERSON'!CX$17:CX$192)+SUMIF('6. OPERATION'!$B$17:$B$149,$C3434,'6. OPERATION'!CA$17:CA$149)+SUMIF('8. FACILIT'!$B$18:$B$50,$C3434,'8. FACILIT'!AB$18:AB$50))</f>
        <v>0</v>
      </c>
      <c r="L3440" s="116">
        <f>IF('2. START'!$C$11="NO",SUMIF('8. FACILIT'!$B$18:$B$50,$C3434,'8. FACILIT'!AC$18:AC$50),SUMIF('5. PERSON'!$B$17:$B$192,$C3434,'5. PERSON'!CY$17:CY$192)+SUMIF('6. OPERATION'!$B$17:$B$149,$C3434,'6. OPERATION'!CB$17:CB$149)+SUMIF('8. FACILIT'!$B$18:$B$50,$C3434,'8. FACILIT'!AC$18:AC$50))</f>
        <v>0</v>
      </c>
      <c r="M3440" s="117">
        <f t="shared" si="817"/>
        <v>0</v>
      </c>
    </row>
    <row r="3441" spans="2:15" s="3" customFormat="1" ht="13.2" x14ac:dyDescent="0.25">
      <c r="B3441" s="122" t="str">
        <f>IF('1. INTRO'!I$2="English",(IF('2. START'!C$11="NO","Indirect and facility charge accepted as OH by funding body","Indirect")),IF('2. START'!C$11="NO","Indirekt och lokalpåslag accepterade som OH av finansiär","Indirekt"))</f>
        <v>Indirect</v>
      </c>
      <c r="C3441" s="107">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107">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107">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107">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107">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107">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107">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107">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107">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107">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120">
        <f t="shared" si="817"/>
        <v>0</v>
      </c>
    </row>
    <row r="3442" spans="2:15" s="3" customFormat="1" ht="13.2" x14ac:dyDescent="0.25">
      <c r="B3442" s="124" t="s">
        <v>113</v>
      </c>
      <c r="C3442" s="102">
        <f>SUM(C3437:C3441)</f>
        <v>0</v>
      </c>
      <c r="D3442" s="102">
        <f t="shared" ref="D3442:L3442" si="818">SUM(D3437:D3441)</f>
        <v>0</v>
      </c>
      <c r="E3442" s="102">
        <f t="shared" si="818"/>
        <v>0</v>
      </c>
      <c r="F3442" s="102">
        <f t="shared" si="818"/>
        <v>0</v>
      </c>
      <c r="G3442" s="102">
        <f t="shared" si="818"/>
        <v>0</v>
      </c>
      <c r="H3442" s="102">
        <f t="shared" si="818"/>
        <v>0</v>
      </c>
      <c r="I3442" s="102">
        <f t="shared" si="818"/>
        <v>0</v>
      </c>
      <c r="J3442" s="102">
        <f t="shared" si="818"/>
        <v>0</v>
      </c>
      <c r="K3442" s="102">
        <f t="shared" si="818"/>
        <v>0</v>
      </c>
      <c r="L3442" s="102">
        <f t="shared" si="818"/>
        <v>0</v>
      </c>
      <c r="M3442" s="125">
        <f t="shared" si="817"/>
        <v>0</v>
      </c>
    </row>
    <row r="3443" spans="2:15" s="3" customFormat="1" ht="6" customHeight="1" x14ac:dyDescent="0.25">
      <c r="B3443" s="126"/>
      <c r="C3443" s="127"/>
      <c r="D3443" s="127"/>
      <c r="E3443" s="127"/>
      <c r="F3443" s="127"/>
      <c r="G3443" s="127"/>
      <c r="H3443" s="127"/>
      <c r="I3443" s="127"/>
      <c r="J3443" s="127"/>
      <c r="K3443" s="127"/>
      <c r="L3443" s="127"/>
      <c r="M3443" s="128"/>
    </row>
    <row r="3444" spans="2:15" s="3" customFormat="1" ht="13.2" x14ac:dyDescent="0.25">
      <c r="B3444" s="129" t="str">
        <f>IF('1. INTRO'!I$2="English","Costs to be co-funded","Kostnader att medfinansiera")</f>
        <v>Costs to be co-funded</v>
      </c>
      <c r="C3444" s="86"/>
      <c r="D3444" s="86"/>
      <c r="E3444" s="86"/>
      <c r="F3444" s="86"/>
      <c r="G3444" s="86"/>
      <c r="H3444" s="86"/>
      <c r="I3444" s="86"/>
      <c r="J3444" s="86"/>
      <c r="K3444" s="86"/>
      <c r="L3444" s="86"/>
      <c r="M3444" s="130"/>
    </row>
    <row r="3445" spans="2:15" s="3" customFormat="1" ht="13.2" x14ac:dyDescent="0.25">
      <c r="B3445" s="159" t="str">
        <f>IF('1. INTRO'!I$2="English",(IF('2. START'!C$11="NO","Indirect and facility charge not accepted as OH by funding body","")),IF('2. START'!C$11="NO","Indirekt och lokalpåslag inte accepterade som OH av finansiär",""))</f>
        <v/>
      </c>
      <c r="C3445" s="131">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31">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31">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31">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31">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31">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31">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31">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31">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31">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115">
        <f t="shared" ref="M3445:M3451" si="819">SUM(C3445:L3445)</f>
        <v>0</v>
      </c>
    </row>
    <row r="3446" spans="2:15" s="3" customFormat="1" ht="12.75" customHeight="1" x14ac:dyDescent="0.25">
      <c r="B3446" s="132" t="str">
        <f>IF('1. INTRO'!I$2="English",(IF('2. START'!C$14&gt;0,"Social costs (LKP) not accepted by funding body","")),IF('2. START'!C$14&gt;0,"LKP som inte accepteras av finansiär",""))</f>
        <v/>
      </c>
      <c r="C3446" s="133">
        <f>IF('2. START'!$C$14&gt;0,SUMIF('5. PERSON'!$B$17:$B$192,$C3434,'5. PERSON'!AT$17:AT$192)-SUMIF('5. PERSON'!$B$17:$B$192,$C3434,'5. PERSON'!DN$17:DN$192),0)</f>
        <v>0</v>
      </c>
      <c r="D3446" s="133">
        <f>IF('2. START'!$C$14&gt;0,SUMIF('5. PERSON'!$B$17:$B$192,$C3434,'5. PERSON'!AU$17:AU$192)-SUMIF('5. PERSON'!$B$17:$B$192,$C3434,'5. PERSON'!DO$17:DO$192),0)</f>
        <v>0</v>
      </c>
      <c r="E3446" s="133">
        <f>IF('2. START'!$C$14&gt;0,SUMIF('5. PERSON'!$B$17:$B$192,$C3434,'5. PERSON'!AV$17:AV$192)-SUMIF('5. PERSON'!$B$17:$B$192,$C3434,'5. PERSON'!DP$17:DP$192),0)</f>
        <v>0</v>
      </c>
      <c r="F3446" s="133">
        <f>IF('2. START'!$C$14&gt;0,SUMIF('5. PERSON'!$B$17:$B$192,$C3434,'5. PERSON'!AW$17:AW$192)-SUMIF('5. PERSON'!$B$17:$B$192,$C3434,'5. PERSON'!DQ$17:DQ$192),0)</f>
        <v>0</v>
      </c>
      <c r="G3446" s="133">
        <f>IF('2. START'!$C$14&gt;0,SUMIF('5. PERSON'!$B$17:$B$192,$C3434,'5. PERSON'!AX$17:AX$192)-SUMIF('5. PERSON'!$B$17:$B$192,$C3434,'5. PERSON'!DR$17:DR$192),0)</f>
        <v>0</v>
      </c>
      <c r="H3446" s="133">
        <f>IF('2. START'!$C$14&gt;0,SUMIF('5. PERSON'!$B$17:$B$192,$C3434,'5. PERSON'!AY$17:AY$192)-SUMIF('5. PERSON'!$B$17:$B$192,$C3434,'5. PERSON'!DS$17:DS$192),0)</f>
        <v>0</v>
      </c>
      <c r="I3446" s="133">
        <f>IF('2. START'!$C$14&gt;0,SUMIF('5. PERSON'!$B$17:$B$192,$C3434,'5. PERSON'!AZ$17:AZ$192)-SUMIF('5. PERSON'!$B$17:$B$192,$C3434,'5. PERSON'!DT$17:DT$192),0)</f>
        <v>0</v>
      </c>
      <c r="J3446" s="133">
        <f>IF('2. START'!$C$14&gt;0,SUMIF('5. PERSON'!$B$17:$B$192,$C3434,'5. PERSON'!BA$17:BA$192)-SUMIF('5. PERSON'!$B$17:$B$192,$C3434,'5. PERSON'!DU$17:DU$192),0)</f>
        <v>0</v>
      </c>
      <c r="K3446" s="133">
        <f>IF('2. START'!$C$14&gt;0,SUMIF('5. PERSON'!$B$17:$B$192,$C3434,'5. PERSON'!BB$17:BB$192)-SUMIF('5. PERSON'!$B$17:$B$192,$C3434,'5. PERSON'!DV$17:DV$192),0)</f>
        <v>0</v>
      </c>
      <c r="L3446" s="133">
        <f>IF('2. START'!$C$14&gt;0,SUMIF('5. PERSON'!$B$17:$B$192,$C3434,'5. PERSON'!BC$17:BC$192)-SUMIF('5. PERSON'!$B$17:$B$192,$C3434,'5. PERSON'!DW$17:DW$192),0)</f>
        <v>0</v>
      </c>
      <c r="M3446" s="117">
        <f t="shared" si="819"/>
        <v>0</v>
      </c>
    </row>
    <row r="3447" spans="2:15" s="3" customFormat="1" ht="12.75" customHeight="1" x14ac:dyDescent="0.25">
      <c r="B3447" s="118" t="str">
        <f>IF('1. INTRO'!I$2="English",(IF('5. PERSON'!BP$193&gt;0,"Salary including social costs (LKP)","")),IF('5. PERSON'!BP$193&gt;0,"Lön inklusive LKP",""))</f>
        <v/>
      </c>
      <c r="C3447" s="134">
        <f>SUMIF('5. PERSON'!$B$17:$B$192,$C3434,'5. PERSON'!BF$17:BF$192)</f>
        <v>0</v>
      </c>
      <c r="D3447" s="134">
        <f>SUMIF('5. PERSON'!$B$17:$B$192,$C3434,'5. PERSON'!BG$17:BG$192)</f>
        <v>0</v>
      </c>
      <c r="E3447" s="134">
        <f>SUMIF('5. PERSON'!$B$17:$B$192,$C3434,'5. PERSON'!BH$17:BH$192)</f>
        <v>0</v>
      </c>
      <c r="F3447" s="134">
        <f>SUMIF('5. PERSON'!$B$17:$B$192,$C3434,'5. PERSON'!BI$17:BI$192)</f>
        <v>0</v>
      </c>
      <c r="G3447" s="134">
        <f>SUMIF('5. PERSON'!$B$17:$B$192,$C3434,'5. PERSON'!BJ$17:BJ$192)</f>
        <v>0</v>
      </c>
      <c r="H3447" s="134">
        <f>SUMIF('5. PERSON'!$B$17:$B$192,$C3434,'5. PERSON'!BK$17:BK$192)</f>
        <v>0</v>
      </c>
      <c r="I3447" s="134">
        <f>SUMIF('5. PERSON'!$B$17:$B$192,$C3434,'5. PERSON'!BL$17:BL$192)</f>
        <v>0</v>
      </c>
      <c r="J3447" s="134">
        <f>SUMIF('5. PERSON'!$B$17:$B$192,$C3434,'5. PERSON'!BM$17:BM$192)</f>
        <v>0</v>
      </c>
      <c r="K3447" s="134">
        <f>SUMIF('5. PERSON'!$B$17:$B$192,$C3434,'5. PERSON'!BN$17:BN$192)</f>
        <v>0</v>
      </c>
      <c r="L3447" s="134">
        <f>SUMIF('5. PERSON'!$B$17:$B$192,$C3434,'5. PERSON'!BO$17:BO$192)</f>
        <v>0</v>
      </c>
      <c r="M3447" s="120">
        <f t="shared" si="819"/>
        <v>0</v>
      </c>
    </row>
    <row r="3448" spans="2:15" s="3" customFormat="1" ht="13.2" x14ac:dyDescent="0.25">
      <c r="B3448" s="80" t="str">
        <f>IF('1. INTRO'!I$2="English",(IF('6. OPERATION'!AS$150&gt;0,"Operating","")),IF('6. OPERATION'!AS$150&gt;0,"Drift",""))</f>
        <v/>
      </c>
      <c r="C3448" s="135">
        <f>SUMIF('6. OPERATION'!$B$17:$B$149,$C3434,'6. OPERATION'!AI$17:AI$149)</f>
        <v>0</v>
      </c>
      <c r="D3448" s="135">
        <f>SUMIF('6. OPERATION'!$B$17:$B$149,$C3434,'6. OPERATION'!AJ$17:AJ$149)</f>
        <v>0</v>
      </c>
      <c r="E3448" s="135">
        <f>SUMIF('6. OPERATION'!$B$17:$B$149,$C3434,'6. OPERATION'!AK$17:AK$149)</f>
        <v>0</v>
      </c>
      <c r="F3448" s="135">
        <f>SUMIF('6. OPERATION'!$B$17:$B$149,$C3434,'6. OPERATION'!AL$17:AL$149)</f>
        <v>0</v>
      </c>
      <c r="G3448" s="135">
        <f>SUMIF('6. OPERATION'!$B$17:$B$149,$C3434,'6. OPERATION'!AM$17:AM$149)</f>
        <v>0</v>
      </c>
      <c r="H3448" s="135">
        <f>SUMIF('6. OPERATION'!$B$17:$B$149,$C3434,'6. OPERATION'!AN$17:AN$149)</f>
        <v>0</v>
      </c>
      <c r="I3448" s="135">
        <f>SUMIF('6. OPERATION'!$B$17:$B$149,$C3434,'6. OPERATION'!AO$17:AO$149)</f>
        <v>0</v>
      </c>
      <c r="J3448" s="135">
        <f>SUMIF('6. OPERATION'!$B$17:$B$149,$C3434,'6. OPERATION'!AP$17:AP$149)</f>
        <v>0</v>
      </c>
      <c r="K3448" s="135">
        <f>SUMIF('6. OPERATION'!$B$17:$B$149,$C3434,'6. OPERATION'!AQ$17:AQ$149)</f>
        <v>0</v>
      </c>
      <c r="L3448" s="135">
        <f>SUMIF('6. OPERATION'!$B$17:$B$149,$C3434,'6. OPERATION'!AR$17:AR$149)</f>
        <v>0</v>
      </c>
      <c r="M3448" s="117">
        <f t="shared" si="819"/>
        <v>0</v>
      </c>
    </row>
    <row r="3449" spans="2:15" s="3" customFormat="1" ht="13.2" x14ac:dyDescent="0.25">
      <c r="B3449" s="118" t="str">
        <f>IF('1. INTRO'!I$2="English",(IF('7. INVEST'!AS$50&gt;0,"Equipment","")),IF('7. INVEST'!AS$50&gt;0,"Utrustning",""))</f>
        <v/>
      </c>
      <c r="C3449" s="134">
        <f>SUMIF('7. INVEST'!$B$17:$B$49,$C3434,'7. INVEST'!AI$17:AI$49)</f>
        <v>0</v>
      </c>
      <c r="D3449" s="134">
        <f>SUMIF('7. INVEST'!$B$17:$B$49,$C3434,'7. INVEST'!AJ$17:AJ$49)</f>
        <v>0</v>
      </c>
      <c r="E3449" s="134">
        <f>SUMIF('7. INVEST'!$B$17:$B$49,$C3434,'7. INVEST'!AK$17:AK$49)</f>
        <v>0</v>
      </c>
      <c r="F3449" s="134">
        <f>SUMIF('7. INVEST'!$B$17:$B$49,$C3434,'7. INVEST'!AL$17:AL$49)</f>
        <v>0</v>
      </c>
      <c r="G3449" s="134">
        <f>SUMIF('7. INVEST'!$B$17:$B$49,$C3434,'7. INVEST'!AM$17:AM$49)</f>
        <v>0</v>
      </c>
      <c r="H3449" s="134">
        <f>SUMIF('7. INVEST'!$B$17:$B$49,$C3434,'7. INVEST'!AN$17:AN$49)</f>
        <v>0</v>
      </c>
      <c r="I3449" s="134">
        <f>SUMIF('7. INVEST'!$B$17:$B$49,$C3434,'7. INVEST'!AO$17:AO$49)</f>
        <v>0</v>
      </c>
      <c r="J3449" s="134">
        <f>SUMIF('7. INVEST'!$B$17:$B$49,$C3434,'7. INVEST'!AP$17:AP$49)</f>
        <v>0</v>
      </c>
      <c r="K3449" s="134">
        <f>SUMIF('7. INVEST'!$B$17:$B$49,$C3434,'7. INVEST'!AQ$17:AQ$49)</f>
        <v>0</v>
      </c>
      <c r="L3449" s="134">
        <f>SUMIF('7. INVEST'!$B$17:$B$49,$C3434,'7. INVEST'!AR$17:AR$49)</f>
        <v>0</v>
      </c>
      <c r="M3449" s="120">
        <f t="shared" si="819"/>
        <v>0</v>
      </c>
    </row>
    <row r="3450" spans="2:15" s="3" customFormat="1" ht="13.2" x14ac:dyDescent="0.25">
      <c r="B3450" s="121" t="str">
        <f>IF('1. INTRO'!I$2="English",(IF('8. FACILIT'!AP$51&gt;0,"Facility","")),IF('8. FACILIT'!AP$51&gt;0,"Lokal",""))</f>
        <v/>
      </c>
      <c r="C3450" s="135">
        <f>SUMIF('5. PERSON'!$B$17:$B$192,$C3434,'5. PERSON'!DB$17:DB$192)+SUMIF('6. OPERATION'!$B$17:$B$149,$C3434,'6. OPERATION'!CE$17:CE$149)+SUMIF('8. FACILIT'!$B$18:$B$50,$C3434,'8. FACILIT'!AF$18:AF$50)</f>
        <v>0</v>
      </c>
      <c r="D3450" s="135">
        <f>SUMIF('5. PERSON'!$B$17:$B$192,$C3434,'5. PERSON'!DC$17:DC$192)+SUMIF('6. OPERATION'!$B$17:$B$149,$C3434,'6. OPERATION'!CF$17:CF$149)+SUMIF('8. FACILIT'!$B$18:$B$50,$C3434,'8. FACILIT'!AG$18:AG$50)</f>
        <v>0</v>
      </c>
      <c r="E3450" s="135">
        <f>SUMIF('5. PERSON'!$B$17:$B$192,$C3434,'5. PERSON'!DD$17:DD$192)+SUMIF('6. OPERATION'!$B$17:$B$149,$C3434,'6. OPERATION'!CG$17:CG$149)+SUMIF('8. FACILIT'!$B$18:$B$50,$C3434,'8. FACILIT'!AH$18:AH$50)</f>
        <v>0</v>
      </c>
      <c r="F3450" s="135">
        <f>SUMIF('5. PERSON'!$B$17:$B$192,$C3434,'5. PERSON'!DE$17:DE$192)+SUMIF('6. OPERATION'!$B$17:$B$149,$C3434,'6. OPERATION'!CH$17:CH$149)+SUMIF('8. FACILIT'!$B$18:$B$50,$C3434,'8. FACILIT'!AI$18:AI$50)</f>
        <v>0</v>
      </c>
      <c r="G3450" s="135">
        <f>SUMIF('5. PERSON'!$B$17:$B$192,$C3434,'5. PERSON'!DF$17:DF$192)+SUMIF('6. OPERATION'!$B$17:$B$149,$C3434,'6. OPERATION'!CI$17:CI$149)+SUMIF('8. FACILIT'!$B$18:$B$50,$C3434,'8. FACILIT'!AJ$18:AJ$50)</f>
        <v>0</v>
      </c>
      <c r="H3450" s="135">
        <f>SUMIF('5. PERSON'!$B$17:$B$192,$C3434,'5. PERSON'!DG$17:DG$192)+SUMIF('6. OPERATION'!$B$17:$B$149,$C3434,'6. OPERATION'!CJ$17:CJ$149)+SUMIF('8. FACILIT'!$B$18:$B$50,$C3434,'8. FACILIT'!AK$18:AK$50)</f>
        <v>0</v>
      </c>
      <c r="I3450" s="135">
        <f>SUMIF('5. PERSON'!$B$17:$B$192,$C3434,'5. PERSON'!DH$17:DH$192)+SUMIF('6. OPERATION'!$B$17:$B$149,$C3434,'6. OPERATION'!CK$17:CK$149)+SUMIF('8. FACILIT'!$B$18:$B$50,$C3434,'8. FACILIT'!AL$18:AL$50)</f>
        <v>0</v>
      </c>
      <c r="J3450" s="135">
        <f>SUMIF('5. PERSON'!$B$17:$B$192,$C3434,'5. PERSON'!DI$17:DI$192)+SUMIF('6. OPERATION'!$B$17:$B$149,$C3434,'6. OPERATION'!CL$17:CL$149)+SUMIF('8. FACILIT'!$B$18:$B$50,$C3434,'8. FACILIT'!AM$18:AM$50)</f>
        <v>0</v>
      </c>
      <c r="K3450" s="135">
        <f>SUMIF('5. PERSON'!$B$17:$B$192,$C3434,'5. PERSON'!DJ$17:DJ$192)+SUMIF('6. OPERATION'!$B$17:$B$149,$C3434,'6. OPERATION'!CM$17:CM$149)+SUMIF('8. FACILIT'!$B$18:$B$50,$C3434,'8. FACILIT'!AN$18:AN$50)</f>
        <v>0</v>
      </c>
      <c r="L3450" s="135">
        <f>SUMIF('5. PERSON'!$B$17:$B$192,$C3434,'5. PERSON'!DK$17:DK$192)+SUMIF('6. OPERATION'!$B$17:$B$149,$C3434,'6. OPERATION'!CN$17:CN$149)+SUMIF('8. FACILIT'!$B$18:$B$50,$C3434,'8. FACILIT'!AO$18:AO$50)</f>
        <v>0</v>
      </c>
      <c r="M3450" s="117">
        <f t="shared" si="819"/>
        <v>0</v>
      </c>
    </row>
    <row r="3451" spans="2:15" s="1" customFormat="1" ht="13.2" x14ac:dyDescent="0.25">
      <c r="B3451" s="122" t="str">
        <f>IF('1. INTRO'!I$2="English",(IF(('5. PERSON'!CN$193+'6. OPERATION'!BQ$150)&gt;0,"Indirect","")),IF(('5. PERSON'!CN$193+'6. OPERATION'!BQ$150)&gt;0,"Indirekt",""))</f>
        <v/>
      </c>
      <c r="C3451" s="107">
        <f>SUMIF('5. PERSON'!$B$17:$B$192,$C3434,'5. PERSON'!CD$17:CD$192)+SUMIF('6. OPERATION'!$B$17:$B$149,$C3434,'6. OPERATION'!BG$17:BG$149)</f>
        <v>0</v>
      </c>
      <c r="D3451" s="107">
        <f>SUMIF('5. PERSON'!$B$17:$B$192,$C3434,'5. PERSON'!CE$17:CE$192)+SUMIF('6. OPERATION'!$B$17:$B$149,$C3434,'6. OPERATION'!BH$17:BH$149)</f>
        <v>0</v>
      </c>
      <c r="E3451" s="107">
        <f>SUMIF('5. PERSON'!$B$17:$B$192,$C3434,'5. PERSON'!CF$17:CF$192)+SUMIF('6. OPERATION'!$B$17:$B$149,$C3434,'6. OPERATION'!BI$17:BI$149)</f>
        <v>0</v>
      </c>
      <c r="F3451" s="107">
        <f>SUMIF('5. PERSON'!$B$17:$B$192,$C3434,'5. PERSON'!CG$17:CG$192)+SUMIF('6. OPERATION'!$B$17:$B$149,$C3434,'6. OPERATION'!BJ$17:BJ$149)</f>
        <v>0</v>
      </c>
      <c r="G3451" s="107">
        <f>SUMIF('5. PERSON'!$B$17:$B$192,$C3434,'5. PERSON'!CH$17:CH$192)+SUMIF('6. OPERATION'!$B$17:$B$149,$C3434,'6. OPERATION'!BK$17:BK$149)</f>
        <v>0</v>
      </c>
      <c r="H3451" s="107">
        <f>SUMIF('5. PERSON'!$B$17:$B$192,$C3434,'5. PERSON'!CI$17:CI$192)+SUMIF('6. OPERATION'!$B$17:$B$149,$C3434,'6. OPERATION'!BL$17:BL$149)</f>
        <v>0</v>
      </c>
      <c r="I3451" s="107">
        <f>SUMIF('5. PERSON'!$B$17:$B$192,$C3434,'5. PERSON'!CJ$17:CJ$192)+SUMIF('6. OPERATION'!$B$17:$B$149,$C3434,'6. OPERATION'!BM$17:BM$149)</f>
        <v>0</v>
      </c>
      <c r="J3451" s="107">
        <f>SUMIF('5. PERSON'!$B$17:$B$192,$C3434,'5. PERSON'!CK$17:CK$192)+SUMIF('6. OPERATION'!$B$17:$B$149,$C3434,'6. OPERATION'!BN$17:BN$149)</f>
        <v>0</v>
      </c>
      <c r="K3451" s="107">
        <f>SUMIF('5. PERSON'!$B$17:$B$192,$C3434,'5. PERSON'!CL$17:CL$192)+SUMIF('6. OPERATION'!$B$17:$B$149,$C3434,'6. OPERATION'!BO$17:BO$149)</f>
        <v>0</v>
      </c>
      <c r="L3451" s="107">
        <f>SUMIF('5. PERSON'!$B$17:$B$192,$C3434,'5. PERSON'!CM$17:CM$192)+SUMIF('6. OPERATION'!$B$17:$B$149,$C3434,'6. OPERATION'!BP$17:BP$149)</f>
        <v>0</v>
      </c>
      <c r="M3451" s="123">
        <f t="shared" si="819"/>
        <v>0</v>
      </c>
    </row>
    <row r="3452" spans="2:15" s="3" customFormat="1" ht="13.2" x14ac:dyDescent="0.25">
      <c r="B3452" s="124" t="s">
        <v>113</v>
      </c>
      <c r="C3452" s="102">
        <f>SUM(C3445:C3451)</f>
        <v>0</v>
      </c>
      <c r="D3452" s="102">
        <f t="shared" ref="D3452:L3452" si="820">SUM(D3445:D3451)</f>
        <v>0</v>
      </c>
      <c r="E3452" s="102">
        <f t="shared" si="820"/>
        <v>0</v>
      </c>
      <c r="F3452" s="102">
        <f t="shared" si="820"/>
        <v>0</v>
      </c>
      <c r="G3452" s="102">
        <f t="shared" si="820"/>
        <v>0</v>
      </c>
      <c r="H3452" s="102">
        <f t="shared" si="820"/>
        <v>0</v>
      </c>
      <c r="I3452" s="102">
        <f t="shared" si="820"/>
        <v>0</v>
      </c>
      <c r="J3452" s="102">
        <f t="shared" si="820"/>
        <v>0</v>
      </c>
      <c r="K3452" s="102">
        <f t="shared" si="820"/>
        <v>0</v>
      </c>
      <c r="L3452" s="102">
        <f t="shared" si="820"/>
        <v>0</v>
      </c>
      <c r="M3452" s="125">
        <f t="shared" ref="M3452" si="821">SUM(M3445:M3451)</f>
        <v>0</v>
      </c>
      <c r="N3452" s="23"/>
      <c r="O3452" s="23"/>
    </row>
    <row r="3453" spans="2:15" s="3" customFormat="1" ht="6" customHeight="1" x14ac:dyDescent="0.25">
      <c r="B3453" s="136"/>
      <c r="C3453" s="127"/>
      <c r="D3453" s="127"/>
      <c r="E3453" s="127"/>
      <c r="F3453" s="127"/>
      <c r="G3453" s="127"/>
      <c r="H3453" s="127"/>
      <c r="I3453" s="127"/>
      <c r="J3453" s="127"/>
      <c r="K3453" s="127"/>
      <c r="L3453" s="127"/>
      <c r="M3453" s="137"/>
    </row>
    <row r="3454" spans="2:15" s="3" customFormat="1" ht="13.2" x14ac:dyDescent="0.25">
      <c r="B3454" s="129" t="str">
        <f>IF('1. INTRO'!I$2="English","Full cost","Full kostnad")</f>
        <v>Full cost</v>
      </c>
      <c r="C3454" s="127"/>
      <c r="D3454" s="127"/>
      <c r="E3454" s="127"/>
      <c r="F3454" s="127"/>
      <c r="G3454" s="127"/>
      <c r="H3454" s="127"/>
      <c r="I3454" s="127"/>
      <c r="J3454" s="127"/>
      <c r="K3454" s="127"/>
      <c r="L3454" s="127"/>
      <c r="M3454" s="137"/>
    </row>
    <row r="3455" spans="2:15" s="3" customFormat="1" ht="13.2" x14ac:dyDescent="0.25">
      <c r="B3455" s="113" t="str">
        <f>IF('1. INTRO'!I$2="English","Salary including social costs (LKP)","Lön inklusive LKP")</f>
        <v>Salary including social costs (LKP)</v>
      </c>
      <c r="C3455" s="138">
        <f>C3437+C3446+C3447</f>
        <v>0</v>
      </c>
      <c r="D3455" s="138">
        <f t="shared" ref="D3455:L3455" si="822">D3437+D3446+D3447</f>
        <v>0</v>
      </c>
      <c r="E3455" s="138">
        <f t="shared" si="822"/>
        <v>0</v>
      </c>
      <c r="F3455" s="138">
        <f t="shared" si="822"/>
        <v>0</v>
      </c>
      <c r="G3455" s="138">
        <f t="shared" si="822"/>
        <v>0</v>
      </c>
      <c r="H3455" s="138">
        <f t="shared" si="822"/>
        <v>0</v>
      </c>
      <c r="I3455" s="138">
        <f t="shared" si="822"/>
        <v>0</v>
      </c>
      <c r="J3455" s="138">
        <f t="shared" si="822"/>
        <v>0</v>
      </c>
      <c r="K3455" s="138">
        <f t="shared" si="822"/>
        <v>0</v>
      </c>
      <c r="L3455" s="138">
        <f t="shared" si="822"/>
        <v>0</v>
      </c>
      <c r="M3455" s="115">
        <f>SUM(C3455:L3455)</f>
        <v>0</v>
      </c>
    </row>
    <row r="3456" spans="2:15" s="3" customFormat="1" ht="13.2" x14ac:dyDescent="0.25">
      <c r="B3456" s="80" t="str">
        <f>IF('1. INTRO'!I$2="English","Operating","Drift")</f>
        <v>Operating</v>
      </c>
      <c r="C3456" s="139">
        <f>C3438+C3448</f>
        <v>0</v>
      </c>
      <c r="D3456" s="139">
        <f t="shared" ref="D3456:L3456" si="823">D3438+D3448</f>
        <v>0</v>
      </c>
      <c r="E3456" s="139">
        <f t="shared" si="823"/>
        <v>0</v>
      </c>
      <c r="F3456" s="139">
        <f t="shared" si="823"/>
        <v>0</v>
      </c>
      <c r="G3456" s="139">
        <f t="shared" si="823"/>
        <v>0</v>
      </c>
      <c r="H3456" s="139">
        <f t="shared" si="823"/>
        <v>0</v>
      </c>
      <c r="I3456" s="139">
        <f t="shared" si="823"/>
        <v>0</v>
      </c>
      <c r="J3456" s="139">
        <f t="shared" si="823"/>
        <v>0</v>
      </c>
      <c r="K3456" s="139">
        <f t="shared" si="823"/>
        <v>0</v>
      </c>
      <c r="L3456" s="139">
        <f t="shared" si="823"/>
        <v>0</v>
      </c>
      <c r="M3456" s="117">
        <f>SUM(C3456:L3456)</f>
        <v>0</v>
      </c>
    </row>
    <row r="3457" spans="2:13" s="3" customFormat="1" ht="13.2" x14ac:dyDescent="0.25">
      <c r="B3457" s="118" t="str">
        <f>IF('1. INTRO'!I$2="English","Equipment","Utrustning")</f>
        <v>Equipment</v>
      </c>
      <c r="C3457" s="140">
        <f>C3439+C3449</f>
        <v>0</v>
      </c>
      <c r="D3457" s="140">
        <f t="shared" ref="D3457:L3457" si="824">D3439+D3449</f>
        <v>0</v>
      </c>
      <c r="E3457" s="140">
        <f t="shared" si="824"/>
        <v>0</v>
      </c>
      <c r="F3457" s="140">
        <f t="shared" si="824"/>
        <v>0</v>
      </c>
      <c r="G3457" s="140">
        <f t="shared" si="824"/>
        <v>0</v>
      </c>
      <c r="H3457" s="140">
        <f t="shared" si="824"/>
        <v>0</v>
      </c>
      <c r="I3457" s="140">
        <f t="shared" si="824"/>
        <v>0</v>
      </c>
      <c r="J3457" s="140">
        <f t="shared" si="824"/>
        <v>0</v>
      </c>
      <c r="K3457" s="140">
        <f t="shared" si="824"/>
        <v>0</v>
      </c>
      <c r="L3457" s="140">
        <f t="shared" si="824"/>
        <v>0</v>
      </c>
      <c r="M3457" s="120">
        <f>SUM(C3457:L3457)</f>
        <v>0</v>
      </c>
    </row>
    <row r="3458" spans="2:13" s="3" customFormat="1" ht="13.2" x14ac:dyDescent="0.25">
      <c r="B3458" s="80" t="str">
        <f>IF('1. INTRO'!I$2="English","Facility","Lokal")</f>
        <v>Facility</v>
      </c>
      <c r="C3458" s="139">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39">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39">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39">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39">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39">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39">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39">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39">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39">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117">
        <f>SUM(C3458:L3458)</f>
        <v>0</v>
      </c>
    </row>
    <row r="3459" spans="2:13" s="3" customFormat="1" ht="13.2" x14ac:dyDescent="0.25">
      <c r="B3459" s="601" t="str">
        <f>IF('1. INTRO'!I$2="English","Indirect","Indirekt")</f>
        <v>Indirect</v>
      </c>
      <c r="C3459" s="141">
        <f>SUMIF('5. PERSON'!$B$17:$B$192,$C3434,'5. PERSON'!BR$17:BR$192)+SUMIF('5. PERSON'!$B$17:$B$192,$C3434,'5. PERSON'!CD$17:CD$192)+SUMIF('6. OPERATION'!$B$17:$B$149,$C3434,'6. OPERATION'!AU$17:AU$149)+SUMIF('6. OPERATION'!$B$17:$B$149,$C3434,'6. OPERATION'!BG$17:BG$149)</f>
        <v>0</v>
      </c>
      <c r="D3459" s="141">
        <f>SUMIF('5. PERSON'!$B$17:$B$192,$C3434,'5. PERSON'!BS$17:BS$192)+SUMIF('5. PERSON'!$B$17:$B$192,$C3434,'5. PERSON'!CE$17:CE$192)+SUMIF('6. OPERATION'!$B$17:$B$149,$C3434,'6. OPERATION'!AV$17:AV$149)+SUMIF('6. OPERATION'!$B$17:$B$149,$C3434,'6. OPERATION'!BH$17:BH$149)</f>
        <v>0</v>
      </c>
      <c r="E3459" s="141">
        <f>SUMIF('5. PERSON'!$B$17:$B$192,$C3434,'5. PERSON'!BT$17:BT$192)+SUMIF('5. PERSON'!$B$17:$B$192,$C3434,'5. PERSON'!CF$17:CF$192)+SUMIF('6. OPERATION'!$B$17:$B$149,$C3434,'6. OPERATION'!AW$17:AW$149)+SUMIF('6. OPERATION'!$B$17:$B$149,$C3434,'6. OPERATION'!BI$17:BI$149)</f>
        <v>0</v>
      </c>
      <c r="F3459" s="141">
        <f>SUMIF('5. PERSON'!$B$17:$B$192,$C3434,'5. PERSON'!BU$17:BU$192)+SUMIF('5. PERSON'!$B$17:$B$192,$C3434,'5. PERSON'!CG$17:CG$192)+SUMIF('6. OPERATION'!$B$17:$B$149,$C3434,'6. OPERATION'!AX$17:AX$149)+SUMIF('6. OPERATION'!$B$17:$B$149,$C3434,'6. OPERATION'!BJ$17:BJ$149)</f>
        <v>0</v>
      </c>
      <c r="G3459" s="141">
        <f>SUMIF('5. PERSON'!$B$17:$B$192,$C3434,'5. PERSON'!BV$17:BV$192)+SUMIF('5. PERSON'!$B$17:$B$192,$C3434,'5. PERSON'!CH$17:CH$192)+SUMIF('6. OPERATION'!$B$17:$B$149,$C3434,'6. OPERATION'!AY$17:AY$149)+SUMIF('6. OPERATION'!$B$17:$B$149,$C3434,'6. OPERATION'!BK$17:BK$149)</f>
        <v>0</v>
      </c>
      <c r="H3459" s="141">
        <f>SUMIF('5. PERSON'!$B$17:$B$192,$C3434,'5. PERSON'!BW$17:BW$192)+SUMIF('5. PERSON'!$B$17:$B$192,$C3434,'5. PERSON'!CI$17:CI$192)+SUMIF('6. OPERATION'!$B$17:$B$149,$C3434,'6. OPERATION'!AZ$17:AZ$149)+SUMIF('6. OPERATION'!$B$17:$B$149,$C3434,'6. OPERATION'!BL$17:BL$149)</f>
        <v>0</v>
      </c>
      <c r="I3459" s="141">
        <f>SUMIF('5. PERSON'!$B$17:$B$192,$C3434,'5. PERSON'!BX$17:BX$192)+SUMIF('5. PERSON'!$B$17:$B$192,$C3434,'5. PERSON'!CJ$17:CJ$192)+SUMIF('6. OPERATION'!$B$17:$B$149,$C3434,'6. OPERATION'!BA$17:BA$149)+SUMIF('6. OPERATION'!$B$17:$B$149,$C3434,'6. OPERATION'!BM$17:BM$149)</f>
        <v>0</v>
      </c>
      <c r="J3459" s="141">
        <f>SUMIF('5. PERSON'!$B$17:$B$192,$C3434,'5. PERSON'!BY$17:BY$192)+SUMIF('5. PERSON'!$B$17:$B$192,$C3434,'5. PERSON'!CK$17:CK$192)+SUMIF('6. OPERATION'!$B$17:$B$149,$C3434,'6. OPERATION'!BB$17:BB$149)+SUMIF('6. OPERATION'!$B$17:$B$149,$C3434,'6. OPERATION'!BN$17:BN$149)</f>
        <v>0</v>
      </c>
      <c r="K3459" s="141">
        <f>SUMIF('5. PERSON'!$B$17:$B$192,$C3434,'5. PERSON'!BZ$17:BZ$192)+SUMIF('5. PERSON'!$B$17:$B$192,$C3434,'5. PERSON'!CL$17:CL$192)+SUMIF('6. OPERATION'!$B$17:$B$149,$C3434,'6. OPERATION'!BC$17:BC$149)+SUMIF('6. OPERATION'!$B$17:$B$149,$C3434,'6. OPERATION'!BO$17:BO$149)</f>
        <v>0</v>
      </c>
      <c r="L3459" s="141">
        <f>SUMIF('5. PERSON'!$B$17:$B$192,$C3434,'5. PERSON'!CA$17:CA$192)+SUMIF('5. PERSON'!$B$17:$B$192,$C3434,'5. PERSON'!CM$17:CM$192)+SUMIF('6. OPERATION'!$B$17:$B$149,$C3434,'6. OPERATION'!BD$17:BD$149)+SUMIF('6. OPERATION'!$B$17:$B$149,$C3434,'6. OPERATION'!BP$17:BP$149)</f>
        <v>0</v>
      </c>
      <c r="M3459" s="123">
        <f>SUM(C3459:L3459)</f>
        <v>0</v>
      </c>
    </row>
    <row r="3460" spans="2:13" s="3" customFormat="1" ht="13.2" x14ac:dyDescent="0.25">
      <c r="B3460" s="124" t="s">
        <v>113</v>
      </c>
      <c r="C3460" s="88">
        <f>SUM(C3455:C3459)</f>
        <v>0</v>
      </c>
      <c r="D3460" s="88">
        <f t="shared" ref="D3460:M3460" si="825">SUM(D3455:D3459)</f>
        <v>0</v>
      </c>
      <c r="E3460" s="88">
        <f t="shared" si="825"/>
        <v>0</v>
      </c>
      <c r="F3460" s="88">
        <f t="shared" si="825"/>
        <v>0</v>
      </c>
      <c r="G3460" s="88">
        <f t="shared" si="825"/>
        <v>0</v>
      </c>
      <c r="H3460" s="88">
        <f t="shared" si="825"/>
        <v>0</v>
      </c>
      <c r="I3460" s="88">
        <f t="shared" si="825"/>
        <v>0</v>
      </c>
      <c r="J3460" s="88">
        <f t="shared" si="825"/>
        <v>0</v>
      </c>
      <c r="K3460" s="88">
        <f t="shared" si="825"/>
        <v>0</v>
      </c>
      <c r="L3460" s="88">
        <f t="shared" si="825"/>
        <v>0</v>
      </c>
      <c r="M3460" s="142">
        <f t="shared" si="825"/>
        <v>0</v>
      </c>
    </row>
    <row r="3461" spans="2:13" s="3" customFormat="1" ht="13.2" x14ac:dyDescent="0.25">
      <c r="B3461" s="287"/>
      <c r="C3461" s="37"/>
      <c r="D3461" s="37"/>
      <c r="E3461" s="37"/>
      <c r="F3461" s="37"/>
      <c r="G3461" s="37"/>
      <c r="H3461" s="37"/>
      <c r="I3461" s="37"/>
      <c r="J3461" s="37"/>
      <c r="K3461" s="37"/>
      <c r="L3461" s="37"/>
      <c r="M3461" s="37"/>
    </row>
    <row r="3462" spans="2:13" s="3" customFormat="1" ht="12.75" customHeight="1" x14ac:dyDescent="0.25">
      <c r="B3462" s="656" t="str">
        <f>IF('1. INTRO'!I$2="English","Co-funding share in full cost ","Medfinansieringsandel i full kostnad ")</f>
        <v xml:space="preserve">Co-funding share in full cost </v>
      </c>
      <c r="C3462" s="143" t="str">
        <f t="shared" ref="C3462:M3462" si="826">IF(C3460&gt;0,C3452/C3460,"")</f>
        <v/>
      </c>
      <c r="D3462" s="143" t="str">
        <f t="shared" si="826"/>
        <v/>
      </c>
      <c r="E3462" s="143" t="str">
        <f t="shared" si="826"/>
        <v/>
      </c>
      <c r="F3462" s="143" t="str">
        <f t="shared" si="826"/>
        <v/>
      </c>
      <c r="G3462" s="143" t="str">
        <f t="shared" si="826"/>
        <v/>
      </c>
      <c r="H3462" s="143" t="str">
        <f t="shared" si="826"/>
        <v/>
      </c>
      <c r="I3462" s="143" t="str">
        <f t="shared" si="826"/>
        <v/>
      </c>
      <c r="J3462" s="143" t="str">
        <f t="shared" si="826"/>
        <v/>
      </c>
      <c r="K3462" s="143" t="str">
        <f t="shared" si="826"/>
        <v/>
      </c>
      <c r="L3462" s="143" t="str">
        <f t="shared" si="826"/>
        <v/>
      </c>
      <c r="M3462" s="143" t="str">
        <f t="shared" si="826"/>
        <v/>
      </c>
    </row>
    <row r="3463" spans="2:13" ht="12.75" customHeight="1" x14ac:dyDescent="0.2"/>
    <row r="3464" spans="2:13" ht="12.75" customHeight="1" x14ac:dyDescent="0.25">
      <c r="D3464" s="676" t="str">
        <f>IF('1. INTRO'!I$2="English","Co-funding need in average per year: ","Medfinansieringsbehov i genomsnitt per år: ")</f>
        <v xml:space="preserve">Co-funding need in average per year: </v>
      </c>
      <c r="E3464" s="92" t="str">
        <f>IF(M3452=0,"",M3452/(DATEDIF('2. START'!C$18,'2. START'!C$19,"d")/365))</f>
        <v/>
      </c>
      <c r="H3464" s="676" t="str">
        <f>IF('1. INTRO'!I$2="English","Co-funding need 1/3 of total: ","Medfinansieringsbehov 1/3 av totalt: ")</f>
        <v xml:space="preserve">Co-funding need 1/3 of total: </v>
      </c>
      <c r="I3464" s="92">
        <f>M3452/3</f>
        <v>0</v>
      </c>
      <c r="L3464" s="287" t="str">
        <f>IF('1. INTRO'!I$2="English","Co-funding need total: ","Medfinansieringsbehov totalt: ")</f>
        <v xml:space="preserve">Co-funding need total: </v>
      </c>
      <c r="M3464" s="92">
        <f>M3452</f>
        <v>0</v>
      </c>
    </row>
    <row r="3465" spans="2:13" ht="12.75" customHeight="1" x14ac:dyDescent="0.25">
      <c r="B3465" s="53" t="str">
        <f>IF('1. INTRO'!I$2="English","Co-funding sources","Medfinansieringskällor")</f>
        <v>Co-funding sources</v>
      </c>
    </row>
    <row r="3466" spans="2:13" ht="12.75" customHeight="1" x14ac:dyDescent="0.25">
      <c r="B3466" s="225"/>
      <c r="C3466" s="226"/>
      <c r="D3466" s="226"/>
      <c r="E3466" s="226"/>
      <c r="F3466" s="226"/>
      <c r="G3466" s="226"/>
      <c r="H3466" s="226"/>
      <c r="I3466" s="226"/>
      <c r="J3466" s="226"/>
      <c r="K3466" s="226"/>
      <c r="L3466" s="227"/>
      <c r="M3466" s="168">
        <f>SUM(C3466:L3466)</f>
        <v>0</v>
      </c>
    </row>
    <row r="3467" spans="2:13" ht="12.75" customHeight="1" x14ac:dyDescent="0.25">
      <c r="B3467" s="228"/>
      <c r="C3467" s="229"/>
      <c r="D3467" s="229"/>
      <c r="E3467" s="229"/>
      <c r="F3467" s="229"/>
      <c r="G3467" s="229"/>
      <c r="H3467" s="229"/>
      <c r="I3467" s="229"/>
      <c r="J3467" s="229"/>
      <c r="K3467" s="229"/>
      <c r="L3467" s="230"/>
      <c r="M3467" s="120">
        <f t="shared" ref="M3467:M3470" si="827">SUM(C3467:L3467)</f>
        <v>0</v>
      </c>
    </row>
    <row r="3468" spans="2:13" ht="12.75" customHeight="1" x14ac:dyDescent="0.25">
      <c r="B3468" s="231"/>
      <c r="C3468" s="232"/>
      <c r="D3468" s="232"/>
      <c r="E3468" s="232"/>
      <c r="F3468" s="232"/>
      <c r="G3468" s="232"/>
      <c r="H3468" s="232"/>
      <c r="I3468" s="232"/>
      <c r="J3468" s="232"/>
      <c r="K3468" s="232"/>
      <c r="L3468" s="233"/>
      <c r="M3468" s="117">
        <f t="shared" si="827"/>
        <v>0</v>
      </c>
    </row>
    <row r="3469" spans="2:13" ht="12.75" customHeight="1" x14ac:dyDescent="0.25">
      <c r="B3469" s="228"/>
      <c r="C3469" s="229"/>
      <c r="D3469" s="229"/>
      <c r="E3469" s="229"/>
      <c r="F3469" s="229"/>
      <c r="G3469" s="229"/>
      <c r="H3469" s="229"/>
      <c r="I3469" s="229"/>
      <c r="J3469" s="229"/>
      <c r="K3469" s="229"/>
      <c r="L3469" s="230"/>
      <c r="M3469" s="120">
        <f t="shared" si="827"/>
        <v>0</v>
      </c>
    </row>
    <row r="3470" spans="2:13" ht="12.75" customHeight="1" x14ac:dyDescent="0.25">
      <c r="B3470" s="93"/>
      <c r="C3470" s="232"/>
      <c r="D3470" s="232"/>
      <c r="E3470" s="232"/>
      <c r="F3470" s="232"/>
      <c r="G3470" s="232"/>
      <c r="H3470" s="232"/>
      <c r="I3470" s="232"/>
      <c r="J3470" s="232"/>
      <c r="K3470" s="232"/>
      <c r="L3470" s="233"/>
      <c r="M3470" s="117">
        <f t="shared" si="827"/>
        <v>0</v>
      </c>
    </row>
    <row r="3471" spans="2:13" ht="12.75" customHeight="1" x14ac:dyDescent="0.25">
      <c r="B3471" s="84" t="str">
        <f>IF('1. INTRO'!I$2="English","Total co-funding ","Total medfinansiering ")</f>
        <v xml:space="preserve">Total co-funding </v>
      </c>
      <c r="C3471" s="87">
        <f t="shared" ref="C3471:M3471" si="828">SUM(C3466:C3470)</f>
        <v>0</v>
      </c>
      <c r="D3471" s="87">
        <f t="shared" si="828"/>
        <v>0</v>
      </c>
      <c r="E3471" s="87">
        <f t="shared" si="828"/>
        <v>0</v>
      </c>
      <c r="F3471" s="87">
        <f t="shared" si="828"/>
        <v>0</v>
      </c>
      <c r="G3471" s="87">
        <f t="shared" si="828"/>
        <v>0</v>
      </c>
      <c r="H3471" s="87">
        <f t="shared" si="828"/>
        <v>0</v>
      </c>
      <c r="I3471" s="87">
        <f t="shared" si="828"/>
        <v>0</v>
      </c>
      <c r="J3471" s="87">
        <f t="shared" si="828"/>
        <v>0</v>
      </c>
      <c r="K3471" s="87">
        <f t="shared" si="828"/>
        <v>0</v>
      </c>
      <c r="L3471" s="87">
        <f t="shared" si="828"/>
        <v>0</v>
      </c>
      <c r="M3471" s="142">
        <f t="shared" si="828"/>
        <v>0</v>
      </c>
    </row>
    <row r="3472" spans="2:13" ht="12.75" customHeight="1" x14ac:dyDescent="0.2"/>
    <row r="3473" spans="2:13" ht="12.75" customHeight="1" x14ac:dyDescent="0.2">
      <c r="B3473" s="667" t="str">
        <f>IF('1. INTRO'!I$2="English","Calculation comments","Kalkylkommentarer")</f>
        <v>Calculation comments</v>
      </c>
      <c r="C3473" s="37" t="str">
        <f>B81</f>
        <v/>
      </c>
    </row>
    <row r="3474" spans="2:13" ht="12.75" customHeight="1" x14ac:dyDescent="0.2">
      <c r="B3474" s="1142"/>
      <c r="C3474" s="1143"/>
      <c r="D3474" s="1143"/>
      <c r="E3474" s="1143"/>
      <c r="F3474" s="1143"/>
      <c r="G3474" s="1143"/>
      <c r="H3474" s="1143"/>
      <c r="I3474" s="1143"/>
      <c r="J3474" s="1143"/>
      <c r="K3474" s="1143"/>
      <c r="L3474" s="1143"/>
      <c r="M3474" s="1144"/>
    </row>
    <row r="3475" spans="2:13" ht="12.75" customHeight="1" x14ac:dyDescent="0.2">
      <c r="B3475" s="1145"/>
      <c r="C3475" s="1226"/>
      <c r="D3475" s="1226"/>
      <c r="E3475" s="1226"/>
      <c r="F3475" s="1226"/>
      <c r="G3475" s="1226"/>
      <c r="H3475" s="1226"/>
      <c r="I3475" s="1226"/>
      <c r="J3475" s="1226"/>
      <c r="K3475" s="1226"/>
      <c r="L3475" s="1226"/>
      <c r="M3475" s="1147"/>
    </row>
    <row r="3476" spans="2:13" ht="12.75" customHeight="1" x14ac:dyDescent="0.2">
      <c r="B3476" s="1145"/>
      <c r="C3476" s="1226"/>
      <c r="D3476" s="1226"/>
      <c r="E3476" s="1226"/>
      <c r="F3476" s="1226"/>
      <c r="G3476" s="1226"/>
      <c r="H3476" s="1226"/>
      <c r="I3476" s="1226"/>
      <c r="J3476" s="1226"/>
      <c r="K3476" s="1226"/>
      <c r="L3476" s="1226"/>
      <c r="M3476" s="1147"/>
    </row>
    <row r="3477" spans="2:13" ht="12.75" customHeight="1" x14ac:dyDescent="0.2">
      <c r="B3477" s="1145"/>
      <c r="C3477" s="1226"/>
      <c r="D3477" s="1226"/>
      <c r="E3477" s="1226"/>
      <c r="F3477" s="1226"/>
      <c r="G3477" s="1226"/>
      <c r="H3477" s="1226"/>
      <c r="I3477" s="1226"/>
      <c r="J3477" s="1226"/>
      <c r="K3477" s="1226"/>
      <c r="L3477" s="1226"/>
      <c r="M3477" s="1147"/>
    </row>
    <row r="3478" spans="2:13" ht="12.75" customHeight="1" x14ac:dyDescent="0.2">
      <c r="B3478" s="1148"/>
      <c r="C3478" s="1149"/>
      <c r="D3478" s="1149"/>
      <c r="E3478" s="1149"/>
      <c r="F3478" s="1149"/>
      <c r="G3478" s="1149"/>
      <c r="H3478" s="1149"/>
      <c r="I3478" s="1149"/>
      <c r="J3478" s="1149"/>
      <c r="K3478" s="1149"/>
      <c r="L3478" s="1149"/>
      <c r="M3478" s="1150"/>
    </row>
    <row r="3480" spans="2:13" s="3" customFormat="1" ht="12.75" customHeight="1" x14ac:dyDescent="0.25">
      <c r="B3480" s="313" t="str">
        <f>'3. PARTNER'!C$4</f>
        <v xml:space="preserve">Project: </v>
      </c>
      <c r="C3480" s="1062" t="str">
        <f>'3. PARTNER'!D$4</f>
        <v/>
      </c>
      <c r="D3480" s="1001"/>
      <c r="E3480" s="1001"/>
      <c r="F3480" s="1001"/>
      <c r="G3480" s="1001"/>
      <c r="H3480" s="1001"/>
      <c r="I3480" s="1001"/>
      <c r="J3480" s="1001"/>
      <c r="K3480" s="1001"/>
      <c r="L3480" s="1001"/>
      <c r="M3480" s="1001"/>
    </row>
    <row r="3481" spans="2:13" s="3" customFormat="1" ht="13.2" x14ac:dyDescent="0.25">
      <c r="B3481" s="313" t="str">
        <f>'3. PARTNER'!C$5</f>
        <v xml:space="preserve">Calculation for: </v>
      </c>
      <c r="C3481" s="1062" t="str">
        <f>'3. PARTNER'!D$5</f>
        <v>APPLICATION</v>
      </c>
      <c r="D3481" s="1001"/>
      <c r="E3481" s="268"/>
      <c r="F3481" s="268"/>
      <c r="G3481" s="268"/>
      <c r="H3481" s="268"/>
      <c r="I3481" s="268"/>
      <c r="J3481" s="268"/>
      <c r="K3481" s="268"/>
      <c r="L3481" s="268"/>
      <c r="M3481" s="268"/>
    </row>
    <row r="3482" spans="2:13" s="3" customFormat="1" ht="13.2" x14ac:dyDescent="0.25">
      <c r="B3482" s="35" t="str">
        <f>'3. PARTNER'!C$6</f>
        <v xml:space="preserve">Project leader: </v>
      </c>
      <c r="C3482" s="1062" t="str">
        <f>'3. PARTNER'!D$6</f>
        <v/>
      </c>
      <c r="D3482" s="1001"/>
      <c r="E3482" s="1001"/>
      <c r="F3482" s="1001"/>
      <c r="G3482" s="1001"/>
      <c r="H3482" s="1001"/>
      <c r="I3482" s="1001"/>
      <c r="J3482" s="1001"/>
      <c r="K3482" s="1001"/>
      <c r="L3482" s="1001"/>
      <c r="M3482" s="1001"/>
    </row>
    <row r="3483" spans="2:13" s="3" customFormat="1" ht="13.2" x14ac:dyDescent="0.25">
      <c r="B3483" s="313" t="str">
        <f>'5. PERSON'!B$7</f>
        <v xml:space="preserve">Amounts in: </v>
      </c>
      <c r="C3483" s="655" t="str">
        <f>'5. PERSON'!C$7</f>
        <v>SEK</v>
      </c>
      <c r="D3483" s="268"/>
      <c r="E3483" s="268"/>
      <c r="F3483" s="268"/>
      <c r="G3483" s="234"/>
      <c r="H3483" s="234"/>
      <c r="I3483" s="270"/>
      <c r="J3483" s="270"/>
      <c r="K3483" s="270"/>
      <c r="L3483" s="270"/>
      <c r="M3483" s="270"/>
    </row>
    <row r="3484" spans="2:13" s="3" customFormat="1" ht="13.2" x14ac:dyDescent="0.25">
      <c r="B3484" s="313"/>
      <c r="C3484" s="1053" t="str">
        <f>'3. PARTNER'!D$7</f>
        <v>Other basic data about the project is in sheet 2.</v>
      </c>
      <c r="D3484" s="1001"/>
      <c r="E3484" s="1001"/>
      <c r="F3484" s="1001"/>
      <c r="G3484" s="234"/>
      <c r="H3484" s="234"/>
      <c r="I3484" s="270"/>
      <c r="J3484" s="270"/>
      <c r="K3484" s="270"/>
      <c r="L3484" s="251" t="s">
        <v>4</v>
      </c>
      <c r="M3484" s="270"/>
    </row>
    <row r="3485" spans="2:13" ht="12.75" customHeight="1" x14ac:dyDescent="0.2">
      <c r="L3485" s="252" t="str">
        <f>IF('1. INTRO'!I$2="English","months","månader")</f>
        <v>months</v>
      </c>
    </row>
    <row r="3486" spans="2:13" s="3" customFormat="1" ht="13.8" x14ac:dyDescent="0.25">
      <c r="B3486" s="157" t="str">
        <f>IF('1. INTRO'!I$2="English","Project costs","Projektkostnader")</f>
        <v>Project costs</v>
      </c>
      <c r="C3486" s="668" t="str">
        <f>A82</f>
        <v>EXT124</v>
      </c>
      <c r="D3486" s="1227" t="str">
        <f>B82</f>
        <v/>
      </c>
      <c r="E3486" s="1001"/>
      <c r="F3486" s="1001"/>
      <c r="G3486" s="1001"/>
      <c r="H3486" s="1001"/>
      <c r="I3486" s="37"/>
      <c r="J3486" s="37"/>
      <c r="K3486" s="37"/>
      <c r="L3486" s="642">
        <f>SUMIF('5. PERSON'!$B$17:$B$192,$C3486,'5. PERSON'!AE$17:AE$192)</f>
        <v>0</v>
      </c>
      <c r="M3486" s="680" t="s">
        <v>330</v>
      </c>
    </row>
    <row r="3487" spans="2:13" s="3" customFormat="1" ht="6" customHeight="1" x14ac:dyDescent="0.25">
      <c r="B3487" s="57"/>
      <c r="C3487" s="37"/>
      <c r="D3487" s="37"/>
      <c r="E3487" s="37"/>
      <c r="F3487" s="37"/>
      <c r="G3487" s="37"/>
      <c r="H3487" s="37"/>
      <c r="I3487" s="37"/>
      <c r="J3487" s="37"/>
      <c r="K3487" s="37"/>
      <c r="L3487" s="37"/>
      <c r="M3487" s="37"/>
    </row>
    <row r="3488" spans="2:13" s="3" customFormat="1" ht="13.2" x14ac:dyDescent="0.25">
      <c r="B3488" s="110" t="str">
        <f>IF('1. INTRO'!I$2="English","Costs to be covered by funding body","Kostnader att täckas av finansiär")</f>
        <v>Costs to be covered by funding body</v>
      </c>
      <c r="C3488" s="111">
        <f>'5. PERSON'!G$15</f>
        <v>1900</v>
      </c>
      <c r="D3488" s="111" t="str">
        <f>'5. PERSON'!H$15</f>
        <v/>
      </c>
      <c r="E3488" s="111" t="str">
        <f>'5. PERSON'!I$15</f>
        <v/>
      </c>
      <c r="F3488" s="111" t="str">
        <f>'5. PERSON'!J$15</f>
        <v/>
      </c>
      <c r="G3488" s="111" t="str">
        <f>'5. PERSON'!K$15</f>
        <v/>
      </c>
      <c r="H3488" s="111" t="str">
        <f>'5. PERSON'!L$15</f>
        <v/>
      </c>
      <c r="I3488" s="111" t="str">
        <f>'5. PERSON'!M$15</f>
        <v/>
      </c>
      <c r="J3488" s="111" t="str">
        <f>'5. PERSON'!N$15</f>
        <v/>
      </c>
      <c r="K3488" s="111" t="str">
        <f>'5. PERSON'!O$15</f>
        <v/>
      </c>
      <c r="L3488" s="111" t="str">
        <f>'5. PERSON'!P$15</f>
        <v/>
      </c>
      <c r="M3488" s="112" t="s">
        <v>2</v>
      </c>
    </row>
    <row r="3489" spans="2:15" s="3" customFormat="1" ht="12.75" customHeight="1" x14ac:dyDescent="0.25">
      <c r="B3489" s="113" t="str">
        <f>IF('1. INTRO'!I$2="English","Salary including social costs (LKP)","Lön inklusive LKP")</f>
        <v>Salary including social costs (LKP)</v>
      </c>
      <c r="C3489" s="114">
        <f>IF('2. START'!$C$14&gt;0,SUMIF('5. PERSON'!$B$17:$B$192,$C3486,'5. PERSON'!DN$17:DN$192),SUMIF('5. PERSON'!$B$17:$B$192,$C3486,'5. PERSON'!AT$17:AT$192))</f>
        <v>0</v>
      </c>
      <c r="D3489" s="114">
        <f>IF('2. START'!$C$14&gt;0,SUMIF('5. PERSON'!$B$17:$B$192,$C3486,'5. PERSON'!DO$17:DO$192),SUMIF('5. PERSON'!$B$17:$B$192,$C3486,'5. PERSON'!AU$17:AU$192))</f>
        <v>0</v>
      </c>
      <c r="E3489" s="114">
        <f>IF('2. START'!$C$14&gt;0,SUMIF('5. PERSON'!$B$17:$B$192,$C3486,'5. PERSON'!DP$17:DP$192),SUMIF('5. PERSON'!$B$17:$B$192,$C3486,'5. PERSON'!AV$17:AV$192))</f>
        <v>0</v>
      </c>
      <c r="F3489" s="114">
        <f>IF('2. START'!$C$14&gt;0,SUMIF('5. PERSON'!$B$17:$B$192,$C3486,'5. PERSON'!DQ$17:DQ$192),SUMIF('5. PERSON'!$B$17:$B$192,$C3486,'5. PERSON'!AW$17:AW$192))</f>
        <v>0</v>
      </c>
      <c r="G3489" s="114">
        <f>IF('2. START'!$C$14&gt;0,SUMIF('5. PERSON'!$B$17:$B$192,$C3486,'5. PERSON'!DR$17:DR$192),SUMIF('5. PERSON'!$B$17:$B$192,$C3486,'5. PERSON'!AX$17:AX$192))</f>
        <v>0</v>
      </c>
      <c r="H3489" s="114">
        <f>IF('2. START'!$C$14&gt;0,SUMIF('5. PERSON'!$B$17:$B$192,$C3486,'5. PERSON'!DS$17:DS$192),SUMIF('5. PERSON'!$B$17:$B$192,$C3486,'5. PERSON'!AY$17:AY$192))</f>
        <v>0</v>
      </c>
      <c r="I3489" s="114">
        <f>IF('2. START'!$C$14&gt;0,SUMIF('5. PERSON'!$B$17:$B$192,$C3486,'5. PERSON'!DT$17:DT$192),SUMIF('5. PERSON'!$B$17:$B$192,$C3486,'5. PERSON'!AZ$17:AZ$192))</f>
        <v>0</v>
      </c>
      <c r="J3489" s="114">
        <f>IF('2. START'!$C$14&gt;0,SUMIF('5. PERSON'!$B$17:$B$192,$C3486,'5. PERSON'!DU$17:DU$192),SUMIF('5. PERSON'!$B$17:$B$192,$C3486,'5. PERSON'!BA$17:BA$192))</f>
        <v>0</v>
      </c>
      <c r="K3489" s="114">
        <f>IF('2. START'!$C$14&gt;0,SUMIF('5. PERSON'!$B$17:$B$192,$C3486,'5. PERSON'!DV$17:DV$192),SUMIF('5. PERSON'!$B$17:$B$192,$C3486,'5. PERSON'!BB$17:BB$192))</f>
        <v>0</v>
      </c>
      <c r="L3489" s="114">
        <f>IF('2. START'!$C$14&gt;0,SUMIF('5. PERSON'!$B$17:$B$192,$C3486,'5. PERSON'!DW$17:DW$192),SUMIF('5. PERSON'!$B$17:$B$192,$C3486,'5. PERSON'!BC$17:BC$192))</f>
        <v>0</v>
      </c>
      <c r="M3489" s="115">
        <f t="shared" ref="M3489:M3494" si="829">SUM(C3489:L3489)</f>
        <v>0</v>
      </c>
      <c r="O3489" s="4"/>
    </row>
    <row r="3490" spans="2:15" s="3" customFormat="1" ht="12.75" customHeight="1" x14ac:dyDescent="0.25">
      <c r="B3490" s="80" t="str">
        <f>IF('1. INTRO'!I$2="English","Operating","Drift")</f>
        <v>Operating</v>
      </c>
      <c r="C3490" s="116">
        <f>SUMIF('6. OPERATION'!$B$17:$B$149,$C3486,'6. OPERATION'!W$17:W$149)</f>
        <v>0</v>
      </c>
      <c r="D3490" s="116">
        <f>SUMIF('6. OPERATION'!$B$17:$B$149,$C3486,'6. OPERATION'!X$17:X$149)</f>
        <v>0</v>
      </c>
      <c r="E3490" s="116">
        <f>SUMIF('6. OPERATION'!$B$17:$B$149,$C3486,'6. OPERATION'!Y$17:Y$149)</f>
        <v>0</v>
      </c>
      <c r="F3490" s="116">
        <f>SUMIF('6. OPERATION'!$B$17:$B$149,$C3486,'6. OPERATION'!Z$17:Z$149)</f>
        <v>0</v>
      </c>
      <c r="G3490" s="116">
        <f>SUMIF('6. OPERATION'!$B$17:$B$149,$C3486,'6. OPERATION'!AA$17:AA$149)</f>
        <v>0</v>
      </c>
      <c r="H3490" s="116">
        <f>SUMIF('6. OPERATION'!$B$17:$B$149,$C3486,'6. OPERATION'!AB$17:AB$149)</f>
        <v>0</v>
      </c>
      <c r="I3490" s="116">
        <f>SUMIF('6. OPERATION'!$B$17:$B$149,$C3486,'6. OPERATION'!AC$17:AC$149)</f>
        <v>0</v>
      </c>
      <c r="J3490" s="116">
        <f>SUMIF('6. OPERATION'!$B$17:$B$149,$C3486,'6. OPERATION'!AD$17:AD$149)</f>
        <v>0</v>
      </c>
      <c r="K3490" s="116">
        <f>SUMIF('6. OPERATION'!$B$17:$B$149,$C3486,'6. OPERATION'!AE$17:AE$149)</f>
        <v>0</v>
      </c>
      <c r="L3490" s="116">
        <f>SUMIF('6. OPERATION'!$B$17:$B$149,$C3486,'6. OPERATION'!AF$17:AF$149)</f>
        <v>0</v>
      </c>
      <c r="M3490" s="117">
        <f t="shared" si="829"/>
        <v>0</v>
      </c>
    </row>
    <row r="3491" spans="2:15" s="3" customFormat="1" ht="13.2" x14ac:dyDescent="0.25">
      <c r="B3491" s="118" t="str">
        <f>IF('1. INTRO'!I$2="English","Equipment","Utrustning")</f>
        <v>Equipment</v>
      </c>
      <c r="C3491" s="119">
        <f>SUMIF('7. INVEST'!$B$17:$B$49,$C3486,'7. INVEST'!W$17:W$49)</f>
        <v>0</v>
      </c>
      <c r="D3491" s="119">
        <f>SUMIF('7. INVEST'!$B$17:$B$49,$C3486,'7. INVEST'!X$17:X$49)</f>
        <v>0</v>
      </c>
      <c r="E3491" s="119">
        <f>SUMIF('7. INVEST'!$B$17:$B$49,$C3486,'7. INVEST'!Y$17:Y$49)</f>
        <v>0</v>
      </c>
      <c r="F3491" s="119">
        <f>SUMIF('7. INVEST'!$B$17:$B$49,$C3486,'7. INVEST'!Z$17:Z$49)</f>
        <v>0</v>
      </c>
      <c r="G3491" s="119">
        <f>SUMIF('7. INVEST'!$B$17:$B$49,$C3486,'7. INVEST'!AA$17:AA$49)</f>
        <v>0</v>
      </c>
      <c r="H3491" s="119">
        <f>SUMIF('7. INVEST'!$B$17:$B$49,$C3486,'7. INVEST'!AB$17:AB$49)</f>
        <v>0</v>
      </c>
      <c r="I3491" s="119">
        <f>SUMIF('7. INVEST'!$B$17:$B$49,$C3486,'7. INVEST'!AC$17:AC$49)</f>
        <v>0</v>
      </c>
      <c r="J3491" s="119">
        <f>SUMIF('7. INVEST'!$B$17:$B$49,$C3486,'7. INVEST'!AD$17:AD$49)</f>
        <v>0</v>
      </c>
      <c r="K3491" s="119">
        <f>SUMIF('7. INVEST'!$B$17:$B$49,$C3486,'7. INVEST'!AE$17:AE$49)</f>
        <v>0</v>
      </c>
      <c r="L3491" s="119">
        <f>SUMIF('7. INVEST'!$B$17:$B$49,$C3486,'7. INVEST'!AF$17:AF$49)</f>
        <v>0</v>
      </c>
      <c r="M3491" s="120">
        <f t="shared" si="829"/>
        <v>0</v>
      </c>
    </row>
    <row r="3492" spans="2:15" s="3" customFormat="1" ht="13.2" x14ac:dyDescent="0.25">
      <c r="B3492" s="121" t="str">
        <f>IF('1. INTRO'!I$2="English",(IF('2. START'!C$11="NO","Facility accepted as direct cost by funding body","Facility")),IF('2. START'!C$11="NO","Lokal accepterad som direkt kostnad av finansiär","Lokal"))</f>
        <v>Facility</v>
      </c>
      <c r="C3492" s="116">
        <f>IF('2. START'!$C$11="NO",SUMIF('8. FACILIT'!$B$18:$B$50,$C3486,'8. FACILIT'!T$18:T$50),SUMIF('5. PERSON'!$B$17:$B$192,$C3486,'5. PERSON'!CP$17:CP$192)+SUMIF('6. OPERATION'!$B$17:$B$149,$C3486,'6. OPERATION'!BS$17:BS$149)+SUMIF('8. FACILIT'!$B$18:$B$50,$C3486,'8. FACILIT'!T$18:T$50))</f>
        <v>0</v>
      </c>
      <c r="D3492" s="116">
        <f>IF('2. START'!$C$11="NO",SUMIF('8. FACILIT'!$B$18:$B$50,$C3486,'8. FACILIT'!U$18:U$50),SUMIF('5. PERSON'!$B$17:$B$192,$C3486,'5. PERSON'!CQ$17:CQ$192)+SUMIF('6. OPERATION'!$B$17:$B$149,$C3486,'6. OPERATION'!BT$17:BT$149)+SUMIF('8. FACILIT'!$B$18:$B$50,$C3486,'8. FACILIT'!U$18:U$50))</f>
        <v>0</v>
      </c>
      <c r="E3492" s="116">
        <f>IF('2. START'!$C$11="NO",SUMIF('8. FACILIT'!$B$18:$B$50,$C3486,'8. FACILIT'!V$18:V$50),SUMIF('5. PERSON'!$B$17:$B$192,$C3486,'5. PERSON'!CR$17:CR$192)+SUMIF('6. OPERATION'!$B$17:$B$149,$C3486,'6. OPERATION'!BU$17:BU$149)+SUMIF('8. FACILIT'!$B$18:$B$50,$C3486,'8. FACILIT'!V$18:V$50))</f>
        <v>0</v>
      </c>
      <c r="F3492" s="116">
        <f>IF('2. START'!$C$11="NO",SUMIF('8. FACILIT'!$B$18:$B$50,$C3486,'8. FACILIT'!W$18:W$50),SUMIF('5. PERSON'!$B$17:$B$192,$C3486,'5. PERSON'!CS$17:CS$192)+SUMIF('6. OPERATION'!$B$17:$B$149,$C3486,'6. OPERATION'!BV$17:BV$149)+SUMIF('8. FACILIT'!$B$18:$B$50,$C3486,'8. FACILIT'!W$18:W$50))</f>
        <v>0</v>
      </c>
      <c r="G3492" s="116">
        <f>IF('2. START'!$C$11="NO",SUMIF('8. FACILIT'!$B$18:$B$50,$C3486,'8. FACILIT'!X$18:X$50),SUMIF('5. PERSON'!$B$17:$B$192,$C3486,'5. PERSON'!CT$17:CT$192)+SUMIF('6. OPERATION'!$B$17:$B$149,$C3486,'6. OPERATION'!BW$17:BW$149)+SUMIF('8. FACILIT'!$B$18:$B$50,$C3486,'8. FACILIT'!X$18:X$50))</f>
        <v>0</v>
      </c>
      <c r="H3492" s="116">
        <f>IF('2. START'!$C$11="NO",SUMIF('8. FACILIT'!$B$18:$B$50,$C3486,'8. FACILIT'!Y$18:Y$50),SUMIF('5. PERSON'!$B$17:$B$192,$C3486,'5. PERSON'!CU$17:CU$192)+SUMIF('6. OPERATION'!$B$17:$B$149,$C3486,'6. OPERATION'!BX$17:BX$149)+SUMIF('8. FACILIT'!$B$18:$B$50,$C3486,'8. FACILIT'!Y$18:Y$50))</f>
        <v>0</v>
      </c>
      <c r="I3492" s="116">
        <f>IF('2. START'!$C$11="NO",SUMIF('8. FACILIT'!$B$18:$B$50,$C3486,'8. FACILIT'!Z$18:Z$50),SUMIF('5. PERSON'!$B$17:$B$192,$C3486,'5. PERSON'!CV$17:CV$192)+SUMIF('6. OPERATION'!$B$17:$B$149,$C3486,'6. OPERATION'!BY$17:BY$149)+SUMIF('8. FACILIT'!$B$18:$B$50,$C3486,'8. FACILIT'!Z$18:Z$50))</f>
        <v>0</v>
      </c>
      <c r="J3492" s="116">
        <f>IF('2. START'!$C$11="NO",SUMIF('8. FACILIT'!$B$18:$B$50,$C3486,'8. FACILIT'!AA$18:AA$50),SUMIF('5. PERSON'!$B$17:$B$192,$C3486,'5. PERSON'!CW$17:CW$192)+SUMIF('6. OPERATION'!$B$17:$B$149,$C3486,'6. OPERATION'!BZ$17:BZ$149)+SUMIF('8. FACILIT'!$B$18:$B$50,$C3486,'8. FACILIT'!AA$18:AA$50))</f>
        <v>0</v>
      </c>
      <c r="K3492" s="116">
        <f>IF('2. START'!$C$11="NO",SUMIF('8. FACILIT'!$B$18:$B$50,$C3486,'8. FACILIT'!AB$18:AB$50),SUMIF('5. PERSON'!$B$17:$B$192,$C3486,'5. PERSON'!CX$17:CX$192)+SUMIF('6. OPERATION'!$B$17:$B$149,$C3486,'6. OPERATION'!CA$17:CA$149)+SUMIF('8. FACILIT'!$B$18:$B$50,$C3486,'8. FACILIT'!AB$18:AB$50))</f>
        <v>0</v>
      </c>
      <c r="L3492" s="116">
        <f>IF('2. START'!$C$11="NO",SUMIF('8. FACILIT'!$B$18:$B$50,$C3486,'8. FACILIT'!AC$18:AC$50),SUMIF('5. PERSON'!$B$17:$B$192,$C3486,'5. PERSON'!CY$17:CY$192)+SUMIF('6. OPERATION'!$B$17:$B$149,$C3486,'6. OPERATION'!CB$17:CB$149)+SUMIF('8. FACILIT'!$B$18:$B$50,$C3486,'8. FACILIT'!AC$18:AC$50))</f>
        <v>0</v>
      </c>
      <c r="M3492" s="117">
        <f t="shared" si="829"/>
        <v>0</v>
      </c>
    </row>
    <row r="3493" spans="2:15" s="3" customFormat="1" ht="13.2" x14ac:dyDescent="0.25">
      <c r="B3493" s="122" t="str">
        <f>IF('1. INTRO'!I$2="English",(IF('2. START'!C$11="NO","Indirect and facility charge accepted as OH by funding body","Indirect")),IF('2. START'!C$11="NO","Indirekt och lokalpåslag accepterade som OH av finansiär","Indirekt"))</f>
        <v>Indirect</v>
      </c>
      <c r="C3493" s="107">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107">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107">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107">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107">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107">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107">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107">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107">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107">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120">
        <f t="shared" si="829"/>
        <v>0</v>
      </c>
    </row>
    <row r="3494" spans="2:15" s="3" customFormat="1" ht="13.2" x14ac:dyDescent="0.25">
      <c r="B3494" s="124" t="s">
        <v>113</v>
      </c>
      <c r="C3494" s="102">
        <f>SUM(C3489:C3493)</f>
        <v>0</v>
      </c>
      <c r="D3494" s="102">
        <f t="shared" ref="D3494:L3494" si="830">SUM(D3489:D3493)</f>
        <v>0</v>
      </c>
      <c r="E3494" s="102">
        <f t="shared" si="830"/>
        <v>0</v>
      </c>
      <c r="F3494" s="102">
        <f t="shared" si="830"/>
        <v>0</v>
      </c>
      <c r="G3494" s="102">
        <f t="shared" si="830"/>
        <v>0</v>
      </c>
      <c r="H3494" s="102">
        <f t="shared" si="830"/>
        <v>0</v>
      </c>
      <c r="I3494" s="102">
        <f t="shared" si="830"/>
        <v>0</v>
      </c>
      <c r="J3494" s="102">
        <f t="shared" si="830"/>
        <v>0</v>
      </c>
      <c r="K3494" s="102">
        <f t="shared" si="830"/>
        <v>0</v>
      </c>
      <c r="L3494" s="102">
        <f t="shared" si="830"/>
        <v>0</v>
      </c>
      <c r="M3494" s="125">
        <f t="shared" si="829"/>
        <v>0</v>
      </c>
    </row>
    <row r="3495" spans="2:15" s="3" customFormat="1" ht="6" customHeight="1" x14ac:dyDescent="0.25">
      <c r="B3495" s="126"/>
      <c r="C3495" s="127"/>
      <c r="D3495" s="127"/>
      <c r="E3495" s="127"/>
      <c r="F3495" s="127"/>
      <c r="G3495" s="127"/>
      <c r="H3495" s="127"/>
      <c r="I3495" s="127"/>
      <c r="J3495" s="127"/>
      <c r="K3495" s="127"/>
      <c r="L3495" s="127"/>
      <c r="M3495" s="128"/>
    </row>
    <row r="3496" spans="2:15" s="3" customFormat="1" ht="13.2" x14ac:dyDescent="0.25">
      <c r="B3496" s="129" t="str">
        <f>IF('1. INTRO'!I$2="English","Costs to be co-funded","Kostnader att medfinansiera")</f>
        <v>Costs to be co-funded</v>
      </c>
      <c r="C3496" s="86"/>
      <c r="D3496" s="86"/>
      <c r="E3496" s="86"/>
      <c r="F3496" s="86"/>
      <c r="G3496" s="86"/>
      <c r="H3496" s="86"/>
      <c r="I3496" s="86"/>
      <c r="J3496" s="86"/>
      <c r="K3496" s="86"/>
      <c r="L3496" s="86"/>
      <c r="M3496" s="130"/>
    </row>
    <row r="3497" spans="2:15" s="3" customFormat="1" ht="13.2" x14ac:dyDescent="0.25">
      <c r="B3497" s="159" t="str">
        <f>IF('1. INTRO'!I$2="English",(IF('2. START'!C$11="NO","Indirect and facility charge not accepted as OH by funding body","")),IF('2. START'!C$11="NO","Indirekt och lokalpåslag inte accepterade som OH av finansiär",""))</f>
        <v/>
      </c>
      <c r="C3497" s="131">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31">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31">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31">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31">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31">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31">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31">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31">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31">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115">
        <f t="shared" ref="M3497:M3503" si="831">SUM(C3497:L3497)</f>
        <v>0</v>
      </c>
    </row>
    <row r="3498" spans="2:15" s="3" customFormat="1" ht="12.75" customHeight="1" x14ac:dyDescent="0.25">
      <c r="B3498" s="132" t="str">
        <f>IF('1. INTRO'!I$2="English",(IF('2. START'!C$14&gt;0,"Social costs (LKP) not accepted by funding body","")),IF('2. START'!C$14&gt;0,"LKP som inte accepteras av finansiär",""))</f>
        <v/>
      </c>
      <c r="C3498" s="133">
        <f>IF('2. START'!$C$14&gt;0,SUMIF('5. PERSON'!$B$17:$B$192,$C3486,'5. PERSON'!AT$17:AT$192)-SUMIF('5. PERSON'!$B$17:$B$192,$C3486,'5. PERSON'!DN$17:DN$192),0)</f>
        <v>0</v>
      </c>
      <c r="D3498" s="133">
        <f>IF('2. START'!$C$14&gt;0,SUMIF('5. PERSON'!$B$17:$B$192,$C3486,'5. PERSON'!AU$17:AU$192)-SUMIF('5. PERSON'!$B$17:$B$192,$C3486,'5. PERSON'!DO$17:DO$192),0)</f>
        <v>0</v>
      </c>
      <c r="E3498" s="133">
        <f>IF('2. START'!$C$14&gt;0,SUMIF('5. PERSON'!$B$17:$B$192,$C3486,'5. PERSON'!AV$17:AV$192)-SUMIF('5. PERSON'!$B$17:$B$192,$C3486,'5. PERSON'!DP$17:DP$192),0)</f>
        <v>0</v>
      </c>
      <c r="F3498" s="133">
        <f>IF('2. START'!$C$14&gt;0,SUMIF('5. PERSON'!$B$17:$B$192,$C3486,'5. PERSON'!AW$17:AW$192)-SUMIF('5. PERSON'!$B$17:$B$192,$C3486,'5. PERSON'!DQ$17:DQ$192),0)</f>
        <v>0</v>
      </c>
      <c r="G3498" s="133">
        <f>IF('2. START'!$C$14&gt;0,SUMIF('5. PERSON'!$B$17:$B$192,$C3486,'5. PERSON'!AX$17:AX$192)-SUMIF('5. PERSON'!$B$17:$B$192,$C3486,'5. PERSON'!DR$17:DR$192),0)</f>
        <v>0</v>
      </c>
      <c r="H3498" s="133">
        <f>IF('2. START'!$C$14&gt;0,SUMIF('5. PERSON'!$B$17:$B$192,$C3486,'5. PERSON'!AY$17:AY$192)-SUMIF('5. PERSON'!$B$17:$B$192,$C3486,'5. PERSON'!DS$17:DS$192),0)</f>
        <v>0</v>
      </c>
      <c r="I3498" s="133">
        <f>IF('2. START'!$C$14&gt;0,SUMIF('5. PERSON'!$B$17:$B$192,$C3486,'5. PERSON'!AZ$17:AZ$192)-SUMIF('5. PERSON'!$B$17:$B$192,$C3486,'5. PERSON'!DT$17:DT$192),0)</f>
        <v>0</v>
      </c>
      <c r="J3498" s="133">
        <f>IF('2. START'!$C$14&gt;0,SUMIF('5. PERSON'!$B$17:$B$192,$C3486,'5. PERSON'!BA$17:BA$192)-SUMIF('5. PERSON'!$B$17:$B$192,$C3486,'5. PERSON'!DU$17:DU$192),0)</f>
        <v>0</v>
      </c>
      <c r="K3498" s="133">
        <f>IF('2. START'!$C$14&gt;0,SUMIF('5. PERSON'!$B$17:$B$192,$C3486,'5. PERSON'!BB$17:BB$192)-SUMIF('5. PERSON'!$B$17:$B$192,$C3486,'5. PERSON'!DV$17:DV$192),0)</f>
        <v>0</v>
      </c>
      <c r="L3498" s="133">
        <f>IF('2. START'!$C$14&gt;0,SUMIF('5. PERSON'!$B$17:$B$192,$C3486,'5. PERSON'!BC$17:BC$192)-SUMIF('5. PERSON'!$B$17:$B$192,$C3486,'5. PERSON'!DW$17:DW$192),0)</f>
        <v>0</v>
      </c>
      <c r="M3498" s="117">
        <f t="shared" si="831"/>
        <v>0</v>
      </c>
    </row>
    <row r="3499" spans="2:15" s="3" customFormat="1" ht="12.75" customHeight="1" x14ac:dyDescent="0.25">
      <c r="B3499" s="118" t="str">
        <f>IF('1. INTRO'!I$2="English",(IF('5. PERSON'!BP$193&gt;0,"Salary including social costs (LKP)","")),IF('5. PERSON'!BP$193&gt;0,"Lön inklusive LKP",""))</f>
        <v/>
      </c>
      <c r="C3499" s="134">
        <f>SUMIF('5. PERSON'!$B$17:$B$192,$C3486,'5. PERSON'!BF$17:BF$192)</f>
        <v>0</v>
      </c>
      <c r="D3499" s="134">
        <f>SUMIF('5. PERSON'!$B$17:$B$192,$C3486,'5. PERSON'!BG$17:BG$192)</f>
        <v>0</v>
      </c>
      <c r="E3499" s="134">
        <f>SUMIF('5. PERSON'!$B$17:$B$192,$C3486,'5. PERSON'!BH$17:BH$192)</f>
        <v>0</v>
      </c>
      <c r="F3499" s="134">
        <f>SUMIF('5. PERSON'!$B$17:$B$192,$C3486,'5. PERSON'!BI$17:BI$192)</f>
        <v>0</v>
      </c>
      <c r="G3499" s="134">
        <f>SUMIF('5. PERSON'!$B$17:$B$192,$C3486,'5. PERSON'!BJ$17:BJ$192)</f>
        <v>0</v>
      </c>
      <c r="H3499" s="134">
        <f>SUMIF('5. PERSON'!$B$17:$B$192,$C3486,'5. PERSON'!BK$17:BK$192)</f>
        <v>0</v>
      </c>
      <c r="I3499" s="134">
        <f>SUMIF('5. PERSON'!$B$17:$B$192,$C3486,'5. PERSON'!BL$17:BL$192)</f>
        <v>0</v>
      </c>
      <c r="J3499" s="134">
        <f>SUMIF('5. PERSON'!$B$17:$B$192,$C3486,'5. PERSON'!BM$17:BM$192)</f>
        <v>0</v>
      </c>
      <c r="K3499" s="134">
        <f>SUMIF('5. PERSON'!$B$17:$B$192,$C3486,'5. PERSON'!BN$17:BN$192)</f>
        <v>0</v>
      </c>
      <c r="L3499" s="134">
        <f>SUMIF('5. PERSON'!$B$17:$B$192,$C3486,'5. PERSON'!BO$17:BO$192)</f>
        <v>0</v>
      </c>
      <c r="M3499" s="120">
        <f t="shared" si="831"/>
        <v>0</v>
      </c>
    </row>
    <row r="3500" spans="2:15" s="3" customFormat="1" ht="13.2" x14ac:dyDescent="0.25">
      <c r="B3500" s="80" t="str">
        <f>IF('1. INTRO'!I$2="English",(IF('6. OPERATION'!AS$150&gt;0,"Operating","")),IF('6. OPERATION'!AS$150&gt;0,"Drift",""))</f>
        <v/>
      </c>
      <c r="C3500" s="135">
        <f>SUMIF('6. OPERATION'!$B$17:$B$149,$C3486,'6. OPERATION'!AI$17:AI$149)</f>
        <v>0</v>
      </c>
      <c r="D3500" s="135">
        <f>SUMIF('6. OPERATION'!$B$17:$B$149,$C3486,'6. OPERATION'!AJ$17:AJ$149)</f>
        <v>0</v>
      </c>
      <c r="E3500" s="135">
        <f>SUMIF('6. OPERATION'!$B$17:$B$149,$C3486,'6. OPERATION'!AK$17:AK$149)</f>
        <v>0</v>
      </c>
      <c r="F3500" s="135">
        <f>SUMIF('6. OPERATION'!$B$17:$B$149,$C3486,'6. OPERATION'!AL$17:AL$149)</f>
        <v>0</v>
      </c>
      <c r="G3500" s="135">
        <f>SUMIF('6. OPERATION'!$B$17:$B$149,$C3486,'6. OPERATION'!AM$17:AM$149)</f>
        <v>0</v>
      </c>
      <c r="H3500" s="135">
        <f>SUMIF('6. OPERATION'!$B$17:$B$149,$C3486,'6. OPERATION'!AN$17:AN$149)</f>
        <v>0</v>
      </c>
      <c r="I3500" s="135">
        <f>SUMIF('6. OPERATION'!$B$17:$B$149,$C3486,'6. OPERATION'!AO$17:AO$149)</f>
        <v>0</v>
      </c>
      <c r="J3500" s="135">
        <f>SUMIF('6. OPERATION'!$B$17:$B$149,$C3486,'6. OPERATION'!AP$17:AP$149)</f>
        <v>0</v>
      </c>
      <c r="K3500" s="135">
        <f>SUMIF('6. OPERATION'!$B$17:$B$149,$C3486,'6. OPERATION'!AQ$17:AQ$149)</f>
        <v>0</v>
      </c>
      <c r="L3500" s="135">
        <f>SUMIF('6. OPERATION'!$B$17:$B$149,$C3486,'6. OPERATION'!AR$17:AR$149)</f>
        <v>0</v>
      </c>
      <c r="M3500" s="117">
        <f t="shared" si="831"/>
        <v>0</v>
      </c>
    </row>
    <row r="3501" spans="2:15" s="3" customFormat="1" ht="13.2" x14ac:dyDescent="0.25">
      <c r="B3501" s="118" t="str">
        <f>IF('1. INTRO'!I$2="English",(IF('7. INVEST'!AS$50&gt;0,"Equipment","")),IF('7. INVEST'!AS$50&gt;0,"Utrustning",""))</f>
        <v/>
      </c>
      <c r="C3501" s="134">
        <f>SUMIF('7. INVEST'!$B$17:$B$49,$C3486,'7. INVEST'!AI$17:AI$49)</f>
        <v>0</v>
      </c>
      <c r="D3501" s="134">
        <f>SUMIF('7. INVEST'!$B$17:$B$49,$C3486,'7. INVEST'!AJ$17:AJ$49)</f>
        <v>0</v>
      </c>
      <c r="E3501" s="134">
        <f>SUMIF('7. INVEST'!$B$17:$B$49,$C3486,'7. INVEST'!AK$17:AK$49)</f>
        <v>0</v>
      </c>
      <c r="F3501" s="134">
        <f>SUMIF('7. INVEST'!$B$17:$B$49,$C3486,'7. INVEST'!AL$17:AL$49)</f>
        <v>0</v>
      </c>
      <c r="G3501" s="134">
        <f>SUMIF('7. INVEST'!$B$17:$B$49,$C3486,'7. INVEST'!AM$17:AM$49)</f>
        <v>0</v>
      </c>
      <c r="H3501" s="134">
        <f>SUMIF('7. INVEST'!$B$17:$B$49,$C3486,'7. INVEST'!AN$17:AN$49)</f>
        <v>0</v>
      </c>
      <c r="I3501" s="134">
        <f>SUMIF('7. INVEST'!$B$17:$B$49,$C3486,'7. INVEST'!AO$17:AO$49)</f>
        <v>0</v>
      </c>
      <c r="J3501" s="134">
        <f>SUMIF('7. INVEST'!$B$17:$B$49,$C3486,'7. INVEST'!AP$17:AP$49)</f>
        <v>0</v>
      </c>
      <c r="K3501" s="134">
        <f>SUMIF('7. INVEST'!$B$17:$B$49,$C3486,'7. INVEST'!AQ$17:AQ$49)</f>
        <v>0</v>
      </c>
      <c r="L3501" s="134">
        <f>SUMIF('7. INVEST'!$B$17:$B$49,$C3486,'7. INVEST'!AR$17:AR$49)</f>
        <v>0</v>
      </c>
      <c r="M3501" s="120">
        <f t="shared" si="831"/>
        <v>0</v>
      </c>
    </row>
    <row r="3502" spans="2:15" s="3" customFormat="1" ht="13.2" x14ac:dyDescent="0.25">
      <c r="B3502" s="121" t="str">
        <f>IF('1. INTRO'!I$2="English",(IF('8. FACILIT'!AP$51&gt;0,"Facility","")),IF('8. FACILIT'!AP$51&gt;0,"Lokal",""))</f>
        <v/>
      </c>
      <c r="C3502" s="135">
        <f>SUMIF('5. PERSON'!$B$17:$B$192,$C3486,'5. PERSON'!DB$17:DB$192)+SUMIF('6. OPERATION'!$B$17:$B$149,$C3486,'6. OPERATION'!CE$17:CE$149)+SUMIF('8. FACILIT'!$B$18:$B$50,$C3486,'8. FACILIT'!AF$18:AF$50)</f>
        <v>0</v>
      </c>
      <c r="D3502" s="135">
        <f>SUMIF('5. PERSON'!$B$17:$B$192,$C3486,'5. PERSON'!DC$17:DC$192)+SUMIF('6. OPERATION'!$B$17:$B$149,$C3486,'6. OPERATION'!CF$17:CF$149)+SUMIF('8. FACILIT'!$B$18:$B$50,$C3486,'8. FACILIT'!AG$18:AG$50)</f>
        <v>0</v>
      </c>
      <c r="E3502" s="135">
        <f>SUMIF('5. PERSON'!$B$17:$B$192,$C3486,'5. PERSON'!DD$17:DD$192)+SUMIF('6. OPERATION'!$B$17:$B$149,$C3486,'6. OPERATION'!CG$17:CG$149)+SUMIF('8. FACILIT'!$B$18:$B$50,$C3486,'8. FACILIT'!AH$18:AH$50)</f>
        <v>0</v>
      </c>
      <c r="F3502" s="135">
        <f>SUMIF('5. PERSON'!$B$17:$B$192,$C3486,'5. PERSON'!DE$17:DE$192)+SUMIF('6. OPERATION'!$B$17:$B$149,$C3486,'6. OPERATION'!CH$17:CH$149)+SUMIF('8. FACILIT'!$B$18:$B$50,$C3486,'8. FACILIT'!AI$18:AI$50)</f>
        <v>0</v>
      </c>
      <c r="G3502" s="135">
        <f>SUMIF('5. PERSON'!$B$17:$B$192,$C3486,'5. PERSON'!DF$17:DF$192)+SUMIF('6. OPERATION'!$B$17:$B$149,$C3486,'6. OPERATION'!CI$17:CI$149)+SUMIF('8. FACILIT'!$B$18:$B$50,$C3486,'8. FACILIT'!AJ$18:AJ$50)</f>
        <v>0</v>
      </c>
      <c r="H3502" s="135">
        <f>SUMIF('5. PERSON'!$B$17:$B$192,$C3486,'5. PERSON'!DG$17:DG$192)+SUMIF('6. OPERATION'!$B$17:$B$149,$C3486,'6. OPERATION'!CJ$17:CJ$149)+SUMIF('8. FACILIT'!$B$18:$B$50,$C3486,'8. FACILIT'!AK$18:AK$50)</f>
        <v>0</v>
      </c>
      <c r="I3502" s="135">
        <f>SUMIF('5. PERSON'!$B$17:$B$192,$C3486,'5. PERSON'!DH$17:DH$192)+SUMIF('6. OPERATION'!$B$17:$B$149,$C3486,'6. OPERATION'!CK$17:CK$149)+SUMIF('8. FACILIT'!$B$18:$B$50,$C3486,'8. FACILIT'!AL$18:AL$50)</f>
        <v>0</v>
      </c>
      <c r="J3502" s="135">
        <f>SUMIF('5. PERSON'!$B$17:$B$192,$C3486,'5. PERSON'!DI$17:DI$192)+SUMIF('6. OPERATION'!$B$17:$B$149,$C3486,'6. OPERATION'!CL$17:CL$149)+SUMIF('8. FACILIT'!$B$18:$B$50,$C3486,'8. FACILIT'!AM$18:AM$50)</f>
        <v>0</v>
      </c>
      <c r="K3502" s="135">
        <f>SUMIF('5. PERSON'!$B$17:$B$192,$C3486,'5. PERSON'!DJ$17:DJ$192)+SUMIF('6. OPERATION'!$B$17:$B$149,$C3486,'6. OPERATION'!CM$17:CM$149)+SUMIF('8. FACILIT'!$B$18:$B$50,$C3486,'8. FACILIT'!AN$18:AN$50)</f>
        <v>0</v>
      </c>
      <c r="L3502" s="135">
        <f>SUMIF('5. PERSON'!$B$17:$B$192,$C3486,'5. PERSON'!DK$17:DK$192)+SUMIF('6. OPERATION'!$B$17:$B$149,$C3486,'6. OPERATION'!CN$17:CN$149)+SUMIF('8. FACILIT'!$B$18:$B$50,$C3486,'8. FACILIT'!AO$18:AO$50)</f>
        <v>0</v>
      </c>
      <c r="M3502" s="117">
        <f t="shared" si="831"/>
        <v>0</v>
      </c>
    </row>
    <row r="3503" spans="2:15" s="1" customFormat="1" ht="13.2" x14ac:dyDescent="0.25">
      <c r="B3503" s="122" t="str">
        <f>IF('1. INTRO'!I$2="English",(IF(('5. PERSON'!CN$193+'6. OPERATION'!BQ$150)&gt;0,"Indirect","")),IF(('5. PERSON'!CN$193+'6. OPERATION'!BQ$150)&gt;0,"Indirekt",""))</f>
        <v/>
      </c>
      <c r="C3503" s="107">
        <f>SUMIF('5. PERSON'!$B$17:$B$192,$C3486,'5. PERSON'!CD$17:CD$192)+SUMIF('6. OPERATION'!$B$17:$B$149,$C3486,'6. OPERATION'!BG$17:BG$149)</f>
        <v>0</v>
      </c>
      <c r="D3503" s="107">
        <f>SUMIF('5. PERSON'!$B$17:$B$192,$C3486,'5. PERSON'!CE$17:CE$192)+SUMIF('6. OPERATION'!$B$17:$B$149,$C3486,'6. OPERATION'!BH$17:BH$149)</f>
        <v>0</v>
      </c>
      <c r="E3503" s="107">
        <f>SUMIF('5. PERSON'!$B$17:$B$192,$C3486,'5. PERSON'!CF$17:CF$192)+SUMIF('6. OPERATION'!$B$17:$B$149,$C3486,'6. OPERATION'!BI$17:BI$149)</f>
        <v>0</v>
      </c>
      <c r="F3503" s="107">
        <f>SUMIF('5. PERSON'!$B$17:$B$192,$C3486,'5. PERSON'!CG$17:CG$192)+SUMIF('6. OPERATION'!$B$17:$B$149,$C3486,'6. OPERATION'!BJ$17:BJ$149)</f>
        <v>0</v>
      </c>
      <c r="G3503" s="107">
        <f>SUMIF('5. PERSON'!$B$17:$B$192,$C3486,'5. PERSON'!CH$17:CH$192)+SUMIF('6. OPERATION'!$B$17:$B$149,$C3486,'6. OPERATION'!BK$17:BK$149)</f>
        <v>0</v>
      </c>
      <c r="H3503" s="107">
        <f>SUMIF('5. PERSON'!$B$17:$B$192,$C3486,'5. PERSON'!CI$17:CI$192)+SUMIF('6. OPERATION'!$B$17:$B$149,$C3486,'6. OPERATION'!BL$17:BL$149)</f>
        <v>0</v>
      </c>
      <c r="I3503" s="107">
        <f>SUMIF('5. PERSON'!$B$17:$B$192,$C3486,'5. PERSON'!CJ$17:CJ$192)+SUMIF('6. OPERATION'!$B$17:$B$149,$C3486,'6. OPERATION'!BM$17:BM$149)</f>
        <v>0</v>
      </c>
      <c r="J3503" s="107">
        <f>SUMIF('5. PERSON'!$B$17:$B$192,$C3486,'5. PERSON'!CK$17:CK$192)+SUMIF('6. OPERATION'!$B$17:$B$149,$C3486,'6. OPERATION'!BN$17:BN$149)</f>
        <v>0</v>
      </c>
      <c r="K3503" s="107">
        <f>SUMIF('5. PERSON'!$B$17:$B$192,$C3486,'5. PERSON'!CL$17:CL$192)+SUMIF('6. OPERATION'!$B$17:$B$149,$C3486,'6. OPERATION'!BO$17:BO$149)</f>
        <v>0</v>
      </c>
      <c r="L3503" s="107">
        <f>SUMIF('5. PERSON'!$B$17:$B$192,$C3486,'5. PERSON'!CM$17:CM$192)+SUMIF('6. OPERATION'!$B$17:$B$149,$C3486,'6. OPERATION'!BP$17:BP$149)</f>
        <v>0</v>
      </c>
      <c r="M3503" s="123">
        <f t="shared" si="831"/>
        <v>0</v>
      </c>
    </row>
    <row r="3504" spans="2:15" s="3" customFormat="1" ht="13.2" x14ac:dyDescent="0.25">
      <c r="B3504" s="124" t="s">
        <v>113</v>
      </c>
      <c r="C3504" s="102">
        <f>SUM(C3497:C3503)</f>
        <v>0</v>
      </c>
      <c r="D3504" s="102">
        <f t="shared" ref="D3504:L3504" si="832">SUM(D3497:D3503)</f>
        <v>0</v>
      </c>
      <c r="E3504" s="102">
        <f t="shared" si="832"/>
        <v>0</v>
      </c>
      <c r="F3504" s="102">
        <f t="shared" si="832"/>
        <v>0</v>
      </c>
      <c r="G3504" s="102">
        <f t="shared" si="832"/>
        <v>0</v>
      </c>
      <c r="H3504" s="102">
        <f t="shared" si="832"/>
        <v>0</v>
      </c>
      <c r="I3504" s="102">
        <f t="shared" si="832"/>
        <v>0</v>
      </c>
      <c r="J3504" s="102">
        <f t="shared" si="832"/>
        <v>0</v>
      </c>
      <c r="K3504" s="102">
        <f t="shared" si="832"/>
        <v>0</v>
      </c>
      <c r="L3504" s="102">
        <f t="shared" si="832"/>
        <v>0</v>
      </c>
      <c r="M3504" s="125">
        <f t="shared" ref="M3504" si="833">SUM(M3497:M3503)</f>
        <v>0</v>
      </c>
      <c r="N3504" s="23"/>
      <c r="O3504" s="23"/>
    </row>
    <row r="3505" spans="2:13" s="3" customFormat="1" ht="6" customHeight="1" x14ac:dyDescent="0.25">
      <c r="B3505" s="136"/>
      <c r="C3505" s="127"/>
      <c r="D3505" s="127"/>
      <c r="E3505" s="127"/>
      <c r="F3505" s="127"/>
      <c r="G3505" s="127"/>
      <c r="H3505" s="127"/>
      <c r="I3505" s="127"/>
      <c r="J3505" s="127"/>
      <c r="K3505" s="127"/>
      <c r="L3505" s="127"/>
      <c r="M3505" s="137"/>
    </row>
    <row r="3506" spans="2:13" s="3" customFormat="1" ht="13.2" x14ac:dyDescent="0.25">
      <c r="B3506" s="129" t="str">
        <f>IF('1. INTRO'!I$2="English","Full cost","Full kostnad")</f>
        <v>Full cost</v>
      </c>
      <c r="C3506" s="127"/>
      <c r="D3506" s="127"/>
      <c r="E3506" s="127"/>
      <c r="F3506" s="127"/>
      <c r="G3506" s="127"/>
      <c r="H3506" s="127"/>
      <c r="I3506" s="127"/>
      <c r="J3506" s="127"/>
      <c r="K3506" s="127"/>
      <c r="L3506" s="127"/>
      <c r="M3506" s="137"/>
    </row>
    <row r="3507" spans="2:13" s="3" customFormat="1" ht="13.2" x14ac:dyDescent="0.25">
      <c r="B3507" s="113" t="str">
        <f>IF('1. INTRO'!I$2="English","Salary including social costs (LKP)","Lön inklusive LKP")</f>
        <v>Salary including social costs (LKP)</v>
      </c>
      <c r="C3507" s="138">
        <f>C3489+C3498+C3499</f>
        <v>0</v>
      </c>
      <c r="D3507" s="138">
        <f t="shared" ref="D3507:L3507" si="834">D3489+D3498+D3499</f>
        <v>0</v>
      </c>
      <c r="E3507" s="138">
        <f t="shared" si="834"/>
        <v>0</v>
      </c>
      <c r="F3507" s="138">
        <f t="shared" si="834"/>
        <v>0</v>
      </c>
      <c r="G3507" s="138">
        <f t="shared" si="834"/>
        <v>0</v>
      </c>
      <c r="H3507" s="138">
        <f t="shared" si="834"/>
        <v>0</v>
      </c>
      <c r="I3507" s="138">
        <f t="shared" si="834"/>
        <v>0</v>
      </c>
      <c r="J3507" s="138">
        <f t="shared" si="834"/>
        <v>0</v>
      </c>
      <c r="K3507" s="138">
        <f t="shared" si="834"/>
        <v>0</v>
      </c>
      <c r="L3507" s="138">
        <f t="shared" si="834"/>
        <v>0</v>
      </c>
      <c r="M3507" s="115">
        <f>SUM(C3507:L3507)</f>
        <v>0</v>
      </c>
    </row>
    <row r="3508" spans="2:13" s="3" customFormat="1" ht="13.2" x14ac:dyDescent="0.25">
      <c r="B3508" s="80" t="str">
        <f>IF('1. INTRO'!I$2="English","Operating","Drift")</f>
        <v>Operating</v>
      </c>
      <c r="C3508" s="139">
        <f>C3490+C3500</f>
        <v>0</v>
      </c>
      <c r="D3508" s="139">
        <f t="shared" ref="D3508:L3508" si="835">D3490+D3500</f>
        <v>0</v>
      </c>
      <c r="E3508" s="139">
        <f t="shared" si="835"/>
        <v>0</v>
      </c>
      <c r="F3508" s="139">
        <f t="shared" si="835"/>
        <v>0</v>
      </c>
      <c r="G3508" s="139">
        <f t="shared" si="835"/>
        <v>0</v>
      </c>
      <c r="H3508" s="139">
        <f t="shared" si="835"/>
        <v>0</v>
      </c>
      <c r="I3508" s="139">
        <f t="shared" si="835"/>
        <v>0</v>
      </c>
      <c r="J3508" s="139">
        <f t="shared" si="835"/>
        <v>0</v>
      </c>
      <c r="K3508" s="139">
        <f t="shared" si="835"/>
        <v>0</v>
      </c>
      <c r="L3508" s="139">
        <f t="shared" si="835"/>
        <v>0</v>
      </c>
      <c r="M3508" s="117">
        <f>SUM(C3508:L3508)</f>
        <v>0</v>
      </c>
    </row>
    <row r="3509" spans="2:13" s="3" customFormat="1" ht="13.2" x14ac:dyDescent="0.25">
      <c r="B3509" s="118" t="str">
        <f>IF('1. INTRO'!I$2="English","Equipment","Utrustning")</f>
        <v>Equipment</v>
      </c>
      <c r="C3509" s="140">
        <f>C3491+C3501</f>
        <v>0</v>
      </c>
      <c r="D3509" s="140">
        <f t="shared" ref="D3509:L3509" si="836">D3491+D3501</f>
        <v>0</v>
      </c>
      <c r="E3509" s="140">
        <f t="shared" si="836"/>
        <v>0</v>
      </c>
      <c r="F3509" s="140">
        <f t="shared" si="836"/>
        <v>0</v>
      </c>
      <c r="G3509" s="140">
        <f t="shared" si="836"/>
        <v>0</v>
      </c>
      <c r="H3509" s="140">
        <f t="shared" si="836"/>
        <v>0</v>
      </c>
      <c r="I3509" s="140">
        <f t="shared" si="836"/>
        <v>0</v>
      </c>
      <c r="J3509" s="140">
        <f t="shared" si="836"/>
        <v>0</v>
      </c>
      <c r="K3509" s="140">
        <f t="shared" si="836"/>
        <v>0</v>
      </c>
      <c r="L3509" s="140">
        <f t="shared" si="836"/>
        <v>0</v>
      </c>
      <c r="M3509" s="120">
        <f>SUM(C3509:L3509)</f>
        <v>0</v>
      </c>
    </row>
    <row r="3510" spans="2:13" s="3" customFormat="1" ht="13.2" x14ac:dyDescent="0.25">
      <c r="B3510" s="80" t="str">
        <f>IF('1. INTRO'!I$2="English","Facility","Lokal")</f>
        <v>Facility</v>
      </c>
      <c r="C3510" s="139">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39">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39">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39">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39">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39">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39">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39">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39">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39">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117">
        <f>SUM(C3510:L3510)</f>
        <v>0</v>
      </c>
    </row>
    <row r="3511" spans="2:13" s="3" customFormat="1" ht="13.2" x14ac:dyDescent="0.25">
      <c r="B3511" s="601" t="str">
        <f>IF('1. INTRO'!I$2="English","Indirect","Indirekt")</f>
        <v>Indirect</v>
      </c>
      <c r="C3511" s="141">
        <f>SUMIF('5. PERSON'!$B$17:$B$192,$C3486,'5. PERSON'!BR$17:BR$192)+SUMIF('5. PERSON'!$B$17:$B$192,$C3486,'5. PERSON'!CD$17:CD$192)+SUMIF('6. OPERATION'!$B$17:$B$149,$C3486,'6. OPERATION'!AU$17:AU$149)+SUMIF('6. OPERATION'!$B$17:$B$149,$C3486,'6. OPERATION'!BG$17:BG$149)</f>
        <v>0</v>
      </c>
      <c r="D3511" s="141">
        <f>SUMIF('5. PERSON'!$B$17:$B$192,$C3486,'5. PERSON'!BS$17:BS$192)+SUMIF('5. PERSON'!$B$17:$B$192,$C3486,'5. PERSON'!CE$17:CE$192)+SUMIF('6. OPERATION'!$B$17:$B$149,$C3486,'6. OPERATION'!AV$17:AV$149)+SUMIF('6. OPERATION'!$B$17:$B$149,$C3486,'6. OPERATION'!BH$17:BH$149)</f>
        <v>0</v>
      </c>
      <c r="E3511" s="141">
        <f>SUMIF('5. PERSON'!$B$17:$B$192,$C3486,'5. PERSON'!BT$17:BT$192)+SUMIF('5. PERSON'!$B$17:$B$192,$C3486,'5. PERSON'!CF$17:CF$192)+SUMIF('6. OPERATION'!$B$17:$B$149,$C3486,'6. OPERATION'!AW$17:AW$149)+SUMIF('6. OPERATION'!$B$17:$B$149,$C3486,'6. OPERATION'!BI$17:BI$149)</f>
        <v>0</v>
      </c>
      <c r="F3511" s="141">
        <f>SUMIF('5. PERSON'!$B$17:$B$192,$C3486,'5. PERSON'!BU$17:BU$192)+SUMIF('5. PERSON'!$B$17:$B$192,$C3486,'5. PERSON'!CG$17:CG$192)+SUMIF('6. OPERATION'!$B$17:$B$149,$C3486,'6. OPERATION'!AX$17:AX$149)+SUMIF('6. OPERATION'!$B$17:$B$149,$C3486,'6. OPERATION'!BJ$17:BJ$149)</f>
        <v>0</v>
      </c>
      <c r="G3511" s="141">
        <f>SUMIF('5. PERSON'!$B$17:$B$192,$C3486,'5. PERSON'!BV$17:BV$192)+SUMIF('5. PERSON'!$B$17:$B$192,$C3486,'5. PERSON'!CH$17:CH$192)+SUMIF('6. OPERATION'!$B$17:$B$149,$C3486,'6. OPERATION'!AY$17:AY$149)+SUMIF('6. OPERATION'!$B$17:$B$149,$C3486,'6. OPERATION'!BK$17:BK$149)</f>
        <v>0</v>
      </c>
      <c r="H3511" s="141">
        <f>SUMIF('5. PERSON'!$B$17:$B$192,$C3486,'5. PERSON'!BW$17:BW$192)+SUMIF('5. PERSON'!$B$17:$B$192,$C3486,'5. PERSON'!CI$17:CI$192)+SUMIF('6. OPERATION'!$B$17:$B$149,$C3486,'6. OPERATION'!AZ$17:AZ$149)+SUMIF('6. OPERATION'!$B$17:$B$149,$C3486,'6. OPERATION'!BL$17:BL$149)</f>
        <v>0</v>
      </c>
      <c r="I3511" s="141">
        <f>SUMIF('5. PERSON'!$B$17:$B$192,$C3486,'5. PERSON'!BX$17:BX$192)+SUMIF('5. PERSON'!$B$17:$B$192,$C3486,'5. PERSON'!CJ$17:CJ$192)+SUMIF('6. OPERATION'!$B$17:$B$149,$C3486,'6. OPERATION'!BA$17:BA$149)+SUMIF('6. OPERATION'!$B$17:$B$149,$C3486,'6. OPERATION'!BM$17:BM$149)</f>
        <v>0</v>
      </c>
      <c r="J3511" s="141">
        <f>SUMIF('5. PERSON'!$B$17:$B$192,$C3486,'5. PERSON'!BY$17:BY$192)+SUMIF('5. PERSON'!$B$17:$B$192,$C3486,'5. PERSON'!CK$17:CK$192)+SUMIF('6. OPERATION'!$B$17:$B$149,$C3486,'6. OPERATION'!BB$17:BB$149)+SUMIF('6. OPERATION'!$B$17:$B$149,$C3486,'6. OPERATION'!BN$17:BN$149)</f>
        <v>0</v>
      </c>
      <c r="K3511" s="141">
        <f>SUMIF('5. PERSON'!$B$17:$B$192,$C3486,'5. PERSON'!BZ$17:BZ$192)+SUMIF('5. PERSON'!$B$17:$B$192,$C3486,'5. PERSON'!CL$17:CL$192)+SUMIF('6. OPERATION'!$B$17:$B$149,$C3486,'6. OPERATION'!BC$17:BC$149)+SUMIF('6. OPERATION'!$B$17:$B$149,$C3486,'6. OPERATION'!BO$17:BO$149)</f>
        <v>0</v>
      </c>
      <c r="L3511" s="141">
        <f>SUMIF('5. PERSON'!$B$17:$B$192,$C3486,'5. PERSON'!CA$17:CA$192)+SUMIF('5. PERSON'!$B$17:$B$192,$C3486,'5. PERSON'!CM$17:CM$192)+SUMIF('6. OPERATION'!$B$17:$B$149,$C3486,'6. OPERATION'!BD$17:BD$149)+SUMIF('6. OPERATION'!$B$17:$B$149,$C3486,'6. OPERATION'!BP$17:BP$149)</f>
        <v>0</v>
      </c>
      <c r="M3511" s="123">
        <f>SUM(C3511:L3511)</f>
        <v>0</v>
      </c>
    </row>
    <row r="3512" spans="2:13" s="3" customFormat="1" ht="13.2" x14ac:dyDescent="0.25">
      <c r="B3512" s="124" t="s">
        <v>113</v>
      </c>
      <c r="C3512" s="88">
        <f>SUM(C3507:C3511)</f>
        <v>0</v>
      </c>
      <c r="D3512" s="88">
        <f t="shared" ref="D3512:M3512" si="837">SUM(D3507:D3511)</f>
        <v>0</v>
      </c>
      <c r="E3512" s="88">
        <f t="shared" si="837"/>
        <v>0</v>
      </c>
      <c r="F3512" s="88">
        <f t="shared" si="837"/>
        <v>0</v>
      </c>
      <c r="G3512" s="88">
        <f t="shared" si="837"/>
        <v>0</v>
      </c>
      <c r="H3512" s="88">
        <f t="shared" si="837"/>
        <v>0</v>
      </c>
      <c r="I3512" s="88">
        <f t="shared" si="837"/>
        <v>0</v>
      </c>
      <c r="J3512" s="88">
        <f t="shared" si="837"/>
        <v>0</v>
      </c>
      <c r="K3512" s="88">
        <f t="shared" si="837"/>
        <v>0</v>
      </c>
      <c r="L3512" s="88">
        <f t="shared" si="837"/>
        <v>0</v>
      </c>
      <c r="M3512" s="142">
        <f t="shared" si="837"/>
        <v>0</v>
      </c>
    </row>
    <row r="3513" spans="2:13" s="3" customFormat="1" ht="13.2" x14ac:dyDescent="0.25">
      <c r="B3513" s="287"/>
      <c r="C3513" s="37"/>
      <c r="D3513" s="37"/>
      <c r="E3513" s="37"/>
      <c r="F3513" s="37"/>
      <c r="G3513" s="37"/>
      <c r="H3513" s="37"/>
      <c r="I3513" s="37"/>
      <c r="J3513" s="37"/>
      <c r="K3513" s="37"/>
      <c r="L3513" s="37"/>
      <c r="M3513" s="37"/>
    </row>
    <row r="3514" spans="2:13" s="3" customFormat="1" ht="12.75" customHeight="1" x14ac:dyDescent="0.25">
      <c r="B3514" s="656" t="str">
        <f>IF('1. INTRO'!I$2="English","Co-funding share in full cost ","Medfinansieringsandel i full kostnad ")</f>
        <v xml:space="preserve">Co-funding share in full cost </v>
      </c>
      <c r="C3514" s="143" t="str">
        <f t="shared" ref="C3514:M3514" si="838">IF(C3512&gt;0,C3504/C3512,"")</f>
        <v/>
      </c>
      <c r="D3514" s="143" t="str">
        <f t="shared" si="838"/>
        <v/>
      </c>
      <c r="E3514" s="143" t="str">
        <f t="shared" si="838"/>
        <v/>
      </c>
      <c r="F3514" s="143" t="str">
        <f t="shared" si="838"/>
        <v/>
      </c>
      <c r="G3514" s="143" t="str">
        <f t="shared" si="838"/>
        <v/>
      </c>
      <c r="H3514" s="143" t="str">
        <f t="shared" si="838"/>
        <v/>
      </c>
      <c r="I3514" s="143" t="str">
        <f t="shared" si="838"/>
        <v/>
      </c>
      <c r="J3514" s="143" t="str">
        <f t="shared" si="838"/>
        <v/>
      </c>
      <c r="K3514" s="143" t="str">
        <f t="shared" si="838"/>
        <v/>
      </c>
      <c r="L3514" s="143" t="str">
        <f t="shared" si="838"/>
        <v/>
      </c>
      <c r="M3514" s="143" t="str">
        <f t="shared" si="838"/>
        <v/>
      </c>
    </row>
    <row r="3515" spans="2:13" ht="12.75" customHeight="1" x14ac:dyDescent="0.2"/>
    <row r="3516" spans="2:13" ht="12.75" customHeight="1" x14ac:dyDescent="0.25">
      <c r="D3516" s="676" t="str">
        <f>IF('1. INTRO'!I$2="English","Co-funding need in average per year: ","Medfinansieringsbehov i genomsnitt per år: ")</f>
        <v xml:space="preserve">Co-funding need in average per year: </v>
      </c>
      <c r="E3516" s="92" t="str">
        <f>IF(M3504=0,"",M3504/(DATEDIF('2. START'!C$18,'2. START'!C$19,"d")/365))</f>
        <v/>
      </c>
      <c r="H3516" s="676" t="str">
        <f>IF('1. INTRO'!I$2="English","Co-funding need 1/3 of total: ","Medfinansieringsbehov 1/3 av totalt: ")</f>
        <v xml:space="preserve">Co-funding need 1/3 of total: </v>
      </c>
      <c r="I3516" s="92">
        <f>M3504/3</f>
        <v>0</v>
      </c>
      <c r="L3516" s="287" t="str">
        <f>IF('1. INTRO'!I$2="English","Co-funding need total: ","Medfinansieringsbehov totalt: ")</f>
        <v xml:space="preserve">Co-funding need total: </v>
      </c>
      <c r="M3516" s="92">
        <f>M3504</f>
        <v>0</v>
      </c>
    </row>
    <row r="3517" spans="2:13" ht="12.75" customHeight="1" x14ac:dyDescent="0.25">
      <c r="B3517" s="53" t="str">
        <f>IF('1. INTRO'!I$2="English","Co-funding sources","Medfinansieringskällor")</f>
        <v>Co-funding sources</v>
      </c>
    </row>
    <row r="3518" spans="2:13" ht="12.75" customHeight="1" x14ac:dyDescent="0.25">
      <c r="B3518" s="225"/>
      <c r="C3518" s="226"/>
      <c r="D3518" s="226"/>
      <c r="E3518" s="226"/>
      <c r="F3518" s="226"/>
      <c r="G3518" s="226"/>
      <c r="H3518" s="226"/>
      <c r="I3518" s="226"/>
      <c r="J3518" s="226"/>
      <c r="K3518" s="226"/>
      <c r="L3518" s="227"/>
      <c r="M3518" s="168">
        <f>SUM(C3518:L3518)</f>
        <v>0</v>
      </c>
    </row>
    <row r="3519" spans="2:13" ht="12.75" customHeight="1" x14ac:dyDescent="0.25">
      <c r="B3519" s="228"/>
      <c r="C3519" s="229"/>
      <c r="D3519" s="229"/>
      <c r="E3519" s="229"/>
      <c r="F3519" s="229"/>
      <c r="G3519" s="229"/>
      <c r="H3519" s="229"/>
      <c r="I3519" s="229"/>
      <c r="J3519" s="229"/>
      <c r="K3519" s="229"/>
      <c r="L3519" s="230"/>
      <c r="M3519" s="120">
        <f t="shared" ref="M3519:M3522" si="839">SUM(C3519:L3519)</f>
        <v>0</v>
      </c>
    </row>
    <row r="3520" spans="2:13" ht="12.75" customHeight="1" x14ac:dyDescent="0.25">
      <c r="B3520" s="231"/>
      <c r="C3520" s="232"/>
      <c r="D3520" s="232"/>
      <c r="E3520" s="232"/>
      <c r="F3520" s="232"/>
      <c r="G3520" s="232"/>
      <c r="H3520" s="232"/>
      <c r="I3520" s="232"/>
      <c r="J3520" s="232"/>
      <c r="K3520" s="232"/>
      <c r="L3520" s="233"/>
      <c r="M3520" s="117">
        <f t="shared" si="839"/>
        <v>0</v>
      </c>
    </row>
    <row r="3521" spans="2:13" ht="12.75" customHeight="1" x14ac:dyDescent="0.25">
      <c r="B3521" s="228"/>
      <c r="C3521" s="229"/>
      <c r="D3521" s="229"/>
      <c r="E3521" s="229"/>
      <c r="F3521" s="229"/>
      <c r="G3521" s="229"/>
      <c r="H3521" s="229"/>
      <c r="I3521" s="229"/>
      <c r="J3521" s="229"/>
      <c r="K3521" s="229"/>
      <c r="L3521" s="230"/>
      <c r="M3521" s="120">
        <f t="shared" si="839"/>
        <v>0</v>
      </c>
    </row>
    <row r="3522" spans="2:13" ht="12.75" customHeight="1" x14ac:dyDescent="0.25">
      <c r="B3522" s="93"/>
      <c r="C3522" s="232"/>
      <c r="D3522" s="232"/>
      <c r="E3522" s="232"/>
      <c r="F3522" s="232"/>
      <c r="G3522" s="232"/>
      <c r="H3522" s="232"/>
      <c r="I3522" s="232"/>
      <c r="J3522" s="232"/>
      <c r="K3522" s="232"/>
      <c r="L3522" s="233"/>
      <c r="M3522" s="117">
        <f t="shared" si="839"/>
        <v>0</v>
      </c>
    </row>
    <row r="3523" spans="2:13" ht="12.75" customHeight="1" x14ac:dyDescent="0.25">
      <c r="B3523" s="84" t="str">
        <f>IF('1. INTRO'!I$2="English","Total co-funding ","Total medfinansiering ")</f>
        <v xml:space="preserve">Total co-funding </v>
      </c>
      <c r="C3523" s="87">
        <f t="shared" ref="C3523:M3523" si="840">SUM(C3518:C3522)</f>
        <v>0</v>
      </c>
      <c r="D3523" s="87">
        <f t="shared" si="840"/>
        <v>0</v>
      </c>
      <c r="E3523" s="87">
        <f t="shared" si="840"/>
        <v>0</v>
      </c>
      <c r="F3523" s="87">
        <f t="shared" si="840"/>
        <v>0</v>
      </c>
      <c r="G3523" s="87">
        <f t="shared" si="840"/>
        <v>0</v>
      </c>
      <c r="H3523" s="87">
        <f t="shared" si="840"/>
        <v>0</v>
      </c>
      <c r="I3523" s="87">
        <f t="shared" si="840"/>
        <v>0</v>
      </c>
      <c r="J3523" s="87">
        <f t="shared" si="840"/>
        <v>0</v>
      </c>
      <c r="K3523" s="87">
        <f t="shared" si="840"/>
        <v>0</v>
      </c>
      <c r="L3523" s="87">
        <f t="shared" si="840"/>
        <v>0</v>
      </c>
      <c r="M3523" s="142">
        <f t="shared" si="840"/>
        <v>0</v>
      </c>
    </row>
    <row r="3524" spans="2:13" ht="12.75" customHeight="1" x14ac:dyDescent="0.2"/>
    <row r="3525" spans="2:13" ht="12.75" customHeight="1" x14ac:dyDescent="0.2">
      <c r="B3525" s="667" t="str">
        <f>IF('1. INTRO'!I$2="English","Calculation comments","Kalkylkommentarer")</f>
        <v>Calculation comments</v>
      </c>
      <c r="C3525" s="37" t="str">
        <f>B82</f>
        <v/>
      </c>
    </row>
    <row r="3526" spans="2:13" ht="12.75" customHeight="1" x14ac:dyDescent="0.2">
      <c r="B3526" s="1142"/>
      <c r="C3526" s="1143"/>
      <c r="D3526" s="1143"/>
      <c r="E3526" s="1143"/>
      <c r="F3526" s="1143"/>
      <c r="G3526" s="1143"/>
      <c r="H3526" s="1143"/>
      <c r="I3526" s="1143"/>
      <c r="J3526" s="1143"/>
      <c r="K3526" s="1143"/>
      <c r="L3526" s="1143"/>
      <c r="M3526" s="1144"/>
    </row>
    <row r="3527" spans="2:13" ht="12.75" customHeight="1" x14ac:dyDescent="0.2">
      <c r="B3527" s="1145"/>
      <c r="C3527" s="1226"/>
      <c r="D3527" s="1226"/>
      <c r="E3527" s="1226"/>
      <c r="F3527" s="1226"/>
      <c r="G3527" s="1226"/>
      <c r="H3527" s="1226"/>
      <c r="I3527" s="1226"/>
      <c r="J3527" s="1226"/>
      <c r="K3527" s="1226"/>
      <c r="L3527" s="1226"/>
      <c r="M3527" s="1147"/>
    </row>
    <row r="3528" spans="2:13" ht="12.75" customHeight="1" x14ac:dyDescent="0.2">
      <c r="B3528" s="1145"/>
      <c r="C3528" s="1226"/>
      <c r="D3528" s="1226"/>
      <c r="E3528" s="1226"/>
      <c r="F3528" s="1226"/>
      <c r="G3528" s="1226"/>
      <c r="H3528" s="1226"/>
      <c r="I3528" s="1226"/>
      <c r="J3528" s="1226"/>
      <c r="K3528" s="1226"/>
      <c r="L3528" s="1226"/>
      <c r="M3528" s="1147"/>
    </row>
    <row r="3529" spans="2:13" ht="12.75" customHeight="1" x14ac:dyDescent="0.2">
      <c r="B3529" s="1145"/>
      <c r="C3529" s="1226"/>
      <c r="D3529" s="1226"/>
      <c r="E3529" s="1226"/>
      <c r="F3529" s="1226"/>
      <c r="G3529" s="1226"/>
      <c r="H3529" s="1226"/>
      <c r="I3529" s="1226"/>
      <c r="J3529" s="1226"/>
      <c r="K3529" s="1226"/>
      <c r="L3529" s="1226"/>
      <c r="M3529" s="1147"/>
    </row>
    <row r="3530" spans="2:13" ht="12.75" customHeight="1" x14ac:dyDescent="0.2">
      <c r="B3530" s="1148"/>
      <c r="C3530" s="1149"/>
      <c r="D3530" s="1149"/>
      <c r="E3530" s="1149"/>
      <c r="F3530" s="1149"/>
      <c r="G3530" s="1149"/>
      <c r="H3530" s="1149"/>
      <c r="I3530" s="1149"/>
      <c r="J3530" s="1149"/>
      <c r="K3530" s="1149"/>
      <c r="L3530" s="1149"/>
      <c r="M3530" s="1150"/>
    </row>
    <row r="3532" spans="2:13" s="3" customFormat="1" ht="12.75" customHeight="1" x14ac:dyDescent="0.25">
      <c r="B3532" s="313" t="str">
        <f>'3. PARTNER'!C$4</f>
        <v xml:space="preserve">Project: </v>
      </c>
      <c r="C3532" s="1062" t="str">
        <f>'3. PARTNER'!D$4</f>
        <v/>
      </c>
      <c r="D3532" s="1001"/>
      <c r="E3532" s="1001"/>
      <c r="F3532" s="1001"/>
      <c r="G3532" s="1001"/>
      <c r="H3532" s="1001"/>
      <c r="I3532" s="1001"/>
      <c r="J3532" s="1001"/>
      <c r="K3532" s="1001"/>
      <c r="L3532" s="1001"/>
      <c r="M3532" s="1001"/>
    </row>
    <row r="3533" spans="2:13" s="3" customFormat="1" ht="13.2" x14ac:dyDescent="0.25">
      <c r="B3533" s="313" t="str">
        <f>'3. PARTNER'!C$5</f>
        <v xml:space="preserve">Calculation for: </v>
      </c>
      <c r="C3533" s="1062" t="str">
        <f>'3. PARTNER'!D$5</f>
        <v>APPLICATION</v>
      </c>
      <c r="D3533" s="1001"/>
      <c r="E3533" s="268"/>
      <c r="F3533" s="268"/>
      <c r="G3533" s="268"/>
      <c r="H3533" s="268"/>
      <c r="I3533" s="268"/>
      <c r="J3533" s="268"/>
      <c r="K3533" s="268"/>
      <c r="L3533" s="268"/>
      <c r="M3533" s="268"/>
    </row>
    <row r="3534" spans="2:13" s="3" customFormat="1" ht="13.2" x14ac:dyDescent="0.25">
      <c r="B3534" s="35" t="str">
        <f>'3. PARTNER'!C$6</f>
        <v xml:space="preserve">Project leader: </v>
      </c>
      <c r="C3534" s="1062" t="str">
        <f>'3. PARTNER'!D$6</f>
        <v/>
      </c>
      <c r="D3534" s="1001"/>
      <c r="E3534" s="1001"/>
      <c r="F3534" s="1001"/>
      <c r="G3534" s="1001"/>
      <c r="H3534" s="1001"/>
      <c r="I3534" s="1001"/>
      <c r="J3534" s="1001"/>
      <c r="K3534" s="1001"/>
      <c r="L3534" s="1001"/>
      <c r="M3534" s="1001"/>
    </row>
    <row r="3535" spans="2:13" s="3" customFormat="1" ht="13.2" x14ac:dyDescent="0.25">
      <c r="B3535" s="313" t="str">
        <f>'5. PERSON'!B$7</f>
        <v xml:space="preserve">Amounts in: </v>
      </c>
      <c r="C3535" s="655" t="str">
        <f>'5. PERSON'!C$7</f>
        <v>SEK</v>
      </c>
      <c r="D3535" s="268"/>
      <c r="E3535" s="268"/>
      <c r="F3535" s="268"/>
      <c r="G3535" s="234"/>
      <c r="H3535" s="234"/>
      <c r="I3535" s="270"/>
      <c r="J3535" s="270"/>
      <c r="K3535" s="270"/>
      <c r="L3535" s="270"/>
      <c r="M3535" s="270"/>
    </row>
    <row r="3536" spans="2:13" s="3" customFormat="1" ht="13.2" x14ac:dyDescent="0.25">
      <c r="B3536" s="313"/>
      <c r="C3536" s="1053" t="str">
        <f>'3. PARTNER'!D$7</f>
        <v>Other basic data about the project is in sheet 2.</v>
      </c>
      <c r="D3536" s="1001"/>
      <c r="E3536" s="1001"/>
      <c r="F3536" s="1001"/>
      <c r="G3536" s="234"/>
      <c r="H3536" s="234"/>
      <c r="I3536" s="270"/>
      <c r="J3536" s="270"/>
      <c r="K3536" s="270"/>
      <c r="L3536" s="251" t="s">
        <v>4</v>
      </c>
      <c r="M3536" s="270"/>
    </row>
    <row r="3537" spans="2:15" ht="12.75" customHeight="1" x14ac:dyDescent="0.2">
      <c r="L3537" s="252" t="str">
        <f>IF('1. INTRO'!I$2="English","months","månader")</f>
        <v>months</v>
      </c>
    </row>
    <row r="3538" spans="2:15" s="3" customFormat="1" ht="13.8" x14ac:dyDescent="0.25">
      <c r="B3538" s="157" t="str">
        <f>IF('1. INTRO'!I$2="English","Project costs","Projektkostnader")</f>
        <v>Project costs</v>
      </c>
      <c r="C3538" s="668" t="str">
        <f>A83</f>
        <v>EXT125</v>
      </c>
      <c r="D3538" s="1227" t="str">
        <f>B83</f>
        <v/>
      </c>
      <c r="E3538" s="1001"/>
      <c r="F3538" s="1001"/>
      <c r="G3538" s="1001"/>
      <c r="H3538" s="1001"/>
      <c r="I3538" s="37"/>
      <c r="J3538" s="37"/>
      <c r="K3538" s="37"/>
      <c r="L3538" s="642">
        <f>SUMIF('5. PERSON'!$B$17:$B$192,$C3538,'5. PERSON'!AE$17:AE$192)</f>
        <v>0</v>
      </c>
      <c r="M3538" s="680" t="s">
        <v>330</v>
      </c>
    </row>
    <row r="3539" spans="2:15" s="3" customFormat="1" ht="6" customHeight="1" x14ac:dyDescent="0.25">
      <c r="B3539" s="57"/>
      <c r="C3539" s="37"/>
      <c r="D3539" s="37"/>
      <c r="E3539" s="37"/>
      <c r="F3539" s="37"/>
      <c r="G3539" s="37"/>
      <c r="H3539" s="37"/>
      <c r="I3539" s="37"/>
      <c r="J3539" s="37"/>
      <c r="K3539" s="37"/>
      <c r="L3539" s="37"/>
      <c r="M3539" s="37"/>
    </row>
    <row r="3540" spans="2:15" s="3" customFormat="1" ht="13.2" x14ac:dyDescent="0.25">
      <c r="B3540" s="110" t="str">
        <f>IF('1. INTRO'!I$2="English","Costs to be covered by funding body","Kostnader att täckas av finansiär")</f>
        <v>Costs to be covered by funding body</v>
      </c>
      <c r="C3540" s="111">
        <f>'5. PERSON'!G$15</f>
        <v>1900</v>
      </c>
      <c r="D3540" s="111" t="str">
        <f>'5. PERSON'!H$15</f>
        <v/>
      </c>
      <c r="E3540" s="111" t="str">
        <f>'5. PERSON'!I$15</f>
        <v/>
      </c>
      <c r="F3540" s="111" t="str">
        <f>'5. PERSON'!J$15</f>
        <v/>
      </c>
      <c r="G3540" s="111" t="str">
        <f>'5. PERSON'!K$15</f>
        <v/>
      </c>
      <c r="H3540" s="111" t="str">
        <f>'5. PERSON'!L$15</f>
        <v/>
      </c>
      <c r="I3540" s="111" t="str">
        <f>'5. PERSON'!M$15</f>
        <v/>
      </c>
      <c r="J3540" s="111" t="str">
        <f>'5. PERSON'!N$15</f>
        <v/>
      </c>
      <c r="K3540" s="111" t="str">
        <f>'5. PERSON'!O$15</f>
        <v/>
      </c>
      <c r="L3540" s="111" t="str">
        <f>'5. PERSON'!P$15</f>
        <v/>
      </c>
      <c r="M3540" s="112" t="s">
        <v>2</v>
      </c>
    </row>
    <row r="3541" spans="2:15" s="3" customFormat="1" ht="12.75" customHeight="1" x14ac:dyDescent="0.25">
      <c r="B3541" s="113" t="str">
        <f>IF('1. INTRO'!I$2="English","Salary including social costs (LKP)","Lön inklusive LKP")</f>
        <v>Salary including social costs (LKP)</v>
      </c>
      <c r="C3541" s="114">
        <f>IF('2. START'!$C$14&gt;0,SUMIF('5. PERSON'!$B$17:$B$192,$C3538,'5. PERSON'!DN$17:DN$192),SUMIF('5. PERSON'!$B$17:$B$192,$C3538,'5. PERSON'!AT$17:AT$192))</f>
        <v>0</v>
      </c>
      <c r="D3541" s="114">
        <f>IF('2. START'!$C$14&gt;0,SUMIF('5. PERSON'!$B$17:$B$192,$C3538,'5. PERSON'!DO$17:DO$192),SUMIF('5. PERSON'!$B$17:$B$192,$C3538,'5. PERSON'!AU$17:AU$192))</f>
        <v>0</v>
      </c>
      <c r="E3541" s="114">
        <f>IF('2. START'!$C$14&gt;0,SUMIF('5. PERSON'!$B$17:$B$192,$C3538,'5. PERSON'!DP$17:DP$192),SUMIF('5. PERSON'!$B$17:$B$192,$C3538,'5. PERSON'!AV$17:AV$192))</f>
        <v>0</v>
      </c>
      <c r="F3541" s="114">
        <f>IF('2. START'!$C$14&gt;0,SUMIF('5. PERSON'!$B$17:$B$192,$C3538,'5. PERSON'!DQ$17:DQ$192),SUMIF('5. PERSON'!$B$17:$B$192,$C3538,'5. PERSON'!AW$17:AW$192))</f>
        <v>0</v>
      </c>
      <c r="G3541" s="114">
        <f>IF('2. START'!$C$14&gt;0,SUMIF('5. PERSON'!$B$17:$B$192,$C3538,'5. PERSON'!DR$17:DR$192),SUMIF('5. PERSON'!$B$17:$B$192,$C3538,'5. PERSON'!AX$17:AX$192))</f>
        <v>0</v>
      </c>
      <c r="H3541" s="114">
        <f>IF('2. START'!$C$14&gt;0,SUMIF('5. PERSON'!$B$17:$B$192,$C3538,'5. PERSON'!DS$17:DS$192),SUMIF('5. PERSON'!$B$17:$B$192,$C3538,'5. PERSON'!AY$17:AY$192))</f>
        <v>0</v>
      </c>
      <c r="I3541" s="114">
        <f>IF('2. START'!$C$14&gt;0,SUMIF('5. PERSON'!$B$17:$B$192,$C3538,'5. PERSON'!DT$17:DT$192),SUMIF('5. PERSON'!$B$17:$B$192,$C3538,'5. PERSON'!AZ$17:AZ$192))</f>
        <v>0</v>
      </c>
      <c r="J3541" s="114">
        <f>IF('2. START'!$C$14&gt;0,SUMIF('5. PERSON'!$B$17:$B$192,$C3538,'5. PERSON'!DU$17:DU$192),SUMIF('5. PERSON'!$B$17:$B$192,$C3538,'5. PERSON'!BA$17:BA$192))</f>
        <v>0</v>
      </c>
      <c r="K3541" s="114">
        <f>IF('2. START'!$C$14&gt;0,SUMIF('5. PERSON'!$B$17:$B$192,$C3538,'5. PERSON'!DV$17:DV$192),SUMIF('5. PERSON'!$B$17:$B$192,$C3538,'5. PERSON'!BB$17:BB$192))</f>
        <v>0</v>
      </c>
      <c r="L3541" s="114">
        <f>IF('2. START'!$C$14&gt;0,SUMIF('5. PERSON'!$B$17:$B$192,$C3538,'5. PERSON'!DW$17:DW$192),SUMIF('5. PERSON'!$B$17:$B$192,$C3538,'5. PERSON'!BC$17:BC$192))</f>
        <v>0</v>
      </c>
      <c r="M3541" s="115">
        <f t="shared" ref="M3541:M3546" si="841">SUM(C3541:L3541)</f>
        <v>0</v>
      </c>
      <c r="O3541" s="4"/>
    </row>
    <row r="3542" spans="2:15" s="3" customFormat="1" ht="12.75" customHeight="1" x14ac:dyDescent="0.25">
      <c r="B3542" s="80" t="str">
        <f>IF('1. INTRO'!I$2="English","Operating","Drift")</f>
        <v>Operating</v>
      </c>
      <c r="C3542" s="116">
        <f>SUMIF('6. OPERATION'!$B$17:$B$149,$C3538,'6. OPERATION'!W$17:W$149)</f>
        <v>0</v>
      </c>
      <c r="D3542" s="116">
        <f>SUMIF('6. OPERATION'!$B$17:$B$149,$C3538,'6. OPERATION'!X$17:X$149)</f>
        <v>0</v>
      </c>
      <c r="E3542" s="116">
        <f>SUMIF('6. OPERATION'!$B$17:$B$149,$C3538,'6. OPERATION'!Y$17:Y$149)</f>
        <v>0</v>
      </c>
      <c r="F3542" s="116">
        <f>SUMIF('6. OPERATION'!$B$17:$B$149,$C3538,'6. OPERATION'!Z$17:Z$149)</f>
        <v>0</v>
      </c>
      <c r="G3542" s="116">
        <f>SUMIF('6. OPERATION'!$B$17:$B$149,$C3538,'6. OPERATION'!AA$17:AA$149)</f>
        <v>0</v>
      </c>
      <c r="H3542" s="116">
        <f>SUMIF('6. OPERATION'!$B$17:$B$149,$C3538,'6. OPERATION'!AB$17:AB$149)</f>
        <v>0</v>
      </c>
      <c r="I3542" s="116">
        <f>SUMIF('6. OPERATION'!$B$17:$B$149,$C3538,'6. OPERATION'!AC$17:AC$149)</f>
        <v>0</v>
      </c>
      <c r="J3542" s="116">
        <f>SUMIF('6. OPERATION'!$B$17:$B$149,$C3538,'6. OPERATION'!AD$17:AD$149)</f>
        <v>0</v>
      </c>
      <c r="K3542" s="116">
        <f>SUMIF('6. OPERATION'!$B$17:$B$149,$C3538,'6. OPERATION'!AE$17:AE$149)</f>
        <v>0</v>
      </c>
      <c r="L3542" s="116">
        <f>SUMIF('6. OPERATION'!$B$17:$B$149,$C3538,'6. OPERATION'!AF$17:AF$149)</f>
        <v>0</v>
      </c>
      <c r="M3542" s="117">
        <f t="shared" si="841"/>
        <v>0</v>
      </c>
    </row>
    <row r="3543" spans="2:15" s="3" customFormat="1" ht="13.2" x14ac:dyDescent="0.25">
      <c r="B3543" s="118" t="str">
        <f>IF('1. INTRO'!I$2="English","Equipment","Utrustning")</f>
        <v>Equipment</v>
      </c>
      <c r="C3543" s="119">
        <f>SUMIF('7. INVEST'!$B$17:$B$49,$C3538,'7. INVEST'!W$17:W$49)</f>
        <v>0</v>
      </c>
      <c r="D3543" s="119">
        <f>SUMIF('7. INVEST'!$B$17:$B$49,$C3538,'7. INVEST'!X$17:X$49)</f>
        <v>0</v>
      </c>
      <c r="E3543" s="119">
        <f>SUMIF('7. INVEST'!$B$17:$B$49,$C3538,'7. INVEST'!Y$17:Y$49)</f>
        <v>0</v>
      </c>
      <c r="F3543" s="119">
        <f>SUMIF('7. INVEST'!$B$17:$B$49,$C3538,'7. INVEST'!Z$17:Z$49)</f>
        <v>0</v>
      </c>
      <c r="G3543" s="119">
        <f>SUMIF('7. INVEST'!$B$17:$B$49,$C3538,'7. INVEST'!AA$17:AA$49)</f>
        <v>0</v>
      </c>
      <c r="H3543" s="119">
        <f>SUMIF('7. INVEST'!$B$17:$B$49,$C3538,'7. INVEST'!AB$17:AB$49)</f>
        <v>0</v>
      </c>
      <c r="I3543" s="119">
        <f>SUMIF('7. INVEST'!$B$17:$B$49,$C3538,'7. INVEST'!AC$17:AC$49)</f>
        <v>0</v>
      </c>
      <c r="J3543" s="119">
        <f>SUMIF('7. INVEST'!$B$17:$B$49,$C3538,'7. INVEST'!AD$17:AD$49)</f>
        <v>0</v>
      </c>
      <c r="K3543" s="119">
        <f>SUMIF('7. INVEST'!$B$17:$B$49,$C3538,'7. INVEST'!AE$17:AE$49)</f>
        <v>0</v>
      </c>
      <c r="L3543" s="119">
        <f>SUMIF('7. INVEST'!$B$17:$B$49,$C3538,'7. INVEST'!AF$17:AF$49)</f>
        <v>0</v>
      </c>
      <c r="M3543" s="120">
        <f t="shared" si="841"/>
        <v>0</v>
      </c>
    </row>
    <row r="3544" spans="2:15" s="3" customFormat="1" ht="13.2" x14ac:dyDescent="0.25">
      <c r="B3544" s="121" t="str">
        <f>IF('1. INTRO'!I$2="English",(IF('2. START'!C$11="NO","Facility accepted as direct cost by funding body","Facility")),IF('2. START'!C$11="NO","Lokal accepterad som direkt kostnad av finansiär","Lokal"))</f>
        <v>Facility</v>
      </c>
      <c r="C3544" s="116">
        <f>IF('2. START'!$C$11="NO",SUMIF('8. FACILIT'!$B$18:$B$50,$C3538,'8. FACILIT'!T$18:T$50),SUMIF('5. PERSON'!$B$17:$B$192,$C3538,'5. PERSON'!CP$17:CP$192)+SUMIF('6. OPERATION'!$B$17:$B$149,$C3538,'6. OPERATION'!BS$17:BS$149)+SUMIF('8. FACILIT'!$B$18:$B$50,$C3538,'8. FACILIT'!T$18:T$50))</f>
        <v>0</v>
      </c>
      <c r="D3544" s="116">
        <f>IF('2. START'!$C$11="NO",SUMIF('8. FACILIT'!$B$18:$B$50,$C3538,'8. FACILIT'!U$18:U$50),SUMIF('5. PERSON'!$B$17:$B$192,$C3538,'5. PERSON'!CQ$17:CQ$192)+SUMIF('6. OPERATION'!$B$17:$B$149,$C3538,'6. OPERATION'!BT$17:BT$149)+SUMIF('8. FACILIT'!$B$18:$B$50,$C3538,'8. FACILIT'!U$18:U$50))</f>
        <v>0</v>
      </c>
      <c r="E3544" s="116">
        <f>IF('2. START'!$C$11="NO",SUMIF('8. FACILIT'!$B$18:$B$50,$C3538,'8. FACILIT'!V$18:V$50),SUMIF('5. PERSON'!$B$17:$B$192,$C3538,'5. PERSON'!CR$17:CR$192)+SUMIF('6. OPERATION'!$B$17:$B$149,$C3538,'6. OPERATION'!BU$17:BU$149)+SUMIF('8. FACILIT'!$B$18:$B$50,$C3538,'8. FACILIT'!V$18:V$50))</f>
        <v>0</v>
      </c>
      <c r="F3544" s="116">
        <f>IF('2. START'!$C$11="NO",SUMIF('8. FACILIT'!$B$18:$B$50,$C3538,'8. FACILIT'!W$18:W$50),SUMIF('5. PERSON'!$B$17:$B$192,$C3538,'5. PERSON'!CS$17:CS$192)+SUMIF('6. OPERATION'!$B$17:$B$149,$C3538,'6. OPERATION'!BV$17:BV$149)+SUMIF('8. FACILIT'!$B$18:$B$50,$C3538,'8. FACILIT'!W$18:W$50))</f>
        <v>0</v>
      </c>
      <c r="G3544" s="116">
        <f>IF('2. START'!$C$11="NO",SUMIF('8. FACILIT'!$B$18:$B$50,$C3538,'8. FACILIT'!X$18:X$50),SUMIF('5. PERSON'!$B$17:$B$192,$C3538,'5. PERSON'!CT$17:CT$192)+SUMIF('6. OPERATION'!$B$17:$B$149,$C3538,'6. OPERATION'!BW$17:BW$149)+SUMIF('8. FACILIT'!$B$18:$B$50,$C3538,'8. FACILIT'!X$18:X$50))</f>
        <v>0</v>
      </c>
      <c r="H3544" s="116">
        <f>IF('2. START'!$C$11="NO",SUMIF('8. FACILIT'!$B$18:$B$50,$C3538,'8. FACILIT'!Y$18:Y$50),SUMIF('5. PERSON'!$B$17:$B$192,$C3538,'5. PERSON'!CU$17:CU$192)+SUMIF('6. OPERATION'!$B$17:$B$149,$C3538,'6. OPERATION'!BX$17:BX$149)+SUMIF('8. FACILIT'!$B$18:$B$50,$C3538,'8. FACILIT'!Y$18:Y$50))</f>
        <v>0</v>
      </c>
      <c r="I3544" s="116">
        <f>IF('2. START'!$C$11="NO",SUMIF('8. FACILIT'!$B$18:$B$50,$C3538,'8. FACILIT'!Z$18:Z$50),SUMIF('5. PERSON'!$B$17:$B$192,$C3538,'5. PERSON'!CV$17:CV$192)+SUMIF('6. OPERATION'!$B$17:$B$149,$C3538,'6. OPERATION'!BY$17:BY$149)+SUMIF('8. FACILIT'!$B$18:$B$50,$C3538,'8. FACILIT'!Z$18:Z$50))</f>
        <v>0</v>
      </c>
      <c r="J3544" s="116">
        <f>IF('2. START'!$C$11="NO",SUMIF('8. FACILIT'!$B$18:$B$50,$C3538,'8. FACILIT'!AA$18:AA$50),SUMIF('5. PERSON'!$B$17:$B$192,$C3538,'5. PERSON'!CW$17:CW$192)+SUMIF('6. OPERATION'!$B$17:$B$149,$C3538,'6. OPERATION'!BZ$17:BZ$149)+SUMIF('8. FACILIT'!$B$18:$B$50,$C3538,'8. FACILIT'!AA$18:AA$50))</f>
        <v>0</v>
      </c>
      <c r="K3544" s="116">
        <f>IF('2. START'!$C$11="NO",SUMIF('8. FACILIT'!$B$18:$B$50,$C3538,'8. FACILIT'!AB$18:AB$50),SUMIF('5. PERSON'!$B$17:$B$192,$C3538,'5. PERSON'!CX$17:CX$192)+SUMIF('6. OPERATION'!$B$17:$B$149,$C3538,'6. OPERATION'!CA$17:CA$149)+SUMIF('8. FACILIT'!$B$18:$B$50,$C3538,'8. FACILIT'!AB$18:AB$50))</f>
        <v>0</v>
      </c>
      <c r="L3544" s="116">
        <f>IF('2. START'!$C$11="NO",SUMIF('8. FACILIT'!$B$18:$B$50,$C3538,'8. FACILIT'!AC$18:AC$50),SUMIF('5. PERSON'!$B$17:$B$192,$C3538,'5. PERSON'!CY$17:CY$192)+SUMIF('6. OPERATION'!$B$17:$B$149,$C3538,'6. OPERATION'!CB$17:CB$149)+SUMIF('8. FACILIT'!$B$18:$B$50,$C3538,'8. FACILIT'!AC$18:AC$50))</f>
        <v>0</v>
      </c>
      <c r="M3544" s="117">
        <f t="shared" si="841"/>
        <v>0</v>
      </c>
    </row>
    <row r="3545" spans="2:15" s="3" customFormat="1" ht="13.2" x14ac:dyDescent="0.25">
      <c r="B3545" s="122" t="str">
        <f>IF('1. INTRO'!I$2="English",(IF('2. START'!C$11="NO","Indirect and facility charge accepted as OH by funding body","Indirect")),IF('2. START'!C$11="NO","Indirekt och lokalpåslag accepterade som OH av finansiär","Indirekt"))</f>
        <v>Indirect</v>
      </c>
      <c r="C3545" s="107">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107">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107">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107">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107">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107">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107">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107">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107">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107">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120">
        <f t="shared" si="841"/>
        <v>0</v>
      </c>
    </row>
    <row r="3546" spans="2:15" s="3" customFormat="1" ht="13.2" x14ac:dyDescent="0.25">
      <c r="B3546" s="124" t="s">
        <v>113</v>
      </c>
      <c r="C3546" s="102">
        <f>SUM(C3541:C3545)</f>
        <v>0</v>
      </c>
      <c r="D3546" s="102">
        <f t="shared" ref="D3546:L3546" si="842">SUM(D3541:D3545)</f>
        <v>0</v>
      </c>
      <c r="E3546" s="102">
        <f t="shared" si="842"/>
        <v>0</v>
      </c>
      <c r="F3546" s="102">
        <f t="shared" si="842"/>
        <v>0</v>
      </c>
      <c r="G3546" s="102">
        <f t="shared" si="842"/>
        <v>0</v>
      </c>
      <c r="H3546" s="102">
        <f t="shared" si="842"/>
        <v>0</v>
      </c>
      <c r="I3546" s="102">
        <f t="shared" si="842"/>
        <v>0</v>
      </c>
      <c r="J3546" s="102">
        <f t="shared" si="842"/>
        <v>0</v>
      </c>
      <c r="K3546" s="102">
        <f t="shared" si="842"/>
        <v>0</v>
      </c>
      <c r="L3546" s="102">
        <f t="shared" si="842"/>
        <v>0</v>
      </c>
      <c r="M3546" s="125">
        <f t="shared" si="841"/>
        <v>0</v>
      </c>
    </row>
    <row r="3547" spans="2:15" s="3" customFormat="1" ht="6" customHeight="1" x14ac:dyDescent="0.25">
      <c r="B3547" s="126"/>
      <c r="C3547" s="127"/>
      <c r="D3547" s="127"/>
      <c r="E3547" s="127"/>
      <c r="F3547" s="127"/>
      <c r="G3547" s="127"/>
      <c r="H3547" s="127"/>
      <c r="I3547" s="127"/>
      <c r="J3547" s="127"/>
      <c r="K3547" s="127"/>
      <c r="L3547" s="127"/>
      <c r="M3547" s="128"/>
    </row>
    <row r="3548" spans="2:15" s="3" customFormat="1" ht="13.2" x14ac:dyDescent="0.25">
      <c r="B3548" s="129" t="str">
        <f>IF('1. INTRO'!I$2="English","Costs to be co-funded","Kostnader att medfinansiera")</f>
        <v>Costs to be co-funded</v>
      </c>
      <c r="C3548" s="86"/>
      <c r="D3548" s="86"/>
      <c r="E3548" s="86"/>
      <c r="F3548" s="86"/>
      <c r="G3548" s="86"/>
      <c r="H3548" s="86"/>
      <c r="I3548" s="86"/>
      <c r="J3548" s="86"/>
      <c r="K3548" s="86"/>
      <c r="L3548" s="86"/>
      <c r="M3548" s="130"/>
    </row>
    <row r="3549" spans="2:15" s="3" customFormat="1" ht="13.2" x14ac:dyDescent="0.25">
      <c r="B3549" s="159" t="str">
        <f>IF('1. INTRO'!I$2="English",(IF('2. START'!C$11="NO","Indirect and facility charge not accepted as OH by funding body","")),IF('2. START'!C$11="NO","Indirekt och lokalpåslag inte accepterade som OH av finansiär",""))</f>
        <v/>
      </c>
      <c r="C3549" s="131">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31">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31">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31">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31">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31">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31">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31">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31">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31">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115">
        <f t="shared" ref="M3549:M3555" si="843">SUM(C3549:L3549)</f>
        <v>0</v>
      </c>
    </row>
    <row r="3550" spans="2:15" s="3" customFormat="1" ht="12.75" customHeight="1" x14ac:dyDescent="0.25">
      <c r="B3550" s="132" t="str">
        <f>IF('1. INTRO'!I$2="English",(IF('2. START'!C$14&gt;0,"Social costs (LKP) not accepted by funding body","")),IF('2. START'!C$14&gt;0,"LKP som inte accepteras av finansiär",""))</f>
        <v/>
      </c>
      <c r="C3550" s="133">
        <f>IF('2. START'!$C$14&gt;0,SUMIF('5. PERSON'!$B$17:$B$192,$C3538,'5. PERSON'!AT$17:AT$192)-SUMIF('5. PERSON'!$B$17:$B$192,$C3538,'5. PERSON'!DN$17:DN$192),0)</f>
        <v>0</v>
      </c>
      <c r="D3550" s="133">
        <f>IF('2. START'!$C$14&gt;0,SUMIF('5. PERSON'!$B$17:$B$192,$C3538,'5. PERSON'!AU$17:AU$192)-SUMIF('5. PERSON'!$B$17:$B$192,$C3538,'5. PERSON'!DO$17:DO$192),0)</f>
        <v>0</v>
      </c>
      <c r="E3550" s="133">
        <f>IF('2. START'!$C$14&gt;0,SUMIF('5. PERSON'!$B$17:$B$192,$C3538,'5. PERSON'!AV$17:AV$192)-SUMIF('5. PERSON'!$B$17:$B$192,$C3538,'5. PERSON'!DP$17:DP$192),0)</f>
        <v>0</v>
      </c>
      <c r="F3550" s="133">
        <f>IF('2. START'!$C$14&gt;0,SUMIF('5. PERSON'!$B$17:$B$192,$C3538,'5. PERSON'!AW$17:AW$192)-SUMIF('5. PERSON'!$B$17:$B$192,$C3538,'5. PERSON'!DQ$17:DQ$192),0)</f>
        <v>0</v>
      </c>
      <c r="G3550" s="133">
        <f>IF('2. START'!$C$14&gt;0,SUMIF('5. PERSON'!$B$17:$B$192,$C3538,'5. PERSON'!AX$17:AX$192)-SUMIF('5. PERSON'!$B$17:$B$192,$C3538,'5. PERSON'!DR$17:DR$192),0)</f>
        <v>0</v>
      </c>
      <c r="H3550" s="133">
        <f>IF('2. START'!$C$14&gt;0,SUMIF('5. PERSON'!$B$17:$B$192,$C3538,'5. PERSON'!AY$17:AY$192)-SUMIF('5. PERSON'!$B$17:$B$192,$C3538,'5. PERSON'!DS$17:DS$192),0)</f>
        <v>0</v>
      </c>
      <c r="I3550" s="133">
        <f>IF('2. START'!$C$14&gt;0,SUMIF('5. PERSON'!$B$17:$B$192,$C3538,'5. PERSON'!AZ$17:AZ$192)-SUMIF('5. PERSON'!$B$17:$B$192,$C3538,'5. PERSON'!DT$17:DT$192),0)</f>
        <v>0</v>
      </c>
      <c r="J3550" s="133">
        <f>IF('2. START'!$C$14&gt;0,SUMIF('5. PERSON'!$B$17:$B$192,$C3538,'5. PERSON'!BA$17:BA$192)-SUMIF('5. PERSON'!$B$17:$B$192,$C3538,'5. PERSON'!DU$17:DU$192),0)</f>
        <v>0</v>
      </c>
      <c r="K3550" s="133">
        <f>IF('2. START'!$C$14&gt;0,SUMIF('5. PERSON'!$B$17:$B$192,$C3538,'5. PERSON'!BB$17:BB$192)-SUMIF('5. PERSON'!$B$17:$B$192,$C3538,'5. PERSON'!DV$17:DV$192),0)</f>
        <v>0</v>
      </c>
      <c r="L3550" s="133">
        <f>IF('2. START'!$C$14&gt;0,SUMIF('5. PERSON'!$B$17:$B$192,$C3538,'5. PERSON'!BC$17:BC$192)-SUMIF('5. PERSON'!$B$17:$B$192,$C3538,'5. PERSON'!DW$17:DW$192),0)</f>
        <v>0</v>
      </c>
      <c r="M3550" s="117">
        <f t="shared" si="843"/>
        <v>0</v>
      </c>
    </row>
    <row r="3551" spans="2:15" s="3" customFormat="1" ht="12.75" customHeight="1" x14ac:dyDescent="0.25">
      <c r="B3551" s="118" t="str">
        <f>IF('1. INTRO'!I$2="English",(IF('5. PERSON'!BP$193&gt;0,"Salary including social costs (LKP)","")),IF('5. PERSON'!BP$193&gt;0,"Lön inklusive LKP",""))</f>
        <v/>
      </c>
      <c r="C3551" s="134">
        <f>SUMIF('5. PERSON'!$B$17:$B$192,$C3538,'5. PERSON'!BF$17:BF$192)</f>
        <v>0</v>
      </c>
      <c r="D3551" s="134">
        <f>SUMIF('5. PERSON'!$B$17:$B$192,$C3538,'5. PERSON'!BG$17:BG$192)</f>
        <v>0</v>
      </c>
      <c r="E3551" s="134">
        <f>SUMIF('5. PERSON'!$B$17:$B$192,$C3538,'5. PERSON'!BH$17:BH$192)</f>
        <v>0</v>
      </c>
      <c r="F3551" s="134">
        <f>SUMIF('5. PERSON'!$B$17:$B$192,$C3538,'5. PERSON'!BI$17:BI$192)</f>
        <v>0</v>
      </c>
      <c r="G3551" s="134">
        <f>SUMIF('5. PERSON'!$B$17:$B$192,$C3538,'5. PERSON'!BJ$17:BJ$192)</f>
        <v>0</v>
      </c>
      <c r="H3551" s="134">
        <f>SUMIF('5. PERSON'!$B$17:$B$192,$C3538,'5. PERSON'!BK$17:BK$192)</f>
        <v>0</v>
      </c>
      <c r="I3551" s="134">
        <f>SUMIF('5. PERSON'!$B$17:$B$192,$C3538,'5. PERSON'!BL$17:BL$192)</f>
        <v>0</v>
      </c>
      <c r="J3551" s="134">
        <f>SUMIF('5. PERSON'!$B$17:$B$192,$C3538,'5. PERSON'!BM$17:BM$192)</f>
        <v>0</v>
      </c>
      <c r="K3551" s="134">
        <f>SUMIF('5. PERSON'!$B$17:$B$192,$C3538,'5. PERSON'!BN$17:BN$192)</f>
        <v>0</v>
      </c>
      <c r="L3551" s="134">
        <f>SUMIF('5. PERSON'!$B$17:$B$192,$C3538,'5. PERSON'!BO$17:BO$192)</f>
        <v>0</v>
      </c>
      <c r="M3551" s="120">
        <f t="shared" si="843"/>
        <v>0</v>
      </c>
    </row>
    <row r="3552" spans="2:15" s="3" customFormat="1" ht="13.2" x14ac:dyDescent="0.25">
      <c r="B3552" s="80" t="str">
        <f>IF('1. INTRO'!I$2="English",(IF('6. OPERATION'!AS$150&gt;0,"Operating","")),IF('6. OPERATION'!AS$150&gt;0,"Drift",""))</f>
        <v/>
      </c>
      <c r="C3552" s="135">
        <f>SUMIF('6. OPERATION'!$B$17:$B$149,$C3538,'6. OPERATION'!AI$17:AI$149)</f>
        <v>0</v>
      </c>
      <c r="D3552" s="135">
        <f>SUMIF('6. OPERATION'!$B$17:$B$149,$C3538,'6. OPERATION'!AJ$17:AJ$149)</f>
        <v>0</v>
      </c>
      <c r="E3552" s="135">
        <f>SUMIF('6. OPERATION'!$B$17:$B$149,$C3538,'6. OPERATION'!AK$17:AK$149)</f>
        <v>0</v>
      </c>
      <c r="F3552" s="135">
        <f>SUMIF('6. OPERATION'!$B$17:$B$149,$C3538,'6. OPERATION'!AL$17:AL$149)</f>
        <v>0</v>
      </c>
      <c r="G3552" s="135">
        <f>SUMIF('6. OPERATION'!$B$17:$B$149,$C3538,'6. OPERATION'!AM$17:AM$149)</f>
        <v>0</v>
      </c>
      <c r="H3552" s="135">
        <f>SUMIF('6. OPERATION'!$B$17:$B$149,$C3538,'6. OPERATION'!AN$17:AN$149)</f>
        <v>0</v>
      </c>
      <c r="I3552" s="135">
        <f>SUMIF('6. OPERATION'!$B$17:$B$149,$C3538,'6. OPERATION'!AO$17:AO$149)</f>
        <v>0</v>
      </c>
      <c r="J3552" s="135">
        <f>SUMIF('6. OPERATION'!$B$17:$B$149,$C3538,'6. OPERATION'!AP$17:AP$149)</f>
        <v>0</v>
      </c>
      <c r="K3552" s="135">
        <f>SUMIF('6. OPERATION'!$B$17:$B$149,$C3538,'6. OPERATION'!AQ$17:AQ$149)</f>
        <v>0</v>
      </c>
      <c r="L3552" s="135">
        <f>SUMIF('6. OPERATION'!$B$17:$B$149,$C3538,'6. OPERATION'!AR$17:AR$149)</f>
        <v>0</v>
      </c>
      <c r="M3552" s="117">
        <f t="shared" si="843"/>
        <v>0</v>
      </c>
    </row>
    <row r="3553" spans="2:15" s="3" customFormat="1" ht="13.2" x14ac:dyDescent="0.25">
      <c r="B3553" s="118" t="str">
        <f>IF('1. INTRO'!I$2="English",(IF('7. INVEST'!AS$50&gt;0,"Equipment","")),IF('7. INVEST'!AS$50&gt;0,"Utrustning",""))</f>
        <v/>
      </c>
      <c r="C3553" s="134">
        <f>SUMIF('7. INVEST'!$B$17:$B$49,$C3538,'7. INVEST'!AI$17:AI$49)</f>
        <v>0</v>
      </c>
      <c r="D3553" s="134">
        <f>SUMIF('7. INVEST'!$B$17:$B$49,$C3538,'7. INVEST'!AJ$17:AJ$49)</f>
        <v>0</v>
      </c>
      <c r="E3553" s="134">
        <f>SUMIF('7. INVEST'!$B$17:$B$49,$C3538,'7. INVEST'!AK$17:AK$49)</f>
        <v>0</v>
      </c>
      <c r="F3553" s="134">
        <f>SUMIF('7. INVEST'!$B$17:$B$49,$C3538,'7. INVEST'!AL$17:AL$49)</f>
        <v>0</v>
      </c>
      <c r="G3553" s="134">
        <f>SUMIF('7. INVEST'!$B$17:$B$49,$C3538,'7. INVEST'!AM$17:AM$49)</f>
        <v>0</v>
      </c>
      <c r="H3553" s="134">
        <f>SUMIF('7. INVEST'!$B$17:$B$49,$C3538,'7. INVEST'!AN$17:AN$49)</f>
        <v>0</v>
      </c>
      <c r="I3553" s="134">
        <f>SUMIF('7. INVEST'!$B$17:$B$49,$C3538,'7. INVEST'!AO$17:AO$49)</f>
        <v>0</v>
      </c>
      <c r="J3553" s="134">
        <f>SUMIF('7. INVEST'!$B$17:$B$49,$C3538,'7. INVEST'!AP$17:AP$49)</f>
        <v>0</v>
      </c>
      <c r="K3553" s="134">
        <f>SUMIF('7. INVEST'!$B$17:$B$49,$C3538,'7. INVEST'!AQ$17:AQ$49)</f>
        <v>0</v>
      </c>
      <c r="L3553" s="134">
        <f>SUMIF('7. INVEST'!$B$17:$B$49,$C3538,'7. INVEST'!AR$17:AR$49)</f>
        <v>0</v>
      </c>
      <c r="M3553" s="120">
        <f t="shared" si="843"/>
        <v>0</v>
      </c>
    </row>
    <row r="3554" spans="2:15" s="3" customFormat="1" ht="13.2" x14ac:dyDescent="0.25">
      <c r="B3554" s="121" t="str">
        <f>IF('1. INTRO'!I$2="English",(IF('8. FACILIT'!AP$51&gt;0,"Facility","")),IF('8. FACILIT'!AP$51&gt;0,"Lokal",""))</f>
        <v/>
      </c>
      <c r="C3554" s="135">
        <f>SUMIF('5. PERSON'!$B$17:$B$192,$C3538,'5. PERSON'!DB$17:DB$192)+SUMIF('6. OPERATION'!$B$17:$B$149,$C3538,'6. OPERATION'!CE$17:CE$149)+SUMIF('8. FACILIT'!$B$18:$B$50,$C3538,'8. FACILIT'!AF$18:AF$50)</f>
        <v>0</v>
      </c>
      <c r="D3554" s="135">
        <f>SUMIF('5. PERSON'!$B$17:$B$192,$C3538,'5. PERSON'!DC$17:DC$192)+SUMIF('6. OPERATION'!$B$17:$B$149,$C3538,'6. OPERATION'!CF$17:CF$149)+SUMIF('8. FACILIT'!$B$18:$B$50,$C3538,'8. FACILIT'!AG$18:AG$50)</f>
        <v>0</v>
      </c>
      <c r="E3554" s="135">
        <f>SUMIF('5. PERSON'!$B$17:$B$192,$C3538,'5. PERSON'!DD$17:DD$192)+SUMIF('6. OPERATION'!$B$17:$B$149,$C3538,'6. OPERATION'!CG$17:CG$149)+SUMIF('8. FACILIT'!$B$18:$B$50,$C3538,'8. FACILIT'!AH$18:AH$50)</f>
        <v>0</v>
      </c>
      <c r="F3554" s="135">
        <f>SUMIF('5. PERSON'!$B$17:$B$192,$C3538,'5. PERSON'!DE$17:DE$192)+SUMIF('6. OPERATION'!$B$17:$B$149,$C3538,'6. OPERATION'!CH$17:CH$149)+SUMIF('8. FACILIT'!$B$18:$B$50,$C3538,'8. FACILIT'!AI$18:AI$50)</f>
        <v>0</v>
      </c>
      <c r="G3554" s="135">
        <f>SUMIF('5. PERSON'!$B$17:$B$192,$C3538,'5. PERSON'!DF$17:DF$192)+SUMIF('6. OPERATION'!$B$17:$B$149,$C3538,'6. OPERATION'!CI$17:CI$149)+SUMIF('8. FACILIT'!$B$18:$B$50,$C3538,'8. FACILIT'!AJ$18:AJ$50)</f>
        <v>0</v>
      </c>
      <c r="H3554" s="135">
        <f>SUMIF('5. PERSON'!$B$17:$B$192,$C3538,'5. PERSON'!DG$17:DG$192)+SUMIF('6. OPERATION'!$B$17:$B$149,$C3538,'6. OPERATION'!CJ$17:CJ$149)+SUMIF('8. FACILIT'!$B$18:$B$50,$C3538,'8. FACILIT'!AK$18:AK$50)</f>
        <v>0</v>
      </c>
      <c r="I3554" s="135">
        <f>SUMIF('5. PERSON'!$B$17:$B$192,$C3538,'5. PERSON'!DH$17:DH$192)+SUMIF('6. OPERATION'!$B$17:$B$149,$C3538,'6. OPERATION'!CK$17:CK$149)+SUMIF('8. FACILIT'!$B$18:$B$50,$C3538,'8. FACILIT'!AL$18:AL$50)</f>
        <v>0</v>
      </c>
      <c r="J3554" s="135">
        <f>SUMIF('5. PERSON'!$B$17:$B$192,$C3538,'5. PERSON'!DI$17:DI$192)+SUMIF('6. OPERATION'!$B$17:$B$149,$C3538,'6. OPERATION'!CL$17:CL$149)+SUMIF('8. FACILIT'!$B$18:$B$50,$C3538,'8. FACILIT'!AM$18:AM$50)</f>
        <v>0</v>
      </c>
      <c r="K3554" s="135">
        <f>SUMIF('5. PERSON'!$B$17:$B$192,$C3538,'5. PERSON'!DJ$17:DJ$192)+SUMIF('6. OPERATION'!$B$17:$B$149,$C3538,'6. OPERATION'!CM$17:CM$149)+SUMIF('8. FACILIT'!$B$18:$B$50,$C3538,'8. FACILIT'!AN$18:AN$50)</f>
        <v>0</v>
      </c>
      <c r="L3554" s="135">
        <f>SUMIF('5. PERSON'!$B$17:$B$192,$C3538,'5. PERSON'!DK$17:DK$192)+SUMIF('6. OPERATION'!$B$17:$B$149,$C3538,'6. OPERATION'!CN$17:CN$149)+SUMIF('8. FACILIT'!$B$18:$B$50,$C3538,'8. FACILIT'!AO$18:AO$50)</f>
        <v>0</v>
      </c>
      <c r="M3554" s="117">
        <f t="shared" si="843"/>
        <v>0</v>
      </c>
    </row>
    <row r="3555" spans="2:15" s="1" customFormat="1" ht="13.2" x14ac:dyDescent="0.25">
      <c r="B3555" s="122" t="str">
        <f>IF('1. INTRO'!I$2="English",(IF(('5. PERSON'!CN$193+'6. OPERATION'!BQ$150)&gt;0,"Indirect","")),IF(('5. PERSON'!CN$193+'6. OPERATION'!BQ$150)&gt;0,"Indirekt",""))</f>
        <v/>
      </c>
      <c r="C3555" s="107">
        <f>SUMIF('5. PERSON'!$B$17:$B$192,$C3538,'5. PERSON'!CD$17:CD$192)+SUMIF('6. OPERATION'!$B$17:$B$149,$C3538,'6. OPERATION'!BG$17:BG$149)</f>
        <v>0</v>
      </c>
      <c r="D3555" s="107">
        <f>SUMIF('5. PERSON'!$B$17:$B$192,$C3538,'5. PERSON'!CE$17:CE$192)+SUMIF('6. OPERATION'!$B$17:$B$149,$C3538,'6. OPERATION'!BH$17:BH$149)</f>
        <v>0</v>
      </c>
      <c r="E3555" s="107">
        <f>SUMIF('5. PERSON'!$B$17:$B$192,$C3538,'5. PERSON'!CF$17:CF$192)+SUMIF('6. OPERATION'!$B$17:$B$149,$C3538,'6. OPERATION'!BI$17:BI$149)</f>
        <v>0</v>
      </c>
      <c r="F3555" s="107">
        <f>SUMIF('5. PERSON'!$B$17:$B$192,$C3538,'5. PERSON'!CG$17:CG$192)+SUMIF('6. OPERATION'!$B$17:$B$149,$C3538,'6. OPERATION'!BJ$17:BJ$149)</f>
        <v>0</v>
      </c>
      <c r="G3555" s="107">
        <f>SUMIF('5. PERSON'!$B$17:$B$192,$C3538,'5. PERSON'!CH$17:CH$192)+SUMIF('6. OPERATION'!$B$17:$B$149,$C3538,'6. OPERATION'!BK$17:BK$149)</f>
        <v>0</v>
      </c>
      <c r="H3555" s="107">
        <f>SUMIF('5. PERSON'!$B$17:$B$192,$C3538,'5. PERSON'!CI$17:CI$192)+SUMIF('6. OPERATION'!$B$17:$B$149,$C3538,'6. OPERATION'!BL$17:BL$149)</f>
        <v>0</v>
      </c>
      <c r="I3555" s="107">
        <f>SUMIF('5. PERSON'!$B$17:$B$192,$C3538,'5. PERSON'!CJ$17:CJ$192)+SUMIF('6. OPERATION'!$B$17:$B$149,$C3538,'6. OPERATION'!BM$17:BM$149)</f>
        <v>0</v>
      </c>
      <c r="J3555" s="107">
        <f>SUMIF('5. PERSON'!$B$17:$B$192,$C3538,'5. PERSON'!CK$17:CK$192)+SUMIF('6. OPERATION'!$B$17:$B$149,$C3538,'6. OPERATION'!BN$17:BN$149)</f>
        <v>0</v>
      </c>
      <c r="K3555" s="107">
        <f>SUMIF('5. PERSON'!$B$17:$B$192,$C3538,'5. PERSON'!CL$17:CL$192)+SUMIF('6. OPERATION'!$B$17:$B$149,$C3538,'6. OPERATION'!BO$17:BO$149)</f>
        <v>0</v>
      </c>
      <c r="L3555" s="107">
        <f>SUMIF('5. PERSON'!$B$17:$B$192,$C3538,'5. PERSON'!CM$17:CM$192)+SUMIF('6. OPERATION'!$B$17:$B$149,$C3538,'6. OPERATION'!BP$17:BP$149)</f>
        <v>0</v>
      </c>
      <c r="M3555" s="123">
        <f t="shared" si="843"/>
        <v>0</v>
      </c>
    </row>
    <row r="3556" spans="2:15" s="3" customFormat="1" ht="13.2" x14ac:dyDescent="0.25">
      <c r="B3556" s="124" t="s">
        <v>113</v>
      </c>
      <c r="C3556" s="102">
        <f>SUM(C3549:C3555)</f>
        <v>0</v>
      </c>
      <c r="D3556" s="102">
        <f t="shared" ref="D3556:L3556" si="844">SUM(D3549:D3555)</f>
        <v>0</v>
      </c>
      <c r="E3556" s="102">
        <f t="shared" si="844"/>
        <v>0</v>
      </c>
      <c r="F3556" s="102">
        <f t="shared" si="844"/>
        <v>0</v>
      </c>
      <c r="G3556" s="102">
        <f t="shared" si="844"/>
        <v>0</v>
      </c>
      <c r="H3556" s="102">
        <f t="shared" si="844"/>
        <v>0</v>
      </c>
      <c r="I3556" s="102">
        <f t="shared" si="844"/>
        <v>0</v>
      </c>
      <c r="J3556" s="102">
        <f t="shared" si="844"/>
        <v>0</v>
      </c>
      <c r="K3556" s="102">
        <f t="shared" si="844"/>
        <v>0</v>
      </c>
      <c r="L3556" s="102">
        <f t="shared" si="844"/>
        <v>0</v>
      </c>
      <c r="M3556" s="125">
        <f t="shared" ref="M3556" si="845">SUM(M3549:M3555)</f>
        <v>0</v>
      </c>
      <c r="N3556" s="23"/>
      <c r="O3556" s="23"/>
    </row>
    <row r="3557" spans="2:15" s="3" customFormat="1" ht="6" customHeight="1" x14ac:dyDescent="0.25">
      <c r="B3557" s="136"/>
      <c r="C3557" s="127"/>
      <c r="D3557" s="127"/>
      <c r="E3557" s="127"/>
      <c r="F3557" s="127"/>
      <c r="G3557" s="127"/>
      <c r="H3557" s="127"/>
      <c r="I3557" s="127"/>
      <c r="J3557" s="127"/>
      <c r="K3557" s="127"/>
      <c r="L3557" s="127"/>
      <c r="M3557" s="137"/>
    </row>
    <row r="3558" spans="2:15" s="3" customFormat="1" ht="13.2" x14ac:dyDescent="0.25">
      <c r="B3558" s="129" t="str">
        <f>IF('1. INTRO'!I$2="English","Full cost","Full kostnad")</f>
        <v>Full cost</v>
      </c>
      <c r="C3558" s="127"/>
      <c r="D3558" s="127"/>
      <c r="E3558" s="127"/>
      <c r="F3558" s="127"/>
      <c r="G3558" s="127"/>
      <c r="H3558" s="127"/>
      <c r="I3558" s="127"/>
      <c r="J3558" s="127"/>
      <c r="K3558" s="127"/>
      <c r="L3558" s="127"/>
      <c r="M3558" s="137"/>
    </row>
    <row r="3559" spans="2:15" s="3" customFormat="1" ht="13.2" x14ac:dyDescent="0.25">
      <c r="B3559" s="113" t="str">
        <f>IF('1. INTRO'!I$2="English","Salary including social costs (LKP)","Lön inklusive LKP")</f>
        <v>Salary including social costs (LKP)</v>
      </c>
      <c r="C3559" s="138">
        <f>C3541+C3550+C3551</f>
        <v>0</v>
      </c>
      <c r="D3559" s="138">
        <f t="shared" ref="D3559:L3559" si="846">D3541+D3550+D3551</f>
        <v>0</v>
      </c>
      <c r="E3559" s="138">
        <f t="shared" si="846"/>
        <v>0</v>
      </c>
      <c r="F3559" s="138">
        <f t="shared" si="846"/>
        <v>0</v>
      </c>
      <c r="G3559" s="138">
        <f t="shared" si="846"/>
        <v>0</v>
      </c>
      <c r="H3559" s="138">
        <f t="shared" si="846"/>
        <v>0</v>
      </c>
      <c r="I3559" s="138">
        <f t="shared" si="846"/>
        <v>0</v>
      </c>
      <c r="J3559" s="138">
        <f t="shared" si="846"/>
        <v>0</v>
      </c>
      <c r="K3559" s="138">
        <f t="shared" si="846"/>
        <v>0</v>
      </c>
      <c r="L3559" s="138">
        <f t="shared" si="846"/>
        <v>0</v>
      </c>
      <c r="M3559" s="115">
        <f>SUM(C3559:L3559)</f>
        <v>0</v>
      </c>
    </row>
    <row r="3560" spans="2:15" s="3" customFormat="1" ht="13.2" x14ac:dyDescent="0.25">
      <c r="B3560" s="80" t="str">
        <f>IF('1. INTRO'!I$2="English","Operating","Drift")</f>
        <v>Operating</v>
      </c>
      <c r="C3560" s="139">
        <f>C3542+C3552</f>
        <v>0</v>
      </c>
      <c r="D3560" s="139">
        <f t="shared" ref="D3560:L3560" si="847">D3542+D3552</f>
        <v>0</v>
      </c>
      <c r="E3560" s="139">
        <f t="shared" si="847"/>
        <v>0</v>
      </c>
      <c r="F3560" s="139">
        <f t="shared" si="847"/>
        <v>0</v>
      </c>
      <c r="G3560" s="139">
        <f t="shared" si="847"/>
        <v>0</v>
      </c>
      <c r="H3560" s="139">
        <f t="shared" si="847"/>
        <v>0</v>
      </c>
      <c r="I3560" s="139">
        <f t="shared" si="847"/>
        <v>0</v>
      </c>
      <c r="J3560" s="139">
        <f t="shared" si="847"/>
        <v>0</v>
      </c>
      <c r="K3560" s="139">
        <f t="shared" si="847"/>
        <v>0</v>
      </c>
      <c r="L3560" s="139">
        <f t="shared" si="847"/>
        <v>0</v>
      </c>
      <c r="M3560" s="117">
        <f>SUM(C3560:L3560)</f>
        <v>0</v>
      </c>
    </row>
    <row r="3561" spans="2:15" s="3" customFormat="1" ht="13.2" x14ac:dyDescent="0.25">
      <c r="B3561" s="118" t="str">
        <f>IF('1. INTRO'!I$2="English","Equipment","Utrustning")</f>
        <v>Equipment</v>
      </c>
      <c r="C3561" s="140">
        <f>C3543+C3553</f>
        <v>0</v>
      </c>
      <c r="D3561" s="140">
        <f t="shared" ref="D3561:L3561" si="848">D3543+D3553</f>
        <v>0</v>
      </c>
      <c r="E3561" s="140">
        <f t="shared" si="848"/>
        <v>0</v>
      </c>
      <c r="F3561" s="140">
        <f t="shared" si="848"/>
        <v>0</v>
      </c>
      <c r="G3561" s="140">
        <f t="shared" si="848"/>
        <v>0</v>
      </c>
      <c r="H3561" s="140">
        <f t="shared" si="848"/>
        <v>0</v>
      </c>
      <c r="I3561" s="140">
        <f t="shared" si="848"/>
        <v>0</v>
      </c>
      <c r="J3561" s="140">
        <f t="shared" si="848"/>
        <v>0</v>
      </c>
      <c r="K3561" s="140">
        <f t="shared" si="848"/>
        <v>0</v>
      </c>
      <c r="L3561" s="140">
        <f t="shared" si="848"/>
        <v>0</v>
      </c>
      <c r="M3561" s="120">
        <f>SUM(C3561:L3561)</f>
        <v>0</v>
      </c>
    </row>
    <row r="3562" spans="2:15" s="3" customFormat="1" ht="13.2" x14ac:dyDescent="0.25">
      <c r="B3562" s="80" t="str">
        <f>IF('1. INTRO'!I$2="English","Facility","Lokal")</f>
        <v>Facility</v>
      </c>
      <c r="C3562" s="139">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39">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39">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39">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39">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39">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39">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39">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39">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39">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117">
        <f>SUM(C3562:L3562)</f>
        <v>0</v>
      </c>
    </row>
    <row r="3563" spans="2:15" s="3" customFormat="1" ht="13.2" x14ac:dyDescent="0.25">
      <c r="B3563" s="601" t="str">
        <f>IF('1. INTRO'!I$2="English","Indirect","Indirekt")</f>
        <v>Indirect</v>
      </c>
      <c r="C3563" s="141">
        <f>SUMIF('5. PERSON'!$B$17:$B$192,$C3538,'5. PERSON'!BR$17:BR$192)+SUMIF('5. PERSON'!$B$17:$B$192,$C3538,'5. PERSON'!CD$17:CD$192)+SUMIF('6. OPERATION'!$B$17:$B$149,$C3538,'6. OPERATION'!AU$17:AU$149)+SUMIF('6. OPERATION'!$B$17:$B$149,$C3538,'6. OPERATION'!BG$17:BG$149)</f>
        <v>0</v>
      </c>
      <c r="D3563" s="141">
        <f>SUMIF('5. PERSON'!$B$17:$B$192,$C3538,'5. PERSON'!BS$17:BS$192)+SUMIF('5. PERSON'!$B$17:$B$192,$C3538,'5. PERSON'!CE$17:CE$192)+SUMIF('6. OPERATION'!$B$17:$B$149,$C3538,'6. OPERATION'!AV$17:AV$149)+SUMIF('6. OPERATION'!$B$17:$B$149,$C3538,'6. OPERATION'!BH$17:BH$149)</f>
        <v>0</v>
      </c>
      <c r="E3563" s="141">
        <f>SUMIF('5. PERSON'!$B$17:$B$192,$C3538,'5. PERSON'!BT$17:BT$192)+SUMIF('5. PERSON'!$B$17:$B$192,$C3538,'5. PERSON'!CF$17:CF$192)+SUMIF('6. OPERATION'!$B$17:$B$149,$C3538,'6. OPERATION'!AW$17:AW$149)+SUMIF('6. OPERATION'!$B$17:$B$149,$C3538,'6. OPERATION'!BI$17:BI$149)</f>
        <v>0</v>
      </c>
      <c r="F3563" s="141">
        <f>SUMIF('5. PERSON'!$B$17:$B$192,$C3538,'5. PERSON'!BU$17:BU$192)+SUMIF('5. PERSON'!$B$17:$B$192,$C3538,'5. PERSON'!CG$17:CG$192)+SUMIF('6. OPERATION'!$B$17:$B$149,$C3538,'6. OPERATION'!AX$17:AX$149)+SUMIF('6. OPERATION'!$B$17:$B$149,$C3538,'6. OPERATION'!BJ$17:BJ$149)</f>
        <v>0</v>
      </c>
      <c r="G3563" s="141">
        <f>SUMIF('5. PERSON'!$B$17:$B$192,$C3538,'5. PERSON'!BV$17:BV$192)+SUMIF('5. PERSON'!$B$17:$B$192,$C3538,'5. PERSON'!CH$17:CH$192)+SUMIF('6. OPERATION'!$B$17:$B$149,$C3538,'6. OPERATION'!AY$17:AY$149)+SUMIF('6. OPERATION'!$B$17:$B$149,$C3538,'6. OPERATION'!BK$17:BK$149)</f>
        <v>0</v>
      </c>
      <c r="H3563" s="141">
        <f>SUMIF('5. PERSON'!$B$17:$B$192,$C3538,'5. PERSON'!BW$17:BW$192)+SUMIF('5. PERSON'!$B$17:$B$192,$C3538,'5. PERSON'!CI$17:CI$192)+SUMIF('6. OPERATION'!$B$17:$B$149,$C3538,'6. OPERATION'!AZ$17:AZ$149)+SUMIF('6. OPERATION'!$B$17:$B$149,$C3538,'6. OPERATION'!BL$17:BL$149)</f>
        <v>0</v>
      </c>
      <c r="I3563" s="141">
        <f>SUMIF('5. PERSON'!$B$17:$B$192,$C3538,'5. PERSON'!BX$17:BX$192)+SUMIF('5. PERSON'!$B$17:$B$192,$C3538,'5. PERSON'!CJ$17:CJ$192)+SUMIF('6. OPERATION'!$B$17:$B$149,$C3538,'6. OPERATION'!BA$17:BA$149)+SUMIF('6. OPERATION'!$B$17:$B$149,$C3538,'6. OPERATION'!BM$17:BM$149)</f>
        <v>0</v>
      </c>
      <c r="J3563" s="141">
        <f>SUMIF('5. PERSON'!$B$17:$B$192,$C3538,'5. PERSON'!BY$17:BY$192)+SUMIF('5. PERSON'!$B$17:$B$192,$C3538,'5. PERSON'!CK$17:CK$192)+SUMIF('6. OPERATION'!$B$17:$B$149,$C3538,'6. OPERATION'!BB$17:BB$149)+SUMIF('6. OPERATION'!$B$17:$B$149,$C3538,'6. OPERATION'!BN$17:BN$149)</f>
        <v>0</v>
      </c>
      <c r="K3563" s="141">
        <f>SUMIF('5. PERSON'!$B$17:$B$192,$C3538,'5. PERSON'!BZ$17:BZ$192)+SUMIF('5. PERSON'!$B$17:$B$192,$C3538,'5. PERSON'!CL$17:CL$192)+SUMIF('6. OPERATION'!$B$17:$B$149,$C3538,'6. OPERATION'!BC$17:BC$149)+SUMIF('6. OPERATION'!$B$17:$B$149,$C3538,'6. OPERATION'!BO$17:BO$149)</f>
        <v>0</v>
      </c>
      <c r="L3563" s="141">
        <f>SUMIF('5. PERSON'!$B$17:$B$192,$C3538,'5. PERSON'!CA$17:CA$192)+SUMIF('5. PERSON'!$B$17:$B$192,$C3538,'5. PERSON'!CM$17:CM$192)+SUMIF('6. OPERATION'!$B$17:$B$149,$C3538,'6. OPERATION'!BD$17:BD$149)+SUMIF('6. OPERATION'!$B$17:$B$149,$C3538,'6. OPERATION'!BP$17:BP$149)</f>
        <v>0</v>
      </c>
      <c r="M3563" s="123">
        <f>SUM(C3563:L3563)</f>
        <v>0</v>
      </c>
    </row>
    <row r="3564" spans="2:15" s="3" customFormat="1" ht="13.2" x14ac:dyDescent="0.25">
      <c r="B3564" s="124" t="s">
        <v>113</v>
      </c>
      <c r="C3564" s="88">
        <f>SUM(C3559:C3563)</f>
        <v>0</v>
      </c>
      <c r="D3564" s="88">
        <f t="shared" ref="D3564:M3564" si="849">SUM(D3559:D3563)</f>
        <v>0</v>
      </c>
      <c r="E3564" s="88">
        <f t="shared" si="849"/>
        <v>0</v>
      </c>
      <c r="F3564" s="88">
        <f t="shared" si="849"/>
        <v>0</v>
      </c>
      <c r="G3564" s="88">
        <f t="shared" si="849"/>
        <v>0</v>
      </c>
      <c r="H3564" s="88">
        <f t="shared" si="849"/>
        <v>0</v>
      </c>
      <c r="I3564" s="88">
        <f t="shared" si="849"/>
        <v>0</v>
      </c>
      <c r="J3564" s="88">
        <f t="shared" si="849"/>
        <v>0</v>
      </c>
      <c r="K3564" s="88">
        <f t="shared" si="849"/>
        <v>0</v>
      </c>
      <c r="L3564" s="88">
        <f t="shared" si="849"/>
        <v>0</v>
      </c>
      <c r="M3564" s="142">
        <f t="shared" si="849"/>
        <v>0</v>
      </c>
    </row>
    <row r="3565" spans="2:15" s="3" customFormat="1" ht="13.2" x14ac:dyDescent="0.25">
      <c r="B3565" s="287"/>
      <c r="C3565" s="37"/>
      <c r="D3565" s="37"/>
      <c r="E3565" s="37"/>
      <c r="F3565" s="37"/>
      <c r="G3565" s="37"/>
      <c r="H3565" s="37"/>
      <c r="I3565" s="37"/>
      <c r="J3565" s="37"/>
      <c r="K3565" s="37"/>
      <c r="L3565" s="37"/>
      <c r="M3565" s="37"/>
    </row>
    <row r="3566" spans="2:15" s="3" customFormat="1" ht="12.75" customHeight="1" x14ac:dyDescent="0.25">
      <c r="B3566" s="656" t="str">
        <f>IF('1. INTRO'!I$2="English","Co-funding share in full cost ","Medfinansieringsandel i full kostnad ")</f>
        <v xml:space="preserve">Co-funding share in full cost </v>
      </c>
      <c r="C3566" s="143" t="str">
        <f t="shared" ref="C3566:M3566" si="850">IF(C3564&gt;0,C3556/C3564,"")</f>
        <v/>
      </c>
      <c r="D3566" s="143" t="str">
        <f t="shared" si="850"/>
        <v/>
      </c>
      <c r="E3566" s="143" t="str">
        <f t="shared" si="850"/>
        <v/>
      </c>
      <c r="F3566" s="143" t="str">
        <f t="shared" si="850"/>
        <v/>
      </c>
      <c r="G3566" s="143" t="str">
        <f t="shared" si="850"/>
        <v/>
      </c>
      <c r="H3566" s="143" t="str">
        <f t="shared" si="850"/>
        <v/>
      </c>
      <c r="I3566" s="143" t="str">
        <f t="shared" si="850"/>
        <v/>
      </c>
      <c r="J3566" s="143" t="str">
        <f t="shared" si="850"/>
        <v/>
      </c>
      <c r="K3566" s="143" t="str">
        <f t="shared" si="850"/>
        <v/>
      </c>
      <c r="L3566" s="143" t="str">
        <f t="shared" si="850"/>
        <v/>
      </c>
      <c r="M3566" s="143" t="str">
        <f t="shared" si="850"/>
        <v/>
      </c>
    </row>
    <row r="3567" spans="2:15" ht="12.75" customHeight="1" x14ac:dyDescent="0.2"/>
    <row r="3568" spans="2:15" ht="12.75" customHeight="1" x14ac:dyDescent="0.25">
      <c r="D3568" s="676" t="str">
        <f>IF('1. INTRO'!I$2="English","Co-funding need in average per year: ","Medfinansieringsbehov i genomsnitt per år: ")</f>
        <v xml:space="preserve">Co-funding need in average per year: </v>
      </c>
      <c r="E3568" s="92" t="str">
        <f>IF(M3556=0,"",M3556/(DATEDIF('2. START'!C$18,'2. START'!C$19,"d")/365))</f>
        <v/>
      </c>
      <c r="H3568" s="676" t="str">
        <f>IF('1. INTRO'!I$2="English","Co-funding need 1/3 of total: ","Medfinansieringsbehov 1/3 av totalt: ")</f>
        <v xml:space="preserve">Co-funding need 1/3 of total: </v>
      </c>
      <c r="I3568" s="92">
        <f>M3556/3</f>
        <v>0</v>
      </c>
      <c r="L3568" s="287" t="str">
        <f>IF('1. INTRO'!I$2="English","Co-funding need total: ","Medfinansieringsbehov totalt: ")</f>
        <v xml:space="preserve">Co-funding need total: </v>
      </c>
      <c r="M3568" s="92">
        <f>M3556</f>
        <v>0</v>
      </c>
    </row>
    <row r="3569" spans="2:13" ht="12.75" customHeight="1" x14ac:dyDescent="0.25">
      <c r="B3569" s="53" t="str">
        <f>IF('1. INTRO'!I$2="English","Co-funding sources","Medfinansieringskällor")</f>
        <v>Co-funding sources</v>
      </c>
    </row>
    <row r="3570" spans="2:13" ht="12.75" customHeight="1" x14ac:dyDescent="0.25">
      <c r="B3570" s="225"/>
      <c r="C3570" s="226"/>
      <c r="D3570" s="226"/>
      <c r="E3570" s="226"/>
      <c r="F3570" s="226"/>
      <c r="G3570" s="226"/>
      <c r="H3570" s="226"/>
      <c r="I3570" s="226"/>
      <c r="J3570" s="226"/>
      <c r="K3570" s="226"/>
      <c r="L3570" s="227"/>
      <c r="M3570" s="168">
        <f>SUM(C3570:L3570)</f>
        <v>0</v>
      </c>
    </row>
    <row r="3571" spans="2:13" ht="12.75" customHeight="1" x14ac:dyDescent="0.25">
      <c r="B3571" s="228"/>
      <c r="C3571" s="229"/>
      <c r="D3571" s="229"/>
      <c r="E3571" s="229"/>
      <c r="F3571" s="229"/>
      <c r="G3571" s="229"/>
      <c r="H3571" s="229"/>
      <c r="I3571" s="229"/>
      <c r="J3571" s="229"/>
      <c r="K3571" s="229"/>
      <c r="L3571" s="230"/>
      <c r="M3571" s="120">
        <f t="shared" ref="M3571:M3574" si="851">SUM(C3571:L3571)</f>
        <v>0</v>
      </c>
    </row>
    <row r="3572" spans="2:13" ht="12.75" customHeight="1" x14ac:dyDescent="0.25">
      <c r="B3572" s="231"/>
      <c r="C3572" s="232"/>
      <c r="D3572" s="232"/>
      <c r="E3572" s="232"/>
      <c r="F3572" s="232"/>
      <c r="G3572" s="232"/>
      <c r="H3572" s="232"/>
      <c r="I3572" s="232"/>
      <c r="J3572" s="232"/>
      <c r="K3572" s="232"/>
      <c r="L3572" s="233"/>
      <c r="M3572" s="117">
        <f t="shared" si="851"/>
        <v>0</v>
      </c>
    </row>
    <row r="3573" spans="2:13" ht="12.75" customHeight="1" x14ac:dyDescent="0.25">
      <c r="B3573" s="228"/>
      <c r="C3573" s="229"/>
      <c r="D3573" s="229"/>
      <c r="E3573" s="229"/>
      <c r="F3573" s="229"/>
      <c r="G3573" s="229"/>
      <c r="H3573" s="229"/>
      <c r="I3573" s="229"/>
      <c r="J3573" s="229"/>
      <c r="K3573" s="229"/>
      <c r="L3573" s="230"/>
      <c r="M3573" s="120">
        <f t="shared" si="851"/>
        <v>0</v>
      </c>
    </row>
    <row r="3574" spans="2:13" ht="12.75" customHeight="1" x14ac:dyDescent="0.25">
      <c r="B3574" s="93"/>
      <c r="C3574" s="232"/>
      <c r="D3574" s="232"/>
      <c r="E3574" s="232"/>
      <c r="F3574" s="232"/>
      <c r="G3574" s="232"/>
      <c r="H3574" s="232"/>
      <c r="I3574" s="232"/>
      <c r="J3574" s="232"/>
      <c r="K3574" s="232"/>
      <c r="L3574" s="233"/>
      <c r="M3574" s="117">
        <f t="shared" si="851"/>
        <v>0</v>
      </c>
    </row>
    <row r="3575" spans="2:13" ht="12.75" customHeight="1" x14ac:dyDescent="0.25">
      <c r="B3575" s="84" t="str">
        <f>IF('1. INTRO'!I$2="English","Total co-funding ","Total medfinansiering ")</f>
        <v xml:space="preserve">Total co-funding </v>
      </c>
      <c r="C3575" s="87">
        <f t="shared" ref="C3575:M3575" si="852">SUM(C3570:C3574)</f>
        <v>0</v>
      </c>
      <c r="D3575" s="87">
        <f t="shared" si="852"/>
        <v>0</v>
      </c>
      <c r="E3575" s="87">
        <f t="shared" si="852"/>
        <v>0</v>
      </c>
      <c r="F3575" s="87">
        <f t="shared" si="852"/>
        <v>0</v>
      </c>
      <c r="G3575" s="87">
        <f t="shared" si="852"/>
        <v>0</v>
      </c>
      <c r="H3575" s="87">
        <f t="shared" si="852"/>
        <v>0</v>
      </c>
      <c r="I3575" s="87">
        <f t="shared" si="852"/>
        <v>0</v>
      </c>
      <c r="J3575" s="87">
        <f t="shared" si="852"/>
        <v>0</v>
      </c>
      <c r="K3575" s="87">
        <f t="shared" si="852"/>
        <v>0</v>
      </c>
      <c r="L3575" s="87">
        <f t="shared" si="852"/>
        <v>0</v>
      </c>
      <c r="M3575" s="142">
        <f t="shared" si="852"/>
        <v>0</v>
      </c>
    </row>
    <row r="3576" spans="2:13" ht="12.75" customHeight="1" x14ac:dyDescent="0.2"/>
    <row r="3577" spans="2:13" ht="12.75" customHeight="1" x14ac:dyDescent="0.2">
      <c r="B3577" s="667" t="str">
        <f>IF('1. INTRO'!I$2="English","Calculation comments","Kalkylkommentarer")</f>
        <v>Calculation comments</v>
      </c>
      <c r="C3577" s="37" t="str">
        <f>B83</f>
        <v/>
      </c>
    </row>
    <row r="3578" spans="2:13" ht="12.75" customHeight="1" x14ac:dyDescent="0.2">
      <c r="B3578" s="1142"/>
      <c r="C3578" s="1143"/>
      <c r="D3578" s="1143"/>
      <c r="E3578" s="1143"/>
      <c r="F3578" s="1143"/>
      <c r="G3578" s="1143"/>
      <c r="H3578" s="1143"/>
      <c r="I3578" s="1143"/>
      <c r="J3578" s="1143"/>
      <c r="K3578" s="1143"/>
      <c r="L3578" s="1143"/>
      <c r="M3578" s="1144"/>
    </row>
    <row r="3579" spans="2:13" ht="12.75" customHeight="1" x14ac:dyDescent="0.2">
      <c r="B3579" s="1145"/>
      <c r="C3579" s="1226"/>
      <c r="D3579" s="1226"/>
      <c r="E3579" s="1226"/>
      <c r="F3579" s="1226"/>
      <c r="G3579" s="1226"/>
      <c r="H3579" s="1226"/>
      <c r="I3579" s="1226"/>
      <c r="J3579" s="1226"/>
      <c r="K3579" s="1226"/>
      <c r="L3579" s="1226"/>
      <c r="M3579" s="1147"/>
    </row>
    <row r="3580" spans="2:13" ht="12.75" customHeight="1" x14ac:dyDescent="0.2">
      <c r="B3580" s="1145"/>
      <c r="C3580" s="1226"/>
      <c r="D3580" s="1226"/>
      <c r="E3580" s="1226"/>
      <c r="F3580" s="1226"/>
      <c r="G3580" s="1226"/>
      <c r="H3580" s="1226"/>
      <c r="I3580" s="1226"/>
      <c r="J3580" s="1226"/>
      <c r="K3580" s="1226"/>
      <c r="L3580" s="1226"/>
      <c r="M3580" s="1147"/>
    </row>
    <row r="3581" spans="2:13" ht="12.75" customHeight="1" x14ac:dyDescent="0.2">
      <c r="B3581" s="1145"/>
      <c r="C3581" s="1226"/>
      <c r="D3581" s="1226"/>
      <c r="E3581" s="1226"/>
      <c r="F3581" s="1226"/>
      <c r="G3581" s="1226"/>
      <c r="H3581" s="1226"/>
      <c r="I3581" s="1226"/>
      <c r="J3581" s="1226"/>
      <c r="K3581" s="1226"/>
      <c r="L3581" s="1226"/>
      <c r="M3581" s="1147"/>
    </row>
    <row r="3582" spans="2:13" ht="12.75" customHeight="1" x14ac:dyDescent="0.2">
      <c r="B3582" s="1148"/>
      <c r="C3582" s="1149"/>
      <c r="D3582" s="1149"/>
      <c r="E3582" s="1149"/>
      <c r="F3582" s="1149"/>
      <c r="G3582" s="1149"/>
      <c r="H3582" s="1149"/>
      <c r="I3582" s="1149"/>
      <c r="J3582" s="1149"/>
      <c r="K3582" s="1149"/>
      <c r="L3582" s="1149"/>
      <c r="M3582" s="1150"/>
    </row>
    <row r="3584" spans="2:13" s="3" customFormat="1" ht="12.75" customHeight="1" x14ac:dyDescent="0.25">
      <c r="B3584" s="313" t="str">
        <f>'3. PARTNER'!C$4</f>
        <v xml:space="preserve">Project: </v>
      </c>
      <c r="C3584" s="1062" t="str">
        <f>'3. PARTNER'!D$4</f>
        <v/>
      </c>
      <c r="D3584" s="1001"/>
      <c r="E3584" s="1001"/>
      <c r="F3584" s="1001"/>
      <c r="G3584" s="1001"/>
      <c r="H3584" s="1001"/>
      <c r="I3584" s="1001"/>
      <c r="J3584" s="1001"/>
      <c r="K3584" s="1001"/>
      <c r="L3584" s="1001"/>
      <c r="M3584" s="1001"/>
    </row>
    <row r="3585" spans="2:15" s="3" customFormat="1" ht="13.2" x14ac:dyDescent="0.25">
      <c r="B3585" s="313" t="str">
        <f>'3. PARTNER'!C$5</f>
        <v xml:space="preserve">Calculation for: </v>
      </c>
      <c r="C3585" s="1062" t="str">
        <f>'3. PARTNER'!D$5</f>
        <v>APPLICATION</v>
      </c>
      <c r="D3585" s="1001"/>
      <c r="E3585" s="268"/>
      <c r="F3585" s="268"/>
      <c r="G3585" s="268"/>
      <c r="H3585" s="268"/>
      <c r="I3585" s="268"/>
      <c r="J3585" s="268"/>
      <c r="K3585" s="268"/>
      <c r="L3585" s="268"/>
      <c r="M3585" s="268"/>
    </row>
    <row r="3586" spans="2:15" s="3" customFormat="1" ht="13.2" x14ac:dyDescent="0.25">
      <c r="B3586" s="35" t="str">
        <f>'3. PARTNER'!C$6</f>
        <v xml:space="preserve">Project leader: </v>
      </c>
      <c r="C3586" s="1062" t="str">
        <f>'3. PARTNER'!D$6</f>
        <v/>
      </c>
      <c r="D3586" s="1001"/>
      <c r="E3586" s="1001"/>
      <c r="F3586" s="1001"/>
      <c r="G3586" s="1001"/>
      <c r="H3586" s="1001"/>
      <c r="I3586" s="1001"/>
      <c r="J3586" s="1001"/>
      <c r="K3586" s="1001"/>
      <c r="L3586" s="1001"/>
      <c r="M3586" s="1001"/>
    </row>
    <row r="3587" spans="2:15" s="3" customFormat="1" ht="13.2" x14ac:dyDescent="0.25">
      <c r="B3587" s="313" t="str">
        <f>'5. PERSON'!B$7</f>
        <v xml:space="preserve">Amounts in: </v>
      </c>
      <c r="C3587" s="655" t="str">
        <f>'5. PERSON'!C$7</f>
        <v>SEK</v>
      </c>
      <c r="D3587" s="268"/>
      <c r="E3587" s="268"/>
      <c r="F3587" s="268"/>
      <c r="G3587" s="234"/>
      <c r="H3587" s="234"/>
      <c r="I3587" s="270"/>
      <c r="J3587" s="270"/>
      <c r="K3587" s="270"/>
      <c r="L3587" s="270"/>
      <c r="M3587" s="270"/>
    </row>
    <row r="3588" spans="2:15" s="3" customFormat="1" ht="13.2" x14ac:dyDescent="0.25">
      <c r="B3588" s="313"/>
      <c r="C3588" s="1053" t="str">
        <f>'3. PARTNER'!D$7</f>
        <v>Other basic data about the project is in sheet 2.</v>
      </c>
      <c r="D3588" s="1001"/>
      <c r="E3588" s="1001"/>
      <c r="F3588" s="1001"/>
      <c r="G3588" s="234"/>
      <c r="H3588" s="234"/>
      <c r="I3588" s="270"/>
      <c r="J3588" s="270"/>
      <c r="K3588" s="270"/>
      <c r="L3588" s="251" t="s">
        <v>4</v>
      </c>
      <c r="M3588" s="270"/>
    </row>
    <row r="3589" spans="2:15" ht="12.75" customHeight="1" x14ac:dyDescent="0.2">
      <c r="L3589" s="252" t="str">
        <f>IF('1. INTRO'!I$2="English","months","månader")</f>
        <v>months</v>
      </c>
    </row>
    <row r="3590" spans="2:15" s="3" customFormat="1" ht="13.8" x14ac:dyDescent="0.25">
      <c r="B3590" s="157" t="str">
        <f>IF('1. INTRO'!I$2="English","Project costs","Projektkostnader")</f>
        <v>Project costs</v>
      </c>
      <c r="C3590" s="157" t="str">
        <f>A84</f>
        <v>EXT126</v>
      </c>
      <c r="D3590" s="1259" t="str">
        <f>B84</f>
        <v/>
      </c>
      <c r="E3590" s="1004"/>
      <c r="F3590" s="1004"/>
      <c r="G3590" s="1004"/>
      <c r="H3590" s="1004"/>
      <c r="I3590" s="37"/>
      <c r="J3590" s="37"/>
      <c r="K3590" s="37"/>
      <c r="L3590" s="642">
        <f>SUMIF('5. PERSON'!$B$17:$B$192,$C3590,'5. PERSON'!AE$17:AE$192)</f>
        <v>0</v>
      </c>
      <c r="M3590" s="680" t="s">
        <v>330</v>
      </c>
    </row>
    <row r="3591" spans="2:15" s="3" customFormat="1" ht="6" customHeight="1" x14ac:dyDescent="0.25">
      <c r="B3591" s="57"/>
      <c r="C3591" s="37"/>
      <c r="D3591" s="37"/>
      <c r="E3591" s="37"/>
      <c r="F3591" s="37"/>
      <c r="G3591" s="37"/>
      <c r="H3591" s="37"/>
      <c r="I3591" s="37"/>
      <c r="J3591" s="37"/>
      <c r="K3591" s="37"/>
      <c r="L3591" s="37"/>
      <c r="M3591" s="37"/>
    </row>
    <row r="3592" spans="2:15" s="3" customFormat="1" ht="13.2" x14ac:dyDescent="0.25">
      <c r="B3592" s="110" t="str">
        <f>IF('1. INTRO'!I$2="English","Costs to be covered by funding body","Kostnader att täckas av finansiär")</f>
        <v>Costs to be covered by funding body</v>
      </c>
      <c r="C3592" s="111">
        <f>'5. PERSON'!G$15</f>
        <v>1900</v>
      </c>
      <c r="D3592" s="111" t="str">
        <f>'5. PERSON'!H$15</f>
        <v/>
      </c>
      <c r="E3592" s="111" t="str">
        <f>'5. PERSON'!I$15</f>
        <v/>
      </c>
      <c r="F3592" s="111" t="str">
        <f>'5. PERSON'!J$15</f>
        <v/>
      </c>
      <c r="G3592" s="111" t="str">
        <f>'5. PERSON'!K$15</f>
        <v/>
      </c>
      <c r="H3592" s="111" t="str">
        <f>'5. PERSON'!L$15</f>
        <v/>
      </c>
      <c r="I3592" s="111" t="str">
        <f>'5. PERSON'!M$15</f>
        <v/>
      </c>
      <c r="J3592" s="111" t="str">
        <f>'5. PERSON'!N$15</f>
        <v/>
      </c>
      <c r="K3592" s="111" t="str">
        <f>'5. PERSON'!O$15</f>
        <v/>
      </c>
      <c r="L3592" s="111" t="str">
        <f>'5. PERSON'!P$15</f>
        <v/>
      </c>
      <c r="M3592" s="112" t="s">
        <v>2</v>
      </c>
    </row>
    <row r="3593" spans="2:15" s="3" customFormat="1" ht="12.75" customHeight="1" x14ac:dyDescent="0.25">
      <c r="B3593" s="113" t="str">
        <f>IF('1. INTRO'!I$2="English","Salary including social costs (LKP)","Lön inklusive LKP")</f>
        <v>Salary including social costs (LKP)</v>
      </c>
      <c r="C3593" s="114">
        <f>IF('2. START'!$C$14&gt;0,SUMIF('5. PERSON'!$B$17:$B$192,$C3590,'5. PERSON'!DN$17:DN$192),SUMIF('5. PERSON'!$B$17:$B$192,$C3590,'5. PERSON'!AT$17:AT$192))</f>
        <v>0</v>
      </c>
      <c r="D3593" s="114">
        <f>IF('2. START'!$C$14&gt;0,SUMIF('5. PERSON'!$B$17:$B$192,$C3590,'5. PERSON'!DO$17:DO$192),SUMIF('5. PERSON'!$B$17:$B$192,$C3590,'5. PERSON'!AU$17:AU$192))</f>
        <v>0</v>
      </c>
      <c r="E3593" s="114">
        <f>IF('2. START'!$C$14&gt;0,SUMIF('5. PERSON'!$B$17:$B$192,$C3590,'5. PERSON'!DP$17:DP$192),SUMIF('5. PERSON'!$B$17:$B$192,$C3590,'5. PERSON'!AV$17:AV$192))</f>
        <v>0</v>
      </c>
      <c r="F3593" s="114">
        <f>IF('2. START'!$C$14&gt;0,SUMIF('5. PERSON'!$B$17:$B$192,$C3590,'5. PERSON'!DQ$17:DQ$192),SUMIF('5. PERSON'!$B$17:$B$192,$C3590,'5. PERSON'!AW$17:AW$192))</f>
        <v>0</v>
      </c>
      <c r="G3593" s="114">
        <f>IF('2. START'!$C$14&gt;0,SUMIF('5. PERSON'!$B$17:$B$192,$C3590,'5. PERSON'!DR$17:DR$192),SUMIF('5. PERSON'!$B$17:$B$192,$C3590,'5. PERSON'!AX$17:AX$192))</f>
        <v>0</v>
      </c>
      <c r="H3593" s="114">
        <f>IF('2. START'!$C$14&gt;0,SUMIF('5. PERSON'!$B$17:$B$192,$C3590,'5. PERSON'!DS$17:DS$192),SUMIF('5. PERSON'!$B$17:$B$192,$C3590,'5. PERSON'!AY$17:AY$192))</f>
        <v>0</v>
      </c>
      <c r="I3593" s="114">
        <f>IF('2. START'!$C$14&gt;0,SUMIF('5. PERSON'!$B$17:$B$192,$C3590,'5. PERSON'!DT$17:DT$192),SUMIF('5. PERSON'!$B$17:$B$192,$C3590,'5. PERSON'!AZ$17:AZ$192))</f>
        <v>0</v>
      </c>
      <c r="J3593" s="114">
        <f>IF('2. START'!$C$14&gt;0,SUMIF('5. PERSON'!$B$17:$B$192,$C3590,'5. PERSON'!DU$17:DU$192),SUMIF('5. PERSON'!$B$17:$B$192,$C3590,'5. PERSON'!BA$17:BA$192))</f>
        <v>0</v>
      </c>
      <c r="K3593" s="114">
        <f>IF('2. START'!$C$14&gt;0,SUMIF('5. PERSON'!$B$17:$B$192,$C3590,'5. PERSON'!DV$17:DV$192),SUMIF('5. PERSON'!$B$17:$B$192,$C3590,'5. PERSON'!BB$17:BB$192))</f>
        <v>0</v>
      </c>
      <c r="L3593" s="114">
        <f>IF('2. START'!$C$14&gt;0,SUMIF('5. PERSON'!$B$17:$B$192,$C3590,'5. PERSON'!DW$17:DW$192),SUMIF('5. PERSON'!$B$17:$B$192,$C3590,'5. PERSON'!BC$17:BC$192))</f>
        <v>0</v>
      </c>
      <c r="M3593" s="115">
        <f t="shared" ref="M3593:M3598" si="853">SUM(C3593:L3593)</f>
        <v>0</v>
      </c>
      <c r="O3593" s="4"/>
    </row>
    <row r="3594" spans="2:15" s="3" customFormat="1" ht="12.75" customHeight="1" x14ac:dyDescent="0.25">
      <c r="B3594" s="80" t="str">
        <f>IF('1. INTRO'!I$2="English","Operating","Drift")</f>
        <v>Operating</v>
      </c>
      <c r="C3594" s="116">
        <f>SUMIF('6. OPERATION'!$B$17:$B$149,$C3590,'6. OPERATION'!W$17:W$149)</f>
        <v>0</v>
      </c>
      <c r="D3594" s="116">
        <f>SUMIF('6. OPERATION'!$B$17:$B$149,$C3590,'6. OPERATION'!X$17:X$149)</f>
        <v>0</v>
      </c>
      <c r="E3594" s="116">
        <f>SUMIF('6. OPERATION'!$B$17:$B$149,$C3590,'6. OPERATION'!Y$17:Y$149)</f>
        <v>0</v>
      </c>
      <c r="F3594" s="116">
        <f>SUMIF('6. OPERATION'!$B$17:$B$149,$C3590,'6. OPERATION'!Z$17:Z$149)</f>
        <v>0</v>
      </c>
      <c r="G3594" s="116">
        <f>SUMIF('6. OPERATION'!$B$17:$B$149,$C3590,'6. OPERATION'!AA$17:AA$149)</f>
        <v>0</v>
      </c>
      <c r="H3594" s="116">
        <f>SUMIF('6. OPERATION'!$B$17:$B$149,$C3590,'6. OPERATION'!AB$17:AB$149)</f>
        <v>0</v>
      </c>
      <c r="I3594" s="116">
        <f>SUMIF('6. OPERATION'!$B$17:$B$149,$C3590,'6. OPERATION'!AC$17:AC$149)</f>
        <v>0</v>
      </c>
      <c r="J3594" s="116">
        <f>SUMIF('6. OPERATION'!$B$17:$B$149,$C3590,'6. OPERATION'!AD$17:AD$149)</f>
        <v>0</v>
      </c>
      <c r="K3594" s="116">
        <f>SUMIF('6. OPERATION'!$B$17:$B$149,$C3590,'6. OPERATION'!AE$17:AE$149)</f>
        <v>0</v>
      </c>
      <c r="L3594" s="116">
        <f>SUMIF('6. OPERATION'!$B$17:$B$149,$C3590,'6. OPERATION'!AF$17:AF$149)</f>
        <v>0</v>
      </c>
      <c r="M3594" s="117">
        <f t="shared" si="853"/>
        <v>0</v>
      </c>
    </row>
    <row r="3595" spans="2:15" s="3" customFormat="1" ht="13.2" x14ac:dyDescent="0.25">
      <c r="B3595" s="118" t="str">
        <f>IF('1. INTRO'!I$2="English","Equipment","Utrustning")</f>
        <v>Equipment</v>
      </c>
      <c r="C3595" s="119">
        <f>SUMIF('7. INVEST'!$B$17:$B$49,$C3590,'7. INVEST'!W$17:W$49)</f>
        <v>0</v>
      </c>
      <c r="D3595" s="119">
        <f>SUMIF('7. INVEST'!$B$17:$B$49,$C3590,'7. INVEST'!X$17:X$49)</f>
        <v>0</v>
      </c>
      <c r="E3595" s="119">
        <f>SUMIF('7. INVEST'!$B$17:$B$49,$C3590,'7. INVEST'!Y$17:Y$49)</f>
        <v>0</v>
      </c>
      <c r="F3595" s="119">
        <f>SUMIF('7. INVEST'!$B$17:$B$49,$C3590,'7. INVEST'!Z$17:Z$49)</f>
        <v>0</v>
      </c>
      <c r="G3595" s="119">
        <f>SUMIF('7. INVEST'!$B$17:$B$49,$C3590,'7. INVEST'!AA$17:AA$49)</f>
        <v>0</v>
      </c>
      <c r="H3595" s="119">
        <f>SUMIF('7. INVEST'!$B$17:$B$49,$C3590,'7. INVEST'!AB$17:AB$49)</f>
        <v>0</v>
      </c>
      <c r="I3595" s="119">
        <f>SUMIF('7. INVEST'!$B$17:$B$49,$C3590,'7. INVEST'!AC$17:AC$49)</f>
        <v>0</v>
      </c>
      <c r="J3595" s="119">
        <f>SUMIF('7. INVEST'!$B$17:$B$49,$C3590,'7. INVEST'!AD$17:AD$49)</f>
        <v>0</v>
      </c>
      <c r="K3595" s="119">
        <f>SUMIF('7. INVEST'!$B$17:$B$49,$C3590,'7. INVEST'!AE$17:AE$49)</f>
        <v>0</v>
      </c>
      <c r="L3595" s="119">
        <f>SUMIF('7. INVEST'!$B$17:$B$49,$C3590,'7. INVEST'!AF$17:AF$49)</f>
        <v>0</v>
      </c>
      <c r="M3595" s="120">
        <f t="shared" si="853"/>
        <v>0</v>
      </c>
    </row>
    <row r="3596" spans="2:15" s="3" customFormat="1" ht="13.2" x14ac:dyDescent="0.25">
      <c r="B3596" s="121" t="str">
        <f>IF('1. INTRO'!I$2="English",(IF('2. START'!C$11="NO","Facility accepted as direct cost by funding body","Facility")),IF('2. START'!C$11="NO","Lokal accepterad som direkt kostnad av finansiär","Lokal"))</f>
        <v>Facility</v>
      </c>
      <c r="C3596" s="116">
        <f>IF('2. START'!$C$11="NO",SUMIF('8. FACILIT'!$B$18:$B$50,$C3590,'8. FACILIT'!T$18:T$50),SUMIF('5. PERSON'!$B$17:$B$192,$C3590,'5. PERSON'!CP$17:CP$192)+SUMIF('6. OPERATION'!$B$17:$B$149,$C3590,'6. OPERATION'!BS$17:BS$149)+SUMIF('8. FACILIT'!$B$18:$B$50,$C3590,'8. FACILIT'!T$18:T$50))</f>
        <v>0</v>
      </c>
      <c r="D3596" s="116">
        <f>IF('2. START'!$C$11="NO",SUMIF('8. FACILIT'!$B$18:$B$50,$C3590,'8. FACILIT'!U$18:U$50),SUMIF('5. PERSON'!$B$17:$B$192,$C3590,'5. PERSON'!CQ$17:CQ$192)+SUMIF('6. OPERATION'!$B$17:$B$149,$C3590,'6. OPERATION'!BT$17:BT$149)+SUMIF('8. FACILIT'!$B$18:$B$50,$C3590,'8. FACILIT'!U$18:U$50))</f>
        <v>0</v>
      </c>
      <c r="E3596" s="116">
        <f>IF('2. START'!$C$11="NO",SUMIF('8. FACILIT'!$B$18:$B$50,$C3590,'8. FACILIT'!V$18:V$50),SUMIF('5. PERSON'!$B$17:$B$192,$C3590,'5. PERSON'!CR$17:CR$192)+SUMIF('6. OPERATION'!$B$17:$B$149,$C3590,'6. OPERATION'!BU$17:BU$149)+SUMIF('8. FACILIT'!$B$18:$B$50,$C3590,'8. FACILIT'!V$18:V$50))</f>
        <v>0</v>
      </c>
      <c r="F3596" s="116">
        <f>IF('2. START'!$C$11="NO",SUMIF('8. FACILIT'!$B$18:$B$50,$C3590,'8. FACILIT'!W$18:W$50),SUMIF('5. PERSON'!$B$17:$B$192,$C3590,'5. PERSON'!CS$17:CS$192)+SUMIF('6. OPERATION'!$B$17:$B$149,$C3590,'6. OPERATION'!BV$17:BV$149)+SUMIF('8. FACILIT'!$B$18:$B$50,$C3590,'8. FACILIT'!W$18:W$50))</f>
        <v>0</v>
      </c>
      <c r="G3596" s="116">
        <f>IF('2. START'!$C$11="NO",SUMIF('8. FACILIT'!$B$18:$B$50,$C3590,'8. FACILIT'!X$18:X$50),SUMIF('5. PERSON'!$B$17:$B$192,$C3590,'5. PERSON'!CT$17:CT$192)+SUMIF('6. OPERATION'!$B$17:$B$149,$C3590,'6. OPERATION'!BW$17:BW$149)+SUMIF('8. FACILIT'!$B$18:$B$50,$C3590,'8. FACILIT'!X$18:X$50))</f>
        <v>0</v>
      </c>
      <c r="H3596" s="116">
        <f>IF('2. START'!$C$11="NO",SUMIF('8. FACILIT'!$B$18:$B$50,$C3590,'8. FACILIT'!Y$18:Y$50),SUMIF('5. PERSON'!$B$17:$B$192,$C3590,'5. PERSON'!CU$17:CU$192)+SUMIF('6. OPERATION'!$B$17:$B$149,$C3590,'6. OPERATION'!BX$17:BX$149)+SUMIF('8. FACILIT'!$B$18:$B$50,$C3590,'8. FACILIT'!Y$18:Y$50))</f>
        <v>0</v>
      </c>
      <c r="I3596" s="116">
        <f>IF('2. START'!$C$11="NO",SUMIF('8. FACILIT'!$B$18:$B$50,$C3590,'8. FACILIT'!Z$18:Z$50),SUMIF('5. PERSON'!$B$17:$B$192,$C3590,'5. PERSON'!CV$17:CV$192)+SUMIF('6. OPERATION'!$B$17:$B$149,$C3590,'6. OPERATION'!BY$17:BY$149)+SUMIF('8. FACILIT'!$B$18:$B$50,$C3590,'8. FACILIT'!Z$18:Z$50))</f>
        <v>0</v>
      </c>
      <c r="J3596" s="116">
        <f>IF('2. START'!$C$11="NO",SUMIF('8. FACILIT'!$B$18:$B$50,$C3590,'8. FACILIT'!AA$18:AA$50),SUMIF('5. PERSON'!$B$17:$B$192,$C3590,'5. PERSON'!CW$17:CW$192)+SUMIF('6. OPERATION'!$B$17:$B$149,$C3590,'6. OPERATION'!BZ$17:BZ$149)+SUMIF('8. FACILIT'!$B$18:$B$50,$C3590,'8. FACILIT'!AA$18:AA$50))</f>
        <v>0</v>
      </c>
      <c r="K3596" s="116">
        <f>IF('2. START'!$C$11="NO",SUMIF('8. FACILIT'!$B$18:$B$50,$C3590,'8. FACILIT'!AB$18:AB$50),SUMIF('5. PERSON'!$B$17:$B$192,$C3590,'5. PERSON'!CX$17:CX$192)+SUMIF('6. OPERATION'!$B$17:$B$149,$C3590,'6. OPERATION'!CA$17:CA$149)+SUMIF('8. FACILIT'!$B$18:$B$50,$C3590,'8. FACILIT'!AB$18:AB$50))</f>
        <v>0</v>
      </c>
      <c r="L3596" s="116">
        <f>IF('2. START'!$C$11="NO",SUMIF('8. FACILIT'!$B$18:$B$50,$C3590,'8. FACILIT'!AC$18:AC$50),SUMIF('5. PERSON'!$B$17:$B$192,$C3590,'5. PERSON'!CY$17:CY$192)+SUMIF('6. OPERATION'!$B$17:$B$149,$C3590,'6. OPERATION'!CB$17:CB$149)+SUMIF('8. FACILIT'!$B$18:$B$50,$C3590,'8. FACILIT'!AC$18:AC$50))</f>
        <v>0</v>
      </c>
      <c r="M3596" s="117">
        <f t="shared" si="853"/>
        <v>0</v>
      </c>
    </row>
    <row r="3597" spans="2:15" s="3" customFormat="1" ht="13.2" x14ac:dyDescent="0.25">
      <c r="B3597" s="122" t="str">
        <f>IF('1. INTRO'!I$2="English",(IF('2. START'!C$11="NO","Indirect and facility charge accepted as OH by funding body","Indirect")),IF('2. START'!C$11="NO","Indirekt och lokalpåslag accepterade som OH av finansiär","Indirekt"))</f>
        <v>Indirect</v>
      </c>
      <c r="C3597" s="107">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107">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107">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107">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107">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107">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107">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107">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107">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107">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120">
        <f t="shared" si="853"/>
        <v>0</v>
      </c>
    </row>
    <row r="3598" spans="2:15" s="3" customFormat="1" ht="13.2" x14ac:dyDescent="0.25">
      <c r="B3598" s="124" t="s">
        <v>113</v>
      </c>
      <c r="C3598" s="102">
        <f>SUM(C3593:C3597)</f>
        <v>0</v>
      </c>
      <c r="D3598" s="102">
        <f t="shared" ref="D3598:L3598" si="854">SUM(D3593:D3597)</f>
        <v>0</v>
      </c>
      <c r="E3598" s="102">
        <f t="shared" si="854"/>
        <v>0</v>
      </c>
      <c r="F3598" s="102">
        <f t="shared" si="854"/>
        <v>0</v>
      </c>
      <c r="G3598" s="102">
        <f t="shared" si="854"/>
        <v>0</v>
      </c>
      <c r="H3598" s="102">
        <f t="shared" si="854"/>
        <v>0</v>
      </c>
      <c r="I3598" s="102">
        <f t="shared" si="854"/>
        <v>0</v>
      </c>
      <c r="J3598" s="102">
        <f t="shared" si="854"/>
        <v>0</v>
      </c>
      <c r="K3598" s="102">
        <f t="shared" si="854"/>
        <v>0</v>
      </c>
      <c r="L3598" s="102">
        <f t="shared" si="854"/>
        <v>0</v>
      </c>
      <c r="M3598" s="125">
        <f t="shared" si="853"/>
        <v>0</v>
      </c>
    </row>
    <row r="3599" spans="2:15" s="3" customFormat="1" ht="6" customHeight="1" x14ac:dyDescent="0.25">
      <c r="B3599" s="126"/>
      <c r="C3599" s="127"/>
      <c r="D3599" s="127"/>
      <c r="E3599" s="127"/>
      <c r="F3599" s="127"/>
      <c r="G3599" s="127"/>
      <c r="H3599" s="127"/>
      <c r="I3599" s="127"/>
      <c r="J3599" s="127"/>
      <c r="K3599" s="127"/>
      <c r="L3599" s="127"/>
      <c r="M3599" s="128"/>
    </row>
    <row r="3600" spans="2:15" s="3" customFormat="1" ht="13.2" x14ac:dyDescent="0.25">
      <c r="B3600" s="129" t="str">
        <f>IF('1. INTRO'!I$2="English","Costs to be co-funded","Kostnader att medfinansiera")</f>
        <v>Costs to be co-funded</v>
      </c>
      <c r="C3600" s="86"/>
      <c r="D3600" s="86"/>
      <c r="E3600" s="86"/>
      <c r="F3600" s="86"/>
      <c r="G3600" s="86"/>
      <c r="H3600" s="86"/>
      <c r="I3600" s="86"/>
      <c r="J3600" s="86"/>
      <c r="K3600" s="86"/>
      <c r="L3600" s="86"/>
      <c r="M3600" s="130"/>
    </row>
    <row r="3601" spans="2:15" s="3" customFormat="1" ht="13.2" x14ac:dyDescent="0.25">
      <c r="B3601" s="159" t="str">
        <f>IF('1. INTRO'!I$2="English",(IF('2. START'!C$11="NO","Indirect and facility charge not accepted as OH by funding body","")),IF('2. START'!C$11="NO","Indirekt och lokalpåslag inte accepterade som OH av finansiär",""))</f>
        <v/>
      </c>
      <c r="C3601" s="131">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31">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31">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31">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31">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31">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31">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31">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31">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31">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115">
        <f t="shared" ref="M3601:M3607" si="855">SUM(C3601:L3601)</f>
        <v>0</v>
      </c>
    </row>
    <row r="3602" spans="2:15" s="3" customFormat="1" ht="12.75" customHeight="1" x14ac:dyDescent="0.25">
      <c r="B3602" s="132" t="str">
        <f>IF('1. INTRO'!I$2="English",(IF('2. START'!C$14&gt;0,"Social costs (LKP) not accepted by funding body","")),IF('2. START'!C$14&gt;0,"LKP som inte accepteras av finansiär",""))</f>
        <v/>
      </c>
      <c r="C3602" s="133">
        <f>IF('2. START'!$C$14&gt;0,SUMIF('5. PERSON'!$B$17:$B$192,$C3590,'5. PERSON'!AT$17:AT$192)-SUMIF('5. PERSON'!$B$17:$B$192,$C3590,'5. PERSON'!DN$17:DN$192),0)</f>
        <v>0</v>
      </c>
      <c r="D3602" s="133">
        <f>IF('2. START'!$C$14&gt;0,SUMIF('5. PERSON'!$B$17:$B$192,$C3590,'5. PERSON'!AU$17:AU$192)-SUMIF('5. PERSON'!$B$17:$B$192,$C3590,'5. PERSON'!DO$17:DO$192),0)</f>
        <v>0</v>
      </c>
      <c r="E3602" s="133">
        <f>IF('2. START'!$C$14&gt;0,SUMIF('5. PERSON'!$B$17:$B$192,$C3590,'5. PERSON'!AV$17:AV$192)-SUMIF('5. PERSON'!$B$17:$B$192,$C3590,'5. PERSON'!DP$17:DP$192),0)</f>
        <v>0</v>
      </c>
      <c r="F3602" s="133">
        <f>IF('2. START'!$C$14&gt;0,SUMIF('5. PERSON'!$B$17:$B$192,$C3590,'5. PERSON'!AW$17:AW$192)-SUMIF('5. PERSON'!$B$17:$B$192,$C3590,'5. PERSON'!DQ$17:DQ$192),0)</f>
        <v>0</v>
      </c>
      <c r="G3602" s="133">
        <f>IF('2. START'!$C$14&gt;0,SUMIF('5. PERSON'!$B$17:$B$192,$C3590,'5. PERSON'!AX$17:AX$192)-SUMIF('5. PERSON'!$B$17:$B$192,$C3590,'5. PERSON'!DR$17:DR$192),0)</f>
        <v>0</v>
      </c>
      <c r="H3602" s="133">
        <f>IF('2. START'!$C$14&gt;0,SUMIF('5. PERSON'!$B$17:$B$192,$C3590,'5. PERSON'!AY$17:AY$192)-SUMIF('5. PERSON'!$B$17:$B$192,$C3590,'5. PERSON'!DS$17:DS$192),0)</f>
        <v>0</v>
      </c>
      <c r="I3602" s="133">
        <f>IF('2. START'!$C$14&gt;0,SUMIF('5. PERSON'!$B$17:$B$192,$C3590,'5. PERSON'!AZ$17:AZ$192)-SUMIF('5. PERSON'!$B$17:$B$192,$C3590,'5. PERSON'!DT$17:DT$192),0)</f>
        <v>0</v>
      </c>
      <c r="J3602" s="133">
        <f>IF('2. START'!$C$14&gt;0,SUMIF('5. PERSON'!$B$17:$B$192,$C3590,'5. PERSON'!BA$17:BA$192)-SUMIF('5. PERSON'!$B$17:$B$192,$C3590,'5. PERSON'!DU$17:DU$192),0)</f>
        <v>0</v>
      </c>
      <c r="K3602" s="133">
        <f>IF('2. START'!$C$14&gt;0,SUMIF('5. PERSON'!$B$17:$B$192,$C3590,'5. PERSON'!BB$17:BB$192)-SUMIF('5. PERSON'!$B$17:$B$192,$C3590,'5. PERSON'!DV$17:DV$192),0)</f>
        <v>0</v>
      </c>
      <c r="L3602" s="133">
        <f>IF('2. START'!$C$14&gt;0,SUMIF('5. PERSON'!$B$17:$B$192,$C3590,'5. PERSON'!BC$17:BC$192)-SUMIF('5. PERSON'!$B$17:$B$192,$C3590,'5. PERSON'!DW$17:DW$192),0)</f>
        <v>0</v>
      </c>
      <c r="M3602" s="117">
        <f t="shared" si="855"/>
        <v>0</v>
      </c>
    </row>
    <row r="3603" spans="2:15" s="3" customFormat="1" ht="12.75" customHeight="1" x14ac:dyDescent="0.25">
      <c r="B3603" s="118" t="str">
        <f>IF('1. INTRO'!I$2="English",(IF('5. PERSON'!BP$193&gt;0,"Salary including social costs (LKP)","")),IF('5. PERSON'!BP$193&gt;0,"Lön inklusive LKP",""))</f>
        <v/>
      </c>
      <c r="C3603" s="134">
        <f>SUMIF('5. PERSON'!$B$17:$B$192,$C3590,'5. PERSON'!BF$17:BF$192)</f>
        <v>0</v>
      </c>
      <c r="D3603" s="134">
        <f>SUMIF('5. PERSON'!$B$17:$B$192,$C3590,'5. PERSON'!BG$17:BG$192)</f>
        <v>0</v>
      </c>
      <c r="E3603" s="134">
        <f>SUMIF('5. PERSON'!$B$17:$B$192,$C3590,'5. PERSON'!BH$17:BH$192)</f>
        <v>0</v>
      </c>
      <c r="F3603" s="134">
        <f>SUMIF('5. PERSON'!$B$17:$B$192,$C3590,'5. PERSON'!BI$17:BI$192)</f>
        <v>0</v>
      </c>
      <c r="G3603" s="134">
        <f>SUMIF('5. PERSON'!$B$17:$B$192,$C3590,'5. PERSON'!BJ$17:BJ$192)</f>
        <v>0</v>
      </c>
      <c r="H3603" s="134">
        <f>SUMIF('5. PERSON'!$B$17:$B$192,$C3590,'5. PERSON'!BK$17:BK$192)</f>
        <v>0</v>
      </c>
      <c r="I3603" s="134">
        <f>SUMIF('5. PERSON'!$B$17:$B$192,$C3590,'5. PERSON'!BL$17:BL$192)</f>
        <v>0</v>
      </c>
      <c r="J3603" s="134">
        <f>SUMIF('5. PERSON'!$B$17:$B$192,$C3590,'5. PERSON'!BM$17:BM$192)</f>
        <v>0</v>
      </c>
      <c r="K3603" s="134">
        <f>SUMIF('5. PERSON'!$B$17:$B$192,$C3590,'5. PERSON'!BN$17:BN$192)</f>
        <v>0</v>
      </c>
      <c r="L3603" s="134">
        <f>SUMIF('5. PERSON'!$B$17:$B$192,$C3590,'5. PERSON'!BO$17:BO$192)</f>
        <v>0</v>
      </c>
      <c r="M3603" s="120">
        <f t="shared" si="855"/>
        <v>0</v>
      </c>
    </row>
    <row r="3604" spans="2:15" s="3" customFormat="1" ht="13.2" x14ac:dyDescent="0.25">
      <c r="B3604" s="80" t="str">
        <f>IF('1. INTRO'!I$2="English",(IF('6. OPERATION'!AS$150&gt;0,"Operating","")),IF('6. OPERATION'!AS$150&gt;0,"Drift",""))</f>
        <v/>
      </c>
      <c r="C3604" s="135">
        <f>SUMIF('6. OPERATION'!$B$17:$B$149,$C3590,'6. OPERATION'!AI$17:AI$149)</f>
        <v>0</v>
      </c>
      <c r="D3604" s="135">
        <f>SUMIF('6. OPERATION'!$B$17:$B$149,$C3590,'6. OPERATION'!AJ$17:AJ$149)</f>
        <v>0</v>
      </c>
      <c r="E3604" s="135">
        <f>SUMIF('6. OPERATION'!$B$17:$B$149,$C3590,'6. OPERATION'!AK$17:AK$149)</f>
        <v>0</v>
      </c>
      <c r="F3604" s="135">
        <f>SUMIF('6. OPERATION'!$B$17:$B$149,$C3590,'6. OPERATION'!AL$17:AL$149)</f>
        <v>0</v>
      </c>
      <c r="G3604" s="135">
        <f>SUMIF('6. OPERATION'!$B$17:$B$149,$C3590,'6. OPERATION'!AM$17:AM$149)</f>
        <v>0</v>
      </c>
      <c r="H3604" s="135">
        <f>SUMIF('6. OPERATION'!$B$17:$B$149,$C3590,'6. OPERATION'!AN$17:AN$149)</f>
        <v>0</v>
      </c>
      <c r="I3604" s="135">
        <f>SUMIF('6. OPERATION'!$B$17:$B$149,$C3590,'6. OPERATION'!AO$17:AO$149)</f>
        <v>0</v>
      </c>
      <c r="J3604" s="135">
        <f>SUMIF('6. OPERATION'!$B$17:$B$149,$C3590,'6. OPERATION'!AP$17:AP$149)</f>
        <v>0</v>
      </c>
      <c r="K3604" s="135">
        <f>SUMIF('6. OPERATION'!$B$17:$B$149,$C3590,'6. OPERATION'!AQ$17:AQ$149)</f>
        <v>0</v>
      </c>
      <c r="L3604" s="135">
        <f>SUMIF('6. OPERATION'!$B$17:$B$149,$C3590,'6. OPERATION'!AR$17:AR$149)</f>
        <v>0</v>
      </c>
      <c r="M3604" s="117">
        <f t="shared" si="855"/>
        <v>0</v>
      </c>
    </row>
    <row r="3605" spans="2:15" s="3" customFormat="1" ht="13.2" x14ac:dyDescent="0.25">
      <c r="B3605" s="118" t="str">
        <f>IF('1. INTRO'!I$2="English",(IF('7. INVEST'!AS$50&gt;0,"Equipment","")),IF('7. INVEST'!AS$50&gt;0,"Utrustning",""))</f>
        <v/>
      </c>
      <c r="C3605" s="134">
        <f>SUMIF('7. INVEST'!$B$17:$B$49,$C3590,'7. INVEST'!AI$17:AI$49)</f>
        <v>0</v>
      </c>
      <c r="D3605" s="134">
        <f>SUMIF('7. INVEST'!$B$17:$B$49,$C3590,'7. INVEST'!AJ$17:AJ$49)</f>
        <v>0</v>
      </c>
      <c r="E3605" s="134">
        <f>SUMIF('7. INVEST'!$B$17:$B$49,$C3590,'7. INVEST'!AK$17:AK$49)</f>
        <v>0</v>
      </c>
      <c r="F3605" s="134">
        <f>SUMIF('7. INVEST'!$B$17:$B$49,$C3590,'7. INVEST'!AL$17:AL$49)</f>
        <v>0</v>
      </c>
      <c r="G3605" s="134">
        <f>SUMIF('7. INVEST'!$B$17:$B$49,$C3590,'7. INVEST'!AM$17:AM$49)</f>
        <v>0</v>
      </c>
      <c r="H3605" s="134">
        <f>SUMIF('7. INVEST'!$B$17:$B$49,$C3590,'7. INVEST'!AN$17:AN$49)</f>
        <v>0</v>
      </c>
      <c r="I3605" s="134">
        <f>SUMIF('7. INVEST'!$B$17:$B$49,$C3590,'7. INVEST'!AO$17:AO$49)</f>
        <v>0</v>
      </c>
      <c r="J3605" s="134">
        <f>SUMIF('7. INVEST'!$B$17:$B$49,$C3590,'7. INVEST'!AP$17:AP$49)</f>
        <v>0</v>
      </c>
      <c r="K3605" s="134">
        <f>SUMIF('7. INVEST'!$B$17:$B$49,$C3590,'7. INVEST'!AQ$17:AQ$49)</f>
        <v>0</v>
      </c>
      <c r="L3605" s="134">
        <f>SUMIF('7. INVEST'!$B$17:$B$49,$C3590,'7. INVEST'!AR$17:AR$49)</f>
        <v>0</v>
      </c>
      <c r="M3605" s="120">
        <f t="shared" si="855"/>
        <v>0</v>
      </c>
    </row>
    <row r="3606" spans="2:15" s="3" customFormat="1" ht="13.2" x14ac:dyDescent="0.25">
      <c r="B3606" s="121" t="str">
        <f>IF('1. INTRO'!I$2="English",(IF('8. FACILIT'!AP$51&gt;0,"Facility","")),IF('8. FACILIT'!AP$51&gt;0,"Lokal",""))</f>
        <v/>
      </c>
      <c r="C3606" s="135">
        <f>SUMIF('5. PERSON'!$B$17:$B$192,$C3590,'5. PERSON'!DB$17:DB$192)+SUMIF('6. OPERATION'!$B$17:$B$149,$C3590,'6. OPERATION'!CE$17:CE$149)+SUMIF('8. FACILIT'!$B$18:$B$50,$C3590,'8. FACILIT'!AF$18:AF$50)</f>
        <v>0</v>
      </c>
      <c r="D3606" s="135">
        <f>SUMIF('5. PERSON'!$B$17:$B$192,$C3590,'5. PERSON'!DC$17:DC$192)+SUMIF('6. OPERATION'!$B$17:$B$149,$C3590,'6. OPERATION'!CF$17:CF$149)+SUMIF('8. FACILIT'!$B$18:$B$50,$C3590,'8. FACILIT'!AG$18:AG$50)</f>
        <v>0</v>
      </c>
      <c r="E3606" s="135">
        <f>SUMIF('5. PERSON'!$B$17:$B$192,$C3590,'5. PERSON'!DD$17:DD$192)+SUMIF('6. OPERATION'!$B$17:$B$149,$C3590,'6. OPERATION'!CG$17:CG$149)+SUMIF('8. FACILIT'!$B$18:$B$50,$C3590,'8. FACILIT'!AH$18:AH$50)</f>
        <v>0</v>
      </c>
      <c r="F3606" s="135">
        <f>SUMIF('5. PERSON'!$B$17:$B$192,$C3590,'5. PERSON'!DE$17:DE$192)+SUMIF('6. OPERATION'!$B$17:$B$149,$C3590,'6. OPERATION'!CH$17:CH$149)+SUMIF('8. FACILIT'!$B$18:$B$50,$C3590,'8. FACILIT'!AI$18:AI$50)</f>
        <v>0</v>
      </c>
      <c r="G3606" s="135">
        <f>SUMIF('5. PERSON'!$B$17:$B$192,$C3590,'5. PERSON'!DF$17:DF$192)+SUMIF('6. OPERATION'!$B$17:$B$149,$C3590,'6. OPERATION'!CI$17:CI$149)+SUMIF('8. FACILIT'!$B$18:$B$50,$C3590,'8. FACILIT'!AJ$18:AJ$50)</f>
        <v>0</v>
      </c>
      <c r="H3606" s="135">
        <f>SUMIF('5. PERSON'!$B$17:$B$192,$C3590,'5. PERSON'!DG$17:DG$192)+SUMIF('6. OPERATION'!$B$17:$B$149,$C3590,'6. OPERATION'!CJ$17:CJ$149)+SUMIF('8. FACILIT'!$B$18:$B$50,$C3590,'8. FACILIT'!AK$18:AK$50)</f>
        <v>0</v>
      </c>
      <c r="I3606" s="135">
        <f>SUMIF('5. PERSON'!$B$17:$B$192,$C3590,'5. PERSON'!DH$17:DH$192)+SUMIF('6. OPERATION'!$B$17:$B$149,$C3590,'6. OPERATION'!CK$17:CK$149)+SUMIF('8. FACILIT'!$B$18:$B$50,$C3590,'8. FACILIT'!AL$18:AL$50)</f>
        <v>0</v>
      </c>
      <c r="J3606" s="135">
        <f>SUMIF('5. PERSON'!$B$17:$B$192,$C3590,'5. PERSON'!DI$17:DI$192)+SUMIF('6. OPERATION'!$B$17:$B$149,$C3590,'6. OPERATION'!CL$17:CL$149)+SUMIF('8. FACILIT'!$B$18:$B$50,$C3590,'8. FACILIT'!AM$18:AM$50)</f>
        <v>0</v>
      </c>
      <c r="K3606" s="135">
        <f>SUMIF('5. PERSON'!$B$17:$B$192,$C3590,'5. PERSON'!DJ$17:DJ$192)+SUMIF('6. OPERATION'!$B$17:$B$149,$C3590,'6. OPERATION'!CM$17:CM$149)+SUMIF('8. FACILIT'!$B$18:$B$50,$C3590,'8. FACILIT'!AN$18:AN$50)</f>
        <v>0</v>
      </c>
      <c r="L3606" s="135">
        <f>SUMIF('5. PERSON'!$B$17:$B$192,$C3590,'5. PERSON'!DK$17:DK$192)+SUMIF('6. OPERATION'!$B$17:$B$149,$C3590,'6. OPERATION'!CN$17:CN$149)+SUMIF('8. FACILIT'!$B$18:$B$50,$C3590,'8. FACILIT'!AO$18:AO$50)</f>
        <v>0</v>
      </c>
      <c r="M3606" s="117">
        <f t="shared" si="855"/>
        <v>0</v>
      </c>
    </row>
    <row r="3607" spans="2:15" s="1" customFormat="1" ht="13.2" x14ac:dyDescent="0.25">
      <c r="B3607" s="122" t="str">
        <f>IF('1. INTRO'!I$2="English",(IF(('5. PERSON'!CN$193+'6. OPERATION'!BQ$150)&gt;0,"Indirect","")),IF(('5. PERSON'!CN$193+'6. OPERATION'!BQ$150)&gt;0,"Indirekt",""))</f>
        <v/>
      </c>
      <c r="C3607" s="107">
        <f>SUMIF('5. PERSON'!$B$17:$B$192,$C3590,'5. PERSON'!CD$17:CD$192)+SUMIF('6. OPERATION'!$B$17:$B$149,$C3590,'6. OPERATION'!BG$17:BG$149)</f>
        <v>0</v>
      </c>
      <c r="D3607" s="107">
        <f>SUMIF('5. PERSON'!$B$17:$B$192,$C3590,'5. PERSON'!CE$17:CE$192)+SUMIF('6. OPERATION'!$B$17:$B$149,$C3590,'6. OPERATION'!BH$17:BH$149)</f>
        <v>0</v>
      </c>
      <c r="E3607" s="107">
        <f>SUMIF('5. PERSON'!$B$17:$B$192,$C3590,'5. PERSON'!CF$17:CF$192)+SUMIF('6. OPERATION'!$B$17:$B$149,$C3590,'6. OPERATION'!BI$17:BI$149)</f>
        <v>0</v>
      </c>
      <c r="F3607" s="107">
        <f>SUMIF('5. PERSON'!$B$17:$B$192,$C3590,'5. PERSON'!CG$17:CG$192)+SUMIF('6. OPERATION'!$B$17:$B$149,$C3590,'6. OPERATION'!BJ$17:BJ$149)</f>
        <v>0</v>
      </c>
      <c r="G3607" s="107">
        <f>SUMIF('5. PERSON'!$B$17:$B$192,$C3590,'5. PERSON'!CH$17:CH$192)+SUMIF('6. OPERATION'!$B$17:$B$149,$C3590,'6. OPERATION'!BK$17:BK$149)</f>
        <v>0</v>
      </c>
      <c r="H3607" s="107">
        <f>SUMIF('5. PERSON'!$B$17:$B$192,$C3590,'5. PERSON'!CI$17:CI$192)+SUMIF('6. OPERATION'!$B$17:$B$149,$C3590,'6. OPERATION'!BL$17:BL$149)</f>
        <v>0</v>
      </c>
      <c r="I3607" s="107">
        <f>SUMIF('5. PERSON'!$B$17:$B$192,$C3590,'5. PERSON'!CJ$17:CJ$192)+SUMIF('6. OPERATION'!$B$17:$B$149,$C3590,'6. OPERATION'!BM$17:BM$149)</f>
        <v>0</v>
      </c>
      <c r="J3607" s="107">
        <f>SUMIF('5. PERSON'!$B$17:$B$192,$C3590,'5. PERSON'!CK$17:CK$192)+SUMIF('6. OPERATION'!$B$17:$B$149,$C3590,'6. OPERATION'!BN$17:BN$149)</f>
        <v>0</v>
      </c>
      <c r="K3607" s="107">
        <f>SUMIF('5. PERSON'!$B$17:$B$192,$C3590,'5. PERSON'!CL$17:CL$192)+SUMIF('6. OPERATION'!$B$17:$B$149,$C3590,'6. OPERATION'!BO$17:BO$149)</f>
        <v>0</v>
      </c>
      <c r="L3607" s="107">
        <f>SUMIF('5. PERSON'!$B$17:$B$192,$C3590,'5. PERSON'!CM$17:CM$192)+SUMIF('6. OPERATION'!$B$17:$B$149,$C3590,'6. OPERATION'!BP$17:BP$149)</f>
        <v>0</v>
      </c>
      <c r="M3607" s="123">
        <f t="shared" si="855"/>
        <v>0</v>
      </c>
    </row>
    <row r="3608" spans="2:15" s="3" customFormat="1" ht="13.2" x14ac:dyDescent="0.25">
      <c r="B3608" s="124" t="s">
        <v>113</v>
      </c>
      <c r="C3608" s="102">
        <f>SUM(C3601:C3607)</f>
        <v>0</v>
      </c>
      <c r="D3608" s="102">
        <f t="shared" ref="D3608:L3608" si="856">SUM(D3601:D3607)</f>
        <v>0</v>
      </c>
      <c r="E3608" s="102">
        <f t="shared" si="856"/>
        <v>0</v>
      </c>
      <c r="F3608" s="102">
        <f t="shared" si="856"/>
        <v>0</v>
      </c>
      <c r="G3608" s="102">
        <f t="shared" si="856"/>
        <v>0</v>
      </c>
      <c r="H3608" s="102">
        <f t="shared" si="856"/>
        <v>0</v>
      </c>
      <c r="I3608" s="102">
        <f t="shared" si="856"/>
        <v>0</v>
      </c>
      <c r="J3608" s="102">
        <f t="shared" si="856"/>
        <v>0</v>
      </c>
      <c r="K3608" s="102">
        <f t="shared" si="856"/>
        <v>0</v>
      </c>
      <c r="L3608" s="102">
        <f t="shared" si="856"/>
        <v>0</v>
      </c>
      <c r="M3608" s="125">
        <f t="shared" ref="M3608" si="857">SUM(M3601:M3607)</f>
        <v>0</v>
      </c>
      <c r="N3608" s="23"/>
      <c r="O3608" s="23"/>
    </row>
    <row r="3609" spans="2:15" s="3" customFormat="1" ht="6" customHeight="1" x14ac:dyDescent="0.25">
      <c r="B3609" s="136"/>
      <c r="C3609" s="127"/>
      <c r="D3609" s="127"/>
      <c r="E3609" s="127"/>
      <c r="F3609" s="127"/>
      <c r="G3609" s="127"/>
      <c r="H3609" s="127"/>
      <c r="I3609" s="127"/>
      <c r="J3609" s="127"/>
      <c r="K3609" s="127"/>
      <c r="L3609" s="127"/>
      <c r="M3609" s="137"/>
    </row>
    <row r="3610" spans="2:15" s="3" customFormat="1" ht="13.2" x14ac:dyDescent="0.25">
      <c r="B3610" s="129" t="str">
        <f>IF('1. INTRO'!I$2="English","Full cost","Full kostnad")</f>
        <v>Full cost</v>
      </c>
      <c r="C3610" s="127"/>
      <c r="D3610" s="127"/>
      <c r="E3610" s="127"/>
      <c r="F3610" s="127"/>
      <c r="G3610" s="127"/>
      <c r="H3610" s="127"/>
      <c r="I3610" s="127"/>
      <c r="J3610" s="127"/>
      <c r="K3610" s="127"/>
      <c r="L3610" s="127"/>
      <c r="M3610" s="137"/>
    </row>
    <row r="3611" spans="2:15" s="3" customFormat="1" ht="13.2" x14ac:dyDescent="0.25">
      <c r="B3611" s="113" t="str">
        <f>IF('1. INTRO'!I$2="English","Salary including social costs (LKP)","Lön inklusive LKP")</f>
        <v>Salary including social costs (LKP)</v>
      </c>
      <c r="C3611" s="138">
        <f>C3593+C3602+C3603</f>
        <v>0</v>
      </c>
      <c r="D3611" s="138">
        <f t="shared" ref="D3611:L3611" si="858">D3593+D3602+D3603</f>
        <v>0</v>
      </c>
      <c r="E3611" s="138">
        <f t="shared" si="858"/>
        <v>0</v>
      </c>
      <c r="F3611" s="138">
        <f t="shared" si="858"/>
        <v>0</v>
      </c>
      <c r="G3611" s="138">
        <f t="shared" si="858"/>
        <v>0</v>
      </c>
      <c r="H3611" s="138">
        <f t="shared" si="858"/>
        <v>0</v>
      </c>
      <c r="I3611" s="138">
        <f t="shared" si="858"/>
        <v>0</v>
      </c>
      <c r="J3611" s="138">
        <f t="shared" si="858"/>
        <v>0</v>
      </c>
      <c r="K3611" s="138">
        <f t="shared" si="858"/>
        <v>0</v>
      </c>
      <c r="L3611" s="138">
        <f t="shared" si="858"/>
        <v>0</v>
      </c>
      <c r="M3611" s="115">
        <f>SUM(C3611:L3611)</f>
        <v>0</v>
      </c>
    </row>
    <row r="3612" spans="2:15" s="3" customFormat="1" ht="13.2" x14ac:dyDescent="0.25">
      <c r="B3612" s="80" t="str">
        <f>IF('1. INTRO'!I$2="English","Operating","Drift")</f>
        <v>Operating</v>
      </c>
      <c r="C3612" s="139">
        <f>C3594+C3604</f>
        <v>0</v>
      </c>
      <c r="D3612" s="139">
        <f t="shared" ref="D3612:L3612" si="859">D3594+D3604</f>
        <v>0</v>
      </c>
      <c r="E3612" s="139">
        <f t="shared" si="859"/>
        <v>0</v>
      </c>
      <c r="F3612" s="139">
        <f t="shared" si="859"/>
        <v>0</v>
      </c>
      <c r="G3612" s="139">
        <f t="shared" si="859"/>
        <v>0</v>
      </c>
      <c r="H3612" s="139">
        <f t="shared" si="859"/>
        <v>0</v>
      </c>
      <c r="I3612" s="139">
        <f t="shared" si="859"/>
        <v>0</v>
      </c>
      <c r="J3612" s="139">
        <f t="shared" si="859"/>
        <v>0</v>
      </c>
      <c r="K3612" s="139">
        <f t="shared" si="859"/>
        <v>0</v>
      </c>
      <c r="L3612" s="139">
        <f t="shared" si="859"/>
        <v>0</v>
      </c>
      <c r="M3612" s="117">
        <f>SUM(C3612:L3612)</f>
        <v>0</v>
      </c>
    </row>
    <row r="3613" spans="2:15" s="3" customFormat="1" ht="13.2" x14ac:dyDescent="0.25">
      <c r="B3613" s="118" t="str">
        <f>IF('1. INTRO'!I$2="English","Equipment","Utrustning")</f>
        <v>Equipment</v>
      </c>
      <c r="C3613" s="140">
        <f>C3595+C3605</f>
        <v>0</v>
      </c>
      <c r="D3613" s="140">
        <f t="shared" ref="D3613:L3613" si="860">D3595+D3605</f>
        <v>0</v>
      </c>
      <c r="E3613" s="140">
        <f t="shared" si="860"/>
        <v>0</v>
      </c>
      <c r="F3613" s="140">
        <f t="shared" si="860"/>
        <v>0</v>
      </c>
      <c r="G3613" s="140">
        <f t="shared" si="860"/>
        <v>0</v>
      </c>
      <c r="H3613" s="140">
        <f t="shared" si="860"/>
        <v>0</v>
      </c>
      <c r="I3613" s="140">
        <f t="shared" si="860"/>
        <v>0</v>
      </c>
      <c r="J3613" s="140">
        <f t="shared" si="860"/>
        <v>0</v>
      </c>
      <c r="K3613" s="140">
        <f t="shared" si="860"/>
        <v>0</v>
      </c>
      <c r="L3613" s="140">
        <f t="shared" si="860"/>
        <v>0</v>
      </c>
      <c r="M3613" s="120">
        <f>SUM(C3613:L3613)</f>
        <v>0</v>
      </c>
    </row>
    <row r="3614" spans="2:15" s="3" customFormat="1" ht="13.2" x14ac:dyDescent="0.25">
      <c r="B3614" s="80" t="str">
        <f>IF('1. INTRO'!I$2="English","Facility","Lokal")</f>
        <v>Facility</v>
      </c>
      <c r="C3614" s="139">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39">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39">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39">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39">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39">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39">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39">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39">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39">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117">
        <f>SUM(C3614:L3614)</f>
        <v>0</v>
      </c>
    </row>
    <row r="3615" spans="2:15" s="3" customFormat="1" ht="13.2" x14ac:dyDescent="0.25">
      <c r="B3615" s="601" t="str">
        <f>IF('1. INTRO'!I$2="English","Indirect","Indirekt")</f>
        <v>Indirect</v>
      </c>
      <c r="C3615" s="141">
        <f>SUMIF('5. PERSON'!$B$17:$B$192,$C3590,'5. PERSON'!BR$17:BR$192)+SUMIF('5. PERSON'!$B$17:$B$192,$C3590,'5. PERSON'!CD$17:CD$192)+SUMIF('6. OPERATION'!$B$17:$B$149,$C3590,'6. OPERATION'!AU$17:AU$149)+SUMIF('6. OPERATION'!$B$17:$B$149,$C3590,'6. OPERATION'!BG$17:BG$149)</f>
        <v>0</v>
      </c>
      <c r="D3615" s="141">
        <f>SUMIF('5. PERSON'!$B$17:$B$192,$C3590,'5. PERSON'!BS$17:BS$192)+SUMIF('5. PERSON'!$B$17:$B$192,$C3590,'5. PERSON'!CE$17:CE$192)+SUMIF('6. OPERATION'!$B$17:$B$149,$C3590,'6. OPERATION'!AV$17:AV$149)+SUMIF('6. OPERATION'!$B$17:$B$149,$C3590,'6. OPERATION'!BH$17:BH$149)</f>
        <v>0</v>
      </c>
      <c r="E3615" s="141">
        <f>SUMIF('5. PERSON'!$B$17:$B$192,$C3590,'5. PERSON'!BT$17:BT$192)+SUMIF('5. PERSON'!$B$17:$B$192,$C3590,'5. PERSON'!CF$17:CF$192)+SUMIF('6. OPERATION'!$B$17:$B$149,$C3590,'6. OPERATION'!AW$17:AW$149)+SUMIF('6. OPERATION'!$B$17:$B$149,$C3590,'6. OPERATION'!BI$17:BI$149)</f>
        <v>0</v>
      </c>
      <c r="F3615" s="141">
        <f>SUMIF('5. PERSON'!$B$17:$B$192,$C3590,'5. PERSON'!BU$17:BU$192)+SUMIF('5. PERSON'!$B$17:$B$192,$C3590,'5. PERSON'!CG$17:CG$192)+SUMIF('6. OPERATION'!$B$17:$B$149,$C3590,'6. OPERATION'!AX$17:AX$149)+SUMIF('6. OPERATION'!$B$17:$B$149,$C3590,'6. OPERATION'!BJ$17:BJ$149)</f>
        <v>0</v>
      </c>
      <c r="G3615" s="141">
        <f>SUMIF('5. PERSON'!$B$17:$B$192,$C3590,'5. PERSON'!BV$17:BV$192)+SUMIF('5. PERSON'!$B$17:$B$192,$C3590,'5. PERSON'!CH$17:CH$192)+SUMIF('6. OPERATION'!$B$17:$B$149,$C3590,'6. OPERATION'!AY$17:AY$149)+SUMIF('6. OPERATION'!$B$17:$B$149,$C3590,'6. OPERATION'!BK$17:BK$149)</f>
        <v>0</v>
      </c>
      <c r="H3615" s="141">
        <f>SUMIF('5. PERSON'!$B$17:$B$192,$C3590,'5. PERSON'!BW$17:BW$192)+SUMIF('5. PERSON'!$B$17:$B$192,$C3590,'5. PERSON'!CI$17:CI$192)+SUMIF('6. OPERATION'!$B$17:$B$149,$C3590,'6. OPERATION'!AZ$17:AZ$149)+SUMIF('6. OPERATION'!$B$17:$B$149,$C3590,'6. OPERATION'!BL$17:BL$149)</f>
        <v>0</v>
      </c>
      <c r="I3615" s="141">
        <f>SUMIF('5. PERSON'!$B$17:$B$192,$C3590,'5. PERSON'!BX$17:BX$192)+SUMIF('5. PERSON'!$B$17:$B$192,$C3590,'5. PERSON'!CJ$17:CJ$192)+SUMIF('6. OPERATION'!$B$17:$B$149,$C3590,'6. OPERATION'!BA$17:BA$149)+SUMIF('6. OPERATION'!$B$17:$B$149,$C3590,'6. OPERATION'!BM$17:BM$149)</f>
        <v>0</v>
      </c>
      <c r="J3615" s="141">
        <f>SUMIF('5. PERSON'!$B$17:$B$192,$C3590,'5. PERSON'!BY$17:BY$192)+SUMIF('5. PERSON'!$B$17:$B$192,$C3590,'5. PERSON'!CK$17:CK$192)+SUMIF('6. OPERATION'!$B$17:$B$149,$C3590,'6. OPERATION'!BB$17:BB$149)+SUMIF('6. OPERATION'!$B$17:$B$149,$C3590,'6. OPERATION'!BN$17:BN$149)</f>
        <v>0</v>
      </c>
      <c r="K3615" s="141">
        <f>SUMIF('5. PERSON'!$B$17:$B$192,$C3590,'5. PERSON'!BZ$17:BZ$192)+SUMIF('5. PERSON'!$B$17:$B$192,$C3590,'5. PERSON'!CL$17:CL$192)+SUMIF('6. OPERATION'!$B$17:$B$149,$C3590,'6. OPERATION'!BC$17:BC$149)+SUMIF('6. OPERATION'!$B$17:$B$149,$C3590,'6. OPERATION'!BO$17:BO$149)</f>
        <v>0</v>
      </c>
      <c r="L3615" s="141">
        <f>SUMIF('5. PERSON'!$B$17:$B$192,$C3590,'5. PERSON'!CA$17:CA$192)+SUMIF('5. PERSON'!$B$17:$B$192,$C3590,'5. PERSON'!CM$17:CM$192)+SUMIF('6. OPERATION'!$B$17:$B$149,$C3590,'6. OPERATION'!BD$17:BD$149)+SUMIF('6. OPERATION'!$B$17:$B$149,$C3590,'6. OPERATION'!BP$17:BP$149)</f>
        <v>0</v>
      </c>
      <c r="M3615" s="123">
        <f>SUM(C3615:L3615)</f>
        <v>0</v>
      </c>
    </row>
    <row r="3616" spans="2:15" s="3" customFormat="1" ht="13.2" x14ac:dyDescent="0.25">
      <c r="B3616" s="124" t="s">
        <v>113</v>
      </c>
      <c r="C3616" s="88">
        <f>SUM(C3611:C3615)</f>
        <v>0</v>
      </c>
      <c r="D3616" s="88">
        <f t="shared" ref="D3616:M3616" si="861">SUM(D3611:D3615)</f>
        <v>0</v>
      </c>
      <c r="E3616" s="88">
        <f t="shared" si="861"/>
        <v>0</v>
      </c>
      <c r="F3616" s="88">
        <f t="shared" si="861"/>
        <v>0</v>
      </c>
      <c r="G3616" s="88">
        <f t="shared" si="861"/>
        <v>0</v>
      </c>
      <c r="H3616" s="88">
        <f t="shared" si="861"/>
        <v>0</v>
      </c>
      <c r="I3616" s="88">
        <f t="shared" si="861"/>
        <v>0</v>
      </c>
      <c r="J3616" s="88">
        <f t="shared" si="861"/>
        <v>0</v>
      </c>
      <c r="K3616" s="88">
        <f t="shared" si="861"/>
        <v>0</v>
      </c>
      <c r="L3616" s="88">
        <f t="shared" si="861"/>
        <v>0</v>
      </c>
      <c r="M3616" s="142">
        <f t="shared" si="861"/>
        <v>0</v>
      </c>
    </row>
    <row r="3617" spans="2:13" s="3" customFormat="1" ht="13.2" x14ac:dyDescent="0.25">
      <c r="B3617" s="287"/>
      <c r="C3617" s="37"/>
      <c r="D3617" s="37"/>
      <c r="E3617" s="37"/>
      <c r="F3617" s="37"/>
      <c r="G3617" s="37"/>
      <c r="H3617" s="37"/>
      <c r="I3617" s="37"/>
      <c r="J3617" s="37"/>
      <c r="K3617" s="37"/>
      <c r="L3617" s="37"/>
      <c r="M3617" s="37"/>
    </row>
    <row r="3618" spans="2:13" s="3" customFormat="1" ht="12.75" customHeight="1" x14ac:dyDescent="0.25">
      <c r="B3618" s="656" t="str">
        <f>IF('1. INTRO'!I$2="English","Co-funding share in full cost ","Medfinansieringsandel i full kostnad ")</f>
        <v xml:space="preserve">Co-funding share in full cost </v>
      </c>
      <c r="C3618" s="143" t="str">
        <f t="shared" ref="C3618:M3618" si="862">IF(C3616&gt;0,C3608/C3616,"")</f>
        <v/>
      </c>
      <c r="D3618" s="143" t="str">
        <f t="shared" si="862"/>
        <v/>
      </c>
      <c r="E3618" s="143" t="str">
        <f t="shared" si="862"/>
        <v/>
      </c>
      <c r="F3618" s="143" t="str">
        <f t="shared" si="862"/>
        <v/>
      </c>
      <c r="G3618" s="143" t="str">
        <f t="shared" si="862"/>
        <v/>
      </c>
      <c r="H3618" s="143" t="str">
        <f t="shared" si="862"/>
        <v/>
      </c>
      <c r="I3618" s="143" t="str">
        <f t="shared" si="862"/>
        <v/>
      </c>
      <c r="J3618" s="143" t="str">
        <f t="shared" si="862"/>
        <v/>
      </c>
      <c r="K3618" s="143" t="str">
        <f t="shared" si="862"/>
        <v/>
      </c>
      <c r="L3618" s="143" t="str">
        <f t="shared" si="862"/>
        <v/>
      </c>
      <c r="M3618" s="143" t="str">
        <f t="shared" si="862"/>
        <v/>
      </c>
    </row>
    <row r="3619" spans="2:13" ht="12.75" customHeight="1" x14ac:dyDescent="0.2"/>
    <row r="3620" spans="2:13" ht="12.75" customHeight="1" x14ac:dyDescent="0.25">
      <c r="D3620" s="676" t="str">
        <f>IF('1. INTRO'!I$2="English","Co-funding need in average per year: ","Medfinansieringsbehov i genomsnitt per år: ")</f>
        <v xml:space="preserve">Co-funding need in average per year: </v>
      </c>
      <c r="E3620" s="92" t="str">
        <f>IF(M3608=0,"",M3608/(DATEDIF('2. START'!C$18,'2. START'!C$19,"d")/365))</f>
        <v/>
      </c>
      <c r="H3620" s="676" t="str">
        <f>IF('1. INTRO'!I$2="English","Co-funding need 1/3 of total: ","Medfinansieringsbehov 1/3 av totalt: ")</f>
        <v xml:space="preserve">Co-funding need 1/3 of total: </v>
      </c>
      <c r="I3620" s="92">
        <f>M3608/3</f>
        <v>0</v>
      </c>
      <c r="L3620" s="287" t="str">
        <f>IF('1. INTRO'!I$2="English","Co-funding need total: ","Medfinansieringsbehov totalt: ")</f>
        <v xml:space="preserve">Co-funding need total: </v>
      </c>
      <c r="M3620" s="92">
        <f>M3608</f>
        <v>0</v>
      </c>
    </row>
    <row r="3621" spans="2:13" ht="12.75" customHeight="1" x14ac:dyDescent="0.25">
      <c r="B3621" s="53" t="str">
        <f>IF('1. INTRO'!I$2="English","Co-funding sources","Medfinansieringskällor")</f>
        <v>Co-funding sources</v>
      </c>
    </row>
    <row r="3622" spans="2:13" ht="12.75" customHeight="1" x14ac:dyDescent="0.25">
      <c r="B3622" s="225"/>
      <c r="C3622" s="226"/>
      <c r="D3622" s="226"/>
      <c r="E3622" s="226"/>
      <c r="F3622" s="226"/>
      <c r="G3622" s="226"/>
      <c r="H3622" s="226"/>
      <c r="I3622" s="226"/>
      <c r="J3622" s="226"/>
      <c r="K3622" s="226"/>
      <c r="L3622" s="227"/>
      <c r="M3622" s="168">
        <f>SUM(C3622:L3622)</f>
        <v>0</v>
      </c>
    </row>
    <row r="3623" spans="2:13" ht="12.75" customHeight="1" x14ac:dyDescent="0.25">
      <c r="B3623" s="228"/>
      <c r="C3623" s="229"/>
      <c r="D3623" s="229"/>
      <c r="E3623" s="229"/>
      <c r="F3623" s="229"/>
      <c r="G3623" s="229"/>
      <c r="H3623" s="229"/>
      <c r="I3623" s="229"/>
      <c r="J3623" s="229"/>
      <c r="K3623" s="229"/>
      <c r="L3623" s="230"/>
      <c r="M3623" s="120">
        <f t="shared" ref="M3623:M3626" si="863">SUM(C3623:L3623)</f>
        <v>0</v>
      </c>
    </row>
    <row r="3624" spans="2:13" ht="12.75" customHeight="1" x14ac:dyDescent="0.25">
      <c r="B3624" s="231"/>
      <c r="C3624" s="232"/>
      <c r="D3624" s="232"/>
      <c r="E3624" s="232"/>
      <c r="F3624" s="232"/>
      <c r="G3624" s="232"/>
      <c r="H3624" s="232"/>
      <c r="I3624" s="232"/>
      <c r="J3624" s="232"/>
      <c r="K3624" s="232"/>
      <c r="L3624" s="233"/>
      <c r="M3624" s="117">
        <f t="shared" si="863"/>
        <v>0</v>
      </c>
    </row>
    <row r="3625" spans="2:13" ht="12.75" customHeight="1" x14ac:dyDescent="0.25">
      <c r="B3625" s="228"/>
      <c r="C3625" s="229"/>
      <c r="D3625" s="229"/>
      <c r="E3625" s="229"/>
      <c r="F3625" s="229"/>
      <c r="G3625" s="229"/>
      <c r="H3625" s="229"/>
      <c r="I3625" s="229"/>
      <c r="J3625" s="229"/>
      <c r="K3625" s="229"/>
      <c r="L3625" s="230"/>
      <c r="M3625" s="120">
        <f t="shared" si="863"/>
        <v>0</v>
      </c>
    </row>
    <row r="3626" spans="2:13" ht="12.75" customHeight="1" x14ac:dyDescent="0.25">
      <c r="B3626" s="93"/>
      <c r="C3626" s="232"/>
      <c r="D3626" s="232"/>
      <c r="E3626" s="232"/>
      <c r="F3626" s="232"/>
      <c r="G3626" s="232"/>
      <c r="H3626" s="232"/>
      <c r="I3626" s="232"/>
      <c r="J3626" s="232"/>
      <c r="K3626" s="232"/>
      <c r="L3626" s="233"/>
      <c r="M3626" s="117">
        <f t="shared" si="863"/>
        <v>0</v>
      </c>
    </row>
    <row r="3627" spans="2:13" ht="12.75" customHeight="1" x14ac:dyDescent="0.25">
      <c r="B3627" s="84" t="str">
        <f>IF('1. INTRO'!I$2="English","Total co-funding ","Total medfinansiering ")</f>
        <v xml:space="preserve">Total co-funding </v>
      </c>
      <c r="C3627" s="87">
        <f t="shared" ref="C3627:M3627" si="864">SUM(C3622:C3626)</f>
        <v>0</v>
      </c>
      <c r="D3627" s="87">
        <f t="shared" si="864"/>
        <v>0</v>
      </c>
      <c r="E3627" s="87">
        <f t="shared" si="864"/>
        <v>0</v>
      </c>
      <c r="F3627" s="87">
        <f t="shared" si="864"/>
        <v>0</v>
      </c>
      <c r="G3627" s="87">
        <f t="shared" si="864"/>
        <v>0</v>
      </c>
      <c r="H3627" s="87">
        <f t="shared" si="864"/>
        <v>0</v>
      </c>
      <c r="I3627" s="87">
        <f t="shared" si="864"/>
        <v>0</v>
      </c>
      <c r="J3627" s="87">
        <f t="shared" si="864"/>
        <v>0</v>
      </c>
      <c r="K3627" s="87">
        <f t="shared" si="864"/>
        <v>0</v>
      </c>
      <c r="L3627" s="87">
        <f t="shared" si="864"/>
        <v>0</v>
      </c>
      <c r="M3627" s="142">
        <f t="shared" si="864"/>
        <v>0</v>
      </c>
    </row>
    <row r="3628" spans="2:13" ht="12.75" customHeight="1" x14ac:dyDescent="0.2"/>
    <row r="3629" spans="2:13" ht="12.75" customHeight="1" x14ac:dyDescent="0.2">
      <c r="B3629" s="667" t="str">
        <f>IF('1. INTRO'!I$2="English","Calculation comments","Kalkylkommentarer")</f>
        <v>Calculation comments</v>
      </c>
      <c r="C3629" s="37" t="str">
        <f>B84</f>
        <v/>
      </c>
    </row>
    <row r="3630" spans="2:13" ht="12.75" customHeight="1" x14ac:dyDescent="0.2">
      <c r="B3630" s="1142"/>
      <c r="C3630" s="1143"/>
      <c r="D3630" s="1143"/>
      <c r="E3630" s="1143"/>
      <c r="F3630" s="1143"/>
      <c r="G3630" s="1143"/>
      <c r="H3630" s="1143"/>
      <c r="I3630" s="1143"/>
      <c r="J3630" s="1143"/>
      <c r="K3630" s="1143"/>
      <c r="L3630" s="1143"/>
      <c r="M3630" s="1144"/>
    </row>
    <row r="3631" spans="2:13" ht="12.75" customHeight="1" x14ac:dyDescent="0.2">
      <c r="B3631" s="1145"/>
      <c r="C3631" s="1226"/>
      <c r="D3631" s="1226"/>
      <c r="E3631" s="1226"/>
      <c r="F3631" s="1226"/>
      <c r="G3631" s="1226"/>
      <c r="H3631" s="1226"/>
      <c r="I3631" s="1226"/>
      <c r="J3631" s="1226"/>
      <c r="K3631" s="1226"/>
      <c r="L3631" s="1226"/>
      <c r="M3631" s="1147"/>
    </row>
    <row r="3632" spans="2:13" ht="12.75" customHeight="1" x14ac:dyDescent="0.2">
      <c r="B3632" s="1145"/>
      <c r="C3632" s="1226"/>
      <c r="D3632" s="1226"/>
      <c r="E3632" s="1226"/>
      <c r="F3632" s="1226"/>
      <c r="G3632" s="1226"/>
      <c r="H3632" s="1226"/>
      <c r="I3632" s="1226"/>
      <c r="J3632" s="1226"/>
      <c r="K3632" s="1226"/>
      <c r="L3632" s="1226"/>
      <c r="M3632" s="1147"/>
    </row>
    <row r="3633" spans="2:15" ht="12.75" customHeight="1" x14ac:dyDescent="0.2">
      <c r="B3633" s="1145"/>
      <c r="C3633" s="1226"/>
      <c r="D3633" s="1226"/>
      <c r="E3633" s="1226"/>
      <c r="F3633" s="1226"/>
      <c r="G3633" s="1226"/>
      <c r="H3633" s="1226"/>
      <c r="I3633" s="1226"/>
      <c r="J3633" s="1226"/>
      <c r="K3633" s="1226"/>
      <c r="L3633" s="1226"/>
      <c r="M3633" s="1147"/>
    </row>
    <row r="3634" spans="2:15" ht="12.75" customHeight="1" x14ac:dyDescent="0.2">
      <c r="B3634" s="1148"/>
      <c r="C3634" s="1149"/>
      <c r="D3634" s="1149"/>
      <c r="E3634" s="1149"/>
      <c r="F3634" s="1149"/>
      <c r="G3634" s="1149"/>
      <c r="H3634" s="1149"/>
      <c r="I3634" s="1149"/>
      <c r="J3634" s="1149"/>
      <c r="K3634" s="1149"/>
      <c r="L3634" s="1149"/>
      <c r="M3634" s="1150"/>
    </row>
    <row r="3636" spans="2:15" s="3" customFormat="1" ht="12.75" customHeight="1" x14ac:dyDescent="0.25">
      <c r="B3636" s="313" t="str">
        <f>'3. PARTNER'!C$4</f>
        <v xml:space="preserve">Project: </v>
      </c>
      <c r="C3636" s="1062" t="str">
        <f>'3. PARTNER'!D$4</f>
        <v/>
      </c>
      <c r="D3636" s="1001"/>
      <c r="E3636" s="1001"/>
      <c r="F3636" s="1001"/>
      <c r="G3636" s="1001"/>
      <c r="H3636" s="1001"/>
      <c r="I3636" s="1001"/>
      <c r="J3636" s="1001"/>
      <c r="K3636" s="1001"/>
      <c r="L3636" s="1001"/>
      <c r="M3636" s="1001"/>
    </row>
    <row r="3637" spans="2:15" s="3" customFormat="1" ht="13.2" x14ac:dyDescent="0.25">
      <c r="B3637" s="313" t="str">
        <f>'3. PARTNER'!C$5</f>
        <v xml:space="preserve">Calculation for: </v>
      </c>
      <c r="C3637" s="1062" t="str">
        <f>'3. PARTNER'!D$5</f>
        <v>APPLICATION</v>
      </c>
      <c r="D3637" s="1001"/>
      <c r="E3637" s="268"/>
      <c r="F3637" s="268"/>
      <c r="G3637" s="268"/>
      <c r="H3637" s="268"/>
      <c r="I3637" s="268"/>
      <c r="J3637" s="268"/>
      <c r="K3637" s="268"/>
      <c r="L3637" s="268"/>
      <c r="M3637" s="268"/>
    </row>
    <row r="3638" spans="2:15" s="3" customFormat="1" ht="13.2" x14ac:dyDescent="0.25">
      <c r="B3638" s="35" t="str">
        <f>'3. PARTNER'!C$6</f>
        <v xml:space="preserve">Project leader: </v>
      </c>
      <c r="C3638" s="1062" t="str">
        <f>'3. PARTNER'!D$6</f>
        <v/>
      </c>
      <c r="D3638" s="1001"/>
      <c r="E3638" s="1001"/>
      <c r="F3638" s="1001"/>
      <c r="G3638" s="1001"/>
      <c r="H3638" s="1001"/>
      <c r="I3638" s="1001"/>
      <c r="J3638" s="1001"/>
      <c r="K3638" s="1001"/>
      <c r="L3638" s="1001"/>
      <c r="M3638" s="1001"/>
    </row>
    <row r="3639" spans="2:15" s="3" customFormat="1" ht="13.2" x14ac:dyDescent="0.25">
      <c r="B3639" s="313" t="str">
        <f>'5. PERSON'!B$7</f>
        <v xml:space="preserve">Amounts in: </v>
      </c>
      <c r="C3639" s="655" t="str">
        <f>'5. PERSON'!C$7</f>
        <v>SEK</v>
      </c>
      <c r="D3639" s="268"/>
      <c r="E3639" s="268"/>
      <c r="F3639" s="268"/>
      <c r="G3639" s="234"/>
      <c r="H3639" s="234"/>
      <c r="I3639" s="270"/>
      <c r="J3639" s="270"/>
      <c r="K3639" s="270"/>
      <c r="L3639" s="270"/>
      <c r="M3639" s="270"/>
    </row>
    <row r="3640" spans="2:15" s="3" customFormat="1" ht="13.2" x14ac:dyDescent="0.25">
      <c r="B3640" s="313"/>
      <c r="C3640" s="1053" t="str">
        <f>'3. PARTNER'!D$7</f>
        <v>Other basic data about the project is in sheet 2.</v>
      </c>
      <c r="D3640" s="1001"/>
      <c r="E3640" s="1001"/>
      <c r="F3640" s="1001"/>
      <c r="G3640" s="234"/>
      <c r="H3640" s="234"/>
      <c r="I3640" s="270"/>
      <c r="J3640" s="270"/>
      <c r="K3640" s="270"/>
      <c r="L3640" s="251" t="s">
        <v>4</v>
      </c>
      <c r="M3640" s="270"/>
    </row>
    <row r="3641" spans="2:15" ht="12.75" customHeight="1" x14ac:dyDescent="0.2">
      <c r="L3641" s="252" t="str">
        <f>IF('1. INTRO'!I$2="English","months","månader")</f>
        <v>months</v>
      </c>
    </row>
    <row r="3642" spans="2:15" s="3" customFormat="1" ht="13.8" x14ac:dyDescent="0.25">
      <c r="B3642" s="157" t="str">
        <f>IF('1. INTRO'!I$2="English","Project costs","Projektkostnader")</f>
        <v>Project costs</v>
      </c>
      <c r="C3642" s="668" t="str">
        <f>A85</f>
        <v>EXT127</v>
      </c>
      <c r="D3642" s="1227" t="str">
        <f>B85</f>
        <v/>
      </c>
      <c r="E3642" s="1001"/>
      <c r="F3642" s="1001"/>
      <c r="G3642" s="1001"/>
      <c r="H3642" s="1001"/>
      <c r="I3642" s="37"/>
      <c r="J3642" s="37"/>
      <c r="K3642" s="37"/>
      <c r="L3642" s="642">
        <f>SUMIF('5. PERSON'!$B$17:$B$192,$C3642,'5. PERSON'!AE$17:AE$192)</f>
        <v>0</v>
      </c>
      <c r="M3642" s="680" t="s">
        <v>330</v>
      </c>
    </row>
    <row r="3643" spans="2:15" s="3" customFormat="1" ht="6" customHeight="1" x14ac:dyDescent="0.25">
      <c r="B3643" s="57"/>
      <c r="C3643" s="37"/>
      <c r="D3643" s="37"/>
      <c r="E3643" s="37"/>
      <c r="F3643" s="37"/>
      <c r="G3643" s="37"/>
      <c r="H3643" s="37"/>
      <c r="I3643" s="37"/>
      <c r="J3643" s="37"/>
      <c r="K3643" s="37"/>
      <c r="L3643" s="37"/>
      <c r="M3643" s="37"/>
    </row>
    <row r="3644" spans="2:15" s="3" customFormat="1" ht="13.2" x14ac:dyDescent="0.25">
      <c r="B3644" s="110" t="str">
        <f>IF('1. INTRO'!I$2="English","Costs to be covered by funding body","Kostnader att täckas av finansiär")</f>
        <v>Costs to be covered by funding body</v>
      </c>
      <c r="C3644" s="111">
        <f>'5. PERSON'!G$15</f>
        <v>1900</v>
      </c>
      <c r="D3644" s="111" t="str">
        <f>'5. PERSON'!H$15</f>
        <v/>
      </c>
      <c r="E3644" s="111" t="str">
        <f>'5. PERSON'!I$15</f>
        <v/>
      </c>
      <c r="F3644" s="111" t="str">
        <f>'5. PERSON'!J$15</f>
        <v/>
      </c>
      <c r="G3644" s="111" t="str">
        <f>'5. PERSON'!K$15</f>
        <v/>
      </c>
      <c r="H3644" s="111" t="str">
        <f>'5. PERSON'!L$15</f>
        <v/>
      </c>
      <c r="I3644" s="111" t="str">
        <f>'5. PERSON'!M$15</f>
        <v/>
      </c>
      <c r="J3644" s="111" t="str">
        <f>'5. PERSON'!N$15</f>
        <v/>
      </c>
      <c r="K3644" s="111" t="str">
        <f>'5. PERSON'!O$15</f>
        <v/>
      </c>
      <c r="L3644" s="111" t="str">
        <f>'5. PERSON'!P$15</f>
        <v/>
      </c>
      <c r="M3644" s="112" t="s">
        <v>2</v>
      </c>
    </row>
    <row r="3645" spans="2:15" s="3" customFormat="1" ht="12.75" customHeight="1" x14ac:dyDescent="0.25">
      <c r="B3645" s="113" t="str">
        <f>IF('1. INTRO'!I$2="English","Salary including social costs (LKP)","Lön inklusive LKP")</f>
        <v>Salary including social costs (LKP)</v>
      </c>
      <c r="C3645" s="114">
        <f>IF('2. START'!$C$14&gt;0,SUMIF('5. PERSON'!$B$17:$B$192,$C3642,'5. PERSON'!DN$17:DN$192),SUMIF('5. PERSON'!$B$17:$B$192,$C3642,'5. PERSON'!AT$17:AT$192))</f>
        <v>0</v>
      </c>
      <c r="D3645" s="114">
        <f>IF('2. START'!$C$14&gt;0,SUMIF('5. PERSON'!$B$17:$B$192,$C3642,'5. PERSON'!DO$17:DO$192),SUMIF('5. PERSON'!$B$17:$B$192,$C3642,'5. PERSON'!AU$17:AU$192))</f>
        <v>0</v>
      </c>
      <c r="E3645" s="114">
        <f>IF('2. START'!$C$14&gt;0,SUMIF('5. PERSON'!$B$17:$B$192,$C3642,'5. PERSON'!DP$17:DP$192),SUMIF('5. PERSON'!$B$17:$B$192,$C3642,'5. PERSON'!AV$17:AV$192))</f>
        <v>0</v>
      </c>
      <c r="F3645" s="114">
        <f>IF('2. START'!$C$14&gt;0,SUMIF('5. PERSON'!$B$17:$B$192,$C3642,'5. PERSON'!DQ$17:DQ$192),SUMIF('5. PERSON'!$B$17:$B$192,$C3642,'5. PERSON'!AW$17:AW$192))</f>
        <v>0</v>
      </c>
      <c r="G3645" s="114">
        <f>IF('2. START'!$C$14&gt;0,SUMIF('5. PERSON'!$B$17:$B$192,$C3642,'5. PERSON'!DR$17:DR$192),SUMIF('5. PERSON'!$B$17:$B$192,$C3642,'5. PERSON'!AX$17:AX$192))</f>
        <v>0</v>
      </c>
      <c r="H3645" s="114">
        <f>IF('2. START'!$C$14&gt;0,SUMIF('5. PERSON'!$B$17:$B$192,$C3642,'5. PERSON'!DS$17:DS$192),SUMIF('5. PERSON'!$B$17:$B$192,$C3642,'5. PERSON'!AY$17:AY$192))</f>
        <v>0</v>
      </c>
      <c r="I3645" s="114">
        <f>IF('2. START'!$C$14&gt;0,SUMIF('5. PERSON'!$B$17:$B$192,$C3642,'5. PERSON'!DT$17:DT$192),SUMIF('5. PERSON'!$B$17:$B$192,$C3642,'5. PERSON'!AZ$17:AZ$192))</f>
        <v>0</v>
      </c>
      <c r="J3645" s="114">
        <f>IF('2. START'!$C$14&gt;0,SUMIF('5. PERSON'!$B$17:$B$192,$C3642,'5. PERSON'!DU$17:DU$192),SUMIF('5. PERSON'!$B$17:$B$192,$C3642,'5. PERSON'!BA$17:BA$192))</f>
        <v>0</v>
      </c>
      <c r="K3645" s="114">
        <f>IF('2. START'!$C$14&gt;0,SUMIF('5. PERSON'!$B$17:$B$192,$C3642,'5. PERSON'!DV$17:DV$192),SUMIF('5. PERSON'!$B$17:$B$192,$C3642,'5. PERSON'!BB$17:BB$192))</f>
        <v>0</v>
      </c>
      <c r="L3645" s="114">
        <f>IF('2. START'!$C$14&gt;0,SUMIF('5. PERSON'!$B$17:$B$192,$C3642,'5. PERSON'!DW$17:DW$192),SUMIF('5. PERSON'!$B$17:$B$192,$C3642,'5. PERSON'!BC$17:BC$192))</f>
        <v>0</v>
      </c>
      <c r="M3645" s="115">
        <f t="shared" ref="M3645:M3650" si="865">SUM(C3645:L3645)</f>
        <v>0</v>
      </c>
      <c r="O3645" s="4"/>
    </row>
    <row r="3646" spans="2:15" s="3" customFormat="1" ht="12.75" customHeight="1" x14ac:dyDescent="0.25">
      <c r="B3646" s="80" t="str">
        <f>IF('1. INTRO'!I$2="English","Operating","Drift")</f>
        <v>Operating</v>
      </c>
      <c r="C3646" s="116">
        <f>SUMIF('6. OPERATION'!$B$17:$B$149,$C3642,'6. OPERATION'!W$17:W$149)</f>
        <v>0</v>
      </c>
      <c r="D3646" s="116">
        <f>SUMIF('6. OPERATION'!$B$17:$B$149,$C3642,'6. OPERATION'!X$17:X$149)</f>
        <v>0</v>
      </c>
      <c r="E3646" s="116">
        <f>SUMIF('6. OPERATION'!$B$17:$B$149,$C3642,'6. OPERATION'!Y$17:Y$149)</f>
        <v>0</v>
      </c>
      <c r="F3646" s="116">
        <f>SUMIF('6. OPERATION'!$B$17:$B$149,$C3642,'6. OPERATION'!Z$17:Z$149)</f>
        <v>0</v>
      </c>
      <c r="G3646" s="116">
        <f>SUMIF('6. OPERATION'!$B$17:$B$149,$C3642,'6. OPERATION'!AA$17:AA$149)</f>
        <v>0</v>
      </c>
      <c r="H3646" s="116">
        <f>SUMIF('6. OPERATION'!$B$17:$B$149,$C3642,'6. OPERATION'!AB$17:AB$149)</f>
        <v>0</v>
      </c>
      <c r="I3646" s="116">
        <f>SUMIF('6. OPERATION'!$B$17:$B$149,$C3642,'6. OPERATION'!AC$17:AC$149)</f>
        <v>0</v>
      </c>
      <c r="J3646" s="116">
        <f>SUMIF('6. OPERATION'!$B$17:$B$149,$C3642,'6. OPERATION'!AD$17:AD$149)</f>
        <v>0</v>
      </c>
      <c r="K3646" s="116">
        <f>SUMIF('6. OPERATION'!$B$17:$B$149,$C3642,'6. OPERATION'!AE$17:AE$149)</f>
        <v>0</v>
      </c>
      <c r="L3646" s="116">
        <f>SUMIF('6. OPERATION'!$B$17:$B$149,$C3642,'6. OPERATION'!AF$17:AF$149)</f>
        <v>0</v>
      </c>
      <c r="M3646" s="117">
        <f t="shared" si="865"/>
        <v>0</v>
      </c>
    </row>
    <row r="3647" spans="2:15" s="3" customFormat="1" ht="13.2" x14ac:dyDescent="0.25">
      <c r="B3647" s="118" t="str">
        <f>IF('1. INTRO'!I$2="English","Equipment","Utrustning")</f>
        <v>Equipment</v>
      </c>
      <c r="C3647" s="119">
        <f>SUMIF('7. INVEST'!$B$17:$B$49,$C3642,'7. INVEST'!W$17:W$49)</f>
        <v>0</v>
      </c>
      <c r="D3647" s="119">
        <f>SUMIF('7. INVEST'!$B$17:$B$49,$C3642,'7. INVEST'!X$17:X$49)</f>
        <v>0</v>
      </c>
      <c r="E3647" s="119">
        <f>SUMIF('7. INVEST'!$B$17:$B$49,$C3642,'7. INVEST'!Y$17:Y$49)</f>
        <v>0</v>
      </c>
      <c r="F3647" s="119">
        <f>SUMIF('7. INVEST'!$B$17:$B$49,$C3642,'7. INVEST'!Z$17:Z$49)</f>
        <v>0</v>
      </c>
      <c r="G3647" s="119">
        <f>SUMIF('7. INVEST'!$B$17:$B$49,$C3642,'7. INVEST'!AA$17:AA$49)</f>
        <v>0</v>
      </c>
      <c r="H3647" s="119">
        <f>SUMIF('7. INVEST'!$B$17:$B$49,$C3642,'7. INVEST'!AB$17:AB$49)</f>
        <v>0</v>
      </c>
      <c r="I3647" s="119">
        <f>SUMIF('7. INVEST'!$B$17:$B$49,$C3642,'7. INVEST'!AC$17:AC$49)</f>
        <v>0</v>
      </c>
      <c r="J3647" s="119">
        <f>SUMIF('7. INVEST'!$B$17:$B$49,$C3642,'7. INVEST'!AD$17:AD$49)</f>
        <v>0</v>
      </c>
      <c r="K3647" s="119">
        <f>SUMIF('7. INVEST'!$B$17:$B$49,$C3642,'7. INVEST'!AE$17:AE$49)</f>
        <v>0</v>
      </c>
      <c r="L3647" s="119">
        <f>SUMIF('7. INVEST'!$B$17:$B$49,$C3642,'7. INVEST'!AF$17:AF$49)</f>
        <v>0</v>
      </c>
      <c r="M3647" s="120">
        <f t="shared" si="865"/>
        <v>0</v>
      </c>
    </row>
    <row r="3648" spans="2:15" s="3" customFormat="1" ht="13.2" x14ac:dyDescent="0.25">
      <c r="B3648" s="121" t="str">
        <f>IF('1. INTRO'!I$2="English",(IF('2. START'!C$11="NO","Facility accepted as direct cost by funding body","Facility")),IF('2. START'!C$11="NO","Lokal accepterad som direkt kostnad av finansiär","Lokal"))</f>
        <v>Facility</v>
      </c>
      <c r="C3648" s="116">
        <f>IF('2. START'!$C$11="NO",SUMIF('8. FACILIT'!$B$18:$B$50,$C3642,'8. FACILIT'!T$18:T$50),SUMIF('5. PERSON'!$B$17:$B$192,$C3642,'5. PERSON'!CP$17:CP$192)+SUMIF('6. OPERATION'!$B$17:$B$149,$C3642,'6. OPERATION'!BS$17:BS$149)+SUMIF('8. FACILIT'!$B$18:$B$50,$C3642,'8. FACILIT'!T$18:T$50))</f>
        <v>0</v>
      </c>
      <c r="D3648" s="116">
        <f>IF('2. START'!$C$11="NO",SUMIF('8. FACILIT'!$B$18:$B$50,$C3642,'8. FACILIT'!U$18:U$50),SUMIF('5. PERSON'!$B$17:$B$192,$C3642,'5. PERSON'!CQ$17:CQ$192)+SUMIF('6. OPERATION'!$B$17:$B$149,$C3642,'6. OPERATION'!BT$17:BT$149)+SUMIF('8. FACILIT'!$B$18:$B$50,$C3642,'8. FACILIT'!U$18:U$50))</f>
        <v>0</v>
      </c>
      <c r="E3648" s="116">
        <f>IF('2. START'!$C$11="NO",SUMIF('8. FACILIT'!$B$18:$B$50,$C3642,'8. FACILIT'!V$18:V$50),SUMIF('5. PERSON'!$B$17:$B$192,$C3642,'5. PERSON'!CR$17:CR$192)+SUMIF('6. OPERATION'!$B$17:$B$149,$C3642,'6. OPERATION'!BU$17:BU$149)+SUMIF('8. FACILIT'!$B$18:$B$50,$C3642,'8. FACILIT'!V$18:V$50))</f>
        <v>0</v>
      </c>
      <c r="F3648" s="116">
        <f>IF('2. START'!$C$11="NO",SUMIF('8. FACILIT'!$B$18:$B$50,$C3642,'8. FACILIT'!W$18:W$50),SUMIF('5. PERSON'!$B$17:$B$192,$C3642,'5. PERSON'!CS$17:CS$192)+SUMIF('6. OPERATION'!$B$17:$B$149,$C3642,'6. OPERATION'!BV$17:BV$149)+SUMIF('8. FACILIT'!$B$18:$B$50,$C3642,'8. FACILIT'!W$18:W$50))</f>
        <v>0</v>
      </c>
      <c r="G3648" s="116">
        <f>IF('2. START'!$C$11="NO",SUMIF('8. FACILIT'!$B$18:$B$50,$C3642,'8. FACILIT'!X$18:X$50),SUMIF('5. PERSON'!$B$17:$B$192,$C3642,'5. PERSON'!CT$17:CT$192)+SUMIF('6. OPERATION'!$B$17:$B$149,$C3642,'6. OPERATION'!BW$17:BW$149)+SUMIF('8. FACILIT'!$B$18:$B$50,$C3642,'8. FACILIT'!X$18:X$50))</f>
        <v>0</v>
      </c>
      <c r="H3648" s="116">
        <f>IF('2. START'!$C$11="NO",SUMIF('8. FACILIT'!$B$18:$B$50,$C3642,'8. FACILIT'!Y$18:Y$50),SUMIF('5. PERSON'!$B$17:$B$192,$C3642,'5. PERSON'!CU$17:CU$192)+SUMIF('6. OPERATION'!$B$17:$B$149,$C3642,'6. OPERATION'!BX$17:BX$149)+SUMIF('8. FACILIT'!$B$18:$B$50,$C3642,'8. FACILIT'!Y$18:Y$50))</f>
        <v>0</v>
      </c>
      <c r="I3648" s="116">
        <f>IF('2. START'!$C$11="NO",SUMIF('8. FACILIT'!$B$18:$B$50,$C3642,'8. FACILIT'!Z$18:Z$50),SUMIF('5. PERSON'!$B$17:$B$192,$C3642,'5. PERSON'!CV$17:CV$192)+SUMIF('6. OPERATION'!$B$17:$B$149,$C3642,'6. OPERATION'!BY$17:BY$149)+SUMIF('8. FACILIT'!$B$18:$B$50,$C3642,'8. FACILIT'!Z$18:Z$50))</f>
        <v>0</v>
      </c>
      <c r="J3648" s="116">
        <f>IF('2. START'!$C$11="NO",SUMIF('8. FACILIT'!$B$18:$B$50,$C3642,'8. FACILIT'!AA$18:AA$50),SUMIF('5. PERSON'!$B$17:$B$192,$C3642,'5. PERSON'!CW$17:CW$192)+SUMIF('6. OPERATION'!$B$17:$B$149,$C3642,'6. OPERATION'!BZ$17:BZ$149)+SUMIF('8. FACILIT'!$B$18:$B$50,$C3642,'8. FACILIT'!AA$18:AA$50))</f>
        <v>0</v>
      </c>
      <c r="K3648" s="116">
        <f>IF('2. START'!$C$11="NO",SUMIF('8. FACILIT'!$B$18:$B$50,$C3642,'8. FACILIT'!AB$18:AB$50),SUMIF('5. PERSON'!$B$17:$B$192,$C3642,'5. PERSON'!CX$17:CX$192)+SUMIF('6. OPERATION'!$B$17:$B$149,$C3642,'6. OPERATION'!CA$17:CA$149)+SUMIF('8. FACILIT'!$B$18:$B$50,$C3642,'8. FACILIT'!AB$18:AB$50))</f>
        <v>0</v>
      </c>
      <c r="L3648" s="116">
        <f>IF('2. START'!$C$11="NO",SUMIF('8. FACILIT'!$B$18:$B$50,$C3642,'8. FACILIT'!AC$18:AC$50),SUMIF('5. PERSON'!$B$17:$B$192,$C3642,'5. PERSON'!CY$17:CY$192)+SUMIF('6. OPERATION'!$B$17:$B$149,$C3642,'6. OPERATION'!CB$17:CB$149)+SUMIF('8. FACILIT'!$B$18:$B$50,$C3642,'8. FACILIT'!AC$18:AC$50))</f>
        <v>0</v>
      </c>
      <c r="M3648" s="117">
        <f t="shared" si="865"/>
        <v>0</v>
      </c>
    </row>
    <row r="3649" spans="2:15" s="3" customFormat="1" ht="13.2" x14ac:dyDescent="0.25">
      <c r="B3649" s="122" t="str">
        <f>IF('1. INTRO'!I$2="English",(IF('2. START'!C$11="NO","Indirect and facility charge accepted as OH by funding body","Indirect")),IF('2. START'!C$11="NO","Indirekt och lokalpåslag accepterade som OH av finansiär","Indirekt"))</f>
        <v>Indirect</v>
      </c>
      <c r="C3649" s="107">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107">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107">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107">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107">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107">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107">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107">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107">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107">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120">
        <f t="shared" si="865"/>
        <v>0</v>
      </c>
    </row>
    <row r="3650" spans="2:15" s="3" customFormat="1" ht="13.2" x14ac:dyDescent="0.25">
      <c r="B3650" s="124" t="s">
        <v>113</v>
      </c>
      <c r="C3650" s="102">
        <f>SUM(C3645:C3649)</f>
        <v>0</v>
      </c>
      <c r="D3650" s="102">
        <f t="shared" ref="D3650:L3650" si="866">SUM(D3645:D3649)</f>
        <v>0</v>
      </c>
      <c r="E3650" s="102">
        <f t="shared" si="866"/>
        <v>0</v>
      </c>
      <c r="F3650" s="102">
        <f t="shared" si="866"/>
        <v>0</v>
      </c>
      <c r="G3650" s="102">
        <f t="shared" si="866"/>
        <v>0</v>
      </c>
      <c r="H3650" s="102">
        <f t="shared" si="866"/>
        <v>0</v>
      </c>
      <c r="I3650" s="102">
        <f t="shared" si="866"/>
        <v>0</v>
      </c>
      <c r="J3650" s="102">
        <f t="shared" si="866"/>
        <v>0</v>
      </c>
      <c r="K3650" s="102">
        <f t="shared" si="866"/>
        <v>0</v>
      </c>
      <c r="L3650" s="102">
        <f t="shared" si="866"/>
        <v>0</v>
      </c>
      <c r="M3650" s="125">
        <f t="shared" si="865"/>
        <v>0</v>
      </c>
    </row>
    <row r="3651" spans="2:15" s="3" customFormat="1" ht="6" customHeight="1" x14ac:dyDescent="0.25">
      <c r="B3651" s="126"/>
      <c r="C3651" s="127"/>
      <c r="D3651" s="127"/>
      <c r="E3651" s="127"/>
      <c r="F3651" s="127"/>
      <c r="G3651" s="127"/>
      <c r="H3651" s="127"/>
      <c r="I3651" s="127"/>
      <c r="J3651" s="127"/>
      <c r="K3651" s="127"/>
      <c r="L3651" s="127"/>
      <c r="M3651" s="128"/>
    </row>
    <row r="3652" spans="2:15" s="3" customFormat="1" ht="13.2" x14ac:dyDescent="0.25">
      <c r="B3652" s="129" t="str">
        <f>IF('1. INTRO'!I$2="English","Costs to be co-funded","Kostnader att medfinansiera")</f>
        <v>Costs to be co-funded</v>
      </c>
      <c r="C3652" s="86"/>
      <c r="D3652" s="86"/>
      <c r="E3652" s="86"/>
      <c r="F3652" s="86"/>
      <c r="G3652" s="86"/>
      <c r="H3652" s="86"/>
      <c r="I3652" s="86"/>
      <c r="J3652" s="86"/>
      <c r="K3652" s="86"/>
      <c r="L3652" s="86"/>
      <c r="M3652" s="130"/>
    </row>
    <row r="3653" spans="2:15" s="3" customFormat="1" ht="13.2" x14ac:dyDescent="0.25">
      <c r="B3653" s="159" t="str">
        <f>IF('1. INTRO'!I$2="English",(IF('2. START'!C$11="NO","Indirect and facility charge not accepted as OH by funding body","")),IF('2. START'!C$11="NO","Indirekt och lokalpåslag inte accepterade som OH av finansiär",""))</f>
        <v/>
      </c>
      <c r="C3653" s="131">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31">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31">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31">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31">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31">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31">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31">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31">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31">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115">
        <f t="shared" ref="M3653:M3659" si="867">SUM(C3653:L3653)</f>
        <v>0</v>
      </c>
    </row>
    <row r="3654" spans="2:15" s="3" customFormat="1" ht="12.75" customHeight="1" x14ac:dyDescent="0.25">
      <c r="B3654" s="132" t="str">
        <f>IF('1. INTRO'!I$2="English",(IF('2. START'!C$14&gt;0,"Social costs (LKP) not accepted by funding body","")),IF('2. START'!C$14&gt;0,"LKP som inte accepteras av finansiär",""))</f>
        <v/>
      </c>
      <c r="C3654" s="133">
        <f>IF('2. START'!$C$14&gt;0,SUMIF('5. PERSON'!$B$17:$B$192,$C3642,'5. PERSON'!AT$17:AT$192)-SUMIF('5. PERSON'!$B$17:$B$192,$C3642,'5. PERSON'!DN$17:DN$192),0)</f>
        <v>0</v>
      </c>
      <c r="D3654" s="133">
        <f>IF('2. START'!$C$14&gt;0,SUMIF('5. PERSON'!$B$17:$B$192,$C3642,'5. PERSON'!AU$17:AU$192)-SUMIF('5. PERSON'!$B$17:$B$192,$C3642,'5. PERSON'!DO$17:DO$192),0)</f>
        <v>0</v>
      </c>
      <c r="E3654" s="133">
        <f>IF('2. START'!$C$14&gt;0,SUMIF('5. PERSON'!$B$17:$B$192,$C3642,'5. PERSON'!AV$17:AV$192)-SUMIF('5. PERSON'!$B$17:$B$192,$C3642,'5. PERSON'!DP$17:DP$192),0)</f>
        <v>0</v>
      </c>
      <c r="F3654" s="133">
        <f>IF('2. START'!$C$14&gt;0,SUMIF('5. PERSON'!$B$17:$B$192,$C3642,'5. PERSON'!AW$17:AW$192)-SUMIF('5. PERSON'!$B$17:$B$192,$C3642,'5. PERSON'!DQ$17:DQ$192),0)</f>
        <v>0</v>
      </c>
      <c r="G3654" s="133">
        <f>IF('2. START'!$C$14&gt;0,SUMIF('5. PERSON'!$B$17:$B$192,$C3642,'5. PERSON'!AX$17:AX$192)-SUMIF('5. PERSON'!$B$17:$B$192,$C3642,'5. PERSON'!DR$17:DR$192),0)</f>
        <v>0</v>
      </c>
      <c r="H3654" s="133">
        <f>IF('2. START'!$C$14&gt;0,SUMIF('5. PERSON'!$B$17:$B$192,$C3642,'5. PERSON'!AY$17:AY$192)-SUMIF('5. PERSON'!$B$17:$B$192,$C3642,'5. PERSON'!DS$17:DS$192),0)</f>
        <v>0</v>
      </c>
      <c r="I3654" s="133">
        <f>IF('2. START'!$C$14&gt;0,SUMIF('5. PERSON'!$B$17:$B$192,$C3642,'5. PERSON'!AZ$17:AZ$192)-SUMIF('5. PERSON'!$B$17:$B$192,$C3642,'5. PERSON'!DT$17:DT$192),0)</f>
        <v>0</v>
      </c>
      <c r="J3654" s="133">
        <f>IF('2. START'!$C$14&gt;0,SUMIF('5. PERSON'!$B$17:$B$192,$C3642,'5. PERSON'!BA$17:BA$192)-SUMIF('5. PERSON'!$B$17:$B$192,$C3642,'5. PERSON'!DU$17:DU$192),0)</f>
        <v>0</v>
      </c>
      <c r="K3654" s="133">
        <f>IF('2. START'!$C$14&gt;0,SUMIF('5. PERSON'!$B$17:$B$192,$C3642,'5. PERSON'!BB$17:BB$192)-SUMIF('5. PERSON'!$B$17:$B$192,$C3642,'5. PERSON'!DV$17:DV$192),0)</f>
        <v>0</v>
      </c>
      <c r="L3654" s="133">
        <f>IF('2. START'!$C$14&gt;0,SUMIF('5. PERSON'!$B$17:$B$192,$C3642,'5. PERSON'!BC$17:BC$192)-SUMIF('5. PERSON'!$B$17:$B$192,$C3642,'5. PERSON'!DW$17:DW$192),0)</f>
        <v>0</v>
      </c>
      <c r="M3654" s="117">
        <f t="shared" si="867"/>
        <v>0</v>
      </c>
    </row>
    <row r="3655" spans="2:15" s="3" customFormat="1" ht="12.75" customHeight="1" x14ac:dyDescent="0.25">
      <c r="B3655" s="118" t="str">
        <f>IF('1. INTRO'!I$2="English",(IF('5. PERSON'!BP$193&gt;0,"Salary including social costs (LKP)","")),IF('5. PERSON'!BP$193&gt;0,"Lön inklusive LKP",""))</f>
        <v/>
      </c>
      <c r="C3655" s="134">
        <f>SUMIF('5. PERSON'!$B$17:$B$192,$C3642,'5. PERSON'!BF$17:BF$192)</f>
        <v>0</v>
      </c>
      <c r="D3655" s="134">
        <f>SUMIF('5. PERSON'!$B$17:$B$192,$C3642,'5. PERSON'!BG$17:BG$192)</f>
        <v>0</v>
      </c>
      <c r="E3655" s="134">
        <f>SUMIF('5. PERSON'!$B$17:$B$192,$C3642,'5. PERSON'!BH$17:BH$192)</f>
        <v>0</v>
      </c>
      <c r="F3655" s="134">
        <f>SUMIF('5. PERSON'!$B$17:$B$192,$C3642,'5. PERSON'!BI$17:BI$192)</f>
        <v>0</v>
      </c>
      <c r="G3655" s="134">
        <f>SUMIF('5. PERSON'!$B$17:$B$192,$C3642,'5. PERSON'!BJ$17:BJ$192)</f>
        <v>0</v>
      </c>
      <c r="H3655" s="134">
        <f>SUMIF('5. PERSON'!$B$17:$B$192,$C3642,'5. PERSON'!BK$17:BK$192)</f>
        <v>0</v>
      </c>
      <c r="I3655" s="134">
        <f>SUMIF('5. PERSON'!$B$17:$B$192,$C3642,'5. PERSON'!BL$17:BL$192)</f>
        <v>0</v>
      </c>
      <c r="J3655" s="134">
        <f>SUMIF('5. PERSON'!$B$17:$B$192,$C3642,'5. PERSON'!BM$17:BM$192)</f>
        <v>0</v>
      </c>
      <c r="K3655" s="134">
        <f>SUMIF('5. PERSON'!$B$17:$B$192,$C3642,'5. PERSON'!BN$17:BN$192)</f>
        <v>0</v>
      </c>
      <c r="L3655" s="134">
        <f>SUMIF('5. PERSON'!$B$17:$B$192,$C3642,'5. PERSON'!BO$17:BO$192)</f>
        <v>0</v>
      </c>
      <c r="M3655" s="120">
        <f t="shared" si="867"/>
        <v>0</v>
      </c>
    </row>
    <row r="3656" spans="2:15" s="3" customFormat="1" ht="13.2" x14ac:dyDescent="0.25">
      <c r="B3656" s="80" t="str">
        <f>IF('1. INTRO'!I$2="English",(IF('6. OPERATION'!AS$150&gt;0,"Operating","")),IF('6. OPERATION'!AS$150&gt;0,"Drift",""))</f>
        <v/>
      </c>
      <c r="C3656" s="135">
        <f>SUMIF('6. OPERATION'!$B$17:$B$149,$C3642,'6. OPERATION'!AI$17:AI$149)</f>
        <v>0</v>
      </c>
      <c r="D3656" s="135">
        <f>SUMIF('6. OPERATION'!$B$17:$B$149,$C3642,'6. OPERATION'!AJ$17:AJ$149)</f>
        <v>0</v>
      </c>
      <c r="E3656" s="135">
        <f>SUMIF('6. OPERATION'!$B$17:$B$149,$C3642,'6. OPERATION'!AK$17:AK$149)</f>
        <v>0</v>
      </c>
      <c r="F3656" s="135">
        <f>SUMIF('6. OPERATION'!$B$17:$B$149,$C3642,'6. OPERATION'!AL$17:AL$149)</f>
        <v>0</v>
      </c>
      <c r="G3656" s="135">
        <f>SUMIF('6. OPERATION'!$B$17:$B$149,$C3642,'6. OPERATION'!AM$17:AM$149)</f>
        <v>0</v>
      </c>
      <c r="H3656" s="135">
        <f>SUMIF('6. OPERATION'!$B$17:$B$149,$C3642,'6. OPERATION'!AN$17:AN$149)</f>
        <v>0</v>
      </c>
      <c r="I3656" s="135">
        <f>SUMIF('6. OPERATION'!$B$17:$B$149,$C3642,'6. OPERATION'!AO$17:AO$149)</f>
        <v>0</v>
      </c>
      <c r="J3656" s="135">
        <f>SUMIF('6. OPERATION'!$B$17:$B$149,$C3642,'6. OPERATION'!AP$17:AP$149)</f>
        <v>0</v>
      </c>
      <c r="K3656" s="135">
        <f>SUMIF('6. OPERATION'!$B$17:$B$149,$C3642,'6. OPERATION'!AQ$17:AQ$149)</f>
        <v>0</v>
      </c>
      <c r="L3656" s="135">
        <f>SUMIF('6. OPERATION'!$B$17:$B$149,$C3642,'6. OPERATION'!AR$17:AR$149)</f>
        <v>0</v>
      </c>
      <c r="M3656" s="117">
        <f t="shared" si="867"/>
        <v>0</v>
      </c>
    </row>
    <row r="3657" spans="2:15" s="3" customFormat="1" ht="13.2" x14ac:dyDescent="0.25">
      <c r="B3657" s="118" t="str">
        <f>IF('1. INTRO'!I$2="English",(IF('7. INVEST'!AS$50&gt;0,"Equipment","")),IF('7. INVEST'!AS$50&gt;0,"Utrustning",""))</f>
        <v/>
      </c>
      <c r="C3657" s="134">
        <f>SUMIF('7. INVEST'!$B$17:$B$49,$C3642,'7. INVEST'!AI$17:AI$49)</f>
        <v>0</v>
      </c>
      <c r="D3657" s="134">
        <f>SUMIF('7. INVEST'!$B$17:$B$49,$C3642,'7. INVEST'!AJ$17:AJ$49)</f>
        <v>0</v>
      </c>
      <c r="E3657" s="134">
        <f>SUMIF('7. INVEST'!$B$17:$B$49,$C3642,'7. INVEST'!AK$17:AK$49)</f>
        <v>0</v>
      </c>
      <c r="F3657" s="134">
        <f>SUMIF('7. INVEST'!$B$17:$B$49,$C3642,'7. INVEST'!AL$17:AL$49)</f>
        <v>0</v>
      </c>
      <c r="G3657" s="134">
        <f>SUMIF('7. INVEST'!$B$17:$B$49,$C3642,'7. INVEST'!AM$17:AM$49)</f>
        <v>0</v>
      </c>
      <c r="H3657" s="134">
        <f>SUMIF('7. INVEST'!$B$17:$B$49,$C3642,'7. INVEST'!AN$17:AN$49)</f>
        <v>0</v>
      </c>
      <c r="I3657" s="134">
        <f>SUMIF('7. INVEST'!$B$17:$B$49,$C3642,'7. INVEST'!AO$17:AO$49)</f>
        <v>0</v>
      </c>
      <c r="J3657" s="134">
        <f>SUMIF('7. INVEST'!$B$17:$B$49,$C3642,'7. INVEST'!AP$17:AP$49)</f>
        <v>0</v>
      </c>
      <c r="K3657" s="134">
        <f>SUMIF('7. INVEST'!$B$17:$B$49,$C3642,'7. INVEST'!AQ$17:AQ$49)</f>
        <v>0</v>
      </c>
      <c r="L3657" s="134">
        <f>SUMIF('7. INVEST'!$B$17:$B$49,$C3642,'7. INVEST'!AR$17:AR$49)</f>
        <v>0</v>
      </c>
      <c r="M3657" s="120">
        <f t="shared" si="867"/>
        <v>0</v>
      </c>
    </row>
    <row r="3658" spans="2:15" s="3" customFormat="1" ht="13.2" x14ac:dyDescent="0.25">
      <c r="B3658" s="121" t="str">
        <f>IF('1. INTRO'!I$2="English",(IF('8. FACILIT'!AP$51&gt;0,"Facility","")),IF('8. FACILIT'!AP$51&gt;0,"Lokal",""))</f>
        <v/>
      </c>
      <c r="C3658" s="135">
        <f>SUMIF('5. PERSON'!$B$17:$B$192,$C3642,'5. PERSON'!DB$17:DB$192)+SUMIF('6. OPERATION'!$B$17:$B$149,$C3642,'6. OPERATION'!CE$17:CE$149)+SUMIF('8. FACILIT'!$B$18:$B$50,$C3642,'8. FACILIT'!AF$18:AF$50)</f>
        <v>0</v>
      </c>
      <c r="D3658" s="135">
        <f>SUMIF('5. PERSON'!$B$17:$B$192,$C3642,'5. PERSON'!DC$17:DC$192)+SUMIF('6. OPERATION'!$B$17:$B$149,$C3642,'6. OPERATION'!CF$17:CF$149)+SUMIF('8. FACILIT'!$B$18:$B$50,$C3642,'8. FACILIT'!AG$18:AG$50)</f>
        <v>0</v>
      </c>
      <c r="E3658" s="135">
        <f>SUMIF('5. PERSON'!$B$17:$B$192,$C3642,'5. PERSON'!DD$17:DD$192)+SUMIF('6. OPERATION'!$B$17:$B$149,$C3642,'6. OPERATION'!CG$17:CG$149)+SUMIF('8. FACILIT'!$B$18:$B$50,$C3642,'8. FACILIT'!AH$18:AH$50)</f>
        <v>0</v>
      </c>
      <c r="F3658" s="135">
        <f>SUMIF('5. PERSON'!$B$17:$B$192,$C3642,'5. PERSON'!DE$17:DE$192)+SUMIF('6. OPERATION'!$B$17:$B$149,$C3642,'6. OPERATION'!CH$17:CH$149)+SUMIF('8. FACILIT'!$B$18:$B$50,$C3642,'8. FACILIT'!AI$18:AI$50)</f>
        <v>0</v>
      </c>
      <c r="G3658" s="135">
        <f>SUMIF('5. PERSON'!$B$17:$B$192,$C3642,'5. PERSON'!DF$17:DF$192)+SUMIF('6. OPERATION'!$B$17:$B$149,$C3642,'6. OPERATION'!CI$17:CI$149)+SUMIF('8. FACILIT'!$B$18:$B$50,$C3642,'8. FACILIT'!AJ$18:AJ$50)</f>
        <v>0</v>
      </c>
      <c r="H3658" s="135">
        <f>SUMIF('5. PERSON'!$B$17:$B$192,$C3642,'5. PERSON'!DG$17:DG$192)+SUMIF('6. OPERATION'!$B$17:$B$149,$C3642,'6. OPERATION'!CJ$17:CJ$149)+SUMIF('8. FACILIT'!$B$18:$B$50,$C3642,'8. FACILIT'!AK$18:AK$50)</f>
        <v>0</v>
      </c>
      <c r="I3658" s="135">
        <f>SUMIF('5. PERSON'!$B$17:$B$192,$C3642,'5. PERSON'!DH$17:DH$192)+SUMIF('6. OPERATION'!$B$17:$B$149,$C3642,'6. OPERATION'!CK$17:CK$149)+SUMIF('8. FACILIT'!$B$18:$B$50,$C3642,'8. FACILIT'!AL$18:AL$50)</f>
        <v>0</v>
      </c>
      <c r="J3658" s="135">
        <f>SUMIF('5. PERSON'!$B$17:$B$192,$C3642,'5. PERSON'!DI$17:DI$192)+SUMIF('6. OPERATION'!$B$17:$B$149,$C3642,'6. OPERATION'!CL$17:CL$149)+SUMIF('8. FACILIT'!$B$18:$B$50,$C3642,'8. FACILIT'!AM$18:AM$50)</f>
        <v>0</v>
      </c>
      <c r="K3658" s="135">
        <f>SUMIF('5. PERSON'!$B$17:$B$192,$C3642,'5. PERSON'!DJ$17:DJ$192)+SUMIF('6. OPERATION'!$B$17:$B$149,$C3642,'6. OPERATION'!CM$17:CM$149)+SUMIF('8. FACILIT'!$B$18:$B$50,$C3642,'8. FACILIT'!AN$18:AN$50)</f>
        <v>0</v>
      </c>
      <c r="L3658" s="135">
        <f>SUMIF('5. PERSON'!$B$17:$B$192,$C3642,'5. PERSON'!DK$17:DK$192)+SUMIF('6. OPERATION'!$B$17:$B$149,$C3642,'6. OPERATION'!CN$17:CN$149)+SUMIF('8. FACILIT'!$B$18:$B$50,$C3642,'8. FACILIT'!AO$18:AO$50)</f>
        <v>0</v>
      </c>
      <c r="M3658" s="117">
        <f t="shared" si="867"/>
        <v>0</v>
      </c>
    </row>
    <row r="3659" spans="2:15" s="1" customFormat="1" ht="13.2" x14ac:dyDescent="0.25">
      <c r="B3659" s="122" t="str">
        <f>IF('1. INTRO'!I$2="English",(IF(('5. PERSON'!CN$193+'6. OPERATION'!BQ$150)&gt;0,"Indirect","")),IF(('5. PERSON'!CN$193+'6. OPERATION'!BQ$150)&gt;0,"Indirekt",""))</f>
        <v/>
      </c>
      <c r="C3659" s="107">
        <f>SUMIF('5. PERSON'!$B$17:$B$192,$C3642,'5. PERSON'!CD$17:CD$192)+SUMIF('6. OPERATION'!$B$17:$B$149,$C3642,'6. OPERATION'!BG$17:BG$149)</f>
        <v>0</v>
      </c>
      <c r="D3659" s="107">
        <f>SUMIF('5. PERSON'!$B$17:$B$192,$C3642,'5. PERSON'!CE$17:CE$192)+SUMIF('6. OPERATION'!$B$17:$B$149,$C3642,'6. OPERATION'!BH$17:BH$149)</f>
        <v>0</v>
      </c>
      <c r="E3659" s="107">
        <f>SUMIF('5. PERSON'!$B$17:$B$192,$C3642,'5. PERSON'!CF$17:CF$192)+SUMIF('6. OPERATION'!$B$17:$B$149,$C3642,'6. OPERATION'!BI$17:BI$149)</f>
        <v>0</v>
      </c>
      <c r="F3659" s="107">
        <f>SUMIF('5. PERSON'!$B$17:$B$192,$C3642,'5. PERSON'!CG$17:CG$192)+SUMIF('6. OPERATION'!$B$17:$B$149,$C3642,'6. OPERATION'!BJ$17:BJ$149)</f>
        <v>0</v>
      </c>
      <c r="G3659" s="107">
        <f>SUMIF('5. PERSON'!$B$17:$B$192,$C3642,'5. PERSON'!CH$17:CH$192)+SUMIF('6. OPERATION'!$B$17:$B$149,$C3642,'6. OPERATION'!BK$17:BK$149)</f>
        <v>0</v>
      </c>
      <c r="H3659" s="107">
        <f>SUMIF('5. PERSON'!$B$17:$B$192,$C3642,'5. PERSON'!CI$17:CI$192)+SUMIF('6. OPERATION'!$B$17:$B$149,$C3642,'6. OPERATION'!BL$17:BL$149)</f>
        <v>0</v>
      </c>
      <c r="I3659" s="107">
        <f>SUMIF('5. PERSON'!$B$17:$B$192,$C3642,'5. PERSON'!CJ$17:CJ$192)+SUMIF('6. OPERATION'!$B$17:$B$149,$C3642,'6. OPERATION'!BM$17:BM$149)</f>
        <v>0</v>
      </c>
      <c r="J3659" s="107">
        <f>SUMIF('5. PERSON'!$B$17:$B$192,$C3642,'5. PERSON'!CK$17:CK$192)+SUMIF('6. OPERATION'!$B$17:$B$149,$C3642,'6. OPERATION'!BN$17:BN$149)</f>
        <v>0</v>
      </c>
      <c r="K3659" s="107">
        <f>SUMIF('5. PERSON'!$B$17:$B$192,$C3642,'5. PERSON'!CL$17:CL$192)+SUMIF('6. OPERATION'!$B$17:$B$149,$C3642,'6. OPERATION'!BO$17:BO$149)</f>
        <v>0</v>
      </c>
      <c r="L3659" s="107">
        <f>SUMIF('5. PERSON'!$B$17:$B$192,$C3642,'5. PERSON'!CM$17:CM$192)+SUMIF('6. OPERATION'!$B$17:$B$149,$C3642,'6. OPERATION'!BP$17:BP$149)</f>
        <v>0</v>
      </c>
      <c r="M3659" s="123">
        <f t="shared" si="867"/>
        <v>0</v>
      </c>
    </row>
    <row r="3660" spans="2:15" s="3" customFormat="1" ht="13.2" x14ac:dyDescent="0.25">
      <c r="B3660" s="124" t="s">
        <v>113</v>
      </c>
      <c r="C3660" s="102">
        <f>SUM(C3653:C3659)</f>
        <v>0</v>
      </c>
      <c r="D3660" s="102">
        <f t="shared" ref="D3660:L3660" si="868">SUM(D3653:D3659)</f>
        <v>0</v>
      </c>
      <c r="E3660" s="102">
        <f t="shared" si="868"/>
        <v>0</v>
      </c>
      <c r="F3660" s="102">
        <f t="shared" si="868"/>
        <v>0</v>
      </c>
      <c r="G3660" s="102">
        <f t="shared" si="868"/>
        <v>0</v>
      </c>
      <c r="H3660" s="102">
        <f t="shared" si="868"/>
        <v>0</v>
      </c>
      <c r="I3660" s="102">
        <f t="shared" si="868"/>
        <v>0</v>
      </c>
      <c r="J3660" s="102">
        <f t="shared" si="868"/>
        <v>0</v>
      </c>
      <c r="K3660" s="102">
        <f t="shared" si="868"/>
        <v>0</v>
      </c>
      <c r="L3660" s="102">
        <f t="shared" si="868"/>
        <v>0</v>
      </c>
      <c r="M3660" s="125">
        <f t="shared" ref="M3660" si="869">SUM(M3653:M3659)</f>
        <v>0</v>
      </c>
      <c r="N3660" s="23"/>
      <c r="O3660" s="23"/>
    </row>
    <row r="3661" spans="2:15" s="3" customFormat="1" ht="6" customHeight="1" x14ac:dyDescent="0.25">
      <c r="B3661" s="136"/>
      <c r="C3661" s="127"/>
      <c r="D3661" s="127"/>
      <c r="E3661" s="127"/>
      <c r="F3661" s="127"/>
      <c r="G3661" s="127"/>
      <c r="H3661" s="127"/>
      <c r="I3661" s="127"/>
      <c r="J3661" s="127"/>
      <c r="K3661" s="127"/>
      <c r="L3661" s="127"/>
      <c r="M3661" s="137"/>
    </row>
    <row r="3662" spans="2:15" s="3" customFormat="1" ht="13.2" x14ac:dyDescent="0.25">
      <c r="B3662" s="129" t="str">
        <f>IF('1. INTRO'!I$2="English","Full cost","Full kostnad")</f>
        <v>Full cost</v>
      </c>
      <c r="C3662" s="127"/>
      <c r="D3662" s="127"/>
      <c r="E3662" s="127"/>
      <c r="F3662" s="127"/>
      <c r="G3662" s="127"/>
      <c r="H3662" s="127"/>
      <c r="I3662" s="127"/>
      <c r="J3662" s="127"/>
      <c r="K3662" s="127"/>
      <c r="L3662" s="127"/>
      <c r="M3662" s="137"/>
    </row>
    <row r="3663" spans="2:15" s="3" customFormat="1" ht="13.2" x14ac:dyDescent="0.25">
      <c r="B3663" s="113" t="str">
        <f>IF('1. INTRO'!I$2="English","Salary including social costs (LKP)","Lön inklusive LKP")</f>
        <v>Salary including social costs (LKP)</v>
      </c>
      <c r="C3663" s="138">
        <f>C3645+C3654+C3655</f>
        <v>0</v>
      </c>
      <c r="D3663" s="138">
        <f t="shared" ref="D3663:L3663" si="870">D3645+D3654+D3655</f>
        <v>0</v>
      </c>
      <c r="E3663" s="138">
        <f t="shared" si="870"/>
        <v>0</v>
      </c>
      <c r="F3663" s="138">
        <f t="shared" si="870"/>
        <v>0</v>
      </c>
      <c r="G3663" s="138">
        <f t="shared" si="870"/>
        <v>0</v>
      </c>
      <c r="H3663" s="138">
        <f t="shared" si="870"/>
        <v>0</v>
      </c>
      <c r="I3663" s="138">
        <f t="shared" si="870"/>
        <v>0</v>
      </c>
      <c r="J3663" s="138">
        <f t="shared" si="870"/>
        <v>0</v>
      </c>
      <c r="K3663" s="138">
        <f t="shared" si="870"/>
        <v>0</v>
      </c>
      <c r="L3663" s="138">
        <f t="shared" si="870"/>
        <v>0</v>
      </c>
      <c r="M3663" s="115">
        <f>SUM(C3663:L3663)</f>
        <v>0</v>
      </c>
    </row>
    <row r="3664" spans="2:15" s="3" customFormat="1" ht="13.2" x14ac:dyDescent="0.25">
      <c r="B3664" s="80" t="str">
        <f>IF('1. INTRO'!I$2="English","Operating","Drift")</f>
        <v>Operating</v>
      </c>
      <c r="C3664" s="139">
        <f>C3646+C3656</f>
        <v>0</v>
      </c>
      <c r="D3664" s="139">
        <f t="shared" ref="D3664:L3664" si="871">D3646+D3656</f>
        <v>0</v>
      </c>
      <c r="E3664" s="139">
        <f t="shared" si="871"/>
        <v>0</v>
      </c>
      <c r="F3664" s="139">
        <f t="shared" si="871"/>
        <v>0</v>
      </c>
      <c r="G3664" s="139">
        <f t="shared" si="871"/>
        <v>0</v>
      </c>
      <c r="H3664" s="139">
        <f t="shared" si="871"/>
        <v>0</v>
      </c>
      <c r="I3664" s="139">
        <f t="shared" si="871"/>
        <v>0</v>
      </c>
      <c r="J3664" s="139">
        <f t="shared" si="871"/>
        <v>0</v>
      </c>
      <c r="K3664" s="139">
        <f t="shared" si="871"/>
        <v>0</v>
      </c>
      <c r="L3664" s="139">
        <f t="shared" si="871"/>
        <v>0</v>
      </c>
      <c r="M3664" s="117">
        <f>SUM(C3664:L3664)</f>
        <v>0</v>
      </c>
    </row>
    <row r="3665" spans="2:13" s="3" customFormat="1" ht="13.2" x14ac:dyDescent="0.25">
      <c r="B3665" s="118" t="str">
        <f>IF('1. INTRO'!I$2="English","Equipment","Utrustning")</f>
        <v>Equipment</v>
      </c>
      <c r="C3665" s="140">
        <f>C3647+C3657</f>
        <v>0</v>
      </c>
      <c r="D3665" s="140">
        <f t="shared" ref="D3665:L3665" si="872">D3647+D3657</f>
        <v>0</v>
      </c>
      <c r="E3665" s="140">
        <f t="shared" si="872"/>
        <v>0</v>
      </c>
      <c r="F3665" s="140">
        <f t="shared" si="872"/>
        <v>0</v>
      </c>
      <c r="G3665" s="140">
        <f t="shared" si="872"/>
        <v>0</v>
      </c>
      <c r="H3665" s="140">
        <f t="shared" si="872"/>
        <v>0</v>
      </c>
      <c r="I3665" s="140">
        <f t="shared" si="872"/>
        <v>0</v>
      </c>
      <c r="J3665" s="140">
        <f t="shared" si="872"/>
        <v>0</v>
      </c>
      <c r="K3665" s="140">
        <f t="shared" si="872"/>
        <v>0</v>
      </c>
      <c r="L3665" s="140">
        <f t="shared" si="872"/>
        <v>0</v>
      </c>
      <c r="M3665" s="120">
        <f>SUM(C3665:L3665)</f>
        <v>0</v>
      </c>
    </row>
    <row r="3666" spans="2:13" s="3" customFormat="1" ht="13.2" x14ac:dyDescent="0.25">
      <c r="B3666" s="80" t="str">
        <f>IF('1. INTRO'!I$2="English","Facility","Lokal")</f>
        <v>Facility</v>
      </c>
      <c r="C3666" s="139">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39">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39">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39">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39">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39">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39">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39">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39">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39">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117">
        <f>SUM(C3666:L3666)</f>
        <v>0</v>
      </c>
    </row>
    <row r="3667" spans="2:13" s="3" customFormat="1" ht="13.2" x14ac:dyDescent="0.25">
      <c r="B3667" s="601" t="str">
        <f>IF('1. INTRO'!I$2="English","Indirect","Indirekt")</f>
        <v>Indirect</v>
      </c>
      <c r="C3667" s="141">
        <f>SUMIF('5. PERSON'!$B$17:$B$192,$C3642,'5. PERSON'!BR$17:BR$192)+SUMIF('5. PERSON'!$B$17:$B$192,$C3642,'5. PERSON'!CD$17:CD$192)+SUMIF('6. OPERATION'!$B$17:$B$149,$C3642,'6. OPERATION'!AU$17:AU$149)+SUMIF('6. OPERATION'!$B$17:$B$149,$C3642,'6. OPERATION'!BG$17:BG$149)</f>
        <v>0</v>
      </c>
      <c r="D3667" s="141">
        <f>SUMIF('5. PERSON'!$B$17:$B$192,$C3642,'5. PERSON'!BS$17:BS$192)+SUMIF('5. PERSON'!$B$17:$B$192,$C3642,'5. PERSON'!CE$17:CE$192)+SUMIF('6. OPERATION'!$B$17:$B$149,$C3642,'6. OPERATION'!AV$17:AV$149)+SUMIF('6. OPERATION'!$B$17:$B$149,$C3642,'6. OPERATION'!BH$17:BH$149)</f>
        <v>0</v>
      </c>
      <c r="E3667" s="141">
        <f>SUMIF('5. PERSON'!$B$17:$B$192,$C3642,'5. PERSON'!BT$17:BT$192)+SUMIF('5. PERSON'!$B$17:$B$192,$C3642,'5. PERSON'!CF$17:CF$192)+SUMIF('6. OPERATION'!$B$17:$B$149,$C3642,'6. OPERATION'!AW$17:AW$149)+SUMIF('6. OPERATION'!$B$17:$B$149,$C3642,'6. OPERATION'!BI$17:BI$149)</f>
        <v>0</v>
      </c>
      <c r="F3667" s="141">
        <f>SUMIF('5. PERSON'!$B$17:$B$192,$C3642,'5. PERSON'!BU$17:BU$192)+SUMIF('5. PERSON'!$B$17:$B$192,$C3642,'5. PERSON'!CG$17:CG$192)+SUMIF('6. OPERATION'!$B$17:$B$149,$C3642,'6. OPERATION'!AX$17:AX$149)+SUMIF('6. OPERATION'!$B$17:$B$149,$C3642,'6. OPERATION'!BJ$17:BJ$149)</f>
        <v>0</v>
      </c>
      <c r="G3667" s="141">
        <f>SUMIF('5. PERSON'!$B$17:$B$192,$C3642,'5. PERSON'!BV$17:BV$192)+SUMIF('5. PERSON'!$B$17:$B$192,$C3642,'5. PERSON'!CH$17:CH$192)+SUMIF('6. OPERATION'!$B$17:$B$149,$C3642,'6. OPERATION'!AY$17:AY$149)+SUMIF('6. OPERATION'!$B$17:$B$149,$C3642,'6. OPERATION'!BK$17:BK$149)</f>
        <v>0</v>
      </c>
      <c r="H3667" s="141">
        <f>SUMIF('5. PERSON'!$B$17:$B$192,$C3642,'5. PERSON'!BW$17:BW$192)+SUMIF('5. PERSON'!$B$17:$B$192,$C3642,'5. PERSON'!CI$17:CI$192)+SUMIF('6. OPERATION'!$B$17:$B$149,$C3642,'6. OPERATION'!AZ$17:AZ$149)+SUMIF('6. OPERATION'!$B$17:$B$149,$C3642,'6. OPERATION'!BL$17:BL$149)</f>
        <v>0</v>
      </c>
      <c r="I3667" s="141">
        <f>SUMIF('5. PERSON'!$B$17:$B$192,$C3642,'5. PERSON'!BX$17:BX$192)+SUMIF('5. PERSON'!$B$17:$B$192,$C3642,'5. PERSON'!CJ$17:CJ$192)+SUMIF('6. OPERATION'!$B$17:$B$149,$C3642,'6. OPERATION'!BA$17:BA$149)+SUMIF('6. OPERATION'!$B$17:$B$149,$C3642,'6. OPERATION'!BM$17:BM$149)</f>
        <v>0</v>
      </c>
      <c r="J3667" s="141">
        <f>SUMIF('5. PERSON'!$B$17:$B$192,$C3642,'5. PERSON'!BY$17:BY$192)+SUMIF('5. PERSON'!$B$17:$B$192,$C3642,'5. PERSON'!CK$17:CK$192)+SUMIF('6. OPERATION'!$B$17:$B$149,$C3642,'6. OPERATION'!BB$17:BB$149)+SUMIF('6. OPERATION'!$B$17:$B$149,$C3642,'6. OPERATION'!BN$17:BN$149)</f>
        <v>0</v>
      </c>
      <c r="K3667" s="141">
        <f>SUMIF('5. PERSON'!$B$17:$B$192,$C3642,'5. PERSON'!BZ$17:BZ$192)+SUMIF('5. PERSON'!$B$17:$B$192,$C3642,'5. PERSON'!CL$17:CL$192)+SUMIF('6. OPERATION'!$B$17:$B$149,$C3642,'6. OPERATION'!BC$17:BC$149)+SUMIF('6. OPERATION'!$B$17:$B$149,$C3642,'6. OPERATION'!BO$17:BO$149)</f>
        <v>0</v>
      </c>
      <c r="L3667" s="141">
        <f>SUMIF('5. PERSON'!$B$17:$B$192,$C3642,'5. PERSON'!CA$17:CA$192)+SUMIF('5. PERSON'!$B$17:$B$192,$C3642,'5. PERSON'!CM$17:CM$192)+SUMIF('6. OPERATION'!$B$17:$B$149,$C3642,'6. OPERATION'!BD$17:BD$149)+SUMIF('6. OPERATION'!$B$17:$B$149,$C3642,'6. OPERATION'!BP$17:BP$149)</f>
        <v>0</v>
      </c>
      <c r="M3667" s="123">
        <f>SUM(C3667:L3667)</f>
        <v>0</v>
      </c>
    </row>
    <row r="3668" spans="2:13" s="3" customFormat="1" ht="13.2" x14ac:dyDescent="0.25">
      <c r="B3668" s="124" t="s">
        <v>113</v>
      </c>
      <c r="C3668" s="88">
        <f>SUM(C3663:C3667)</f>
        <v>0</v>
      </c>
      <c r="D3668" s="88">
        <f t="shared" ref="D3668:M3668" si="873">SUM(D3663:D3667)</f>
        <v>0</v>
      </c>
      <c r="E3668" s="88">
        <f t="shared" si="873"/>
        <v>0</v>
      </c>
      <c r="F3668" s="88">
        <f t="shared" si="873"/>
        <v>0</v>
      </c>
      <c r="G3668" s="88">
        <f t="shared" si="873"/>
        <v>0</v>
      </c>
      <c r="H3668" s="88">
        <f t="shared" si="873"/>
        <v>0</v>
      </c>
      <c r="I3668" s="88">
        <f t="shared" si="873"/>
        <v>0</v>
      </c>
      <c r="J3668" s="88">
        <f t="shared" si="873"/>
        <v>0</v>
      </c>
      <c r="K3668" s="88">
        <f t="shared" si="873"/>
        <v>0</v>
      </c>
      <c r="L3668" s="88">
        <f t="shared" si="873"/>
        <v>0</v>
      </c>
      <c r="M3668" s="142">
        <f t="shared" si="873"/>
        <v>0</v>
      </c>
    </row>
    <row r="3669" spans="2:13" s="3" customFormat="1" ht="13.2" x14ac:dyDescent="0.25">
      <c r="B3669" s="287"/>
      <c r="C3669" s="37"/>
      <c r="D3669" s="37"/>
      <c r="E3669" s="37"/>
      <c r="F3669" s="37"/>
      <c r="G3669" s="37"/>
      <c r="H3669" s="37"/>
      <c r="I3669" s="37"/>
      <c r="J3669" s="37"/>
      <c r="K3669" s="37"/>
      <c r="L3669" s="37"/>
      <c r="M3669" s="37"/>
    </row>
    <row r="3670" spans="2:13" s="3" customFormat="1" ht="12.75" customHeight="1" x14ac:dyDescent="0.25">
      <c r="B3670" s="656" t="str">
        <f>IF('1. INTRO'!I$2="English","Co-funding share in full cost ","Medfinansieringsandel i full kostnad ")</f>
        <v xml:space="preserve">Co-funding share in full cost </v>
      </c>
      <c r="C3670" s="143" t="str">
        <f t="shared" ref="C3670:M3670" si="874">IF(C3668&gt;0,C3660/C3668,"")</f>
        <v/>
      </c>
      <c r="D3670" s="143" t="str">
        <f t="shared" si="874"/>
        <v/>
      </c>
      <c r="E3670" s="143" t="str">
        <f t="shared" si="874"/>
        <v/>
      </c>
      <c r="F3670" s="143" t="str">
        <f t="shared" si="874"/>
        <v/>
      </c>
      <c r="G3670" s="143" t="str">
        <f t="shared" si="874"/>
        <v/>
      </c>
      <c r="H3670" s="143" t="str">
        <f t="shared" si="874"/>
        <v/>
      </c>
      <c r="I3670" s="143" t="str">
        <f t="shared" si="874"/>
        <v/>
      </c>
      <c r="J3670" s="143" t="str">
        <f t="shared" si="874"/>
        <v/>
      </c>
      <c r="K3670" s="143" t="str">
        <f t="shared" si="874"/>
        <v/>
      </c>
      <c r="L3670" s="143" t="str">
        <f t="shared" si="874"/>
        <v/>
      </c>
      <c r="M3670" s="143" t="str">
        <f t="shared" si="874"/>
        <v/>
      </c>
    </row>
    <row r="3671" spans="2:13" ht="12.75" customHeight="1" x14ac:dyDescent="0.2"/>
    <row r="3672" spans="2:13" ht="12.75" customHeight="1" x14ac:dyDescent="0.25">
      <c r="D3672" s="676" t="str">
        <f>IF('1. INTRO'!I$2="English","Co-funding need in average per year: ","Medfinansieringsbehov i genomsnitt per år: ")</f>
        <v xml:space="preserve">Co-funding need in average per year: </v>
      </c>
      <c r="E3672" s="92" t="str">
        <f>IF(M3660=0,"",M3660/(DATEDIF('2. START'!C$18,'2. START'!C$19,"d")/365))</f>
        <v/>
      </c>
      <c r="H3672" s="676" t="str">
        <f>IF('1. INTRO'!I$2="English","Co-funding need 1/3 of total: ","Medfinansieringsbehov 1/3 av totalt: ")</f>
        <v xml:space="preserve">Co-funding need 1/3 of total: </v>
      </c>
      <c r="I3672" s="92">
        <f>M3660/3</f>
        <v>0</v>
      </c>
      <c r="L3672" s="287" t="str">
        <f>IF('1. INTRO'!I$2="English","Co-funding need total: ","Medfinansieringsbehov totalt: ")</f>
        <v xml:space="preserve">Co-funding need total: </v>
      </c>
      <c r="M3672" s="92">
        <f>M3660</f>
        <v>0</v>
      </c>
    </row>
    <row r="3673" spans="2:13" ht="12.75" customHeight="1" x14ac:dyDescent="0.25">
      <c r="B3673" s="53" t="str">
        <f>IF('1. INTRO'!I$2="English","Co-funding sources","Medfinansieringskällor")</f>
        <v>Co-funding sources</v>
      </c>
    </row>
    <row r="3674" spans="2:13" ht="12.75" customHeight="1" x14ac:dyDescent="0.25">
      <c r="B3674" s="225"/>
      <c r="C3674" s="226"/>
      <c r="D3674" s="226"/>
      <c r="E3674" s="226"/>
      <c r="F3674" s="226"/>
      <c r="G3674" s="226"/>
      <c r="H3674" s="226"/>
      <c r="I3674" s="226"/>
      <c r="J3674" s="226"/>
      <c r="K3674" s="226"/>
      <c r="L3674" s="227"/>
      <c r="M3674" s="168">
        <f>SUM(C3674:L3674)</f>
        <v>0</v>
      </c>
    </row>
    <row r="3675" spans="2:13" ht="12.75" customHeight="1" x14ac:dyDescent="0.25">
      <c r="B3675" s="228"/>
      <c r="C3675" s="229"/>
      <c r="D3675" s="229"/>
      <c r="E3675" s="229"/>
      <c r="F3675" s="229"/>
      <c r="G3675" s="229"/>
      <c r="H3675" s="229"/>
      <c r="I3675" s="229"/>
      <c r="J3675" s="229"/>
      <c r="K3675" s="229"/>
      <c r="L3675" s="230"/>
      <c r="M3675" s="120">
        <f t="shared" ref="M3675:M3678" si="875">SUM(C3675:L3675)</f>
        <v>0</v>
      </c>
    </row>
    <row r="3676" spans="2:13" ht="12.75" customHeight="1" x14ac:dyDescent="0.25">
      <c r="B3676" s="231"/>
      <c r="C3676" s="232"/>
      <c r="D3676" s="232"/>
      <c r="E3676" s="232"/>
      <c r="F3676" s="232"/>
      <c r="G3676" s="232"/>
      <c r="H3676" s="232"/>
      <c r="I3676" s="232"/>
      <c r="J3676" s="232"/>
      <c r="K3676" s="232"/>
      <c r="L3676" s="233"/>
      <c r="M3676" s="117">
        <f t="shared" si="875"/>
        <v>0</v>
      </c>
    </row>
    <row r="3677" spans="2:13" ht="12.75" customHeight="1" x14ac:dyDescent="0.25">
      <c r="B3677" s="228"/>
      <c r="C3677" s="229"/>
      <c r="D3677" s="229"/>
      <c r="E3677" s="229"/>
      <c r="F3677" s="229"/>
      <c r="G3677" s="229"/>
      <c r="H3677" s="229"/>
      <c r="I3677" s="229"/>
      <c r="J3677" s="229"/>
      <c r="K3677" s="229"/>
      <c r="L3677" s="230"/>
      <c r="M3677" s="120">
        <f t="shared" si="875"/>
        <v>0</v>
      </c>
    </row>
    <row r="3678" spans="2:13" ht="12.75" customHeight="1" x14ac:dyDescent="0.25">
      <c r="B3678" s="93"/>
      <c r="C3678" s="232"/>
      <c r="D3678" s="232"/>
      <c r="E3678" s="232"/>
      <c r="F3678" s="232"/>
      <c r="G3678" s="232"/>
      <c r="H3678" s="232"/>
      <c r="I3678" s="232"/>
      <c r="J3678" s="232"/>
      <c r="K3678" s="232"/>
      <c r="L3678" s="233"/>
      <c r="M3678" s="117">
        <f t="shared" si="875"/>
        <v>0</v>
      </c>
    </row>
    <row r="3679" spans="2:13" ht="12.75" customHeight="1" x14ac:dyDescent="0.25">
      <c r="B3679" s="84" t="str">
        <f>IF('1. INTRO'!I$2="English","Total co-funding ","Total medfinansiering ")</f>
        <v xml:space="preserve">Total co-funding </v>
      </c>
      <c r="C3679" s="87">
        <f t="shared" ref="C3679:M3679" si="876">SUM(C3674:C3678)</f>
        <v>0</v>
      </c>
      <c r="D3679" s="87">
        <f t="shared" si="876"/>
        <v>0</v>
      </c>
      <c r="E3679" s="87">
        <f t="shared" si="876"/>
        <v>0</v>
      </c>
      <c r="F3679" s="87">
        <f t="shared" si="876"/>
        <v>0</v>
      </c>
      <c r="G3679" s="87">
        <f t="shared" si="876"/>
        <v>0</v>
      </c>
      <c r="H3679" s="87">
        <f t="shared" si="876"/>
        <v>0</v>
      </c>
      <c r="I3679" s="87">
        <f t="shared" si="876"/>
        <v>0</v>
      </c>
      <c r="J3679" s="87">
        <f t="shared" si="876"/>
        <v>0</v>
      </c>
      <c r="K3679" s="87">
        <f t="shared" si="876"/>
        <v>0</v>
      </c>
      <c r="L3679" s="87">
        <f t="shared" si="876"/>
        <v>0</v>
      </c>
      <c r="M3679" s="142">
        <f t="shared" si="876"/>
        <v>0</v>
      </c>
    </row>
    <row r="3680" spans="2:13" ht="12.75" customHeight="1" x14ac:dyDescent="0.2"/>
    <row r="3681" spans="2:13" ht="12.75" customHeight="1" x14ac:dyDescent="0.2">
      <c r="B3681" s="667" t="str">
        <f>IF('1. INTRO'!I$2="English","Calculation comments","Kalkylkommentarer")</f>
        <v>Calculation comments</v>
      </c>
      <c r="C3681" s="37" t="str">
        <f>B85</f>
        <v/>
      </c>
    </row>
    <row r="3682" spans="2:13" ht="12.75" customHeight="1" x14ac:dyDescent="0.2">
      <c r="B3682" s="1142"/>
      <c r="C3682" s="1143"/>
      <c r="D3682" s="1143"/>
      <c r="E3682" s="1143"/>
      <c r="F3682" s="1143"/>
      <c r="G3682" s="1143"/>
      <c r="H3682" s="1143"/>
      <c r="I3682" s="1143"/>
      <c r="J3682" s="1143"/>
      <c r="K3682" s="1143"/>
      <c r="L3682" s="1143"/>
      <c r="M3682" s="1144"/>
    </row>
    <row r="3683" spans="2:13" ht="12.75" customHeight="1" x14ac:dyDescent="0.2">
      <c r="B3683" s="1145"/>
      <c r="C3683" s="1226"/>
      <c r="D3683" s="1226"/>
      <c r="E3683" s="1226"/>
      <c r="F3683" s="1226"/>
      <c r="G3683" s="1226"/>
      <c r="H3683" s="1226"/>
      <c r="I3683" s="1226"/>
      <c r="J3683" s="1226"/>
      <c r="K3683" s="1226"/>
      <c r="L3683" s="1226"/>
      <c r="M3683" s="1147"/>
    </row>
    <row r="3684" spans="2:13" ht="12.75" customHeight="1" x14ac:dyDescent="0.2">
      <c r="B3684" s="1145"/>
      <c r="C3684" s="1226"/>
      <c r="D3684" s="1226"/>
      <c r="E3684" s="1226"/>
      <c r="F3684" s="1226"/>
      <c r="G3684" s="1226"/>
      <c r="H3684" s="1226"/>
      <c r="I3684" s="1226"/>
      <c r="J3684" s="1226"/>
      <c r="K3684" s="1226"/>
      <c r="L3684" s="1226"/>
      <c r="M3684" s="1147"/>
    </row>
    <row r="3685" spans="2:13" ht="12.75" customHeight="1" x14ac:dyDescent="0.2">
      <c r="B3685" s="1145"/>
      <c r="C3685" s="1226"/>
      <c r="D3685" s="1226"/>
      <c r="E3685" s="1226"/>
      <c r="F3685" s="1226"/>
      <c r="G3685" s="1226"/>
      <c r="H3685" s="1226"/>
      <c r="I3685" s="1226"/>
      <c r="J3685" s="1226"/>
      <c r="K3685" s="1226"/>
      <c r="L3685" s="1226"/>
      <c r="M3685" s="1147"/>
    </row>
    <row r="3686" spans="2:13" ht="12.75" customHeight="1" x14ac:dyDescent="0.2">
      <c r="B3686" s="1148"/>
      <c r="C3686" s="1149"/>
      <c r="D3686" s="1149"/>
      <c r="E3686" s="1149"/>
      <c r="F3686" s="1149"/>
      <c r="G3686" s="1149"/>
      <c r="H3686" s="1149"/>
      <c r="I3686" s="1149"/>
      <c r="J3686" s="1149"/>
      <c r="K3686" s="1149"/>
      <c r="L3686" s="1149"/>
      <c r="M3686" s="1150"/>
    </row>
    <row r="3688" spans="2:13" s="3" customFormat="1" ht="12.75" customHeight="1" x14ac:dyDescent="0.25">
      <c r="B3688" s="313" t="str">
        <f>'3. PARTNER'!C$4</f>
        <v xml:space="preserve">Project: </v>
      </c>
      <c r="C3688" s="1062" t="str">
        <f>'3. PARTNER'!D$4</f>
        <v/>
      </c>
      <c r="D3688" s="1001"/>
      <c r="E3688" s="1001"/>
      <c r="F3688" s="1001"/>
      <c r="G3688" s="1001"/>
      <c r="H3688" s="1001"/>
      <c r="I3688" s="1001"/>
      <c r="J3688" s="1001"/>
      <c r="K3688" s="1001"/>
      <c r="L3688" s="1001"/>
      <c r="M3688" s="1001"/>
    </row>
    <row r="3689" spans="2:13" s="3" customFormat="1" ht="13.2" x14ac:dyDescent="0.25">
      <c r="B3689" s="313" t="str">
        <f>'3. PARTNER'!C$5</f>
        <v xml:space="preserve">Calculation for: </v>
      </c>
      <c r="C3689" s="1062" t="str">
        <f>'3. PARTNER'!D$5</f>
        <v>APPLICATION</v>
      </c>
      <c r="D3689" s="1001"/>
      <c r="E3689" s="268"/>
      <c r="F3689" s="268"/>
      <c r="G3689" s="268"/>
      <c r="H3689" s="268"/>
      <c r="I3689" s="268"/>
      <c r="J3689" s="268"/>
      <c r="K3689" s="268"/>
      <c r="L3689" s="268"/>
      <c r="M3689" s="268"/>
    </row>
    <row r="3690" spans="2:13" s="3" customFormat="1" ht="13.2" x14ac:dyDescent="0.25">
      <c r="B3690" s="35" t="str">
        <f>'3. PARTNER'!C$6</f>
        <v xml:space="preserve">Project leader: </v>
      </c>
      <c r="C3690" s="1062" t="str">
        <f>'3. PARTNER'!D$6</f>
        <v/>
      </c>
      <c r="D3690" s="1001"/>
      <c r="E3690" s="1001"/>
      <c r="F3690" s="1001"/>
      <c r="G3690" s="1001"/>
      <c r="H3690" s="1001"/>
      <c r="I3690" s="1001"/>
      <c r="J3690" s="1001"/>
      <c r="K3690" s="1001"/>
      <c r="L3690" s="1001"/>
      <c r="M3690" s="1001"/>
    </row>
    <row r="3691" spans="2:13" s="3" customFormat="1" ht="13.2" x14ac:dyDescent="0.25">
      <c r="B3691" s="313" t="str">
        <f>'5. PERSON'!B$7</f>
        <v xml:space="preserve">Amounts in: </v>
      </c>
      <c r="C3691" s="655" t="str">
        <f>'5. PERSON'!C$7</f>
        <v>SEK</v>
      </c>
      <c r="D3691" s="268"/>
      <c r="E3691" s="268"/>
      <c r="F3691" s="268"/>
      <c r="G3691" s="234"/>
      <c r="H3691" s="234"/>
      <c r="I3691" s="270"/>
      <c r="J3691" s="270"/>
      <c r="K3691" s="270"/>
      <c r="L3691" s="270"/>
      <c r="M3691" s="270"/>
    </row>
    <row r="3692" spans="2:13" s="3" customFormat="1" ht="13.2" x14ac:dyDescent="0.25">
      <c r="B3692" s="313"/>
      <c r="C3692" s="1053" t="str">
        <f>'3. PARTNER'!D$7</f>
        <v>Other basic data about the project is in sheet 2.</v>
      </c>
      <c r="D3692" s="1001"/>
      <c r="E3692" s="1001"/>
      <c r="F3692" s="1001"/>
      <c r="G3692" s="234"/>
      <c r="H3692" s="234"/>
      <c r="I3692" s="270"/>
      <c r="J3692" s="270"/>
      <c r="K3692" s="270"/>
      <c r="L3692" s="251" t="s">
        <v>4</v>
      </c>
      <c r="M3692" s="270"/>
    </row>
    <row r="3693" spans="2:13" ht="12.75" customHeight="1" x14ac:dyDescent="0.2">
      <c r="L3693" s="252" t="str">
        <f>IF('1. INTRO'!I$2="English","months","månader")</f>
        <v>months</v>
      </c>
    </row>
    <row r="3694" spans="2:13" s="3" customFormat="1" ht="13.8" x14ac:dyDescent="0.25">
      <c r="B3694" s="157" t="str">
        <f>IF('1. INTRO'!I$2="English","Project costs","Projektkostnader")</f>
        <v>Project costs</v>
      </c>
      <c r="C3694" s="668" t="str">
        <f>A86</f>
        <v>EXT128</v>
      </c>
      <c r="D3694" s="1227" t="str">
        <f>B86</f>
        <v/>
      </c>
      <c r="E3694" s="1001"/>
      <c r="F3694" s="1001"/>
      <c r="G3694" s="1001"/>
      <c r="H3694" s="1001"/>
      <c r="I3694" s="37"/>
      <c r="J3694" s="37"/>
      <c r="K3694" s="37"/>
      <c r="L3694" s="642">
        <f>SUMIF('5. PERSON'!$B$17:$B$192,$C3694,'5. PERSON'!AE$17:AE$192)</f>
        <v>0</v>
      </c>
      <c r="M3694" s="680" t="s">
        <v>330</v>
      </c>
    </row>
    <row r="3695" spans="2:13" s="3" customFormat="1" ht="6" customHeight="1" x14ac:dyDescent="0.25">
      <c r="B3695" s="57"/>
      <c r="C3695" s="37"/>
      <c r="D3695" s="37"/>
      <c r="E3695" s="37"/>
      <c r="F3695" s="37"/>
      <c r="G3695" s="37"/>
      <c r="H3695" s="37"/>
      <c r="I3695" s="37"/>
      <c r="J3695" s="37"/>
      <c r="K3695" s="37"/>
      <c r="L3695" s="37"/>
      <c r="M3695" s="37"/>
    </row>
    <row r="3696" spans="2:13" s="3" customFormat="1" ht="13.2" x14ac:dyDescent="0.25">
      <c r="B3696" s="110" t="str">
        <f>IF('1. INTRO'!I$2="English","Costs to be covered by funding body","Kostnader att täckas av finansiär")</f>
        <v>Costs to be covered by funding body</v>
      </c>
      <c r="C3696" s="111">
        <f>'5. PERSON'!G$15</f>
        <v>1900</v>
      </c>
      <c r="D3696" s="111" t="str">
        <f>'5. PERSON'!H$15</f>
        <v/>
      </c>
      <c r="E3696" s="111" t="str">
        <f>'5. PERSON'!I$15</f>
        <v/>
      </c>
      <c r="F3696" s="111" t="str">
        <f>'5. PERSON'!J$15</f>
        <v/>
      </c>
      <c r="G3696" s="111" t="str">
        <f>'5. PERSON'!K$15</f>
        <v/>
      </c>
      <c r="H3696" s="111" t="str">
        <f>'5. PERSON'!L$15</f>
        <v/>
      </c>
      <c r="I3696" s="111" t="str">
        <f>'5. PERSON'!M$15</f>
        <v/>
      </c>
      <c r="J3696" s="111" t="str">
        <f>'5. PERSON'!N$15</f>
        <v/>
      </c>
      <c r="K3696" s="111" t="str">
        <f>'5. PERSON'!O$15</f>
        <v/>
      </c>
      <c r="L3696" s="111" t="str">
        <f>'5. PERSON'!P$15</f>
        <v/>
      </c>
      <c r="M3696" s="112" t="s">
        <v>2</v>
      </c>
    </row>
    <row r="3697" spans="2:15" s="3" customFormat="1" ht="12.75" customHeight="1" x14ac:dyDescent="0.25">
      <c r="B3697" s="113" t="str">
        <f>IF('1. INTRO'!I$2="English","Salary including social costs (LKP)","Lön inklusive LKP")</f>
        <v>Salary including social costs (LKP)</v>
      </c>
      <c r="C3697" s="114">
        <f>IF('2. START'!$C$14&gt;0,SUMIF('5. PERSON'!$B$17:$B$192,$C3694,'5. PERSON'!DN$17:DN$192),SUMIF('5. PERSON'!$B$17:$B$192,$C3694,'5. PERSON'!AT$17:AT$192))</f>
        <v>0</v>
      </c>
      <c r="D3697" s="114">
        <f>IF('2. START'!$C$14&gt;0,SUMIF('5. PERSON'!$B$17:$B$192,$C3694,'5. PERSON'!DO$17:DO$192),SUMIF('5. PERSON'!$B$17:$B$192,$C3694,'5. PERSON'!AU$17:AU$192))</f>
        <v>0</v>
      </c>
      <c r="E3697" s="114">
        <f>IF('2. START'!$C$14&gt;0,SUMIF('5. PERSON'!$B$17:$B$192,$C3694,'5. PERSON'!DP$17:DP$192),SUMIF('5. PERSON'!$B$17:$B$192,$C3694,'5. PERSON'!AV$17:AV$192))</f>
        <v>0</v>
      </c>
      <c r="F3697" s="114">
        <f>IF('2. START'!$C$14&gt;0,SUMIF('5. PERSON'!$B$17:$B$192,$C3694,'5. PERSON'!DQ$17:DQ$192),SUMIF('5. PERSON'!$B$17:$B$192,$C3694,'5. PERSON'!AW$17:AW$192))</f>
        <v>0</v>
      </c>
      <c r="G3697" s="114">
        <f>IF('2. START'!$C$14&gt;0,SUMIF('5. PERSON'!$B$17:$B$192,$C3694,'5. PERSON'!DR$17:DR$192),SUMIF('5. PERSON'!$B$17:$B$192,$C3694,'5. PERSON'!AX$17:AX$192))</f>
        <v>0</v>
      </c>
      <c r="H3697" s="114">
        <f>IF('2. START'!$C$14&gt;0,SUMIF('5. PERSON'!$B$17:$B$192,$C3694,'5. PERSON'!DS$17:DS$192),SUMIF('5. PERSON'!$B$17:$B$192,$C3694,'5. PERSON'!AY$17:AY$192))</f>
        <v>0</v>
      </c>
      <c r="I3697" s="114">
        <f>IF('2. START'!$C$14&gt;0,SUMIF('5. PERSON'!$B$17:$B$192,$C3694,'5. PERSON'!DT$17:DT$192),SUMIF('5. PERSON'!$B$17:$B$192,$C3694,'5. PERSON'!AZ$17:AZ$192))</f>
        <v>0</v>
      </c>
      <c r="J3697" s="114">
        <f>IF('2. START'!$C$14&gt;0,SUMIF('5. PERSON'!$B$17:$B$192,$C3694,'5. PERSON'!DU$17:DU$192),SUMIF('5. PERSON'!$B$17:$B$192,$C3694,'5. PERSON'!BA$17:BA$192))</f>
        <v>0</v>
      </c>
      <c r="K3697" s="114">
        <f>IF('2. START'!$C$14&gt;0,SUMIF('5. PERSON'!$B$17:$B$192,$C3694,'5. PERSON'!DV$17:DV$192),SUMIF('5. PERSON'!$B$17:$B$192,$C3694,'5. PERSON'!BB$17:BB$192))</f>
        <v>0</v>
      </c>
      <c r="L3697" s="114">
        <f>IF('2. START'!$C$14&gt;0,SUMIF('5. PERSON'!$B$17:$B$192,$C3694,'5. PERSON'!DW$17:DW$192),SUMIF('5. PERSON'!$B$17:$B$192,$C3694,'5. PERSON'!BC$17:BC$192))</f>
        <v>0</v>
      </c>
      <c r="M3697" s="115">
        <f t="shared" ref="M3697:M3702" si="877">SUM(C3697:L3697)</f>
        <v>0</v>
      </c>
      <c r="O3697" s="4"/>
    </row>
    <row r="3698" spans="2:15" s="3" customFormat="1" ht="12.75" customHeight="1" x14ac:dyDescent="0.25">
      <c r="B3698" s="80" t="str">
        <f>IF('1. INTRO'!I$2="English","Operating","Drift")</f>
        <v>Operating</v>
      </c>
      <c r="C3698" s="116">
        <f>SUMIF('6. OPERATION'!$B$17:$B$149,$C3694,'6. OPERATION'!W$17:W$149)</f>
        <v>0</v>
      </c>
      <c r="D3698" s="116">
        <f>SUMIF('6. OPERATION'!$B$17:$B$149,$C3694,'6. OPERATION'!X$17:X$149)</f>
        <v>0</v>
      </c>
      <c r="E3698" s="116">
        <f>SUMIF('6. OPERATION'!$B$17:$B$149,$C3694,'6. OPERATION'!Y$17:Y$149)</f>
        <v>0</v>
      </c>
      <c r="F3698" s="116">
        <f>SUMIF('6. OPERATION'!$B$17:$B$149,$C3694,'6. OPERATION'!Z$17:Z$149)</f>
        <v>0</v>
      </c>
      <c r="G3698" s="116">
        <f>SUMIF('6. OPERATION'!$B$17:$B$149,$C3694,'6. OPERATION'!AA$17:AA$149)</f>
        <v>0</v>
      </c>
      <c r="H3698" s="116">
        <f>SUMIF('6. OPERATION'!$B$17:$B$149,$C3694,'6. OPERATION'!AB$17:AB$149)</f>
        <v>0</v>
      </c>
      <c r="I3698" s="116">
        <f>SUMIF('6. OPERATION'!$B$17:$B$149,$C3694,'6. OPERATION'!AC$17:AC$149)</f>
        <v>0</v>
      </c>
      <c r="J3698" s="116">
        <f>SUMIF('6. OPERATION'!$B$17:$B$149,$C3694,'6. OPERATION'!AD$17:AD$149)</f>
        <v>0</v>
      </c>
      <c r="K3698" s="116">
        <f>SUMIF('6. OPERATION'!$B$17:$B$149,$C3694,'6. OPERATION'!AE$17:AE$149)</f>
        <v>0</v>
      </c>
      <c r="L3698" s="116">
        <f>SUMIF('6. OPERATION'!$B$17:$B$149,$C3694,'6. OPERATION'!AF$17:AF$149)</f>
        <v>0</v>
      </c>
      <c r="M3698" s="117">
        <f t="shared" si="877"/>
        <v>0</v>
      </c>
    </row>
    <row r="3699" spans="2:15" s="3" customFormat="1" ht="13.2" x14ac:dyDescent="0.25">
      <c r="B3699" s="118" t="str">
        <f>IF('1. INTRO'!I$2="English","Equipment","Utrustning")</f>
        <v>Equipment</v>
      </c>
      <c r="C3699" s="119">
        <f>SUMIF('7. INVEST'!$B$17:$B$49,$C3694,'7. INVEST'!W$17:W$49)</f>
        <v>0</v>
      </c>
      <c r="D3699" s="119">
        <f>SUMIF('7. INVEST'!$B$17:$B$49,$C3694,'7. INVEST'!X$17:X$49)</f>
        <v>0</v>
      </c>
      <c r="E3699" s="119">
        <f>SUMIF('7. INVEST'!$B$17:$B$49,$C3694,'7. INVEST'!Y$17:Y$49)</f>
        <v>0</v>
      </c>
      <c r="F3699" s="119">
        <f>SUMIF('7. INVEST'!$B$17:$B$49,$C3694,'7. INVEST'!Z$17:Z$49)</f>
        <v>0</v>
      </c>
      <c r="G3699" s="119">
        <f>SUMIF('7. INVEST'!$B$17:$B$49,$C3694,'7. INVEST'!AA$17:AA$49)</f>
        <v>0</v>
      </c>
      <c r="H3699" s="119">
        <f>SUMIF('7. INVEST'!$B$17:$B$49,$C3694,'7. INVEST'!AB$17:AB$49)</f>
        <v>0</v>
      </c>
      <c r="I3699" s="119">
        <f>SUMIF('7. INVEST'!$B$17:$B$49,$C3694,'7. INVEST'!AC$17:AC$49)</f>
        <v>0</v>
      </c>
      <c r="J3699" s="119">
        <f>SUMIF('7. INVEST'!$B$17:$B$49,$C3694,'7. INVEST'!AD$17:AD$49)</f>
        <v>0</v>
      </c>
      <c r="K3699" s="119">
        <f>SUMIF('7. INVEST'!$B$17:$B$49,$C3694,'7. INVEST'!AE$17:AE$49)</f>
        <v>0</v>
      </c>
      <c r="L3699" s="119">
        <f>SUMIF('7. INVEST'!$B$17:$B$49,$C3694,'7. INVEST'!AF$17:AF$49)</f>
        <v>0</v>
      </c>
      <c r="M3699" s="120">
        <f t="shared" si="877"/>
        <v>0</v>
      </c>
    </row>
    <row r="3700" spans="2:15" s="3" customFormat="1" ht="13.2" x14ac:dyDescent="0.25">
      <c r="B3700" s="121" t="str">
        <f>IF('1. INTRO'!I$2="English",(IF('2. START'!C$11="NO","Facility accepted as direct cost by funding body","Facility")),IF('2. START'!C$11="NO","Lokal accepterad som direkt kostnad av finansiär","Lokal"))</f>
        <v>Facility</v>
      </c>
      <c r="C3700" s="116">
        <f>IF('2. START'!$C$11="NO",SUMIF('8. FACILIT'!$B$18:$B$50,$C3694,'8. FACILIT'!T$18:T$50),SUMIF('5. PERSON'!$B$17:$B$192,$C3694,'5. PERSON'!CP$17:CP$192)+SUMIF('6. OPERATION'!$B$17:$B$149,$C3694,'6. OPERATION'!BS$17:BS$149)+SUMIF('8. FACILIT'!$B$18:$B$50,$C3694,'8. FACILIT'!T$18:T$50))</f>
        <v>0</v>
      </c>
      <c r="D3700" s="116">
        <f>IF('2. START'!$C$11="NO",SUMIF('8. FACILIT'!$B$18:$B$50,$C3694,'8. FACILIT'!U$18:U$50),SUMIF('5. PERSON'!$B$17:$B$192,$C3694,'5. PERSON'!CQ$17:CQ$192)+SUMIF('6. OPERATION'!$B$17:$B$149,$C3694,'6. OPERATION'!BT$17:BT$149)+SUMIF('8. FACILIT'!$B$18:$B$50,$C3694,'8. FACILIT'!U$18:U$50))</f>
        <v>0</v>
      </c>
      <c r="E3700" s="116">
        <f>IF('2. START'!$C$11="NO",SUMIF('8. FACILIT'!$B$18:$B$50,$C3694,'8. FACILIT'!V$18:V$50),SUMIF('5. PERSON'!$B$17:$B$192,$C3694,'5. PERSON'!CR$17:CR$192)+SUMIF('6. OPERATION'!$B$17:$B$149,$C3694,'6. OPERATION'!BU$17:BU$149)+SUMIF('8. FACILIT'!$B$18:$B$50,$C3694,'8. FACILIT'!V$18:V$50))</f>
        <v>0</v>
      </c>
      <c r="F3700" s="116">
        <f>IF('2. START'!$C$11="NO",SUMIF('8. FACILIT'!$B$18:$B$50,$C3694,'8. FACILIT'!W$18:W$50),SUMIF('5. PERSON'!$B$17:$B$192,$C3694,'5. PERSON'!CS$17:CS$192)+SUMIF('6. OPERATION'!$B$17:$B$149,$C3694,'6. OPERATION'!BV$17:BV$149)+SUMIF('8. FACILIT'!$B$18:$B$50,$C3694,'8. FACILIT'!W$18:W$50))</f>
        <v>0</v>
      </c>
      <c r="G3700" s="116">
        <f>IF('2. START'!$C$11="NO",SUMIF('8. FACILIT'!$B$18:$B$50,$C3694,'8. FACILIT'!X$18:X$50),SUMIF('5. PERSON'!$B$17:$B$192,$C3694,'5. PERSON'!CT$17:CT$192)+SUMIF('6. OPERATION'!$B$17:$B$149,$C3694,'6. OPERATION'!BW$17:BW$149)+SUMIF('8. FACILIT'!$B$18:$B$50,$C3694,'8. FACILIT'!X$18:X$50))</f>
        <v>0</v>
      </c>
      <c r="H3700" s="116">
        <f>IF('2. START'!$C$11="NO",SUMIF('8. FACILIT'!$B$18:$B$50,$C3694,'8. FACILIT'!Y$18:Y$50),SUMIF('5. PERSON'!$B$17:$B$192,$C3694,'5. PERSON'!CU$17:CU$192)+SUMIF('6. OPERATION'!$B$17:$B$149,$C3694,'6. OPERATION'!BX$17:BX$149)+SUMIF('8. FACILIT'!$B$18:$B$50,$C3694,'8. FACILIT'!Y$18:Y$50))</f>
        <v>0</v>
      </c>
      <c r="I3700" s="116">
        <f>IF('2. START'!$C$11="NO",SUMIF('8. FACILIT'!$B$18:$B$50,$C3694,'8. FACILIT'!Z$18:Z$50),SUMIF('5. PERSON'!$B$17:$B$192,$C3694,'5. PERSON'!CV$17:CV$192)+SUMIF('6. OPERATION'!$B$17:$B$149,$C3694,'6. OPERATION'!BY$17:BY$149)+SUMIF('8. FACILIT'!$B$18:$B$50,$C3694,'8. FACILIT'!Z$18:Z$50))</f>
        <v>0</v>
      </c>
      <c r="J3700" s="116">
        <f>IF('2. START'!$C$11="NO",SUMIF('8. FACILIT'!$B$18:$B$50,$C3694,'8. FACILIT'!AA$18:AA$50),SUMIF('5. PERSON'!$B$17:$B$192,$C3694,'5. PERSON'!CW$17:CW$192)+SUMIF('6. OPERATION'!$B$17:$B$149,$C3694,'6. OPERATION'!BZ$17:BZ$149)+SUMIF('8. FACILIT'!$B$18:$B$50,$C3694,'8. FACILIT'!AA$18:AA$50))</f>
        <v>0</v>
      </c>
      <c r="K3700" s="116">
        <f>IF('2. START'!$C$11="NO",SUMIF('8. FACILIT'!$B$18:$B$50,$C3694,'8. FACILIT'!AB$18:AB$50),SUMIF('5. PERSON'!$B$17:$B$192,$C3694,'5. PERSON'!CX$17:CX$192)+SUMIF('6. OPERATION'!$B$17:$B$149,$C3694,'6. OPERATION'!CA$17:CA$149)+SUMIF('8. FACILIT'!$B$18:$B$50,$C3694,'8. FACILIT'!AB$18:AB$50))</f>
        <v>0</v>
      </c>
      <c r="L3700" s="116">
        <f>IF('2. START'!$C$11="NO",SUMIF('8. FACILIT'!$B$18:$B$50,$C3694,'8. FACILIT'!AC$18:AC$50),SUMIF('5. PERSON'!$B$17:$B$192,$C3694,'5. PERSON'!CY$17:CY$192)+SUMIF('6. OPERATION'!$B$17:$B$149,$C3694,'6. OPERATION'!CB$17:CB$149)+SUMIF('8. FACILIT'!$B$18:$B$50,$C3694,'8. FACILIT'!AC$18:AC$50))</f>
        <v>0</v>
      </c>
      <c r="M3700" s="117">
        <f t="shared" si="877"/>
        <v>0</v>
      </c>
    </row>
    <row r="3701" spans="2:15" s="3" customFormat="1" ht="13.2" x14ac:dyDescent="0.25">
      <c r="B3701" s="122" t="str">
        <f>IF('1. INTRO'!I$2="English",(IF('2. START'!C$11="NO","Indirect and facility charge accepted as OH by funding body","Indirect")),IF('2. START'!C$11="NO","Indirekt och lokalpåslag accepterade som OH av finansiär","Indirekt"))</f>
        <v>Indirect</v>
      </c>
      <c r="C3701" s="107">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107">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107">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107">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107">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107">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107">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107">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107">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107">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120">
        <f t="shared" si="877"/>
        <v>0</v>
      </c>
    </row>
    <row r="3702" spans="2:15" s="3" customFormat="1" ht="13.2" x14ac:dyDescent="0.25">
      <c r="B3702" s="124" t="s">
        <v>113</v>
      </c>
      <c r="C3702" s="102">
        <f>SUM(C3697:C3701)</f>
        <v>0</v>
      </c>
      <c r="D3702" s="102">
        <f t="shared" ref="D3702:L3702" si="878">SUM(D3697:D3701)</f>
        <v>0</v>
      </c>
      <c r="E3702" s="102">
        <f t="shared" si="878"/>
        <v>0</v>
      </c>
      <c r="F3702" s="102">
        <f t="shared" si="878"/>
        <v>0</v>
      </c>
      <c r="G3702" s="102">
        <f t="shared" si="878"/>
        <v>0</v>
      </c>
      <c r="H3702" s="102">
        <f t="shared" si="878"/>
        <v>0</v>
      </c>
      <c r="I3702" s="102">
        <f t="shared" si="878"/>
        <v>0</v>
      </c>
      <c r="J3702" s="102">
        <f t="shared" si="878"/>
        <v>0</v>
      </c>
      <c r="K3702" s="102">
        <f t="shared" si="878"/>
        <v>0</v>
      </c>
      <c r="L3702" s="102">
        <f t="shared" si="878"/>
        <v>0</v>
      </c>
      <c r="M3702" s="125">
        <f t="shared" si="877"/>
        <v>0</v>
      </c>
    </row>
    <row r="3703" spans="2:15" s="3" customFormat="1" ht="6" customHeight="1" x14ac:dyDescent="0.25">
      <c r="B3703" s="126"/>
      <c r="C3703" s="127"/>
      <c r="D3703" s="127"/>
      <c r="E3703" s="127"/>
      <c r="F3703" s="127"/>
      <c r="G3703" s="127"/>
      <c r="H3703" s="127"/>
      <c r="I3703" s="127"/>
      <c r="J3703" s="127"/>
      <c r="K3703" s="127"/>
      <c r="L3703" s="127"/>
      <c r="M3703" s="128"/>
    </row>
    <row r="3704" spans="2:15" s="3" customFormat="1" ht="13.2" x14ac:dyDescent="0.25">
      <c r="B3704" s="129" t="str">
        <f>IF('1. INTRO'!I$2="English","Costs to be co-funded","Kostnader att medfinansiera")</f>
        <v>Costs to be co-funded</v>
      </c>
      <c r="C3704" s="86"/>
      <c r="D3704" s="86"/>
      <c r="E3704" s="86"/>
      <c r="F3704" s="86"/>
      <c r="G3704" s="86"/>
      <c r="H3704" s="86"/>
      <c r="I3704" s="86"/>
      <c r="J3704" s="86"/>
      <c r="K3704" s="86"/>
      <c r="L3704" s="86"/>
      <c r="M3704" s="130"/>
    </row>
    <row r="3705" spans="2:15" s="3" customFormat="1" ht="13.2" x14ac:dyDescent="0.25">
      <c r="B3705" s="159" t="str">
        <f>IF('1. INTRO'!I$2="English",(IF('2. START'!C$11="NO","Indirect and facility charge not accepted as OH by funding body","")),IF('2. START'!C$11="NO","Indirekt och lokalpåslag inte accepterade som OH av finansiär",""))</f>
        <v/>
      </c>
      <c r="C3705" s="131">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31">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31">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31">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31">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31">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31">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31">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31">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31">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115">
        <f t="shared" ref="M3705:M3711" si="879">SUM(C3705:L3705)</f>
        <v>0</v>
      </c>
    </row>
    <row r="3706" spans="2:15" s="3" customFormat="1" ht="12.75" customHeight="1" x14ac:dyDescent="0.25">
      <c r="B3706" s="132" t="str">
        <f>IF('1. INTRO'!I$2="English",(IF('2. START'!C$14&gt;0,"Social costs (LKP) not accepted by funding body","")),IF('2. START'!C$14&gt;0,"LKP som inte accepteras av finansiär",""))</f>
        <v/>
      </c>
      <c r="C3706" s="133">
        <f>IF('2. START'!$C$14&gt;0,SUMIF('5. PERSON'!$B$17:$B$192,$C3694,'5. PERSON'!AT$17:AT$192)-SUMIF('5. PERSON'!$B$17:$B$192,$C3694,'5. PERSON'!DN$17:DN$192),0)</f>
        <v>0</v>
      </c>
      <c r="D3706" s="133">
        <f>IF('2. START'!$C$14&gt;0,SUMIF('5. PERSON'!$B$17:$B$192,$C3694,'5. PERSON'!AU$17:AU$192)-SUMIF('5. PERSON'!$B$17:$B$192,$C3694,'5. PERSON'!DO$17:DO$192),0)</f>
        <v>0</v>
      </c>
      <c r="E3706" s="133">
        <f>IF('2. START'!$C$14&gt;0,SUMIF('5. PERSON'!$B$17:$B$192,$C3694,'5. PERSON'!AV$17:AV$192)-SUMIF('5. PERSON'!$B$17:$B$192,$C3694,'5. PERSON'!DP$17:DP$192),0)</f>
        <v>0</v>
      </c>
      <c r="F3706" s="133">
        <f>IF('2. START'!$C$14&gt;0,SUMIF('5. PERSON'!$B$17:$B$192,$C3694,'5. PERSON'!AW$17:AW$192)-SUMIF('5. PERSON'!$B$17:$B$192,$C3694,'5. PERSON'!DQ$17:DQ$192),0)</f>
        <v>0</v>
      </c>
      <c r="G3706" s="133">
        <f>IF('2. START'!$C$14&gt;0,SUMIF('5. PERSON'!$B$17:$B$192,$C3694,'5. PERSON'!AX$17:AX$192)-SUMIF('5. PERSON'!$B$17:$B$192,$C3694,'5. PERSON'!DR$17:DR$192),0)</f>
        <v>0</v>
      </c>
      <c r="H3706" s="133">
        <f>IF('2. START'!$C$14&gt;0,SUMIF('5. PERSON'!$B$17:$B$192,$C3694,'5. PERSON'!AY$17:AY$192)-SUMIF('5. PERSON'!$B$17:$B$192,$C3694,'5. PERSON'!DS$17:DS$192),0)</f>
        <v>0</v>
      </c>
      <c r="I3706" s="133">
        <f>IF('2. START'!$C$14&gt;0,SUMIF('5. PERSON'!$B$17:$B$192,$C3694,'5. PERSON'!AZ$17:AZ$192)-SUMIF('5. PERSON'!$B$17:$B$192,$C3694,'5. PERSON'!DT$17:DT$192),0)</f>
        <v>0</v>
      </c>
      <c r="J3706" s="133">
        <f>IF('2. START'!$C$14&gt;0,SUMIF('5. PERSON'!$B$17:$B$192,$C3694,'5. PERSON'!BA$17:BA$192)-SUMIF('5. PERSON'!$B$17:$B$192,$C3694,'5. PERSON'!DU$17:DU$192),0)</f>
        <v>0</v>
      </c>
      <c r="K3706" s="133">
        <f>IF('2. START'!$C$14&gt;0,SUMIF('5. PERSON'!$B$17:$B$192,$C3694,'5. PERSON'!BB$17:BB$192)-SUMIF('5. PERSON'!$B$17:$B$192,$C3694,'5. PERSON'!DV$17:DV$192),0)</f>
        <v>0</v>
      </c>
      <c r="L3706" s="133">
        <f>IF('2. START'!$C$14&gt;0,SUMIF('5. PERSON'!$B$17:$B$192,$C3694,'5. PERSON'!BC$17:BC$192)-SUMIF('5. PERSON'!$B$17:$B$192,$C3694,'5. PERSON'!DW$17:DW$192),0)</f>
        <v>0</v>
      </c>
      <c r="M3706" s="117">
        <f t="shared" si="879"/>
        <v>0</v>
      </c>
    </row>
    <row r="3707" spans="2:15" s="3" customFormat="1" ht="12.75" customHeight="1" x14ac:dyDescent="0.25">
      <c r="B3707" s="118" t="str">
        <f>IF('1. INTRO'!I$2="English",(IF('5. PERSON'!BP$193&gt;0,"Salary including social costs (LKP)","")),IF('5. PERSON'!BP$193&gt;0,"Lön inklusive LKP",""))</f>
        <v/>
      </c>
      <c r="C3707" s="134">
        <f>SUMIF('5. PERSON'!$B$17:$B$192,$C3694,'5. PERSON'!BF$17:BF$192)</f>
        <v>0</v>
      </c>
      <c r="D3707" s="134">
        <f>SUMIF('5. PERSON'!$B$17:$B$192,$C3694,'5. PERSON'!BG$17:BG$192)</f>
        <v>0</v>
      </c>
      <c r="E3707" s="134">
        <f>SUMIF('5. PERSON'!$B$17:$B$192,$C3694,'5. PERSON'!BH$17:BH$192)</f>
        <v>0</v>
      </c>
      <c r="F3707" s="134">
        <f>SUMIF('5. PERSON'!$B$17:$B$192,$C3694,'5. PERSON'!BI$17:BI$192)</f>
        <v>0</v>
      </c>
      <c r="G3707" s="134">
        <f>SUMIF('5. PERSON'!$B$17:$B$192,$C3694,'5. PERSON'!BJ$17:BJ$192)</f>
        <v>0</v>
      </c>
      <c r="H3707" s="134">
        <f>SUMIF('5. PERSON'!$B$17:$B$192,$C3694,'5. PERSON'!BK$17:BK$192)</f>
        <v>0</v>
      </c>
      <c r="I3707" s="134">
        <f>SUMIF('5. PERSON'!$B$17:$B$192,$C3694,'5. PERSON'!BL$17:BL$192)</f>
        <v>0</v>
      </c>
      <c r="J3707" s="134">
        <f>SUMIF('5. PERSON'!$B$17:$B$192,$C3694,'5. PERSON'!BM$17:BM$192)</f>
        <v>0</v>
      </c>
      <c r="K3707" s="134">
        <f>SUMIF('5. PERSON'!$B$17:$B$192,$C3694,'5. PERSON'!BN$17:BN$192)</f>
        <v>0</v>
      </c>
      <c r="L3707" s="134">
        <f>SUMIF('5. PERSON'!$B$17:$B$192,$C3694,'5. PERSON'!BO$17:BO$192)</f>
        <v>0</v>
      </c>
      <c r="M3707" s="120">
        <f t="shared" si="879"/>
        <v>0</v>
      </c>
    </row>
    <row r="3708" spans="2:15" s="3" customFormat="1" ht="13.2" x14ac:dyDescent="0.25">
      <c r="B3708" s="80" t="str">
        <f>IF('1. INTRO'!I$2="English",(IF('6. OPERATION'!AS$150&gt;0,"Operating","")),IF('6. OPERATION'!AS$150&gt;0,"Drift",""))</f>
        <v/>
      </c>
      <c r="C3708" s="135">
        <f>SUMIF('6. OPERATION'!$B$17:$B$149,$C3694,'6. OPERATION'!AI$17:AI$149)</f>
        <v>0</v>
      </c>
      <c r="D3708" s="135">
        <f>SUMIF('6. OPERATION'!$B$17:$B$149,$C3694,'6. OPERATION'!AJ$17:AJ$149)</f>
        <v>0</v>
      </c>
      <c r="E3708" s="135">
        <f>SUMIF('6. OPERATION'!$B$17:$B$149,$C3694,'6. OPERATION'!AK$17:AK$149)</f>
        <v>0</v>
      </c>
      <c r="F3708" s="135">
        <f>SUMIF('6. OPERATION'!$B$17:$B$149,$C3694,'6. OPERATION'!AL$17:AL$149)</f>
        <v>0</v>
      </c>
      <c r="G3708" s="135">
        <f>SUMIF('6. OPERATION'!$B$17:$B$149,$C3694,'6. OPERATION'!AM$17:AM$149)</f>
        <v>0</v>
      </c>
      <c r="H3708" s="135">
        <f>SUMIF('6. OPERATION'!$B$17:$B$149,$C3694,'6. OPERATION'!AN$17:AN$149)</f>
        <v>0</v>
      </c>
      <c r="I3708" s="135">
        <f>SUMIF('6. OPERATION'!$B$17:$B$149,$C3694,'6. OPERATION'!AO$17:AO$149)</f>
        <v>0</v>
      </c>
      <c r="J3708" s="135">
        <f>SUMIF('6. OPERATION'!$B$17:$B$149,$C3694,'6. OPERATION'!AP$17:AP$149)</f>
        <v>0</v>
      </c>
      <c r="K3708" s="135">
        <f>SUMIF('6. OPERATION'!$B$17:$B$149,$C3694,'6. OPERATION'!AQ$17:AQ$149)</f>
        <v>0</v>
      </c>
      <c r="L3708" s="135">
        <f>SUMIF('6. OPERATION'!$B$17:$B$149,$C3694,'6. OPERATION'!AR$17:AR$149)</f>
        <v>0</v>
      </c>
      <c r="M3708" s="117">
        <f t="shared" si="879"/>
        <v>0</v>
      </c>
    </row>
    <row r="3709" spans="2:15" s="3" customFormat="1" ht="13.2" x14ac:dyDescent="0.25">
      <c r="B3709" s="118" t="str">
        <f>IF('1. INTRO'!I$2="English",(IF('7. INVEST'!AS$50&gt;0,"Equipment","")),IF('7. INVEST'!AS$50&gt;0,"Utrustning",""))</f>
        <v/>
      </c>
      <c r="C3709" s="134">
        <f>SUMIF('7. INVEST'!$B$17:$B$49,$C3694,'7. INVEST'!AI$17:AI$49)</f>
        <v>0</v>
      </c>
      <c r="D3709" s="134">
        <f>SUMIF('7. INVEST'!$B$17:$B$49,$C3694,'7. INVEST'!AJ$17:AJ$49)</f>
        <v>0</v>
      </c>
      <c r="E3709" s="134">
        <f>SUMIF('7. INVEST'!$B$17:$B$49,$C3694,'7. INVEST'!AK$17:AK$49)</f>
        <v>0</v>
      </c>
      <c r="F3709" s="134">
        <f>SUMIF('7. INVEST'!$B$17:$B$49,$C3694,'7. INVEST'!AL$17:AL$49)</f>
        <v>0</v>
      </c>
      <c r="G3709" s="134">
        <f>SUMIF('7. INVEST'!$B$17:$B$49,$C3694,'7. INVEST'!AM$17:AM$49)</f>
        <v>0</v>
      </c>
      <c r="H3709" s="134">
        <f>SUMIF('7. INVEST'!$B$17:$B$49,$C3694,'7. INVEST'!AN$17:AN$49)</f>
        <v>0</v>
      </c>
      <c r="I3709" s="134">
        <f>SUMIF('7. INVEST'!$B$17:$B$49,$C3694,'7. INVEST'!AO$17:AO$49)</f>
        <v>0</v>
      </c>
      <c r="J3709" s="134">
        <f>SUMIF('7. INVEST'!$B$17:$B$49,$C3694,'7. INVEST'!AP$17:AP$49)</f>
        <v>0</v>
      </c>
      <c r="K3709" s="134">
        <f>SUMIF('7. INVEST'!$B$17:$B$49,$C3694,'7. INVEST'!AQ$17:AQ$49)</f>
        <v>0</v>
      </c>
      <c r="L3709" s="134">
        <f>SUMIF('7. INVEST'!$B$17:$B$49,$C3694,'7. INVEST'!AR$17:AR$49)</f>
        <v>0</v>
      </c>
      <c r="M3709" s="120">
        <f t="shared" si="879"/>
        <v>0</v>
      </c>
    </row>
    <row r="3710" spans="2:15" s="3" customFormat="1" ht="13.2" x14ac:dyDescent="0.25">
      <c r="B3710" s="121" t="str">
        <f>IF('1. INTRO'!I$2="English",(IF('8. FACILIT'!AP$51&gt;0,"Facility","")),IF('8. FACILIT'!AP$51&gt;0,"Lokal",""))</f>
        <v/>
      </c>
      <c r="C3710" s="135">
        <f>SUMIF('5. PERSON'!$B$17:$B$192,$C3694,'5. PERSON'!DB$17:DB$192)+SUMIF('6. OPERATION'!$B$17:$B$149,$C3694,'6. OPERATION'!CE$17:CE$149)+SUMIF('8. FACILIT'!$B$18:$B$50,$C3694,'8. FACILIT'!AF$18:AF$50)</f>
        <v>0</v>
      </c>
      <c r="D3710" s="135">
        <f>SUMIF('5. PERSON'!$B$17:$B$192,$C3694,'5. PERSON'!DC$17:DC$192)+SUMIF('6. OPERATION'!$B$17:$B$149,$C3694,'6. OPERATION'!CF$17:CF$149)+SUMIF('8. FACILIT'!$B$18:$B$50,$C3694,'8. FACILIT'!AG$18:AG$50)</f>
        <v>0</v>
      </c>
      <c r="E3710" s="135">
        <f>SUMIF('5. PERSON'!$B$17:$B$192,$C3694,'5. PERSON'!DD$17:DD$192)+SUMIF('6. OPERATION'!$B$17:$B$149,$C3694,'6. OPERATION'!CG$17:CG$149)+SUMIF('8. FACILIT'!$B$18:$B$50,$C3694,'8. FACILIT'!AH$18:AH$50)</f>
        <v>0</v>
      </c>
      <c r="F3710" s="135">
        <f>SUMIF('5. PERSON'!$B$17:$B$192,$C3694,'5. PERSON'!DE$17:DE$192)+SUMIF('6. OPERATION'!$B$17:$B$149,$C3694,'6. OPERATION'!CH$17:CH$149)+SUMIF('8. FACILIT'!$B$18:$B$50,$C3694,'8. FACILIT'!AI$18:AI$50)</f>
        <v>0</v>
      </c>
      <c r="G3710" s="135">
        <f>SUMIF('5. PERSON'!$B$17:$B$192,$C3694,'5. PERSON'!DF$17:DF$192)+SUMIF('6. OPERATION'!$B$17:$B$149,$C3694,'6. OPERATION'!CI$17:CI$149)+SUMIF('8. FACILIT'!$B$18:$B$50,$C3694,'8. FACILIT'!AJ$18:AJ$50)</f>
        <v>0</v>
      </c>
      <c r="H3710" s="135">
        <f>SUMIF('5. PERSON'!$B$17:$B$192,$C3694,'5. PERSON'!DG$17:DG$192)+SUMIF('6. OPERATION'!$B$17:$B$149,$C3694,'6. OPERATION'!CJ$17:CJ$149)+SUMIF('8. FACILIT'!$B$18:$B$50,$C3694,'8. FACILIT'!AK$18:AK$50)</f>
        <v>0</v>
      </c>
      <c r="I3710" s="135">
        <f>SUMIF('5. PERSON'!$B$17:$B$192,$C3694,'5. PERSON'!DH$17:DH$192)+SUMIF('6. OPERATION'!$B$17:$B$149,$C3694,'6. OPERATION'!CK$17:CK$149)+SUMIF('8. FACILIT'!$B$18:$B$50,$C3694,'8. FACILIT'!AL$18:AL$50)</f>
        <v>0</v>
      </c>
      <c r="J3710" s="135">
        <f>SUMIF('5. PERSON'!$B$17:$B$192,$C3694,'5. PERSON'!DI$17:DI$192)+SUMIF('6. OPERATION'!$B$17:$B$149,$C3694,'6. OPERATION'!CL$17:CL$149)+SUMIF('8. FACILIT'!$B$18:$B$50,$C3694,'8. FACILIT'!AM$18:AM$50)</f>
        <v>0</v>
      </c>
      <c r="K3710" s="135">
        <f>SUMIF('5. PERSON'!$B$17:$B$192,$C3694,'5. PERSON'!DJ$17:DJ$192)+SUMIF('6. OPERATION'!$B$17:$B$149,$C3694,'6. OPERATION'!CM$17:CM$149)+SUMIF('8. FACILIT'!$B$18:$B$50,$C3694,'8. FACILIT'!AN$18:AN$50)</f>
        <v>0</v>
      </c>
      <c r="L3710" s="135">
        <f>SUMIF('5. PERSON'!$B$17:$B$192,$C3694,'5. PERSON'!DK$17:DK$192)+SUMIF('6. OPERATION'!$B$17:$B$149,$C3694,'6. OPERATION'!CN$17:CN$149)+SUMIF('8. FACILIT'!$B$18:$B$50,$C3694,'8. FACILIT'!AO$18:AO$50)</f>
        <v>0</v>
      </c>
      <c r="M3710" s="117">
        <f t="shared" si="879"/>
        <v>0</v>
      </c>
    </row>
    <row r="3711" spans="2:15" s="1" customFormat="1" ht="13.2" x14ac:dyDescent="0.25">
      <c r="B3711" s="122" t="str">
        <f>IF('1. INTRO'!I$2="English",(IF(('5. PERSON'!CN$193+'6. OPERATION'!BQ$150)&gt;0,"Indirect","")),IF(('5. PERSON'!CN$193+'6. OPERATION'!BQ$150)&gt;0,"Indirekt",""))</f>
        <v/>
      </c>
      <c r="C3711" s="107">
        <f>SUMIF('5. PERSON'!$B$17:$B$192,$C3694,'5. PERSON'!CD$17:CD$192)+SUMIF('6. OPERATION'!$B$17:$B$149,$C3694,'6. OPERATION'!BG$17:BG$149)</f>
        <v>0</v>
      </c>
      <c r="D3711" s="107">
        <f>SUMIF('5. PERSON'!$B$17:$B$192,$C3694,'5. PERSON'!CE$17:CE$192)+SUMIF('6. OPERATION'!$B$17:$B$149,$C3694,'6. OPERATION'!BH$17:BH$149)</f>
        <v>0</v>
      </c>
      <c r="E3711" s="107">
        <f>SUMIF('5. PERSON'!$B$17:$B$192,$C3694,'5. PERSON'!CF$17:CF$192)+SUMIF('6. OPERATION'!$B$17:$B$149,$C3694,'6. OPERATION'!BI$17:BI$149)</f>
        <v>0</v>
      </c>
      <c r="F3711" s="107">
        <f>SUMIF('5. PERSON'!$B$17:$B$192,$C3694,'5. PERSON'!CG$17:CG$192)+SUMIF('6. OPERATION'!$B$17:$B$149,$C3694,'6. OPERATION'!BJ$17:BJ$149)</f>
        <v>0</v>
      </c>
      <c r="G3711" s="107">
        <f>SUMIF('5. PERSON'!$B$17:$B$192,$C3694,'5. PERSON'!CH$17:CH$192)+SUMIF('6. OPERATION'!$B$17:$B$149,$C3694,'6. OPERATION'!BK$17:BK$149)</f>
        <v>0</v>
      </c>
      <c r="H3711" s="107">
        <f>SUMIF('5. PERSON'!$B$17:$B$192,$C3694,'5. PERSON'!CI$17:CI$192)+SUMIF('6. OPERATION'!$B$17:$B$149,$C3694,'6. OPERATION'!BL$17:BL$149)</f>
        <v>0</v>
      </c>
      <c r="I3711" s="107">
        <f>SUMIF('5. PERSON'!$B$17:$B$192,$C3694,'5. PERSON'!CJ$17:CJ$192)+SUMIF('6. OPERATION'!$B$17:$B$149,$C3694,'6. OPERATION'!BM$17:BM$149)</f>
        <v>0</v>
      </c>
      <c r="J3711" s="107">
        <f>SUMIF('5. PERSON'!$B$17:$B$192,$C3694,'5. PERSON'!CK$17:CK$192)+SUMIF('6. OPERATION'!$B$17:$B$149,$C3694,'6. OPERATION'!BN$17:BN$149)</f>
        <v>0</v>
      </c>
      <c r="K3711" s="107">
        <f>SUMIF('5. PERSON'!$B$17:$B$192,$C3694,'5. PERSON'!CL$17:CL$192)+SUMIF('6. OPERATION'!$B$17:$B$149,$C3694,'6. OPERATION'!BO$17:BO$149)</f>
        <v>0</v>
      </c>
      <c r="L3711" s="107">
        <f>SUMIF('5. PERSON'!$B$17:$B$192,$C3694,'5. PERSON'!CM$17:CM$192)+SUMIF('6. OPERATION'!$B$17:$B$149,$C3694,'6. OPERATION'!BP$17:BP$149)</f>
        <v>0</v>
      </c>
      <c r="M3711" s="123">
        <f t="shared" si="879"/>
        <v>0</v>
      </c>
    </row>
    <row r="3712" spans="2:15" s="3" customFormat="1" ht="13.2" x14ac:dyDescent="0.25">
      <c r="B3712" s="124" t="s">
        <v>113</v>
      </c>
      <c r="C3712" s="102">
        <f>SUM(C3705:C3711)</f>
        <v>0</v>
      </c>
      <c r="D3712" s="102">
        <f t="shared" ref="D3712:L3712" si="880">SUM(D3705:D3711)</f>
        <v>0</v>
      </c>
      <c r="E3712" s="102">
        <f t="shared" si="880"/>
        <v>0</v>
      </c>
      <c r="F3712" s="102">
        <f t="shared" si="880"/>
        <v>0</v>
      </c>
      <c r="G3712" s="102">
        <f t="shared" si="880"/>
        <v>0</v>
      </c>
      <c r="H3712" s="102">
        <f t="shared" si="880"/>
        <v>0</v>
      </c>
      <c r="I3712" s="102">
        <f t="shared" si="880"/>
        <v>0</v>
      </c>
      <c r="J3712" s="102">
        <f t="shared" si="880"/>
        <v>0</v>
      </c>
      <c r="K3712" s="102">
        <f t="shared" si="880"/>
        <v>0</v>
      </c>
      <c r="L3712" s="102">
        <f t="shared" si="880"/>
        <v>0</v>
      </c>
      <c r="M3712" s="125">
        <f t="shared" ref="M3712" si="881">SUM(M3705:M3711)</f>
        <v>0</v>
      </c>
      <c r="N3712" s="23"/>
      <c r="O3712" s="23"/>
    </row>
    <row r="3713" spans="2:13" s="3" customFormat="1" ht="6" customHeight="1" x14ac:dyDescent="0.25">
      <c r="B3713" s="136"/>
      <c r="C3713" s="127"/>
      <c r="D3713" s="127"/>
      <c r="E3713" s="127"/>
      <c r="F3713" s="127"/>
      <c r="G3713" s="127"/>
      <c r="H3713" s="127"/>
      <c r="I3713" s="127"/>
      <c r="J3713" s="127"/>
      <c r="K3713" s="127"/>
      <c r="L3713" s="127"/>
      <c r="M3713" s="137"/>
    </row>
    <row r="3714" spans="2:13" s="3" customFormat="1" ht="13.2" x14ac:dyDescent="0.25">
      <c r="B3714" s="129" t="str">
        <f>IF('1. INTRO'!I$2="English","Full cost","Full kostnad")</f>
        <v>Full cost</v>
      </c>
      <c r="C3714" s="127"/>
      <c r="D3714" s="127"/>
      <c r="E3714" s="127"/>
      <c r="F3714" s="127"/>
      <c r="G3714" s="127"/>
      <c r="H3714" s="127"/>
      <c r="I3714" s="127"/>
      <c r="J3714" s="127"/>
      <c r="K3714" s="127"/>
      <c r="L3714" s="127"/>
      <c r="M3714" s="137"/>
    </row>
    <row r="3715" spans="2:13" s="3" customFormat="1" ht="13.2" x14ac:dyDescent="0.25">
      <c r="B3715" s="113" t="str">
        <f>IF('1. INTRO'!I$2="English","Salary including social costs (LKP)","Lön inklusive LKP")</f>
        <v>Salary including social costs (LKP)</v>
      </c>
      <c r="C3715" s="138">
        <f>C3697+C3706+C3707</f>
        <v>0</v>
      </c>
      <c r="D3715" s="138">
        <f t="shared" ref="D3715:L3715" si="882">D3697+D3706+D3707</f>
        <v>0</v>
      </c>
      <c r="E3715" s="138">
        <f t="shared" si="882"/>
        <v>0</v>
      </c>
      <c r="F3715" s="138">
        <f t="shared" si="882"/>
        <v>0</v>
      </c>
      <c r="G3715" s="138">
        <f t="shared" si="882"/>
        <v>0</v>
      </c>
      <c r="H3715" s="138">
        <f t="shared" si="882"/>
        <v>0</v>
      </c>
      <c r="I3715" s="138">
        <f t="shared" si="882"/>
        <v>0</v>
      </c>
      <c r="J3715" s="138">
        <f t="shared" si="882"/>
        <v>0</v>
      </c>
      <c r="K3715" s="138">
        <f t="shared" si="882"/>
        <v>0</v>
      </c>
      <c r="L3715" s="138">
        <f t="shared" si="882"/>
        <v>0</v>
      </c>
      <c r="M3715" s="115">
        <f>SUM(C3715:L3715)</f>
        <v>0</v>
      </c>
    </row>
    <row r="3716" spans="2:13" s="3" customFormat="1" ht="13.2" x14ac:dyDescent="0.25">
      <c r="B3716" s="80" t="str">
        <f>IF('1. INTRO'!I$2="English","Operating","Drift")</f>
        <v>Operating</v>
      </c>
      <c r="C3716" s="139">
        <f>C3698+C3708</f>
        <v>0</v>
      </c>
      <c r="D3716" s="139">
        <f t="shared" ref="D3716:L3716" si="883">D3698+D3708</f>
        <v>0</v>
      </c>
      <c r="E3716" s="139">
        <f t="shared" si="883"/>
        <v>0</v>
      </c>
      <c r="F3716" s="139">
        <f t="shared" si="883"/>
        <v>0</v>
      </c>
      <c r="G3716" s="139">
        <f t="shared" si="883"/>
        <v>0</v>
      </c>
      <c r="H3716" s="139">
        <f t="shared" si="883"/>
        <v>0</v>
      </c>
      <c r="I3716" s="139">
        <f t="shared" si="883"/>
        <v>0</v>
      </c>
      <c r="J3716" s="139">
        <f t="shared" si="883"/>
        <v>0</v>
      </c>
      <c r="K3716" s="139">
        <f t="shared" si="883"/>
        <v>0</v>
      </c>
      <c r="L3716" s="139">
        <f t="shared" si="883"/>
        <v>0</v>
      </c>
      <c r="M3716" s="117">
        <f>SUM(C3716:L3716)</f>
        <v>0</v>
      </c>
    </row>
    <row r="3717" spans="2:13" s="3" customFormat="1" ht="13.2" x14ac:dyDescent="0.25">
      <c r="B3717" s="118" t="str">
        <f>IF('1. INTRO'!I$2="English","Equipment","Utrustning")</f>
        <v>Equipment</v>
      </c>
      <c r="C3717" s="140">
        <f>C3699+C3709</f>
        <v>0</v>
      </c>
      <c r="D3717" s="140">
        <f t="shared" ref="D3717:L3717" si="884">D3699+D3709</f>
        <v>0</v>
      </c>
      <c r="E3717" s="140">
        <f t="shared" si="884"/>
        <v>0</v>
      </c>
      <c r="F3717" s="140">
        <f t="shared" si="884"/>
        <v>0</v>
      </c>
      <c r="G3717" s="140">
        <f t="shared" si="884"/>
        <v>0</v>
      </c>
      <c r="H3717" s="140">
        <f t="shared" si="884"/>
        <v>0</v>
      </c>
      <c r="I3717" s="140">
        <f t="shared" si="884"/>
        <v>0</v>
      </c>
      <c r="J3717" s="140">
        <f t="shared" si="884"/>
        <v>0</v>
      </c>
      <c r="K3717" s="140">
        <f t="shared" si="884"/>
        <v>0</v>
      </c>
      <c r="L3717" s="140">
        <f t="shared" si="884"/>
        <v>0</v>
      </c>
      <c r="M3717" s="120">
        <f>SUM(C3717:L3717)</f>
        <v>0</v>
      </c>
    </row>
    <row r="3718" spans="2:13" s="3" customFormat="1" ht="13.2" x14ac:dyDescent="0.25">
      <c r="B3718" s="80" t="str">
        <f>IF('1. INTRO'!I$2="English","Facility","Lokal")</f>
        <v>Facility</v>
      </c>
      <c r="C3718" s="139">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39">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39">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39">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39">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39">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39">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39">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39">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39">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117">
        <f>SUM(C3718:L3718)</f>
        <v>0</v>
      </c>
    </row>
    <row r="3719" spans="2:13" s="3" customFormat="1" ht="13.2" x14ac:dyDescent="0.25">
      <c r="B3719" s="601" t="str">
        <f>IF('1. INTRO'!I$2="English","Indirect","Indirekt")</f>
        <v>Indirect</v>
      </c>
      <c r="C3719" s="141">
        <f>SUMIF('5. PERSON'!$B$17:$B$192,$C3694,'5. PERSON'!BR$17:BR$192)+SUMIF('5. PERSON'!$B$17:$B$192,$C3694,'5. PERSON'!CD$17:CD$192)+SUMIF('6. OPERATION'!$B$17:$B$149,$C3694,'6. OPERATION'!AU$17:AU$149)+SUMIF('6. OPERATION'!$B$17:$B$149,$C3694,'6. OPERATION'!BG$17:BG$149)</f>
        <v>0</v>
      </c>
      <c r="D3719" s="141">
        <f>SUMIF('5. PERSON'!$B$17:$B$192,$C3694,'5. PERSON'!BS$17:BS$192)+SUMIF('5. PERSON'!$B$17:$B$192,$C3694,'5. PERSON'!CE$17:CE$192)+SUMIF('6. OPERATION'!$B$17:$B$149,$C3694,'6. OPERATION'!AV$17:AV$149)+SUMIF('6. OPERATION'!$B$17:$B$149,$C3694,'6. OPERATION'!BH$17:BH$149)</f>
        <v>0</v>
      </c>
      <c r="E3719" s="141">
        <f>SUMIF('5. PERSON'!$B$17:$B$192,$C3694,'5. PERSON'!BT$17:BT$192)+SUMIF('5. PERSON'!$B$17:$B$192,$C3694,'5. PERSON'!CF$17:CF$192)+SUMIF('6. OPERATION'!$B$17:$B$149,$C3694,'6. OPERATION'!AW$17:AW$149)+SUMIF('6. OPERATION'!$B$17:$B$149,$C3694,'6. OPERATION'!BI$17:BI$149)</f>
        <v>0</v>
      </c>
      <c r="F3719" s="141">
        <f>SUMIF('5. PERSON'!$B$17:$B$192,$C3694,'5. PERSON'!BU$17:BU$192)+SUMIF('5. PERSON'!$B$17:$B$192,$C3694,'5. PERSON'!CG$17:CG$192)+SUMIF('6. OPERATION'!$B$17:$B$149,$C3694,'6. OPERATION'!AX$17:AX$149)+SUMIF('6. OPERATION'!$B$17:$B$149,$C3694,'6. OPERATION'!BJ$17:BJ$149)</f>
        <v>0</v>
      </c>
      <c r="G3719" s="141">
        <f>SUMIF('5. PERSON'!$B$17:$B$192,$C3694,'5. PERSON'!BV$17:BV$192)+SUMIF('5. PERSON'!$B$17:$B$192,$C3694,'5. PERSON'!CH$17:CH$192)+SUMIF('6. OPERATION'!$B$17:$B$149,$C3694,'6. OPERATION'!AY$17:AY$149)+SUMIF('6. OPERATION'!$B$17:$B$149,$C3694,'6. OPERATION'!BK$17:BK$149)</f>
        <v>0</v>
      </c>
      <c r="H3719" s="141">
        <f>SUMIF('5. PERSON'!$B$17:$B$192,$C3694,'5. PERSON'!BW$17:BW$192)+SUMIF('5. PERSON'!$B$17:$B$192,$C3694,'5. PERSON'!CI$17:CI$192)+SUMIF('6. OPERATION'!$B$17:$B$149,$C3694,'6. OPERATION'!AZ$17:AZ$149)+SUMIF('6. OPERATION'!$B$17:$B$149,$C3694,'6. OPERATION'!BL$17:BL$149)</f>
        <v>0</v>
      </c>
      <c r="I3719" s="141">
        <f>SUMIF('5. PERSON'!$B$17:$B$192,$C3694,'5. PERSON'!BX$17:BX$192)+SUMIF('5. PERSON'!$B$17:$B$192,$C3694,'5. PERSON'!CJ$17:CJ$192)+SUMIF('6. OPERATION'!$B$17:$B$149,$C3694,'6. OPERATION'!BA$17:BA$149)+SUMIF('6. OPERATION'!$B$17:$B$149,$C3694,'6. OPERATION'!BM$17:BM$149)</f>
        <v>0</v>
      </c>
      <c r="J3719" s="141">
        <f>SUMIF('5. PERSON'!$B$17:$B$192,$C3694,'5. PERSON'!BY$17:BY$192)+SUMIF('5. PERSON'!$B$17:$B$192,$C3694,'5. PERSON'!CK$17:CK$192)+SUMIF('6. OPERATION'!$B$17:$B$149,$C3694,'6. OPERATION'!BB$17:BB$149)+SUMIF('6. OPERATION'!$B$17:$B$149,$C3694,'6. OPERATION'!BN$17:BN$149)</f>
        <v>0</v>
      </c>
      <c r="K3719" s="141">
        <f>SUMIF('5. PERSON'!$B$17:$B$192,$C3694,'5. PERSON'!BZ$17:BZ$192)+SUMIF('5. PERSON'!$B$17:$B$192,$C3694,'5. PERSON'!CL$17:CL$192)+SUMIF('6. OPERATION'!$B$17:$B$149,$C3694,'6. OPERATION'!BC$17:BC$149)+SUMIF('6. OPERATION'!$B$17:$B$149,$C3694,'6. OPERATION'!BO$17:BO$149)</f>
        <v>0</v>
      </c>
      <c r="L3719" s="141">
        <f>SUMIF('5. PERSON'!$B$17:$B$192,$C3694,'5. PERSON'!CA$17:CA$192)+SUMIF('5. PERSON'!$B$17:$B$192,$C3694,'5. PERSON'!CM$17:CM$192)+SUMIF('6. OPERATION'!$B$17:$B$149,$C3694,'6. OPERATION'!BD$17:BD$149)+SUMIF('6. OPERATION'!$B$17:$B$149,$C3694,'6. OPERATION'!BP$17:BP$149)</f>
        <v>0</v>
      </c>
      <c r="M3719" s="123">
        <f>SUM(C3719:L3719)</f>
        <v>0</v>
      </c>
    </row>
    <row r="3720" spans="2:13" s="3" customFormat="1" ht="13.2" x14ac:dyDescent="0.25">
      <c r="B3720" s="124" t="s">
        <v>113</v>
      </c>
      <c r="C3720" s="88">
        <f>SUM(C3715:C3719)</f>
        <v>0</v>
      </c>
      <c r="D3720" s="88">
        <f t="shared" ref="D3720:M3720" si="885">SUM(D3715:D3719)</f>
        <v>0</v>
      </c>
      <c r="E3720" s="88">
        <f t="shared" si="885"/>
        <v>0</v>
      </c>
      <c r="F3720" s="88">
        <f t="shared" si="885"/>
        <v>0</v>
      </c>
      <c r="G3720" s="88">
        <f t="shared" si="885"/>
        <v>0</v>
      </c>
      <c r="H3720" s="88">
        <f t="shared" si="885"/>
        <v>0</v>
      </c>
      <c r="I3720" s="88">
        <f t="shared" si="885"/>
        <v>0</v>
      </c>
      <c r="J3720" s="88">
        <f t="shared" si="885"/>
        <v>0</v>
      </c>
      <c r="K3720" s="88">
        <f t="shared" si="885"/>
        <v>0</v>
      </c>
      <c r="L3720" s="88">
        <f t="shared" si="885"/>
        <v>0</v>
      </c>
      <c r="M3720" s="142">
        <f t="shared" si="885"/>
        <v>0</v>
      </c>
    </row>
    <row r="3721" spans="2:13" s="3" customFormat="1" ht="13.2" x14ac:dyDescent="0.25">
      <c r="B3721" s="287"/>
      <c r="C3721" s="37"/>
      <c r="D3721" s="37"/>
      <c r="E3721" s="37"/>
      <c r="F3721" s="37"/>
      <c r="G3721" s="37"/>
      <c r="H3721" s="37"/>
      <c r="I3721" s="37"/>
      <c r="J3721" s="37"/>
      <c r="K3721" s="37"/>
      <c r="L3721" s="37"/>
      <c r="M3721" s="37"/>
    </row>
    <row r="3722" spans="2:13" s="3" customFormat="1" ht="12.75" customHeight="1" x14ac:dyDescent="0.25">
      <c r="B3722" s="656" t="str">
        <f>IF('1. INTRO'!I$2="English","Co-funding share in full cost ","Medfinansieringsandel i full kostnad ")</f>
        <v xml:space="preserve">Co-funding share in full cost </v>
      </c>
      <c r="C3722" s="143" t="str">
        <f t="shared" ref="C3722:M3722" si="886">IF(C3720&gt;0,C3712/C3720,"")</f>
        <v/>
      </c>
      <c r="D3722" s="143" t="str">
        <f t="shared" si="886"/>
        <v/>
      </c>
      <c r="E3722" s="143" t="str">
        <f t="shared" si="886"/>
        <v/>
      </c>
      <c r="F3722" s="143" t="str">
        <f t="shared" si="886"/>
        <v/>
      </c>
      <c r="G3722" s="143" t="str">
        <f t="shared" si="886"/>
        <v/>
      </c>
      <c r="H3722" s="143" t="str">
        <f t="shared" si="886"/>
        <v/>
      </c>
      <c r="I3722" s="143" t="str">
        <f t="shared" si="886"/>
        <v/>
      </c>
      <c r="J3722" s="143" t="str">
        <f t="shared" si="886"/>
        <v/>
      </c>
      <c r="K3722" s="143" t="str">
        <f t="shared" si="886"/>
        <v/>
      </c>
      <c r="L3722" s="143" t="str">
        <f t="shared" si="886"/>
        <v/>
      </c>
      <c r="M3722" s="143" t="str">
        <f t="shared" si="886"/>
        <v/>
      </c>
    </row>
    <row r="3723" spans="2:13" ht="12.75" customHeight="1" x14ac:dyDescent="0.2"/>
    <row r="3724" spans="2:13" ht="12.75" customHeight="1" x14ac:dyDescent="0.25">
      <c r="D3724" s="676" t="str">
        <f>IF('1. INTRO'!I$2="English","Co-funding need in average per year: ","Medfinansieringsbehov i genomsnitt per år: ")</f>
        <v xml:space="preserve">Co-funding need in average per year: </v>
      </c>
      <c r="E3724" s="92" t="str">
        <f>IF(M3712=0,"",M3712/(DATEDIF('2. START'!C$18,'2. START'!C$19,"d")/365))</f>
        <v/>
      </c>
      <c r="H3724" s="676" t="str">
        <f>IF('1. INTRO'!I$2="English","Co-funding need 1/3 of total: ","Medfinansieringsbehov 1/3 av totalt: ")</f>
        <v xml:space="preserve">Co-funding need 1/3 of total: </v>
      </c>
      <c r="I3724" s="92">
        <f>M3712/3</f>
        <v>0</v>
      </c>
      <c r="L3724" s="287" t="str">
        <f>IF('1. INTRO'!I$2="English","Co-funding need total: ","Medfinansieringsbehov totalt: ")</f>
        <v xml:space="preserve">Co-funding need total: </v>
      </c>
      <c r="M3724" s="92">
        <f>M3712</f>
        <v>0</v>
      </c>
    </row>
    <row r="3725" spans="2:13" ht="12.75" customHeight="1" x14ac:dyDescent="0.25">
      <c r="B3725" s="53" t="str">
        <f>IF('1. INTRO'!I$2="English","Co-funding sources","Medfinansieringskällor")</f>
        <v>Co-funding sources</v>
      </c>
    </row>
    <row r="3726" spans="2:13" ht="12.75" customHeight="1" x14ac:dyDescent="0.25">
      <c r="B3726" s="225"/>
      <c r="C3726" s="226"/>
      <c r="D3726" s="226"/>
      <c r="E3726" s="226"/>
      <c r="F3726" s="226"/>
      <c r="G3726" s="226"/>
      <c r="H3726" s="226"/>
      <c r="I3726" s="226"/>
      <c r="J3726" s="226"/>
      <c r="K3726" s="226"/>
      <c r="L3726" s="227"/>
      <c r="M3726" s="168">
        <f>SUM(C3726:L3726)</f>
        <v>0</v>
      </c>
    </row>
    <row r="3727" spans="2:13" ht="12.75" customHeight="1" x14ac:dyDescent="0.25">
      <c r="B3727" s="228"/>
      <c r="C3727" s="229"/>
      <c r="D3727" s="229"/>
      <c r="E3727" s="229"/>
      <c r="F3727" s="229"/>
      <c r="G3727" s="229"/>
      <c r="H3727" s="229"/>
      <c r="I3727" s="229"/>
      <c r="J3727" s="229"/>
      <c r="K3727" s="229"/>
      <c r="L3727" s="230"/>
      <c r="M3727" s="120">
        <f t="shared" ref="M3727:M3730" si="887">SUM(C3727:L3727)</f>
        <v>0</v>
      </c>
    </row>
    <row r="3728" spans="2:13" ht="12.75" customHeight="1" x14ac:dyDescent="0.25">
      <c r="B3728" s="231"/>
      <c r="C3728" s="232"/>
      <c r="D3728" s="232"/>
      <c r="E3728" s="232"/>
      <c r="F3728" s="232"/>
      <c r="G3728" s="232"/>
      <c r="H3728" s="232"/>
      <c r="I3728" s="232"/>
      <c r="J3728" s="232"/>
      <c r="K3728" s="232"/>
      <c r="L3728" s="233"/>
      <c r="M3728" s="117">
        <f t="shared" si="887"/>
        <v>0</v>
      </c>
    </row>
    <row r="3729" spans="2:13" ht="12.75" customHeight="1" x14ac:dyDescent="0.25">
      <c r="B3729" s="228"/>
      <c r="C3729" s="229"/>
      <c r="D3729" s="229"/>
      <c r="E3729" s="229"/>
      <c r="F3729" s="229"/>
      <c r="G3729" s="229"/>
      <c r="H3729" s="229"/>
      <c r="I3729" s="229"/>
      <c r="J3729" s="229"/>
      <c r="K3729" s="229"/>
      <c r="L3729" s="230"/>
      <c r="M3729" s="120">
        <f t="shared" si="887"/>
        <v>0</v>
      </c>
    </row>
    <row r="3730" spans="2:13" ht="12.75" customHeight="1" x14ac:dyDescent="0.25">
      <c r="B3730" s="93"/>
      <c r="C3730" s="232"/>
      <c r="D3730" s="232"/>
      <c r="E3730" s="232"/>
      <c r="F3730" s="232"/>
      <c r="G3730" s="232"/>
      <c r="H3730" s="232"/>
      <c r="I3730" s="232"/>
      <c r="J3730" s="232"/>
      <c r="K3730" s="232"/>
      <c r="L3730" s="233"/>
      <c r="M3730" s="117">
        <f t="shared" si="887"/>
        <v>0</v>
      </c>
    </row>
    <row r="3731" spans="2:13" ht="12.75" customHeight="1" x14ac:dyDescent="0.25">
      <c r="B3731" s="84" t="str">
        <f>IF('1. INTRO'!I$2="English","Total co-funding ","Total medfinansiering ")</f>
        <v xml:space="preserve">Total co-funding </v>
      </c>
      <c r="C3731" s="87">
        <f t="shared" ref="C3731:M3731" si="888">SUM(C3726:C3730)</f>
        <v>0</v>
      </c>
      <c r="D3731" s="87">
        <f t="shared" si="888"/>
        <v>0</v>
      </c>
      <c r="E3731" s="87">
        <f t="shared" si="888"/>
        <v>0</v>
      </c>
      <c r="F3731" s="87">
        <f t="shared" si="888"/>
        <v>0</v>
      </c>
      <c r="G3731" s="87">
        <f t="shared" si="888"/>
        <v>0</v>
      </c>
      <c r="H3731" s="87">
        <f t="shared" si="888"/>
        <v>0</v>
      </c>
      <c r="I3731" s="87">
        <f t="shared" si="888"/>
        <v>0</v>
      </c>
      <c r="J3731" s="87">
        <f t="shared" si="888"/>
        <v>0</v>
      </c>
      <c r="K3731" s="87">
        <f t="shared" si="888"/>
        <v>0</v>
      </c>
      <c r="L3731" s="87">
        <f t="shared" si="888"/>
        <v>0</v>
      </c>
      <c r="M3731" s="142">
        <f t="shared" si="888"/>
        <v>0</v>
      </c>
    </row>
    <row r="3732" spans="2:13" ht="12.75" customHeight="1" x14ac:dyDescent="0.2"/>
    <row r="3733" spans="2:13" ht="12.75" customHeight="1" x14ac:dyDescent="0.2">
      <c r="B3733" s="667" t="str">
        <f>IF('1. INTRO'!I$2="English","Calculation comments","Kalkylkommentarer")</f>
        <v>Calculation comments</v>
      </c>
      <c r="C3733" s="37" t="str">
        <f>B86</f>
        <v/>
      </c>
    </row>
    <row r="3734" spans="2:13" ht="12.75" customHeight="1" x14ac:dyDescent="0.2">
      <c r="B3734" s="1142"/>
      <c r="C3734" s="1143"/>
      <c r="D3734" s="1143"/>
      <c r="E3734" s="1143"/>
      <c r="F3734" s="1143"/>
      <c r="G3734" s="1143"/>
      <c r="H3734" s="1143"/>
      <c r="I3734" s="1143"/>
      <c r="J3734" s="1143"/>
      <c r="K3734" s="1143"/>
      <c r="L3734" s="1143"/>
      <c r="M3734" s="1144"/>
    </row>
    <row r="3735" spans="2:13" ht="12.75" customHeight="1" x14ac:dyDescent="0.2">
      <c r="B3735" s="1145"/>
      <c r="C3735" s="1226"/>
      <c r="D3735" s="1226"/>
      <c r="E3735" s="1226"/>
      <c r="F3735" s="1226"/>
      <c r="G3735" s="1226"/>
      <c r="H3735" s="1226"/>
      <c r="I3735" s="1226"/>
      <c r="J3735" s="1226"/>
      <c r="K3735" s="1226"/>
      <c r="L3735" s="1226"/>
      <c r="M3735" s="1147"/>
    </row>
    <row r="3736" spans="2:13" ht="12.75" customHeight="1" x14ac:dyDescent="0.2">
      <c r="B3736" s="1145"/>
      <c r="C3736" s="1226"/>
      <c r="D3736" s="1226"/>
      <c r="E3736" s="1226"/>
      <c r="F3736" s="1226"/>
      <c r="G3736" s="1226"/>
      <c r="H3736" s="1226"/>
      <c r="I3736" s="1226"/>
      <c r="J3736" s="1226"/>
      <c r="K3736" s="1226"/>
      <c r="L3736" s="1226"/>
      <c r="M3736" s="1147"/>
    </row>
    <row r="3737" spans="2:13" ht="12.75" customHeight="1" x14ac:dyDescent="0.2">
      <c r="B3737" s="1145"/>
      <c r="C3737" s="1226"/>
      <c r="D3737" s="1226"/>
      <c r="E3737" s="1226"/>
      <c r="F3737" s="1226"/>
      <c r="G3737" s="1226"/>
      <c r="H3737" s="1226"/>
      <c r="I3737" s="1226"/>
      <c r="J3737" s="1226"/>
      <c r="K3737" s="1226"/>
      <c r="L3737" s="1226"/>
      <c r="M3737" s="1147"/>
    </row>
    <row r="3738" spans="2:13" ht="12.75" customHeight="1" x14ac:dyDescent="0.2">
      <c r="B3738" s="1148"/>
      <c r="C3738" s="1149"/>
      <c r="D3738" s="1149"/>
      <c r="E3738" s="1149"/>
      <c r="F3738" s="1149"/>
      <c r="G3738" s="1149"/>
      <c r="H3738" s="1149"/>
      <c r="I3738" s="1149"/>
      <c r="J3738" s="1149"/>
      <c r="K3738" s="1149"/>
      <c r="L3738" s="1149"/>
      <c r="M3738" s="1150"/>
    </row>
    <row r="3740" spans="2:13" s="3" customFormat="1" ht="12.75" customHeight="1" x14ac:dyDescent="0.25">
      <c r="B3740" s="313" t="str">
        <f>'3. PARTNER'!C$4</f>
        <v xml:space="preserve">Project: </v>
      </c>
      <c r="C3740" s="1062" t="str">
        <f>'3. PARTNER'!D$4</f>
        <v/>
      </c>
      <c r="D3740" s="1001"/>
      <c r="E3740" s="1001"/>
      <c r="F3740" s="1001"/>
      <c r="G3740" s="1001"/>
      <c r="H3740" s="1001"/>
      <c r="I3740" s="1001"/>
      <c r="J3740" s="1001"/>
      <c r="K3740" s="1001"/>
      <c r="L3740" s="1001"/>
      <c r="M3740" s="1001"/>
    </row>
    <row r="3741" spans="2:13" s="3" customFormat="1" ht="13.2" x14ac:dyDescent="0.25">
      <c r="B3741" s="313" t="str">
        <f>'3. PARTNER'!C$5</f>
        <v xml:space="preserve">Calculation for: </v>
      </c>
      <c r="C3741" s="1062" t="str">
        <f>'3. PARTNER'!D$5</f>
        <v>APPLICATION</v>
      </c>
      <c r="D3741" s="1001"/>
      <c r="E3741" s="268"/>
      <c r="F3741" s="268"/>
      <c r="G3741" s="268"/>
      <c r="H3741" s="268"/>
      <c r="I3741" s="268"/>
      <c r="J3741" s="268"/>
      <c r="K3741" s="268"/>
      <c r="L3741" s="268"/>
      <c r="M3741" s="268"/>
    </row>
    <row r="3742" spans="2:13" s="3" customFormat="1" ht="13.2" x14ac:dyDescent="0.25">
      <c r="B3742" s="35" t="str">
        <f>'3. PARTNER'!C$6</f>
        <v xml:space="preserve">Project leader: </v>
      </c>
      <c r="C3742" s="1062" t="str">
        <f>'3. PARTNER'!D$6</f>
        <v/>
      </c>
      <c r="D3742" s="1001"/>
      <c r="E3742" s="1001"/>
      <c r="F3742" s="1001"/>
      <c r="G3742" s="1001"/>
      <c r="H3742" s="1001"/>
      <c r="I3742" s="1001"/>
      <c r="J3742" s="1001"/>
      <c r="K3742" s="1001"/>
      <c r="L3742" s="1001"/>
      <c r="M3742" s="1001"/>
    </row>
    <row r="3743" spans="2:13" s="3" customFormat="1" ht="13.2" x14ac:dyDescent="0.25">
      <c r="B3743" s="313" t="str">
        <f>'5. PERSON'!B$7</f>
        <v xml:space="preserve">Amounts in: </v>
      </c>
      <c r="C3743" s="655" t="str">
        <f>'5. PERSON'!C$7</f>
        <v>SEK</v>
      </c>
      <c r="D3743" s="268"/>
      <c r="E3743" s="268"/>
      <c r="F3743" s="268"/>
      <c r="G3743" s="234"/>
      <c r="H3743" s="234"/>
      <c r="I3743" s="270"/>
      <c r="J3743" s="270"/>
      <c r="K3743" s="270"/>
      <c r="L3743" s="270"/>
      <c r="M3743" s="270"/>
    </row>
    <row r="3744" spans="2:13" s="3" customFormat="1" ht="13.2" x14ac:dyDescent="0.25">
      <c r="B3744" s="313"/>
      <c r="C3744" s="1053" t="str">
        <f>'3. PARTNER'!D$7</f>
        <v>Other basic data about the project is in sheet 2.</v>
      </c>
      <c r="D3744" s="1001"/>
      <c r="E3744" s="1001"/>
      <c r="F3744" s="1001"/>
      <c r="G3744" s="234"/>
      <c r="H3744" s="234"/>
      <c r="I3744" s="270"/>
      <c r="J3744" s="270"/>
      <c r="K3744" s="270"/>
      <c r="L3744" s="251" t="s">
        <v>4</v>
      </c>
      <c r="M3744" s="270"/>
    </row>
    <row r="3745" spans="2:15" ht="12.75" customHeight="1" x14ac:dyDescent="0.2">
      <c r="L3745" s="252" t="str">
        <f>IF('1. INTRO'!I$2="English","months","månader")</f>
        <v>months</v>
      </c>
    </row>
    <row r="3746" spans="2:15" s="3" customFormat="1" ht="13.8" x14ac:dyDescent="0.25">
      <c r="B3746" s="157" t="str">
        <f>IF('1. INTRO'!I$2="English","Project costs","Projektkostnader")</f>
        <v>Project costs</v>
      </c>
      <c r="C3746" s="668" t="str">
        <f>A87</f>
        <v>EXT129</v>
      </c>
      <c r="D3746" s="1227" t="str">
        <f>B87</f>
        <v/>
      </c>
      <c r="E3746" s="1001"/>
      <c r="F3746" s="1001"/>
      <c r="G3746" s="1001"/>
      <c r="H3746" s="1001"/>
      <c r="I3746" s="37"/>
      <c r="J3746" s="37"/>
      <c r="K3746" s="37"/>
      <c r="L3746" s="642">
        <f>SUMIF('5. PERSON'!$B$17:$B$192,$C3746,'5. PERSON'!AE$17:AE$192)</f>
        <v>0</v>
      </c>
      <c r="M3746" s="680" t="s">
        <v>330</v>
      </c>
    </row>
    <row r="3747" spans="2:15" s="3" customFormat="1" ht="6" customHeight="1" x14ac:dyDescent="0.25">
      <c r="B3747" s="57"/>
      <c r="C3747" s="37"/>
      <c r="D3747" s="37"/>
      <c r="E3747" s="37"/>
      <c r="F3747" s="37"/>
      <c r="G3747" s="37"/>
      <c r="H3747" s="37"/>
      <c r="I3747" s="37"/>
      <c r="J3747" s="37"/>
      <c r="K3747" s="37"/>
      <c r="L3747" s="37"/>
      <c r="M3747" s="37"/>
    </row>
    <row r="3748" spans="2:15" s="3" customFormat="1" ht="13.2" x14ac:dyDescent="0.25">
      <c r="B3748" s="110" t="str">
        <f>IF('1. INTRO'!I$2="English","Costs to be covered by funding body","Kostnader att täckas av finansiär")</f>
        <v>Costs to be covered by funding body</v>
      </c>
      <c r="C3748" s="111">
        <f>'5. PERSON'!G$15</f>
        <v>1900</v>
      </c>
      <c r="D3748" s="111" t="str">
        <f>'5. PERSON'!H$15</f>
        <v/>
      </c>
      <c r="E3748" s="111" t="str">
        <f>'5. PERSON'!I$15</f>
        <v/>
      </c>
      <c r="F3748" s="111" t="str">
        <f>'5. PERSON'!J$15</f>
        <v/>
      </c>
      <c r="G3748" s="111" t="str">
        <f>'5. PERSON'!K$15</f>
        <v/>
      </c>
      <c r="H3748" s="111" t="str">
        <f>'5. PERSON'!L$15</f>
        <v/>
      </c>
      <c r="I3748" s="111" t="str">
        <f>'5. PERSON'!M$15</f>
        <v/>
      </c>
      <c r="J3748" s="111" t="str">
        <f>'5. PERSON'!N$15</f>
        <v/>
      </c>
      <c r="K3748" s="111" t="str">
        <f>'5. PERSON'!O$15</f>
        <v/>
      </c>
      <c r="L3748" s="111" t="str">
        <f>'5. PERSON'!P$15</f>
        <v/>
      </c>
      <c r="M3748" s="112" t="s">
        <v>2</v>
      </c>
    </row>
    <row r="3749" spans="2:15" s="3" customFormat="1" ht="12.75" customHeight="1" x14ac:dyDescent="0.25">
      <c r="B3749" s="113" t="str">
        <f>IF('1. INTRO'!I$2="English","Salary including social costs (LKP)","Lön inklusive LKP")</f>
        <v>Salary including social costs (LKP)</v>
      </c>
      <c r="C3749" s="114">
        <f>IF('2. START'!$C$14&gt;0,SUMIF('5. PERSON'!$B$17:$B$192,$C3746,'5. PERSON'!DN$17:DN$192),SUMIF('5. PERSON'!$B$17:$B$192,$C3746,'5. PERSON'!AT$17:AT$192))</f>
        <v>0</v>
      </c>
      <c r="D3749" s="114">
        <f>IF('2. START'!$C$14&gt;0,SUMIF('5. PERSON'!$B$17:$B$192,$C3746,'5. PERSON'!DO$17:DO$192),SUMIF('5. PERSON'!$B$17:$B$192,$C3746,'5. PERSON'!AU$17:AU$192))</f>
        <v>0</v>
      </c>
      <c r="E3749" s="114">
        <f>IF('2. START'!$C$14&gt;0,SUMIF('5. PERSON'!$B$17:$B$192,$C3746,'5. PERSON'!DP$17:DP$192),SUMIF('5. PERSON'!$B$17:$B$192,$C3746,'5. PERSON'!AV$17:AV$192))</f>
        <v>0</v>
      </c>
      <c r="F3749" s="114">
        <f>IF('2. START'!$C$14&gt;0,SUMIF('5. PERSON'!$B$17:$B$192,$C3746,'5. PERSON'!DQ$17:DQ$192),SUMIF('5. PERSON'!$B$17:$B$192,$C3746,'5. PERSON'!AW$17:AW$192))</f>
        <v>0</v>
      </c>
      <c r="G3749" s="114">
        <f>IF('2. START'!$C$14&gt;0,SUMIF('5. PERSON'!$B$17:$B$192,$C3746,'5. PERSON'!DR$17:DR$192),SUMIF('5. PERSON'!$B$17:$B$192,$C3746,'5. PERSON'!AX$17:AX$192))</f>
        <v>0</v>
      </c>
      <c r="H3749" s="114">
        <f>IF('2. START'!$C$14&gt;0,SUMIF('5. PERSON'!$B$17:$B$192,$C3746,'5. PERSON'!DS$17:DS$192),SUMIF('5. PERSON'!$B$17:$B$192,$C3746,'5. PERSON'!AY$17:AY$192))</f>
        <v>0</v>
      </c>
      <c r="I3749" s="114">
        <f>IF('2. START'!$C$14&gt;0,SUMIF('5. PERSON'!$B$17:$B$192,$C3746,'5. PERSON'!DT$17:DT$192),SUMIF('5. PERSON'!$B$17:$B$192,$C3746,'5. PERSON'!AZ$17:AZ$192))</f>
        <v>0</v>
      </c>
      <c r="J3749" s="114">
        <f>IF('2. START'!$C$14&gt;0,SUMIF('5. PERSON'!$B$17:$B$192,$C3746,'5. PERSON'!DU$17:DU$192),SUMIF('5. PERSON'!$B$17:$B$192,$C3746,'5. PERSON'!BA$17:BA$192))</f>
        <v>0</v>
      </c>
      <c r="K3749" s="114">
        <f>IF('2. START'!$C$14&gt;0,SUMIF('5. PERSON'!$B$17:$B$192,$C3746,'5. PERSON'!DV$17:DV$192),SUMIF('5. PERSON'!$B$17:$B$192,$C3746,'5. PERSON'!BB$17:BB$192))</f>
        <v>0</v>
      </c>
      <c r="L3749" s="114">
        <f>IF('2. START'!$C$14&gt;0,SUMIF('5. PERSON'!$B$17:$B$192,$C3746,'5. PERSON'!DW$17:DW$192),SUMIF('5. PERSON'!$B$17:$B$192,$C3746,'5. PERSON'!BC$17:BC$192))</f>
        <v>0</v>
      </c>
      <c r="M3749" s="115">
        <f t="shared" ref="M3749:M3754" si="889">SUM(C3749:L3749)</f>
        <v>0</v>
      </c>
      <c r="O3749" s="4"/>
    </row>
    <row r="3750" spans="2:15" s="3" customFormat="1" ht="12.75" customHeight="1" x14ac:dyDescent="0.25">
      <c r="B3750" s="80" t="str">
        <f>IF('1. INTRO'!I$2="English","Operating","Drift")</f>
        <v>Operating</v>
      </c>
      <c r="C3750" s="116">
        <f>SUMIF('6. OPERATION'!$B$17:$B$149,$C3746,'6. OPERATION'!W$17:W$149)</f>
        <v>0</v>
      </c>
      <c r="D3750" s="116">
        <f>SUMIF('6. OPERATION'!$B$17:$B$149,$C3746,'6. OPERATION'!X$17:X$149)</f>
        <v>0</v>
      </c>
      <c r="E3750" s="116">
        <f>SUMIF('6. OPERATION'!$B$17:$B$149,$C3746,'6. OPERATION'!Y$17:Y$149)</f>
        <v>0</v>
      </c>
      <c r="F3750" s="116">
        <f>SUMIF('6. OPERATION'!$B$17:$B$149,$C3746,'6. OPERATION'!Z$17:Z$149)</f>
        <v>0</v>
      </c>
      <c r="G3750" s="116">
        <f>SUMIF('6. OPERATION'!$B$17:$B$149,$C3746,'6. OPERATION'!AA$17:AA$149)</f>
        <v>0</v>
      </c>
      <c r="H3750" s="116">
        <f>SUMIF('6. OPERATION'!$B$17:$B$149,$C3746,'6. OPERATION'!AB$17:AB$149)</f>
        <v>0</v>
      </c>
      <c r="I3750" s="116">
        <f>SUMIF('6. OPERATION'!$B$17:$B$149,$C3746,'6. OPERATION'!AC$17:AC$149)</f>
        <v>0</v>
      </c>
      <c r="J3750" s="116">
        <f>SUMIF('6. OPERATION'!$B$17:$B$149,$C3746,'6. OPERATION'!AD$17:AD$149)</f>
        <v>0</v>
      </c>
      <c r="K3750" s="116">
        <f>SUMIF('6. OPERATION'!$B$17:$B$149,$C3746,'6. OPERATION'!AE$17:AE$149)</f>
        <v>0</v>
      </c>
      <c r="L3750" s="116">
        <f>SUMIF('6. OPERATION'!$B$17:$B$149,$C3746,'6. OPERATION'!AF$17:AF$149)</f>
        <v>0</v>
      </c>
      <c r="M3750" s="117">
        <f t="shared" si="889"/>
        <v>0</v>
      </c>
    </row>
    <row r="3751" spans="2:15" s="3" customFormat="1" ht="13.2" x14ac:dyDescent="0.25">
      <c r="B3751" s="118" t="str">
        <f>IF('1. INTRO'!I$2="English","Equipment","Utrustning")</f>
        <v>Equipment</v>
      </c>
      <c r="C3751" s="119">
        <f>SUMIF('7. INVEST'!$B$17:$B$49,$C3746,'7. INVEST'!W$17:W$49)</f>
        <v>0</v>
      </c>
      <c r="D3751" s="119">
        <f>SUMIF('7. INVEST'!$B$17:$B$49,$C3746,'7. INVEST'!X$17:X$49)</f>
        <v>0</v>
      </c>
      <c r="E3751" s="119">
        <f>SUMIF('7. INVEST'!$B$17:$B$49,$C3746,'7. INVEST'!Y$17:Y$49)</f>
        <v>0</v>
      </c>
      <c r="F3751" s="119">
        <f>SUMIF('7. INVEST'!$B$17:$B$49,$C3746,'7. INVEST'!Z$17:Z$49)</f>
        <v>0</v>
      </c>
      <c r="G3751" s="119">
        <f>SUMIF('7. INVEST'!$B$17:$B$49,$C3746,'7. INVEST'!AA$17:AA$49)</f>
        <v>0</v>
      </c>
      <c r="H3751" s="119">
        <f>SUMIF('7. INVEST'!$B$17:$B$49,$C3746,'7. INVEST'!AB$17:AB$49)</f>
        <v>0</v>
      </c>
      <c r="I3751" s="119">
        <f>SUMIF('7. INVEST'!$B$17:$B$49,$C3746,'7. INVEST'!AC$17:AC$49)</f>
        <v>0</v>
      </c>
      <c r="J3751" s="119">
        <f>SUMIF('7. INVEST'!$B$17:$B$49,$C3746,'7. INVEST'!AD$17:AD$49)</f>
        <v>0</v>
      </c>
      <c r="K3751" s="119">
        <f>SUMIF('7. INVEST'!$B$17:$B$49,$C3746,'7. INVEST'!AE$17:AE$49)</f>
        <v>0</v>
      </c>
      <c r="L3751" s="119">
        <f>SUMIF('7. INVEST'!$B$17:$B$49,$C3746,'7. INVEST'!AF$17:AF$49)</f>
        <v>0</v>
      </c>
      <c r="M3751" s="120">
        <f t="shared" si="889"/>
        <v>0</v>
      </c>
    </row>
    <row r="3752" spans="2:15" s="3" customFormat="1" ht="13.2" x14ac:dyDescent="0.25">
      <c r="B3752" s="121" t="str">
        <f>IF('1. INTRO'!I$2="English",(IF('2. START'!C$11="NO","Facility accepted as direct cost by funding body","Facility")),IF('2. START'!C$11="NO","Lokal accepterad som direkt kostnad av finansiär","Lokal"))</f>
        <v>Facility</v>
      </c>
      <c r="C3752" s="116">
        <f>IF('2. START'!$C$11="NO",SUMIF('8. FACILIT'!$B$18:$B$50,$C3746,'8. FACILIT'!T$18:T$50),SUMIF('5. PERSON'!$B$17:$B$192,$C3746,'5. PERSON'!CP$17:CP$192)+SUMIF('6. OPERATION'!$B$17:$B$149,$C3746,'6. OPERATION'!BS$17:BS$149)+SUMIF('8. FACILIT'!$B$18:$B$50,$C3746,'8. FACILIT'!T$18:T$50))</f>
        <v>0</v>
      </c>
      <c r="D3752" s="116">
        <f>IF('2. START'!$C$11="NO",SUMIF('8. FACILIT'!$B$18:$B$50,$C3746,'8. FACILIT'!U$18:U$50),SUMIF('5. PERSON'!$B$17:$B$192,$C3746,'5. PERSON'!CQ$17:CQ$192)+SUMIF('6. OPERATION'!$B$17:$B$149,$C3746,'6. OPERATION'!BT$17:BT$149)+SUMIF('8. FACILIT'!$B$18:$B$50,$C3746,'8. FACILIT'!U$18:U$50))</f>
        <v>0</v>
      </c>
      <c r="E3752" s="116">
        <f>IF('2. START'!$C$11="NO",SUMIF('8. FACILIT'!$B$18:$B$50,$C3746,'8. FACILIT'!V$18:V$50),SUMIF('5. PERSON'!$B$17:$B$192,$C3746,'5. PERSON'!CR$17:CR$192)+SUMIF('6. OPERATION'!$B$17:$B$149,$C3746,'6. OPERATION'!BU$17:BU$149)+SUMIF('8. FACILIT'!$B$18:$B$50,$C3746,'8. FACILIT'!V$18:V$50))</f>
        <v>0</v>
      </c>
      <c r="F3752" s="116">
        <f>IF('2. START'!$C$11="NO",SUMIF('8. FACILIT'!$B$18:$B$50,$C3746,'8. FACILIT'!W$18:W$50),SUMIF('5. PERSON'!$B$17:$B$192,$C3746,'5. PERSON'!CS$17:CS$192)+SUMIF('6. OPERATION'!$B$17:$B$149,$C3746,'6. OPERATION'!BV$17:BV$149)+SUMIF('8. FACILIT'!$B$18:$B$50,$C3746,'8. FACILIT'!W$18:W$50))</f>
        <v>0</v>
      </c>
      <c r="G3752" s="116">
        <f>IF('2. START'!$C$11="NO",SUMIF('8. FACILIT'!$B$18:$B$50,$C3746,'8. FACILIT'!X$18:X$50),SUMIF('5. PERSON'!$B$17:$B$192,$C3746,'5. PERSON'!CT$17:CT$192)+SUMIF('6. OPERATION'!$B$17:$B$149,$C3746,'6. OPERATION'!BW$17:BW$149)+SUMIF('8. FACILIT'!$B$18:$B$50,$C3746,'8. FACILIT'!X$18:X$50))</f>
        <v>0</v>
      </c>
      <c r="H3752" s="116">
        <f>IF('2. START'!$C$11="NO",SUMIF('8. FACILIT'!$B$18:$B$50,$C3746,'8. FACILIT'!Y$18:Y$50),SUMIF('5. PERSON'!$B$17:$B$192,$C3746,'5. PERSON'!CU$17:CU$192)+SUMIF('6. OPERATION'!$B$17:$B$149,$C3746,'6. OPERATION'!BX$17:BX$149)+SUMIF('8. FACILIT'!$B$18:$B$50,$C3746,'8. FACILIT'!Y$18:Y$50))</f>
        <v>0</v>
      </c>
      <c r="I3752" s="116">
        <f>IF('2. START'!$C$11="NO",SUMIF('8. FACILIT'!$B$18:$B$50,$C3746,'8. FACILIT'!Z$18:Z$50),SUMIF('5. PERSON'!$B$17:$B$192,$C3746,'5. PERSON'!CV$17:CV$192)+SUMIF('6. OPERATION'!$B$17:$B$149,$C3746,'6. OPERATION'!BY$17:BY$149)+SUMIF('8. FACILIT'!$B$18:$B$50,$C3746,'8. FACILIT'!Z$18:Z$50))</f>
        <v>0</v>
      </c>
      <c r="J3752" s="116">
        <f>IF('2. START'!$C$11="NO",SUMIF('8. FACILIT'!$B$18:$B$50,$C3746,'8. FACILIT'!AA$18:AA$50),SUMIF('5. PERSON'!$B$17:$B$192,$C3746,'5. PERSON'!CW$17:CW$192)+SUMIF('6. OPERATION'!$B$17:$B$149,$C3746,'6. OPERATION'!BZ$17:BZ$149)+SUMIF('8. FACILIT'!$B$18:$B$50,$C3746,'8. FACILIT'!AA$18:AA$50))</f>
        <v>0</v>
      </c>
      <c r="K3752" s="116">
        <f>IF('2. START'!$C$11="NO",SUMIF('8. FACILIT'!$B$18:$B$50,$C3746,'8. FACILIT'!AB$18:AB$50),SUMIF('5. PERSON'!$B$17:$B$192,$C3746,'5. PERSON'!CX$17:CX$192)+SUMIF('6. OPERATION'!$B$17:$B$149,$C3746,'6. OPERATION'!CA$17:CA$149)+SUMIF('8. FACILIT'!$B$18:$B$50,$C3746,'8. FACILIT'!AB$18:AB$50))</f>
        <v>0</v>
      </c>
      <c r="L3752" s="116">
        <f>IF('2. START'!$C$11="NO",SUMIF('8. FACILIT'!$B$18:$B$50,$C3746,'8. FACILIT'!AC$18:AC$50),SUMIF('5. PERSON'!$B$17:$B$192,$C3746,'5. PERSON'!CY$17:CY$192)+SUMIF('6. OPERATION'!$B$17:$B$149,$C3746,'6. OPERATION'!CB$17:CB$149)+SUMIF('8. FACILIT'!$B$18:$B$50,$C3746,'8. FACILIT'!AC$18:AC$50))</f>
        <v>0</v>
      </c>
      <c r="M3752" s="117">
        <f t="shared" si="889"/>
        <v>0</v>
      </c>
    </row>
    <row r="3753" spans="2:15" s="3" customFormat="1" ht="13.2" x14ac:dyDescent="0.25">
      <c r="B3753" s="122" t="str">
        <f>IF('1. INTRO'!I$2="English",(IF('2. START'!C$11="NO","Indirect and facility charge accepted as OH by funding body","Indirect")),IF('2. START'!C$11="NO","Indirekt och lokalpåslag accepterade som OH av finansiär","Indirekt"))</f>
        <v>Indirect</v>
      </c>
      <c r="C3753" s="107">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107">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107">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107">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107">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107">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107">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107">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107">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107">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120">
        <f t="shared" si="889"/>
        <v>0</v>
      </c>
    </row>
    <row r="3754" spans="2:15" s="3" customFormat="1" ht="13.2" x14ac:dyDescent="0.25">
      <c r="B3754" s="124" t="s">
        <v>113</v>
      </c>
      <c r="C3754" s="102">
        <f>SUM(C3749:C3753)</f>
        <v>0</v>
      </c>
      <c r="D3754" s="102">
        <f t="shared" ref="D3754:L3754" si="890">SUM(D3749:D3753)</f>
        <v>0</v>
      </c>
      <c r="E3754" s="102">
        <f t="shared" si="890"/>
        <v>0</v>
      </c>
      <c r="F3754" s="102">
        <f t="shared" si="890"/>
        <v>0</v>
      </c>
      <c r="G3754" s="102">
        <f t="shared" si="890"/>
        <v>0</v>
      </c>
      <c r="H3754" s="102">
        <f t="shared" si="890"/>
        <v>0</v>
      </c>
      <c r="I3754" s="102">
        <f t="shared" si="890"/>
        <v>0</v>
      </c>
      <c r="J3754" s="102">
        <f t="shared" si="890"/>
        <v>0</v>
      </c>
      <c r="K3754" s="102">
        <f t="shared" si="890"/>
        <v>0</v>
      </c>
      <c r="L3754" s="102">
        <f t="shared" si="890"/>
        <v>0</v>
      </c>
      <c r="M3754" s="125">
        <f t="shared" si="889"/>
        <v>0</v>
      </c>
    </row>
    <row r="3755" spans="2:15" s="3" customFormat="1" ht="6" customHeight="1" x14ac:dyDescent="0.25">
      <c r="B3755" s="126"/>
      <c r="C3755" s="127"/>
      <c r="D3755" s="127"/>
      <c r="E3755" s="127"/>
      <c r="F3755" s="127"/>
      <c r="G3755" s="127"/>
      <c r="H3755" s="127"/>
      <c r="I3755" s="127"/>
      <c r="J3755" s="127"/>
      <c r="K3755" s="127"/>
      <c r="L3755" s="127"/>
      <c r="M3755" s="128"/>
    </row>
    <row r="3756" spans="2:15" s="3" customFormat="1" ht="13.2" x14ac:dyDescent="0.25">
      <c r="B3756" s="129" t="str">
        <f>IF('1. INTRO'!I$2="English","Costs to be co-funded","Kostnader att medfinansiera")</f>
        <v>Costs to be co-funded</v>
      </c>
      <c r="C3756" s="86"/>
      <c r="D3756" s="86"/>
      <c r="E3756" s="86"/>
      <c r="F3756" s="86"/>
      <c r="G3756" s="86"/>
      <c r="H3756" s="86"/>
      <c r="I3756" s="86"/>
      <c r="J3756" s="86"/>
      <c r="K3756" s="86"/>
      <c r="L3756" s="86"/>
      <c r="M3756" s="130"/>
    </row>
    <row r="3757" spans="2:15" s="3" customFormat="1" ht="13.2" x14ac:dyDescent="0.25">
      <c r="B3757" s="159" t="str">
        <f>IF('1. INTRO'!I$2="English",(IF('2. START'!C$11="NO","Indirect and facility charge not accepted as OH by funding body","")),IF('2. START'!C$11="NO","Indirekt och lokalpåslag inte accepterade som OH av finansiär",""))</f>
        <v/>
      </c>
      <c r="C3757" s="131">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31">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31">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31">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31">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31">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31">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31">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31">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31">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115">
        <f t="shared" ref="M3757:M3763" si="891">SUM(C3757:L3757)</f>
        <v>0</v>
      </c>
    </row>
    <row r="3758" spans="2:15" s="3" customFormat="1" ht="12.75" customHeight="1" x14ac:dyDescent="0.25">
      <c r="B3758" s="132" t="str">
        <f>IF('1. INTRO'!I$2="English",(IF('2. START'!C$14&gt;0,"Social costs (LKP) not accepted by funding body","")),IF('2. START'!C$14&gt;0,"LKP som inte accepteras av finansiär",""))</f>
        <v/>
      </c>
      <c r="C3758" s="133">
        <f>IF('2. START'!$C$14&gt;0,SUMIF('5. PERSON'!$B$17:$B$192,$C3746,'5. PERSON'!AT$17:AT$192)-SUMIF('5. PERSON'!$B$17:$B$192,$C3746,'5. PERSON'!DN$17:DN$192),0)</f>
        <v>0</v>
      </c>
      <c r="D3758" s="133">
        <f>IF('2. START'!$C$14&gt;0,SUMIF('5. PERSON'!$B$17:$B$192,$C3746,'5. PERSON'!AU$17:AU$192)-SUMIF('5. PERSON'!$B$17:$B$192,$C3746,'5. PERSON'!DO$17:DO$192),0)</f>
        <v>0</v>
      </c>
      <c r="E3758" s="133">
        <f>IF('2. START'!$C$14&gt;0,SUMIF('5. PERSON'!$B$17:$B$192,$C3746,'5. PERSON'!AV$17:AV$192)-SUMIF('5. PERSON'!$B$17:$B$192,$C3746,'5. PERSON'!DP$17:DP$192),0)</f>
        <v>0</v>
      </c>
      <c r="F3758" s="133">
        <f>IF('2. START'!$C$14&gt;0,SUMIF('5. PERSON'!$B$17:$B$192,$C3746,'5. PERSON'!AW$17:AW$192)-SUMIF('5. PERSON'!$B$17:$B$192,$C3746,'5. PERSON'!DQ$17:DQ$192),0)</f>
        <v>0</v>
      </c>
      <c r="G3758" s="133">
        <f>IF('2. START'!$C$14&gt;0,SUMIF('5. PERSON'!$B$17:$B$192,$C3746,'5. PERSON'!AX$17:AX$192)-SUMIF('5. PERSON'!$B$17:$B$192,$C3746,'5. PERSON'!DR$17:DR$192),0)</f>
        <v>0</v>
      </c>
      <c r="H3758" s="133">
        <f>IF('2. START'!$C$14&gt;0,SUMIF('5. PERSON'!$B$17:$B$192,$C3746,'5. PERSON'!AY$17:AY$192)-SUMIF('5. PERSON'!$B$17:$B$192,$C3746,'5. PERSON'!DS$17:DS$192),0)</f>
        <v>0</v>
      </c>
      <c r="I3758" s="133">
        <f>IF('2. START'!$C$14&gt;0,SUMIF('5. PERSON'!$B$17:$B$192,$C3746,'5. PERSON'!AZ$17:AZ$192)-SUMIF('5. PERSON'!$B$17:$B$192,$C3746,'5. PERSON'!DT$17:DT$192),0)</f>
        <v>0</v>
      </c>
      <c r="J3758" s="133">
        <f>IF('2. START'!$C$14&gt;0,SUMIF('5. PERSON'!$B$17:$B$192,$C3746,'5. PERSON'!BA$17:BA$192)-SUMIF('5. PERSON'!$B$17:$B$192,$C3746,'5. PERSON'!DU$17:DU$192),0)</f>
        <v>0</v>
      </c>
      <c r="K3758" s="133">
        <f>IF('2. START'!$C$14&gt;0,SUMIF('5. PERSON'!$B$17:$B$192,$C3746,'5. PERSON'!BB$17:BB$192)-SUMIF('5. PERSON'!$B$17:$B$192,$C3746,'5. PERSON'!DV$17:DV$192),0)</f>
        <v>0</v>
      </c>
      <c r="L3758" s="133">
        <f>IF('2. START'!$C$14&gt;0,SUMIF('5. PERSON'!$B$17:$B$192,$C3746,'5. PERSON'!BC$17:BC$192)-SUMIF('5. PERSON'!$B$17:$B$192,$C3746,'5. PERSON'!DW$17:DW$192),0)</f>
        <v>0</v>
      </c>
      <c r="M3758" s="117">
        <f t="shared" si="891"/>
        <v>0</v>
      </c>
    </row>
    <row r="3759" spans="2:15" s="3" customFormat="1" ht="12.75" customHeight="1" x14ac:dyDescent="0.25">
      <c r="B3759" s="118" t="str">
        <f>IF('1. INTRO'!I$2="English",(IF('5. PERSON'!BP$193&gt;0,"Salary including social costs (LKP)","")),IF('5. PERSON'!BP$193&gt;0,"Lön inklusive LKP",""))</f>
        <v/>
      </c>
      <c r="C3759" s="134">
        <f>SUMIF('5. PERSON'!$B$17:$B$192,$C3746,'5. PERSON'!BF$17:BF$192)</f>
        <v>0</v>
      </c>
      <c r="D3759" s="134">
        <f>SUMIF('5. PERSON'!$B$17:$B$192,$C3746,'5. PERSON'!BG$17:BG$192)</f>
        <v>0</v>
      </c>
      <c r="E3759" s="134">
        <f>SUMIF('5. PERSON'!$B$17:$B$192,$C3746,'5. PERSON'!BH$17:BH$192)</f>
        <v>0</v>
      </c>
      <c r="F3759" s="134">
        <f>SUMIF('5. PERSON'!$B$17:$B$192,$C3746,'5. PERSON'!BI$17:BI$192)</f>
        <v>0</v>
      </c>
      <c r="G3759" s="134">
        <f>SUMIF('5. PERSON'!$B$17:$B$192,$C3746,'5. PERSON'!BJ$17:BJ$192)</f>
        <v>0</v>
      </c>
      <c r="H3759" s="134">
        <f>SUMIF('5. PERSON'!$B$17:$B$192,$C3746,'5. PERSON'!BK$17:BK$192)</f>
        <v>0</v>
      </c>
      <c r="I3759" s="134">
        <f>SUMIF('5. PERSON'!$B$17:$B$192,$C3746,'5. PERSON'!BL$17:BL$192)</f>
        <v>0</v>
      </c>
      <c r="J3759" s="134">
        <f>SUMIF('5. PERSON'!$B$17:$B$192,$C3746,'5. PERSON'!BM$17:BM$192)</f>
        <v>0</v>
      </c>
      <c r="K3759" s="134">
        <f>SUMIF('5. PERSON'!$B$17:$B$192,$C3746,'5. PERSON'!BN$17:BN$192)</f>
        <v>0</v>
      </c>
      <c r="L3759" s="134">
        <f>SUMIF('5. PERSON'!$B$17:$B$192,$C3746,'5. PERSON'!BO$17:BO$192)</f>
        <v>0</v>
      </c>
      <c r="M3759" s="120">
        <f t="shared" si="891"/>
        <v>0</v>
      </c>
    </row>
    <row r="3760" spans="2:15" s="3" customFormat="1" ht="13.2" x14ac:dyDescent="0.25">
      <c r="B3760" s="80" t="str">
        <f>IF('1. INTRO'!I$2="English",(IF('6. OPERATION'!AS$150&gt;0,"Operating","")),IF('6. OPERATION'!AS$150&gt;0,"Drift",""))</f>
        <v/>
      </c>
      <c r="C3760" s="135">
        <f>SUMIF('6. OPERATION'!$B$17:$B$149,$C3746,'6. OPERATION'!AI$17:AI$149)</f>
        <v>0</v>
      </c>
      <c r="D3760" s="135">
        <f>SUMIF('6. OPERATION'!$B$17:$B$149,$C3746,'6. OPERATION'!AJ$17:AJ$149)</f>
        <v>0</v>
      </c>
      <c r="E3760" s="135">
        <f>SUMIF('6. OPERATION'!$B$17:$B$149,$C3746,'6. OPERATION'!AK$17:AK$149)</f>
        <v>0</v>
      </c>
      <c r="F3760" s="135">
        <f>SUMIF('6. OPERATION'!$B$17:$B$149,$C3746,'6. OPERATION'!AL$17:AL$149)</f>
        <v>0</v>
      </c>
      <c r="G3760" s="135">
        <f>SUMIF('6. OPERATION'!$B$17:$B$149,$C3746,'6. OPERATION'!AM$17:AM$149)</f>
        <v>0</v>
      </c>
      <c r="H3760" s="135">
        <f>SUMIF('6. OPERATION'!$B$17:$B$149,$C3746,'6. OPERATION'!AN$17:AN$149)</f>
        <v>0</v>
      </c>
      <c r="I3760" s="135">
        <f>SUMIF('6. OPERATION'!$B$17:$B$149,$C3746,'6. OPERATION'!AO$17:AO$149)</f>
        <v>0</v>
      </c>
      <c r="J3760" s="135">
        <f>SUMIF('6. OPERATION'!$B$17:$B$149,$C3746,'6. OPERATION'!AP$17:AP$149)</f>
        <v>0</v>
      </c>
      <c r="K3760" s="135">
        <f>SUMIF('6. OPERATION'!$B$17:$B$149,$C3746,'6. OPERATION'!AQ$17:AQ$149)</f>
        <v>0</v>
      </c>
      <c r="L3760" s="135">
        <f>SUMIF('6. OPERATION'!$B$17:$B$149,$C3746,'6. OPERATION'!AR$17:AR$149)</f>
        <v>0</v>
      </c>
      <c r="M3760" s="117">
        <f t="shared" si="891"/>
        <v>0</v>
      </c>
    </row>
    <row r="3761" spans="2:15" s="3" customFormat="1" ht="13.2" x14ac:dyDescent="0.25">
      <c r="B3761" s="118" t="str">
        <f>IF('1. INTRO'!I$2="English",(IF('7. INVEST'!AS$50&gt;0,"Equipment","")),IF('7. INVEST'!AS$50&gt;0,"Utrustning",""))</f>
        <v/>
      </c>
      <c r="C3761" s="134">
        <f>SUMIF('7. INVEST'!$B$17:$B$49,$C3746,'7. INVEST'!AI$17:AI$49)</f>
        <v>0</v>
      </c>
      <c r="D3761" s="134">
        <f>SUMIF('7. INVEST'!$B$17:$B$49,$C3746,'7. INVEST'!AJ$17:AJ$49)</f>
        <v>0</v>
      </c>
      <c r="E3761" s="134">
        <f>SUMIF('7. INVEST'!$B$17:$B$49,$C3746,'7. INVEST'!AK$17:AK$49)</f>
        <v>0</v>
      </c>
      <c r="F3761" s="134">
        <f>SUMIF('7. INVEST'!$B$17:$B$49,$C3746,'7. INVEST'!AL$17:AL$49)</f>
        <v>0</v>
      </c>
      <c r="G3761" s="134">
        <f>SUMIF('7. INVEST'!$B$17:$B$49,$C3746,'7. INVEST'!AM$17:AM$49)</f>
        <v>0</v>
      </c>
      <c r="H3761" s="134">
        <f>SUMIF('7. INVEST'!$B$17:$B$49,$C3746,'7. INVEST'!AN$17:AN$49)</f>
        <v>0</v>
      </c>
      <c r="I3761" s="134">
        <f>SUMIF('7. INVEST'!$B$17:$B$49,$C3746,'7. INVEST'!AO$17:AO$49)</f>
        <v>0</v>
      </c>
      <c r="J3761" s="134">
        <f>SUMIF('7. INVEST'!$B$17:$B$49,$C3746,'7. INVEST'!AP$17:AP$49)</f>
        <v>0</v>
      </c>
      <c r="K3761" s="134">
        <f>SUMIF('7. INVEST'!$B$17:$B$49,$C3746,'7. INVEST'!AQ$17:AQ$49)</f>
        <v>0</v>
      </c>
      <c r="L3761" s="134">
        <f>SUMIF('7. INVEST'!$B$17:$B$49,$C3746,'7. INVEST'!AR$17:AR$49)</f>
        <v>0</v>
      </c>
      <c r="M3761" s="120">
        <f t="shared" si="891"/>
        <v>0</v>
      </c>
    </row>
    <row r="3762" spans="2:15" s="3" customFormat="1" ht="13.2" x14ac:dyDescent="0.25">
      <c r="B3762" s="121" t="str">
        <f>IF('1. INTRO'!I$2="English",(IF('8. FACILIT'!AP$51&gt;0,"Facility","")),IF('8. FACILIT'!AP$51&gt;0,"Lokal",""))</f>
        <v/>
      </c>
      <c r="C3762" s="135">
        <f>SUMIF('5. PERSON'!$B$17:$B$192,$C3746,'5. PERSON'!DB$17:DB$192)+SUMIF('6. OPERATION'!$B$17:$B$149,$C3746,'6. OPERATION'!CE$17:CE$149)+SUMIF('8. FACILIT'!$B$18:$B$50,$C3746,'8. FACILIT'!AF$18:AF$50)</f>
        <v>0</v>
      </c>
      <c r="D3762" s="135">
        <f>SUMIF('5. PERSON'!$B$17:$B$192,$C3746,'5. PERSON'!DC$17:DC$192)+SUMIF('6. OPERATION'!$B$17:$B$149,$C3746,'6. OPERATION'!CF$17:CF$149)+SUMIF('8. FACILIT'!$B$18:$B$50,$C3746,'8. FACILIT'!AG$18:AG$50)</f>
        <v>0</v>
      </c>
      <c r="E3762" s="135">
        <f>SUMIF('5. PERSON'!$B$17:$B$192,$C3746,'5. PERSON'!DD$17:DD$192)+SUMIF('6. OPERATION'!$B$17:$B$149,$C3746,'6. OPERATION'!CG$17:CG$149)+SUMIF('8. FACILIT'!$B$18:$B$50,$C3746,'8. FACILIT'!AH$18:AH$50)</f>
        <v>0</v>
      </c>
      <c r="F3762" s="135">
        <f>SUMIF('5. PERSON'!$B$17:$B$192,$C3746,'5. PERSON'!DE$17:DE$192)+SUMIF('6. OPERATION'!$B$17:$B$149,$C3746,'6. OPERATION'!CH$17:CH$149)+SUMIF('8. FACILIT'!$B$18:$B$50,$C3746,'8. FACILIT'!AI$18:AI$50)</f>
        <v>0</v>
      </c>
      <c r="G3762" s="135">
        <f>SUMIF('5. PERSON'!$B$17:$B$192,$C3746,'5. PERSON'!DF$17:DF$192)+SUMIF('6. OPERATION'!$B$17:$B$149,$C3746,'6. OPERATION'!CI$17:CI$149)+SUMIF('8. FACILIT'!$B$18:$B$50,$C3746,'8. FACILIT'!AJ$18:AJ$50)</f>
        <v>0</v>
      </c>
      <c r="H3762" s="135">
        <f>SUMIF('5. PERSON'!$B$17:$B$192,$C3746,'5. PERSON'!DG$17:DG$192)+SUMIF('6. OPERATION'!$B$17:$B$149,$C3746,'6. OPERATION'!CJ$17:CJ$149)+SUMIF('8. FACILIT'!$B$18:$B$50,$C3746,'8. FACILIT'!AK$18:AK$50)</f>
        <v>0</v>
      </c>
      <c r="I3762" s="135">
        <f>SUMIF('5. PERSON'!$B$17:$B$192,$C3746,'5. PERSON'!DH$17:DH$192)+SUMIF('6. OPERATION'!$B$17:$B$149,$C3746,'6. OPERATION'!CK$17:CK$149)+SUMIF('8. FACILIT'!$B$18:$B$50,$C3746,'8. FACILIT'!AL$18:AL$50)</f>
        <v>0</v>
      </c>
      <c r="J3762" s="135">
        <f>SUMIF('5. PERSON'!$B$17:$B$192,$C3746,'5. PERSON'!DI$17:DI$192)+SUMIF('6. OPERATION'!$B$17:$B$149,$C3746,'6. OPERATION'!CL$17:CL$149)+SUMIF('8. FACILIT'!$B$18:$B$50,$C3746,'8. FACILIT'!AM$18:AM$50)</f>
        <v>0</v>
      </c>
      <c r="K3762" s="135">
        <f>SUMIF('5. PERSON'!$B$17:$B$192,$C3746,'5. PERSON'!DJ$17:DJ$192)+SUMIF('6. OPERATION'!$B$17:$B$149,$C3746,'6. OPERATION'!CM$17:CM$149)+SUMIF('8. FACILIT'!$B$18:$B$50,$C3746,'8. FACILIT'!AN$18:AN$50)</f>
        <v>0</v>
      </c>
      <c r="L3762" s="135">
        <f>SUMIF('5. PERSON'!$B$17:$B$192,$C3746,'5. PERSON'!DK$17:DK$192)+SUMIF('6. OPERATION'!$B$17:$B$149,$C3746,'6. OPERATION'!CN$17:CN$149)+SUMIF('8. FACILIT'!$B$18:$B$50,$C3746,'8. FACILIT'!AO$18:AO$50)</f>
        <v>0</v>
      </c>
      <c r="M3762" s="117">
        <f t="shared" si="891"/>
        <v>0</v>
      </c>
    </row>
    <row r="3763" spans="2:15" s="1" customFormat="1" ht="13.2" x14ac:dyDescent="0.25">
      <c r="B3763" s="122" t="str">
        <f>IF('1. INTRO'!I$2="English",(IF(('5. PERSON'!CN$193+'6. OPERATION'!BQ$150)&gt;0,"Indirect","")),IF(('5. PERSON'!CN$193+'6. OPERATION'!BQ$150)&gt;0,"Indirekt",""))</f>
        <v/>
      </c>
      <c r="C3763" s="107">
        <f>SUMIF('5. PERSON'!$B$17:$B$192,$C3746,'5. PERSON'!CD$17:CD$192)+SUMIF('6. OPERATION'!$B$17:$B$149,$C3746,'6. OPERATION'!BG$17:BG$149)</f>
        <v>0</v>
      </c>
      <c r="D3763" s="107">
        <f>SUMIF('5. PERSON'!$B$17:$B$192,$C3746,'5. PERSON'!CE$17:CE$192)+SUMIF('6. OPERATION'!$B$17:$B$149,$C3746,'6. OPERATION'!BH$17:BH$149)</f>
        <v>0</v>
      </c>
      <c r="E3763" s="107">
        <f>SUMIF('5. PERSON'!$B$17:$B$192,$C3746,'5. PERSON'!CF$17:CF$192)+SUMIF('6. OPERATION'!$B$17:$B$149,$C3746,'6. OPERATION'!BI$17:BI$149)</f>
        <v>0</v>
      </c>
      <c r="F3763" s="107">
        <f>SUMIF('5. PERSON'!$B$17:$B$192,$C3746,'5. PERSON'!CG$17:CG$192)+SUMIF('6. OPERATION'!$B$17:$B$149,$C3746,'6. OPERATION'!BJ$17:BJ$149)</f>
        <v>0</v>
      </c>
      <c r="G3763" s="107">
        <f>SUMIF('5. PERSON'!$B$17:$B$192,$C3746,'5. PERSON'!CH$17:CH$192)+SUMIF('6. OPERATION'!$B$17:$B$149,$C3746,'6. OPERATION'!BK$17:BK$149)</f>
        <v>0</v>
      </c>
      <c r="H3763" s="107">
        <f>SUMIF('5. PERSON'!$B$17:$B$192,$C3746,'5. PERSON'!CI$17:CI$192)+SUMIF('6. OPERATION'!$B$17:$B$149,$C3746,'6. OPERATION'!BL$17:BL$149)</f>
        <v>0</v>
      </c>
      <c r="I3763" s="107">
        <f>SUMIF('5. PERSON'!$B$17:$B$192,$C3746,'5. PERSON'!CJ$17:CJ$192)+SUMIF('6. OPERATION'!$B$17:$B$149,$C3746,'6. OPERATION'!BM$17:BM$149)</f>
        <v>0</v>
      </c>
      <c r="J3763" s="107">
        <f>SUMIF('5. PERSON'!$B$17:$B$192,$C3746,'5. PERSON'!CK$17:CK$192)+SUMIF('6. OPERATION'!$B$17:$B$149,$C3746,'6. OPERATION'!BN$17:BN$149)</f>
        <v>0</v>
      </c>
      <c r="K3763" s="107">
        <f>SUMIF('5. PERSON'!$B$17:$B$192,$C3746,'5. PERSON'!CL$17:CL$192)+SUMIF('6. OPERATION'!$B$17:$B$149,$C3746,'6. OPERATION'!BO$17:BO$149)</f>
        <v>0</v>
      </c>
      <c r="L3763" s="107">
        <f>SUMIF('5. PERSON'!$B$17:$B$192,$C3746,'5. PERSON'!CM$17:CM$192)+SUMIF('6. OPERATION'!$B$17:$B$149,$C3746,'6. OPERATION'!BP$17:BP$149)</f>
        <v>0</v>
      </c>
      <c r="M3763" s="123">
        <f t="shared" si="891"/>
        <v>0</v>
      </c>
    </row>
    <row r="3764" spans="2:15" s="3" customFormat="1" ht="13.2" x14ac:dyDescent="0.25">
      <c r="B3764" s="124" t="s">
        <v>113</v>
      </c>
      <c r="C3764" s="102">
        <f>SUM(C3757:C3763)</f>
        <v>0</v>
      </c>
      <c r="D3764" s="102">
        <f t="shared" ref="D3764:L3764" si="892">SUM(D3757:D3763)</f>
        <v>0</v>
      </c>
      <c r="E3764" s="102">
        <f t="shared" si="892"/>
        <v>0</v>
      </c>
      <c r="F3764" s="102">
        <f t="shared" si="892"/>
        <v>0</v>
      </c>
      <c r="G3764" s="102">
        <f t="shared" si="892"/>
        <v>0</v>
      </c>
      <c r="H3764" s="102">
        <f t="shared" si="892"/>
        <v>0</v>
      </c>
      <c r="I3764" s="102">
        <f t="shared" si="892"/>
        <v>0</v>
      </c>
      <c r="J3764" s="102">
        <f t="shared" si="892"/>
        <v>0</v>
      </c>
      <c r="K3764" s="102">
        <f t="shared" si="892"/>
        <v>0</v>
      </c>
      <c r="L3764" s="102">
        <f t="shared" si="892"/>
        <v>0</v>
      </c>
      <c r="M3764" s="125">
        <f t="shared" ref="M3764" si="893">SUM(M3757:M3763)</f>
        <v>0</v>
      </c>
      <c r="N3764" s="23"/>
      <c r="O3764" s="23"/>
    </row>
    <row r="3765" spans="2:15" s="3" customFormat="1" ht="6" customHeight="1" x14ac:dyDescent="0.25">
      <c r="B3765" s="136"/>
      <c r="C3765" s="127"/>
      <c r="D3765" s="127"/>
      <c r="E3765" s="127"/>
      <c r="F3765" s="127"/>
      <c r="G3765" s="127"/>
      <c r="H3765" s="127"/>
      <c r="I3765" s="127"/>
      <c r="J3765" s="127"/>
      <c r="K3765" s="127"/>
      <c r="L3765" s="127"/>
      <c r="M3765" s="137"/>
    </row>
    <row r="3766" spans="2:15" s="3" customFormat="1" ht="13.2" x14ac:dyDescent="0.25">
      <c r="B3766" s="129" t="str">
        <f>IF('1. INTRO'!I$2="English","Full cost","Full kostnad")</f>
        <v>Full cost</v>
      </c>
      <c r="C3766" s="127"/>
      <c r="D3766" s="127"/>
      <c r="E3766" s="127"/>
      <c r="F3766" s="127"/>
      <c r="G3766" s="127"/>
      <c r="H3766" s="127"/>
      <c r="I3766" s="127"/>
      <c r="J3766" s="127"/>
      <c r="K3766" s="127"/>
      <c r="L3766" s="127"/>
      <c r="M3766" s="137"/>
    </row>
    <row r="3767" spans="2:15" s="3" customFormat="1" ht="13.2" x14ac:dyDescent="0.25">
      <c r="B3767" s="113" t="str">
        <f>IF('1. INTRO'!I$2="English","Salary including social costs (LKP)","Lön inklusive LKP")</f>
        <v>Salary including social costs (LKP)</v>
      </c>
      <c r="C3767" s="138">
        <f>C3749+C3758+C3759</f>
        <v>0</v>
      </c>
      <c r="D3767" s="138">
        <f t="shared" ref="D3767:L3767" si="894">D3749+D3758+D3759</f>
        <v>0</v>
      </c>
      <c r="E3767" s="138">
        <f t="shared" si="894"/>
        <v>0</v>
      </c>
      <c r="F3767" s="138">
        <f t="shared" si="894"/>
        <v>0</v>
      </c>
      <c r="G3767" s="138">
        <f t="shared" si="894"/>
        <v>0</v>
      </c>
      <c r="H3767" s="138">
        <f t="shared" si="894"/>
        <v>0</v>
      </c>
      <c r="I3767" s="138">
        <f t="shared" si="894"/>
        <v>0</v>
      </c>
      <c r="J3767" s="138">
        <f t="shared" si="894"/>
        <v>0</v>
      </c>
      <c r="K3767" s="138">
        <f t="shared" si="894"/>
        <v>0</v>
      </c>
      <c r="L3767" s="138">
        <f t="shared" si="894"/>
        <v>0</v>
      </c>
      <c r="M3767" s="115">
        <f>SUM(C3767:L3767)</f>
        <v>0</v>
      </c>
    </row>
    <row r="3768" spans="2:15" s="3" customFormat="1" ht="13.2" x14ac:dyDescent="0.25">
      <c r="B3768" s="80" t="str">
        <f>IF('1. INTRO'!I$2="English","Operating","Drift")</f>
        <v>Operating</v>
      </c>
      <c r="C3768" s="139">
        <f>C3750+C3760</f>
        <v>0</v>
      </c>
      <c r="D3768" s="139">
        <f t="shared" ref="D3768:L3768" si="895">D3750+D3760</f>
        <v>0</v>
      </c>
      <c r="E3768" s="139">
        <f t="shared" si="895"/>
        <v>0</v>
      </c>
      <c r="F3768" s="139">
        <f t="shared" si="895"/>
        <v>0</v>
      </c>
      <c r="G3768" s="139">
        <f t="shared" si="895"/>
        <v>0</v>
      </c>
      <c r="H3768" s="139">
        <f t="shared" si="895"/>
        <v>0</v>
      </c>
      <c r="I3768" s="139">
        <f t="shared" si="895"/>
        <v>0</v>
      </c>
      <c r="J3768" s="139">
        <f t="shared" si="895"/>
        <v>0</v>
      </c>
      <c r="K3768" s="139">
        <f t="shared" si="895"/>
        <v>0</v>
      </c>
      <c r="L3768" s="139">
        <f t="shared" si="895"/>
        <v>0</v>
      </c>
      <c r="M3768" s="117">
        <f>SUM(C3768:L3768)</f>
        <v>0</v>
      </c>
    </row>
    <row r="3769" spans="2:15" s="3" customFormat="1" ht="13.2" x14ac:dyDescent="0.25">
      <c r="B3769" s="118" t="str">
        <f>IF('1. INTRO'!I$2="English","Equipment","Utrustning")</f>
        <v>Equipment</v>
      </c>
      <c r="C3769" s="140">
        <f>C3751+C3761</f>
        <v>0</v>
      </c>
      <c r="D3769" s="140">
        <f t="shared" ref="D3769:L3769" si="896">D3751+D3761</f>
        <v>0</v>
      </c>
      <c r="E3769" s="140">
        <f t="shared" si="896"/>
        <v>0</v>
      </c>
      <c r="F3769" s="140">
        <f t="shared" si="896"/>
        <v>0</v>
      </c>
      <c r="G3769" s="140">
        <f t="shared" si="896"/>
        <v>0</v>
      </c>
      <c r="H3769" s="140">
        <f t="shared" si="896"/>
        <v>0</v>
      </c>
      <c r="I3769" s="140">
        <f t="shared" si="896"/>
        <v>0</v>
      </c>
      <c r="J3769" s="140">
        <f t="shared" si="896"/>
        <v>0</v>
      </c>
      <c r="K3769" s="140">
        <f t="shared" si="896"/>
        <v>0</v>
      </c>
      <c r="L3769" s="140">
        <f t="shared" si="896"/>
        <v>0</v>
      </c>
      <c r="M3769" s="120">
        <f>SUM(C3769:L3769)</f>
        <v>0</v>
      </c>
    </row>
    <row r="3770" spans="2:15" s="3" customFormat="1" ht="13.2" x14ac:dyDescent="0.25">
      <c r="B3770" s="80" t="str">
        <f>IF('1. INTRO'!I$2="English","Facility","Lokal")</f>
        <v>Facility</v>
      </c>
      <c r="C3770" s="139">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39">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39">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39">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39">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39">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39">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39">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39">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39">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117">
        <f>SUM(C3770:L3770)</f>
        <v>0</v>
      </c>
    </row>
    <row r="3771" spans="2:15" s="3" customFormat="1" ht="13.2" x14ac:dyDescent="0.25">
      <c r="B3771" s="601" t="str">
        <f>IF('1. INTRO'!I$2="English","Indirect","Indirekt")</f>
        <v>Indirect</v>
      </c>
      <c r="C3771" s="141">
        <f>SUMIF('5. PERSON'!$B$17:$B$192,$C3746,'5. PERSON'!BR$17:BR$192)+SUMIF('5. PERSON'!$B$17:$B$192,$C3746,'5. PERSON'!CD$17:CD$192)+SUMIF('6. OPERATION'!$B$17:$B$149,$C3746,'6. OPERATION'!AU$17:AU$149)+SUMIF('6. OPERATION'!$B$17:$B$149,$C3746,'6. OPERATION'!BG$17:BG$149)</f>
        <v>0</v>
      </c>
      <c r="D3771" s="141">
        <f>SUMIF('5. PERSON'!$B$17:$B$192,$C3746,'5. PERSON'!BS$17:BS$192)+SUMIF('5. PERSON'!$B$17:$B$192,$C3746,'5. PERSON'!CE$17:CE$192)+SUMIF('6. OPERATION'!$B$17:$B$149,$C3746,'6. OPERATION'!AV$17:AV$149)+SUMIF('6. OPERATION'!$B$17:$B$149,$C3746,'6. OPERATION'!BH$17:BH$149)</f>
        <v>0</v>
      </c>
      <c r="E3771" s="141">
        <f>SUMIF('5. PERSON'!$B$17:$B$192,$C3746,'5. PERSON'!BT$17:BT$192)+SUMIF('5. PERSON'!$B$17:$B$192,$C3746,'5. PERSON'!CF$17:CF$192)+SUMIF('6. OPERATION'!$B$17:$B$149,$C3746,'6. OPERATION'!AW$17:AW$149)+SUMIF('6. OPERATION'!$B$17:$B$149,$C3746,'6. OPERATION'!BI$17:BI$149)</f>
        <v>0</v>
      </c>
      <c r="F3771" s="141">
        <f>SUMIF('5. PERSON'!$B$17:$B$192,$C3746,'5. PERSON'!BU$17:BU$192)+SUMIF('5. PERSON'!$B$17:$B$192,$C3746,'5. PERSON'!CG$17:CG$192)+SUMIF('6. OPERATION'!$B$17:$B$149,$C3746,'6. OPERATION'!AX$17:AX$149)+SUMIF('6. OPERATION'!$B$17:$B$149,$C3746,'6. OPERATION'!BJ$17:BJ$149)</f>
        <v>0</v>
      </c>
      <c r="G3771" s="141">
        <f>SUMIF('5. PERSON'!$B$17:$B$192,$C3746,'5. PERSON'!BV$17:BV$192)+SUMIF('5. PERSON'!$B$17:$B$192,$C3746,'5. PERSON'!CH$17:CH$192)+SUMIF('6. OPERATION'!$B$17:$B$149,$C3746,'6. OPERATION'!AY$17:AY$149)+SUMIF('6. OPERATION'!$B$17:$B$149,$C3746,'6. OPERATION'!BK$17:BK$149)</f>
        <v>0</v>
      </c>
      <c r="H3771" s="141">
        <f>SUMIF('5. PERSON'!$B$17:$B$192,$C3746,'5. PERSON'!BW$17:BW$192)+SUMIF('5. PERSON'!$B$17:$B$192,$C3746,'5. PERSON'!CI$17:CI$192)+SUMIF('6. OPERATION'!$B$17:$B$149,$C3746,'6. OPERATION'!AZ$17:AZ$149)+SUMIF('6. OPERATION'!$B$17:$B$149,$C3746,'6. OPERATION'!BL$17:BL$149)</f>
        <v>0</v>
      </c>
      <c r="I3771" s="141">
        <f>SUMIF('5. PERSON'!$B$17:$B$192,$C3746,'5. PERSON'!BX$17:BX$192)+SUMIF('5. PERSON'!$B$17:$B$192,$C3746,'5. PERSON'!CJ$17:CJ$192)+SUMIF('6. OPERATION'!$B$17:$B$149,$C3746,'6. OPERATION'!BA$17:BA$149)+SUMIF('6. OPERATION'!$B$17:$B$149,$C3746,'6. OPERATION'!BM$17:BM$149)</f>
        <v>0</v>
      </c>
      <c r="J3771" s="141">
        <f>SUMIF('5. PERSON'!$B$17:$B$192,$C3746,'5. PERSON'!BY$17:BY$192)+SUMIF('5. PERSON'!$B$17:$B$192,$C3746,'5. PERSON'!CK$17:CK$192)+SUMIF('6. OPERATION'!$B$17:$B$149,$C3746,'6. OPERATION'!BB$17:BB$149)+SUMIF('6. OPERATION'!$B$17:$B$149,$C3746,'6. OPERATION'!BN$17:BN$149)</f>
        <v>0</v>
      </c>
      <c r="K3771" s="141">
        <f>SUMIF('5. PERSON'!$B$17:$B$192,$C3746,'5. PERSON'!BZ$17:BZ$192)+SUMIF('5. PERSON'!$B$17:$B$192,$C3746,'5. PERSON'!CL$17:CL$192)+SUMIF('6. OPERATION'!$B$17:$B$149,$C3746,'6. OPERATION'!BC$17:BC$149)+SUMIF('6. OPERATION'!$B$17:$B$149,$C3746,'6. OPERATION'!BO$17:BO$149)</f>
        <v>0</v>
      </c>
      <c r="L3771" s="141">
        <f>SUMIF('5. PERSON'!$B$17:$B$192,$C3746,'5. PERSON'!CA$17:CA$192)+SUMIF('5. PERSON'!$B$17:$B$192,$C3746,'5. PERSON'!CM$17:CM$192)+SUMIF('6. OPERATION'!$B$17:$B$149,$C3746,'6. OPERATION'!BD$17:BD$149)+SUMIF('6. OPERATION'!$B$17:$B$149,$C3746,'6. OPERATION'!BP$17:BP$149)</f>
        <v>0</v>
      </c>
      <c r="M3771" s="123">
        <f>SUM(C3771:L3771)</f>
        <v>0</v>
      </c>
    </row>
    <row r="3772" spans="2:15" s="3" customFormat="1" ht="13.2" x14ac:dyDescent="0.25">
      <c r="B3772" s="124" t="s">
        <v>113</v>
      </c>
      <c r="C3772" s="88">
        <f>SUM(C3767:C3771)</f>
        <v>0</v>
      </c>
      <c r="D3772" s="88">
        <f t="shared" ref="D3772:M3772" si="897">SUM(D3767:D3771)</f>
        <v>0</v>
      </c>
      <c r="E3772" s="88">
        <f t="shared" si="897"/>
        <v>0</v>
      </c>
      <c r="F3772" s="88">
        <f t="shared" si="897"/>
        <v>0</v>
      </c>
      <c r="G3772" s="88">
        <f t="shared" si="897"/>
        <v>0</v>
      </c>
      <c r="H3772" s="88">
        <f t="shared" si="897"/>
        <v>0</v>
      </c>
      <c r="I3772" s="88">
        <f t="shared" si="897"/>
        <v>0</v>
      </c>
      <c r="J3772" s="88">
        <f t="shared" si="897"/>
        <v>0</v>
      </c>
      <c r="K3772" s="88">
        <f t="shared" si="897"/>
        <v>0</v>
      </c>
      <c r="L3772" s="88">
        <f t="shared" si="897"/>
        <v>0</v>
      </c>
      <c r="M3772" s="142">
        <f t="shared" si="897"/>
        <v>0</v>
      </c>
    </row>
    <row r="3773" spans="2:15" s="3" customFormat="1" ht="13.2" x14ac:dyDescent="0.25">
      <c r="B3773" s="287"/>
      <c r="C3773" s="37"/>
      <c r="D3773" s="37"/>
      <c r="E3773" s="37"/>
      <c r="F3773" s="37"/>
      <c r="G3773" s="37"/>
      <c r="H3773" s="37"/>
      <c r="I3773" s="37"/>
      <c r="J3773" s="37"/>
      <c r="K3773" s="37"/>
      <c r="L3773" s="37"/>
      <c r="M3773" s="37"/>
    </row>
    <row r="3774" spans="2:15" s="3" customFormat="1" ht="12.75" customHeight="1" x14ac:dyDescent="0.25">
      <c r="B3774" s="656" t="str">
        <f>IF('1. INTRO'!I$2="English","Co-funding share in full cost ","Medfinansieringsandel i full kostnad ")</f>
        <v xml:space="preserve">Co-funding share in full cost </v>
      </c>
      <c r="C3774" s="143" t="str">
        <f t="shared" ref="C3774:M3774" si="898">IF(C3772&gt;0,C3764/C3772,"")</f>
        <v/>
      </c>
      <c r="D3774" s="143" t="str">
        <f t="shared" si="898"/>
        <v/>
      </c>
      <c r="E3774" s="143" t="str">
        <f t="shared" si="898"/>
        <v/>
      </c>
      <c r="F3774" s="143" t="str">
        <f t="shared" si="898"/>
        <v/>
      </c>
      <c r="G3774" s="143" t="str">
        <f t="shared" si="898"/>
        <v/>
      </c>
      <c r="H3774" s="143" t="str">
        <f t="shared" si="898"/>
        <v/>
      </c>
      <c r="I3774" s="143" t="str">
        <f t="shared" si="898"/>
        <v/>
      </c>
      <c r="J3774" s="143" t="str">
        <f t="shared" si="898"/>
        <v/>
      </c>
      <c r="K3774" s="143" t="str">
        <f t="shared" si="898"/>
        <v/>
      </c>
      <c r="L3774" s="143" t="str">
        <f t="shared" si="898"/>
        <v/>
      </c>
      <c r="M3774" s="143" t="str">
        <f t="shared" si="898"/>
        <v/>
      </c>
    </row>
    <row r="3775" spans="2:15" ht="12.75" customHeight="1" x14ac:dyDescent="0.2"/>
    <row r="3776" spans="2:15" ht="12.75" customHeight="1" x14ac:dyDescent="0.25">
      <c r="D3776" s="676" t="str">
        <f>IF('1. INTRO'!I$2="English","Co-funding need in average per year: ","Medfinansieringsbehov i genomsnitt per år: ")</f>
        <v xml:space="preserve">Co-funding need in average per year: </v>
      </c>
      <c r="E3776" s="92" t="str">
        <f>IF(M3764=0,"",M3764/(DATEDIF('2. START'!C$18,'2. START'!C$19,"d")/365))</f>
        <v/>
      </c>
      <c r="H3776" s="676" t="str">
        <f>IF('1. INTRO'!I$2="English","Co-funding need 1/3 of total: ","Medfinansieringsbehov 1/3 av totalt: ")</f>
        <v xml:space="preserve">Co-funding need 1/3 of total: </v>
      </c>
      <c r="I3776" s="92">
        <f>M3764/3</f>
        <v>0</v>
      </c>
      <c r="L3776" s="287" t="str">
        <f>IF('1. INTRO'!I$2="English","Co-funding need total: ","Medfinansieringsbehov totalt: ")</f>
        <v xml:space="preserve">Co-funding need total: </v>
      </c>
      <c r="M3776" s="92">
        <f>M3764</f>
        <v>0</v>
      </c>
    </row>
    <row r="3777" spans="2:13" ht="12.75" customHeight="1" x14ac:dyDescent="0.25">
      <c r="B3777" s="53" t="str">
        <f>IF('1. INTRO'!I$2="English","Co-funding sources","Medfinansieringskällor")</f>
        <v>Co-funding sources</v>
      </c>
    </row>
    <row r="3778" spans="2:13" ht="12.75" customHeight="1" x14ac:dyDescent="0.25">
      <c r="B3778" s="225"/>
      <c r="C3778" s="226"/>
      <c r="D3778" s="226"/>
      <c r="E3778" s="226"/>
      <c r="F3778" s="226"/>
      <c r="G3778" s="226"/>
      <c r="H3778" s="226"/>
      <c r="I3778" s="226"/>
      <c r="J3778" s="226"/>
      <c r="K3778" s="226"/>
      <c r="L3778" s="227"/>
      <c r="M3778" s="168">
        <f>SUM(C3778:L3778)</f>
        <v>0</v>
      </c>
    </row>
    <row r="3779" spans="2:13" ht="12.75" customHeight="1" x14ac:dyDescent="0.25">
      <c r="B3779" s="228"/>
      <c r="C3779" s="229"/>
      <c r="D3779" s="229"/>
      <c r="E3779" s="229"/>
      <c r="F3779" s="229"/>
      <c r="G3779" s="229"/>
      <c r="H3779" s="229"/>
      <c r="I3779" s="229"/>
      <c r="J3779" s="229"/>
      <c r="K3779" s="229"/>
      <c r="L3779" s="230"/>
      <c r="M3779" s="120">
        <f t="shared" ref="M3779:M3782" si="899">SUM(C3779:L3779)</f>
        <v>0</v>
      </c>
    </row>
    <row r="3780" spans="2:13" ht="12.75" customHeight="1" x14ac:dyDescent="0.25">
      <c r="B3780" s="231"/>
      <c r="C3780" s="232"/>
      <c r="D3780" s="232"/>
      <c r="E3780" s="232"/>
      <c r="F3780" s="232"/>
      <c r="G3780" s="232"/>
      <c r="H3780" s="232"/>
      <c r="I3780" s="232"/>
      <c r="J3780" s="232"/>
      <c r="K3780" s="232"/>
      <c r="L3780" s="233"/>
      <c r="M3780" s="117">
        <f t="shared" si="899"/>
        <v>0</v>
      </c>
    </row>
    <row r="3781" spans="2:13" ht="12.75" customHeight="1" x14ac:dyDescent="0.25">
      <c r="B3781" s="228"/>
      <c r="C3781" s="229"/>
      <c r="D3781" s="229"/>
      <c r="E3781" s="229"/>
      <c r="F3781" s="229"/>
      <c r="G3781" s="229"/>
      <c r="H3781" s="229"/>
      <c r="I3781" s="229"/>
      <c r="J3781" s="229"/>
      <c r="K3781" s="229"/>
      <c r="L3781" s="230"/>
      <c r="M3781" s="120">
        <f t="shared" si="899"/>
        <v>0</v>
      </c>
    </row>
    <row r="3782" spans="2:13" ht="12.75" customHeight="1" x14ac:dyDescent="0.25">
      <c r="B3782" s="93"/>
      <c r="C3782" s="232"/>
      <c r="D3782" s="232"/>
      <c r="E3782" s="232"/>
      <c r="F3782" s="232"/>
      <c r="G3782" s="232"/>
      <c r="H3782" s="232"/>
      <c r="I3782" s="232"/>
      <c r="J3782" s="232"/>
      <c r="K3782" s="232"/>
      <c r="L3782" s="233"/>
      <c r="M3782" s="117">
        <f t="shared" si="899"/>
        <v>0</v>
      </c>
    </row>
    <row r="3783" spans="2:13" ht="12.75" customHeight="1" x14ac:dyDescent="0.25">
      <c r="B3783" s="84" t="str">
        <f>IF('1. INTRO'!I$2="English","Total co-funding ","Total medfinansiering ")</f>
        <v xml:space="preserve">Total co-funding </v>
      </c>
      <c r="C3783" s="87">
        <f t="shared" ref="C3783:M3783" si="900">SUM(C3778:C3782)</f>
        <v>0</v>
      </c>
      <c r="D3783" s="87">
        <f t="shared" si="900"/>
        <v>0</v>
      </c>
      <c r="E3783" s="87">
        <f t="shared" si="900"/>
        <v>0</v>
      </c>
      <c r="F3783" s="87">
        <f t="shared" si="900"/>
        <v>0</v>
      </c>
      <c r="G3783" s="87">
        <f t="shared" si="900"/>
        <v>0</v>
      </c>
      <c r="H3783" s="87">
        <f t="shared" si="900"/>
        <v>0</v>
      </c>
      <c r="I3783" s="87">
        <f t="shared" si="900"/>
        <v>0</v>
      </c>
      <c r="J3783" s="87">
        <f t="shared" si="900"/>
        <v>0</v>
      </c>
      <c r="K3783" s="87">
        <f t="shared" si="900"/>
        <v>0</v>
      </c>
      <c r="L3783" s="87">
        <f t="shared" si="900"/>
        <v>0</v>
      </c>
      <c r="M3783" s="142">
        <f t="shared" si="900"/>
        <v>0</v>
      </c>
    </row>
    <row r="3784" spans="2:13" ht="12.75" customHeight="1" x14ac:dyDescent="0.2"/>
    <row r="3785" spans="2:13" ht="12.75" customHeight="1" x14ac:dyDescent="0.2">
      <c r="B3785" s="667" t="str">
        <f>IF('1. INTRO'!I$2="English","Calculation comments","Kalkylkommentarer")</f>
        <v>Calculation comments</v>
      </c>
      <c r="C3785" s="37" t="str">
        <f>B87</f>
        <v/>
      </c>
    </row>
    <row r="3786" spans="2:13" ht="12.75" customHeight="1" x14ac:dyDescent="0.2">
      <c r="B3786" s="1142"/>
      <c r="C3786" s="1143"/>
      <c r="D3786" s="1143"/>
      <c r="E3786" s="1143"/>
      <c r="F3786" s="1143"/>
      <c r="G3786" s="1143"/>
      <c r="H3786" s="1143"/>
      <c r="I3786" s="1143"/>
      <c r="J3786" s="1143"/>
      <c r="K3786" s="1143"/>
      <c r="L3786" s="1143"/>
      <c r="M3786" s="1144"/>
    </row>
    <row r="3787" spans="2:13" ht="12.75" customHeight="1" x14ac:dyDescent="0.2">
      <c r="B3787" s="1145"/>
      <c r="C3787" s="1226"/>
      <c r="D3787" s="1226"/>
      <c r="E3787" s="1226"/>
      <c r="F3787" s="1226"/>
      <c r="G3787" s="1226"/>
      <c r="H3787" s="1226"/>
      <c r="I3787" s="1226"/>
      <c r="J3787" s="1226"/>
      <c r="K3787" s="1226"/>
      <c r="L3787" s="1226"/>
      <c r="M3787" s="1147"/>
    </row>
    <row r="3788" spans="2:13" ht="12.75" customHeight="1" x14ac:dyDescent="0.2">
      <c r="B3788" s="1145"/>
      <c r="C3788" s="1226"/>
      <c r="D3788" s="1226"/>
      <c r="E3788" s="1226"/>
      <c r="F3788" s="1226"/>
      <c r="G3788" s="1226"/>
      <c r="H3788" s="1226"/>
      <c r="I3788" s="1226"/>
      <c r="J3788" s="1226"/>
      <c r="K3788" s="1226"/>
      <c r="L3788" s="1226"/>
      <c r="M3788" s="1147"/>
    </row>
    <row r="3789" spans="2:13" ht="12.75" customHeight="1" x14ac:dyDescent="0.2">
      <c r="B3789" s="1145"/>
      <c r="C3789" s="1226"/>
      <c r="D3789" s="1226"/>
      <c r="E3789" s="1226"/>
      <c r="F3789" s="1226"/>
      <c r="G3789" s="1226"/>
      <c r="H3789" s="1226"/>
      <c r="I3789" s="1226"/>
      <c r="J3789" s="1226"/>
      <c r="K3789" s="1226"/>
      <c r="L3789" s="1226"/>
      <c r="M3789" s="1147"/>
    </row>
    <row r="3790" spans="2:13" ht="12.75" customHeight="1" x14ac:dyDescent="0.2">
      <c r="B3790" s="1148"/>
      <c r="C3790" s="1149"/>
      <c r="D3790" s="1149"/>
      <c r="E3790" s="1149"/>
      <c r="F3790" s="1149"/>
      <c r="G3790" s="1149"/>
      <c r="H3790" s="1149"/>
      <c r="I3790" s="1149"/>
      <c r="J3790" s="1149"/>
      <c r="K3790" s="1149"/>
      <c r="L3790" s="1149"/>
      <c r="M3790" s="1150"/>
    </row>
    <row r="3792" spans="2:13" s="3" customFormat="1" ht="12.75" customHeight="1" x14ac:dyDescent="0.25">
      <c r="B3792" s="313" t="str">
        <f>'3. PARTNER'!C$4</f>
        <v xml:space="preserve">Project: </v>
      </c>
      <c r="C3792" s="1062" t="str">
        <f>'3. PARTNER'!D$4</f>
        <v/>
      </c>
      <c r="D3792" s="1001"/>
      <c r="E3792" s="1001"/>
      <c r="F3792" s="1001"/>
      <c r="G3792" s="1001"/>
      <c r="H3792" s="1001"/>
      <c r="I3792" s="1001"/>
      <c r="J3792" s="1001"/>
      <c r="K3792" s="1001"/>
      <c r="L3792" s="1001"/>
      <c r="M3792" s="1001"/>
    </row>
    <row r="3793" spans="2:15" s="3" customFormat="1" ht="13.2" x14ac:dyDescent="0.25">
      <c r="B3793" s="313" t="str">
        <f>'3. PARTNER'!C$5</f>
        <v xml:space="preserve">Calculation for: </v>
      </c>
      <c r="C3793" s="1062" t="str">
        <f>'3. PARTNER'!D$5</f>
        <v>APPLICATION</v>
      </c>
      <c r="D3793" s="1001"/>
      <c r="E3793" s="268"/>
      <c r="F3793" s="268"/>
      <c r="G3793" s="268"/>
      <c r="H3793" s="268"/>
      <c r="I3793" s="268"/>
      <c r="J3793" s="268"/>
      <c r="K3793" s="268"/>
      <c r="L3793" s="268"/>
      <c r="M3793" s="268"/>
    </row>
    <row r="3794" spans="2:15" s="3" customFormat="1" ht="13.2" x14ac:dyDescent="0.25">
      <c r="B3794" s="35" t="str">
        <f>'3. PARTNER'!C$6</f>
        <v xml:space="preserve">Project leader: </v>
      </c>
      <c r="C3794" s="1062" t="str">
        <f>'3. PARTNER'!D$6</f>
        <v/>
      </c>
      <c r="D3794" s="1001"/>
      <c r="E3794" s="1001"/>
      <c r="F3794" s="1001"/>
      <c r="G3794" s="1001"/>
      <c r="H3794" s="1001"/>
      <c r="I3794" s="1001"/>
      <c r="J3794" s="1001"/>
      <c r="K3794" s="1001"/>
      <c r="L3794" s="1001"/>
      <c r="M3794" s="1001"/>
    </row>
    <row r="3795" spans="2:15" s="3" customFormat="1" ht="13.2" x14ac:dyDescent="0.25">
      <c r="B3795" s="313" t="str">
        <f>'5. PERSON'!B$7</f>
        <v xml:space="preserve">Amounts in: </v>
      </c>
      <c r="C3795" s="655" t="str">
        <f>'5. PERSON'!C$7</f>
        <v>SEK</v>
      </c>
      <c r="D3795" s="268"/>
      <c r="E3795" s="268"/>
      <c r="F3795" s="268"/>
      <c r="G3795" s="234"/>
      <c r="H3795" s="234"/>
      <c r="I3795" s="270"/>
      <c r="J3795" s="270"/>
      <c r="K3795" s="270"/>
      <c r="L3795" s="270"/>
      <c r="M3795" s="270"/>
    </row>
    <row r="3796" spans="2:15" s="3" customFormat="1" ht="13.2" x14ac:dyDescent="0.25">
      <c r="B3796" s="313"/>
      <c r="C3796" s="1053" t="str">
        <f>'3. PARTNER'!D$7</f>
        <v>Other basic data about the project is in sheet 2.</v>
      </c>
      <c r="D3796" s="1001"/>
      <c r="E3796" s="1001"/>
      <c r="F3796" s="1001"/>
      <c r="G3796" s="234"/>
      <c r="H3796" s="234"/>
      <c r="I3796" s="270"/>
      <c r="J3796" s="270"/>
      <c r="K3796" s="270"/>
      <c r="L3796" s="251" t="s">
        <v>4</v>
      </c>
      <c r="M3796" s="270"/>
    </row>
    <row r="3797" spans="2:15" ht="12.75" customHeight="1" x14ac:dyDescent="0.2">
      <c r="L3797" s="252" t="str">
        <f>IF('1. INTRO'!I$2="English","months","månader")</f>
        <v>months</v>
      </c>
    </row>
    <row r="3798" spans="2:15" s="3" customFormat="1" ht="13.8" x14ac:dyDescent="0.25">
      <c r="B3798" s="157" t="str">
        <f>IF('1. INTRO'!I$2="English","Project costs","Projektkostnader")</f>
        <v>Project costs</v>
      </c>
      <c r="C3798" s="668" t="str">
        <f>A88</f>
        <v>EXT130</v>
      </c>
      <c r="D3798" s="1227" t="str">
        <f>B88</f>
        <v/>
      </c>
      <c r="E3798" s="1001"/>
      <c r="F3798" s="1001"/>
      <c r="G3798" s="1001"/>
      <c r="H3798" s="1001"/>
      <c r="I3798" s="37"/>
      <c r="J3798" s="37"/>
      <c r="K3798" s="37"/>
      <c r="L3798" s="642">
        <f>SUMIF('5. PERSON'!$B$17:$B$192,$C3798,'5. PERSON'!AE$17:AE$192)</f>
        <v>0</v>
      </c>
      <c r="M3798" s="680" t="s">
        <v>330</v>
      </c>
    </row>
    <row r="3799" spans="2:15" s="3" customFormat="1" ht="6" customHeight="1" x14ac:dyDescent="0.25">
      <c r="B3799" s="57"/>
      <c r="C3799" s="37"/>
      <c r="D3799" s="37"/>
      <c r="E3799" s="37"/>
      <c r="F3799" s="37"/>
      <c r="G3799" s="37"/>
      <c r="H3799" s="37"/>
      <c r="I3799" s="37"/>
      <c r="J3799" s="37"/>
      <c r="K3799" s="37"/>
      <c r="L3799" s="37"/>
      <c r="M3799" s="37"/>
    </row>
    <row r="3800" spans="2:15" s="3" customFormat="1" ht="13.2" x14ac:dyDescent="0.25">
      <c r="B3800" s="110" t="str">
        <f>IF('1. INTRO'!I$2="English","Costs to be covered by funding body","Kostnader att täckas av finansiär")</f>
        <v>Costs to be covered by funding body</v>
      </c>
      <c r="C3800" s="111">
        <f>'5. PERSON'!G$15</f>
        <v>1900</v>
      </c>
      <c r="D3800" s="111" t="str">
        <f>'5. PERSON'!H$15</f>
        <v/>
      </c>
      <c r="E3800" s="111" t="str">
        <f>'5. PERSON'!I$15</f>
        <v/>
      </c>
      <c r="F3800" s="111" t="str">
        <f>'5. PERSON'!J$15</f>
        <v/>
      </c>
      <c r="G3800" s="111" t="str">
        <f>'5. PERSON'!K$15</f>
        <v/>
      </c>
      <c r="H3800" s="111" t="str">
        <f>'5. PERSON'!L$15</f>
        <v/>
      </c>
      <c r="I3800" s="111" t="str">
        <f>'5. PERSON'!M$15</f>
        <v/>
      </c>
      <c r="J3800" s="111" t="str">
        <f>'5. PERSON'!N$15</f>
        <v/>
      </c>
      <c r="K3800" s="111" t="str">
        <f>'5. PERSON'!O$15</f>
        <v/>
      </c>
      <c r="L3800" s="111" t="str">
        <f>'5. PERSON'!P$15</f>
        <v/>
      </c>
      <c r="M3800" s="112" t="s">
        <v>2</v>
      </c>
    </row>
    <row r="3801" spans="2:15" s="3" customFormat="1" ht="12.75" customHeight="1" x14ac:dyDescent="0.25">
      <c r="B3801" s="113" t="str">
        <f>IF('1. INTRO'!I$2="English","Salary including social costs (LKP)","Lön inklusive LKP")</f>
        <v>Salary including social costs (LKP)</v>
      </c>
      <c r="C3801" s="114">
        <f>IF('2. START'!$C$14&gt;0,SUMIF('5. PERSON'!$B$17:$B$192,$C3798,'5. PERSON'!DN$17:DN$192),SUMIF('5. PERSON'!$B$17:$B$192,$C3798,'5. PERSON'!AT$17:AT$192))</f>
        <v>0</v>
      </c>
      <c r="D3801" s="114">
        <f>IF('2. START'!$C$14&gt;0,SUMIF('5. PERSON'!$B$17:$B$192,$C3798,'5. PERSON'!DO$17:DO$192),SUMIF('5. PERSON'!$B$17:$B$192,$C3798,'5. PERSON'!AU$17:AU$192))</f>
        <v>0</v>
      </c>
      <c r="E3801" s="114">
        <f>IF('2. START'!$C$14&gt;0,SUMIF('5. PERSON'!$B$17:$B$192,$C3798,'5. PERSON'!DP$17:DP$192),SUMIF('5. PERSON'!$B$17:$B$192,$C3798,'5. PERSON'!AV$17:AV$192))</f>
        <v>0</v>
      </c>
      <c r="F3801" s="114">
        <f>IF('2. START'!$C$14&gt;0,SUMIF('5. PERSON'!$B$17:$B$192,$C3798,'5. PERSON'!DQ$17:DQ$192),SUMIF('5. PERSON'!$B$17:$B$192,$C3798,'5. PERSON'!AW$17:AW$192))</f>
        <v>0</v>
      </c>
      <c r="G3801" s="114">
        <f>IF('2. START'!$C$14&gt;0,SUMIF('5. PERSON'!$B$17:$B$192,$C3798,'5. PERSON'!DR$17:DR$192),SUMIF('5. PERSON'!$B$17:$B$192,$C3798,'5. PERSON'!AX$17:AX$192))</f>
        <v>0</v>
      </c>
      <c r="H3801" s="114">
        <f>IF('2. START'!$C$14&gt;0,SUMIF('5. PERSON'!$B$17:$B$192,$C3798,'5. PERSON'!DS$17:DS$192),SUMIF('5. PERSON'!$B$17:$B$192,$C3798,'5. PERSON'!AY$17:AY$192))</f>
        <v>0</v>
      </c>
      <c r="I3801" s="114">
        <f>IF('2. START'!$C$14&gt;0,SUMIF('5. PERSON'!$B$17:$B$192,$C3798,'5. PERSON'!DT$17:DT$192),SUMIF('5. PERSON'!$B$17:$B$192,$C3798,'5. PERSON'!AZ$17:AZ$192))</f>
        <v>0</v>
      </c>
      <c r="J3801" s="114">
        <f>IF('2. START'!$C$14&gt;0,SUMIF('5. PERSON'!$B$17:$B$192,$C3798,'5. PERSON'!DU$17:DU$192),SUMIF('5. PERSON'!$B$17:$B$192,$C3798,'5. PERSON'!BA$17:BA$192))</f>
        <v>0</v>
      </c>
      <c r="K3801" s="114">
        <f>IF('2. START'!$C$14&gt;0,SUMIF('5. PERSON'!$B$17:$B$192,$C3798,'5. PERSON'!DV$17:DV$192),SUMIF('5. PERSON'!$B$17:$B$192,$C3798,'5. PERSON'!BB$17:BB$192))</f>
        <v>0</v>
      </c>
      <c r="L3801" s="114">
        <f>IF('2. START'!$C$14&gt;0,SUMIF('5. PERSON'!$B$17:$B$192,$C3798,'5. PERSON'!DW$17:DW$192),SUMIF('5. PERSON'!$B$17:$B$192,$C3798,'5. PERSON'!BC$17:BC$192))</f>
        <v>0</v>
      </c>
      <c r="M3801" s="115">
        <f t="shared" ref="M3801:M3806" si="901">SUM(C3801:L3801)</f>
        <v>0</v>
      </c>
      <c r="O3801" s="4"/>
    </row>
    <row r="3802" spans="2:15" s="3" customFormat="1" ht="12.75" customHeight="1" x14ac:dyDescent="0.25">
      <c r="B3802" s="80" t="str">
        <f>IF('1. INTRO'!I$2="English","Operating","Drift")</f>
        <v>Operating</v>
      </c>
      <c r="C3802" s="116">
        <f>SUMIF('6. OPERATION'!$B$17:$B$149,$C3798,'6. OPERATION'!W$17:W$149)</f>
        <v>0</v>
      </c>
      <c r="D3802" s="116">
        <f>SUMIF('6. OPERATION'!$B$17:$B$149,$C3798,'6. OPERATION'!X$17:X$149)</f>
        <v>0</v>
      </c>
      <c r="E3802" s="116">
        <f>SUMIF('6. OPERATION'!$B$17:$B$149,$C3798,'6. OPERATION'!Y$17:Y$149)</f>
        <v>0</v>
      </c>
      <c r="F3802" s="116">
        <f>SUMIF('6. OPERATION'!$B$17:$B$149,$C3798,'6. OPERATION'!Z$17:Z$149)</f>
        <v>0</v>
      </c>
      <c r="G3802" s="116">
        <f>SUMIF('6. OPERATION'!$B$17:$B$149,$C3798,'6. OPERATION'!AA$17:AA$149)</f>
        <v>0</v>
      </c>
      <c r="H3802" s="116">
        <f>SUMIF('6. OPERATION'!$B$17:$B$149,$C3798,'6. OPERATION'!AB$17:AB$149)</f>
        <v>0</v>
      </c>
      <c r="I3802" s="116">
        <f>SUMIF('6. OPERATION'!$B$17:$B$149,$C3798,'6. OPERATION'!AC$17:AC$149)</f>
        <v>0</v>
      </c>
      <c r="J3802" s="116">
        <f>SUMIF('6. OPERATION'!$B$17:$B$149,$C3798,'6. OPERATION'!AD$17:AD$149)</f>
        <v>0</v>
      </c>
      <c r="K3802" s="116">
        <f>SUMIF('6. OPERATION'!$B$17:$B$149,$C3798,'6. OPERATION'!AE$17:AE$149)</f>
        <v>0</v>
      </c>
      <c r="L3802" s="116">
        <f>SUMIF('6. OPERATION'!$B$17:$B$149,$C3798,'6. OPERATION'!AF$17:AF$149)</f>
        <v>0</v>
      </c>
      <c r="M3802" s="117">
        <f t="shared" si="901"/>
        <v>0</v>
      </c>
    </row>
    <row r="3803" spans="2:15" s="3" customFormat="1" ht="13.2" x14ac:dyDescent="0.25">
      <c r="B3803" s="118" t="str">
        <f>IF('1. INTRO'!I$2="English","Equipment","Utrustning")</f>
        <v>Equipment</v>
      </c>
      <c r="C3803" s="119">
        <f>SUMIF('7. INVEST'!$B$17:$B$49,$C3798,'7. INVEST'!W$17:W$49)</f>
        <v>0</v>
      </c>
      <c r="D3803" s="119">
        <f>SUMIF('7. INVEST'!$B$17:$B$49,$C3798,'7. INVEST'!X$17:X$49)</f>
        <v>0</v>
      </c>
      <c r="E3803" s="119">
        <f>SUMIF('7. INVEST'!$B$17:$B$49,$C3798,'7. INVEST'!Y$17:Y$49)</f>
        <v>0</v>
      </c>
      <c r="F3803" s="119">
        <f>SUMIF('7. INVEST'!$B$17:$B$49,$C3798,'7. INVEST'!Z$17:Z$49)</f>
        <v>0</v>
      </c>
      <c r="G3803" s="119">
        <f>SUMIF('7. INVEST'!$B$17:$B$49,$C3798,'7. INVEST'!AA$17:AA$49)</f>
        <v>0</v>
      </c>
      <c r="H3803" s="119">
        <f>SUMIF('7. INVEST'!$B$17:$B$49,$C3798,'7. INVEST'!AB$17:AB$49)</f>
        <v>0</v>
      </c>
      <c r="I3803" s="119">
        <f>SUMIF('7. INVEST'!$B$17:$B$49,$C3798,'7. INVEST'!AC$17:AC$49)</f>
        <v>0</v>
      </c>
      <c r="J3803" s="119">
        <f>SUMIF('7. INVEST'!$B$17:$B$49,$C3798,'7. INVEST'!AD$17:AD$49)</f>
        <v>0</v>
      </c>
      <c r="K3803" s="119">
        <f>SUMIF('7. INVEST'!$B$17:$B$49,$C3798,'7. INVEST'!AE$17:AE$49)</f>
        <v>0</v>
      </c>
      <c r="L3803" s="119">
        <f>SUMIF('7. INVEST'!$B$17:$B$49,$C3798,'7. INVEST'!AF$17:AF$49)</f>
        <v>0</v>
      </c>
      <c r="M3803" s="120">
        <f t="shared" si="901"/>
        <v>0</v>
      </c>
    </row>
    <row r="3804" spans="2:15" s="3" customFormat="1" ht="13.2" x14ac:dyDescent="0.25">
      <c r="B3804" s="121" t="str">
        <f>IF('1. INTRO'!I$2="English",(IF('2. START'!C$11="NO","Facility accepted as direct cost by funding body","Facility")),IF('2. START'!C$11="NO","Lokal accepterad som direkt kostnad av finansiär","Lokal"))</f>
        <v>Facility</v>
      </c>
      <c r="C3804" s="116">
        <f>IF('2. START'!$C$11="NO",SUMIF('8. FACILIT'!$B$18:$B$50,$C3798,'8. FACILIT'!T$18:T$50),SUMIF('5. PERSON'!$B$17:$B$192,$C3798,'5. PERSON'!CP$17:CP$192)+SUMIF('6. OPERATION'!$B$17:$B$149,$C3798,'6. OPERATION'!BS$17:BS$149)+SUMIF('8. FACILIT'!$B$18:$B$50,$C3798,'8. FACILIT'!T$18:T$50))</f>
        <v>0</v>
      </c>
      <c r="D3804" s="116">
        <f>IF('2. START'!$C$11="NO",SUMIF('8. FACILIT'!$B$18:$B$50,$C3798,'8. FACILIT'!U$18:U$50),SUMIF('5. PERSON'!$B$17:$B$192,$C3798,'5. PERSON'!CQ$17:CQ$192)+SUMIF('6. OPERATION'!$B$17:$B$149,$C3798,'6. OPERATION'!BT$17:BT$149)+SUMIF('8. FACILIT'!$B$18:$B$50,$C3798,'8. FACILIT'!U$18:U$50))</f>
        <v>0</v>
      </c>
      <c r="E3804" s="116">
        <f>IF('2. START'!$C$11="NO",SUMIF('8. FACILIT'!$B$18:$B$50,$C3798,'8. FACILIT'!V$18:V$50),SUMIF('5. PERSON'!$B$17:$B$192,$C3798,'5. PERSON'!CR$17:CR$192)+SUMIF('6. OPERATION'!$B$17:$B$149,$C3798,'6. OPERATION'!BU$17:BU$149)+SUMIF('8. FACILIT'!$B$18:$B$50,$C3798,'8. FACILIT'!V$18:V$50))</f>
        <v>0</v>
      </c>
      <c r="F3804" s="116">
        <f>IF('2. START'!$C$11="NO",SUMIF('8. FACILIT'!$B$18:$B$50,$C3798,'8. FACILIT'!W$18:W$50),SUMIF('5. PERSON'!$B$17:$B$192,$C3798,'5. PERSON'!CS$17:CS$192)+SUMIF('6. OPERATION'!$B$17:$B$149,$C3798,'6. OPERATION'!BV$17:BV$149)+SUMIF('8. FACILIT'!$B$18:$B$50,$C3798,'8. FACILIT'!W$18:W$50))</f>
        <v>0</v>
      </c>
      <c r="G3804" s="116">
        <f>IF('2. START'!$C$11="NO",SUMIF('8. FACILIT'!$B$18:$B$50,$C3798,'8. FACILIT'!X$18:X$50),SUMIF('5. PERSON'!$B$17:$B$192,$C3798,'5. PERSON'!CT$17:CT$192)+SUMIF('6. OPERATION'!$B$17:$B$149,$C3798,'6. OPERATION'!BW$17:BW$149)+SUMIF('8. FACILIT'!$B$18:$B$50,$C3798,'8. FACILIT'!X$18:X$50))</f>
        <v>0</v>
      </c>
      <c r="H3804" s="116">
        <f>IF('2. START'!$C$11="NO",SUMIF('8. FACILIT'!$B$18:$B$50,$C3798,'8. FACILIT'!Y$18:Y$50),SUMIF('5. PERSON'!$B$17:$B$192,$C3798,'5. PERSON'!CU$17:CU$192)+SUMIF('6. OPERATION'!$B$17:$B$149,$C3798,'6. OPERATION'!BX$17:BX$149)+SUMIF('8. FACILIT'!$B$18:$B$50,$C3798,'8. FACILIT'!Y$18:Y$50))</f>
        <v>0</v>
      </c>
      <c r="I3804" s="116">
        <f>IF('2. START'!$C$11="NO",SUMIF('8. FACILIT'!$B$18:$B$50,$C3798,'8. FACILIT'!Z$18:Z$50),SUMIF('5. PERSON'!$B$17:$B$192,$C3798,'5. PERSON'!CV$17:CV$192)+SUMIF('6. OPERATION'!$B$17:$B$149,$C3798,'6. OPERATION'!BY$17:BY$149)+SUMIF('8. FACILIT'!$B$18:$B$50,$C3798,'8. FACILIT'!Z$18:Z$50))</f>
        <v>0</v>
      </c>
      <c r="J3804" s="116">
        <f>IF('2. START'!$C$11="NO",SUMIF('8. FACILIT'!$B$18:$B$50,$C3798,'8. FACILIT'!AA$18:AA$50),SUMIF('5. PERSON'!$B$17:$B$192,$C3798,'5. PERSON'!CW$17:CW$192)+SUMIF('6. OPERATION'!$B$17:$B$149,$C3798,'6. OPERATION'!BZ$17:BZ$149)+SUMIF('8. FACILIT'!$B$18:$B$50,$C3798,'8. FACILIT'!AA$18:AA$50))</f>
        <v>0</v>
      </c>
      <c r="K3804" s="116">
        <f>IF('2. START'!$C$11="NO",SUMIF('8. FACILIT'!$B$18:$B$50,$C3798,'8. FACILIT'!AB$18:AB$50),SUMIF('5. PERSON'!$B$17:$B$192,$C3798,'5. PERSON'!CX$17:CX$192)+SUMIF('6. OPERATION'!$B$17:$B$149,$C3798,'6. OPERATION'!CA$17:CA$149)+SUMIF('8. FACILIT'!$B$18:$B$50,$C3798,'8. FACILIT'!AB$18:AB$50))</f>
        <v>0</v>
      </c>
      <c r="L3804" s="116">
        <f>IF('2. START'!$C$11="NO",SUMIF('8. FACILIT'!$B$18:$B$50,$C3798,'8. FACILIT'!AC$18:AC$50),SUMIF('5. PERSON'!$B$17:$B$192,$C3798,'5. PERSON'!CY$17:CY$192)+SUMIF('6. OPERATION'!$B$17:$B$149,$C3798,'6. OPERATION'!CB$17:CB$149)+SUMIF('8. FACILIT'!$B$18:$B$50,$C3798,'8. FACILIT'!AC$18:AC$50))</f>
        <v>0</v>
      </c>
      <c r="M3804" s="117">
        <f t="shared" si="901"/>
        <v>0</v>
      </c>
    </row>
    <row r="3805" spans="2:15" s="3" customFormat="1" ht="13.2" x14ac:dyDescent="0.25">
      <c r="B3805" s="122" t="str">
        <f>IF('1. INTRO'!I$2="English",(IF('2. START'!C$11="NO","Indirect and facility charge accepted as OH by funding body","Indirect")),IF('2. START'!C$11="NO","Indirekt och lokalpåslag accepterade som OH av finansiär","Indirekt"))</f>
        <v>Indirect</v>
      </c>
      <c r="C3805" s="107">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107">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107">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107">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107">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107">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107">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107">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107">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107">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120">
        <f t="shared" si="901"/>
        <v>0</v>
      </c>
    </row>
    <row r="3806" spans="2:15" s="3" customFormat="1" ht="13.2" x14ac:dyDescent="0.25">
      <c r="B3806" s="124" t="s">
        <v>113</v>
      </c>
      <c r="C3806" s="102">
        <f>SUM(C3801:C3805)</f>
        <v>0</v>
      </c>
      <c r="D3806" s="102">
        <f t="shared" ref="D3806:L3806" si="902">SUM(D3801:D3805)</f>
        <v>0</v>
      </c>
      <c r="E3806" s="102">
        <f t="shared" si="902"/>
        <v>0</v>
      </c>
      <c r="F3806" s="102">
        <f t="shared" si="902"/>
        <v>0</v>
      </c>
      <c r="G3806" s="102">
        <f t="shared" si="902"/>
        <v>0</v>
      </c>
      <c r="H3806" s="102">
        <f t="shared" si="902"/>
        <v>0</v>
      </c>
      <c r="I3806" s="102">
        <f t="shared" si="902"/>
        <v>0</v>
      </c>
      <c r="J3806" s="102">
        <f t="shared" si="902"/>
        <v>0</v>
      </c>
      <c r="K3806" s="102">
        <f t="shared" si="902"/>
        <v>0</v>
      </c>
      <c r="L3806" s="102">
        <f t="shared" si="902"/>
        <v>0</v>
      </c>
      <c r="M3806" s="125">
        <f t="shared" si="901"/>
        <v>0</v>
      </c>
    </row>
    <row r="3807" spans="2:15" s="3" customFormat="1" ht="6" customHeight="1" x14ac:dyDescent="0.25">
      <c r="B3807" s="126"/>
      <c r="C3807" s="127"/>
      <c r="D3807" s="127"/>
      <c r="E3807" s="127"/>
      <c r="F3807" s="127"/>
      <c r="G3807" s="127"/>
      <c r="H3807" s="127"/>
      <c r="I3807" s="127"/>
      <c r="J3807" s="127"/>
      <c r="K3807" s="127"/>
      <c r="L3807" s="127"/>
      <c r="M3807" s="128"/>
    </row>
    <row r="3808" spans="2:15" s="3" customFormat="1" ht="13.2" x14ac:dyDescent="0.25">
      <c r="B3808" s="129" t="str">
        <f>IF('1. INTRO'!I$2="English","Costs to be co-funded","Kostnader att medfinansiera")</f>
        <v>Costs to be co-funded</v>
      </c>
      <c r="C3808" s="86"/>
      <c r="D3808" s="86"/>
      <c r="E3808" s="86"/>
      <c r="F3808" s="86"/>
      <c r="G3808" s="86"/>
      <c r="H3808" s="86"/>
      <c r="I3808" s="86"/>
      <c r="J3808" s="86"/>
      <c r="K3808" s="86"/>
      <c r="L3808" s="86"/>
      <c r="M3808" s="130"/>
    </row>
    <row r="3809" spans="2:15" s="3" customFormat="1" ht="13.2" x14ac:dyDescent="0.25">
      <c r="B3809" s="159" t="str">
        <f>IF('1. INTRO'!I$2="English",(IF('2. START'!C$11="NO","Indirect and facility charge not accepted as OH by funding body","")),IF('2. START'!C$11="NO","Indirekt och lokalpåslag inte accepterade som OH av finansiär",""))</f>
        <v/>
      </c>
      <c r="C3809" s="131">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31">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31">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31">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31">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31">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31">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31">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31">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31">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115">
        <f t="shared" ref="M3809:M3815" si="903">SUM(C3809:L3809)</f>
        <v>0</v>
      </c>
    </row>
    <row r="3810" spans="2:15" s="3" customFormat="1" ht="12.75" customHeight="1" x14ac:dyDescent="0.25">
      <c r="B3810" s="132" t="str">
        <f>IF('1. INTRO'!I$2="English",(IF('2. START'!C$14&gt;0,"Social costs (LKP) not accepted by funding body","")),IF('2. START'!C$14&gt;0,"LKP som inte accepteras av finansiär",""))</f>
        <v/>
      </c>
      <c r="C3810" s="133">
        <f>IF('2. START'!$C$14&gt;0,SUMIF('5. PERSON'!$B$17:$B$192,$C3798,'5. PERSON'!AT$17:AT$192)-SUMIF('5. PERSON'!$B$17:$B$192,$C3798,'5. PERSON'!DN$17:DN$192),0)</f>
        <v>0</v>
      </c>
      <c r="D3810" s="133">
        <f>IF('2. START'!$C$14&gt;0,SUMIF('5. PERSON'!$B$17:$B$192,$C3798,'5. PERSON'!AU$17:AU$192)-SUMIF('5. PERSON'!$B$17:$B$192,$C3798,'5. PERSON'!DO$17:DO$192),0)</f>
        <v>0</v>
      </c>
      <c r="E3810" s="133">
        <f>IF('2. START'!$C$14&gt;0,SUMIF('5. PERSON'!$B$17:$B$192,$C3798,'5. PERSON'!AV$17:AV$192)-SUMIF('5. PERSON'!$B$17:$B$192,$C3798,'5. PERSON'!DP$17:DP$192),0)</f>
        <v>0</v>
      </c>
      <c r="F3810" s="133">
        <f>IF('2. START'!$C$14&gt;0,SUMIF('5. PERSON'!$B$17:$B$192,$C3798,'5. PERSON'!AW$17:AW$192)-SUMIF('5. PERSON'!$B$17:$B$192,$C3798,'5. PERSON'!DQ$17:DQ$192),0)</f>
        <v>0</v>
      </c>
      <c r="G3810" s="133">
        <f>IF('2. START'!$C$14&gt;0,SUMIF('5. PERSON'!$B$17:$B$192,$C3798,'5. PERSON'!AX$17:AX$192)-SUMIF('5. PERSON'!$B$17:$B$192,$C3798,'5. PERSON'!DR$17:DR$192),0)</f>
        <v>0</v>
      </c>
      <c r="H3810" s="133">
        <f>IF('2. START'!$C$14&gt;0,SUMIF('5. PERSON'!$B$17:$B$192,$C3798,'5. PERSON'!AY$17:AY$192)-SUMIF('5. PERSON'!$B$17:$B$192,$C3798,'5. PERSON'!DS$17:DS$192),0)</f>
        <v>0</v>
      </c>
      <c r="I3810" s="133">
        <f>IF('2. START'!$C$14&gt;0,SUMIF('5. PERSON'!$B$17:$B$192,$C3798,'5. PERSON'!AZ$17:AZ$192)-SUMIF('5. PERSON'!$B$17:$B$192,$C3798,'5. PERSON'!DT$17:DT$192),0)</f>
        <v>0</v>
      </c>
      <c r="J3810" s="133">
        <f>IF('2. START'!$C$14&gt;0,SUMIF('5. PERSON'!$B$17:$B$192,$C3798,'5. PERSON'!BA$17:BA$192)-SUMIF('5. PERSON'!$B$17:$B$192,$C3798,'5. PERSON'!DU$17:DU$192),0)</f>
        <v>0</v>
      </c>
      <c r="K3810" s="133">
        <f>IF('2. START'!$C$14&gt;0,SUMIF('5. PERSON'!$B$17:$B$192,$C3798,'5. PERSON'!BB$17:BB$192)-SUMIF('5. PERSON'!$B$17:$B$192,$C3798,'5. PERSON'!DV$17:DV$192),0)</f>
        <v>0</v>
      </c>
      <c r="L3810" s="133">
        <f>IF('2. START'!$C$14&gt;0,SUMIF('5. PERSON'!$B$17:$B$192,$C3798,'5. PERSON'!BC$17:BC$192)-SUMIF('5. PERSON'!$B$17:$B$192,$C3798,'5. PERSON'!DW$17:DW$192),0)</f>
        <v>0</v>
      </c>
      <c r="M3810" s="117">
        <f t="shared" si="903"/>
        <v>0</v>
      </c>
    </row>
    <row r="3811" spans="2:15" s="3" customFormat="1" ht="12.75" customHeight="1" x14ac:dyDescent="0.25">
      <c r="B3811" s="118" t="str">
        <f>IF('1. INTRO'!I$2="English",(IF('5. PERSON'!BP$193&gt;0,"Salary including social costs (LKP)","")),IF('5. PERSON'!BP$193&gt;0,"Lön inklusive LKP",""))</f>
        <v/>
      </c>
      <c r="C3811" s="134">
        <f>SUMIF('5. PERSON'!$B$17:$B$192,$C3798,'5. PERSON'!BF$17:BF$192)</f>
        <v>0</v>
      </c>
      <c r="D3811" s="134">
        <f>SUMIF('5. PERSON'!$B$17:$B$192,$C3798,'5. PERSON'!BG$17:BG$192)</f>
        <v>0</v>
      </c>
      <c r="E3811" s="134">
        <f>SUMIF('5. PERSON'!$B$17:$B$192,$C3798,'5. PERSON'!BH$17:BH$192)</f>
        <v>0</v>
      </c>
      <c r="F3811" s="134">
        <f>SUMIF('5. PERSON'!$B$17:$B$192,$C3798,'5. PERSON'!BI$17:BI$192)</f>
        <v>0</v>
      </c>
      <c r="G3811" s="134">
        <f>SUMIF('5. PERSON'!$B$17:$B$192,$C3798,'5. PERSON'!BJ$17:BJ$192)</f>
        <v>0</v>
      </c>
      <c r="H3811" s="134">
        <f>SUMIF('5. PERSON'!$B$17:$B$192,$C3798,'5. PERSON'!BK$17:BK$192)</f>
        <v>0</v>
      </c>
      <c r="I3811" s="134">
        <f>SUMIF('5. PERSON'!$B$17:$B$192,$C3798,'5. PERSON'!BL$17:BL$192)</f>
        <v>0</v>
      </c>
      <c r="J3811" s="134">
        <f>SUMIF('5. PERSON'!$B$17:$B$192,$C3798,'5. PERSON'!BM$17:BM$192)</f>
        <v>0</v>
      </c>
      <c r="K3811" s="134">
        <f>SUMIF('5. PERSON'!$B$17:$B$192,$C3798,'5. PERSON'!BN$17:BN$192)</f>
        <v>0</v>
      </c>
      <c r="L3811" s="134">
        <f>SUMIF('5. PERSON'!$B$17:$B$192,$C3798,'5. PERSON'!BO$17:BO$192)</f>
        <v>0</v>
      </c>
      <c r="M3811" s="120">
        <f t="shared" si="903"/>
        <v>0</v>
      </c>
    </row>
    <row r="3812" spans="2:15" s="3" customFormat="1" ht="13.2" x14ac:dyDescent="0.25">
      <c r="B3812" s="80" t="str">
        <f>IF('1. INTRO'!I$2="English",(IF('6. OPERATION'!AS$150&gt;0,"Operating","")),IF('6. OPERATION'!AS$150&gt;0,"Drift",""))</f>
        <v/>
      </c>
      <c r="C3812" s="135">
        <f>SUMIF('6. OPERATION'!$B$17:$B$149,$C3798,'6. OPERATION'!AI$17:AI$149)</f>
        <v>0</v>
      </c>
      <c r="D3812" s="135">
        <f>SUMIF('6. OPERATION'!$B$17:$B$149,$C3798,'6. OPERATION'!AJ$17:AJ$149)</f>
        <v>0</v>
      </c>
      <c r="E3812" s="135">
        <f>SUMIF('6. OPERATION'!$B$17:$B$149,$C3798,'6. OPERATION'!AK$17:AK$149)</f>
        <v>0</v>
      </c>
      <c r="F3812" s="135">
        <f>SUMIF('6. OPERATION'!$B$17:$B$149,$C3798,'6. OPERATION'!AL$17:AL$149)</f>
        <v>0</v>
      </c>
      <c r="G3812" s="135">
        <f>SUMIF('6. OPERATION'!$B$17:$B$149,$C3798,'6. OPERATION'!AM$17:AM$149)</f>
        <v>0</v>
      </c>
      <c r="H3812" s="135">
        <f>SUMIF('6. OPERATION'!$B$17:$B$149,$C3798,'6. OPERATION'!AN$17:AN$149)</f>
        <v>0</v>
      </c>
      <c r="I3812" s="135">
        <f>SUMIF('6. OPERATION'!$B$17:$B$149,$C3798,'6. OPERATION'!AO$17:AO$149)</f>
        <v>0</v>
      </c>
      <c r="J3812" s="135">
        <f>SUMIF('6. OPERATION'!$B$17:$B$149,$C3798,'6. OPERATION'!AP$17:AP$149)</f>
        <v>0</v>
      </c>
      <c r="K3812" s="135">
        <f>SUMIF('6. OPERATION'!$B$17:$B$149,$C3798,'6. OPERATION'!AQ$17:AQ$149)</f>
        <v>0</v>
      </c>
      <c r="L3812" s="135">
        <f>SUMIF('6. OPERATION'!$B$17:$B$149,$C3798,'6. OPERATION'!AR$17:AR$149)</f>
        <v>0</v>
      </c>
      <c r="M3812" s="117">
        <f t="shared" si="903"/>
        <v>0</v>
      </c>
    </row>
    <row r="3813" spans="2:15" s="3" customFormat="1" ht="13.2" x14ac:dyDescent="0.25">
      <c r="B3813" s="118" t="str">
        <f>IF('1. INTRO'!I$2="English",(IF('7. INVEST'!AS$50&gt;0,"Equipment","")),IF('7. INVEST'!AS$50&gt;0,"Utrustning",""))</f>
        <v/>
      </c>
      <c r="C3813" s="134">
        <f>SUMIF('7. INVEST'!$B$17:$B$49,$C3798,'7. INVEST'!AI$17:AI$49)</f>
        <v>0</v>
      </c>
      <c r="D3813" s="134">
        <f>SUMIF('7. INVEST'!$B$17:$B$49,$C3798,'7. INVEST'!AJ$17:AJ$49)</f>
        <v>0</v>
      </c>
      <c r="E3813" s="134">
        <f>SUMIF('7. INVEST'!$B$17:$B$49,$C3798,'7. INVEST'!AK$17:AK$49)</f>
        <v>0</v>
      </c>
      <c r="F3813" s="134">
        <f>SUMIF('7. INVEST'!$B$17:$B$49,$C3798,'7. INVEST'!AL$17:AL$49)</f>
        <v>0</v>
      </c>
      <c r="G3813" s="134">
        <f>SUMIF('7. INVEST'!$B$17:$B$49,$C3798,'7. INVEST'!AM$17:AM$49)</f>
        <v>0</v>
      </c>
      <c r="H3813" s="134">
        <f>SUMIF('7. INVEST'!$B$17:$B$49,$C3798,'7. INVEST'!AN$17:AN$49)</f>
        <v>0</v>
      </c>
      <c r="I3813" s="134">
        <f>SUMIF('7. INVEST'!$B$17:$B$49,$C3798,'7. INVEST'!AO$17:AO$49)</f>
        <v>0</v>
      </c>
      <c r="J3813" s="134">
        <f>SUMIF('7. INVEST'!$B$17:$B$49,$C3798,'7. INVEST'!AP$17:AP$49)</f>
        <v>0</v>
      </c>
      <c r="K3813" s="134">
        <f>SUMIF('7. INVEST'!$B$17:$B$49,$C3798,'7. INVEST'!AQ$17:AQ$49)</f>
        <v>0</v>
      </c>
      <c r="L3813" s="134">
        <f>SUMIF('7. INVEST'!$B$17:$B$49,$C3798,'7. INVEST'!AR$17:AR$49)</f>
        <v>0</v>
      </c>
      <c r="M3813" s="120">
        <f t="shared" si="903"/>
        <v>0</v>
      </c>
    </row>
    <row r="3814" spans="2:15" s="3" customFormat="1" ht="13.2" x14ac:dyDescent="0.25">
      <c r="B3814" s="121" t="str">
        <f>IF('1. INTRO'!I$2="English",(IF('8. FACILIT'!AP$51&gt;0,"Facility","")),IF('8. FACILIT'!AP$51&gt;0,"Lokal",""))</f>
        <v/>
      </c>
      <c r="C3814" s="135">
        <f>SUMIF('5. PERSON'!$B$17:$B$192,$C3798,'5. PERSON'!DB$17:DB$192)+SUMIF('6. OPERATION'!$B$17:$B$149,$C3798,'6. OPERATION'!CE$17:CE$149)+SUMIF('8. FACILIT'!$B$18:$B$50,$C3798,'8. FACILIT'!AF$18:AF$50)</f>
        <v>0</v>
      </c>
      <c r="D3814" s="135">
        <f>SUMIF('5. PERSON'!$B$17:$B$192,$C3798,'5. PERSON'!DC$17:DC$192)+SUMIF('6. OPERATION'!$B$17:$B$149,$C3798,'6. OPERATION'!CF$17:CF$149)+SUMIF('8. FACILIT'!$B$18:$B$50,$C3798,'8. FACILIT'!AG$18:AG$50)</f>
        <v>0</v>
      </c>
      <c r="E3814" s="135">
        <f>SUMIF('5. PERSON'!$B$17:$B$192,$C3798,'5. PERSON'!DD$17:DD$192)+SUMIF('6. OPERATION'!$B$17:$B$149,$C3798,'6. OPERATION'!CG$17:CG$149)+SUMIF('8. FACILIT'!$B$18:$B$50,$C3798,'8. FACILIT'!AH$18:AH$50)</f>
        <v>0</v>
      </c>
      <c r="F3814" s="135">
        <f>SUMIF('5. PERSON'!$B$17:$B$192,$C3798,'5. PERSON'!DE$17:DE$192)+SUMIF('6. OPERATION'!$B$17:$B$149,$C3798,'6. OPERATION'!CH$17:CH$149)+SUMIF('8. FACILIT'!$B$18:$B$50,$C3798,'8. FACILIT'!AI$18:AI$50)</f>
        <v>0</v>
      </c>
      <c r="G3814" s="135">
        <f>SUMIF('5. PERSON'!$B$17:$B$192,$C3798,'5. PERSON'!DF$17:DF$192)+SUMIF('6. OPERATION'!$B$17:$B$149,$C3798,'6. OPERATION'!CI$17:CI$149)+SUMIF('8. FACILIT'!$B$18:$B$50,$C3798,'8. FACILIT'!AJ$18:AJ$50)</f>
        <v>0</v>
      </c>
      <c r="H3814" s="135">
        <f>SUMIF('5. PERSON'!$B$17:$B$192,$C3798,'5. PERSON'!DG$17:DG$192)+SUMIF('6. OPERATION'!$B$17:$B$149,$C3798,'6. OPERATION'!CJ$17:CJ$149)+SUMIF('8. FACILIT'!$B$18:$B$50,$C3798,'8. FACILIT'!AK$18:AK$50)</f>
        <v>0</v>
      </c>
      <c r="I3814" s="135">
        <f>SUMIF('5. PERSON'!$B$17:$B$192,$C3798,'5. PERSON'!DH$17:DH$192)+SUMIF('6. OPERATION'!$B$17:$B$149,$C3798,'6. OPERATION'!CK$17:CK$149)+SUMIF('8. FACILIT'!$B$18:$B$50,$C3798,'8. FACILIT'!AL$18:AL$50)</f>
        <v>0</v>
      </c>
      <c r="J3814" s="135">
        <f>SUMIF('5. PERSON'!$B$17:$B$192,$C3798,'5. PERSON'!DI$17:DI$192)+SUMIF('6. OPERATION'!$B$17:$B$149,$C3798,'6. OPERATION'!CL$17:CL$149)+SUMIF('8. FACILIT'!$B$18:$B$50,$C3798,'8. FACILIT'!AM$18:AM$50)</f>
        <v>0</v>
      </c>
      <c r="K3814" s="135">
        <f>SUMIF('5. PERSON'!$B$17:$B$192,$C3798,'5. PERSON'!DJ$17:DJ$192)+SUMIF('6. OPERATION'!$B$17:$B$149,$C3798,'6. OPERATION'!CM$17:CM$149)+SUMIF('8. FACILIT'!$B$18:$B$50,$C3798,'8. FACILIT'!AN$18:AN$50)</f>
        <v>0</v>
      </c>
      <c r="L3814" s="135">
        <f>SUMIF('5. PERSON'!$B$17:$B$192,$C3798,'5. PERSON'!DK$17:DK$192)+SUMIF('6. OPERATION'!$B$17:$B$149,$C3798,'6. OPERATION'!CN$17:CN$149)+SUMIF('8. FACILIT'!$B$18:$B$50,$C3798,'8. FACILIT'!AO$18:AO$50)</f>
        <v>0</v>
      </c>
      <c r="M3814" s="117">
        <f t="shared" si="903"/>
        <v>0</v>
      </c>
    </row>
    <row r="3815" spans="2:15" s="1" customFormat="1" ht="13.2" x14ac:dyDescent="0.25">
      <c r="B3815" s="122" t="str">
        <f>IF('1. INTRO'!I$2="English",(IF(('5. PERSON'!CN$193+'6. OPERATION'!BQ$150)&gt;0,"Indirect","")),IF(('5. PERSON'!CN$193+'6. OPERATION'!BQ$150)&gt;0,"Indirekt",""))</f>
        <v/>
      </c>
      <c r="C3815" s="107">
        <f>SUMIF('5. PERSON'!$B$17:$B$192,$C3798,'5. PERSON'!CD$17:CD$192)+SUMIF('6. OPERATION'!$B$17:$B$149,$C3798,'6. OPERATION'!BG$17:BG$149)</f>
        <v>0</v>
      </c>
      <c r="D3815" s="107">
        <f>SUMIF('5. PERSON'!$B$17:$B$192,$C3798,'5. PERSON'!CE$17:CE$192)+SUMIF('6. OPERATION'!$B$17:$B$149,$C3798,'6. OPERATION'!BH$17:BH$149)</f>
        <v>0</v>
      </c>
      <c r="E3815" s="107">
        <f>SUMIF('5. PERSON'!$B$17:$B$192,$C3798,'5. PERSON'!CF$17:CF$192)+SUMIF('6. OPERATION'!$B$17:$B$149,$C3798,'6. OPERATION'!BI$17:BI$149)</f>
        <v>0</v>
      </c>
      <c r="F3815" s="107">
        <f>SUMIF('5. PERSON'!$B$17:$B$192,$C3798,'5. PERSON'!CG$17:CG$192)+SUMIF('6. OPERATION'!$B$17:$B$149,$C3798,'6. OPERATION'!BJ$17:BJ$149)</f>
        <v>0</v>
      </c>
      <c r="G3815" s="107">
        <f>SUMIF('5. PERSON'!$B$17:$B$192,$C3798,'5. PERSON'!CH$17:CH$192)+SUMIF('6. OPERATION'!$B$17:$B$149,$C3798,'6. OPERATION'!BK$17:BK$149)</f>
        <v>0</v>
      </c>
      <c r="H3815" s="107">
        <f>SUMIF('5. PERSON'!$B$17:$B$192,$C3798,'5. PERSON'!CI$17:CI$192)+SUMIF('6. OPERATION'!$B$17:$B$149,$C3798,'6. OPERATION'!BL$17:BL$149)</f>
        <v>0</v>
      </c>
      <c r="I3815" s="107">
        <f>SUMIF('5. PERSON'!$B$17:$B$192,$C3798,'5. PERSON'!CJ$17:CJ$192)+SUMIF('6. OPERATION'!$B$17:$B$149,$C3798,'6. OPERATION'!BM$17:BM$149)</f>
        <v>0</v>
      </c>
      <c r="J3815" s="107">
        <f>SUMIF('5. PERSON'!$B$17:$B$192,$C3798,'5. PERSON'!CK$17:CK$192)+SUMIF('6. OPERATION'!$B$17:$B$149,$C3798,'6. OPERATION'!BN$17:BN$149)</f>
        <v>0</v>
      </c>
      <c r="K3815" s="107">
        <f>SUMIF('5. PERSON'!$B$17:$B$192,$C3798,'5. PERSON'!CL$17:CL$192)+SUMIF('6. OPERATION'!$B$17:$B$149,$C3798,'6. OPERATION'!BO$17:BO$149)</f>
        <v>0</v>
      </c>
      <c r="L3815" s="107">
        <f>SUMIF('5. PERSON'!$B$17:$B$192,$C3798,'5. PERSON'!CM$17:CM$192)+SUMIF('6. OPERATION'!$B$17:$B$149,$C3798,'6. OPERATION'!BP$17:BP$149)</f>
        <v>0</v>
      </c>
      <c r="M3815" s="123">
        <f t="shared" si="903"/>
        <v>0</v>
      </c>
    </row>
    <row r="3816" spans="2:15" s="3" customFormat="1" ht="13.2" x14ac:dyDescent="0.25">
      <c r="B3816" s="124" t="s">
        <v>113</v>
      </c>
      <c r="C3816" s="102">
        <f>SUM(C3809:C3815)</f>
        <v>0</v>
      </c>
      <c r="D3816" s="102">
        <f t="shared" ref="D3816:L3816" si="904">SUM(D3809:D3815)</f>
        <v>0</v>
      </c>
      <c r="E3816" s="102">
        <f t="shared" si="904"/>
        <v>0</v>
      </c>
      <c r="F3816" s="102">
        <f t="shared" si="904"/>
        <v>0</v>
      </c>
      <c r="G3816" s="102">
        <f t="shared" si="904"/>
        <v>0</v>
      </c>
      <c r="H3816" s="102">
        <f t="shared" si="904"/>
        <v>0</v>
      </c>
      <c r="I3816" s="102">
        <f t="shared" si="904"/>
        <v>0</v>
      </c>
      <c r="J3816" s="102">
        <f t="shared" si="904"/>
        <v>0</v>
      </c>
      <c r="K3816" s="102">
        <f t="shared" si="904"/>
        <v>0</v>
      </c>
      <c r="L3816" s="102">
        <f t="shared" si="904"/>
        <v>0</v>
      </c>
      <c r="M3816" s="125">
        <f t="shared" ref="M3816" si="905">SUM(M3809:M3815)</f>
        <v>0</v>
      </c>
      <c r="N3816" s="23"/>
      <c r="O3816" s="23"/>
    </row>
    <row r="3817" spans="2:15" s="3" customFormat="1" ht="6" customHeight="1" x14ac:dyDescent="0.25">
      <c r="B3817" s="136"/>
      <c r="C3817" s="127"/>
      <c r="D3817" s="127"/>
      <c r="E3817" s="127"/>
      <c r="F3817" s="127"/>
      <c r="G3817" s="127"/>
      <c r="H3817" s="127"/>
      <c r="I3817" s="127"/>
      <c r="J3817" s="127"/>
      <c r="K3817" s="127"/>
      <c r="L3817" s="127"/>
      <c r="M3817" s="137"/>
    </row>
    <row r="3818" spans="2:15" s="3" customFormat="1" ht="13.2" x14ac:dyDescent="0.25">
      <c r="B3818" s="129" t="str">
        <f>IF('1. INTRO'!I$2="English","Full cost","Full kostnad")</f>
        <v>Full cost</v>
      </c>
      <c r="C3818" s="127"/>
      <c r="D3818" s="127"/>
      <c r="E3818" s="127"/>
      <c r="F3818" s="127"/>
      <c r="G3818" s="127"/>
      <c r="H3818" s="127"/>
      <c r="I3818" s="127"/>
      <c r="J3818" s="127"/>
      <c r="K3818" s="127"/>
      <c r="L3818" s="127"/>
      <c r="M3818" s="137"/>
    </row>
    <row r="3819" spans="2:15" s="3" customFormat="1" ht="13.2" x14ac:dyDescent="0.25">
      <c r="B3819" s="113" t="str">
        <f>IF('1. INTRO'!I$2="English","Salary including social costs (LKP)","Lön inklusive LKP")</f>
        <v>Salary including social costs (LKP)</v>
      </c>
      <c r="C3819" s="138">
        <f>C3801+C3810+C3811</f>
        <v>0</v>
      </c>
      <c r="D3819" s="138">
        <f t="shared" ref="D3819:L3819" si="906">D3801+D3810+D3811</f>
        <v>0</v>
      </c>
      <c r="E3819" s="138">
        <f t="shared" si="906"/>
        <v>0</v>
      </c>
      <c r="F3819" s="138">
        <f t="shared" si="906"/>
        <v>0</v>
      </c>
      <c r="G3819" s="138">
        <f t="shared" si="906"/>
        <v>0</v>
      </c>
      <c r="H3819" s="138">
        <f t="shared" si="906"/>
        <v>0</v>
      </c>
      <c r="I3819" s="138">
        <f t="shared" si="906"/>
        <v>0</v>
      </c>
      <c r="J3819" s="138">
        <f t="shared" si="906"/>
        <v>0</v>
      </c>
      <c r="K3819" s="138">
        <f t="shared" si="906"/>
        <v>0</v>
      </c>
      <c r="L3819" s="138">
        <f t="shared" si="906"/>
        <v>0</v>
      </c>
      <c r="M3819" s="115">
        <f>SUM(C3819:L3819)</f>
        <v>0</v>
      </c>
    </row>
    <row r="3820" spans="2:15" s="3" customFormat="1" ht="13.2" x14ac:dyDescent="0.25">
      <c r="B3820" s="80" t="str">
        <f>IF('1. INTRO'!I$2="English","Operating","Drift")</f>
        <v>Operating</v>
      </c>
      <c r="C3820" s="139">
        <f>C3802+C3812</f>
        <v>0</v>
      </c>
      <c r="D3820" s="139">
        <f t="shared" ref="D3820:L3820" si="907">D3802+D3812</f>
        <v>0</v>
      </c>
      <c r="E3820" s="139">
        <f t="shared" si="907"/>
        <v>0</v>
      </c>
      <c r="F3820" s="139">
        <f t="shared" si="907"/>
        <v>0</v>
      </c>
      <c r="G3820" s="139">
        <f t="shared" si="907"/>
        <v>0</v>
      </c>
      <c r="H3820" s="139">
        <f t="shared" si="907"/>
        <v>0</v>
      </c>
      <c r="I3820" s="139">
        <f t="shared" si="907"/>
        <v>0</v>
      </c>
      <c r="J3820" s="139">
        <f t="shared" si="907"/>
        <v>0</v>
      </c>
      <c r="K3820" s="139">
        <f t="shared" si="907"/>
        <v>0</v>
      </c>
      <c r="L3820" s="139">
        <f t="shared" si="907"/>
        <v>0</v>
      </c>
      <c r="M3820" s="117">
        <f>SUM(C3820:L3820)</f>
        <v>0</v>
      </c>
    </row>
    <row r="3821" spans="2:15" s="3" customFormat="1" ht="13.2" x14ac:dyDescent="0.25">
      <c r="B3821" s="118" t="str">
        <f>IF('1. INTRO'!I$2="English","Equipment","Utrustning")</f>
        <v>Equipment</v>
      </c>
      <c r="C3821" s="140">
        <f>C3803+C3813</f>
        <v>0</v>
      </c>
      <c r="D3821" s="140">
        <f t="shared" ref="D3821:L3821" si="908">D3803+D3813</f>
        <v>0</v>
      </c>
      <c r="E3821" s="140">
        <f t="shared" si="908"/>
        <v>0</v>
      </c>
      <c r="F3821" s="140">
        <f t="shared" si="908"/>
        <v>0</v>
      </c>
      <c r="G3821" s="140">
        <f t="shared" si="908"/>
        <v>0</v>
      </c>
      <c r="H3821" s="140">
        <f t="shared" si="908"/>
        <v>0</v>
      </c>
      <c r="I3821" s="140">
        <f t="shared" si="908"/>
        <v>0</v>
      </c>
      <c r="J3821" s="140">
        <f t="shared" si="908"/>
        <v>0</v>
      </c>
      <c r="K3821" s="140">
        <f t="shared" si="908"/>
        <v>0</v>
      </c>
      <c r="L3821" s="140">
        <f t="shared" si="908"/>
        <v>0</v>
      </c>
      <c r="M3821" s="120">
        <f>SUM(C3821:L3821)</f>
        <v>0</v>
      </c>
    </row>
    <row r="3822" spans="2:15" s="3" customFormat="1" ht="13.2" x14ac:dyDescent="0.25">
      <c r="B3822" s="80" t="str">
        <f>IF('1. INTRO'!I$2="English","Facility","Lokal")</f>
        <v>Facility</v>
      </c>
      <c r="C3822" s="139">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39">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39">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39">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39">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39">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39">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39">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39">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39">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117">
        <f>SUM(C3822:L3822)</f>
        <v>0</v>
      </c>
    </row>
    <row r="3823" spans="2:15" s="3" customFormat="1" ht="13.2" x14ac:dyDescent="0.25">
      <c r="B3823" s="601" t="str">
        <f>IF('1. INTRO'!I$2="English","Indirect","Indirekt")</f>
        <v>Indirect</v>
      </c>
      <c r="C3823" s="141">
        <f>SUMIF('5. PERSON'!$B$17:$B$192,$C3798,'5. PERSON'!BR$17:BR$192)+SUMIF('5. PERSON'!$B$17:$B$192,$C3798,'5. PERSON'!CD$17:CD$192)+SUMIF('6. OPERATION'!$B$17:$B$149,$C3798,'6. OPERATION'!AU$17:AU$149)+SUMIF('6. OPERATION'!$B$17:$B$149,$C3798,'6. OPERATION'!BG$17:BG$149)</f>
        <v>0</v>
      </c>
      <c r="D3823" s="141">
        <f>SUMIF('5. PERSON'!$B$17:$B$192,$C3798,'5. PERSON'!BS$17:BS$192)+SUMIF('5. PERSON'!$B$17:$B$192,$C3798,'5. PERSON'!CE$17:CE$192)+SUMIF('6. OPERATION'!$B$17:$B$149,$C3798,'6. OPERATION'!AV$17:AV$149)+SUMIF('6. OPERATION'!$B$17:$B$149,$C3798,'6. OPERATION'!BH$17:BH$149)</f>
        <v>0</v>
      </c>
      <c r="E3823" s="141">
        <f>SUMIF('5. PERSON'!$B$17:$B$192,$C3798,'5. PERSON'!BT$17:BT$192)+SUMIF('5. PERSON'!$B$17:$B$192,$C3798,'5. PERSON'!CF$17:CF$192)+SUMIF('6. OPERATION'!$B$17:$B$149,$C3798,'6. OPERATION'!AW$17:AW$149)+SUMIF('6. OPERATION'!$B$17:$B$149,$C3798,'6. OPERATION'!BI$17:BI$149)</f>
        <v>0</v>
      </c>
      <c r="F3823" s="141">
        <f>SUMIF('5. PERSON'!$B$17:$B$192,$C3798,'5. PERSON'!BU$17:BU$192)+SUMIF('5. PERSON'!$B$17:$B$192,$C3798,'5. PERSON'!CG$17:CG$192)+SUMIF('6. OPERATION'!$B$17:$B$149,$C3798,'6. OPERATION'!AX$17:AX$149)+SUMIF('6. OPERATION'!$B$17:$B$149,$C3798,'6. OPERATION'!BJ$17:BJ$149)</f>
        <v>0</v>
      </c>
      <c r="G3823" s="141">
        <f>SUMIF('5. PERSON'!$B$17:$B$192,$C3798,'5. PERSON'!BV$17:BV$192)+SUMIF('5. PERSON'!$B$17:$B$192,$C3798,'5. PERSON'!CH$17:CH$192)+SUMIF('6. OPERATION'!$B$17:$B$149,$C3798,'6. OPERATION'!AY$17:AY$149)+SUMIF('6. OPERATION'!$B$17:$B$149,$C3798,'6. OPERATION'!BK$17:BK$149)</f>
        <v>0</v>
      </c>
      <c r="H3823" s="141">
        <f>SUMIF('5. PERSON'!$B$17:$B$192,$C3798,'5. PERSON'!BW$17:BW$192)+SUMIF('5. PERSON'!$B$17:$B$192,$C3798,'5. PERSON'!CI$17:CI$192)+SUMIF('6. OPERATION'!$B$17:$B$149,$C3798,'6. OPERATION'!AZ$17:AZ$149)+SUMIF('6. OPERATION'!$B$17:$B$149,$C3798,'6. OPERATION'!BL$17:BL$149)</f>
        <v>0</v>
      </c>
      <c r="I3823" s="141">
        <f>SUMIF('5. PERSON'!$B$17:$B$192,$C3798,'5. PERSON'!BX$17:BX$192)+SUMIF('5. PERSON'!$B$17:$B$192,$C3798,'5. PERSON'!CJ$17:CJ$192)+SUMIF('6. OPERATION'!$B$17:$B$149,$C3798,'6. OPERATION'!BA$17:BA$149)+SUMIF('6. OPERATION'!$B$17:$B$149,$C3798,'6. OPERATION'!BM$17:BM$149)</f>
        <v>0</v>
      </c>
      <c r="J3823" s="141">
        <f>SUMIF('5. PERSON'!$B$17:$B$192,$C3798,'5. PERSON'!BY$17:BY$192)+SUMIF('5. PERSON'!$B$17:$B$192,$C3798,'5. PERSON'!CK$17:CK$192)+SUMIF('6. OPERATION'!$B$17:$B$149,$C3798,'6. OPERATION'!BB$17:BB$149)+SUMIF('6. OPERATION'!$B$17:$B$149,$C3798,'6. OPERATION'!BN$17:BN$149)</f>
        <v>0</v>
      </c>
      <c r="K3823" s="141">
        <f>SUMIF('5. PERSON'!$B$17:$B$192,$C3798,'5. PERSON'!BZ$17:BZ$192)+SUMIF('5. PERSON'!$B$17:$B$192,$C3798,'5. PERSON'!CL$17:CL$192)+SUMIF('6. OPERATION'!$B$17:$B$149,$C3798,'6. OPERATION'!BC$17:BC$149)+SUMIF('6. OPERATION'!$B$17:$B$149,$C3798,'6. OPERATION'!BO$17:BO$149)</f>
        <v>0</v>
      </c>
      <c r="L3823" s="141">
        <f>SUMIF('5. PERSON'!$B$17:$B$192,$C3798,'5. PERSON'!CA$17:CA$192)+SUMIF('5. PERSON'!$B$17:$B$192,$C3798,'5. PERSON'!CM$17:CM$192)+SUMIF('6. OPERATION'!$B$17:$B$149,$C3798,'6. OPERATION'!BD$17:BD$149)+SUMIF('6. OPERATION'!$B$17:$B$149,$C3798,'6. OPERATION'!BP$17:BP$149)</f>
        <v>0</v>
      </c>
      <c r="M3823" s="123">
        <f>SUM(C3823:L3823)</f>
        <v>0</v>
      </c>
    </row>
    <row r="3824" spans="2:15" s="3" customFormat="1" ht="13.2" x14ac:dyDescent="0.25">
      <c r="B3824" s="124" t="s">
        <v>113</v>
      </c>
      <c r="C3824" s="88">
        <f>SUM(C3819:C3823)</f>
        <v>0</v>
      </c>
      <c r="D3824" s="88">
        <f t="shared" ref="D3824:M3824" si="909">SUM(D3819:D3823)</f>
        <v>0</v>
      </c>
      <c r="E3824" s="88">
        <f t="shared" si="909"/>
        <v>0</v>
      </c>
      <c r="F3824" s="88">
        <f t="shared" si="909"/>
        <v>0</v>
      </c>
      <c r="G3824" s="88">
        <f t="shared" si="909"/>
        <v>0</v>
      </c>
      <c r="H3824" s="88">
        <f t="shared" si="909"/>
        <v>0</v>
      </c>
      <c r="I3824" s="88">
        <f t="shared" si="909"/>
        <v>0</v>
      </c>
      <c r="J3824" s="88">
        <f t="shared" si="909"/>
        <v>0</v>
      </c>
      <c r="K3824" s="88">
        <f t="shared" si="909"/>
        <v>0</v>
      </c>
      <c r="L3824" s="88">
        <f t="shared" si="909"/>
        <v>0</v>
      </c>
      <c r="M3824" s="142">
        <f t="shared" si="909"/>
        <v>0</v>
      </c>
    </row>
    <row r="3825" spans="2:13" s="3" customFormat="1" ht="13.2" x14ac:dyDescent="0.25">
      <c r="B3825" s="287"/>
      <c r="C3825" s="37"/>
      <c r="D3825" s="37"/>
      <c r="E3825" s="37"/>
      <c r="F3825" s="37"/>
      <c r="G3825" s="37"/>
      <c r="H3825" s="37"/>
      <c r="I3825" s="37"/>
      <c r="J3825" s="37"/>
      <c r="K3825" s="37"/>
      <c r="L3825" s="37"/>
      <c r="M3825" s="37"/>
    </row>
    <row r="3826" spans="2:13" s="3" customFormat="1" ht="12.75" customHeight="1" x14ac:dyDescent="0.25">
      <c r="B3826" s="656" t="str">
        <f>IF('1. INTRO'!I$2="English","Co-funding share in full cost ","Medfinansieringsandel i full kostnad ")</f>
        <v xml:space="preserve">Co-funding share in full cost </v>
      </c>
      <c r="C3826" s="143" t="str">
        <f t="shared" ref="C3826:M3826" si="910">IF(C3824&gt;0,C3816/C3824,"")</f>
        <v/>
      </c>
      <c r="D3826" s="143" t="str">
        <f t="shared" si="910"/>
        <v/>
      </c>
      <c r="E3826" s="143" t="str">
        <f t="shared" si="910"/>
        <v/>
      </c>
      <c r="F3826" s="143" t="str">
        <f t="shared" si="910"/>
        <v/>
      </c>
      <c r="G3826" s="143" t="str">
        <f t="shared" si="910"/>
        <v/>
      </c>
      <c r="H3826" s="143" t="str">
        <f t="shared" si="910"/>
        <v/>
      </c>
      <c r="I3826" s="143" t="str">
        <f t="shared" si="910"/>
        <v/>
      </c>
      <c r="J3826" s="143" t="str">
        <f t="shared" si="910"/>
        <v/>
      </c>
      <c r="K3826" s="143" t="str">
        <f t="shared" si="910"/>
        <v/>
      </c>
      <c r="L3826" s="143" t="str">
        <f t="shared" si="910"/>
        <v/>
      </c>
      <c r="M3826" s="143" t="str">
        <f t="shared" si="910"/>
        <v/>
      </c>
    </row>
    <row r="3827" spans="2:13" ht="12.75" customHeight="1" x14ac:dyDescent="0.2"/>
    <row r="3828" spans="2:13" ht="12.75" customHeight="1" x14ac:dyDescent="0.25">
      <c r="D3828" s="676" t="str">
        <f>IF('1. INTRO'!I$2="English","Co-funding need in average per year: ","Medfinansieringsbehov i genomsnitt per år: ")</f>
        <v xml:space="preserve">Co-funding need in average per year: </v>
      </c>
      <c r="E3828" s="92" t="str">
        <f>IF(M3816=0,"",M3816/(DATEDIF('2. START'!C$18,'2. START'!C$19,"d")/365))</f>
        <v/>
      </c>
      <c r="H3828" s="676" t="str">
        <f>IF('1. INTRO'!I$2="English","Co-funding need 1/3 of total: ","Medfinansieringsbehov 1/3 av totalt: ")</f>
        <v xml:space="preserve">Co-funding need 1/3 of total: </v>
      </c>
      <c r="I3828" s="92">
        <f>M3816/3</f>
        <v>0</v>
      </c>
      <c r="L3828" s="287" t="str">
        <f>IF('1. INTRO'!I$2="English","Co-funding need total: ","Medfinansieringsbehov totalt: ")</f>
        <v xml:space="preserve">Co-funding need total: </v>
      </c>
      <c r="M3828" s="92">
        <f>M3816</f>
        <v>0</v>
      </c>
    </row>
    <row r="3829" spans="2:13" ht="12.75" customHeight="1" x14ac:dyDescent="0.25">
      <c r="B3829" s="53" t="str">
        <f>IF('1. INTRO'!I$2="English","Co-funding sources","Medfinansieringskällor")</f>
        <v>Co-funding sources</v>
      </c>
    </row>
    <row r="3830" spans="2:13" ht="12.75" customHeight="1" x14ac:dyDescent="0.25">
      <c r="B3830" s="225"/>
      <c r="C3830" s="226"/>
      <c r="D3830" s="226"/>
      <c r="E3830" s="226"/>
      <c r="F3830" s="226"/>
      <c r="G3830" s="226"/>
      <c r="H3830" s="226"/>
      <c r="I3830" s="226"/>
      <c r="J3830" s="226"/>
      <c r="K3830" s="226"/>
      <c r="L3830" s="227"/>
      <c r="M3830" s="168">
        <f>SUM(C3830:L3830)</f>
        <v>0</v>
      </c>
    </row>
    <row r="3831" spans="2:13" ht="12.75" customHeight="1" x14ac:dyDescent="0.25">
      <c r="B3831" s="228"/>
      <c r="C3831" s="229"/>
      <c r="D3831" s="229"/>
      <c r="E3831" s="229"/>
      <c r="F3831" s="229"/>
      <c r="G3831" s="229"/>
      <c r="H3831" s="229"/>
      <c r="I3831" s="229"/>
      <c r="J3831" s="229"/>
      <c r="K3831" s="229"/>
      <c r="L3831" s="230"/>
      <c r="M3831" s="120">
        <f t="shared" ref="M3831:M3834" si="911">SUM(C3831:L3831)</f>
        <v>0</v>
      </c>
    </row>
    <row r="3832" spans="2:13" ht="12.75" customHeight="1" x14ac:dyDescent="0.25">
      <c r="B3832" s="231"/>
      <c r="C3832" s="232"/>
      <c r="D3832" s="232"/>
      <c r="E3832" s="232"/>
      <c r="F3832" s="232"/>
      <c r="G3832" s="232"/>
      <c r="H3832" s="232"/>
      <c r="I3832" s="232"/>
      <c r="J3832" s="232"/>
      <c r="K3832" s="232"/>
      <c r="L3832" s="233"/>
      <c r="M3832" s="117">
        <f t="shared" si="911"/>
        <v>0</v>
      </c>
    </row>
    <row r="3833" spans="2:13" ht="12.75" customHeight="1" x14ac:dyDescent="0.25">
      <c r="B3833" s="228"/>
      <c r="C3833" s="229"/>
      <c r="D3833" s="229"/>
      <c r="E3833" s="229"/>
      <c r="F3833" s="229"/>
      <c r="G3833" s="229"/>
      <c r="H3833" s="229"/>
      <c r="I3833" s="229"/>
      <c r="J3833" s="229"/>
      <c r="K3833" s="229"/>
      <c r="L3833" s="230"/>
      <c r="M3833" s="120">
        <f t="shared" si="911"/>
        <v>0</v>
      </c>
    </row>
    <row r="3834" spans="2:13" ht="12.75" customHeight="1" x14ac:dyDescent="0.25">
      <c r="B3834" s="93"/>
      <c r="C3834" s="232"/>
      <c r="D3834" s="232"/>
      <c r="E3834" s="232"/>
      <c r="F3834" s="232"/>
      <c r="G3834" s="232"/>
      <c r="H3834" s="232"/>
      <c r="I3834" s="232"/>
      <c r="J3834" s="232"/>
      <c r="K3834" s="232"/>
      <c r="L3834" s="233"/>
      <c r="M3834" s="117">
        <f t="shared" si="911"/>
        <v>0</v>
      </c>
    </row>
    <row r="3835" spans="2:13" ht="12.75" customHeight="1" x14ac:dyDescent="0.25">
      <c r="B3835" s="84" t="str">
        <f>IF('1. INTRO'!I$2="English","Total co-funding ","Total medfinansiering ")</f>
        <v xml:space="preserve">Total co-funding </v>
      </c>
      <c r="C3835" s="87">
        <f t="shared" ref="C3835:M3835" si="912">SUM(C3830:C3834)</f>
        <v>0</v>
      </c>
      <c r="D3835" s="87">
        <f t="shared" si="912"/>
        <v>0</v>
      </c>
      <c r="E3835" s="87">
        <f t="shared" si="912"/>
        <v>0</v>
      </c>
      <c r="F3835" s="87">
        <f t="shared" si="912"/>
        <v>0</v>
      </c>
      <c r="G3835" s="87">
        <f t="shared" si="912"/>
        <v>0</v>
      </c>
      <c r="H3835" s="87">
        <f t="shared" si="912"/>
        <v>0</v>
      </c>
      <c r="I3835" s="87">
        <f t="shared" si="912"/>
        <v>0</v>
      </c>
      <c r="J3835" s="87">
        <f t="shared" si="912"/>
        <v>0</v>
      </c>
      <c r="K3835" s="87">
        <f t="shared" si="912"/>
        <v>0</v>
      </c>
      <c r="L3835" s="87">
        <f t="shared" si="912"/>
        <v>0</v>
      </c>
      <c r="M3835" s="142">
        <f t="shared" si="912"/>
        <v>0</v>
      </c>
    </row>
    <row r="3836" spans="2:13" ht="12.75" customHeight="1" x14ac:dyDescent="0.2"/>
    <row r="3837" spans="2:13" ht="12.75" customHeight="1" x14ac:dyDescent="0.2">
      <c r="B3837" s="667" t="str">
        <f>IF('1. INTRO'!I$2="English","Calculation comments","Kalkylkommentarer")</f>
        <v>Calculation comments</v>
      </c>
      <c r="C3837" s="37" t="str">
        <f>B88</f>
        <v/>
      </c>
    </row>
    <row r="3838" spans="2:13" ht="12.75" customHeight="1" x14ac:dyDescent="0.2">
      <c r="B3838" s="1142"/>
      <c r="C3838" s="1143"/>
      <c r="D3838" s="1143"/>
      <c r="E3838" s="1143"/>
      <c r="F3838" s="1143"/>
      <c r="G3838" s="1143"/>
      <c r="H3838" s="1143"/>
      <c r="I3838" s="1143"/>
      <c r="J3838" s="1143"/>
      <c r="K3838" s="1143"/>
      <c r="L3838" s="1143"/>
      <c r="M3838" s="1144"/>
    </row>
    <row r="3839" spans="2:13" ht="12.75" customHeight="1" x14ac:dyDescent="0.2">
      <c r="B3839" s="1145"/>
      <c r="C3839" s="1226"/>
      <c r="D3839" s="1226"/>
      <c r="E3839" s="1226"/>
      <c r="F3839" s="1226"/>
      <c r="G3839" s="1226"/>
      <c r="H3839" s="1226"/>
      <c r="I3839" s="1226"/>
      <c r="J3839" s="1226"/>
      <c r="K3839" s="1226"/>
      <c r="L3839" s="1226"/>
      <c r="M3839" s="1147"/>
    </row>
    <row r="3840" spans="2:13" ht="12.75" customHeight="1" x14ac:dyDescent="0.2">
      <c r="B3840" s="1145"/>
      <c r="C3840" s="1226"/>
      <c r="D3840" s="1226"/>
      <c r="E3840" s="1226"/>
      <c r="F3840" s="1226"/>
      <c r="G3840" s="1226"/>
      <c r="H3840" s="1226"/>
      <c r="I3840" s="1226"/>
      <c r="J3840" s="1226"/>
      <c r="K3840" s="1226"/>
      <c r="L3840" s="1226"/>
      <c r="M3840" s="1147"/>
    </row>
    <row r="3841" spans="2:15" ht="12.75" customHeight="1" x14ac:dyDescent="0.2">
      <c r="B3841" s="1145"/>
      <c r="C3841" s="1226"/>
      <c r="D3841" s="1226"/>
      <c r="E3841" s="1226"/>
      <c r="F3841" s="1226"/>
      <c r="G3841" s="1226"/>
      <c r="H3841" s="1226"/>
      <c r="I3841" s="1226"/>
      <c r="J3841" s="1226"/>
      <c r="K3841" s="1226"/>
      <c r="L3841" s="1226"/>
      <c r="M3841" s="1147"/>
    </row>
    <row r="3842" spans="2:15" ht="12.75" customHeight="1" x14ac:dyDescent="0.2">
      <c r="B3842" s="1148"/>
      <c r="C3842" s="1149"/>
      <c r="D3842" s="1149"/>
      <c r="E3842" s="1149"/>
      <c r="F3842" s="1149"/>
      <c r="G3842" s="1149"/>
      <c r="H3842" s="1149"/>
      <c r="I3842" s="1149"/>
      <c r="J3842" s="1149"/>
      <c r="K3842" s="1149"/>
      <c r="L3842" s="1149"/>
      <c r="M3842" s="1150"/>
    </row>
    <row r="3844" spans="2:15" s="3" customFormat="1" ht="12.75" customHeight="1" x14ac:dyDescent="0.25">
      <c r="B3844" s="313" t="str">
        <f>'3. PARTNER'!C$4</f>
        <v xml:space="preserve">Project: </v>
      </c>
      <c r="C3844" s="1062" t="str">
        <f>'3. PARTNER'!D$4</f>
        <v/>
      </c>
      <c r="D3844" s="1001"/>
      <c r="E3844" s="1001"/>
      <c r="F3844" s="1001"/>
      <c r="G3844" s="1001"/>
      <c r="H3844" s="1001"/>
      <c r="I3844" s="1001"/>
      <c r="J3844" s="1001"/>
      <c r="K3844" s="1001"/>
      <c r="L3844" s="1001"/>
      <c r="M3844" s="1001"/>
    </row>
    <row r="3845" spans="2:15" s="3" customFormat="1" ht="13.2" x14ac:dyDescent="0.25">
      <c r="B3845" s="313" t="str">
        <f>'3. PARTNER'!C$5</f>
        <v xml:space="preserve">Calculation for: </v>
      </c>
      <c r="C3845" s="1062" t="str">
        <f>'3. PARTNER'!D$5</f>
        <v>APPLICATION</v>
      </c>
      <c r="D3845" s="1001"/>
      <c r="E3845" s="268"/>
      <c r="F3845" s="268"/>
      <c r="G3845" s="268"/>
      <c r="H3845" s="268"/>
      <c r="I3845" s="268"/>
      <c r="J3845" s="268"/>
      <c r="K3845" s="268"/>
      <c r="L3845" s="268"/>
      <c r="M3845" s="268"/>
    </row>
    <row r="3846" spans="2:15" s="3" customFormat="1" ht="13.2" x14ac:dyDescent="0.25">
      <c r="B3846" s="35" t="str">
        <f>'3. PARTNER'!C$6</f>
        <v xml:space="preserve">Project leader: </v>
      </c>
      <c r="C3846" s="1062" t="str">
        <f>'3. PARTNER'!D$6</f>
        <v/>
      </c>
      <c r="D3846" s="1001"/>
      <c r="E3846" s="1001"/>
      <c r="F3846" s="1001"/>
      <c r="G3846" s="1001"/>
      <c r="H3846" s="1001"/>
      <c r="I3846" s="1001"/>
      <c r="J3846" s="1001"/>
      <c r="K3846" s="1001"/>
      <c r="L3846" s="1001"/>
      <c r="M3846" s="1001"/>
    </row>
    <row r="3847" spans="2:15" s="3" customFormat="1" ht="13.2" x14ac:dyDescent="0.25">
      <c r="B3847" s="313" t="str">
        <f>'5. PERSON'!B$7</f>
        <v xml:space="preserve">Amounts in: </v>
      </c>
      <c r="C3847" s="655" t="str">
        <f>'5. PERSON'!C$7</f>
        <v>SEK</v>
      </c>
      <c r="D3847" s="268"/>
      <c r="E3847" s="268"/>
      <c r="F3847" s="268"/>
      <c r="G3847" s="234"/>
      <c r="H3847" s="234"/>
      <c r="I3847" s="270"/>
      <c r="J3847" s="270"/>
      <c r="K3847" s="270"/>
      <c r="L3847" s="270"/>
      <c r="M3847" s="270"/>
    </row>
    <row r="3848" spans="2:15" s="3" customFormat="1" ht="13.2" x14ac:dyDescent="0.25">
      <c r="B3848" s="313"/>
      <c r="C3848" s="1053" t="str">
        <f>'3. PARTNER'!D$7</f>
        <v>Other basic data about the project is in sheet 2.</v>
      </c>
      <c r="D3848" s="1001"/>
      <c r="E3848" s="1001"/>
      <c r="F3848" s="1001"/>
      <c r="G3848" s="234"/>
      <c r="H3848" s="234"/>
      <c r="I3848" s="270"/>
      <c r="J3848" s="270"/>
      <c r="K3848" s="270"/>
      <c r="L3848" s="251" t="s">
        <v>4</v>
      </c>
      <c r="M3848" s="270"/>
    </row>
    <row r="3849" spans="2:15" ht="12.75" customHeight="1" x14ac:dyDescent="0.2">
      <c r="L3849" s="252" t="str">
        <f>IF('1. INTRO'!I$2="English","months","månader")</f>
        <v>months</v>
      </c>
    </row>
    <row r="3850" spans="2:15" s="3" customFormat="1" ht="13.8" x14ac:dyDescent="0.25">
      <c r="B3850" s="157" t="str">
        <f>IF('1. INTRO'!I$2="English","Project costs","Projektkostnader")</f>
        <v>Project costs</v>
      </c>
      <c r="C3850" s="1259" t="str">
        <f>B89</f>
        <v xml:space="preserve">External partners total </v>
      </c>
      <c r="D3850" s="1004"/>
      <c r="E3850" s="1004"/>
      <c r="G3850" s="37"/>
      <c r="H3850" s="37"/>
      <c r="I3850" s="37"/>
      <c r="J3850" s="37"/>
      <c r="K3850" s="37"/>
      <c r="L3850" s="642">
        <f>L3798+L3746+L3694+L3642+L3590+L3538+L3486+L3434+L3382+L3330+L3278+L3226+L3174+L3122+L3070+L3018+L2966+L2914+L2862+L2810+L2758+L2706+L2654+L2602+L2550+L2498+L2446+L2394+L2342+L2290</f>
        <v>0</v>
      </c>
      <c r="M3850" s="680" t="s">
        <v>330</v>
      </c>
    </row>
    <row r="3851" spans="2:15" s="3" customFormat="1" ht="6" customHeight="1" x14ac:dyDescent="0.25">
      <c r="B3851" s="57"/>
      <c r="C3851" s="37"/>
      <c r="D3851" s="37"/>
      <c r="E3851" s="37"/>
      <c r="F3851" s="37"/>
      <c r="G3851" s="37"/>
      <c r="H3851" s="37"/>
      <c r="I3851" s="37"/>
      <c r="J3851" s="37"/>
      <c r="K3851" s="37"/>
      <c r="L3851" s="37"/>
      <c r="M3851" s="37"/>
    </row>
    <row r="3852" spans="2:15" s="3" customFormat="1" ht="13.2" x14ac:dyDescent="0.25">
      <c r="B3852" s="110" t="str">
        <f>IF('1. INTRO'!I$2="English","Costs to be covered by funding body","Kostnader att täckas av finansiär")</f>
        <v>Costs to be covered by funding body</v>
      </c>
      <c r="C3852" s="111">
        <f>'5. PERSON'!G$15</f>
        <v>1900</v>
      </c>
      <c r="D3852" s="111" t="str">
        <f>'5. PERSON'!H$15</f>
        <v/>
      </c>
      <c r="E3852" s="111" t="str">
        <f>'5. PERSON'!I$15</f>
        <v/>
      </c>
      <c r="F3852" s="111" t="str">
        <f>'5. PERSON'!J$15</f>
        <v/>
      </c>
      <c r="G3852" s="111" t="str">
        <f>'5. PERSON'!K$15</f>
        <v/>
      </c>
      <c r="H3852" s="111" t="str">
        <f>'5. PERSON'!L$15</f>
        <v/>
      </c>
      <c r="I3852" s="111" t="str">
        <f>'5. PERSON'!M$15</f>
        <v/>
      </c>
      <c r="J3852" s="111" t="str">
        <f>'5. PERSON'!N$15</f>
        <v/>
      </c>
      <c r="K3852" s="111" t="str">
        <f>'5. PERSON'!O$15</f>
        <v/>
      </c>
      <c r="L3852" s="111" t="str">
        <f>'5. PERSON'!P$15</f>
        <v/>
      </c>
      <c r="M3852" s="112" t="s">
        <v>2</v>
      </c>
    </row>
    <row r="3853" spans="2:15" s="3" customFormat="1" ht="12.75" customHeight="1" x14ac:dyDescent="0.25">
      <c r="B3853" s="113" t="str">
        <f>IF('1. INTRO'!I$2="English","Salary including social costs (LKP)","Lön inklusive LKP")</f>
        <v>Salary including social costs (LKP)</v>
      </c>
      <c r="C3853" s="165">
        <f>C2293+C2345+C2397+C2449+C2501+C2553+C2605+C2657+C2709+C2761+C2813+C2865+C2917+C2969+C3021+C3073+C3125+C3177+C3229+C3281+C3333+C3385+C3437+C3489+C3541+C3593+C3645+C3697+C3749+C3801</f>
        <v>0</v>
      </c>
      <c r="D3853" s="114">
        <f t="shared" ref="D3853:L3853" si="913">D2293+D2345+D2397+D2449+D2501+D2553+D2605+D2657+D2709+D2761+D2813+D2865+D2917+D2969+D3021+D3073+D3125+D3177+D3229+D3281+D3333+D3385+D3437+D3489+D3541+D3593+D3645+D3697+D3749+D3801</f>
        <v>0</v>
      </c>
      <c r="E3853" s="163">
        <f t="shared" si="913"/>
        <v>0</v>
      </c>
      <c r="F3853" s="114">
        <f t="shared" si="913"/>
        <v>0</v>
      </c>
      <c r="G3853" s="163">
        <f t="shared" si="913"/>
        <v>0</v>
      </c>
      <c r="H3853" s="114">
        <f t="shared" si="913"/>
        <v>0</v>
      </c>
      <c r="I3853" s="163">
        <f t="shared" si="913"/>
        <v>0</v>
      </c>
      <c r="J3853" s="114">
        <f t="shared" si="913"/>
        <v>0</v>
      </c>
      <c r="K3853" s="163">
        <f t="shared" si="913"/>
        <v>0</v>
      </c>
      <c r="L3853" s="114">
        <f t="shared" si="913"/>
        <v>0</v>
      </c>
      <c r="M3853" s="145">
        <f t="shared" ref="M3853:M3858" si="914">SUM(C3853:L3853)</f>
        <v>0</v>
      </c>
      <c r="O3853" s="4"/>
    </row>
    <row r="3854" spans="2:15" s="3" customFormat="1" ht="12.75" customHeight="1" x14ac:dyDescent="0.25">
      <c r="B3854" s="80" t="str">
        <f>IF('1. INTRO'!I$2="English","Operating","Drift")</f>
        <v>Operating</v>
      </c>
      <c r="C3854" s="171">
        <f t="shared" ref="C3854:L3854" si="915">C2294+C2346+C2398+C2450+C2502+C2554+C2606+C2658+C2710+C2762+C2814+C2866+C2918+C2970+C3022+C3074+C3126+C3178+C3230+C3282+C3334+C3386+C3438+C3490+C3542+C3594+C3646+C3698+C3750+C3802</f>
        <v>0</v>
      </c>
      <c r="D3854" s="116">
        <f t="shared" si="915"/>
        <v>0</v>
      </c>
      <c r="E3854" s="109">
        <f t="shared" si="915"/>
        <v>0</v>
      </c>
      <c r="F3854" s="116">
        <f t="shared" si="915"/>
        <v>0</v>
      </c>
      <c r="G3854" s="109">
        <f t="shared" si="915"/>
        <v>0</v>
      </c>
      <c r="H3854" s="116">
        <f t="shared" si="915"/>
        <v>0</v>
      </c>
      <c r="I3854" s="109">
        <f t="shared" si="915"/>
        <v>0</v>
      </c>
      <c r="J3854" s="116">
        <f t="shared" si="915"/>
        <v>0</v>
      </c>
      <c r="K3854" s="109">
        <f t="shared" si="915"/>
        <v>0</v>
      </c>
      <c r="L3854" s="116">
        <f t="shared" si="915"/>
        <v>0</v>
      </c>
      <c r="M3854" s="146">
        <f t="shared" si="914"/>
        <v>0</v>
      </c>
    </row>
    <row r="3855" spans="2:15" s="3" customFormat="1" ht="13.2" x14ac:dyDescent="0.25">
      <c r="B3855" s="118" t="str">
        <f>IF('1. INTRO'!I$2="English","Equipment","Utrustning")</f>
        <v>Equipment</v>
      </c>
      <c r="C3855" s="166">
        <f t="shared" ref="C3855:L3855" si="916">C2295+C2347+C2399+C2451+C2503+C2555+C2607+C2659+C2711+C2763+C2815+C2867+C2919+C2971+C3023+C3075+C3127+C3179+C3231+C3283+C3335+C3387+C3439+C3491+C3543+C3595+C3647+C3699+C3751+C3803</f>
        <v>0</v>
      </c>
      <c r="D3855" s="119">
        <f t="shared" si="916"/>
        <v>0</v>
      </c>
      <c r="E3855" s="162">
        <f t="shared" si="916"/>
        <v>0</v>
      </c>
      <c r="F3855" s="119">
        <f t="shared" si="916"/>
        <v>0</v>
      </c>
      <c r="G3855" s="162">
        <f t="shared" si="916"/>
        <v>0</v>
      </c>
      <c r="H3855" s="119">
        <f t="shared" si="916"/>
        <v>0</v>
      </c>
      <c r="I3855" s="162">
        <f t="shared" si="916"/>
        <v>0</v>
      </c>
      <c r="J3855" s="119">
        <f t="shared" si="916"/>
        <v>0</v>
      </c>
      <c r="K3855" s="162">
        <f t="shared" si="916"/>
        <v>0</v>
      </c>
      <c r="L3855" s="119">
        <f t="shared" si="916"/>
        <v>0</v>
      </c>
      <c r="M3855" s="147">
        <f t="shared" si="914"/>
        <v>0</v>
      </c>
    </row>
    <row r="3856" spans="2:15" s="3" customFormat="1" ht="13.2" x14ac:dyDescent="0.25">
      <c r="B3856" s="121" t="str">
        <f>IF('1. INTRO'!I$2="English",(IF('2. START'!C$11="NO","Facility accepted as direct cost by funding body","Facility")),IF('2. START'!C$11="NO","Lokal accepterad som direkt kostnad av finansiär","Lokal"))</f>
        <v>Facility</v>
      </c>
      <c r="C3856" s="171">
        <f t="shared" ref="C3856:L3856" si="917">C2296+C2348+C2400+C2452+C2504+C2556+C2608+C2660+C2712+C2764+C2816+C2868+C2920+C2972+C3024+C3076+C3128+C3180+C3232+C3284+C3336+C3388+C3440+C3492+C3544+C3596+C3648+C3700+C3752+C3804</f>
        <v>0</v>
      </c>
      <c r="D3856" s="116">
        <f t="shared" si="917"/>
        <v>0</v>
      </c>
      <c r="E3856" s="109">
        <f t="shared" si="917"/>
        <v>0</v>
      </c>
      <c r="F3856" s="116">
        <f t="shared" si="917"/>
        <v>0</v>
      </c>
      <c r="G3856" s="109">
        <f t="shared" si="917"/>
        <v>0</v>
      </c>
      <c r="H3856" s="116">
        <f t="shared" si="917"/>
        <v>0</v>
      </c>
      <c r="I3856" s="109">
        <f t="shared" si="917"/>
        <v>0</v>
      </c>
      <c r="J3856" s="116">
        <f t="shared" si="917"/>
        <v>0</v>
      </c>
      <c r="K3856" s="109">
        <f t="shared" si="917"/>
        <v>0</v>
      </c>
      <c r="L3856" s="116">
        <f t="shared" si="917"/>
        <v>0</v>
      </c>
      <c r="M3856" s="146">
        <f t="shared" si="914"/>
        <v>0</v>
      </c>
    </row>
    <row r="3857" spans="2:15" s="3" customFormat="1" ht="13.2" x14ac:dyDescent="0.25">
      <c r="B3857" s="122" t="str">
        <f>IF('1. INTRO'!I$2="English",(IF('2. START'!C$11="NO","Indirect and facility charge accepted as OH by funding body","Indirect")),IF('2. START'!C$11="NO","Indirekt och lokalpåslag accepterade som OH av finansiär","Indirekt"))</f>
        <v>Indirect</v>
      </c>
      <c r="C3857" s="170">
        <f t="shared" ref="C3857:L3857" si="918">C2297+C2349+C2401+C2453+C2505+C2557+C2609+C2661+C2713+C2765+C2817+C2869+C2921+C2973+C3025+C3077+C3129+C3181+C3233+C3285+C3337+C3389+C3441+C3493+C3545+C3597+C3649+C3701+C3753+C3805</f>
        <v>0</v>
      </c>
      <c r="D3857" s="107">
        <f t="shared" si="918"/>
        <v>0</v>
      </c>
      <c r="E3857" s="164">
        <f t="shared" si="918"/>
        <v>0</v>
      </c>
      <c r="F3857" s="107">
        <f t="shared" si="918"/>
        <v>0</v>
      </c>
      <c r="G3857" s="164">
        <f t="shared" si="918"/>
        <v>0</v>
      </c>
      <c r="H3857" s="107">
        <f t="shared" si="918"/>
        <v>0</v>
      </c>
      <c r="I3857" s="164">
        <f t="shared" si="918"/>
        <v>0</v>
      </c>
      <c r="J3857" s="107">
        <f t="shared" si="918"/>
        <v>0</v>
      </c>
      <c r="K3857" s="164">
        <f t="shared" si="918"/>
        <v>0</v>
      </c>
      <c r="L3857" s="107">
        <f t="shared" si="918"/>
        <v>0</v>
      </c>
      <c r="M3857" s="148">
        <f t="shared" si="914"/>
        <v>0</v>
      </c>
    </row>
    <row r="3858" spans="2:15" s="3" customFormat="1" ht="13.2" x14ac:dyDescent="0.25">
      <c r="B3858" s="124" t="s">
        <v>113</v>
      </c>
      <c r="C3858" s="161">
        <f>SUM(C3853:C3857)</f>
        <v>0</v>
      </c>
      <c r="D3858" s="161">
        <f t="shared" ref="D3858:L3858" si="919">SUM(D3853:D3857)</f>
        <v>0</v>
      </c>
      <c r="E3858" s="161">
        <f t="shared" si="919"/>
        <v>0</v>
      </c>
      <c r="F3858" s="161">
        <f t="shared" si="919"/>
        <v>0</v>
      </c>
      <c r="G3858" s="161">
        <f t="shared" si="919"/>
        <v>0</v>
      </c>
      <c r="H3858" s="161">
        <f t="shared" si="919"/>
        <v>0</v>
      </c>
      <c r="I3858" s="161">
        <f t="shared" si="919"/>
        <v>0</v>
      </c>
      <c r="J3858" s="161">
        <f t="shared" si="919"/>
        <v>0</v>
      </c>
      <c r="K3858" s="161">
        <f t="shared" si="919"/>
        <v>0</v>
      </c>
      <c r="L3858" s="161">
        <f t="shared" si="919"/>
        <v>0</v>
      </c>
      <c r="M3858" s="125">
        <f t="shared" si="914"/>
        <v>0</v>
      </c>
    </row>
    <row r="3859" spans="2:15" s="3" customFormat="1" ht="6" customHeight="1" x14ac:dyDescent="0.25">
      <c r="B3859" s="126"/>
      <c r="C3859" s="127"/>
      <c r="D3859" s="127"/>
      <c r="E3859" s="127"/>
      <c r="F3859" s="127"/>
      <c r="G3859" s="127"/>
      <c r="H3859" s="127"/>
      <c r="I3859" s="127"/>
      <c r="J3859" s="127"/>
      <c r="K3859" s="127"/>
      <c r="L3859" s="127"/>
      <c r="M3859" s="128"/>
    </row>
    <row r="3860" spans="2:15" s="3" customFormat="1" ht="13.2" x14ac:dyDescent="0.25">
      <c r="B3860" s="129" t="str">
        <f>IF('1. INTRO'!I$2="English","Costs to be co-funded","Kostnader att medfinansiera")</f>
        <v>Costs to be co-funded</v>
      </c>
      <c r="C3860" s="86"/>
      <c r="D3860" s="86"/>
      <c r="E3860" s="86"/>
      <c r="F3860" s="86"/>
      <c r="G3860" s="86"/>
      <c r="H3860" s="86"/>
      <c r="I3860" s="86"/>
      <c r="J3860" s="86"/>
      <c r="K3860" s="86"/>
      <c r="L3860" s="86"/>
      <c r="M3860" s="130"/>
    </row>
    <row r="3861" spans="2:15" s="3" customFormat="1" ht="13.2" x14ac:dyDescent="0.25">
      <c r="B3861" s="159" t="str">
        <f>IF('1. INTRO'!I$2="English",(IF('2. START'!C$11="NO","Indirect and facility charge not accepted as OH by funding body","")),IF('2. START'!C$11="NO","Indirekt och lokalpåslag inte accepterade som OH av finansiär",""))</f>
        <v/>
      </c>
      <c r="C3861" s="173">
        <f>C2301+C2353+C2405+C2457+C2509+C2561+C2613+C2665+C2717+C2769+C2821+C2873+C2925+C2977+C3029+C3081+C3133+C3185+C3237+C3289+C3341+C3393+C3445+C3497+C3549+C3601+C3653+C3705+C3757+C3809</f>
        <v>0</v>
      </c>
      <c r="D3861" s="178">
        <f t="shared" ref="D3861:L3861" si="920">D2301+D2353+D2405+D2457+D2509+D2561+D2613+D2665+D2717+D2769+D2821+D2873+D2925+D2977+D3029+D3081+D3133+D3185+D3237+D3289+D3341+D3393+D3445+D3497+D3549+D3601+D3653+D3705+D3757+D3809</f>
        <v>0</v>
      </c>
      <c r="E3861" s="174">
        <f t="shared" si="920"/>
        <v>0</v>
      </c>
      <c r="F3861" s="178">
        <f t="shared" si="920"/>
        <v>0</v>
      </c>
      <c r="G3861" s="174">
        <f t="shared" si="920"/>
        <v>0</v>
      </c>
      <c r="H3861" s="178">
        <f t="shared" si="920"/>
        <v>0</v>
      </c>
      <c r="I3861" s="174">
        <f t="shared" si="920"/>
        <v>0</v>
      </c>
      <c r="J3861" s="178">
        <f t="shared" si="920"/>
        <v>0</v>
      </c>
      <c r="K3861" s="174">
        <f t="shared" si="920"/>
        <v>0</v>
      </c>
      <c r="L3861" s="178">
        <f t="shared" si="920"/>
        <v>0</v>
      </c>
      <c r="M3861" s="145">
        <f t="shared" ref="M3861:M3867" si="921">SUM(C3861:L3861)</f>
        <v>0</v>
      </c>
    </row>
    <row r="3862" spans="2:15" s="3" customFormat="1" ht="12.75" customHeight="1" x14ac:dyDescent="0.25">
      <c r="B3862" s="132" t="str">
        <f>IF('1. INTRO'!I$2="English",(IF('2. START'!C$14&gt;0,"Social costs (LKP) not accepted by funding body","")),IF('2. START'!C$14&gt;0,"LKP som inte accepteras av finansiär",""))</f>
        <v/>
      </c>
      <c r="C3862" s="192">
        <f t="shared" ref="C3862:L3862" si="922">C2302+C2354+C2406+C2458+C2510+C2562+C2614+C2666+C2718+C2770+C2822+C2874+C2926+C2978+C3030+C3082+C3134+C3186+C3238+C3290+C3342+C3394+C3446+C3498+C3550+C3602+C3654+C3706+C3758+C3810</f>
        <v>0</v>
      </c>
      <c r="D3862" s="181">
        <f t="shared" si="922"/>
        <v>0</v>
      </c>
      <c r="E3862" s="182">
        <f t="shared" si="922"/>
        <v>0</v>
      </c>
      <c r="F3862" s="181">
        <f t="shared" si="922"/>
        <v>0</v>
      </c>
      <c r="G3862" s="182">
        <f t="shared" si="922"/>
        <v>0</v>
      </c>
      <c r="H3862" s="181">
        <f t="shared" si="922"/>
        <v>0</v>
      </c>
      <c r="I3862" s="182">
        <f t="shared" si="922"/>
        <v>0</v>
      </c>
      <c r="J3862" s="181">
        <f t="shared" si="922"/>
        <v>0</v>
      </c>
      <c r="K3862" s="182">
        <f t="shared" si="922"/>
        <v>0</v>
      </c>
      <c r="L3862" s="181">
        <f t="shared" si="922"/>
        <v>0</v>
      </c>
      <c r="M3862" s="146">
        <f t="shared" si="921"/>
        <v>0</v>
      </c>
    </row>
    <row r="3863" spans="2:15" s="3" customFormat="1" ht="12.75" customHeight="1" x14ac:dyDescent="0.25">
      <c r="B3863" s="118" t="str">
        <f>IF('1. INTRO'!I$2="English",(IF('5. PERSON'!BP$193&gt;0,"Salary including social costs (LKP)","")),IF('5. PERSON'!BP$193&gt;0,"Lön inklusive LKP",""))</f>
        <v/>
      </c>
      <c r="C3863" s="175">
        <f t="shared" ref="C3863:L3863" si="923">C2303+C2355+C2407+C2459+C2511+C2563+C2615+C2667+C2719+C2771+C2823+C2875+C2927+C2979+C3031+C3083+C3135+C3187+C3239+C3291+C3343+C3395+C3447+C3499+C3551+C3603+C3655+C3707+C3759+C3811</f>
        <v>0</v>
      </c>
      <c r="D3863" s="179">
        <f t="shared" si="923"/>
        <v>0</v>
      </c>
      <c r="E3863" s="172">
        <f t="shared" si="923"/>
        <v>0</v>
      </c>
      <c r="F3863" s="179">
        <f t="shared" si="923"/>
        <v>0</v>
      </c>
      <c r="G3863" s="172">
        <f t="shared" si="923"/>
        <v>0</v>
      </c>
      <c r="H3863" s="179">
        <f t="shared" si="923"/>
        <v>0</v>
      </c>
      <c r="I3863" s="172">
        <f t="shared" si="923"/>
        <v>0</v>
      </c>
      <c r="J3863" s="179">
        <f t="shared" si="923"/>
        <v>0</v>
      </c>
      <c r="K3863" s="172">
        <f t="shared" si="923"/>
        <v>0</v>
      </c>
      <c r="L3863" s="179">
        <f t="shared" si="923"/>
        <v>0</v>
      </c>
      <c r="M3863" s="147">
        <f t="shared" si="921"/>
        <v>0</v>
      </c>
    </row>
    <row r="3864" spans="2:15" s="3" customFormat="1" ht="13.2" x14ac:dyDescent="0.25">
      <c r="B3864" s="80" t="str">
        <f>IF('1. INTRO'!I$2="English",(IF('6. OPERATION'!AS$150&gt;0,"Operating","")),IF('6. OPERATION'!AS$150&gt;0,"Drift",""))</f>
        <v/>
      </c>
      <c r="C3864" s="192">
        <f t="shared" ref="C3864:L3864" si="924">C2304+C2356+C2408+C2460+C2512+C2564+C2616+C2668+C2720+C2772+C2824+C2876+C2928+C2980+C3032+C3084+C3136+C3188+C3240+C3292+C3344+C3396+C3448+C3500+C3552+C3604+C3656+C3708+C3760+C3812</f>
        <v>0</v>
      </c>
      <c r="D3864" s="181">
        <f t="shared" si="924"/>
        <v>0</v>
      </c>
      <c r="E3864" s="182">
        <f t="shared" si="924"/>
        <v>0</v>
      </c>
      <c r="F3864" s="181">
        <f t="shared" si="924"/>
        <v>0</v>
      </c>
      <c r="G3864" s="182">
        <f t="shared" si="924"/>
        <v>0</v>
      </c>
      <c r="H3864" s="181">
        <f t="shared" si="924"/>
        <v>0</v>
      </c>
      <c r="I3864" s="182">
        <f t="shared" si="924"/>
        <v>0</v>
      </c>
      <c r="J3864" s="181">
        <f t="shared" si="924"/>
        <v>0</v>
      </c>
      <c r="K3864" s="182">
        <f t="shared" si="924"/>
        <v>0</v>
      </c>
      <c r="L3864" s="181">
        <f t="shared" si="924"/>
        <v>0</v>
      </c>
      <c r="M3864" s="146">
        <f t="shared" si="921"/>
        <v>0</v>
      </c>
    </row>
    <row r="3865" spans="2:15" s="3" customFormat="1" ht="13.2" x14ac:dyDescent="0.25">
      <c r="B3865" s="118" t="str">
        <f>IF('1. INTRO'!I$2="English",(IF('7. INVEST'!AS$50&gt;0,"Equipment","")),IF('7. INVEST'!AS$50&gt;0,"Utrustning",""))</f>
        <v/>
      </c>
      <c r="C3865" s="175">
        <f t="shared" ref="C3865:L3865" si="925">C2305+C2357+C2409+C2461+C2513+C2565+C2617+C2669+C2721+C2773+C2825+C2877+C2929+C2981+C3033+C3085+C3137+C3189+C3241+C3293+C3345+C3397+C3449+C3501+C3553+C3605+C3657+C3709+C3761+C3813</f>
        <v>0</v>
      </c>
      <c r="D3865" s="179">
        <f t="shared" si="925"/>
        <v>0</v>
      </c>
      <c r="E3865" s="172">
        <f t="shared" si="925"/>
        <v>0</v>
      </c>
      <c r="F3865" s="179">
        <f t="shared" si="925"/>
        <v>0</v>
      </c>
      <c r="G3865" s="172">
        <f t="shared" si="925"/>
        <v>0</v>
      </c>
      <c r="H3865" s="179">
        <f t="shared" si="925"/>
        <v>0</v>
      </c>
      <c r="I3865" s="172">
        <f t="shared" si="925"/>
        <v>0</v>
      </c>
      <c r="J3865" s="179">
        <f t="shared" si="925"/>
        <v>0</v>
      </c>
      <c r="K3865" s="172">
        <f t="shared" si="925"/>
        <v>0</v>
      </c>
      <c r="L3865" s="179">
        <f t="shared" si="925"/>
        <v>0</v>
      </c>
      <c r="M3865" s="147">
        <f t="shared" si="921"/>
        <v>0</v>
      </c>
    </row>
    <row r="3866" spans="2:15" s="3" customFormat="1" ht="13.2" x14ac:dyDescent="0.25">
      <c r="B3866" s="121" t="str">
        <f>IF('1. INTRO'!I$2="English",(IF('8. FACILIT'!AP$51&gt;0,"Facility","")),IF('8. FACILIT'!AP$51&gt;0,"Lokal",""))</f>
        <v/>
      </c>
      <c r="C3866" s="192">
        <f t="shared" ref="C3866:L3866" si="926">C2306+C2358+C2410+C2462+C2514+C2566+C2618+C2670+C2722+C2774+C2826+C2878+C2930+C2982+C3034+C3086+C3138+C3190+C3242+C3294+C3346+C3398+C3450+C3502+C3554+C3606+C3658+C3710+C3762+C3814</f>
        <v>0</v>
      </c>
      <c r="D3866" s="181">
        <f t="shared" si="926"/>
        <v>0</v>
      </c>
      <c r="E3866" s="182">
        <f t="shared" si="926"/>
        <v>0</v>
      </c>
      <c r="F3866" s="181">
        <f t="shared" si="926"/>
        <v>0</v>
      </c>
      <c r="G3866" s="182">
        <f t="shared" si="926"/>
        <v>0</v>
      </c>
      <c r="H3866" s="181">
        <f t="shared" si="926"/>
        <v>0</v>
      </c>
      <c r="I3866" s="182">
        <f t="shared" si="926"/>
        <v>0</v>
      </c>
      <c r="J3866" s="181">
        <f t="shared" si="926"/>
        <v>0</v>
      </c>
      <c r="K3866" s="182">
        <f t="shared" si="926"/>
        <v>0</v>
      </c>
      <c r="L3866" s="181">
        <f t="shared" si="926"/>
        <v>0</v>
      </c>
      <c r="M3866" s="146">
        <f t="shared" si="921"/>
        <v>0</v>
      </c>
    </row>
    <row r="3867" spans="2:15" s="1" customFormat="1" ht="13.2" x14ac:dyDescent="0.25">
      <c r="B3867" s="122" t="str">
        <f>IF('1. INTRO'!I$2="English",(IF(('5. PERSON'!CN$193+'6. OPERATION'!BQ$150)&gt;0,"Indirect","")),IF(('5. PERSON'!CN$193+'6. OPERATION'!BQ$150)&gt;0,"Indirekt",""))</f>
        <v/>
      </c>
      <c r="C3867" s="176">
        <f t="shared" ref="C3867:L3867" si="927">C2307+C2359+C2411+C2463+C2515+C2567+C2619+C2671+C2723+C2775+C2827+C2879+C2931+C2983+C3035+C3087+C3139+C3191+C3243+C3295+C3347+C3399+C3451+C3503+C3555+C3607+C3659+C3711+C3763+C3815</f>
        <v>0</v>
      </c>
      <c r="D3867" s="180">
        <f t="shared" si="927"/>
        <v>0</v>
      </c>
      <c r="E3867" s="177">
        <f t="shared" si="927"/>
        <v>0</v>
      </c>
      <c r="F3867" s="180">
        <f t="shared" si="927"/>
        <v>0</v>
      </c>
      <c r="G3867" s="177">
        <f t="shared" si="927"/>
        <v>0</v>
      </c>
      <c r="H3867" s="180">
        <f t="shared" si="927"/>
        <v>0</v>
      </c>
      <c r="I3867" s="177">
        <f t="shared" si="927"/>
        <v>0</v>
      </c>
      <c r="J3867" s="180">
        <f t="shared" si="927"/>
        <v>0</v>
      </c>
      <c r="K3867" s="177">
        <f t="shared" si="927"/>
        <v>0</v>
      </c>
      <c r="L3867" s="180">
        <f t="shared" si="927"/>
        <v>0</v>
      </c>
      <c r="M3867" s="148">
        <f t="shared" si="921"/>
        <v>0</v>
      </c>
    </row>
    <row r="3868" spans="2:15" s="3" customFormat="1" ht="13.2" x14ac:dyDescent="0.25">
      <c r="B3868" s="124" t="s">
        <v>113</v>
      </c>
      <c r="C3868" s="161">
        <f>SUM(C3861:C3867)</f>
        <v>0</v>
      </c>
      <c r="D3868" s="161">
        <f t="shared" ref="D3868:M3868" si="928">SUM(D3861:D3867)</f>
        <v>0</v>
      </c>
      <c r="E3868" s="161">
        <f t="shared" si="928"/>
        <v>0</v>
      </c>
      <c r="F3868" s="161">
        <f t="shared" si="928"/>
        <v>0</v>
      </c>
      <c r="G3868" s="161">
        <f t="shared" si="928"/>
        <v>0</v>
      </c>
      <c r="H3868" s="161">
        <f t="shared" si="928"/>
        <v>0</v>
      </c>
      <c r="I3868" s="161">
        <f t="shared" si="928"/>
        <v>0</v>
      </c>
      <c r="J3868" s="161">
        <f t="shared" si="928"/>
        <v>0</v>
      </c>
      <c r="K3868" s="161">
        <f t="shared" si="928"/>
        <v>0</v>
      </c>
      <c r="L3868" s="161">
        <f t="shared" si="928"/>
        <v>0</v>
      </c>
      <c r="M3868" s="125">
        <f t="shared" si="928"/>
        <v>0</v>
      </c>
      <c r="N3868" s="23"/>
      <c r="O3868" s="23"/>
    </row>
    <row r="3869" spans="2:15" s="3" customFormat="1" ht="6" customHeight="1" x14ac:dyDescent="0.25">
      <c r="B3869" s="136"/>
      <c r="C3869" s="127"/>
      <c r="D3869" s="127"/>
      <c r="E3869" s="127"/>
      <c r="F3869" s="127"/>
      <c r="G3869" s="127"/>
      <c r="H3869" s="127"/>
      <c r="I3869" s="127"/>
      <c r="J3869" s="127"/>
      <c r="K3869" s="127"/>
      <c r="L3869" s="127"/>
      <c r="M3869" s="137"/>
    </row>
    <row r="3870" spans="2:15" s="3" customFormat="1" ht="13.2" x14ac:dyDescent="0.25">
      <c r="B3870" s="129" t="str">
        <f>IF('1. INTRO'!I$2="English","Full cost","Full kostnad")</f>
        <v>Full cost</v>
      </c>
      <c r="C3870" s="127"/>
      <c r="D3870" s="127"/>
      <c r="E3870" s="127"/>
      <c r="F3870" s="127"/>
      <c r="G3870" s="127"/>
      <c r="H3870" s="127"/>
      <c r="I3870" s="127"/>
      <c r="J3870" s="127"/>
      <c r="K3870" s="127"/>
      <c r="L3870" s="127"/>
      <c r="M3870" s="137"/>
    </row>
    <row r="3871" spans="2:15" s="3" customFormat="1" ht="13.2" x14ac:dyDescent="0.25">
      <c r="B3871" s="113" t="str">
        <f>IF('1. INTRO'!I$2="English","Salary including social costs (LKP)","Lön inklusive LKP")</f>
        <v>Salary including social costs (LKP)</v>
      </c>
      <c r="C3871" s="184">
        <f>C2311+C2363+C2415+C2467+C2519+C2571+C2623+C2675+C2727+C2779+C2831+C2883+C2935+C2987+C3039+C3091+C3143+C3195+C3247+C3299+C3351+C3403+C3455+C3507+C3559+C3611+C3663+C3715+C3767+C3819</f>
        <v>0</v>
      </c>
      <c r="D3871" s="138">
        <f t="shared" ref="D3871:L3871" si="929">D2311+D2363+D2415+D2467+D2519+D2571+D2623+D2675+D2727+D2779+D2831+D2883+D2935+D2987+D3039+D3091+D3143+D3195+D3247+D3299+D3351+D3403+D3455+D3507+D3559+D3611+D3663+D3715+D3767+D3819</f>
        <v>0</v>
      </c>
      <c r="E3871" s="185">
        <f t="shared" si="929"/>
        <v>0</v>
      </c>
      <c r="F3871" s="138">
        <f t="shared" si="929"/>
        <v>0</v>
      </c>
      <c r="G3871" s="185">
        <f t="shared" si="929"/>
        <v>0</v>
      </c>
      <c r="H3871" s="138">
        <f t="shared" si="929"/>
        <v>0</v>
      </c>
      <c r="I3871" s="185">
        <f t="shared" si="929"/>
        <v>0</v>
      </c>
      <c r="J3871" s="138">
        <f t="shared" si="929"/>
        <v>0</v>
      </c>
      <c r="K3871" s="185">
        <f t="shared" si="929"/>
        <v>0</v>
      </c>
      <c r="L3871" s="138">
        <f t="shared" si="929"/>
        <v>0</v>
      </c>
      <c r="M3871" s="145">
        <f>SUM(C3871:L3871)</f>
        <v>0</v>
      </c>
    </row>
    <row r="3872" spans="2:15" s="3" customFormat="1" ht="13.2" x14ac:dyDescent="0.25">
      <c r="B3872" s="80" t="str">
        <f>IF('1. INTRO'!I$2="English","Operating","Drift")</f>
        <v>Operating</v>
      </c>
      <c r="C3872" s="189">
        <f t="shared" ref="C3872:L3872" si="930">C2312+C2364+C2416+C2468+C2520+C2572+C2624+C2676+C2728+C2780+C2832+C2884+C2936+C2988+C3040+C3092+C3144+C3196+C3248+C3300+C3352+C3404+C3456+C3508+C3560+C3612+C3664+C3716+C3768+C3820</f>
        <v>0</v>
      </c>
      <c r="D3872" s="190">
        <f t="shared" si="930"/>
        <v>0</v>
      </c>
      <c r="E3872" s="191">
        <f t="shared" si="930"/>
        <v>0</v>
      </c>
      <c r="F3872" s="190">
        <f t="shared" si="930"/>
        <v>0</v>
      </c>
      <c r="G3872" s="191">
        <f t="shared" si="930"/>
        <v>0</v>
      </c>
      <c r="H3872" s="190">
        <f t="shared" si="930"/>
        <v>0</v>
      </c>
      <c r="I3872" s="191">
        <f t="shared" si="930"/>
        <v>0</v>
      </c>
      <c r="J3872" s="190">
        <f t="shared" si="930"/>
        <v>0</v>
      </c>
      <c r="K3872" s="191">
        <f t="shared" si="930"/>
        <v>0</v>
      </c>
      <c r="L3872" s="190">
        <f t="shared" si="930"/>
        <v>0</v>
      </c>
      <c r="M3872" s="146">
        <f>SUM(C3872:L3872)</f>
        <v>0</v>
      </c>
    </row>
    <row r="3873" spans="2:15" s="3" customFormat="1" ht="13.2" x14ac:dyDescent="0.25">
      <c r="B3873" s="118" t="str">
        <f>IF('1. INTRO'!I$2="English","Equipment","Utrustning")</f>
        <v>Equipment</v>
      </c>
      <c r="C3873" s="186">
        <f t="shared" ref="C3873:L3873" si="931">C2313+C2365+C2417+C2469+C2521+C2573+C2625+C2677+C2729+C2781+C2833+C2885+C2937+C2989+C3041+C3093+C3145+C3197+C3249+C3301+C3353+C3405+C3457+C3509+C3561+C3613+C3665+C3717+C3769+C3821</f>
        <v>0</v>
      </c>
      <c r="D3873" s="140">
        <f t="shared" si="931"/>
        <v>0</v>
      </c>
      <c r="E3873" s="183">
        <f t="shared" si="931"/>
        <v>0</v>
      </c>
      <c r="F3873" s="140">
        <f t="shared" si="931"/>
        <v>0</v>
      </c>
      <c r="G3873" s="183">
        <f t="shared" si="931"/>
        <v>0</v>
      </c>
      <c r="H3873" s="140">
        <f t="shared" si="931"/>
        <v>0</v>
      </c>
      <c r="I3873" s="183">
        <f t="shared" si="931"/>
        <v>0</v>
      </c>
      <c r="J3873" s="140">
        <f t="shared" si="931"/>
        <v>0</v>
      </c>
      <c r="K3873" s="183">
        <f t="shared" si="931"/>
        <v>0</v>
      </c>
      <c r="L3873" s="140">
        <f t="shared" si="931"/>
        <v>0</v>
      </c>
      <c r="M3873" s="147">
        <f>SUM(C3873:L3873)</f>
        <v>0</v>
      </c>
    </row>
    <row r="3874" spans="2:15" s="3" customFormat="1" ht="13.2" x14ac:dyDescent="0.25">
      <c r="B3874" s="80" t="str">
        <f>IF('1. INTRO'!I$2="English","Facility","Lokal")</f>
        <v>Facility</v>
      </c>
      <c r="C3874" s="189">
        <f t="shared" ref="C3874:L3874" si="932">C2314+C2366+C2418+C2470+C2522+C2574+C2626+C2678+C2730+C2782+C2834+C2886+C2938+C2990+C3042+C3094+C3146+C3198+C3250+C3302+C3354+C3406+C3458+C3510+C3562+C3614+C3666+C3718+C3770+C3822</f>
        <v>0</v>
      </c>
      <c r="D3874" s="190">
        <f t="shared" si="932"/>
        <v>0</v>
      </c>
      <c r="E3874" s="191">
        <f t="shared" si="932"/>
        <v>0</v>
      </c>
      <c r="F3874" s="190">
        <f t="shared" si="932"/>
        <v>0</v>
      </c>
      <c r="G3874" s="191">
        <f t="shared" si="932"/>
        <v>0</v>
      </c>
      <c r="H3874" s="190">
        <f t="shared" si="932"/>
        <v>0</v>
      </c>
      <c r="I3874" s="191">
        <f t="shared" si="932"/>
        <v>0</v>
      </c>
      <c r="J3874" s="190">
        <f t="shared" si="932"/>
        <v>0</v>
      </c>
      <c r="K3874" s="191">
        <f t="shared" si="932"/>
        <v>0</v>
      </c>
      <c r="L3874" s="190">
        <f t="shared" si="932"/>
        <v>0</v>
      </c>
      <c r="M3874" s="146">
        <f>SUM(C3874:L3874)</f>
        <v>0</v>
      </c>
    </row>
    <row r="3875" spans="2:15" s="3" customFormat="1" ht="13.2" x14ac:dyDescent="0.25">
      <c r="B3875" s="601" t="str">
        <f>IF('1. INTRO'!I$2="English","Indirect","Indirekt")</f>
        <v>Indirect</v>
      </c>
      <c r="C3875" s="187">
        <f t="shared" ref="C3875:L3875" si="933">C2315+C2367+C2419+C2471+C2523+C2575+C2627+C2679+C2731+C2783+C2835+C2887+C2939+C2991+C3043+C3095+C3147+C3199+C3251+C3303+C3355+C3407+C3459+C3511+C3563+C3615+C3667+C3719+C3771+C3823</f>
        <v>0</v>
      </c>
      <c r="D3875" s="141">
        <f t="shared" si="933"/>
        <v>0</v>
      </c>
      <c r="E3875" s="188">
        <f t="shared" si="933"/>
        <v>0</v>
      </c>
      <c r="F3875" s="141">
        <f t="shared" si="933"/>
        <v>0</v>
      </c>
      <c r="G3875" s="188">
        <f t="shared" si="933"/>
        <v>0</v>
      </c>
      <c r="H3875" s="141">
        <f t="shared" si="933"/>
        <v>0</v>
      </c>
      <c r="I3875" s="188">
        <f t="shared" si="933"/>
        <v>0</v>
      </c>
      <c r="J3875" s="141">
        <f t="shared" si="933"/>
        <v>0</v>
      </c>
      <c r="K3875" s="188">
        <f t="shared" si="933"/>
        <v>0</v>
      </c>
      <c r="L3875" s="141">
        <f t="shared" si="933"/>
        <v>0</v>
      </c>
      <c r="M3875" s="148">
        <f>SUM(C3875:L3875)</f>
        <v>0</v>
      </c>
    </row>
    <row r="3876" spans="2:15" s="3" customFormat="1" ht="13.2" x14ac:dyDescent="0.25">
      <c r="B3876" s="124" t="s">
        <v>113</v>
      </c>
      <c r="C3876" s="104">
        <f>SUM(C3871:C3875)</f>
        <v>0</v>
      </c>
      <c r="D3876" s="104">
        <f t="shared" ref="D3876:M3876" si="934">SUM(D3871:D3875)</f>
        <v>0</v>
      </c>
      <c r="E3876" s="104">
        <f t="shared" si="934"/>
        <v>0</v>
      </c>
      <c r="F3876" s="104">
        <f t="shared" si="934"/>
        <v>0</v>
      </c>
      <c r="G3876" s="104">
        <f t="shared" si="934"/>
        <v>0</v>
      </c>
      <c r="H3876" s="104">
        <f t="shared" si="934"/>
        <v>0</v>
      </c>
      <c r="I3876" s="104">
        <f t="shared" si="934"/>
        <v>0</v>
      </c>
      <c r="J3876" s="104">
        <f t="shared" si="934"/>
        <v>0</v>
      </c>
      <c r="K3876" s="104">
        <f t="shared" si="934"/>
        <v>0</v>
      </c>
      <c r="L3876" s="104">
        <f t="shared" si="934"/>
        <v>0</v>
      </c>
      <c r="M3876" s="142">
        <f t="shared" si="934"/>
        <v>0</v>
      </c>
    </row>
    <row r="3878" spans="2:15" s="3" customFormat="1" ht="12.75" customHeight="1" x14ac:dyDescent="0.25">
      <c r="B3878" s="313" t="str">
        <f>'3. PARTNER'!C$4</f>
        <v xml:space="preserve">Project: </v>
      </c>
      <c r="C3878" s="1062" t="str">
        <f>'3. PARTNER'!D$4</f>
        <v/>
      </c>
      <c r="D3878" s="1001"/>
      <c r="E3878" s="1001"/>
      <c r="F3878" s="1001"/>
      <c r="G3878" s="1001"/>
      <c r="H3878" s="1001"/>
      <c r="I3878" s="1001"/>
      <c r="J3878" s="1001"/>
      <c r="K3878" s="1001"/>
      <c r="L3878" s="1001"/>
      <c r="M3878" s="1001"/>
    </row>
    <row r="3879" spans="2:15" s="3" customFormat="1" ht="13.2" x14ac:dyDescent="0.25">
      <c r="B3879" s="313" t="str">
        <f>'3. PARTNER'!C$5</f>
        <v xml:space="preserve">Calculation for: </v>
      </c>
      <c r="C3879" s="1062" t="str">
        <f>'3. PARTNER'!D$5</f>
        <v>APPLICATION</v>
      </c>
      <c r="D3879" s="1001"/>
      <c r="E3879" s="268"/>
      <c r="F3879" s="268"/>
      <c r="G3879" s="268"/>
      <c r="H3879" s="268"/>
      <c r="I3879" s="268"/>
      <c r="J3879" s="268"/>
      <c r="K3879" s="268"/>
      <c r="L3879" s="268"/>
      <c r="M3879" s="268"/>
    </row>
    <row r="3880" spans="2:15" s="3" customFormat="1" ht="13.2" x14ac:dyDescent="0.25">
      <c r="B3880" s="35" t="str">
        <f>'3. PARTNER'!C$6</f>
        <v xml:space="preserve">Project leader: </v>
      </c>
      <c r="C3880" s="1062" t="str">
        <f>'3. PARTNER'!D$6</f>
        <v/>
      </c>
      <c r="D3880" s="1001"/>
      <c r="E3880" s="1001"/>
      <c r="F3880" s="1001"/>
      <c r="G3880" s="1001"/>
      <c r="H3880" s="1001"/>
      <c r="I3880" s="1001"/>
      <c r="J3880" s="1001"/>
      <c r="K3880" s="1001"/>
      <c r="L3880" s="1001"/>
      <c r="M3880" s="1001"/>
    </row>
    <row r="3881" spans="2:15" s="3" customFormat="1" ht="13.2" x14ac:dyDescent="0.25">
      <c r="B3881" s="313" t="str">
        <f>'5. PERSON'!B$7</f>
        <v xml:space="preserve">Amounts in: </v>
      </c>
      <c r="C3881" s="655" t="str">
        <f>'5. PERSON'!C$7</f>
        <v>SEK</v>
      </c>
      <c r="D3881" s="268"/>
      <c r="E3881" s="268"/>
      <c r="F3881" s="268"/>
      <c r="G3881" s="234"/>
      <c r="H3881" s="234"/>
      <c r="I3881" s="270"/>
      <c r="J3881" s="270"/>
      <c r="K3881" s="270"/>
      <c r="L3881" s="270"/>
      <c r="M3881" s="270"/>
    </row>
    <row r="3882" spans="2:15" s="3" customFormat="1" ht="13.2" x14ac:dyDescent="0.25">
      <c r="B3882" s="313"/>
      <c r="C3882" s="1053" t="str">
        <f>'3. PARTNER'!D$7</f>
        <v>Other basic data about the project is in sheet 2.</v>
      </c>
      <c r="D3882" s="1001"/>
      <c r="E3882" s="1001"/>
      <c r="F3882" s="1001"/>
      <c r="G3882" s="234"/>
      <c r="H3882" s="234"/>
      <c r="I3882" s="270"/>
      <c r="J3882" s="270"/>
      <c r="K3882" s="270"/>
      <c r="L3882" s="251" t="s">
        <v>4</v>
      </c>
      <c r="M3882" s="270"/>
    </row>
    <row r="3883" spans="2:15" ht="12.75" customHeight="1" x14ac:dyDescent="0.2">
      <c r="L3883" s="252" t="str">
        <f>IF('1. INTRO'!I$2="English","months","månader")</f>
        <v>months</v>
      </c>
    </row>
    <row r="3884" spans="2:15" s="3" customFormat="1" ht="13.8" x14ac:dyDescent="0.25">
      <c r="B3884" s="157" t="str">
        <f>IF('1. INTRO'!I$2="English","Project costs","Projektkostnader")</f>
        <v>Project costs</v>
      </c>
      <c r="C3884" s="1259" t="str">
        <f>B90</f>
        <v xml:space="preserve">Project total (see sheet 9) </v>
      </c>
      <c r="D3884" s="1004"/>
      <c r="E3884" s="1004"/>
      <c r="G3884" s="37"/>
      <c r="H3884" s="37"/>
      <c r="I3884" s="37"/>
      <c r="J3884" s="37"/>
      <c r="K3884" s="37"/>
      <c r="L3884" s="642">
        <f>L3850+L2254</f>
        <v>0</v>
      </c>
      <c r="M3884" s="680" t="s">
        <v>330</v>
      </c>
    </row>
    <row r="3885" spans="2:15" s="3" customFormat="1" ht="6" customHeight="1" x14ac:dyDescent="0.25">
      <c r="B3885" s="57"/>
      <c r="C3885" s="37"/>
      <c r="D3885" s="37"/>
      <c r="E3885" s="37"/>
      <c r="F3885" s="37"/>
      <c r="G3885" s="37"/>
      <c r="H3885" s="37"/>
      <c r="I3885" s="37"/>
      <c r="J3885" s="37"/>
      <c r="K3885" s="37"/>
      <c r="L3885" s="37"/>
      <c r="M3885" s="37"/>
    </row>
    <row r="3886" spans="2:15" s="3" customFormat="1" ht="13.2" x14ac:dyDescent="0.25">
      <c r="B3886" s="110" t="str">
        <f>IF('1. INTRO'!I$2="English","Costs to be covered by funding body","Kostnader att täckas av finansiär")</f>
        <v>Costs to be covered by funding body</v>
      </c>
      <c r="C3886" s="111">
        <f>'5. PERSON'!G$15</f>
        <v>1900</v>
      </c>
      <c r="D3886" s="111" t="str">
        <f>'5. PERSON'!H$15</f>
        <v/>
      </c>
      <c r="E3886" s="111" t="str">
        <f>'5. PERSON'!I$15</f>
        <v/>
      </c>
      <c r="F3886" s="111" t="str">
        <f>'5. PERSON'!J$15</f>
        <v/>
      </c>
      <c r="G3886" s="111" t="str">
        <f>'5. PERSON'!K$15</f>
        <v/>
      </c>
      <c r="H3886" s="111" t="str">
        <f>'5. PERSON'!L$15</f>
        <v/>
      </c>
      <c r="I3886" s="111" t="str">
        <f>'5. PERSON'!M$15</f>
        <v/>
      </c>
      <c r="J3886" s="111" t="str">
        <f>'5. PERSON'!N$15</f>
        <v/>
      </c>
      <c r="K3886" s="111" t="str">
        <f>'5. PERSON'!O$15</f>
        <v/>
      </c>
      <c r="L3886" s="111" t="str">
        <f>'5. PERSON'!P$15</f>
        <v/>
      </c>
      <c r="M3886" s="112" t="s">
        <v>2</v>
      </c>
    </row>
    <row r="3887" spans="2:15" s="3" customFormat="1" ht="12.75" customHeight="1" x14ac:dyDescent="0.25">
      <c r="B3887" s="113" t="str">
        <f>IF('1. INTRO'!I$2="English","Salary including social costs (LKP)","Lön inklusive LKP")</f>
        <v>Salary including social costs (LKP)</v>
      </c>
      <c r="C3887" s="165">
        <f>C2257+C3853</f>
        <v>0</v>
      </c>
      <c r="D3887" s="114">
        <f t="shared" ref="D3887:L3887" si="935">D2257+D3853</f>
        <v>0</v>
      </c>
      <c r="E3887" s="163">
        <f t="shared" si="935"/>
        <v>0</v>
      </c>
      <c r="F3887" s="114">
        <f t="shared" si="935"/>
        <v>0</v>
      </c>
      <c r="G3887" s="163">
        <f t="shared" si="935"/>
        <v>0</v>
      </c>
      <c r="H3887" s="114">
        <f t="shared" si="935"/>
        <v>0</v>
      </c>
      <c r="I3887" s="163">
        <f t="shared" si="935"/>
        <v>0</v>
      </c>
      <c r="J3887" s="114">
        <f t="shared" si="935"/>
        <v>0</v>
      </c>
      <c r="K3887" s="163">
        <f t="shared" si="935"/>
        <v>0</v>
      </c>
      <c r="L3887" s="114">
        <f t="shared" si="935"/>
        <v>0</v>
      </c>
      <c r="M3887" s="145">
        <f t="shared" ref="M3887:M3892" si="936">SUM(C3887:L3887)</f>
        <v>0</v>
      </c>
      <c r="O3887" s="4"/>
    </row>
    <row r="3888" spans="2:15" s="3" customFormat="1" ht="12.75" customHeight="1" x14ac:dyDescent="0.25">
      <c r="B3888" s="80" t="str">
        <f>IF('1. INTRO'!I$2="English","Operating","Drift")</f>
        <v>Operating</v>
      </c>
      <c r="C3888" s="171">
        <f t="shared" ref="C3888:L3888" si="937">C2258+C3854</f>
        <v>0</v>
      </c>
      <c r="D3888" s="116">
        <f t="shared" si="937"/>
        <v>0</v>
      </c>
      <c r="E3888" s="109">
        <f t="shared" si="937"/>
        <v>0</v>
      </c>
      <c r="F3888" s="116">
        <f t="shared" si="937"/>
        <v>0</v>
      </c>
      <c r="G3888" s="109">
        <f t="shared" si="937"/>
        <v>0</v>
      </c>
      <c r="H3888" s="116">
        <f t="shared" si="937"/>
        <v>0</v>
      </c>
      <c r="I3888" s="109">
        <f t="shared" si="937"/>
        <v>0</v>
      </c>
      <c r="J3888" s="116">
        <f t="shared" si="937"/>
        <v>0</v>
      </c>
      <c r="K3888" s="109">
        <f t="shared" si="937"/>
        <v>0</v>
      </c>
      <c r="L3888" s="116">
        <f t="shared" si="937"/>
        <v>0</v>
      </c>
      <c r="M3888" s="146">
        <f t="shared" si="936"/>
        <v>0</v>
      </c>
    </row>
    <row r="3889" spans="2:15" s="3" customFormat="1" ht="13.2" x14ac:dyDescent="0.25">
      <c r="B3889" s="118" t="str">
        <f>IF('1. INTRO'!I$2="English","Equipment","Utrustning")</f>
        <v>Equipment</v>
      </c>
      <c r="C3889" s="166">
        <f t="shared" ref="C3889:L3889" si="938">C2259+C3855</f>
        <v>0</v>
      </c>
      <c r="D3889" s="119">
        <f t="shared" si="938"/>
        <v>0</v>
      </c>
      <c r="E3889" s="162">
        <f t="shared" si="938"/>
        <v>0</v>
      </c>
      <c r="F3889" s="119">
        <f t="shared" si="938"/>
        <v>0</v>
      </c>
      <c r="G3889" s="162">
        <f t="shared" si="938"/>
        <v>0</v>
      </c>
      <c r="H3889" s="119">
        <f t="shared" si="938"/>
        <v>0</v>
      </c>
      <c r="I3889" s="162">
        <f t="shared" si="938"/>
        <v>0</v>
      </c>
      <c r="J3889" s="119">
        <f t="shared" si="938"/>
        <v>0</v>
      </c>
      <c r="K3889" s="162">
        <f t="shared" si="938"/>
        <v>0</v>
      </c>
      <c r="L3889" s="119">
        <f t="shared" si="938"/>
        <v>0</v>
      </c>
      <c r="M3889" s="147">
        <f t="shared" si="936"/>
        <v>0</v>
      </c>
    </row>
    <row r="3890" spans="2:15" s="3" customFormat="1" ht="13.2" x14ac:dyDescent="0.25">
      <c r="B3890" s="121" t="str">
        <f>IF('1. INTRO'!I$2="English",(IF('2. START'!C$11="NO","Facility accepted as direct cost by funding body","Facility")),IF('2. START'!C$11="NO","Lokal accepterad som direkt kostnad av finansiär","Lokal"))</f>
        <v>Facility</v>
      </c>
      <c r="C3890" s="171">
        <f t="shared" ref="C3890:L3890" si="939">C2260+C3856</f>
        <v>0</v>
      </c>
      <c r="D3890" s="116">
        <f t="shared" si="939"/>
        <v>0</v>
      </c>
      <c r="E3890" s="109">
        <f t="shared" si="939"/>
        <v>0</v>
      </c>
      <c r="F3890" s="116">
        <f t="shared" si="939"/>
        <v>0</v>
      </c>
      <c r="G3890" s="109">
        <f t="shared" si="939"/>
        <v>0</v>
      </c>
      <c r="H3890" s="116">
        <f t="shared" si="939"/>
        <v>0</v>
      </c>
      <c r="I3890" s="109">
        <f t="shared" si="939"/>
        <v>0</v>
      </c>
      <c r="J3890" s="116">
        <f t="shared" si="939"/>
        <v>0</v>
      </c>
      <c r="K3890" s="109">
        <f t="shared" si="939"/>
        <v>0</v>
      </c>
      <c r="L3890" s="116">
        <f t="shared" si="939"/>
        <v>0</v>
      </c>
      <c r="M3890" s="146">
        <f t="shared" si="936"/>
        <v>0</v>
      </c>
    </row>
    <row r="3891" spans="2:15" s="3" customFormat="1" ht="13.2" x14ac:dyDescent="0.25">
      <c r="B3891" s="122" t="str">
        <f>IF('1. INTRO'!I$2="English",(IF('2. START'!C$11="NO","Indirect and facility charge accepted as OH by funding body","Indirect")),IF('2. START'!C$11="NO","Indirekt och lokalpåslag accepterade som OH av finansiär","Indirekt"))</f>
        <v>Indirect</v>
      </c>
      <c r="C3891" s="170">
        <f t="shared" ref="C3891:L3891" si="940">C2261+C3857</f>
        <v>0</v>
      </c>
      <c r="D3891" s="107">
        <f t="shared" si="940"/>
        <v>0</v>
      </c>
      <c r="E3891" s="164">
        <f t="shared" si="940"/>
        <v>0</v>
      </c>
      <c r="F3891" s="107">
        <f t="shared" si="940"/>
        <v>0</v>
      </c>
      <c r="G3891" s="164">
        <f t="shared" si="940"/>
        <v>0</v>
      </c>
      <c r="H3891" s="107">
        <f t="shared" si="940"/>
        <v>0</v>
      </c>
      <c r="I3891" s="164">
        <f t="shared" si="940"/>
        <v>0</v>
      </c>
      <c r="J3891" s="107">
        <f t="shared" si="940"/>
        <v>0</v>
      </c>
      <c r="K3891" s="164">
        <f t="shared" si="940"/>
        <v>0</v>
      </c>
      <c r="L3891" s="107">
        <f t="shared" si="940"/>
        <v>0</v>
      </c>
      <c r="M3891" s="148">
        <f t="shared" si="936"/>
        <v>0</v>
      </c>
    </row>
    <row r="3892" spans="2:15" s="3" customFormat="1" ht="13.2" x14ac:dyDescent="0.25">
      <c r="B3892" s="124" t="s">
        <v>113</v>
      </c>
      <c r="C3892" s="161">
        <f>SUM(C3887:C3891)</f>
        <v>0</v>
      </c>
      <c r="D3892" s="161">
        <f t="shared" ref="D3892:L3892" si="941">SUM(D3887:D3891)</f>
        <v>0</v>
      </c>
      <c r="E3892" s="161">
        <f t="shared" si="941"/>
        <v>0</v>
      </c>
      <c r="F3892" s="161">
        <f t="shared" si="941"/>
        <v>0</v>
      </c>
      <c r="G3892" s="161">
        <f t="shared" si="941"/>
        <v>0</v>
      </c>
      <c r="H3892" s="161">
        <f t="shared" si="941"/>
        <v>0</v>
      </c>
      <c r="I3892" s="161">
        <f t="shared" si="941"/>
        <v>0</v>
      </c>
      <c r="J3892" s="161">
        <f t="shared" si="941"/>
        <v>0</v>
      </c>
      <c r="K3892" s="161">
        <f t="shared" si="941"/>
        <v>0</v>
      </c>
      <c r="L3892" s="161">
        <f t="shared" si="941"/>
        <v>0</v>
      </c>
      <c r="M3892" s="125">
        <f t="shared" si="936"/>
        <v>0</v>
      </c>
    </row>
    <row r="3893" spans="2:15" s="3" customFormat="1" ht="6" customHeight="1" x14ac:dyDescent="0.25">
      <c r="B3893" s="126"/>
      <c r="C3893" s="127"/>
      <c r="D3893" s="127"/>
      <c r="E3893" s="127"/>
      <c r="F3893" s="127"/>
      <c r="G3893" s="127"/>
      <c r="H3893" s="127"/>
      <c r="I3893" s="127"/>
      <c r="J3893" s="127"/>
      <c r="K3893" s="127"/>
      <c r="L3893" s="127"/>
      <c r="M3893" s="128"/>
    </row>
    <row r="3894" spans="2:15" s="3" customFormat="1" ht="13.2" x14ac:dyDescent="0.25">
      <c r="B3894" s="129" t="str">
        <f>IF('1. INTRO'!I$2="English","Costs to be co-funded","Kostnader att medfinansiera")</f>
        <v>Costs to be co-funded</v>
      </c>
      <c r="C3894" s="194"/>
      <c r="D3894" s="194"/>
      <c r="E3894" s="194"/>
      <c r="F3894" s="194"/>
      <c r="G3894" s="194"/>
      <c r="H3894" s="194"/>
      <c r="I3894" s="86"/>
      <c r="J3894" s="86"/>
      <c r="K3894" s="86"/>
      <c r="L3894" s="86"/>
      <c r="M3894" s="130"/>
    </row>
    <row r="3895" spans="2:15" s="3" customFormat="1" ht="13.2" x14ac:dyDescent="0.25">
      <c r="B3895" s="159" t="str">
        <f>IF('1. INTRO'!I$2="English",(IF('2. START'!C$11="NO","Indirect and facility charge not accepted as OH by funding body","")),IF('2. START'!C$11="NO","Indirekt och lokalpåslag inte accepterade som OH av finansiär",""))</f>
        <v/>
      </c>
      <c r="C3895" s="173">
        <f>C2265+C3861</f>
        <v>0</v>
      </c>
      <c r="D3895" s="178">
        <f t="shared" ref="D3895:L3895" si="942">D2265+D3861</f>
        <v>0</v>
      </c>
      <c r="E3895" s="174">
        <f t="shared" si="942"/>
        <v>0</v>
      </c>
      <c r="F3895" s="178">
        <f t="shared" si="942"/>
        <v>0</v>
      </c>
      <c r="G3895" s="174">
        <f t="shared" si="942"/>
        <v>0</v>
      </c>
      <c r="H3895" s="178">
        <f t="shared" si="942"/>
        <v>0</v>
      </c>
      <c r="I3895" s="174">
        <f t="shared" si="942"/>
        <v>0</v>
      </c>
      <c r="J3895" s="178">
        <f t="shared" si="942"/>
        <v>0</v>
      </c>
      <c r="K3895" s="174">
        <f t="shared" si="942"/>
        <v>0</v>
      </c>
      <c r="L3895" s="178">
        <f t="shared" si="942"/>
        <v>0</v>
      </c>
      <c r="M3895" s="145">
        <f t="shared" ref="M3895:M3901" si="943">SUM(C3895:L3895)</f>
        <v>0</v>
      </c>
      <c r="N3895" s="4"/>
    </row>
    <row r="3896" spans="2:15" s="3" customFormat="1" ht="12.75" customHeight="1" x14ac:dyDescent="0.25">
      <c r="B3896" s="132" t="str">
        <f>IF('1. INTRO'!I$2="English",(IF('2. START'!C$14&gt;0,"Social costs (LKP) not accepted by funding body","")),IF('2. START'!C$14&gt;0,"LKP som inte accepteras av finansiär",""))</f>
        <v/>
      </c>
      <c r="C3896" s="192">
        <f t="shared" ref="C3896:L3896" si="944">C2266+C3862</f>
        <v>0</v>
      </c>
      <c r="D3896" s="181">
        <f t="shared" si="944"/>
        <v>0</v>
      </c>
      <c r="E3896" s="182">
        <f t="shared" si="944"/>
        <v>0</v>
      </c>
      <c r="F3896" s="181">
        <f t="shared" si="944"/>
        <v>0</v>
      </c>
      <c r="G3896" s="182">
        <f t="shared" si="944"/>
        <v>0</v>
      </c>
      <c r="H3896" s="181">
        <f t="shared" si="944"/>
        <v>0</v>
      </c>
      <c r="I3896" s="182">
        <f t="shared" si="944"/>
        <v>0</v>
      </c>
      <c r="J3896" s="181">
        <f t="shared" si="944"/>
        <v>0</v>
      </c>
      <c r="K3896" s="182">
        <f t="shared" si="944"/>
        <v>0</v>
      </c>
      <c r="L3896" s="181">
        <f t="shared" si="944"/>
        <v>0</v>
      </c>
      <c r="M3896" s="146">
        <f t="shared" si="943"/>
        <v>0</v>
      </c>
      <c r="N3896" s="4"/>
    </row>
    <row r="3897" spans="2:15" s="3" customFormat="1" ht="12.75" customHeight="1" x14ac:dyDescent="0.25">
      <c r="B3897" s="118" t="str">
        <f>IF('1. INTRO'!I$2="English",(IF('5. PERSON'!BP$193&gt;0,"Salary including social costs (LKP)","")),IF('5. PERSON'!BP$193&gt;0,"Lön inklusive LKP",""))</f>
        <v/>
      </c>
      <c r="C3897" s="175">
        <f t="shared" ref="C3897:L3897" si="945">C2267+C3863</f>
        <v>0</v>
      </c>
      <c r="D3897" s="179">
        <f t="shared" si="945"/>
        <v>0</v>
      </c>
      <c r="E3897" s="172">
        <f t="shared" si="945"/>
        <v>0</v>
      </c>
      <c r="F3897" s="179">
        <f t="shared" si="945"/>
        <v>0</v>
      </c>
      <c r="G3897" s="172">
        <f t="shared" si="945"/>
        <v>0</v>
      </c>
      <c r="H3897" s="179">
        <f t="shared" si="945"/>
        <v>0</v>
      </c>
      <c r="I3897" s="172">
        <f t="shared" si="945"/>
        <v>0</v>
      </c>
      <c r="J3897" s="179">
        <f t="shared" si="945"/>
        <v>0</v>
      </c>
      <c r="K3897" s="172">
        <f t="shared" si="945"/>
        <v>0</v>
      </c>
      <c r="L3897" s="179">
        <f t="shared" si="945"/>
        <v>0</v>
      </c>
      <c r="M3897" s="147">
        <f t="shared" si="943"/>
        <v>0</v>
      </c>
      <c r="N3897" s="4"/>
    </row>
    <row r="3898" spans="2:15" s="3" customFormat="1" ht="13.2" x14ac:dyDescent="0.25">
      <c r="B3898" s="80" t="str">
        <f>IF('1. INTRO'!I$2="English",(IF('6. OPERATION'!AS$150&gt;0,"Operating","")),IF('6. OPERATION'!AS$150&gt;0,"Drift",""))</f>
        <v/>
      </c>
      <c r="C3898" s="192">
        <f t="shared" ref="C3898:L3898" si="946">C2268+C3864</f>
        <v>0</v>
      </c>
      <c r="D3898" s="181">
        <f t="shared" si="946"/>
        <v>0</v>
      </c>
      <c r="E3898" s="182">
        <f t="shared" si="946"/>
        <v>0</v>
      </c>
      <c r="F3898" s="181">
        <f t="shared" si="946"/>
        <v>0</v>
      </c>
      <c r="G3898" s="182">
        <f t="shared" si="946"/>
        <v>0</v>
      </c>
      <c r="H3898" s="181">
        <f t="shared" si="946"/>
        <v>0</v>
      </c>
      <c r="I3898" s="182">
        <f t="shared" si="946"/>
        <v>0</v>
      </c>
      <c r="J3898" s="181">
        <f t="shared" si="946"/>
        <v>0</v>
      </c>
      <c r="K3898" s="182">
        <f t="shared" si="946"/>
        <v>0</v>
      </c>
      <c r="L3898" s="181">
        <f t="shared" si="946"/>
        <v>0</v>
      </c>
      <c r="M3898" s="146">
        <f t="shared" si="943"/>
        <v>0</v>
      </c>
      <c r="N3898" s="4"/>
    </row>
    <row r="3899" spans="2:15" s="3" customFormat="1" ht="13.2" x14ac:dyDescent="0.25">
      <c r="B3899" s="118" t="str">
        <f>IF('1. INTRO'!I$2="English",(IF('7. INVEST'!AS$50&gt;0,"Equipment","")),IF('7. INVEST'!AS$50&gt;0,"Utrustning",""))</f>
        <v/>
      </c>
      <c r="C3899" s="175">
        <f t="shared" ref="C3899:L3899" si="947">C2269+C3865</f>
        <v>0</v>
      </c>
      <c r="D3899" s="179">
        <f t="shared" si="947"/>
        <v>0</v>
      </c>
      <c r="E3899" s="172">
        <f t="shared" si="947"/>
        <v>0</v>
      </c>
      <c r="F3899" s="179">
        <f t="shared" si="947"/>
        <v>0</v>
      </c>
      <c r="G3899" s="172">
        <f t="shared" si="947"/>
        <v>0</v>
      </c>
      <c r="H3899" s="179">
        <f t="shared" si="947"/>
        <v>0</v>
      </c>
      <c r="I3899" s="172">
        <f t="shared" si="947"/>
        <v>0</v>
      </c>
      <c r="J3899" s="179">
        <f t="shared" si="947"/>
        <v>0</v>
      </c>
      <c r="K3899" s="172">
        <f t="shared" si="947"/>
        <v>0</v>
      </c>
      <c r="L3899" s="179">
        <f t="shared" si="947"/>
        <v>0</v>
      </c>
      <c r="M3899" s="147">
        <f t="shared" si="943"/>
        <v>0</v>
      </c>
      <c r="N3899" s="4"/>
    </row>
    <row r="3900" spans="2:15" s="3" customFormat="1" ht="13.2" x14ac:dyDescent="0.25">
      <c r="B3900" s="121" t="str">
        <f>IF('1. INTRO'!I$2="English",(IF('8. FACILIT'!AP$51&gt;0,"Facility","")),IF('8. FACILIT'!AP$51&gt;0,"Lokal",""))</f>
        <v/>
      </c>
      <c r="C3900" s="192">
        <f t="shared" ref="C3900:L3900" si="948">C2270+C3866</f>
        <v>0</v>
      </c>
      <c r="D3900" s="181">
        <f t="shared" si="948"/>
        <v>0</v>
      </c>
      <c r="E3900" s="182">
        <f t="shared" si="948"/>
        <v>0</v>
      </c>
      <c r="F3900" s="181">
        <f t="shared" si="948"/>
        <v>0</v>
      </c>
      <c r="G3900" s="182">
        <f t="shared" si="948"/>
        <v>0</v>
      </c>
      <c r="H3900" s="181">
        <f t="shared" si="948"/>
        <v>0</v>
      </c>
      <c r="I3900" s="182">
        <f t="shared" si="948"/>
        <v>0</v>
      </c>
      <c r="J3900" s="181">
        <f t="shared" si="948"/>
        <v>0</v>
      </c>
      <c r="K3900" s="182">
        <f t="shared" si="948"/>
        <v>0</v>
      </c>
      <c r="L3900" s="181">
        <f t="shared" si="948"/>
        <v>0</v>
      </c>
      <c r="M3900" s="146">
        <f t="shared" si="943"/>
        <v>0</v>
      </c>
      <c r="N3900" s="4"/>
    </row>
    <row r="3901" spans="2:15" s="1" customFormat="1" ht="13.2" x14ac:dyDescent="0.25">
      <c r="B3901" s="122" t="str">
        <f>IF('1. INTRO'!I$2="English",(IF(('5. PERSON'!CN$193+'6. OPERATION'!BQ$150)&gt;0,"Indirect","")),IF(('5. PERSON'!CN$193+'6. OPERATION'!BQ$150)&gt;0,"Indirekt",""))</f>
        <v/>
      </c>
      <c r="C3901" s="176">
        <f t="shared" ref="C3901:L3901" si="949">C2271+C3867</f>
        <v>0</v>
      </c>
      <c r="D3901" s="180">
        <f t="shared" si="949"/>
        <v>0</v>
      </c>
      <c r="E3901" s="177">
        <f t="shared" si="949"/>
        <v>0</v>
      </c>
      <c r="F3901" s="180">
        <f t="shared" si="949"/>
        <v>0</v>
      </c>
      <c r="G3901" s="177">
        <f t="shared" si="949"/>
        <v>0</v>
      </c>
      <c r="H3901" s="180">
        <f t="shared" si="949"/>
        <v>0</v>
      </c>
      <c r="I3901" s="177">
        <f t="shared" si="949"/>
        <v>0</v>
      </c>
      <c r="J3901" s="180">
        <f t="shared" si="949"/>
        <v>0</v>
      </c>
      <c r="K3901" s="177">
        <f t="shared" si="949"/>
        <v>0</v>
      </c>
      <c r="L3901" s="180">
        <f t="shared" si="949"/>
        <v>0</v>
      </c>
      <c r="M3901" s="148">
        <f t="shared" si="943"/>
        <v>0</v>
      </c>
      <c r="N3901" s="193"/>
    </row>
    <row r="3902" spans="2:15" s="3" customFormat="1" ht="13.2" x14ac:dyDescent="0.25">
      <c r="B3902" s="124" t="s">
        <v>113</v>
      </c>
      <c r="C3902" s="161">
        <f>SUM(C3895:C3901)</f>
        <v>0</v>
      </c>
      <c r="D3902" s="161">
        <f t="shared" ref="D3902:M3902" si="950">SUM(D3895:D3901)</f>
        <v>0</v>
      </c>
      <c r="E3902" s="161">
        <f t="shared" si="950"/>
        <v>0</v>
      </c>
      <c r="F3902" s="161">
        <f t="shared" si="950"/>
        <v>0</v>
      </c>
      <c r="G3902" s="161">
        <f t="shared" si="950"/>
        <v>0</v>
      </c>
      <c r="H3902" s="161">
        <f t="shared" si="950"/>
        <v>0</v>
      </c>
      <c r="I3902" s="161">
        <f t="shared" si="950"/>
        <v>0</v>
      </c>
      <c r="J3902" s="161">
        <f t="shared" si="950"/>
        <v>0</v>
      </c>
      <c r="K3902" s="161">
        <f t="shared" si="950"/>
        <v>0</v>
      </c>
      <c r="L3902" s="161">
        <f t="shared" si="950"/>
        <v>0</v>
      </c>
      <c r="M3902" s="125">
        <f t="shared" si="950"/>
        <v>0</v>
      </c>
      <c r="N3902" s="23"/>
      <c r="O3902" s="23"/>
    </row>
    <row r="3903" spans="2:15" s="3" customFormat="1" ht="6" customHeight="1" x14ac:dyDescent="0.25">
      <c r="B3903" s="136"/>
      <c r="C3903" s="127"/>
      <c r="D3903" s="127"/>
      <c r="E3903" s="127"/>
      <c r="F3903" s="127"/>
      <c r="G3903" s="127"/>
      <c r="H3903" s="127"/>
      <c r="I3903" s="127"/>
      <c r="J3903" s="127"/>
      <c r="K3903" s="127"/>
      <c r="L3903" s="127"/>
      <c r="M3903" s="137"/>
    </row>
    <row r="3904" spans="2:15" s="3" customFormat="1" ht="13.2" x14ac:dyDescent="0.25">
      <c r="B3904" s="129" t="str">
        <f>IF('1. INTRO'!I$2="English","Full cost","Full kostnad")</f>
        <v>Full cost</v>
      </c>
      <c r="C3904" s="127"/>
      <c r="D3904" s="127"/>
      <c r="E3904" s="127"/>
      <c r="F3904" s="127"/>
      <c r="G3904" s="127"/>
      <c r="H3904" s="127"/>
      <c r="I3904" s="127"/>
      <c r="J3904" s="127"/>
      <c r="K3904" s="127"/>
      <c r="L3904" s="127"/>
      <c r="M3904" s="137"/>
    </row>
    <row r="3905" spans="2:13" s="3" customFormat="1" ht="13.2" x14ac:dyDescent="0.25">
      <c r="B3905" s="113" t="str">
        <f>IF('1. INTRO'!I$2="English","Salary including social costs (LKP)","Lön inklusive LKP")</f>
        <v>Salary including social costs (LKP)</v>
      </c>
      <c r="C3905" s="184">
        <f>C2275+C3871</f>
        <v>0</v>
      </c>
      <c r="D3905" s="138">
        <f t="shared" ref="D3905:L3905" si="951">D2275+D3871</f>
        <v>0</v>
      </c>
      <c r="E3905" s="185">
        <f t="shared" si="951"/>
        <v>0</v>
      </c>
      <c r="F3905" s="138">
        <f t="shared" si="951"/>
        <v>0</v>
      </c>
      <c r="G3905" s="185">
        <f t="shared" si="951"/>
        <v>0</v>
      </c>
      <c r="H3905" s="138">
        <f t="shared" si="951"/>
        <v>0</v>
      </c>
      <c r="I3905" s="185">
        <f t="shared" si="951"/>
        <v>0</v>
      </c>
      <c r="J3905" s="138">
        <f t="shared" si="951"/>
        <v>0</v>
      </c>
      <c r="K3905" s="185">
        <f t="shared" si="951"/>
        <v>0</v>
      </c>
      <c r="L3905" s="138">
        <f t="shared" si="951"/>
        <v>0</v>
      </c>
      <c r="M3905" s="145">
        <f>SUM(C3905:L3905)</f>
        <v>0</v>
      </c>
    </row>
    <row r="3906" spans="2:13" s="3" customFormat="1" ht="13.2" x14ac:dyDescent="0.25">
      <c r="B3906" s="80" t="str">
        <f>IF('1. INTRO'!I$2="English","Operating","Drift")</f>
        <v>Operating</v>
      </c>
      <c r="C3906" s="189">
        <f t="shared" ref="C3906:L3906" si="952">C2276+C3872</f>
        <v>0</v>
      </c>
      <c r="D3906" s="190">
        <f t="shared" si="952"/>
        <v>0</v>
      </c>
      <c r="E3906" s="191">
        <f t="shared" si="952"/>
        <v>0</v>
      </c>
      <c r="F3906" s="190">
        <f t="shared" si="952"/>
        <v>0</v>
      </c>
      <c r="G3906" s="191">
        <f t="shared" si="952"/>
        <v>0</v>
      </c>
      <c r="H3906" s="190">
        <f t="shared" si="952"/>
        <v>0</v>
      </c>
      <c r="I3906" s="191">
        <f t="shared" si="952"/>
        <v>0</v>
      </c>
      <c r="J3906" s="190">
        <f t="shared" si="952"/>
        <v>0</v>
      </c>
      <c r="K3906" s="191">
        <f t="shared" si="952"/>
        <v>0</v>
      </c>
      <c r="L3906" s="190">
        <f t="shared" si="952"/>
        <v>0</v>
      </c>
      <c r="M3906" s="146">
        <f>SUM(C3906:L3906)</f>
        <v>0</v>
      </c>
    </row>
    <row r="3907" spans="2:13" s="3" customFormat="1" ht="13.2" x14ac:dyDescent="0.25">
      <c r="B3907" s="118" t="str">
        <f>IF('1. INTRO'!I$2="English","Equipment","Utrustning")</f>
        <v>Equipment</v>
      </c>
      <c r="C3907" s="186">
        <f t="shared" ref="C3907:L3907" si="953">C2277+C3873</f>
        <v>0</v>
      </c>
      <c r="D3907" s="140">
        <f t="shared" si="953"/>
        <v>0</v>
      </c>
      <c r="E3907" s="183">
        <f t="shared" si="953"/>
        <v>0</v>
      </c>
      <c r="F3907" s="140">
        <f t="shared" si="953"/>
        <v>0</v>
      </c>
      <c r="G3907" s="183">
        <f t="shared" si="953"/>
        <v>0</v>
      </c>
      <c r="H3907" s="140">
        <f t="shared" si="953"/>
        <v>0</v>
      </c>
      <c r="I3907" s="183">
        <f t="shared" si="953"/>
        <v>0</v>
      </c>
      <c r="J3907" s="140">
        <f t="shared" si="953"/>
        <v>0</v>
      </c>
      <c r="K3907" s="183">
        <f t="shared" si="953"/>
        <v>0</v>
      </c>
      <c r="L3907" s="140">
        <f t="shared" si="953"/>
        <v>0</v>
      </c>
      <c r="M3907" s="147">
        <f>SUM(C3907:L3907)</f>
        <v>0</v>
      </c>
    </row>
    <row r="3908" spans="2:13" s="3" customFormat="1" ht="13.2" x14ac:dyDescent="0.25">
      <c r="B3908" s="80" t="str">
        <f>IF('1. INTRO'!I$2="English","Facility","Lokal")</f>
        <v>Facility</v>
      </c>
      <c r="C3908" s="189">
        <f t="shared" ref="C3908:L3908" si="954">C2278+C3874</f>
        <v>0</v>
      </c>
      <c r="D3908" s="190">
        <f t="shared" si="954"/>
        <v>0</v>
      </c>
      <c r="E3908" s="191">
        <f t="shared" si="954"/>
        <v>0</v>
      </c>
      <c r="F3908" s="190">
        <f t="shared" si="954"/>
        <v>0</v>
      </c>
      <c r="G3908" s="191">
        <f t="shared" si="954"/>
        <v>0</v>
      </c>
      <c r="H3908" s="190">
        <f t="shared" si="954"/>
        <v>0</v>
      </c>
      <c r="I3908" s="191">
        <f t="shared" si="954"/>
        <v>0</v>
      </c>
      <c r="J3908" s="190">
        <f t="shared" si="954"/>
        <v>0</v>
      </c>
      <c r="K3908" s="191">
        <f t="shared" si="954"/>
        <v>0</v>
      </c>
      <c r="L3908" s="190">
        <f t="shared" si="954"/>
        <v>0</v>
      </c>
      <c r="M3908" s="146">
        <f>SUM(C3908:L3908)</f>
        <v>0</v>
      </c>
    </row>
    <row r="3909" spans="2:13" s="3" customFormat="1" ht="13.2" x14ac:dyDescent="0.25">
      <c r="B3909" s="601" t="str">
        <f>IF('1. INTRO'!I$2="English","Indirect","Indirekt")</f>
        <v>Indirect</v>
      </c>
      <c r="C3909" s="187">
        <f t="shared" ref="C3909:L3909" si="955">C2279+C3875</f>
        <v>0</v>
      </c>
      <c r="D3909" s="141">
        <f t="shared" si="955"/>
        <v>0</v>
      </c>
      <c r="E3909" s="188">
        <f t="shared" si="955"/>
        <v>0</v>
      </c>
      <c r="F3909" s="141">
        <f t="shared" si="955"/>
        <v>0</v>
      </c>
      <c r="G3909" s="188">
        <f t="shared" si="955"/>
        <v>0</v>
      </c>
      <c r="H3909" s="141">
        <f t="shared" si="955"/>
        <v>0</v>
      </c>
      <c r="I3909" s="188">
        <f t="shared" si="955"/>
        <v>0</v>
      </c>
      <c r="J3909" s="141">
        <f t="shared" si="955"/>
        <v>0</v>
      </c>
      <c r="K3909" s="188">
        <f t="shared" si="955"/>
        <v>0</v>
      </c>
      <c r="L3909" s="141">
        <f t="shared" si="955"/>
        <v>0</v>
      </c>
      <c r="M3909" s="148">
        <f>SUM(C3909:L3909)</f>
        <v>0</v>
      </c>
    </row>
    <row r="3910" spans="2:13" s="3" customFormat="1" ht="13.2" x14ac:dyDescent="0.25">
      <c r="B3910" s="124" t="s">
        <v>113</v>
      </c>
      <c r="C3910" s="104">
        <f>SUM(C3905:C3909)</f>
        <v>0</v>
      </c>
      <c r="D3910" s="104">
        <f t="shared" ref="D3910:M3910" si="956">SUM(D3905:D3909)</f>
        <v>0</v>
      </c>
      <c r="E3910" s="104">
        <f t="shared" si="956"/>
        <v>0</v>
      </c>
      <c r="F3910" s="104">
        <f t="shared" si="956"/>
        <v>0</v>
      </c>
      <c r="G3910" s="104">
        <f t="shared" si="956"/>
        <v>0</v>
      </c>
      <c r="H3910" s="104">
        <f t="shared" si="956"/>
        <v>0</v>
      </c>
      <c r="I3910" s="104">
        <f t="shared" si="956"/>
        <v>0</v>
      </c>
      <c r="J3910" s="104">
        <f t="shared" si="956"/>
        <v>0</v>
      </c>
      <c r="K3910" s="104">
        <f t="shared" si="956"/>
        <v>0</v>
      </c>
      <c r="L3910" s="104">
        <f t="shared" si="956"/>
        <v>0</v>
      </c>
      <c r="M3910" s="142">
        <f t="shared" si="956"/>
        <v>0</v>
      </c>
    </row>
  </sheetData>
  <sheetProtection formatCells="0"/>
  <mergeCells count="720">
    <mergeCell ref="C3884:E3884"/>
    <mergeCell ref="C3879:D3879"/>
    <mergeCell ref="C3880:M3880"/>
    <mergeCell ref="C3882:F3882"/>
    <mergeCell ref="D150:F150"/>
    <mergeCell ref="D602:G602"/>
    <mergeCell ref="D706:E706"/>
    <mergeCell ref="D966:E966"/>
    <mergeCell ref="D1018:F1018"/>
    <mergeCell ref="D1070:G1070"/>
    <mergeCell ref="D1122:G1122"/>
    <mergeCell ref="D1262:F1262"/>
    <mergeCell ref="D202:F202"/>
    <mergeCell ref="D254:E254"/>
    <mergeCell ref="D306:E306"/>
    <mergeCell ref="D358:F358"/>
    <mergeCell ref="D410:H410"/>
    <mergeCell ref="D462:G462"/>
    <mergeCell ref="C514:D514"/>
    <mergeCell ref="D550:E550"/>
    <mergeCell ref="D654:G654"/>
    <mergeCell ref="D758:F758"/>
    <mergeCell ref="D810:E810"/>
    <mergeCell ref="D862:E862"/>
    <mergeCell ref="D914:F914"/>
    <mergeCell ref="C1170:M1170"/>
    <mergeCell ref="C1172:F1172"/>
    <mergeCell ref="C1204:M1204"/>
    <mergeCell ref="D1366:G1366"/>
    <mergeCell ref="D1470:G1470"/>
    <mergeCell ref="D1730:F1730"/>
    <mergeCell ref="D2026:H2026"/>
    <mergeCell ref="D1870:F1870"/>
    <mergeCell ref="C1969:D1969"/>
    <mergeCell ref="C1970:M1970"/>
    <mergeCell ref="C1972:F1972"/>
    <mergeCell ref="D1974:G1974"/>
    <mergeCell ref="C1834:D1834"/>
    <mergeCell ref="C1464:M1464"/>
    <mergeCell ref="C1465:D1465"/>
    <mergeCell ref="C1466:M1466"/>
    <mergeCell ref="C1468:F1468"/>
    <mergeCell ref="C1516:M1516"/>
    <mergeCell ref="B1458:M1462"/>
    <mergeCell ref="B1510:M1514"/>
    <mergeCell ref="D1418:F1418"/>
    <mergeCell ref="C1517:D1517"/>
    <mergeCell ref="B1962:M1966"/>
    <mergeCell ref="D3174:H3174"/>
    <mergeCell ref="D3226:H3226"/>
    <mergeCell ref="D3278:H3278"/>
    <mergeCell ref="D3330:H3330"/>
    <mergeCell ref="C3484:F3484"/>
    <mergeCell ref="C2857:D2857"/>
    <mergeCell ref="C2858:M2858"/>
    <mergeCell ref="C2860:F2860"/>
    <mergeCell ref="C2908:M2908"/>
    <mergeCell ref="C2909:D2909"/>
    <mergeCell ref="C2910:M2910"/>
    <mergeCell ref="C2912:F2912"/>
    <mergeCell ref="C2960:M2960"/>
    <mergeCell ref="C3014:M3014"/>
    <mergeCell ref="C3016:F3016"/>
    <mergeCell ref="D3382:H3382"/>
    <mergeCell ref="C3428:M3428"/>
    <mergeCell ref="C3429:D3429"/>
    <mergeCell ref="C3430:M3430"/>
    <mergeCell ref="C3432:F3432"/>
    <mergeCell ref="C3480:M3480"/>
    <mergeCell ref="C3481:D3481"/>
    <mergeCell ref="C3482:M3482"/>
    <mergeCell ref="C3272:M3272"/>
    <mergeCell ref="D2166:E2166"/>
    <mergeCell ref="C2964:F2964"/>
    <mergeCell ref="C3012:M3012"/>
    <mergeCell ref="C3013:D3013"/>
    <mergeCell ref="B3006:M3010"/>
    <mergeCell ref="D2862:H2862"/>
    <mergeCell ref="D2914:H2914"/>
    <mergeCell ref="D2966:H2966"/>
    <mergeCell ref="C2701:D2701"/>
    <mergeCell ref="B2590:M2594"/>
    <mergeCell ref="D2498:H2498"/>
    <mergeCell ref="D2550:H2550"/>
    <mergeCell ref="C2441:D2441"/>
    <mergeCell ref="C2442:M2442"/>
    <mergeCell ref="C2444:F2444"/>
    <mergeCell ref="C2492:M2492"/>
    <mergeCell ref="C2493:D2493"/>
    <mergeCell ref="D2394:H2394"/>
    <mergeCell ref="D2446:H2446"/>
    <mergeCell ref="C2494:M2494"/>
    <mergeCell ref="C2496:F2496"/>
    <mergeCell ref="B2486:M2490"/>
    <mergeCell ref="C2440:M2440"/>
    <mergeCell ref="B2538:M2542"/>
    <mergeCell ref="C3878:M3878"/>
    <mergeCell ref="C3689:D3689"/>
    <mergeCell ref="C3690:M3690"/>
    <mergeCell ref="C3692:F3692"/>
    <mergeCell ref="D3642:H3642"/>
    <mergeCell ref="D3694:H3694"/>
    <mergeCell ref="D3746:H3746"/>
    <mergeCell ref="D3798:H3798"/>
    <mergeCell ref="B3786:M3790"/>
    <mergeCell ref="C3845:D3845"/>
    <mergeCell ref="C3846:M3846"/>
    <mergeCell ref="C3848:F3848"/>
    <mergeCell ref="C3796:F3796"/>
    <mergeCell ref="C3844:M3844"/>
    <mergeCell ref="C3740:M3740"/>
    <mergeCell ref="C3741:D3741"/>
    <mergeCell ref="C3742:M3742"/>
    <mergeCell ref="C3744:F3744"/>
    <mergeCell ref="C3792:M3792"/>
    <mergeCell ref="C3793:D3793"/>
    <mergeCell ref="C3794:M3794"/>
    <mergeCell ref="B3838:M3842"/>
    <mergeCell ref="C3536:F3536"/>
    <mergeCell ref="B3578:M3582"/>
    <mergeCell ref="B3526:M3530"/>
    <mergeCell ref="C3532:M3532"/>
    <mergeCell ref="C3533:D3533"/>
    <mergeCell ref="C3534:M3534"/>
    <mergeCell ref="C3850:E3850"/>
    <mergeCell ref="D3486:H3486"/>
    <mergeCell ref="C3640:F3640"/>
    <mergeCell ref="C3688:M3688"/>
    <mergeCell ref="D3538:H3538"/>
    <mergeCell ref="D3590:H3590"/>
    <mergeCell ref="C3585:D3585"/>
    <mergeCell ref="C3586:M3586"/>
    <mergeCell ref="C3584:M3584"/>
    <mergeCell ref="C3638:M3638"/>
    <mergeCell ref="C3588:F3588"/>
    <mergeCell ref="C3636:M3636"/>
    <mergeCell ref="C3637:D3637"/>
    <mergeCell ref="C3273:D3273"/>
    <mergeCell ref="C3274:M3274"/>
    <mergeCell ref="C3276:F3276"/>
    <mergeCell ref="C3324:M3324"/>
    <mergeCell ref="C3325:D3325"/>
    <mergeCell ref="C3326:M3326"/>
    <mergeCell ref="C3328:F3328"/>
    <mergeCell ref="C3376:M3376"/>
    <mergeCell ref="B3318:M3322"/>
    <mergeCell ref="B3370:M3374"/>
    <mergeCell ref="B3422:M3426"/>
    <mergeCell ref="B3474:M3478"/>
    <mergeCell ref="C3377:D3377"/>
    <mergeCell ref="C3378:M3378"/>
    <mergeCell ref="C3380:F3380"/>
    <mergeCell ref="D3434:H3434"/>
    <mergeCell ref="B2642:M2646"/>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D2706:H2706"/>
    <mergeCell ref="D2758:H2758"/>
    <mergeCell ref="D2810:H2810"/>
    <mergeCell ref="D3018:H3018"/>
    <mergeCell ref="D3070:H3070"/>
    <mergeCell ref="C2286:M2286"/>
    <mergeCell ref="C2288:F2288"/>
    <mergeCell ref="C2336:M2336"/>
    <mergeCell ref="C2337:D2337"/>
    <mergeCell ref="C2702:M2702"/>
    <mergeCell ref="C2704:F2704"/>
    <mergeCell ref="D2602:H2602"/>
    <mergeCell ref="D2654:H2654"/>
    <mergeCell ref="B2694:M2698"/>
    <mergeCell ref="C2544:M2544"/>
    <mergeCell ref="C2545:D2545"/>
    <mergeCell ref="C2546:M2546"/>
    <mergeCell ref="C2548:F2548"/>
    <mergeCell ref="C2596:M2596"/>
    <mergeCell ref="C2597:D2597"/>
    <mergeCell ref="C2598:M2598"/>
    <mergeCell ref="C2600:F2600"/>
    <mergeCell ref="C2648:M2648"/>
    <mergeCell ref="C2649:D2649"/>
    <mergeCell ref="C2650:M2650"/>
    <mergeCell ref="C2652:F2652"/>
    <mergeCell ref="C2700:M2700"/>
    <mergeCell ref="B2434:M2438"/>
    <mergeCell ref="D2290:H2290"/>
    <mergeCell ref="C2073:D2073"/>
    <mergeCell ref="B2014:M2018"/>
    <mergeCell ref="C2020:M2020"/>
    <mergeCell ref="C2021:D2021"/>
    <mergeCell ref="C2022:M2022"/>
    <mergeCell ref="C2024:F2024"/>
    <mergeCell ref="C2072:M2072"/>
    <mergeCell ref="C2249:D2249"/>
    <mergeCell ref="C2250:M2250"/>
    <mergeCell ref="C2108:M2108"/>
    <mergeCell ref="C2109:D2109"/>
    <mergeCell ref="C2110:M2110"/>
    <mergeCell ref="C2112:F2112"/>
    <mergeCell ref="C2160:M2160"/>
    <mergeCell ref="C2284:M2284"/>
    <mergeCell ref="C2285:D2285"/>
    <mergeCell ref="B2206:M2210"/>
    <mergeCell ref="C2216:F2216"/>
    <mergeCell ref="C2248:M2248"/>
    <mergeCell ref="C2218:E2218"/>
    <mergeCell ref="C2161:D2161"/>
    <mergeCell ref="C2162:M2162"/>
    <mergeCell ref="C1829:D1829"/>
    <mergeCell ref="D1922:F1922"/>
    <mergeCell ref="C2078:D2078"/>
    <mergeCell ref="C2074:M2074"/>
    <mergeCell ref="C2076:F2076"/>
    <mergeCell ref="B1910:M1914"/>
    <mergeCell ref="B2066:M2070"/>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B2154:M2158"/>
    <mergeCell ref="C1916:M1916"/>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D2114:G2114"/>
    <mergeCell ref="C1918:M1918"/>
    <mergeCell ref="C1920:F1920"/>
    <mergeCell ref="C1968:M1968"/>
    <mergeCell ref="C1728:F1728"/>
    <mergeCell ref="C1776:M1776"/>
    <mergeCell ref="C1777:D1777"/>
    <mergeCell ref="C1778:M1778"/>
    <mergeCell ref="C1780:F1780"/>
    <mergeCell ref="C1828:M1828"/>
    <mergeCell ref="C1205:D1205"/>
    <mergeCell ref="B1162:M1166"/>
    <mergeCell ref="C1412:M1412"/>
    <mergeCell ref="C1413:D1413"/>
    <mergeCell ref="C1414:M1414"/>
    <mergeCell ref="C1416:F1416"/>
    <mergeCell ref="C1174:D1174"/>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314:F1314"/>
    <mergeCell ref="D1210:G1210"/>
    <mergeCell ref="C1066:M1066"/>
    <mergeCell ref="C1068:F1068"/>
    <mergeCell ref="C1116:M1116"/>
    <mergeCell ref="B1110:M1114"/>
    <mergeCell ref="C1117:D1117"/>
    <mergeCell ref="C1118:M1118"/>
    <mergeCell ref="C1120:F1120"/>
    <mergeCell ref="C1168:M1168"/>
    <mergeCell ref="C1169:D1169"/>
    <mergeCell ref="C596:M596"/>
    <mergeCell ref="C597:D597"/>
    <mergeCell ref="C598:M598"/>
    <mergeCell ref="C600:F600"/>
    <mergeCell ref="C648:M648"/>
    <mergeCell ref="C649:D649"/>
    <mergeCell ref="C650:M650"/>
    <mergeCell ref="C652:F652"/>
    <mergeCell ref="C700:M700"/>
    <mergeCell ref="C508:M508"/>
    <mergeCell ref="C509:D509"/>
    <mergeCell ref="C510:M510"/>
    <mergeCell ref="C512:F512"/>
    <mergeCell ref="C544:M544"/>
    <mergeCell ref="C545:D545"/>
    <mergeCell ref="C546:M546"/>
    <mergeCell ref="C548:F548"/>
    <mergeCell ref="B502:M506"/>
    <mergeCell ref="C405:D405"/>
    <mergeCell ref="C406:M406"/>
    <mergeCell ref="C408:F408"/>
    <mergeCell ref="C456:M456"/>
    <mergeCell ref="C457:D457"/>
    <mergeCell ref="C458:M458"/>
    <mergeCell ref="B398:M402"/>
    <mergeCell ref="B450:M454"/>
    <mergeCell ref="C460:F460"/>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D98:G98"/>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E78:F78"/>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E16:F16"/>
    <mergeCell ref="E17:F17"/>
    <mergeCell ref="E18:F18"/>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58:D58"/>
    <mergeCell ref="G65:H65"/>
    <mergeCell ref="G66:H66"/>
    <mergeCell ref="G67:H67"/>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C50:D50"/>
    <mergeCell ref="C51:D51"/>
    <mergeCell ref="C53:D53"/>
    <mergeCell ref="C52:D52"/>
    <mergeCell ref="C45:D45"/>
    <mergeCell ref="C46:D46"/>
    <mergeCell ref="C47:D47"/>
    <mergeCell ref="C48:D48"/>
    <mergeCell ref="C49:D49"/>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302:M302"/>
    <mergeCell ref="C304:F304"/>
    <mergeCell ref="C352:M352"/>
    <mergeCell ref="C353:D353"/>
    <mergeCell ref="C354:M354"/>
    <mergeCell ref="C356:F356"/>
    <mergeCell ref="C404:M404"/>
    <mergeCell ref="B1006:M1010"/>
    <mergeCell ref="B1058:M1062"/>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808:F808"/>
    <mergeCell ref="C856:M856"/>
    <mergeCell ref="C857:D857"/>
    <mergeCell ref="C858:M858"/>
    <mergeCell ref="C860:F860"/>
    <mergeCell ref="C908:M908"/>
    <mergeCell ref="B1250:M1254"/>
    <mergeCell ref="B1302:M1306"/>
    <mergeCell ref="B1354:M1358"/>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C2389:D2389"/>
    <mergeCell ref="B2330:M2334"/>
    <mergeCell ref="C2390:M2390"/>
    <mergeCell ref="C2392:F2392"/>
    <mergeCell ref="C1830:M1830"/>
    <mergeCell ref="C1832:F1832"/>
    <mergeCell ref="B1770:M1774"/>
    <mergeCell ref="B1822:M1826"/>
    <mergeCell ref="D1782:G1782"/>
    <mergeCell ref="C1864:M1864"/>
    <mergeCell ref="C1865:D1865"/>
    <mergeCell ref="C1866:M1866"/>
    <mergeCell ref="C1868:F1868"/>
    <mergeCell ref="C2338:M2338"/>
    <mergeCell ref="C2340:F2340"/>
    <mergeCell ref="C2388:M2388"/>
    <mergeCell ref="D2342:H2342"/>
    <mergeCell ref="C2164:F2164"/>
    <mergeCell ref="C2212:M2212"/>
    <mergeCell ref="C2213:D2213"/>
    <mergeCell ref="C2214:M2214"/>
    <mergeCell ref="B2382:M2386"/>
    <mergeCell ref="C1917:D1917"/>
    <mergeCell ref="C2252:F2252"/>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D3122:H3122"/>
    <mergeCell ref="C2962:M2962"/>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J77:M77"/>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E73:F73"/>
    <mergeCell ref="E74:F74"/>
    <mergeCell ref="G77:H77"/>
    <mergeCell ref="E75:F75"/>
    <mergeCell ref="E76:F76"/>
    <mergeCell ref="E77:F77"/>
    <mergeCell ref="E53:F53"/>
    <mergeCell ref="E54:F54"/>
    <mergeCell ref="E55:F55"/>
    <mergeCell ref="G64:H64"/>
    <mergeCell ref="J66:M66"/>
    <mergeCell ref="J67:M67"/>
    <mergeCell ref="E66:F66"/>
    <mergeCell ref="E67:F67"/>
    <mergeCell ref="E68:F68"/>
    <mergeCell ref="E69:F69"/>
    <mergeCell ref="E70:F70"/>
    <mergeCell ref="E71:F71"/>
    <mergeCell ref="E72:F72"/>
    <mergeCell ref="B13:B14"/>
    <mergeCell ref="C13:D14"/>
    <mergeCell ref="J13:M14"/>
    <mergeCell ref="E14:F14"/>
    <mergeCell ref="E13:H13"/>
    <mergeCell ref="G14:H14"/>
    <mergeCell ref="I13:I14"/>
    <mergeCell ref="E15:F15"/>
    <mergeCell ref="G15:H15"/>
    <mergeCell ref="E19:F19"/>
    <mergeCell ref="E20:F20"/>
    <mergeCell ref="E21:F21"/>
    <mergeCell ref="E22:F22"/>
    <mergeCell ref="E23:F23"/>
    <mergeCell ref="E24:F24"/>
    <mergeCell ref="E26:F26"/>
    <mergeCell ref="E27:F27"/>
    <mergeCell ref="E28:F28"/>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41:F41"/>
    <mergeCell ref="E42:F42"/>
    <mergeCell ref="E43:F43"/>
    <mergeCell ref="G39:H39"/>
    <mergeCell ref="G40:H40"/>
    <mergeCell ref="G41:H41"/>
    <mergeCell ref="G24:H24"/>
    <mergeCell ref="G25:H25"/>
    <mergeCell ref="G26:H26"/>
    <mergeCell ref="G27:H27"/>
    <mergeCell ref="G28:H28"/>
    <mergeCell ref="G29:H29"/>
    <mergeCell ref="G30:H30"/>
    <mergeCell ref="G31:H31"/>
    <mergeCell ref="G32:H32"/>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formula1>0</formula1>
    </dataValidation>
    <dataValidation type="whole" operator="greaterThan" allowBlank="1" showInputMessage="1" showErrorMessage="1" error="Must be an integer greater than zero." sqref="J1018:K1018">
      <formula1>0</formula1>
    </dataValidation>
    <dataValidation type="whole" operator="greaterThan" allowBlank="1" showInputMessage="1" showErrorMessage="1" errorTitle="Data restricrion" error="Must be an integer greater than zero." sqref="J1870:K1870">
      <formula1>0</formula1>
    </dataValidation>
    <dataValidation allowBlank="1" showInputMessage="1" showErrorMessage="1" errorTitle="Data restriction" error="Must be an integer greater than zero." sqref="J2114:K2114"/>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790:L794 C738:L742 C686:L690 C634:L638 C582:L586 C494:L498 C442:L446 C390:L394 C338:L342 C286:L290 C234:L238 C182:L186 C130:L134">
      <formula1>0</formula1>
    </dataValidation>
  </dataValidations>
  <hyperlinks>
    <hyperlink ref="M98" location="TOP" display="Till bladets topp"/>
    <hyperlink ref="M150" location="TOP" display="Till bladets topp"/>
    <hyperlink ref="M202" location="TOP" display="Till bladets topp"/>
    <hyperlink ref="M254" location="TOP" display="Till bladets topp"/>
    <hyperlink ref="M306" location="TOP" display="Till bladets topp"/>
    <hyperlink ref="M358" location="TOP" display="Till bladets topp"/>
    <hyperlink ref="M410" location="TOP" display="Till bladets topp"/>
    <hyperlink ref="M462" location="TOP" display="Till bladets topp"/>
    <hyperlink ref="M514" location="TOP" display="Till bladets topp"/>
    <hyperlink ref="M550" location="TOP" display="Till bladets topp"/>
    <hyperlink ref="M602" location="TOP" display="Till bladets topp"/>
    <hyperlink ref="M654" location="TOP" display="Till bladets topp"/>
    <hyperlink ref="M706" location="TOP" display="Till bladets topp"/>
    <hyperlink ref="M758" location="TOP" display="Till bladets topp"/>
    <hyperlink ref="M810" location="TOP" display="Till bladets topp"/>
    <hyperlink ref="M862" location="TOP" display="Till bladets topp"/>
    <hyperlink ref="M914" location="TOP" display="Till bladets topp"/>
    <hyperlink ref="M966" location="TOP" display="Till bladets topp"/>
    <hyperlink ref="M1018" location="TOP" display="Till bladets topp"/>
    <hyperlink ref="M1070" location="TOP" display="Till bladets topp"/>
    <hyperlink ref="M1122" location="TOP" display="Till bladets topp"/>
    <hyperlink ref="M1174" location="TOP" display="Till bladets topp"/>
    <hyperlink ref="M1210" location="TOP" display="Till bladets topp"/>
    <hyperlink ref="M1262" location="TOP" display="Till bladets topp"/>
    <hyperlink ref="M1314" location="TOP" display="Till bladets topp"/>
    <hyperlink ref="M1366" location="TOP" display="Till bladets topp"/>
    <hyperlink ref="M1418" location="TOP" display="Till bladets topp"/>
    <hyperlink ref="M1470" location="TOP" display="Till bladets topp"/>
    <hyperlink ref="M1522" location="TOP" display="Till bladets topp"/>
    <hyperlink ref="M1574" location="TOP" display="Till bladets topp"/>
    <hyperlink ref="M1626" location="TOP" display="Till bladets topp"/>
    <hyperlink ref="M1678" location="TOP" display="Till bladets topp"/>
    <hyperlink ref="M1730" location="TOP" display="Till bladets topp"/>
    <hyperlink ref="M1782" location="TOP" display="Till bladets topp"/>
    <hyperlink ref="M1834" location="TOP" display="Till bladets topp"/>
    <hyperlink ref="M1870" location="TOP" display="Till bladets topp"/>
    <hyperlink ref="M1922" location="TOP" display="Till bladets topp"/>
    <hyperlink ref="M1974" location="TOP" display="Till bladets topp"/>
    <hyperlink ref="M2026" location="TOP" display="Till bladets topp"/>
    <hyperlink ref="M2078" location="TOP" display="Till bladets topp"/>
    <hyperlink ref="M2114" location="TOP" display="Till bladets topp"/>
    <hyperlink ref="M2166" location="TOP" display="Till bladets topp"/>
    <hyperlink ref="M2218" location="TOP" display="Till bladets topp"/>
    <hyperlink ref="M2254" location="TOP" display="Till bladets topp"/>
    <hyperlink ref="M2290" location="TOP" display="Till bladets topp"/>
    <hyperlink ref="M2342" location="TOP" display="Till bladets topp"/>
    <hyperlink ref="M2394" location="TOP" display="Till bladets topp"/>
    <hyperlink ref="M2446" location="TOP" display="Till bladets topp"/>
    <hyperlink ref="M2498" location="TOP" display="Till bladets topp"/>
    <hyperlink ref="M2550" location="TOP" display="Till bladets topp"/>
    <hyperlink ref="M2602" location="TOP" display="Till bladets topp"/>
    <hyperlink ref="M2654" location="TOP" display="Till bladets topp"/>
    <hyperlink ref="M2706" location="TOP" display="Till bladets topp"/>
    <hyperlink ref="M2758" location="TOP" display="Till bladets topp"/>
    <hyperlink ref="M2810" location="TOP" display="Till bladets topp"/>
    <hyperlink ref="M2862" location="TOP" display="Till bladets topp"/>
    <hyperlink ref="M2914" location="TOP" display="Till bladets topp"/>
    <hyperlink ref="M2966" location="TOP" display="Till bladets topp"/>
    <hyperlink ref="M3018" location="TOP" display="Till bladets topp"/>
    <hyperlink ref="M3070" location="TOP" display="Till bladets topp"/>
    <hyperlink ref="M3122" location="TOP" display="Till bladets topp"/>
    <hyperlink ref="M3174" location="TOP" display="Till bladets topp"/>
    <hyperlink ref="M3226" location="TOP" display="Till bladets topp"/>
    <hyperlink ref="M3278" location="TOP" display="Till bladets topp"/>
    <hyperlink ref="M3330" location="TOP" display="Till bladets topp"/>
    <hyperlink ref="M3382" location="TOP" display="Till bladets topp"/>
    <hyperlink ref="M3434" location="TOP" display="Till bladets topp"/>
    <hyperlink ref="M3486" location="TOP" display="Till bladets topp"/>
    <hyperlink ref="M3538" location="TOP" display="Till bladets topp"/>
    <hyperlink ref="M3590" location="TOP" display="Till bladets topp"/>
    <hyperlink ref="M3642" location="TOP" display="Till bladets topp"/>
    <hyperlink ref="M3694" location="TOP" display="Till bladets topp"/>
    <hyperlink ref="M3746" location="TOP" display="Till bladets topp"/>
    <hyperlink ref="M3798" location="TOP" display="Till bladets topp"/>
    <hyperlink ref="M3850" location="TOP" display="Till bladets topp"/>
    <hyperlink ref="M3884" location="TOP" display="Till bladets topp"/>
    <hyperlink ref="A23" location="LTV" display="LTV"/>
    <hyperlink ref="A36" location="NJ" display="NJ"/>
    <hyperlink ref="A49" location="S" display="S"/>
    <hyperlink ref="A54" location="VH" display="VH"/>
    <hyperlink ref="A57" location="GEM" display="GEM"/>
    <hyperlink ref="A58" location="SLUTOT" display="SLU"/>
    <hyperlink ref="A59" location="E1X" display="EXT101"/>
    <hyperlink ref="A60" location="E2X" display="EXT102"/>
    <hyperlink ref="A61" location="E3X" display="EXT103"/>
    <hyperlink ref="A62" location="E4X" display="EXT104"/>
    <hyperlink ref="A63" location="E5X" display="EXT105"/>
    <hyperlink ref="A64" location="E6X" display="EXT106"/>
    <hyperlink ref="A65" location="E7X" display="EXT107"/>
    <hyperlink ref="A66" location="E8X" display="EXT108"/>
    <hyperlink ref="A67" location="E9X" display="EXT109"/>
    <hyperlink ref="A68" location="E10X" display="EXT110"/>
    <hyperlink ref="A69" location="E11X" display="EXT111"/>
    <hyperlink ref="A70" location="E12X" display="EXT112"/>
    <hyperlink ref="A71" location="E13X" display="EXT113"/>
    <hyperlink ref="A72" location="E14X" display="EXT114"/>
    <hyperlink ref="A73" location="E15X" display="EXT115"/>
    <hyperlink ref="A74" location="E16X" display="EXT116"/>
    <hyperlink ref="A75" location="E17X" display="EXT117"/>
    <hyperlink ref="A76" location="E18X" display="EXT118"/>
    <hyperlink ref="A77" location="E19X" display="EXT119"/>
    <hyperlink ref="A78" location="E20X" display="EXT120"/>
    <hyperlink ref="A79" location="E21X" display="EXT121"/>
    <hyperlink ref="A80" location="E22X" display="EXT122"/>
    <hyperlink ref="A81" location="E23X" display="EXT123"/>
    <hyperlink ref="A82" location="E24X" display="EXT124"/>
    <hyperlink ref="A83" location="E25X" display="EXT125"/>
    <hyperlink ref="A84" location="E26X" display="EXT126"/>
    <hyperlink ref="A85" location="E27X" display="EXT127"/>
    <hyperlink ref="A86" location="E28X" display="EXT128"/>
    <hyperlink ref="A87" location="E29X" display="EXT129"/>
    <hyperlink ref="A88" location="E30X" display="EXT130"/>
    <hyperlink ref="A89" location="EXALLA" display="EXTTOT"/>
    <hyperlink ref="A90" location="TOT" display="PROTOT"/>
    <hyperlink ref="A15" location="LT595V" display="595LTV"/>
    <hyperlink ref="A16" location="LT632V" display="632LTV"/>
    <hyperlink ref="A17" location="LT638V" display="638LTV"/>
    <hyperlink ref="A18" location="LT639V" display="639LTV"/>
    <hyperlink ref="A19" location="LT642V" display="642LTV"/>
    <hyperlink ref="A20" location="LT643V" display="643LTV"/>
    <hyperlink ref="A21" location="LT644V" display="644LTV"/>
    <hyperlink ref="A22" location="LT645V" display="645LTV"/>
    <hyperlink ref="A24" location="N135J" display="135NJ"/>
    <hyperlink ref="A25" location="N280J" display="280NJ"/>
    <hyperlink ref="A26" location="N390J" display="390NJ"/>
    <hyperlink ref="A27" location="N415J" display="415NJ"/>
    <hyperlink ref="A28" location="N425J" display="425NJ"/>
    <hyperlink ref="A29" location="N435J" display="435NJ"/>
    <hyperlink ref="A30" location="N480J" display="480NJ"/>
    <hyperlink ref="A31" location="N500J" display="500NJ"/>
    <hyperlink ref="A32" location="N510J" display="510NJ"/>
    <hyperlink ref="A33" location="N565J" display="565NJ"/>
    <hyperlink ref="A34" location="N595J" display="595NJ"/>
    <hyperlink ref="A35" location="N911J" display="911NJ"/>
    <hyperlink ref="A37" location="S200S" display="200S"/>
    <hyperlink ref="A38" location="S210S" display="210S"/>
    <hyperlink ref="A39" location="S241S" display="241S"/>
    <hyperlink ref="A40" location="S251S" display="251S"/>
    <hyperlink ref="A41" location="S260S" display="260S"/>
    <hyperlink ref="A42" location="S295S" display="295S"/>
    <hyperlink ref="A43" location="S300S" display="300S"/>
    <hyperlink ref="A44" location="S330S" display="330S"/>
    <hyperlink ref="A45" location="S390S" display="390S"/>
    <hyperlink ref="A46" location="S415S" display="415S"/>
    <hyperlink ref="A47" location="S435S" display="435S"/>
    <hyperlink ref="A48" location="S545S" display="545S"/>
    <hyperlink ref="A50" location="V716H" display="716VH"/>
    <hyperlink ref="A51" location="V720H" display="720VH"/>
    <hyperlink ref="A52" location="V725H" display="725VH"/>
    <hyperlink ref="A53" location="V883H" display="883VH"/>
    <hyperlink ref="A55" location="GE100M" display="100GEM"/>
    <hyperlink ref="A56" location="GE150M" display="150GEM"/>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1:AN1111"/>
  <sheetViews>
    <sheetView showGridLines="0" zoomScaleNormal="100" workbookViewId="0">
      <selection activeCell="B2" sqref="B2"/>
    </sheetView>
  </sheetViews>
  <sheetFormatPr defaultColWidth="9.109375" defaultRowHeight="11.4" x14ac:dyDescent="0.2"/>
  <cols>
    <col min="1" max="1" width="3.5546875" style="37" customWidth="1"/>
    <col min="2" max="2" width="49.6640625" style="37" customWidth="1" collapsed="1"/>
    <col min="3" max="3" width="10.6640625" style="37" customWidth="1" collapsed="1"/>
    <col min="4" max="11" width="10.88671875" style="37" customWidth="1" collapsed="1"/>
    <col min="12" max="12" width="10.88671875" style="37" customWidth="1"/>
    <col min="13" max="13" width="12.88671875" style="37" customWidth="1" collapsed="1"/>
    <col min="14" max="14" width="12" style="37" hidden="1" customWidth="1" collapsed="1"/>
    <col min="15" max="15" width="10.109375" style="37" hidden="1" customWidth="1" collapsed="1"/>
    <col min="16" max="40" width="9.109375" style="37"/>
    <col min="41" max="16384" width="9.109375" style="37" collapsed="1"/>
  </cols>
  <sheetData>
    <row r="1" spans="2:15" ht="15" customHeight="1" x14ac:dyDescent="0.25">
      <c r="L1" s="1084" t="str">
        <f>'1. INTRO'!J1</f>
        <v>projectcalculator@slu.se</v>
      </c>
      <c r="M1" s="1004"/>
    </row>
    <row r="2" spans="2:15" s="3" customFormat="1" ht="15.6" x14ac:dyDescent="0.3">
      <c r="B2" s="156" t="str">
        <f>'1. INTRO'!B2</f>
        <v>SLU project calculator</v>
      </c>
      <c r="C2" s="108" t="s">
        <v>30</v>
      </c>
      <c r="E2" s="1122" t="s">
        <v>308</v>
      </c>
      <c r="F2" s="1263"/>
      <c r="G2" s="1263"/>
      <c r="H2" s="1263"/>
      <c r="I2" s="37"/>
      <c r="J2" s="37"/>
      <c r="K2" s="679"/>
      <c r="L2" s="671"/>
      <c r="M2" s="298">
        <f>'1. INTRO'!J2</f>
        <v>45677</v>
      </c>
    </row>
    <row r="3" spans="2:15" s="3" customFormat="1" ht="12.75" customHeight="1" x14ac:dyDescent="0.3">
      <c r="B3" s="158"/>
      <c r="C3" s="108"/>
      <c r="G3" s="37"/>
      <c r="H3" s="37"/>
      <c r="I3" s="37"/>
      <c r="J3" s="37"/>
      <c r="K3" s="37"/>
      <c r="L3" s="37"/>
      <c r="M3" s="37"/>
    </row>
    <row r="4" spans="2:15" s="3" customFormat="1" ht="12.75" customHeight="1" x14ac:dyDescent="0.25">
      <c r="B4" s="70" t="s">
        <v>24</v>
      </c>
      <c r="C4" s="1260" t="str">
        <f>IF('1. INTRO'!$I$2="English",N4,O4)</f>
        <v>Here are costs per WP. WP which has amount in the column "Full cost" is included in current calculation. WP-number in column B is link to WP cost compilation below. WP name is registered in sheet 4.</v>
      </c>
      <c r="D4" s="1070"/>
      <c r="E4" s="1070"/>
      <c r="F4" s="1070"/>
      <c r="G4" s="1070"/>
      <c r="H4" s="1070"/>
      <c r="I4" s="1070"/>
      <c r="J4" s="1070"/>
      <c r="K4" s="1070"/>
      <c r="L4" s="1070"/>
      <c r="M4" s="1070"/>
      <c r="N4" s="268" t="s">
        <v>112</v>
      </c>
      <c r="O4" s="268" t="s">
        <v>331</v>
      </c>
    </row>
    <row r="5" spans="2:15" s="3" customFormat="1" ht="12.75" customHeight="1" x14ac:dyDescent="0.25">
      <c r="B5" s="70"/>
      <c r="C5" s="1070"/>
      <c r="D5" s="1070"/>
      <c r="E5" s="1070"/>
      <c r="F5" s="1070"/>
      <c r="G5" s="1070"/>
      <c r="H5" s="1070"/>
      <c r="I5" s="1070"/>
      <c r="J5" s="1070"/>
      <c r="K5" s="1070"/>
      <c r="L5" s="1070"/>
      <c r="M5" s="1070"/>
    </row>
    <row r="6" spans="2:15" s="3" customFormat="1" ht="6" customHeight="1" x14ac:dyDescent="0.3">
      <c r="B6" s="42"/>
      <c r="C6" s="6"/>
      <c r="D6" s="37"/>
      <c r="E6" s="37"/>
      <c r="F6" s="71"/>
      <c r="G6" s="37"/>
      <c r="H6" s="37"/>
      <c r="I6" s="37"/>
      <c r="J6" s="37"/>
      <c r="K6" s="37"/>
      <c r="L6" s="37"/>
      <c r="M6" s="37"/>
    </row>
    <row r="7" spans="2:15" s="3" customFormat="1" ht="12.75" customHeight="1" x14ac:dyDescent="0.25">
      <c r="B7" s="313" t="str">
        <f>'3. PARTNER'!C$4</f>
        <v xml:space="preserve">Project: </v>
      </c>
      <c r="C7" s="1062" t="str">
        <f>'3. PARTNER'!D$4</f>
        <v/>
      </c>
      <c r="D7" s="1001"/>
      <c r="E7" s="1001"/>
      <c r="F7" s="1001"/>
      <c r="G7" s="1001"/>
      <c r="H7" s="1001"/>
      <c r="I7" s="1001"/>
      <c r="J7" s="1001"/>
      <c r="K7" s="1001"/>
      <c r="L7" s="1001"/>
      <c r="M7" s="1001"/>
    </row>
    <row r="8" spans="2:15" s="3" customFormat="1" ht="13.2" x14ac:dyDescent="0.25">
      <c r="B8" s="313" t="str">
        <f>'3. PARTNER'!C$5</f>
        <v xml:space="preserve">Calculation for: </v>
      </c>
      <c r="C8" s="1062" t="str">
        <f>'3. PARTNER'!D$5</f>
        <v>APPLICATION</v>
      </c>
      <c r="D8" s="1001"/>
      <c r="E8" s="268"/>
      <c r="F8" s="268"/>
      <c r="G8" s="268"/>
      <c r="H8" s="268"/>
      <c r="I8" s="268"/>
      <c r="J8" s="268"/>
      <c r="K8" s="268"/>
      <c r="L8" s="268"/>
      <c r="M8" s="268"/>
    </row>
    <row r="9" spans="2:15" s="3" customFormat="1" ht="13.2" x14ac:dyDescent="0.25">
      <c r="B9" s="35" t="str">
        <f>'3. PARTNER'!C$6</f>
        <v xml:space="preserve">Project leader: </v>
      </c>
      <c r="C9" s="1062" t="str">
        <f>'3. PARTNER'!D$6</f>
        <v/>
      </c>
      <c r="D9" s="1001"/>
      <c r="E9" s="1001"/>
      <c r="F9" s="1001"/>
      <c r="G9" s="1001"/>
      <c r="H9" s="1001"/>
      <c r="I9" s="1001"/>
      <c r="J9" s="1001"/>
      <c r="K9" s="1001"/>
      <c r="L9" s="1001"/>
      <c r="M9" s="1001"/>
    </row>
    <row r="10" spans="2:15" s="3" customFormat="1" ht="13.2" x14ac:dyDescent="0.25">
      <c r="B10" s="313" t="str">
        <f>'5. PERSON'!B$7</f>
        <v xml:space="preserve">Amounts in: </v>
      </c>
      <c r="C10" s="672" t="str">
        <f>'5. PERSON'!C$7</f>
        <v>SEK</v>
      </c>
      <c r="D10" s="268"/>
      <c r="E10" s="268"/>
      <c r="F10" s="268"/>
      <c r="G10" s="234"/>
      <c r="H10" s="234"/>
      <c r="I10" s="270"/>
      <c r="J10" s="270"/>
      <c r="K10" s="270"/>
      <c r="L10" s="270"/>
      <c r="M10" s="270"/>
    </row>
    <row r="11" spans="2:15" s="3" customFormat="1" ht="13.2" x14ac:dyDescent="0.25">
      <c r="B11" s="313"/>
      <c r="C11" s="1053" t="str">
        <f>'3. PARTNER'!D$7</f>
        <v>Other basic data about the project is in sheet 2.</v>
      </c>
      <c r="D11" s="1001"/>
      <c r="E11" s="1001"/>
      <c r="F11" s="1001"/>
      <c r="G11" s="234"/>
      <c r="H11" s="234"/>
      <c r="I11" s="270"/>
      <c r="J11" s="270"/>
      <c r="K11" s="270"/>
      <c r="L11" s="270"/>
      <c r="M11" s="270"/>
    </row>
    <row r="13" spans="2:15" x14ac:dyDescent="0.2">
      <c r="B13" s="1287" t="s">
        <v>27</v>
      </c>
      <c r="C13" s="1289" t="str">
        <f>IF('1. INTRO'!$I$2="English","Full cost","Full kostnad")</f>
        <v>Full cost</v>
      </c>
      <c r="D13" s="1288"/>
      <c r="E13" s="1290" t="str">
        <f>IF('1. INTRO'!$I$2="English","WP name","WP namn")</f>
        <v>WP name</v>
      </c>
      <c r="F13" s="1288"/>
      <c r="G13" s="1288"/>
      <c r="H13" s="1288"/>
      <c r="I13" s="1288"/>
      <c r="J13" s="1261" t="str">
        <f>IF('1. INTRO'!$I$2="English","Person months","Person månader")</f>
        <v>Person months</v>
      </c>
    </row>
    <row r="14" spans="2:15" ht="12.9" customHeight="1" x14ac:dyDescent="0.2">
      <c r="B14" s="1288"/>
      <c r="C14" s="1288"/>
      <c r="D14" s="1288"/>
      <c r="E14" s="1291"/>
      <c r="F14" s="1291"/>
      <c r="G14" s="1291"/>
      <c r="H14" s="1291"/>
      <c r="I14" s="1291"/>
      <c r="J14" s="1262"/>
    </row>
    <row r="15" spans="2:15" ht="15" customHeight="1" x14ac:dyDescent="0.25">
      <c r="B15" s="893" t="s">
        <v>14</v>
      </c>
      <c r="C15" s="1219" t="str">
        <f>IF(M69=0,"",M69)</f>
        <v/>
      </c>
      <c r="D15" s="1295"/>
      <c r="E15" s="1292" t="str">
        <f>IF('4. WP'!C12="","",'4. WP'!C12)</f>
        <v/>
      </c>
      <c r="F15" s="1293"/>
      <c r="G15" s="1293"/>
      <c r="H15" s="1293"/>
      <c r="I15" s="1294"/>
      <c r="J15" s="888" t="str">
        <f>IF(L43=0,"",L43)</f>
        <v/>
      </c>
    </row>
    <row r="16" spans="2:15" ht="15" customHeight="1" x14ac:dyDescent="0.25">
      <c r="B16" s="894" t="s">
        <v>15</v>
      </c>
      <c r="C16" s="1174" t="str">
        <f>IF(M121=0,"",M121)</f>
        <v/>
      </c>
      <c r="D16" s="1155"/>
      <c r="E16" s="1279" t="str">
        <f>IF('4. WP'!C13="","",'4. WP'!C13)</f>
        <v/>
      </c>
      <c r="F16" s="1200"/>
      <c r="G16" s="1200"/>
      <c r="H16" s="1200"/>
      <c r="I16" s="1280"/>
      <c r="J16" s="900" t="str">
        <f>IF(L95=0,"",L95)</f>
        <v/>
      </c>
    </row>
    <row r="17" spans="2:10" ht="15" customHeight="1" x14ac:dyDescent="0.25">
      <c r="B17" s="895" t="s">
        <v>16</v>
      </c>
      <c r="C17" s="1208" t="str">
        <f>IF(M173=0,"",M173)</f>
        <v/>
      </c>
      <c r="D17" s="1286"/>
      <c r="E17" s="1276" t="str">
        <f>IF('4. WP'!C14="","",'4. WP'!C14)</f>
        <v/>
      </c>
      <c r="F17" s="1277"/>
      <c r="G17" s="1277"/>
      <c r="H17" s="1277"/>
      <c r="I17" s="1278"/>
      <c r="J17" s="890" t="str">
        <f>IF(L147=0,"",L147)</f>
        <v/>
      </c>
    </row>
    <row r="18" spans="2:10" ht="15" customHeight="1" x14ac:dyDescent="0.25">
      <c r="B18" s="894" t="s">
        <v>17</v>
      </c>
      <c r="C18" s="1174" t="str">
        <f>IF(M225=0,"",M225)</f>
        <v/>
      </c>
      <c r="D18" s="1155"/>
      <c r="E18" s="1279" t="str">
        <f>IF('4. WP'!C15="","",'4. WP'!C15)</f>
        <v/>
      </c>
      <c r="F18" s="1200"/>
      <c r="G18" s="1200"/>
      <c r="H18" s="1200"/>
      <c r="I18" s="1280"/>
      <c r="J18" s="900" t="str">
        <f>IF(L199=0,"",L199)</f>
        <v/>
      </c>
    </row>
    <row r="19" spans="2:10" ht="15" customHeight="1" x14ac:dyDescent="0.25">
      <c r="B19" s="895" t="s">
        <v>18</v>
      </c>
      <c r="C19" s="1208" t="str">
        <f>IF(M277=0,"",M277)</f>
        <v/>
      </c>
      <c r="D19" s="1286"/>
      <c r="E19" s="1276" t="str">
        <f>IF('4. WP'!C16="","",'4. WP'!C16)</f>
        <v/>
      </c>
      <c r="F19" s="1277"/>
      <c r="G19" s="1277"/>
      <c r="H19" s="1277"/>
      <c r="I19" s="1278"/>
      <c r="J19" s="890" t="str">
        <f>IF(L251=0,"",L251)</f>
        <v/>
      </c>
    </row>
    <row r="20" spans="2:10" ht="15" customHeight="1" x14ac:dyDescent="0.25">
      <c r="B20" s="894" t="s">
        <v>19</v>
      </c>
      <c r="C20" s="1174" t="str">
        <f>IF(M329=0,"",M329)</f>
        <v/>
      </c>
      <c r="D20" s="1155"/>
      <c r="E20" s="1279" t="str">
        <f>IF('4. WP'!C17="","",'4. WP'!C17)</f>
        <v/>
      </c>
      <c r="F20" s="1200"/>
      <c r="G20" s="1200"/>
      <c r="H20" s="1200"/>
      <c r="I20" s="1280"/>
      <c r="J20" s="900" t="str">
        <f>IF(L303=0,"",L303)</f>
        <v/>
      </c>
    </row>
    <row r="21" spans="2:10" ht="15" customHeight="1" x14ac:dyDescent="0.25">
      <c r="B21" s="895" t="s">
        <v>20</v>
      </c>
      <c r="C21" s="1208" t="str">
        <f>IF(M381=0,"",M381)</f>
        <v/>
      </c>
      <c r="D21" s="1286"/>
      <c r="E21" s="1276" t="str">
        <f>IF('4. WP'!C18="","",'4. WP'!C18)</f>
        <v/>
      </c>
      <c r="F21" s="1277"/>
      <c r="G21" s="1277"/>
      <c r="H21" s="1277"/>
      <c r="I21" s="1278"/>
      <c r="J21" s="890" t="str">
        <f>IF(L355=0,"",L355)</f>
        <v/>
      </c>
    </row>
    <row r="22" spans="2:10" ht="15" customHeight="1" x14ac:dyDescent="0.25">
      <c r="B22" s="894" t="s">
        <v>21</v>
      </c>
      <c r="C22" s="1174" t="str">
        <f>IF(M433=0,"",M433)</f>
        <v/>
      </c>
      <c r="D22" s="1155"/>
      <c r="E22" s="1279" t="str">
        <f>IF('4. WP'!C19="","",'4. WP'!C19)</f>
        <v/>
      </c>
      <c r="F22" s="1200"/>
      <c r="G22" s="1200"/>
      <c r="H22" s="1200"/>
      <c r="I22" s="1280"/>
      <c r="J22" s="900" t="str">
        <f>IF(L407=0,"",L407)</f>
        <v/>
      </c>
    </row>
    <row r="23" spans="2:10" ht="15" customHeight="1" x14ac:dyDescent="0.25">
      <c r="B23" s="895" t="s">
        <v>22</v>
      </c>
      <c r="C23" s="1208" t="str">
        <f>IF(M485=0,"",M485)</f>
        <v/>
      </c>
      <c r="D23" s="1286"/>
      <c r="E23" s="1276" t="str">
        <f>IF('4. WP'!C20="","",'4. WP'!C20)</f>
        <v/>
      </c>
      <c r="F23" s="1277"/>
      <c r="G23" s="1277"/>
      <c r="H23" s="1277"/>
      <c r="I23" s="1278"/>
      <c r="J23" s="890" t="str">
        <f>IF(L459=0,"",L459)</f>
        <v/>
      </c>
    </row>
    <row r="24" spans="2:10" ht="15" customHeight="1" x14ac:dyDescent="0.25">
      <c r="B24" s="894" t="s">
        <v>23</v>
      </c>
      <c r="C24" s="1174" t="str">
        <f>IF(M537=0,"",M537)</f>
        <v/>
      </c>
      <c r="D24" s="1155"/>
      <c r="E24" s="1279" t="str">
        <f>IF('4. WP'!C21="","",'4. WP'!C21)</f>
        <v/>
      </c>
      <c r="F24" s="1200"/>
      <c r="G24" s="1200"/>
      <c r="H24" s="1200"/>
      <c r="I24" s="1280"/>
      <c r="J24" s="900" t="str">
        <f>IF(L511=0,"",L511)</f>
        <v/>
      </c>
    </row>
    <row r="25" spans="2:10" ht="15" customHeight="1" x14ac:dyDescent="0.25">
      <c r="B25" s="896" t="s">
        <v>138</v>
      </c>
      <c r="C25" s="1208" t="str">
        <f>IF(M589=0,"",M589)</f>
        <v/>
      </c>
      <c r="D25" s="1286"/>
      <c r="E25" s="1276" t="str">
        <f>IF('4. WP'!C22="","",'4. WP'!C22)</f>
        <v/>
      </c>
      <c r="F25" s="1277"/>
      <c r="G25" s="1277"/>
      <c r="H25" s="1277"/>
      <c r="I25" s="1278"/>
      <c r="J25" s="890" t="str">
        <f>IF(L563=0,"",L563)</f>
        <v/>
      </c>
    </row>
    <row r="26" spans="2:10" ht="15" customHeight="1" x14ac:dyDescent="0.25">
      <c r="B26" s="897" t="s">
        <v>139</v>
      </c>
      <c r="C26" s="1174" t="str">
        <f>IF(M641=0,"",M641)</f>
        <v/>
      </c>
      <c r="D26" s="1155"/>
      <c r="E26" s="1279" t="str">
        <f>IF('4. WP'!C23="","",'4. WP'!C23)</f>
        <v/>
      </c>
      <c r="F26" s="1200"/>
      <c r="G26" s="1200"/>
      <c r="H26" s="1200"/>
      <c r="I26" s="1280"/>
      <c r="J26" s="900" t="str">
        <f>IF(L615=0,"",L615)</f>
        <v/>
      </c>
    </row>
    <row r="27" spans="2:10" ht="15" customHeight="1" x14ac:dyDescent="0.25">
      <c r="B27" s="896" t="s">
        <v>140</v>
      </c>
      <c r="C27" s="1208" t="str">
        <f>IF(M693=0,"",M693)</f>
        <v/>
      </c>
      <c r="D27" s="1286"/>
      <c r="E27" s="1276" t="str">
        <f>IF('4. WP'!C24="","",'4. WP'!C24)</f>
        <v/>
      </c>
      <c r="F27" s="1277"/>
      <c r="G27" s="1277"/>
      <c r="H27" s="1277"/>
      <c r="I27" s="1278"/>
      <c r="J27" s="890" t="str">
        <f>IF(L667=0,"",L667)</f>
        <v/>
      </c>
    </row>
    <row r="28" spans="2:10" ht="15" customHeight="1" x14ac:dyDescent="0.25">
      <c r="B28" s="897" t="s">
        <v>141</v>
      </c>
      <c r="C28" s="1174" t="str">
        <f>IF(M745=0,"",M745)</f>
        <v/>
      </c>
      <c r="D28" s="1155"/>
      <c r="E28" s="1279" t="str">
        <f>IF('4. WP'!C25="","",'4. WP'!C25)</f>
        <v/>
      </c>
      <c r="F28" s="1200"/>
      <c r="G28" s="1200"/>
      <c r="H28" s="1200"/>
      <c r="I28" s="1280"/>
      <c r="J28" s="900" t="str">
        <f>IF(L719=0,"",L719)</f>
        <v/>
      </c>
    </row>
    <row r="29" spans="2:10" ht="15" customHeight="1" x14ac:dyDescent="0.25">
      <c r="B29" s="896" t="s">
        <v>142</v>
      </c>
      <c r="C29" s="1208" t="str">
        <f>IF(M797=0,"",M797)</f>
        <v/>
      </c>
      <c r="D29" s="1286"/>
      <c r="E29" s="1276" t="str">
        <f>IF('4. WP'!C26="","",'4. WP'!C26)</f>
        <v/>
      </c>
      <c r="F29" s="1277"/>
      <c r="G29" s="1277"/>
      <c r="H29" s="1277"/>
      <c r="I29" s="1278"/>
      <c r="J29" s="890" t="str">
        <f>IF(L771=0,"",L771)</f>
        <v/>
      </c>
    </row>
    <row r="30" spans="2:10" ht="15" customHeight="1" x14ac:dyDescent="0.25">
      <c r="B30" s="897" t="s">
        <v>143</v>
      </c>
      <c r="C30" s="1174" t="str">
        <f>IF(M849=0,"",M849)</f>
        <v/>
      </c>
      <c r="D30" s="1155"/>
      <c r="E30" s="1279" t="str">
        <f>IF('4. WP'!C27="","",'4. WP'!C27)</f>
        <v/>
      </c>
      <c r="F30" s="1200"/>
      <c r="G30" s="1200"/>
      <c r="H30" s="1200"/>
      <c r="I30" s="1280"/>
      <c r="J30" s="900" t="str">
        <f>IF(L823=0,"",L823)</f>
        <v/>
      </c>
    </row>
    <row r="31" spans="2:10" ht="15" customHeight="1" x14ac:dyDescent="0.25">
      <c r="B31" s="896" t="s">
        <v>144</v>
      </c>
      <c r="C31" s="1208" t="str">
        <f>IF(M901=0,"",M901)</f>
        <v/>
      </c>
      <c r="D31" s="1286"/>
      <c r="E31" s="1276" t="str">
        <f>IF('4. WP'!C28="","",'4. WP'!C28)</f>
        <v/>
      </c>
      <c r="F31" s="1277"/>
      <c r="G31" s="1277"/>
      <c r="H31" s="1277"/>
      <c r="I31" s="1278"/>
      <c r="J31" s="890" t="str">
        <f>IF(L875=0,"",L875)</f>
        <v/>
      </c>
    </row>
    <row r="32" spans="2:10" ht="15" customHeight="1" x14ac:dyDescent="0.25">
      <c r="B32" s="897" t="s">
        <v>145</v>
      </c>
      <c r="C32" s="1174" t="str">
        <f>IF(M953=0,"",M953)</f>
        <v/>
      </c>
      <c r="D32" s="1155"/>
      <c r="E32" s="1279" t="str">
        <f>IF('4. WP'!C29="","",'4. WP'!C29)</f>
        <v/>
      </c>
      <c r="F32" s="1200"/>
      <c r="G32" s="1200"/>
      <c r="H32" s="1200"/>
      <c r="I32" s="1280"/>
      <c r="J32" s="900" t="str">
        <f>IF(L927=0,"",L927)</f>
        <v/>
      </c>
    </row>
    <row r="33" spans="2:15" ht="15" customHeight="1" x14ac:dyDescent="0.25">
      <c r="B33" s="896" t="s">
        <v>146</v>
      </c>
      <c r="C33" s="1208" t="str">
        <f>IF(M1005=0,"",M1005)</f>
        <v/>
      </c>
      <c r="D33" s="1286"/>
      <c r="E33" s="1276" t="str">
        <f>IF('4. WP'!C30="","",'4. WP'!C30)</f>
        <v/>
      </c>
      <c r="F33" s="1277"/>
      <c r="G33" s="1277"/>
      <c r="H33" s="1277"/>
      <c r="I33" s="1278"/>
      <c r="J33" s="890" t="str">
        <f>IF(L979=0,"",L979)</f>
        <v/>
      </c>
    </row>
    <row r="34" spans="2:15" ht="15" customHeight="1" x14ac:dyDescent="0.25">
      <c r="B34" s="898" t="s">
        <v>147</v>
      </c>
      <c r="C34" s="1174" t="str">
        <f>IF(M1057=0,"",M1057)</f>
        <v/>
      </c>
      <c r="D34" s="1155"/>
      <c r="E34" s="1281" t="str">
        <f>IF('4. WP'!C31="","",'4. WP'!C31)</f>
        <v/>
      </c>
      <c r="F34" s="1282"/>
      <c r="G34" s="1282"/>
      <c r="H34" s="1282"/>
      <c r="I34" s="1283"/>
      <c r="J34" s="900" t="str">
        <f>IF(L1031=0,"",L1031)</f>
        <v/>
      </c>
    </row>
    <row r="35" spans="2:15" ht="12.9" customHeight="1" x14ac:dyDescent="0.25">
      <c r="B35" s="260" t="s">
        <v>104</v>
      </c>
      <c r="C35" s="1284" t="str">
        <f>IF(M1109=0,"",M1109)</f>
        <v/>
      </c>
      <c r="D35" s="1285"/>
      <c r="E35" s="72"/>
      <c r="F35" s="72"/>
      <c r="G35" s="72"/>
      <c r="H35" s="72"/>
      <c r="I35" s="72"/>
      <c r="J35" s="901" t="str">
        <f>IF(L1083=0,"",L1083)</f>
        <v/>
      </c>
    </row>
    <row r="36" spans="2:15" ht="12" customHeight="1" x14ac:dyDescent="0.2"/>
    <row r="37" spans="2:15" s="3" customFormat="1" ht="12.75" customHeight="1" x14ac:dyDescent="0.25">
      <c r="B37" s="313" t="str">
        <f>'3. PARTNER'!C$4</f>
        <v xml:space="preserve">Project: </v>
      </c>
      <c r="C37" s="1062" t="str">
        <f>'3. PARTNER'!D$4</f>
        <v/>
      </c>
      <c r="D37" s="1001"/>
      <c r="E37" s="1001"/>
      <c r="F37" s="1001"/>
      <c r="G37" s="1001"/>
      <c r="H37" s="1001"/>
      <c r="I37" s="1001"/>
      <c r="J37" s="1001"/>
      <c r="K37" s="1001"/>
      <c r="L37" s="1001"/>
      <c r="M37" s="1001"/>
    </row>
    <row r="38" spans="2:15" s="3" customFormat="1" ht="13.2" x14ac:dyDescent="0.25">
      <c r="B38" s="313" t="str">
        <f>'3. PARTNER'!C$5</f>
        <v xml:space="preserve">Calculation for: </v>
      </c>
      <c r="C38" s="1062" t="str">
        <f>'3. PARTNER'!D$5</f>
        <v>APPLICATION</v>
      </c>
      <c r="D38" s="1001"/>
      <c r="E38" s="268"/>
      <c r="F38" s="268"/>
      <c r="G38" s="268"/>
      <c r="H38" s="268"/>
      <c r="I38" s="268"/>
      <c r="J38" s="268"/>
      <c r="K38" s="268"/>
      <c r="L38" s="268"/>
      <c r="M38" s="268"/>
    </row>
    <row r="39" spans="2:15" s="3" customFormat="1" ht="13.2" x14ac:dyDescent="0.25">
      <c r="B39" s="35" t="str">
        <f>'3. PARTNER'!C$6</f>
        <v xml:space="preserve">Project leader: </v>
      </c>
      <c r="C39" s="1062" t="str">
        <f>'3. PARTNER'!D$6</f>
        <v/>
      </c>
      <c r="D39" s="1001"/>
      <c r="E39" s="1001"/>
      <c r="F39" s="1001"/>
      <c r="G39" s="1001"/>
      <c r="H39" s="1001"/>
      <c r="I39" s="1001"/>
      <c r="J39" s="1001"/>
      <c r="K39" s="1001"/>
      <c r="L39" s="1001"/>
      <c r="M39" s="1001"/>
    </row>
    <row r="40" spans="2:15" s="3" customFormat="1" ht="13.2" x14ac:dyDescent="0.25">
      <c r="B40" s="313" t="str">
        <f>'5. PERSON'!B$7</f>
        <v xml:space="preserve">Amounts in: </v>
      </c>
      <c r="C40" s="672" t="str">
        <f>'5. PERSON'!C$7</f>
        <v>SEK</v>
      </c>
      <c r="D40" s="268"/>
      <c r="E40" s="268"/>
      <c r="F40" s="268"/>
      <c r="G40" s="234"/>
      <c r="H40" s="234"/>
      <c r="I40" s="270"/>
      <c r="J40" s="270"/>
      <c r="K40" s="270"/>
      <c r="L40" s="270"/>
      <c r="M40" s="270"/>
    </row>
    <row r="41" spans="2:15" s="3" customFormat="1" ht="13.2" x14ac:dyDescent="0.25">
      <c r="B41" s="313"/>
      <c r="C41" s="1053" t="str">
        <f>'3. PARTNER'!D$7</f>
        <v>Other basic data about the project is in sheet 2.</v>
      </c>
      <c r="D41" s="1001"/>
      <c r="E41" s="1001"/>
      <c r="F41" s="1001"/>
      <c r="G41" s="234"/>
      <c r="H41" s="234"/>
      <c r="I41" s="270"/>
      <c r="J41" s="270"/>
      <c r="K41" s="270"/>
      <c r="L41" s="251" t="s">
        <v>4</v>
      </c>
      <c r="M41" s="270"/>
    </row>
    <row r="42" spans="2:15" ht="12.75" customHeight="1" x14ac:dyDescent="0.25">
      <c r="L42" s="641" t="str">
        <f>IF('1. INTRO'!I$2="English","months","månader")</f>
        <v>months</v>
      </c>
    </row>
    <row r="43" spans="2:15" s="3" customFormat="1" ht="13.8" x14ac:dyDescent="0.25">
      <c r="B43" s="157" t="str">
        <f>IF('1. INTRO'!I$2="English","Project costs","Projektkostnader")</f>
        <v>Project costs</v>
      </c>
      <c r="C43" s="157" t="str">
        <f>B15</f>
        <v>WP 1</v>
      </c>
      <c r="D43" s="3" t="str">
        <f>E15</f>
        <v/>
      </c>
      <c r="E43" s="37"/>
      <c r="G43" s="37"/>
      <c r="H43" s="37"/>
      <c r="I43" s="37"/>
      <c r="J43" s="37"/>
      <c r="K43" s="70"/>
      <c r="L43" s="899">
        <f>SUMIF('5. PERSON'!$D$17:$D$192,$C43,'5. PERSON'!AE$17:AE$192)</f>
        <v>0</v>
      </c>
      <c r="M43" s="680" t="s">
        <v>330</v>
      </c>
    </row>
    <row r="44" spans="2:15" s="3" customFormat="1" ht="6" customHeight="1" x14ac:dyDescent="0.25">
      <c r="B44" s="57"/>
      <c r="C44" s="37"/>
      <c r="D44" s="37"/>
      <c r="E44" s="37"/>
      <c r="F44" s="37"/>
      <c r="G44" s="37"/>
      <c r="H44" s="37"/>
      <c r="I44" s="37"/>
      <c r="J44" s="37"/>
      <c r="K44" s="37"/>
      <c r="L44" s="37"/>
      <c r="M44" s="37"/>
    </row>
    <row r="45" spans="2:15" s="234" customFormat="1" ht="13.2" x14ac:dyDescent="0.25">
      <c r="B45" s="110" t="str">
        <f>IF('1. INTRO'!I$2="English","Costs to be covered by funding body","Kostnader att täckas av finansiär")</f>
        <v>Costs to be covered by funding body</v>
      </c>
      <c r="C45" s="607">
        <f>'5. PERSON'!G$15</f>
        <v>1900</v>
      </c>
      <c r="D45" s="607" t="str">
        <f>'5. PERSON'!H$15</f>
        <v/>
      </c>
      <c r="E45" s="607" t="str">
        <f>'5. PERSON'!I$15</f>
        <v/>
      </c>
      <c r="F45" s="607" t="str">
        <f>'5. PERSON'!J$15</f>
        <v/>
      </c>
      <c r="G45" s="607" t="str">
        <f>'5. PERSON'!K$15</f>
        <v/>
      </c>
      <c r="H45" s="607" t="str">
        <f>'5. PERSON'!L$15</f>
        <v/>
      </c>
      <c r="I45" s="607" t="str">
        <f>'5. PERSON'!M$15</f>
        <v/>
      </c>
      <c r="J45" s="607" t="str">
        <f>'5. PERSON'!N$15</f>
        <v/>
      </c>
      <c r="K45" s="607" t="str">
        <f>'5. PERSON'!O$15</f>
        <v/>
      </c>
      <c r="L45" s="607" t="str">
        <f>'5. PERSON'!P$15</f>
        <v/>
      </c>
      <c r="M45" s="608" t="s">
        <v>2</v>
      </c>
    </row>
    <row r="46" spans="2:15" s="234" customFormat="1" ht="12.75" customHeight="1" x14ac:dyDescent="0.25">
      <c r="B46" s="902" t="str">
        <f>IF('1. INTRO'!I$2="English","Salary including social costs (LKP)","Lön inklusive LKP")</f>
        <v>Salary including social costs (LKP)</v>
      </c>
      <c r="C46" s="610">
        <f>IF('2. START'!$C$14&gt;0,SUMIF('5. PERSON'!$D$17:$D$192,$C43,'5. PERSON'!DN$17:DN$192),SUMIF('5. PERSON'!$D$17:$D$192,$C43,'5. PERSON'!AT$17:AT$192))</f>
        <v>0</v>
      </c>
      <c r="D46" s="610">
        <f>IF('2. START'!$C$14&gt;0,SUMIF('5. PERSON'!$D$17:$D$192,$C43,'5. PERSON'!DO$17:DO$192),SUMIF('5. PERSON'!$D$17:$D$192,$C43,'5. PERSON'!AU$17:AU$192))</f>
        <v>0</v>
      </c>
      <c r="E46" s="610">
        <f>IF('2. START'!$C$14&gt;0,SUMIF('5. PERSON'!$D$17:$D$192,$C43,'5. PERSON'!DP$17:DP$192),SUMIF('5. PERSON'!$D$17:$D$192,$C43,'5. PERSON'!AV$17:AV$192))</f>
        <v>0</v>
      </c>
      <c r="F46" s="610">
        <f>IF('2. START'!$C$14&gt;0,SUMIF('5. PERSON'!$D$17:$D$192,$C43,'5. PERSON'!DQ$17:DQ$192),SUMIF('5. PERSON'!$D$17:$D$192,$C43,'5. PERSON'!AW$17:AW$192))</f>
        <v>0</v>
      </c>
      <c r="G46" s="610">
        <f>IF('2. START'!$C$14&gt;0,SUMIF('5. PERSON'!$D$17:$D$192,$C43,'5. PERSON'!DR$17:DR$192),SUMIF('5. PERSON'!$D$17:$D$192,$C43,'5. PERSON'!AX$17:AX$192))</f>
        <v>0</v>
      </c>
      <c r="H46" s="610">
        <f>IF('2. START'!$C$14&gt;0,SUMIF('5. PERSON'!$D$17:$D$192,$C43,'5. PERSON'!DS$17:DS$192),SUMIF('5. PERSON'!$D$17:$D$192,$C43,'5. PERSON'!AY$17:AY$192))</f>
        <v>0</v>
      </c>
      <c r="I46" s="610">
        <f>IF('2. START'!$C$14&gt;0,SUMIF('5. PERSON'!$D$17:$D$192,$C43,'5. PERSON'!DT$17:DT$192),SUMIF('5. PERSON'!$D$17:$D$192,$C43,'5. PERSON'!AZ$17:AZ$192))</f>
        <v>0</v>
      </c>
      <c r="J46" s="610">
        <f>IF('2. START'!$C$14&gt;0,SUMIF('5. PERSON'!$D$17:$D$192,$C43,'5. PERSON'!DU$17:DU$192),SUMIF('5. PERSON'!$D$17:$D$192,$C43,'5. PERSON'!BA$17:BA$192))</f>
        <v>0</v>
      </c>
      <c r="K46" s="610">
        <f>IF('2. START'!$C$14&gt;0,SUMIF('5. PERSON'!$D$17:$D$192,$C43,'5. PERSON'!DV$17:DV$192),SUMIF('5. PERSON'!$D$17:$D$192,$C43,'5. PERSON'!BB$17:BB$192))</f>
        <v>0</v>
      </c>
      <c r="L46" s="610">
        <f>IF('2. START'!$C$14&gt;0,SUMIF('5. PERSON'!$D$17:$D$192,$C43,'5. PERSON'!DW$17:DW$192),SUMIF('5. PERSON'!$D$17:$D$192,$C43,'5. PERSON'!BC$17:BC$192))</f>
        <v>0</v>
      </c>
      <c r="M46" s="903">
        <f t="shared" ref="M46:M51" si="0">SUM(C46:L46)</f>
        <v>0</v>
      </c>
      <c r="O46" s="904"/>
    </row>
    <row r="47" spans="2:15" s="234" customFormat="1" ht="12.75" customHeight="1" x14ac:dyDescent="0.25">
      <c r="B47" s="377" t="str">
        <f>IF('1. INTRO'!I$2="English","Operating","Drift")</f>
        <v>Operating</v>
      </c>
      <c r="C47" s="615">
        <f>SUMIF('6. OPERATION'!$D$17:$D$149,$C43,'6. OPERATION'!W$17:W$149)</f>
        <v>0</v>
      </c>
      <c r="D47" s="615">
        <f>SUMIF('6. OPERATION'!$D$17:$D$149,$C43,'6. OPERATION'!X$17:X$149)</f>
        <v>0</v>
      </c>
      <c r="E47" s="615">
        <f>SUMIF('6. OPERATION'!$D$17:$D$149,$C43,'6. OPERATION'!Y$17:Y$149)</f>
        <v>0</v>
      </c>
      <c r="F47" s="615">
        <f>SUMIF('6. OPERATION'!$D$17:$D$149,$C43,'6. OPERATION'!Z$17:Z$149)</f>
        <v>0</v>
      </c>
      <c r="G47" s="615">
        <f>SUMIF('6. OPERATION'!$D$17:$D$149,$C43,'6. OPERATION'!AA$17:AA$149)</f>
        <v>0</v>
      </c>
      <c r="H47" s="615">
        <f>SUMIF('6. OPERATION'!$D$17:$D$149,$C43,'6. OPERATION'!AB$17:AB$149)</f>
        <v>0</v>
      </c>
      <c r="I47" s="615">
        <f>SUMIF('6. OPERATION'!$D$17:$D$149,$C43,'6. OPERATION'!AC$17:AC$149)</f>
        <v>0</v>
      </c>
      <c r="J47" s="615">
        <f>SUMIF('6. OPERATION'!$D$17:$D$149,$C43,'6. OPERATION'!AD$17:AD$149)</f>
        <v>0</v>
      </c>
      <c r="K47" s="615">
        <f>SUMIF('6. OPERATION'!$D$17:$D$149,$C43,'6. OPERATION'!AE$17:AE$149)</f>
        <v>0</v>
      </c>
      <c r="L47" s="615">
        <f>SUMIF('6. OPERATION'!$D$17:$D$149,$C43,'6. OPERATION'!AF$17:AF$149)</f>
        <v>0</v>
      </c>
      <c r="M47" s="905">
        <f t="shared" si="0"/>
        <v>0</v>
      </c>
    </row>
    <row r="48" spans="2:15" s="234" customFormat="1" ht="13.2" x14ac:dyDescent="0.25">
      <c r="B48" s="906" t="str">
        <f>IF('1. INTRO'!I$2="English","Equipment","Utrustning")</f>
        <v>Equipment</v>
      </c>
      <c r="C48" s="620">
        <f>SUMIF('7. INVEST'!$D$17:$D$49,$C43,'7. INVEST'!W$17:W$49)</f>
        <v>0</v>
      </c>
      <c r="D48" s="620">
        <f>SUMIF('7. INVEST'!$D$17:$D$49,$C43,'7. INVEST'!X$17:X$49)</f>
        <v>0</v>
      </c>
      <c r="E48" s="620">
        <f>SUMIF('7. INVEST'!$D$17:$D$49,$C43,'7. INVEST'!Y$17:Y$49)</f>
        <v>0</v>
      </c>
      <c r="F48" s="620">
        <f>SUMIF('7. INVEST'!$D$17:$D$49,$C43,'7. INVEST'!Z$17:Z$49)</f>
        <v>0</v>
      </c>
      <c r="G48" s="620">
        <f>SUMIF('7. INVEST'!$D$17:$D$49,$C43,'7. INVEST'!AA$17:AA$49)</f>
        <v>0</v>
      </c>
      <c r="H48" s="620">
        <f>SUMIF('7. INVEST'!$D$17:$D$49,$C43,'7. INVEST'!AB$17:AB$49)</f>
        <v>0</v>
      </c>
      <c r="I48" s="620">
        <f>SUMIF('7. INVEST'!$D$17:$D$49,$C43,'7. INVEST'!AC$17:AC$49)</f>
        <v>0</v>
      </c>
      <c r="J48" s="620">
        <f>SUMIF('7. INVEST'!$D$17:$D$49,$C43,'7. INVEST'!AD$17:AD$49)</f>
        <v>0</v>
      </c>
      <c r="K48" s="620">
        <f>SUMIF('7. INVEST'!$D$17:$D$49,$C43,'7. INVEST'!AE$17:AE$49)</f>
        <v>0</v>
      </c>
      <c r="L48" s="620">
        <f>SUMIF('7. INVEST'!$D$17:$D$49,$C43,'7. INVEST'!AF$17:AF$49)</f>
        <v>0</v>
      </c>
      <c r="M48" s="907">
        <f t="shared" si="0"/>
        <v>0</v>
      </c>
    </row>
    <row r="49" spans="2:15" s="234" customFormat="1" ht="13.2" x14ac:dyDescent="0.25">
      <c r="B49" s="121" t="str">
        <f>IF('1. INTRO'!I$2="English",(IF('2. START'!C$11="NO","Facility accepted as direct cost by funding body","Facility")),IF('2. START'!C$11="NO","Lokal accepterad som direkt kostnad av finansiär","Lokal"))</f>
        <v>Facility</v>
      </c>
      <c r="C49" s="615">
        <f>IF('2. START'!$C$11="NO",SUMIF('8. FACILIT'!$D$18:$D$50,$C43,'8. FACILIT'!T$18:T$50),SUMIF('5. PERSON'!$D$17:$D$192,$C43,'5. PERSON'!CP$17:CP$192)+SUMIF('6. OPERATION'!$D$17:$D$149,$C43,'6. OPERATION'!BS$17:BS$149)+SUMIF('8. FACILIT'!$D$18:$D$50,$C43,'8. FACILIT'!T$18:T$50))</f>
        <v>0</v>
      </c>
      <c r="D49" s="615">
        <f>IF('2. START'!$C$11="NO",SUMIF('8. FACILIT'!$D$18:$D$50,$C43,'8. FACILIT'!U$18:U$50),SUMIF('5. PERSON'!$D$17:$D$192,$C43,'5. PERSON'!CQ$17:CQ$192)+SUMIF('6. OPERATION'!$D$17:$D$149,$C43,'6. OPERATION'!BT$17:BT$149)+SUMIF('8. FACILIT'!$D$18:$D$50,$C43,'8. FACILIT'!U$18:U$50))</f>
        <v>0</v>
      </c>
      <c r="E49" s="615">
        <f>IF('2. START'!$C$11="NO",SUMIF('8. FACILIT'!$D$18:$D$50,$C43,'8. FACILIT'!V$18:V$50),SUMIF('5. PERSON'!$D$17:$D$192,$C43,'5. PERSON'!CR$17:CR$192)+SUMIF('6. OPERATION'!$D$17:$D$149,$C43,'6. OPERATION'!BU$17:BU$149)+SUMIF('8. FACILIT'!$D$18:$D$50,$C43,'8. FACILIT'!V$18:V$50))</f>
        <v>0</v>
      </c>
      <c r="F49" s="615">
        <f>IF('2. START'!$C$11="NO",SUMIF('8. FACILIT'!$D$18:$D$50,$C43,'8. FACILIT'!W$18:W$50),SUMIF('5. PERSON'!$D$17:$D$192,$C43,'5. PERSON'!CS$17:CS$192)+SUMIF('6. OPERATION'!$D$17:$D$149,$C43,'6. OPERATION'!BV$17:BV$149)+SUMIF('8. FACILIT'!$D$18:$D$50,$C43,'8. FACILIT'!W$18:W$50))</f>
        <v>0</v>
      </c>
      <c r="G49" s="615">
        <f>IF('2. START'!$C$11="NO",SUMIF('8. FACILIT'!$D$18:$D$50,$C43,'8. FACILIT'!X$18:X$50),SUMIF('5. PERSON'!$D$17:$D$192,$C43,'5. PERSON'!CT$17:CT$192)+SUMIF('6. OPERATION'!$D$17:$D$149,$C43,'6. OPERATION'!BW$17:BW$149)+SUMIF('8. FACILIT'!$D$18:$D$50,$C43,'8. FACILIT'!X$18:X$50))</f>
        <v>0</v>
      </c>
      <c r="H49" s="615">
        <f>IF('2. START'!$C$11="NO",SUMIF('8. FACILIT'!$D$18:$D$50,$C43,'8. FACILIT'!Y$18:Y$50),SUMIF('5. PERSON'!$D$17:$D$192,$C43,'5. PERSON'!CU$17:CU$192)+SUMIF('6. OPERATION'!$D$17:$D$149,$C43,'6. OPERATION'!BX$17:BX$149)+SUMIF('8. FACILIT'!$D$18:$D$50,$C43,'8. FACILIT'!Y$18:Y$50))</f>
        <v>0</v>
      </c>
      <c r="I49" s="615">
        <f>IF('2. START'!$C$11="NO",SUMIF('8. FACILIT'!$D$18:$D$50,$C43,'8. FACILIT'!Z$18:Z$50),SUMIF('5. PERSON'!$D$17:$D$192,$C43,'5. PERSON'!CV$17:CV$192)+SUMIF('6. OPERATION'!$D$17:$D$149,$C43,'6. OPERATION'!BY$17:BY$149)+SUMIF('8. FACILIT'!$D$18:$D$50,$C43,'8. FACILIT'!Z$18:Z$50))</f>
        <v>0</v>
      </c>
      <c r="J49" s="615">
        <f>IF('2. START'!$C$11="NO",SUMIF('8. FACILIT'!$D$18:$D$50,$C43,'8. FACILIT'!AA$18:AA$50),SUMIF('5. PERSON'!$D$17:$D$192,$C43,'5. PERSON'!CW$17:CW$192)+SUMIF('6. OPERATION'!$D$17:$D$149,$C43,'6. OPERATION'!BZ$17:BZ$149)+SUMIF('8. FACILIT'!$D$18:$D$50,$C43,'8. FACILIT'!AA$18:AA$50))</f>
        <v>0</v>
      </c>
      <c r="K49" s="615">
        <f>IF('2. START'!$C$11="NO",SUMIF('8. FACILIT'!$D$18:$D$50,$C43,'8. FACILIT'!AB$18:AB$50),SUMIF('5. PERSON'!$D$17:$D$192,$C43,'5. PERSON'!CX$17:CX$192)+SUMIF('6. OPERATION'!$D$17:$D$149,$C43,'6. OPERATION'!CA$17:CA$149)+SUMIF('8. FACILIT'!$D$18:$D$50,$C43,'8. FACILIT'!AB$18:AB$50))</f>
        <v>0</v>
      </c>
      <c r="L49" s="615">
        <f>IF('2. START'!$C$11="NO",SUMIF('8. FACILIT'!$D$18:$D$50,$C43,'8. FACILIT'!AC$18:AC$50),SUMIF('5. PERSON'!$D$17:$D$192,$C43,'5. PERSON'!CY$17:CY$192)+SUMIF('6. OPERATION'!$D$17:$D$149,$C43,'6. OPERATION'!CB$17:CB$149)+SUMIF('8. FACILIT'!$D$18:$D$50,$C43,'8. FACILIT'!AC$18:AC$50))</f>
        <v>0</v>
      </c>
      <c r="M49" s="905">
        <f t="shared" si="0"/>
        <v>0</v>
      </c>
    </row>
    <row r="50" spans="2:15" s="234" customFormat="1" ht="13.2" x14ac:dyDescent="0.25">
      <c r="B50" s="122" t="str">
        <f>IF('1. INTRO'!I$2="English",(IF('2. START'!C$11="NO","Indirect and facility charge accepted as OH by funding body","Indirect")),IF('2. START'!C$11="NO","Indirekt och lokalpåslag accepterade som OH av finansiär","Indirekt"))</f>
        <v>Indirect</v>
      </c>
      <c r="C50" s="584">
        <f>IF('2. START'!$C$11="NO",SUMIF('5. PERSON'!$D$17:$D$192,$C43,'5. PERSON'!DZ$17:DZ$192)+SUMIF('6. OPERATION'!$D$17:$D$149,$C43,'6. OPERATION'!CQ$17:CQ$149)+SUMIF('7. INVEST'!$D$17:$D$49,$C43,'7. INVEST'!AU$17:AU$49)+SUMIF('8. FACILIT'!$D$18:$D$50,$C43,'8. FACILIT'!AR$18:AR$50),SUMIF('5. PERSON'!$D$17:$D$192,$C43,'5. PERSON'!BR$17:BR$192)+SUMIF('6. OPERATION'!$D$17:$D$149,$C43,'6. OPERATION'!AU$17:AU$149))</f>
        <v>0</v>
      </c>
      <c r="D50" s="584">
        <f>IF('2. START'!$C$11="NO",SUMIF('5. PERSON'!$D$17:$D$192,$C43,'5. PERSON'!EA$17:EA$192)+SUMIF('6. OPERATION'!$D$17:$D$149,$C43,'6. OPERATION'!CR$17:CR$149)+SUMIF('7. INVEST'!$D$17:$D$49,$C43,'7. INVEST'!AV$17:AV$49)+SUMIF('8. FACILIT'!$D$18:$D$101,$C43,'8. FACILIT'!AS$18:AS$50),SUMIF('5. PERSON'!$D$17:$D$192,$C43,'5. PERSON'!BS$17:BS$192)+SUMIF('6. OPERATION'!$D$17:$D$149,$C43,'6. OPERATION'!AV$17:AV$149))</f>
        <v>0</v>
      </c>
      <c r="E50" s="584">
        <f>IF('2. START'!$C$11="NO",SUMIF('5. PERSON'!$D$17:$D$192,$C43,'5. PERSON'!EB$17:EB$192)+SUMIF('6. OPERATION'!$D$17:$D$149,$C43,'6. OPERATION'!CS$17:CS$149)+SUMIF('7. INVEST'!$D$17:$D$49,$C43,'7. INVEST'!AW$17:AW$49)+SUMIF('8. FACILIT'!$D$18:$D$101,$C43,'8. FACILIT'!AT$18:AT$50),SUMIF('5. PERSON'!$D$17:$D$192,$C43,'5. PERSON'!BT$17:BT$192)+SUMIF('6. OPERATION'!$D$17:$D$149,$C43,'6. OPERATION'!AW$17:AW$149))</f>
        <v>0</v>
      </c>
      <c r="F50" s="584">
        <f>IF('2. START'!$C$11="NO",SUMIF('5. PERSON'!$D$17:$D$192,$C43,'5. PERSON'!EC$17:EC$192)+SUMIF('6. OPERATION'!$D$17:$D$149,$C43,'6. OPERATION'!CT$17:CT$149)+SUMIF('7. INVEST'!$D$17:$D$49,$C43,'7. INVEST'!AX$17:AX$49)+SUMIF('8. FACILIT'!$D$18:$D$101,$C43,'8. FACILIT'!AU$18:AU$50),SUMIF('5. PERSON'!$D$17:$D$192,$C43,'5. PERSON'!BU$17:BU$192)+SUMIF('6. OPERATION'!$D$17:$D$149,$C43,'6. OPERATION'!AX$17:AX$149))</f>
        <v>0</v>
      </c>
      <c r="G50" s="584">
        <f>IF('2. START'!$C$11="NO",SUMIF('5. PERSON'!$D$17:$D$192,$C43,'5. PERSON'!ED$17:ED$192)+SUMIF('6. OPERATION'!$D$17:$D$149,$C43,'6. OPERATION'!CU$17:CU$149)+SUMIF('7. INVEST'!$D$17:$D$49,$C43,'7. INVEST'!AY$17:AY$49)+SUMIF('8. FACILIT'!$D$18:$D$101,$C43,'8. FACILIT'!AV$18:AV$50),SUMIF('5. PERSON'!$D$17:$D$192,$C43,'5. PERSON'!BV$17:BV$192)+SUMIF('6. OPERATION'!$D$17:$D$149,$C43,'6. OPERATION'!AY$17:AY$149))</f>
        <v>0</v>
      </c>
      <c r="H50" s="584">
        <f>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584">
        <f>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584">
        <f>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584">
        <f>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584">
        <f>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908">
        <f t="shared" si="0"/>
        <v>0</v>
      </c>
    </row>
    <row r="51" spans="2:15" s="234" customFormat="1" ht="13.2" x14ac:dyDescent="0.25">
      <c r="B51" s="628" t="s">
        <v>113</v>
      </c>
      <c r="C51" s="443">
        <f>SUM(C46:C50)</f>
        <v>0</v>
      </c>
      <c r="D51" s="443">
        <f t="shared" ref="D51:L51" si="1">SUM(D46:D50)</f>
        <v>0</v>
      </c>
      <c r="E51" s="443">
        <f t="shared" si="1"/>
        <v>0</v>
      </c>
      <c r="F51" s="443">
        <f t="shared" si="1"/>
        <v>0</v>
      </c>
      <c r="G51" s="443">
        <f t="shared" si="1"/>
        <v>0</v>
      </c>
      <c r="H51" s="443">
        <f t="shared" si="1"/>
        <v>0</v>
      </c>
      <c r="I51" s="443">
        <f t="shared" si="1"/>
        <v>0</v>
      </c>
      <c r="J51" s="443">
        <f t="shared" si="1"/>
        <v>0</v>
      </c>
      <c r="K51" s="443">
        <f t="shared" si="1"/>
        <v>0</v>
      </c>
      <c r="L51" s="443">
        <f t="shared" si="1"/>
        <v>0</v>
      </c>
      <c r="M51" s="630">
        <f t="shared" si="0"/>
        <v>0</v>
      </c>
    </row>
    <row r="52" spans="2:15" s="234" customFormat="1" ht="6" customHeight="1" x14ac:dyDescent="0.25">
      <c r="B52" s="909"/>
      <c r="C52" s="127"/>
      <c r="D52" s="127"/>
      <c r="E52" s="127"/>
      <c r="F52" s="127"/>
      <c r="G52" s="127"/>
      <c r="H52" s="127"/>
      <c r="I52" s="127"/>
      <c r="J52" s="127"/>
      <c r="K52" s="127"/>
      <c r="L52" s="127"/>
      <c r="M52" s="633"/>
    </row>
    <row r="53" spans="2:15" s="234" customFormat="1" ht="13.2" x14ac:dyDescent="0.25">
      <c r="B53" s="129" t="str">
        <f>IF('1. INTRO'!I$2="English","Costs to be co-funded","Kostnader att medfinansiera")</f>
        <v>Costs to be co-funded</v>
      </c>
      <c r="C53" s="634"/>
      <c r="D53" s="634"/>
      <c r="E53" s="634"/>
      <c r="F53" s="634"/>
      <c r="G53" s="634"/>
      <c r="H53" s="634"/>
      <c r="I53" s="634"/>
      <c r="J53" s="634"/>
      <c r="K53" s="634"/>
      <c r="L53" s="634"/>
      <c r="M53" s="129"/>
    </row>
    <row r="54" spans="2:15" s="234" customFormat="1" ht="13.2" x14ac:dyDescent="0.25">
      <c r="B54" s="159" t="str">
        <f>IF('1. INTRO'!I$2="English",(IF('2. START'!C$11="NO","Indirect and facility charge not accepted as OH by funding body","")),IF('2. START'!C$11="NO","Indirekt och lokalpåslag inte accepterade som OH av finansiär",""))</f>
        <v/>
      </c>
      <c r="C54" s="910">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0</v>
      </c>
      <c r="D54" s="910">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0</v>
      </c>
      <c r="E54" s="910">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0</v>
      </c>
      <c r="F54" s="910">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0</v>
      </c>
      <c r="G54" s="910">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0</v>
      </c>
      <c r="H54" s="910">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910">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910">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910">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910">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903">
        <f t="shared" ref="M54:M60" si="2">SUM(C54:L54)</f>
        <v>0</v>
      </c>
    </row>
    <row r="55" spans="2:15" s="234" customFormat="1" ht="12.75" customHeight="1" x14ac:dyDescent="0.25">
      <c r="B55" s="132" t="str">
        <f>IF('1. INTRO'!I$2="English",(IF('2. START'!C$14&gt;0,"Social costs (LKP) not accepted by funding body","")),IF('2. START'!C$14&gt;0,"LKP som inte accepteras av finansiär",""))</f>
        <v/>
      </c>
      <c r="C55" s="911">
        <f>IF('2. START'!$C$14&gt;0,SUMIF('5. PERSON'!$D$17:$D$192,$C43,'5. PERSON'!AT$17:AT$192)-SUMIF('5. PERSON'!$D$17:$D$192,$C43,'5. PERSON'!DN$17:DN$192),0)</f>
        <v>0</v>
      </c>
      <c r="D55" s="911">
        <f>IF('2. START'!$C$14&gt;0,SUMIF('5. PERSON'!$D$17:$D$192,$C43,'5. PERSON'!AU$17:AU$192)-SUMIF('5. PERSON'!$D$17:$D$192,$C43,'5. PERSON'!DO$17:DO$192),0)</f>
        <v>0</v>
      </c>
      <c r="E55" s="911">
        <f>IF('2. START'!$C$14&gt;0,SUMIF('5. PERSON'!$D$17:$D$192,$C43,'5. PERSON'!AV$17:AV$192)-SUMIF('5. PERSON'!$D$17:$D$192,$C43,'5. PERSON'!DP$17:DP$192),0)</f>
        <v>0</v>
      </c>
      <c r="F55" s="911">
        <f>IF('2. START'!$C$14&gt;0,SUMIF('5. PERSON'!$D$17:$D$192,$C43,'5. PERSON'!AW$17:AW$192)-SUMIF('5. PERSON'!$D$17:$D$192,$C43,'5. PERSON'!DQ$17:DQ$192),0)</f>
        <v>0</v>
      </c>
      <c r="G55" s="911">
        <f>IF('2. START'!$C$14&gt;0,SUMIF('5. PERSON'!$D$17:$D$192,$C43,'5. PERSON'!AX$17:AX$192)-SUMIF('5. PERSON'!$D$17:$D$192,$C43,'5. PERSON'!DR$17:DR$192),0)</f>
        <v>0</v>
      </c>
      <c r="H55" s="911">
        <f>IF('2. START'!$C$14&gt;0,SUMIF('5. PERSON'!$D$17:$D$192,$C43,'5. PERSON'!AY$17:AY$192)-SUMIF('5. PERSON'!$D$17:$D$192,$C43,'5. PERSON'!DS$17:DS$192),0)</f>
        <v>0</v>
      </c>
      <c r="I55" s="911">
        <f>IF('2. START'!$C$14&gt;0,SUMIF('5. PERSON'!$D$17:$D$192,$C43,'5. PERSON'!AZ$17:AZ$192)-SUMIF('5. PERSON'!$D$17:$D$192,$C43,'5. PERSON'!DT$17:DT$192),0)</f>
        <v>0</v>
      </c>
      <c r="J55" s="911">
        <f>IF('2. START'!$C$14&gt;0,SUMIF('5. PERSON'!$D$17:$D$192,$C43,'5. PERSON'!BA$17:BA$192)-SUMIF('5. PERSON'!$D$17:$D$192,$C43,'5. PERSON'!DU$17:DU$192),0)</f>
        <v>0</v>
      </c>
      <c r="K55" s="911">
        <f>IF('2. START'!$C$14&gt;0,SUMIF('5. PERSON'!$D$17:$D$192,$C43,'5. PERSON'!BB$17:BB$192)-SUMIF('5. PERSON'!$D$17:$D$192,$C43,'5. PERSON'!DV$17:DV$192),0)</f>
        <v>0</v>
      </c>
      <c r="L55" s="911">
        <f>IF('2. START'!$C$14&gt;0,SUMIF('5. PERSON'!$D$17:$D$192,$C43,'5. PERSON'!BC$17:BC$192)-SUMIF('5. PERSON'!$D$17:$D$192,$C43,'5. PERSON'!DW$17:DW$192),0)</f>
        <v>0</v>
      </c>
      <c r="M55" s="905">
        <f t="shared" si="2"/>
        <v>0</v>
      </c>
    </row>
    <row r="56" spans="2:15" s="234" customFormat="1" ht="12.75" customHeight="1" x14ac:dyDescent="0.25">
      <c r="B56" s="906" t="str">
        <f>IF('1. INTRO'!I$2="English",(IF('5. PERSON'!BP$193&gt;0,"Salary including social costs (LKP)","")),IF('5. PERSON'!BP$193&gt;0,"Lön inklusive LKP",""))</f>
        <v/>
      </c>
      <c r="C56" s="622">
        <f>SUMIF('5. PERSON'!$D$17:$D$192,$C43,'5. PERSON'!BF$17:BF$192)</f>
        <v>0</v>
      </c>
      <c r="D56" s="622">
        <f>SUMIF('5. PERSON'!$D$17:$D$192,$C43,'5. PERSON'!BG$17:BG$192)</f>
        <v>0</v>
      </c>
      <c r="E56" s="622">
        <f>SUMIF('5. PERSON'!$D$17:$D$192,$C43,'5. PERSON'!BH$17:BH$192)</f>
        <v>0</v>
      </c>
      <c r="F56" s="622">
        <f>SUMIF('5. PERSON'!$D$17:$D$192,$C43,'5. PERSON'!BI$17:BI$192)</f>
        <v>0</v>
      </c>
      <c r="G56" s="622">
        <f>SUMIF('5. PERSON'!$D$17:$D$192,$C43,'5. PERSON'!BJ$17:BJ$192)</f>
        <v>0</v>
      </c>
      <c r="H56" s="622">
        <f>SUMIF('5. PERSON'!$D$17:$D$192,$C43,'5. PERSON'!BK$17:BK$192)</f>
        <v>0</v>
      </c>
      <c r="I56" s="622">
        <f>SUMIF('5. PERSON'!$D$17:$D$192,$C43,'5. PERSON'!BL$17:BL$192)</f>
        <v>0</v>
      </c>
      <c r="J56" s="622">
        <f>SUMIF('5. PERSON'!$D$17:$D$192,$C43,'5. PERSON'!BM$17:BM$192)</f>
        <v>0</v>
      </c>
      <c r="K56" s="622">
        <f>SUMIF('5. PERSON'!$D$17:$D$192,$C43,'5. PERSON'!BN$17:BN$192)</f>
        <v>0</v>
      </c>
      <c r="L56" s="622">
        <f>SUMIF('5. PERSON'!$D$17:$D$192,$C43,'5. PERSON'!BO$17:BO$192)</f>
        <v>0</v>
      </c>
      <c r="M56" s="907">
        <f t="shared" si="2"/>
        <v>0</v>
      </c>
    </row>
    <row r="57" spans="2:15" s="234" customFormat="1" ht="13.2" x14ac:dyDescent="0.25">
      <c r="B57" s="377" t="str">
        <f>IF('1. INTRO'!I$2="English",(IF('6. OPERATION'!AS$150&gt;0,"Operating","")),IF('6. OPERATION'!AS$150&gt;0,"Drift",""))</f>
        <v/>
      </c>
      <c r="C57" s="617">
        <f>SUMIF('6. OPERATION'!$D$17:$D$149,$C43,'6. OPERATION'!AI$17:AI$149)</f>
        <v>0</v>
      </c>
      <c r="D57" s="617">
        <f>SUMIF('6. OPERATION'!$D$17:$D$149,$C43,'6. OPERATION'!AJ$17:AJ$149)</f>
        <v>0</v>
      </c>
      <c r="E57" s="617">
        <f>SUMIF('6. OPERATION'!$D$17:$D$149,$C43,'6. OPERATION'!AK$17:AK$149)</f>
        <v>0</v>
      </c>
      <c r="F57" s="617">
        <f>SUMIF('6. OPERATION'!$D$17:$D$149,$C43,'6. OPERATION'!AL$17:AL$149)</f>
        <v>0</v>
      </c>
      <c r="G57" s="617">
        <f>SUMIF('6. OPERATION'!$D$17:$D$149,$C43,'6. OPERATION'!AM$17:AM$149)</f>
        <v>0</v>
      </c>
      <c r="H57" s="617">
        <f>SUMIF('6. OPERATION'!$D$17:$D$149,$C43,'6. OPERATION'!AN$17:AN$149)</f>
        <v>0</v>
      </c>
      <c r="I57" s="617">
        <f>SUMIF('6. OPERATION'!$D$17:$D$149,$C43,'6. OPERATION'!AO$17:AO$149)</f>
        <v>0</v>
      </c>
      <c r="J57" s="617">
        <f>SUMIF('6. OPERATION'!$D$17:$D$149,$C43,'6. OPERATION'!AP$17:AP$149)</f>
        <v>0</v>
      </c>
      <c r="K57" s="617">
        <f>SUMIF('6. OPERATION'!$D$17:$D$149,$C43,'6. OPERATION'!AQ$17:AQ$149)</f>
        <v>0</v>
      </c>
      <c r="L57" s="617">
        <f>SUMIF('6. OPERATION'!$D$17:$D$149,$C43,'6. OPERATION'!AR$17:AR$149)</f>
        <v>0</v>
      </c>
      <c r="M57" s="905">
        <f t="shared" si="2"/>
        <v>0</v>
      </c>
    </row>
    <row r="58" spans="2:15" s="234" customFormat="1" ht="13.2" x14ac:dyDescent="0.25">
      <c r="B58" s="906" t="str">
        <f>IF('1. INTRO'!I$2="English",(IF('7. INVEST'!AS$50&gt;0,"Equipment","")),IF('7. INVEST'!AS$50&gt;0,"Utrustning",""))</f>
        <v/>
      </c>
      <c r="C58" s="622">
        <f>SUMIF('7. INVEST'!$D$17:$D$49,$C43,'7. INVEST'!AI$17:AI$49)</f>
        <v>0</v>
      </c>
      <c r="D58" s="622">
        <f>SUMIF('7. INVEST'!$D$17:$D$49,$C43,'7. INVEST'!AJ$17:AJ$49)</f>
        <v>0</v>
      </c>
      <c r="E58" s="622">
        <f>SUMIF('7. INVEST'!$D$17:$D$49,$C43,'7. INVEST'!AK$17:AK$49)</f>
        <v>0</v>
      </c>
      <c r="F58" s="622">
        <f>SUMIF('7. INVEST'!$D$17:$D$49,$C43,'7. INVEST'!AL$17:AL$49)</f>
        <v>0</v>
      </c>
      <c r="G58" s="622">
        <f>SUMIF('7. INVEST'!$D$17:$D$49,$C43,'7. INVEST'!AM$17:AM$49)</f>
        <v>0</v>
      </c>
      <c r="H58" s="622">
        <f>SUMIF('7. INVEST'!$D$17:$D$49,$C43,'7. INVEST'!AN$17:AN$49)</f>
        <v>0</v>
      </c>
      <c r="I58" s="622">
        <f>SUMIF('7. INVEST'!$D$17:$D$49,$C43,'7. INVEST'!AO$17:AO$49)</f>
        <v>0</v>
      </c>
      <c r="J58" s="622">
        <f>SUMIF('7. INVEST'!$D$17:$D$49,$C43,'7. INVEST'!AP$17:AP$49)</f>
        <v>0</v>
      </c>
      <c r="K58" s="622">
        <f>SUMIF('7. INVEST'!$D$17:$D$49,$C43,'7. INVEST'!AQ$17:AQ$49)</f>
        <v>0</v>
      </c>
      <c r="L58" s="622">
        <f>SUMIF('7. INVEST'!$D$17:$D$49,$C43,'7. INVEST'!AR$17:AR$49)</f>
        <v>0</v>
      </c>
      <c r="M58" s="907">
        <f t="shared" si="2"/>
        <v>0</v>
      </c>
    </row>
    <row r="59" spans="2:15" s="234" customFormat="1" ht="13.2" x14ac:dyDescent="0.25">
      <c r="B59" s="121" t="str">
        <f>IF('1. INTRO'!I$2="English",(IF('8. FACILIT'!AP$51&gt;0,"Facility","")),IF('8. FACILIT'!AP$51&gt;0,"Lokal",""))</f>
        <v/>
      </c>
      <c r="C59" s="617">
        <f>SUMIF('5. PERSON'!$D$17:$D$192,$C43,'5. PERSON'!DB$17:DB$192)+SUMIF('6. OPERATION'!$D$17:$D$149,$C43,'6. OPERATION'!CE$17:CE$149)+SUMIF('8. FACILIT'!$D$18:$D$50,$C43,'8. FACILIT'!AF$18:AF$50)</f>
        <v>0</v>
      </c>
      <c r="D59" s="617">
        <f>SUMIF('5. PERSON'!$D$17:$D$192,$C43,'5. PERSON'!DC$17:DC$192)+SUMIF('6. OPERATION'!$D$17:$D$149,$C43,'6. OPERATION'!CF$17:CF$149)+SUMIF('8. FACILIT'!$D$18:$D$50,$C43,'8. FACILIT'!AG$18:AG$50)</f>
        <v>0</v>
      </c>
      <c r="E59" s="617">
        <f>SUMIF('5. PERSON'!$D$17:$D$192,$C43,'5. PERSON'!DD$17:DD$192)+SUMIF('6. OPERATION'!$D$17:$D$149,$C43,'6. OPERATION'!CG$17:CG$149)+SUMIF('8. FACILIT'!$D$18:$D$50,$C43,'8. FACILIT'!AH$18:AH$50)</f>
        <v>0</v>
      </c>
      <c r="F59" s="617">
        <f>SUMIF('5. PERSON'!$D$17:$D$192,$C43,'5. PERSON'!DE$17:DE$192)+SUMIF('6. OPERATION'!$D$17:$D$149,$C43,'6. OPERATION'!CH$17:CH$149)+SUMIF('8. FACILIT'!$D$18:$D$50,$C43,'8. FACILIT'!AI$18:AI$50)</f>
        <v>0</v>
      </c>
      <c r="G59" s="617">
        <f>SUMIF('5. PERSON'!$D$17:$D$192,$C43,'5. PERSON'!DF$17:DF$192)+SUMIF('6. OPERATION'!$D$17:$D$149,$C43,'6. OPERATION'!CI$17:CI$149)+SUMIF('8. FACILIT'!$D$18:$D$50,$C43,'8. FACILIT'!AJ$18:AJ$50)</f>
        <v>0</v>
      </c>
      <c r="H59" s="617">
        <f>SUMIF('5. PERSON'!$D$17:$D$192,$C43,'5. PERSON'!DG$17:DG$192)+SUMIF('6. OPERATION'!$D$17:$D$149,$C43,'6. OPERATION'!CJ$17:CJ$149)+SUMIF('8. FACILIT'!$D$18:$D$50,$C43,'8. FACILIT'!AK$18:AK$50)</f>
        <v>0</v>
      </c>
      <c r="I59" s="617">
        <f>SUMIF('5. PERSON'!$D$17:$D$192,$C43,'5. PERSON'!DH$17:DH$192)+SUMIF('6. OPERATION'!$D$17:$D$149,$C43,'6. OPERATION'!CK$17:CK$149)+SUMIF('8. FACILIT'!$D$18:$D$50,$C43,'8. FACILIT'!AL$18:AL$50)</f>
        <v>0</v>
      </c>
      <c r="J59" s="617">
        <f>SUMIF('5. PERSON'!$D$17:$D$192,$C43,'5. PERSON'!DI$17:DI$192)+SUMIF('6. OPERATION'!$D$17:$D$149,$C43,'6. OPERATION'!CL$17:CL$149)+SUMIF('8. FACILIT'!$D$18:$D$50,$C43,'8. FACILIT'!AM$18:AM$50)</f>
        <v>0</v>
      </c>
      <c r="K59" s="617">
        <f>SUMIF('5. PERSON'!$D$17:$D$192,$C43,'5. PERSON'!DJ$17:DJ$192)+SUMIF('6. OPERATION'!$D$17:$D$149,$C43,'6. OPERATION'!CM$17:CM$149)+SUMIF('8. FACILIT'!$D$18:$D$50,$C43,'8. FACILIT'!AN$18:AN$50)</f>
        <v>0</v>
      </c>
      <c r="L59" s="617">
        <f>SUMIF('5. PERSON'!$D$17:$D$192,$C43,'5. PERSON'!DK$17:DK$192)+SUMIF('6. OPERATION'!$D$17:$D$149,$C43,'6. OPERATION'!CN$17:CN$149)+SUMIF('8. FACILIT'!$D$18:$D$50,$C43,'8. FACILIT'!AO$18:AO$50)</f>
        <v>0</v>
      </c>
      <c r="M59" s="905">
        <f t="shared" si="2"/>
        <v>0</v>
      </c>
    </row>
    <row r="60" spans="2:15" s="912" customFormat="1" ht="13.2" x14ac:dyDescent="0.25">
      <c r="B60" s="122" t="str">
        <f>IF('1. INTRO'!I$2="English",(IF(('5. PERSON'!CN$193+'6. OPERATION'!BQ$150)&gt;0,"Indirect","")),IF(('5. PERSON'!CN$193+'6. OPERATION'!BQ$150)&gt;0,"Indirekt",""))</f>
        <v/>
      </c>
      <c r="C60" s="584">
        <f>SUMIF('5. PERSON'!$D$17:$D$192,$C43,'5. PERSON'!CD$17:CD$192)+SUMIF('6. OPERATION'!$D$17:$D$149,$C43,'6. OPERATION'!BG$17:BG$149)</f>
        <v>0</v>
      </c>
      <c r="D60" s="584">
        <f>SUMIF('5. PERSON'!$D$17:$D$192,$C43,'5. PERSON'!CE$17:CE$192)+SUMIF('6. OPERATION'!$D$17:$D$149,$C43,'6. OPERATION'!BH$17:BH$149)</f>
        <v>0</v>
      </c>
      <c r="E60" s="584">
        <f>SUMIF('5. PERSON'!$D$17:$D$192,$C43,'5. PERSON'!CF$17:CF$192)+SUMIF('6. OPERATION'!$D$17:$D$149,$C43,'6. OPERATION'!BI$17:BI$149)</f>
        <v>0</v>
      </c>
      <c r="F60" s="584">
        <f>SUMIF('5. PERSON'!$D$17:$D$192,$C43,'5. PERSON'!CG$17:CG$192)+SUMIF('6. OPERATION'!$D$17:$D$149,$C43,'6. OPERATION'!BJ$17:BJ$149)</f>
        <v>0</v>
      </c>
      <c r="G60" s="584">
        <f>SUMIF('5. PERSON'!$D$17:$D$192,$C43,'5. PERSON'!CH$17:CH$192)+SUMIF('6. OPERATION'!$D$17:$D$149,$C43,'6. OPERATION'!BK$17:BK$149)</f>
        <v>0</v>
      </c>
      <c r="H60" s="584">
        <f>SUMIF('5. PERSON'!$D$17:$D$192,$C43,'5. PERSON'!CI$17:CI$192)+SUMIF('6. OPERATION'!$D$17:$D$149,$C43,'6. OPERATION'!BL$17:BL$149)</f>
        <v>0</v>
      </c>
      <c r="I60" s="584">
        <f>SUMIF('5. PERSON'!$D$17:$D$192,$C43,'5. PERSON'!CJ$17:CJ$192)+SUMIF('6. OPERATION'!$D$17:$D$149,$C43,'6. OPERATION'!BM$17:BM$149)</f>
        <v>0</v>
      </c>
      <c r="J60" s="584">
        <f>SUMIF('5. PERSON'!$D$17:$D$192,$C43,'5. PERSON'!CK$17:CK$192)+SUMIF('6. OPERATION'!$D$17:$D$149,$C43,'6. OPERATION'!BN$17:BN$149)</f>
        <v>0</v>
      </c>
      <c r="K60" s="584">
        <f>SUMIF('5. PERSON'!$D$17:$D$192,$C43,'5. PERSON'!CL$17:CL$192)+SUMIF('6. OPERATION'!$D$17:$D$149,$C43,'6. OPERATION'!BO$17:BO$149)</f>
        <v>0</v>
      </c>
      <c r="L60" s="584">
        <f>SUMIF('5. PERSON'!$D$17:$D$192,$C43,'5. PERSON'!CM$17:CM$192)+SUMIF('6. OPERATION'!$D$17:$D$149,$C43,'6. OPERATION'!BP$17:BP$149)</f>
        <v>0</v>
      </c>
      <c r="M60" s="908">
        <f t="shared" si="2"/>
        <v>0</v>
      </c>
    </row>
    <row r="61" spans="2:15" s="234" customFormat="1" ht="13.2" x14ac:dyDescent="0.25">
      <c r="B61" s="628" t="s">
        <v>113</v>
      </c>
      <c r="C61" s="443">
        <f>SUM(C54:C60)</f>
        <v>0</v>
      </c>
      <c r="D61" s="443">
        <f t="shared" ref="D61:M61" si="3">SUM(D54:D60)</f>
        <v>0</v>
      </c>
      <c r="E61" s="443">
        <f t="shared" si="3"/>
        <v>0</v>
      </c>
      <c r="F61" s="443">
        <f t="shared" si="3"/>
        <v>0</v>
      </c>
      <c r="G61" s="443">
        <f t="shared" si="3"/>
        <v>0</v>
      </c>
      <c r="H61" s="443">
        <f t="shared" si="3"/>
        <v>0</v>
      </c>
      <c r="I61" s="443">
        <f t="shared" si="3"/>
        <v>0</v>
      </c>
      <c r="J61" s="443">
        <f t="shared" si="3"/>
        <v>0</v>
      </c>
      <c r="K61" s="443">
        <f t="shared" si="3"/>
        <v>0</v>
      </c>
      <c r="L61" s="443">
        <f t="shared" si="3"/>
        <v>0</v>
      </c>
      <c r="M61" s="630">
        <f t="shared" si="3"/>
        <v>0</v>
      </c>
      <c r="N61" s="913"/>
      <c r="O61" s="913"/>
    </row>
    <row r="62" spans="2:15" s="234" customFormat="1" ht="6" customHeight="1" x14ac:dyDescent="0.25">
      <c r="B62" s="914"/>
      <c r="C62" s="127"/>
      <c r="D62" s="127"/>
      <c r="E62" s="127"/>
      <c r="F62" s="127"/>
      <c r="G62" s="127"/>
      <c r="H62" s="127"/>
      <c r="I62" s="127"/>
      <c r="J62" s="127"/>
      <c r="K62" s="127"/>
      <c r="L62" s="127"/>
      <c r="M62" s="636"/>
    </row>
    <row r="63" spans="2:15" s="234" customFormat="1" ht="13.2" x14ac:dyDescent="0.25">
      <c r="B63" s="129" t="str">
        <f>IF('1. INTRO'!I$2="English","Full cost","Full kostnad")</f>
        <v>Full cost</v>
      </c>
      <c r="C63" s="127"/>
      <c r="D63" s="127"/>
      <c r="E63" s="127"/>
      <c r="F63" s="127"/>
      <c r="G63" s="127"/>
      <c r="H63" s="127"/>
      <c r="I63" s="127"/>
      <c r="J63" s="127"/>
      <c r="K63" s="127"/>
      <c r="L63" s="127"/>
      <c r="M63" s="636"/>
    </row>
    <row r="64" spans="2:15" s="234" customFormat="1" ht="13.2" x14ac:dyDescent="0.25">
      <c r="B64" s="902" t="str">
        <f>IF('1. INTRO'!I$2="English","Salary including social costs (LKP)","Lön inklusive LKP")</f>
        <v>Salary including social costs (LKP)</v>
      </c>
      <c r="C64" s="138">
        <f>C46+C55+C56</f>
        <v>0</v>
      </c>
      <c r="D64" s="138">
        <f t="shared" ref="D64:L64" si="4">D46+D55+D56</f>
        <v>0</v>
      </c>
      <c r="E64" s="138">
        <f t="shared" si="4"/>
        <v>0</v>
      </c>
      <c r="F64" s="138">
        <f t="shared" si="4"/>
        <v>0</v>
      </c>
      <c r="G64" s="138">
        <f t="shared" si="4"/>
        <v>0</v>
      </c>
      <c r="H64" s="138">
        <f t="shared" si="4"/>
        <v>0</v>
      </c>
      <c r="I64" s="138">
        <f t="shared" si="4"/>
        <v>0</v>
      </c>
      <c r="J64" s="138">
        <f t="shared" si="4"/>
        <v>0</v>
      </c>
      <c r="K64" s="138">
        <f t="shared" si="4"/>
        <v>0</v>
      </c>
      <c r="L64" s="138">
        <f t="shared" si="4"/>
        <v>0</v>
      </c>
      <c r="M64" s="903">
        <f>SUM(C64:L64)</f>
        <v>0</v>
      </c>
    </row>
    <row r="65" spans="2:13" s="234" customFormat="1" ht="13.2" x14ac:dyDescent="0.25">
      <c r="B65" s="377" t="str">
        <f>IF('1. INTRO'!I$2="English","Operating","Drift")</f>
        <v>Operating</v>
      </c>
      <c r="C65" s="139">
        <f>C47+C57</f>
        <v>0</v>
      </c>
      <c r="D65" s="139">
        <f t="shared" ref="D65:L66" si="5">D47+D57</f>
        <v>0</v>
      </c>
      <c r="E65" s="139">
        <f t="shared" si="5"/>
        <v>0</v>
      </c>
      <c r="F65" s="139">
        <f t="shared" si="5"/>
        <v>0</v>
      </c>
      <c r="G65" s="139">
        <f t="shared" si="5"/>
        <v>0</v>
      </c>
      <c r="H65" s="139">
        <f t="shared" si="5"/>
        <v>0</v>
      </c>
      <c r="I65" s="139">
        <f t="shared" si="5"/>
        <v>0</v>
      </c>
      <c r="J65" s="139">
        <f t="shared" si="5"/>
        <v>0</v>
      </c>
      <c r="K65" s="139">
        <f t="shared" si="5"/>
        <v>0</v>
      </c>
      <c r="L65" s="139">
        <f t="shared" si="5"/>
        <v>0</v>
      </c>
      <c r="M65" s="905">
        <f>SUM(C65:L65)</f>
        <v>0</v>
      </c>
    </row>
    <row r="66" spans="2:13" s="234" customFormat="1" ht="13.2" x14ac:dyDescent="0.25">
      <c r="B66" s="906" t="str">
        <f>IF('1. INTRO'!I$2="English","Equipment","Utrustning")</f>
        <v>Equipment</v>
      </c>
      <c r="C66" s="140">
        <f>C48+C58</f>
        <v>0</v>
      </c>
      <c r="D66" s="140">
        <f t="shared" si="5"/>
        <v>0</v>
      </c>
      <c r="E66" s="140">
        <f t="shared" si="5"/>
        <v>0</v>
      </c>
      <c r="F66" s="140">
        <f t="shared" si="5"/>
        <v>0</v>
      </c>
      <c r="G66" s="140">
        <f t="shared" si="5"/>
        <v>0</v>
      </c>
      <c r="H66" s="140">
        <f t="shared" si="5"/>
        <v>0</v>
      </c>
      <c r="I66" s="140">
        <f t="shared" si="5"/>
        <v>0</v>
      </c>
      <c r="J66" s="140">
        <f t="shared" si="5"/>
        <v>0</v>
      </c>
      <c r="K66" s="140">
        <f t="shared" si="5"/>
        <v>0</v>
      </c>
      <c r="L66" s="140">
        <f t="shared" si="5"/>
        <v>0</v>
      </c>
      <c r="M66" s="907">
        <f>SUM(C66:L66)</f>
        <v>0</v>
      </c>
    </row>
    <row r="67" spans="2:13" s="234" customFormat="1" ht="13.2" x14ac:dyDescent="0.25">
      <c r="B67" s="377" t="str">
        <f>IF('1. INTRO'!I$2="English","Facility","Lokal")</f>
        <v>Facility</v>
      </c>
      <c r="C67" s="139">
        <f>SUMIF('5. PERSON'!$D$17:$D$192,$C43,'5. PERSON'!CP$17:CP$192)+SUMIF('5. PERSON'!$D$17:$D$192,$C43,'5. PERSON'!DB$17:DB$192)+SUMIF('6. OPERATION'!$D$17:$D$149,$C43,'6. OPERATION'!BS$17:BS$149)+SUMIF('6. OPERATION'!$D$17:$D$149,$C43,'6. OPERATION'!CE$17:CE$149)+SUMIF('8. FACILIT'!$D$18:$D$50,$C43,'8. FACILIT'!T$18:T$50)+SUMIF('8. FACILIT'!$D$18:$D$50,$C43,'8. FACILIT'!AF$18:AF$50)</f>
        <v>0</v>
      </c>
      <c r="D67" s="139">
        <f>SUMIF('5. PERSON'!$D$17:$D$192,$C43,'5. PERSON'!CQ$17:CQ$192)+SUMIF('5. PERSON'!$D$17:$D$192,$C43,'5. PERSON'!DC$17:DC$192)+SUMIF('6. OPERATION'!$D$17:$D$149,$C43,'6. OPERATION'!BT$17:BT$149)+SUMIF('6. OPERATION'!$D$17:$D$149,$C43,'6. OPERATION'!CF$17:CF$149)+SUMIF('8. FACILIT'!$D$18:$D$50,$C43,'8. FACILIT'!U$18:U$50)+SUMIF('8. FACILIT'!$D$18:$D$50,$C43,'8. FACILIT'!AG$18:AG$50)</f>
        <v>0</v>
      </c>
      <c r="E67" s="139">
        <f>SUMIF('5. PERSON'!$D$17:$D$192,$C43,'5. PERSON'!CR$17:CR$192)+SUMIF('5. PERSON'!$D$17:$D$192,$C43,'5. PERSON'!DD$17:DD$192)+SUMIF('6. OPERATION'!$D$17:$D$149,$C43,'6. OPERATION'!BU$17:BU$149)+SUMIF('6. OPERATION'!$D$17:$D$149,$C43,'6. OPERATION'!CG$17:CG$149)+SUMIF('8. FACILIT'!$D$18:$D$50,$C43,'8. FACILIT'!V$18:V$50)+SUMIF('8. FACILIT'!$D$18:$D$50,$C43,'8. FACILIT'!AH$18:AH$50)</f>
        <v>0</v>
      </c>
      <c r="F67" s="139">
        <f>SUMIF('5. PERSON'!$D$17:$D$192,$C43,'5. PERSON'!CS$17:CS$192)+SUMIF('5. PERSON'!$D$17:$D$192,$C43,'5. PERSON'!DE$17:DE$192)+SUMIF('6. OPERATION'!$D$17:$D$149,$C43,'6. OPERATION'!BV$17:BV$149)+SUMIF('6. OPERATION'!$D$17:$D$149,$C43,'6. OPERATION'!CH$17:CH$149)+SUMIF('8. FACILIT'!$D$18:$D$50,$C43,'8. FACILIT'!W$18:W$50)+SUMIF('8. FACILIT'!$D$18:$D$50,$C43,'8. FACILIT'!AI$18:AI$50)</f>
        <v>0</v>
      </c>
      <c r="G67" s="139">
        <f>SUMIF('5. PERSON'!$D$17:$D$192,$C43,'5. PERSON'!CT$17:CT$192)+SUMIF('5. PERSON'!$D$17:$D$192,$C43,'5. PERSON'!DF$17:DF$192)+SUMIF('6. OPERATION'!$D$17:$D$149,$C43,'6. OPERATION'!BW$17:BW$149)+SUMIF('6. OPERATION'!$D$17:$D$149,$C43,'6. OPERATION'!CI$17:CI$149)+SUMIF('8. FACILIT'!$D$18:$D$50,$C43,'8. FACILIT'!X$18:X$50)+SUMIF('8. FACILIT'!$D$18:$D$50,$C43,'8. FACILIT'!AJ$18:AJ$50)</f>
        <v>0</v>
      </c>
      <c r="H67" s="139">
        <f>SUMIF('5. PERSON'!$D$17:$D$192,$C43,'5. PERSON'!CU$17:CU$192)+SUMIF('5. PERSON'!$D$17:$D$192,$C43,'5. PERSON'!DG$17:DG$192)+SUMIF('6. OPERATION'!$D$17:$D$149,$C43,'6. OPERATION'!BX$17:BX$149)+SUMIF('6. OPERATION'!$D$17:$D$149,$C43,'6. OPERATION'!CJ$17:CJ$149)+SUMIF('8. FACILIT'!$D$18:$D$50,$C43,'8. FACILIT'!Y$18:Y$50)+SUMIF('8. FACILIT'!$D$18:$D$50,$C43,'8. FACILIT'!AK$18:AK$50)</f>
        <v>0</v>
      </c>
      <c r="I67" s="139">
        <f>SUMIF('5. PERSON'!$D$17:$D$192,$C43,'5. PERSON'!CV$17:CV$192)+SUMIF('5. PERSON'!$D$17:$D$192,$C43,'5. PERSON'!DH$17:DH$192)+SUMIF('6. OPERATION'!$D$17:$D$149,$C43,'6. OPERATION'!BY$17:BY$149)+SUMIF('6. OPERATION'!$D$17:$D$149,$C43,'6. OPERATION'!CK$17:CK$149)+SUMIF('8. FACILIT'!$D$18:$D$50,$C43,'8. FACILIT'!Z$18:Z$50)+SUMIF('8. FACILIT'!$D$18:$D$50,$C43,'8. FACILIT'!AL$18:AL$50)</f>
        <v>0</v>
      </c>
      <c r="J67" s="139">
        <f>SUMIF('5. PERSON'!$D$17:$D$192,$C43,'5. PERSON'!CW$17:CW$192)+SUMIF('5. PERSON'!$D$17:$D$192,$C43,'5. PERSON'!DI$17:DI$192)+SUMIF('6. OPERATION'!$D$17:$D$149,$C43,'6. OPERATION'!BZ$17:BZ$149)+SUMIF('6. OPERATION'!$D$17:$D$149,$C43,'6. OPERATION'!CL$17:CL$149)+SUMIF('8. FACILIT'!$D$18:$D$50,$C43,'8. FACILIT'!AA$18:AA$50)+SUMIF('8. FACILIT'!$D$18:$D$50,$C43,'8. FACILIT'!AM$18:AM$50)</f>
        <v>0</v>
      </c>
      <c r="K67" s="139">
        <f>SUMIF('5. PERSON'!$D$17:$D$192,$C43,'5. PERSON'!CX$17:CX$192)+SUMIF('5. PERSON'!$D$17:$D$192,$C43,'5. PERSON'!DJ$17:DJ$192)+SUMIF('6. OPERATION'!$D$17:$D$149,$C43,'6. OPERATION'!CA$17:CA$149)+SUMIF('6. OPERATION'!$D$17:$D$149,$C43,'6. OPERATION'!CM$17:CM$149)+SUMIF('8. FACILIT'!$D$18:$D$50,$C43,'8. FACILIT'!AB$18:AB$50)+SUMIF('8. FACILIT'!$D$18:$D$50,$C43,'8. FACILIT'!AN$18:AN$50)</f>
        <v>0</v>
      </c>
      <c r="L67" s="139">
        <f>SUMIF('5. PERSON'!$D$17:$D$192,$C43,'5. PERSON'!CY$17:CY$192)+SUMIF('5. PERSON'!$D$17:$D$192,$C43,'5. PERSON'!DK$17:DK$192)+SUMIF('6. OPERATION'!$D$17:$D$149,$C43,'6. OPERATION'!CB$17:CB$149)+SUMIF('6. OPERATION'!$D$17:$D$149,$C43,'6. OPERATION'!CN$17:CN$149)+SUMIF('8. FACILIT'!$D$18:$D$50,$C43,'8. FACILIT'!AC$18:AC$50)+SUMIF('8. FACILIT'!$D$18:$D$50,$C43,'8. FACILIT'!AO$18:AO$50)</f>
        <v>0</v>
      </c>
      <c r="M67" s="905">
        <f>SUM(C67:L67)</f>
        <v>0</v>
      </c>
    </row>
    <row r="68" spans="2:13" s="234" customFormat="1" ht="13.2" x14ac:dyDescent="0.25">
      <c r="B68" s="915" t="str">
        <f>IF('1. INTRO'!I$2="English","Indirect","Indirekt")</f>
        <v>Indirect</v>
      </c>
      <c r="C68" s="141">
        <f>SUMIF('5. PERSON'!$D$17:$D$192,$C43,'5. PERSON'!BR$17:BR$192)+SUMIF('5. PERSON'!$D$17:$D$192,$C43,'5. PERSON'!CD$17:CD$192)+SUMIF('6. OPERATION'!$D$17:$D$149,$C43,'6. OPERATION'!AU$17:AU$149)+SUMIF('6. OPERATION'!$D$17:$D$149,$C43,'6. OPERATION'!BG$17:BG$149)</f>
        <v>0</v>
      </c>
      <c r="D68" s="141">
        <f>SUMIF('5. PERSON'!$D$17:$D$192,$C43,'5. PERSON'!BS$17:BS$192)+SUMIF('5. PERSON'!$D$17:$D$192,$C43,'5. PERSON'!CE$17:CE$192)+SUMIF('6. OPERATION'!$D$17:$D$149,$C43,'6. OPERATION'!AV$17:AV$149)+SUMIF('6. OPERATION'!$D$17:$D$149,$C43,'6. OPERATION'!BH$17:BH$149)</f>
        <v>0</v>
      </c>
      <c r="E68" s="141">
        <f>SUMIF('5. PERSON'!$D$17:$D$192,$C43,'5. PERSON'!BT$17:BT$192)+SUMIF('5. PERSON'!$D$17:$D$192,$C43,'5. PERSON'!CF$17:CF$192)+SUMIF('6. OPERATION'!$D$17:$D$149,$C43,'6. OPERATION'!AW$17:AW$149)+SUMIF('6. OPERATION'!$D$17:$D$149,$C43,'6. OPERATION'!BI$17:BI$149)</f>
        <v>0</v>
      </c>
      <c r="F68" s="141">
        <f>SUMIF('5. PERSON'!$D$17:$D$192,$C43,'5. PERSON'!BU$17:BU$192)+SUMIF('5. PERSON'!$D$17:$D$192,$C43,'5. PERSON'!CG$17:CG$192)+SUMIF('6. OPERATION'!$D$17:$D$149,$C43,'6. OPERATION'!AX$17:AX$149)+SUMIF('6. OPERATION'!$D$17:$D$149,$C43,'6. OPERATION'!BJ$17:BJ$149)</f>
        <v>0</v>
      </c>
      <c r="G68" s="141">
        <f>SUMIF('5. PERSON'!$D$17:$D$192,$C43,'5. PERSON'!BV$17:BV$192)+SUMIF('5. PERSON'!$D$17:$D$192,$C43,'5. PERSON'!CH$17:CH$192)+SUMIF('6. OPERATION'!$D$17:$D$149,$C43,'6. OPERATION'!AY$17:AY$149)+SUMIF('6. OPERATION'!$D$17:$D$149,$C43,'6. OPERATION'!BK$17:BK$149)</f>
        <v>0</v>
      </c>
      <c r="H68" s="141">
        <f>SUMIF('5. PERSON'!$D$17:$D$192,$C43,'5. PERSON'!BW$17:BW$192)+SUMIF('5. PERSON'!$D$17:$D$192,$C43,'5. PERSON'!CI$17:CI$192)+SUMIF('6. OPERATION'!$D$17:$D$149,$C43,'6. OPERATION'!AZ$17:AZ$149)+SUMIF('6. OPERATION'!$D$17:$D$149,$C43,'6. OPERATION'!BL$17:BL$149)</f>
        <v>0</v>
      </c>
      <c r="I68" s="141">
        <f>SUMIF('5. PERSON'!$D$17:$D$192,$C43,'5. PERSON'!BX$17:BX$192)+SUMIF('5. PERSON'!$D$17:$D$192,$C43,'5. PERSON'!CJ$17:CJ$192)+SUMIF('6. OPERATION'!$D$17:$D$149,$C43,'6. OPERATION'!BA$17:BA$149)+SUMIF('6. OPERATION'!$D$17:$D$149,$C43,'6. OPERATION'!BM$17:BM$149)</f>
        <v>0</v>
      </c>
      <c r="J68" s="141">
        <f>SUMIF('5. PERSON'!$D$17:$D$192,$C43,'5. PERSON'!BY$17:BY$192)+SUMIF('5. PERSON'!$D$17:$D$192,$C43,'5. PERSON'!CK$17:CK$192)+SUMIF('6. OPERATION'!$D$17:$D$149,$C43,'6. OPERATION'!BB$17:BB$149)+SUMIF('6. OPERATION'!$D$17:$D$149,$C43,'6. OPERATION'!BN$17:BN$149)</f>
        <v>0</v>
      </c>
      <c r="K68" s="141">
        <f>SUMIF('5. PERSON'!$D$17:$D$192,$C43,'5. PERSON'!BZ$17:BZ$192)+SUMIF('5. PERSON'!$D$17:$D$192,$C43,'5. PERSON'!CL$17:CL$192)+SUMIF('6. OPERATION'!$D$17:$D$149,$C43,'6. OPERATION'!BC$17:BC$149)+SUMIF('6. OPERATION'!$D$17:$D$149,$C43,'6. OPERATION'!BO$17:BO$149)</f>
        <v>0</v>
      </c>
      <c r="L68" s="141">
        <f>SUMIF('5. PERSON'!$D$17:$D$192,$C43,'5. PERSON'!CA$17:CA$192)+SUMIF('5. PERSON'!$D$17:$D$192,$C43,'5. PERSON'!CM$17:CM$192)+SUMIF('6. OPERATION'!$D$17:$D$149,$C43,'6. OPERATION'!BD$17:BD$149)+SUMIF('6. OPERATION'!$D$17:$D$149,$C43,'6. OPERATION'!BP$17:BP$149)</f>
        <v>0</v>
      </c>
      <c r="M68" s="908">
        <f>SUM(C68:L68)</f>
        <v>0</v>
      </c>
    </row>
    <row r="69" spans="2:13" s="234" customFormat="1" ht="13.2" x14ac:dyDescent="0.25">
      <c r="B69" s="628" t="s">
        <v>113</v>
      </c>
      <c r="C69" s="520">
        <f>SUM(C64:C68)</f>
        <v>0</v>
      </c>
      <c r="D69" s="520">
        <f t="shared" ref="D69:M69" si="6">SUM(D64:D68)</f>
        <v>0</v>
      </c>
      <c r="E69" s="520">
        <f t="shared" si="6"/>
        <v>0</v>
      </c>
      <c r="F69" s="520">
        <f t="shared" si="6"/>
        <v>0</v>
      </c>
      <c r="G69" s="520">
        <f t="shared" si="6"/>
        <v>0</v>
      </c>
      <c r="H69" s="520">
        <f t="shared" si="6"/>
        <v>0</v>
      </c>
      <c r="I69" s="520">
        <f t="shared" si="6"/>
        <v>0</v>
      </c>
      <c r="J69" s="520">
        <f t="shared" si="6"/>
        <v>0</v>
      </c>
      <c r="K69" s="520">
        <f t="shared" si="6"/>
        <v>0</v>
      </c>
      <c r="L69" s="520">
        <f t="shared" si="6"/>
        <v>0</v>
      </c>
      <c r="M69" s="916">
        <f t="shared" si="6"/>
        <v>0</v>
      </c>
    </row>
    <row r="70" spans="2:13" s="234" customFormat="1" ht="13.2" x14ac:dyDescent="0.25">
      <c r="B70" s="676"/>
      <c r="C70" s="268"/>
      <c r="D70" s="268"/>
      <c r="E70" s="268"/>
      <c r="F70" s="268"/>
      <c r="G70" s="268"/>
      <c r="H70" s="268"/>
      <c r="I70" s="268"/>
      <c r="J70" s="268"/>
      <c r="K70" s="268"/>
      <c r="L70" s="268"/>
      <c r="M70" s="268"/>
    </row>
    <row r="71" spans="2:13" s="234" customFormat="1" ht="12.75" customHeight="1" x14ac:dyDescent="0.25">
      <c r="B71" s="676" t="str">
        <f>IF('1. INTRO'!I$2="English","Co-funding share in full cost ","Medfinansieringsandel i full kostnad ")</f>
        <v xml:space="preserve">Co-funding share in full cost </v>
      </c>
      <c r="C71" s="640" t="str">
        <f t="shared" ref="C71:M71" si="7">IF(C69&gt;0,C61/C69,"")</f>
        <v/>
      </c>
      <c r="D71" s="640" t="str">
        <f t="shared" si="7"/>
        <v/>
      </c>
      <c r="E71" s="640" t="str">
        <f t="shared" si="7"/>
        <v/>
      </c>
      <c r="F71" s="640" t="str">
        <f t="shared" si="7"/>
        <v/>
      </c>
      <c r="G71" s="640" t="str">
        <f t="shared" si="7"/>
        <v/>
      </c>
      <c r="H71" s="640" t="str">
        <f t="shared" si="7"/>
        <v/>
      </c>
      <c r="I71" s="640" t="str">
        <f t="shared" si="7"/>
        <v/>
      </c>
      <c r="J71" s="640" t="str">
        <f t="shared" si="7"/>
        <v/>
      </c>
      <c r="K71" s="640" t="str">
        <f t="shared" si="7"/>
        <v/>
      </c>
      <c r="L71" s="640" t="str">
        <f t="shared" si="7"/>
        <v/>
      </c>
      <c r="M71" s="640" t="str">
        <f t="shared" si="7"/>
        <v/>
      </c>
    </row>
    <row r="72" spans="2:13" s="268" customFormat="1" ht="12.75" customHeight="1" x14ac:dyDescent="0.25"/>
    <row r="73" spans="2:13" s="268" customFormat="1" ht="12.75" customHeight="1" x14ac:dyDescent="0.25">
      <c r="B73" s="667" t="str">
        <f>IF('1. INTRO'!I$2="English","Calculation comments","Kalkylkommentarer")</f>
        <v>Calculation comments</v>
      </c>
    </row>
    <row r="74" spans="2:13" s="268" customFormat="1" ht="12.75" customHeight="1" x14ac:dyDescent="0.25">
      <c r="B74" s="1264"/>
      <c r="C74" s="1265"/>
      <c r="D74" s="1265"/>
      <c r="E74" s="1265"/>
      <c r="F74" s="1265"/>
      <c r="G74" s="1265"/>
      <c r="H74" s="1265"/>
      <c r="I74" s="1265"/>
      <c r="J74" s="1265"/>
      <c r="K74" s="1265"/>
      <c r="L74" s="1265"/>
      <c r="M74" s="1266"/>
    </row>
    <row r="75" spans="2:13" s="268" customFormat="1" ht="12.75" customHeight="1" x14ac:dyDescent="0.25">
      <c r="B75" s="1267"/>
      <c r="C75" s="1268"/>
      <c r="D75" s="1268"/>
      <c r="E75" s="1268"/>
      <c r="F75" s="1268"/>
      <c r="G75" s="1268"/>
      <c r="H75" s="1268"/>
      <c r="I75" s="1268"/>
      <c r="J75" s="1268"/>
      <c r="K75" s="1268"/>
      <c r="L75" s="1268"/>
      <c r="M75" s="1269"/>
    </row>
    <row r="76" spans="2:13" s="268" customFormat="1" ht="12.75" customHeight="1" x14ac:dyDescent="0.25">
      <c r="B76" s="1267"/>
      <c r="C76" s="1268"/>
      <c r="D76" s="1268"/>
      <c r="E76" s="1268"/>
      <c r="F76" s="1268"/>
      <c r="G76" s="1268"/>
      <c r="H76" s="1268"/>
      <c r="I76" s="1268"/>
      <c r="J76" s="1268"/>
      <c r="K76" s="1268"/>
      <c r="L76" s="1268"/>
      <c r="M76" s="1269"/>
    </row>
    <row r="77" spans="2:13" s="268" customFormat="1" ht="12.75" customHeight="1" x14ac:dyDescent="0.25">
      <c r="B77" s="1267"/>
      <c r="C77" s="1268"/>
      <c r="D77" s="1268"/>
      <c r="E77" s="1268"/>
      <c r="F77" s="1268"/>
      <c r="G77" s="1268"/>
      <c r="H77" s="1268"/>
      <c r="I77" s="1268"/>
      <c r="J77" s="1268"/>
      <c r="K77" s="1268"/>
      <c r="L77" s="1268"/>
      <c r="M77" s="1269"/>
    </row>
    <row r="78" spans="2:13" s="268" customFormat="1" ht="12.75" customHeight="1" x14ac:dyDescent="0.25">
      <c r="B78" s="1267"/>
      <c r="C78" s="1268"/>
      <c r="D78" s="1268"/>
      <c r="E78" s="1268"/>
      <c r="F78" s="1268"/>
      <c r="G78" s="1268"/>
      <c r="H78" s="1268"/>
      <c r="I78" s="1268"/>
      <c r="J78" s="1268"/>
      <c r="K78" s="1268"/>
      <c r="L78" s="1268"/>
      <c r="M78" s="1269"/>
    </row>
    <row r="79" spans="2:13" s="268" customFormat="1" ht="12.75" customHeight="1" x14ac:dyDescent="0.25">
      <c r="B79" s="1270"/>
      <c r="C79" s="1271"/>
      <c r="D79" s="1271"/>
      <c r="E79" s="1271"/>
      <c r="F79" s="1271"/>
      <c r="G79" s="1271"/>
      <c r="H79" s="1271"/>
      <c r="I79" s="1271"/>
      <c r="J79" s="1271"/>
      <c r="K79" s="1271"/>
      <c r="L79" s="1271"/>
      <c r="M79" s="1272"/>
    </row>
    <row r="80" spans="2:13" s="268" customFormat="1" x14ac:dyDescent="0.25">
      <c r="B80" s="1270"/>
      <c r="C80" s="1271"/>
      <c r="D80" s="1271"/>
      <c r="E80" s="1271"/>
      <c r="F80" s="1271"/>
      <c r="G80" s="1271"/>
      <c r="H80" s="1271"/>
      <c r="I80" s="1271"/>
      <c r="J80" s="1271"/>
      <c r="K80" s="1271"/>
      <c r="L80" s="1271"/>
      <c r="M80" s="1272"/>
    </row>
    <row r="81" spans="2:13" s="268" customFormat="1" x14ac:dyDescent="0.25">
      <c r="B81" s="1270"/>
      <c r="C81" s="1271"/>
      <c r="D81" s="1271"/>
      <c r="E81" s="1271"/>
      <c r="F81" s="1271"/>
      <c r="G81" s="1271"/>
      <c r="H81" s="1271"/>
      <c r="I81" s="1271"/>
      <c r="J81" s="1271"/>
      <c r="K81" s="1271"/>
      <c r="L81" s="1271"/>
      <c r="M81" s="1272"/>
    </row>
    <row r="82" spans="2:13" s="268" customFormat="1" x14ac:dyDescent="0.25">
      <c r="B82" s="1270"/>
      <c r="C82" s="1271"/>
      <c r="D82" s="1271"/>
      <c r="E82" s="1271"/>
      <c r="F82" s="1271"/>
      <c r="G82" s="1271"/>
      <c r="H82" s="1271"/>
      <c r="I82" s="1271"/>
      <c r="J82" s="1271"/>
      <c r="K82" s="1271"/>
      <c r="L82" s="1271"/>
      <c r="M82" s="1272"/>
    </row>
    <row r="83" spans="2:13" s="268" customFormat="1" x14ac:dyDescent="0.25">
      <c r="B83" s="1270"/>
      <c r="C83" s="1271"/>
      <c r="D83" s="1271"/>
      <c r="E83" s="1271"/>
      <c r="F83" s="1271"/>
      <c r="G83" s="1271"/>
      <c r="H83" s="1271"/>
      <c r="I83" s="1271"/>
      <c r="J83" s="1271"/>
      <c r="K83" s="1271"/>
      <c r="L83" s="1271"/>
      <c r="M83" s="1272"/>
    </row>
    <row r="84" spans="2:13" s="268" customFormat="1" x14ac:dyDescent="0.25">
      <c r="B84" s="1270"/>
      <c r="C84" s="1271"/>
      <c r="D84" s="1271"/>
      <c r="E84" s="1271"/>
      <c r="F84" s="1271"/>
      <c r="G84" s="1271"/>
      <c r="H84" s="1271"/>
      <c r="I84" s="1271"/>
      <c r="J84" s="1271"/>
      <c r="K84" s="1271"/>
      <c r="L84" s="1271"/>
      <c r="M84" s="1272"/>
    </row>
    <row r="85" spans="2:13" s="268" customFormat="1" x14ac:dyDescent="0.25">
      <c r="B85" s="1270"/>
      <c r="C85" s="1271"/>
      <c r="D85" s="1271"/>
      <c r="E85" s="1271"/>
      <c r="F85" s="1271"/>
      <c r="G85" s="1271"/>
      <c r="H85" s="1271"/>
      <c r="I85" s="1271"/>
      <c r="J85" s="1271"/>
      <c r="K85" s="1271"/>
      <c r="L85" s="1271"/>
      <c r="M85" s="1272"/>
    </row>
    <row r="86" spans="2:13" s="268" customFormat="1" x14ac:dyDescent="0.25">
      <c r="B86" s="1273"/>
      <c r="C86" s="1274"/>
      <c r="D86" s="1274"/>
      <c r="E86" s="1274"/>
      <c r="F86" s="1274"/>
      <c r="G86" s="1274"/>
      <c r="H86" s="1274"/>
      <c r="I86" s="1274"/>
      <c r="J86" s="1274"/>
      <c r="K86" s="1274"/>
      <c r="L86" s="1274"/>
      <c r="M86" s="1275"/>
    </row>
    <row r="87" spans="2:13" s="268" customFormat="1" x14ac:dyDescent="0.25"/>
    <row r="88" spans="2:13" s="268" customFormat="1" x14ac:dyDescent="0.25"/>
    <row r="89" spans="2:13" s="234" customFormat="1" ht="12.75" customHeight="1" x14ac:dyDescent="0.25">
      <c r="B89" s="313" t="str">
        <f>'3. PARTNER'!C$4</f>
        <v xml:space="preserve">Project: </v>
      </c>
      <c r="C89" s="1062" t="str">
        <f>'3. PARTNER'!D$4</f>
        <v/>
      </c>
      <c r="D89" s="1001"/>
      <c r="E89" s="1001"/>
      <c r="F89" s="1001"/>
      <c r="G89" s="1001"/>
      <c r="H89" s="1001"/>
      <c r="I89" s="1001"/>
      <c r="J89" s="1001"/>
      <c r="K89" s="1001"/>
      <c r="L89" s="1001"/>
      <c r="M89" s="1001"/>
    </row>
    <row r="90" spans="2:13" s="234" customFormat="1" ht="13.2" x14ac:dyDescent="0.25">
      <c r="B90" s="313" t="str">
        <f>'3. PARTNER'!C$5</f>
        <v xml:space="preserve">Calculation for: </v>
      </c>
      <c r="C90" s="1062" t="str">
        <f>'3. PARTNER'!D$5</f>
        <v>APPLICATION</v>
      </c>
      <c r="D90" s="1001"/>
      <c r="E90" s="268"/>
      <c r="F90" s="268"/>
      <c r="G90" s="268"/>
      <c r="H90" s="268"/>
      <c r="I90" s="268"/>
      <c r="J90" s="268"/>
      <c r="K90" s="268"/>
      <c r="L90" s="268"/>
      <c r="M90" s="268"/>
    </row>
    <row r="91" spans="2:13" s="234" customFormat="1" ht="13.2" x14ac:dyDescent="0.25">
      <c r="B91" s="35" t="str">
        <f>'3. PARTNER'!C$6</f>
        <v xml:space="preserve">Project leader: </v>
      </c>
      <c r="C91" s="1062" t="str">
        <f>'3. PARTNER'!D$6</f>
        <v/>
      </c>
      <c r="D91" s="1001"/>
      <c r="E91" s="1001"/>
      <c r="F91" s="1001"/>
      <c r="G91" s="1001"/>
      <c r="H91" s="1001"/>
      <c r="I91" s="1001"/>
      <c r="J91" s="1001"/>
      <c r="K91" s="1001"/>
      <c r="L91" s="1001"/>
      <c r="M91" s="1001"/>
    </row>
    <row r="92" spans="2:13" s="234" customFormat="1" ht="13.2" x14ac:dyDescent="0.25">
      <c r="B92" s="313" t="str">
        <f>'5. PERSON'!B$7</f>
        <v xml:space="preserve">Amounts in: </v>
      </c>
      <c r="C92" s="672" t="str">
        <f>'5. PERSON'!C$7</f>
        <v>SEK</v>
      </c>
      <c r="D92" s="268"/>
      <c r="E92" s="268"/>
      <c r="F92" s="268"/>
      <c r="I92" s="270"/>
      <c r="J92" s="270"/>
      <c r="K92" s="270"/>
      <c r="L92" s="270"/>
      <c r="M92" s="270"/>
    </row>
    <row r="93" spans="2:13" s="234" customFormat="1" ht="13.2" x14ac:dyDescent="0.25">
      <c r="B93" s="313"/>
      <c r="C93" s="1053" t="str">
        <f>'3. PARTNER'!D$7</f>
        <v>Other basic data about the project is in sheet 2.</v>
      </c>
      <c r="D93" s="1001"/>
      <c r="E93" s="1001"/>
      <c r="F93" s="1001"/>
      <c r="I93" s="270"/>
      <c r="J93" s="270"/>
      <c r="K93" s="270"/>
      <c r="L93" s="251" t="s">
        <v>4</v>
      </c>
      <c r="M93" s="270"/>
    </row>
    <row r="94" spans="2:13" s="268" customFormat="1" ht="12.75" customHeight="1" x14ac:dyDescent="0.25">
      <c r="L94" s="252" t="str">
        <f>IF('1. INTRO'!I$2="English","months","månader")</f>
        <v>months</v>
      </c>
    </row>
    <row r="95" spans="2:13" s="234" customFormat="1" ht="13.8" x14ac:dyDescent="0.25">
      <c r="B95" s="678" t="str">
        <f>IF('1. INTRO'!I$2="English","Project costs","Projektkostnader")</f>
        <v>Project costs</v>
      </c>
      <c r="C95" s="678" t="str">
        <f>B16</f>
        <v>WP 2</v>
      </c>
      <c r="D95" s="234" t="str">
        <f>E16</f>
        <v/>
      </c>
      <c r="E95" s="268"/>
      <c r="G95" s="268"/>
      <c r="H95" s="268"/>
      <c r="I95" s="268"/>
      <c r="J95" s="268"/>
      <c r="K95" s="676"/>
      <c r="L95" s="899">
        <f>SUMIF('5. PERSON'!$D$17:$D$192,$C95,'5. PERSON'!AE$17:AE$192)</f>
        <v>0</v>
      </c>
      <c r="M95" s="680" t="s">
        <v>330</v>
      </c>
    </row>
    <row r="96" spans="2:13" s="234" customFormat="1" ht="6" customHeight="1" x14ac:dyDescent="0.25">
      <c r="B96" s="602"/>
      <c r="C96" s="268"/>
      <c r="D96" s="268"/>
      <c r="E96" s="268"/>
      <c r="F96" s="268"/>
      <c r="G96" s="268"/>
      <c r="H96" s="268"/>
      <c r="I96" s="268"/>
      <c r="J96" s="268"/>
      <c r="K96" s="268"/>
      <c r="L96" s="268"/>
      <c r="M96" s="268"/>
    </row>
    <row r="97" spans="2:15" s="234" customFormat="1" ht="13.2" x14ac:dyDescent="0.25">
      <c r="B97" s="110" t="str">
        <f>IF('1. INTRO'!I$2="English","Costs to be covered by funding body","Kostnader att täckas av finansiär")</f>
        <v>Costs to be covered by funding body</v>
      </c>
      <c r="C97" s="607">
        <f>'5. PERSON'!G$15</f>
        <v>1900</v>
      </c>
      <c r="D97" s="607" t="str">
        <f>'5. PERSON'!H$15</f>
        <v/>
      </c>
      <c r="E97" s="607" t="str">
        <f>'5. PERSON'!I$15</f>
        <v/>
      </c>
      <c r="F97" s="607" t="str">
        <f>'5. PERSON'!J$15</f>
        <v/>
      </c>
      <c r="G97" s="607" t="str">
        <f>'5. PERSON'!K$15</f>
        <v/>
      </c>
      <c r="H97" s="607" t="str">
        <f>'5. PERSON'!L$15</f>
        <v/>
      </c>
      <c r="I97" s="607" t="str">
        <f>'5. PERSON'!M$15</f>
        <v/>
      </c>
      <c r="J97" s="607" t="str">
        <f>'5. PERSON'!N$15</f>
        <v/>
      </c>
      <c r="K97" s="607" t="str">
        <f>'5. PERSON'!O$15</f>
        <v/>
      </c>
      <c r="L97" s="607" t="str">
        <f>'5. PERSON'!P$15</f>
        <v/>
      </c>
      <c r="M97" s="608" t="s">
        <v>2</v>
      </c>
    </row>
    <row r="98" spans="2:15" s="234" customFormat="1" ht="12.75" customHeight="1" x14ac:dyDescent="0.25">
      <c r="B98" s="902" t="str">
        <f>IF('1. INTRO'!I$2="English","Salary including social costs (LKP)","Lön inklusive LKP")</f>
        <v>Salary including social costs (LKP)</v>
      </c>
      <c r="C98" s="610">
        <f>IF('2. START'!$C$14&gt;0,SUMIF('5. PERSON'!$D$17:$D$192,$C95,'5. PERSON'!DN$17:DN$192),SUMIF('5. PERSON'!$D$17:$D$192,$C95,'5. PERSON'!AT$17:AT$192))</f>
        <v>0</v>
      </c>
      <c r="D98" s="610">
        <f>IF('2. START'!$C$14&gt;0,SUMIF('5. PERSON'!$D$17:$D$192,$C95,'5. PERSON'!DO$17:DO$192),SUMIF('5. PERSON'!$D$17:$D$192,$C95,'5. PERSON'!AU$17:AU$192))</f>
        <v>0</v>
      </c>
      <c r="E98" s="610">
        <f>IF('2. START'!$C$14&gt;0,SUMIF('5. PERSON'!$D$17:$D$192,$C95,'5. PERSON'!DP$17:DP$192),SUMIF('5. PERSON'!$D$17:$D$192,$C95,'5. PERSON'!AV$17:AV$192))</f>
        <v>0</v>
      </c>
      <c r="F98" s="610">
        <f>IF('2. START'!$C$14&gt;0,SUMIF('5. PERSON'!$D$17:$D$192,$C95,'5. PERSON'!DQ$17:DQ$192),SUMIF('5. PERSON'!$D$17:$D$192,$C95,'5. PERSON'!AW$17:AW$192))</f>
        <v>0</v>
      </c>
      <c r="G98" s="610">
        <f>IF('2. START'!$C$14&gt;0,SUMIF('5. PERSON'!$D$17:$D$192,$C95,'5. PERSON'!DR$17:DR$192),SUMIF('5. PERSON'!$D$17:$D$192,$C95,'5. PERSON'!AX$17:AX$192))</f>
        <v>0</v>
      </c>
      <c r="H98" s="610">
        <f>IF('2. START'!$C$14&gt;0,SUMIF('5. PERSON'!$D$17:$D$192,$C95,'5. PERSON'!DS$17:DS$192),SUMIF('5. PERSON'!$D$17:$D$192,$C95,'5. PERSON'!AY$17:AY$192))</f>
        <v>0</v>
      </c>
      <c r="I98" s="610">
        <f>IF('2. START'!$C$14&gt;0,SUMIF('5. PERSON'!$D$17:$D$192,$C95,'5. PERSON'!DT$17:DT$192),SUMIF('5. PERSON'!$D$17:$D$192,$C95,'5. PERSON'!AZ$17:AZ$192))</f>
        <v>0</v>
      </c>
      <c r="J98" s="610">
        <f>IF('2. START'!$C$14&gt;0,SUMIF('5. PERSON'!$D$17:$D$192,$C95,'5. PERSON'!DU$17:DU$192),SUMIF('5. PERSON'!$D$17:$D$192,$C95,'5. PERSON'!BA$17:BA$192))</f>
        <v>0</v>
      </c>
      <c r="K98" s="610">
        <f>IF('2. START'!$C$14&gt;0,SUMIF('5. PERSON'!$D$17:$D$192,$C95,'5. PERSON'!DV$17:DV$192),SUMIF('5. PERSON'!$D$17:$D$192,$C95,'5. PERSON'!BB$17:BB$192))</f>
        <v>0</v>
      </c>
      <c r="L98" s="610">
        <f>IF('2. START'!$C$14&gt;0,SUMIF('5. PERSON'!$D$17:$D$192,$C95,'5. PERSON'!DW$17:DW$192),SUMIF('5. PERSON'!$D$17:$D$192,$C95,'5. PERSON'!BC$17:BC$192))</f>
        <v>0</v>
      </c>
      <c r="M98" s="903">
        <f t="shared" ref="M98:M103" si="8">SUM(C98:L98)</f>
        <v>0</v>
      </c>
      <c r="O98" s="904"/>
    </row>
    <row r="99" spans="2:15" s="234" customFormat="1" ht="12.75" customHeight="1" x14ac:dyDescent="0.25">
      <c r="B99" s="377" t="str">
        <f>IF('1. INTRO'!I$2="English","Operating","Drift")</f>
        <v>Operating</v>
      </c>
      <c r="C99" s="615">
        <f>SUMIF('6. OPERATION'!$D$17:$D$149,$C95,'6. OPERATION'!W$17:W$149)</f>
        <v>0</v>
      </c>
      <c r="D99" s="615">
        <f>SUMIF('6. OPERATION'!$D$17:$D$149,$C95,'6. OPERATION'!X$17:X$149)</f>
        <v>0</v>
      </c>
      <c r="E99" s="615">
        <f>SUMIF('6. OPERATION'!$D$17:$D$149,$C95,'6. OPERATION'!Y$17:Y$149)</f>
        <v>0</v>
      </c>
      <c r="F99" s="615">
        <f>SUMIF('6. OPERATION'!$D$17:$D$149,$C95,'6. OPERATION'!Z$17:Z$149)</f>
        <v>0</v>
      </c>
      <c r="G99" s="615">
        <f>SUMIF('6. OPERATION'!$D$17:$D$149,$C95,'6. OPERATION'!AA$17:AA$149)</f>
        <v>0</v>
      </c>
      <c r="H99" s="615">
        <f>SUMIF('6. OPERATION'!$D$17:$D$149,$C95,'6. OPERATION'!AB$17:AB$149)</f>
        <v>0</v>
      </c>
      <c r="I99" s="615">
        <f>SUMIF('6. OPERATION'!$D$17:$D$149,$C95,'6. OPERATION'!AC$17:AC$149)</f>
        <v>0</v>
      </c>
      <c r="J99" s="615">
        <f>SUMIF('6. OPERATION'!$D$17:$D$149,$C95,'6. OPERATION'!AD$17:AD$149)</f>
        <v>0</v>
      </c>
      <c r="K99" s="615">
        <f>SUMIF('6. OPERATION'!$D$17:$D$149,$C95,'6. OPERATION'!AE$17:AE$149)</f>
        <v>0</v>
      </c>
      <c r="L99" s="615">
        <f>SUMIF('6. OPERATION'!$D$17:$D$149,$C95,'6. OPERATION'!AF$17:AF$149)</f>
        <v>0</v>
      </c>
      <c r="M99" s="905">
        <f t="shared" si="8"/>
        <v>0</v>
      </c>
    </row>
    <row r="100" spans="2:15" s="234" customFormat="1" ht="13.2" x14ac:dyDescent="0.25">
      <c r="B100" s="906" t="str">
        <f>IF('1. INTRO'!I$2="English","Equipment","Utrustning")</f>
        <v>Equipment</v>
      </c>
      <c r="C100" s="620">
        <f>SUMIF('7. INVEST'!$D$17:$D$49,$C95,'7. INVEST'!W$17:W$49)</f>
        <v>0</v>
      </c>
      <c r="D100" s="620">
        <f>SUMIF('7. INVEST'!$D$17:$D$49,$C95,'7. INVEST'!X$17:X$49)</f>
        <v>0</v>
      </c>
      <c r="E100" s="620">
        <f>SUMIF('7. INVEST'!$D$17:$D$49,$C95,'7. INVEST'!Y$17:Y$49)</f>
        <v>0</v>
      </c>
      <c r="F100" s="620">
        <f>SUMIF('7. INVEST'!$D$17:$D$49,$C95,'7. INVEST'!Z$17:Z$49)</f>
        <v>0</v>
      </c>
      <c r="G100" s="620">
        <f>SUMIF('7. INVEST'!$D$17:$D$49,$C95,'7. INVEST'!AA$17:AA$49)</f>
        <v>0</v>
      </c>
      <c r="H100" s="620">
        <f>SUMIF('7. INVEST'!$D$17:$D$49,$C95,'7. INVEST'!AB$17:AB$49)</f>
        <v>0</v>
      </c>
      <c r="I100" s="620">
        <f>SUMIF('7. INVEST'!$D$17:$D$49,$C95,'7. INVEST'!AC$17:AC$49)</f>
        <v>0</v>
      </c>
      <c r="J100" s="620">
        <f>SUMIF('7. INVEST'!$D$17:$D$49,$C95,'7. INVEST'!AD$17:AD$49)</f>
        <v>0</v>
      </c>
      <c r="K100" s="620">
        <f>SUMIF('7. INVEST'!$D$17:$D$49,$C95,'7. INVEST'!AE$17:AE$49)</f>
        <v>0</v>
      </c>
      <c r="L100" s="620">
        <f>SUMIF('7. INVEST'!$D$17:$D$49,$C95,'7. INVEST'!AF$17:AF$49)</f>
        <v>0</v>
      </c>
      <c r="M100" s="907">
        <f t="shared" si="8"/>
        <v>0</v>
      </c>
    </row>
    <row r="101" spans="2:15" s="234" customFormat="1" ht="13.2" x14ac:dyDescent="0.25">
      <c r="B101" s="121" t="str">
        <f>IF('1. INTRO'!I$2="English",(IF('2. START'!C$11="NO","Facility accepted as direct cost by funding body","Facility")),IF('2. START'!C$11="NO","Lokal accepterad som direkt kostnad av finansiär","Lokal"))</f>
        <v>Facility</v>
      </c>
      <c r="C101" s="615">
        <f>IF('2. START'!$C$11="NO",SUMIF('8. FACILIT'!$D$18:$D$50,$C95,'8. FACILIT'!T$18:T$50),SUMIF('5. PERSON'!$D$17:$D$192,$C95,'5. PERSON'!CP$17:CP$192)+SUMIF('6. OPERATION'!$D$17:$D$149,$C95,'6. OPERATION'!BS$17:BS$149)+SUMIF('8. FACILIT'!$D$18:$D$50,$C95,'8. FACILIT'!T$18:T$50))</f>
        <v>0</v>
      </c>
      <c r="D101" s="615">
        <f>IF('2. START'!$C$11="NO",SUMIF('8. FACILIT'!$D$18:$D$50,$C95,'8. FACILIT'!U$18:U$50),SUMIF('5. PERSON'!$D$17:$D$192,$C95,'5. PERSON'!CQ$17:CQ$192)+SUMIF('6. OPERATION'!$D$17:$D$149,$C95,'6. OPERATION'!BT$17:BT$149)+SUMIF('8. FACILIT'!$D$18:$D$50,$C95,'8. FACILIT'!U$18:U$50))</f>
        <v>0</v>
      </c>
      <c r="E101" s="615">
        <f>IF('2. START'!$C$11="NO",SUMIF('8. FACILIT'!$D$18:$D$50,$C95,'8. FACILIT'!V$18:V$50),SUMIF('5. PERSON'!$D$17:$D$192,$C95,'5. PERSON'!CR$17:CR$192)+SUMIF('6. OPERATION'!$D$17:$D$149,$C95,'6. OPERATION'!BU$17:BU$149)+SUMIF('8. FACILIT'!$D$18:$D$50,$C95,'8. FACILIT'!V$18:V$50))</f>
        <v>0</v>
      </c>
      <c r="F101" s="615">
        <f>IF('2. START'!$C$11="NO",SUMIF('8. FACILIT'!$D$18:$D$50,$C95,'8. FACILIT'!W$18:W$50),SUMIF('5. PERSON'!$D$17:$D$192,$C95,'5. PERSON'!CS$17:CS$192)+SUMIF('6. OPERATION'!$D$17:$D$149,$C95,'6. OPERATION'!BV$17:BV$149)+SUMIF('8. FACILIT'!$D$18:$D$50,$C95,'8. FACILIT'!W$18:W$50))</f>
        <v>0</v>
      </c>
      <c r="G101" s="615">
        <f>IF('2. START'!$C$11="NO",SUMIF('8. FACILIT'!$D$18:$D$50,$C95,'8. FACILIT'!X$18:X$50),SUMIF('5. PERSON'!$D$17:$D$192,$C95,'5. PERSON'!CT$17:CT$192)+SUMIF('6. OPERATION'!$D$17:$D$149,$C95,'6. OPERATION'!BW$17:BW$149)+SUMIF('8. FACILIT'!$D$18:$D$50,$C95,'8. FACILIT'!X$18:X$50))</f>
        <v>0</v>
      </c>
      <c r="H101" s="615">
        <f>IF('2. START'!$C$11="NO",SUMIF('8. FACILIT'!$D$18:$D$50,$C95,'8. FACILIT'!Y$18:Y$50),SUMIF('5. PERSON'!$D$17:$D$192,$C95,'5. PERSON'!CU$17:CU$192)+SUMIF('6. OPERATION'!$D$17:$D$149,$C95,'6. OPERATION'!BX$17:BX$149)+SUMIF('8. FACILIT'!$D$18:$D$50,$C95,'8. FACILIT'!Y$18:Y$50))</f>
        <v>0</v>
      </c>
      <c r="I101" s="615">
        <f>IF('2. START'!$C$11="NO",SUMIF('8. FACILIT'!$D$18:$D$50,$C95,'8. FACILIT'!Z$18:Z$50),SUMIF('5. PERSON'!$D$17:$D$192,$C95,'5. PERSON'!CV$17:CV$192)+SUMIF('6. OPERATION'!$D$17:$D$149,$C95,'6. OPERATION'!BY$17:BY$149)+SUMIF('8. FACILIT'!$D$18:$D$50,$C95,'8. FACILIT'!Z$18:Z$50))</f>
        <v>0</v>
      </c>
      <c r="J101" s="615">
        <f>IF('2. START'!$C$11="NO",SUMIF('8. FACILIT'!$D$18:$D$50,$C95,'8. FACILIT'!AA$18:AA$50),SUMIF('5. PERSON'!$D$17:$D$192,$C95,'5. PERSON'!CW$17:CW$192)+SUMIF('6. OPERATION'!$D$17:$D$149,$C95,'6. OPERATION'!BZ$17:BZ$149)+SUMIF('8. FACILIT'!$D$18:$D$50,$C95,'8. FACILIT'!AA$18:AA$50))</f>
        <v>0</v>
      </c>
      <c r="K101" s="615">
        <f>IF('2. START'!$C$11="NO",SUMIF('8. FACILIT'!$D$18:$D$50,$C95,'8. FACILIT'!AB$18:AB$50),SUMIF('5. PERSON'!$D$17:$D$192,$C95,'5. PERSON'!CX$17:CX$192)+SUMIF('6. OPERATION'!$D$17:$D$149,$C95,'6. OPERATION'!CA$17:CA$149)+SUMIF('8. FACILIT'!$D$18:$D$50,$C95,'8. FACILIT'!AB$18:AB$50))</f>
        <v>0</v>
      </c>
      <c r="L101" s="615">
        <f>IF('2. START'!$C$11="NO",SUMIF('8. FACILIT'!$D$18:$D$50,$C95,'8. FACILIT'!AC$18:AC$50),SUMIF('5. PERSON'!$D$17:$D$192,$C95,'5. PERSON'!CY$17:CY$192)+SUMIF('6. OPERATION'!$D$17:$D$149,$C95,'6. OPERATION'!CB$17:CB$149)+SUMIF('8. FACILIT'!$D$18:$D$50,$C95,'8. FACILIT'!AC$18:AC$50))</f>
        <v>0</v>
      </c>
      <c r="M101" s="905">
        <f t="shared" si="8"/>
        <v>0</v>
      </c>
    </row>
    <row r="102" spans="2:15" s="234" customFormat="1" ht="13.2" x14ac:dyDescent="0.25">
      <c r="B102" s="122" t="str">
        <f>IF('1. INTRO'!I$2="English",(IF('2. START'!C$11="NO","Indirect and facility charge accepted as OH by funding body","Indirect")),IF('2. START'!C$11="NO","Indirekt och lokalpåslag accepterade som OH av finansiär","Indirekt"))</f>
        <v>Indirect</v>
      </c>
      <c r="C102" s="584">
        <f>IF('2. START'!$C$11="NO",SUMIF('5. PERSON'!$D$17:$D$192,$C95,'5. PERSON'!DZ$17:DZ$192)+SUMIF('6. OPERATION'!$D$17:$D$149,$C95,'6. OPERATION'!CQ$17:CQ$149)+SUMIF('7. INVEST'!$D$17:$D$49,$C95,'7. INVEST'!AU$17:AU$49)+SUMIF('8. FACILIT'!$D$18:$D$101,$C95,'8. FACILIT'!AR$18:AR$50),SUMIF('5. PERSON'!$D$17:$D$192,$C95,'5. PERSON'!BR$17:BR$192)+SUMIF('6. OPERATION'!$D$17:$D$149,$C95,'6. OPERATION'!AU$17:AU$149))</f>
        <v>0</v>
      </c>
      <c r="D102" s="584">
        <f>IF('2. START'!$C$11="NO",SUMIF('5. PERSON'!$D$17:$D$192,$C95,'5. PERSON'!EA$17:EA$192)+SUMIF('6. OPERATION'!$D$17:$D$149,$C95,'6. OPERATION'!CR$17:CR$149)+SUMIF('7. INVEST'!$D$17:$D$49,$C95,'7. INVEST'!AV$17:AV$49)+SUMIF('8. FACILIT'!$D$18:$D$101,$C95,'8. FACILIT'!AS$18:AS$50),SUMIF('5. PERSON'!$D$17:$D$192,$C95,'5. PERSON'!BS$17:BS$192)+SUMIF('6. OPERATION'!$D$17:$D$149,$C95,'6. OPERATION'!AV$17:AV$149))</f>
        <v>0</v>
      </c>
      <c r="E102" s="584">
        <f>IF('2. START'!$C$11="NO",SUMIF('5. PERSON'!$D$17:$D$192,$C95,'5. PERSON'!EB$17:EB$192)+SUMIF('6. OPERATION'!$D$17:$D$149,$C95,'6. OPERATION'!CS$17:CS$149)+SUMIF('7. INVEST'!$D$17:$D$49,$C95,'7. INVEST'!AW$17:AW$49)+SUMIF('8. FACILIT'!$D$18:$D$101,$C95,'8. FACILIT'!AT$18:AT$50),SUMIF('5. PERSON'!$D$17:$D$192,$C95,'5. PERSON'!BT$17:BT$192)+SUMIF('6. OPERATION'!$D$17:$D$149,$C95,'6. OPERATION'!AW$17:AW$149))</f>
        <v>0</v>
      </c>
      <c r="F102" s="584">
        <f>IF('2. START'!$C$11="NO",SUMIF('5. PERSON'!$D$17:$D$192,$C95,'5. PERSON'!EC$17:EC$192)+SUMIF('6. OPERATION'!$D$17:$D$149,$C95,'6. OPERATION'!CT$17:CT$149)+SUMIF('7. INVEST'!$D$17:$D$49,$C95,'7. INVEST'!AX$17:AX$49)+SUMIF('8. FACILIT'!$D$18:$D$101,$C95,'8. FACILIT'!AU$18:AU$50),SUMIF('5. PERSON'!$D$17:$D$192,$C95,'5. PERSON'!BU$17:BU$192)+SUMIF('6. OPERATION'!$D$17:$D$149,$C95,'6. OPERATION'!AX$17:AX$149))</f>
        <v>0</v>
      </c>
      <c r="G102" s="584">
        <f>IF('2. START'!$C$11="NO",SUMIF('5. PERSON'!$D$17:$D$192,$C95,'5. PERSON'!ED$17:ED$192)+SUMIF('6. OPERATION'!$D$17:$D$149,$C95,'6. OPERATION'!CU$17:CU$149)+SUMIF('7. INVEST'!$D$17:$D$49,$C95,'7. INVEST'!AY$17:AY$49)+SUMIF('8. FACILIT'!$D$18:$D$101,$C95,'8. FACILIT'!AV$18:AV$50),SUMIF('5. PERSON'!$D$17:$D$192,$C95,'5. PERSON'!BV$17:BV$192)+SUMIF('6. OPERATION'!$D$17:$D$149,$C95,'6. OPERATION'!AY$17:AY$149))</f>
        <v>0</v>
      </c>
      <c r="H102" s="584">
        <f>IF('2. START'!$C$11="NO",SUMIF('5. PERSON'!$D$17:$D$192,$C95,'5. PERSON'!EE$17:EE$192)+SUMIF('6. OPERATION'!$D$17:$D$149,$C95,'6. OPERATION'!CV$17:CV$149)+SUMIF('7. INVEST'!$D$17:$D$49,$C95,'7. INVEST'!AZ$17:AZ$49)+SUMIF('8. FACILIT'!$D$18:$D$101,$C95,'8. FACILIT'!AW$18:AW$50),SUMIF('5. PERSON'!$D$17:$D$192,$C95,'5. PERSON'!BW$17:BW$192)+SUMIF('6. OPERATION'!$D$17:$D$149,$C95,'6. OPERATION'!AZ$17:AZ$149))</f>
        <v>0</v>
      </c>
      <c r="I102" s="584">
        <f>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584">
        <f>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584">
        <f>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584">
        <f>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908">
        <f t="shared" si="8"/>
        <v>0</v>
      </c>
    </row>
    <row r="103" spans="2:15" s="234" customFormat="1" ht="13.2" x14ac:dyDescent="0.25">
      <c r="B103" s="628" t="s">
        <v>113</v>
      </c>
      <c r="C103" s="443">
        <f>SUM(C98:C102)</f>
        <v>0</v>
      </c>
      <c r="D103" s="443">
        <f t="shared" ref="D103:L103" si="9">SUM(D98:D102)</f>
        <v>0</v>
      </c>
      <c r="E103" s="443">
        <f t="shared" si="9"/>
        <v>0</v>
      </c>
      <c r="F103" s="443">
        <f t="shared" si="9"/>
        <v>0</v>
      </c>
      <c r="G103" s="443">
        <f t="shared" si="9"/>
        <v>0</v>
      </c>
      <c r="H103" s="443">
        <f t="shared" si="9"/>
        <v>0</v>
      </c>
      <c r="I103" s="443">
        <f t="shared" si="9"/>
        <v>0</v>
      </c>
      <c r="J103" s="443">
        <f t="shared" si="9"/>
        <v>0</v>
      </c>
      <c r="K103" s="443">
        <f t="shared" si="9"/>
        <v>0</v>
      </c>
      <c r="L103" s="443">
        <f t="shared" si="9"/>
        <v>0</v>
      </c>
      <c r="M103" s="630">
        <f t="shared" si="8"/>
        <v>0</v>
      </c>
    </row>
    <row r="104" spans="2:15" s="234" customFormat="1" ht="6" customHeight="1" x14ac:dyDescent="0.25">
      <c r="B104" s="909"/>
      <c r="C104" s="127"/>
      <c r="D104" s="127"/>
      <c r="E104" s="127"/>
      <c r="F104" s="127"/>
      <c r="G104" s="127"/>
      <c r="H104" s="127"/>
      <c r="I104" s="127"/>
      <c r="J104" s="127"/>
      <c r="K104" s="127"/>
      <c r="L104" s="127"/>
      <c r="M104" s="633"/>
    </row>
    <row r="105" spans="2:15" s="234" customFormat="1" ht="13.2" x14ac:dyDescent="0.25">
      <c r="B105" s="129" t="str">
        <f>IF('1. INTRO'!I$2="English","Costs to be co-funded","Kostnader att medfinansiera")</f>
        <v>Costs to be co-funded</v>
      </c>
      <c r="C105" s="634"/>
      <c r="D105" s="634"/>
      <c r="E105" s="634"/>
      <c r="F105" s="634"/>
      <c r="G105" s="634"/>
      <c r="H105" s="634"/>
      <c r="I105" s="634"/>
      <c r="J105" s="634"/>
      <c r="K105" s="634"/>
      <c r="L105" s="634"/>
      <c r="M105" s="129"/>
    </row>
    <row r="106" spans="2:15" s="234" customFormat="1" ht="13.2" x14ac:dyDescent="0.25">
      <c r="B106" s="159" t="str">
        <f>IF('1. INTRO'!I$2="English",(IF('2. START'!C$11="NO","Indirect and facility charge not accepted as OH by funding body","")),IF('2. START'!C$11="NO","Indirekt och lokalpåslag inte accepterade som OH av finansiär",""))</f>
        <v/>
      </c>
      <c r="C106" s="910">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0</v>
      </c>
      <c r="D106" s="910">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0</v>
      </c>
      <c r="E106" s="910">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0</v>
      </c>
      <c r="F106" s="910">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0</v>
      </c>
      <c r="G106" s="910">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0</v>
      </c>
      <c r="H106" s="910">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0</v>
      </c>
      <c r="I106" s="910">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910">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910">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910">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903">
        <f t="shared" ref="M106:M112" si="10">SUM(C106:L106)</f>
        <v>0</v>
      </c>
    </row>
    <row r="107" spans="2:15" s="234" customFormat="1" ht="12.75" customHeight="1" x14ac:dyDescent="0.25">
      <c r="B107" s="132" t="str">
        <f>IF('1. INTRO'!I$2="English",(IF('2. START'!C$14&gt;0,"Social costs (LKP) not accepted by funding body","")),IF('2. START'!C$14&gt;0,"LKP som inte accepteras av finansiär",""))</f>
        <v/>
      </c>
      <c r="C107" s="911">
        <f>IF('2. START'!$C$14&gt;0,SUMIF('5. PERSON'!$D$17:$D$192,$C95,'5. PERSON'!AT$17:AT$192)-SUMIF('5. PERSON'!$D$17:$D$192,$C95,'5. PERSON'!DN$17:DN$192),0)</f>
        <v>0</v>
      </c>
      <c r="D107" s="911">
        <f>IF('2. START'!$C$14&gt;0,SUMIF('5. PERSON'!$D$17:$D$192,$C95,'5. PERSON'!AU$17:AU$192)-SUMIF('5. PERSON'!$D$17:$D$192,$C95,'5. PERSON'!DO$17:DO$192),0)</f>
        <v>0</v>
      </c>
      <c r="E107" s="911">
        <f>IF('2. START'!$C$14&gt;0,SUMIF('5. PERSON'!$D$17:$D$192,$C95,'5. PERSON'!AV$17:AV$192)-SUMIF('5. PERSON'!$D$17:$D$192,$C95,'5. PERSON'!DP$17:DP$192),0)</f>
        <v>0</v>
      </c>
      <c r="F107" s="911">
        <f>IF('2. START'!$C$14&gt;0,SUMIF('5. PERSON'!$D$17:$D$192,$C95,'5. PERSON'!AW$17:AW$192)-SUMIF('5. PERSON'!$D$17:$D$192,$C95,'5. PERSON'!DQ$17:DQ$192),0)</f>
        <v>0</v>
      </c>
      <c r="G107" s="911">
        <f>IF('2. START'!$C$14&gt;0,SUMIF('5. PERSON'!$D$17:$D$192,$C95,'5. PERSON'!AX$17:AX$192)-SUMIF('5. PERSON'!$D$17:$D$192,$C95,'5. PERSON'!DR$17:DR$192),0)</f>
        <v>0</v>
      </c>
      <c r="H107" s="911">
        <f>IF('2. START'!$C$14&gt;0,SUMIF('5. PERSON'!$D$17:$D$192,$C95,'5. PERSON'!AY$17:AY$192)-SUMIF('5. PERSON'!$D$17:$D$192,$C95,'5. PERSON'!DS$17:DS$192),0)</f>
        <v>0</v>
      </c>
      <c r="I107" s="911">
        <f>IF('2. START'!$C$14&gt;0,SUMIF('5. PERSON'!$D$17:$D$192,$C95,'5. PERSON'!AZ$17:AZ$192)-SUMIF('5. PERSON'!$D$17:$D$192,$C95,'5. PERSON'!DT$17:DT$192),0)</f>
        <v>0</v>
      </c>
      <c r="J107" s="911">
        <f>IF('2. START'!$C$14&gt;0,SUMIF('5. PERSON'!$D$17:$D$192,$C95,'5. PERSON'!BA$17:BA$192)-SUMIF('5. PERSON'!$D$17:$D$192,$C95,'5. PERSON'!DU$17:DU$192),0)</f>
        <v>0</v>
      </c>
      <c r="K107" s="911">
        <f>IF('2. START'!$C$14&gt;0,SUMIF('5. PERSON'!$D$17:$D$192,$C95,'5. PERSON'!BB$17:BB$192)-SUMIF('5. PERSON'!$D$17:$D$192,$C95,'5. PERSON'!DV$17:DV$192),0)</f>
        <v>0</v>
      </c>
      <c r="L107" s="911">
        <f>IF('2. START'!$C$14&gt;0,SUMIF('5. PERSON'!$D$17:$D$192,$C95,'5. PERSON'!BC$17:BC$192)-SUMIF('5. PERSON'!$D$17:$D$192,$C95,'5. PERSON'!DW$17:DW$192),0)</f>
        <v>0</v>
      </c>
      <c r="M107" s="905">
        <f t="shared" si="10"/>
        <v>0</v>
      </c>
    </row>
    <row r="108" spans="2:15" s="234" customFormat="1" ht="12.75" customHeight="1" x14ac:dyDescent="0.25">
      <c r="B108" s="906" t="str">
        <f>IF('1. INTRO'!I$2="English",(IF('5. PERSON'!BP$193&gt;0,"Salary including social costs (LKP)","")),IF('5. PERSON'!BP$193&gt;0,"Lön inklusive LKP",""))</f>
        <v/>
      </c>
      <c r="C108" s="622">
        <f>SUMIF('5. PERSON'!$D$17:$D$192,$C95,'5. PERSON'!BF$17:BF$192)</f>
        <v>0</v>
      </c>
      <c r="D108" s="622">
        <f>SUMIF('5. PERSON'!$D$17:$D$192,$C95,'5. PERSON'!BG$17:BG$192)</f>
        <v>0</v>
      </c>
      <c r="E108" s="622">
        <f>SUMIF('5. PERSON'!$D$17:$D$192,$C95,'5. PERSON'!BH$17:BH$192)</f>
        <v>0</v>
      </c>
      <c r="F108" s="622">
        <f>SUMIF('5. PERSON'!$D$17:$D$192,$C95,'5. PERSON'!BI$17:BI$192)</f>
        <v>0</v>
      </c>
      <c r="G108" s="622">
        <f>SUMIF('5. PERSON'!$D$17:$D$192,$C95,'5. PERSON'!BJ$17:BJ$192)</f>
        <v>0</v>
      </c>
      <c r="H108" s="622">
        <f>SUMIF('5. PERSON'!$D$17:$D$192,$C95,'5. PERSON'!BK$17:BK$192)</f>
        <v>0</v>
      </c>
      <c r="I108" s="622">
        <f>SUMIF('5. PERSON'!$D$17:$D$192,$C95,'5. PERSON'!BL$17:BL$192)</f>
        <v>0</v>
      </c>
      <c r="J108" s="622">
        <f>SUMIF('5. PERSON'!$D$17:$D$192,$C95,'5. PERSON'!BM$17:BM$192)</f>
        <v>0</v>
      </c>
      <c r="K108" s="622">
        <f>SUMIF('5. PERSON'!$D$17:$D$192,$C95,'5. PERSON'!BN$17:BN$192)</f>
        <v>0</v>
      </c>
      <c r="L108" s="622">
        <f>SUMIF('5. PERSON'!$D$17:$D$192,$C95,'5. PERSON'!BO$17:BO$192)</f>
        <v>0</v>
      </c>
      <c r="M108" s="907">
        <f t="shared" si="10"/>
        <v>0</v>
      </c>
    </row>
    <row r="109" spans="2:15" s="234" customFormat="1" ht="13.2" x14ac:dyDescent="0.25">
      <c r="B109" s="377" t="str">
        <f>IF('1. INTRO'!I$2="English",(IF('6. OPERATION'!AS$150&gt;0,"Operating","")),IF('6. OPERATION'!AS$150&gt;0,"Drift",""))</f>
        <v/>
      </c>
      <c r="C109" s="617">
        <f>SUMIF('6. OPERATION'!$D$17:$D$149,$C95,'6. OPERATION'!AI$17:AI$149)</f>
        <v>0</v>
      </c>
      <c r="D109" s="617">
        <f>SUMIF('6. OPERATION'!$D$17:$D$149,$C95,'6. OPERATION'!AJ$17:AJ$149)</f>
        <v>0</v>
      </c>
      <c r="E109" s="617">
        <f>SUMIF('6. OPERATION'!$D$17:$D$149,$C95,'6. OPERATION'!AK$17:AK$149)</f>
        <v>0</v>
      </c>
      <c r="F109" s="617">
        <f>SUMIF('6. OPERATION'!$D$17:$D$149,$C95,'6. OPERATION'!AL$17:AL$149)</f>
        <v>0</v>
      </c>
      <c r="G109" s="617">
        <f>SUMIF('6. OPERATION'!$D$17:$D$149,$C95,'6. OPERATION'!AM$17:AM$149)</f>
        <v>0</v>
      </c>
      <c r="H109" s="617">
        <f>SUMIF('6. OPERATION'!$D$17:$D$149,$C95,'6. OPERATION'!AN$17:AN$149)</f>
        <v>0</v>
      </c>
      <c r="I109" s="617">
        <f>SUMIF('6. OPERATION'!$D$17:$D$149,$C95,'6. OPERATION'!AO$17:AO$149)</f>
        <v>0</v>
      </c>
      <c r="J109" s="617">
        <f>SUMIF('6. OPERATION'!$D$17:$D$149,$C95,'6. OPERATION'!AP$17:AP$149)</f>
        <v>0</v>
      </c>
      <c r="K109" s="617">
        <f>SUMIF('6. OPERATION'!$D$17:$D$149,$C95,'6. OPERATION'!AQ$17:AQ$149)</f>
        <v>0</v>
      </c>
      <c r="L109" s="617">
        <f>SUMIF('6. OPERATION'!$D$17:$D$149,$C95,'6. OPERATION'!AR$17:AR$149)</f>
        <v>0</v>
      </c>
      <c r="M109" s="905">
        <f t="shared" si="10"/>
        <v>0</v>
      </c>
    </row>
    <row r="110" spans="2:15" s="234" customFormat="1" ht="13.2" x14ac:dyDescent="0.25">
      <c r="B110" s="906" t="str">
        <f>IF('1. INTRO'!I$2="English",(IF('7. INVEST'!AS$50&gt;0,"Equipment","")),IF('7. INVEST'!AS$50&gt;0,"Utrustning",""))</f>
        <v/>
      </c>
      <c r="C110" s="622">
        <f>SUMIF('7. INVEST'!$D$17:$D$49,$C95,'7. INVEST'!AI$17:AI$49)</f>
        <v>0</v>
      </c>
      <c r="D110" s="622">
        <f>SUMIF('7. INVEST'!$D$17:$D$49,$C95,'7. INVEST'!AJ$17:AJ$49)</f>
        <v>0</v>
      </c>
      <c r="E110" s="622">
        <f>SUMIF('7. INVEST'!$D$17:$D$49,$C95,'7. INVEST'!AK$17:AK$49)</f>
        <v>0</v>
      </c>
      <c r="F110" s="622">
        <f>SUMIF('7. INVEST'!$D$17:$D$49,$C95,'7. INVEST'!AL$17:AL$49)</f>
        <v>0</v>
      </c>
      <c r="G110" s="622">
        <f>SUMIF('7. INVEST'!$D$17:$D$49,$C95,'7. INVEST'!AM$17:AM$49)</f>
        <v>0</v>
      </c>
      <c r="H110" s="622">
        <f>SUMIF('7. INVEST'!$D$17:$D$49,$C95,'7. INVEST'!AN$17:AN$49)</f>
        <v>0</v>
      </c>
      <c r="I110" s="622">
        <f>SUMIF('7. INVEST'!$D$17:$D$49,$C95,'7. INVEST'!AO$17:AO$49)</f>
        <v>0</v>
      </c>
      <c r="J110" s="622">
        <f>SUMIF('7. INVEST'!$D$17:$D$49,$C95,'7. INVEST'!AP$17:AP$49)</f>
        <v>0</v>
      </c>
      <c r="K110" s="622">
        <f>SUMIF('7. INVEST'!$D$17:$D$49,$C95,'7. INVEST'!AQ$17:AQ$49)</f>
        <v>0</v>
      </c>
      <c r="L110" s="622">
        <f>SUMIF('7. INVEST'!$D$17:$D$49,$C95,'7. INVEST'!AR$17:AR$49)</f>
        <v>0</v>
      </c>
      <c r="M110" s="907">
        <f t="shared" si="10"/>
        <v>0</v>
      </c>
    </row>
    <row r="111" spans="2:15" s="234" customFormat="1" ht="13.2" x14ac:dyDescent="0.25">
      <c r="B111" s="121" t="str">
        <f>IF('1. INTRO'!I$2="English",(IF('8. FACILIT'!AP$51&gt;0,"Facility","")),IF('8. FACILIT'!AP$51&gt;0,"Lokal",""))</f>
        <v/>
      </c>
      <c r="C111" s="617">
        <f>SUMIF('5. PERSON'!$D$17:$D$192,$C95,'5. PERSON'!DB$17:DB$192)+SUMIF('6. OPERATION'!$D$17:$D$149,$C95,'6. OPERATION'!CE$17:CE$149)+SUMIF('8. FACILIT'!$D$18:$D$50,$C95,'8. FACILIT'!AF$18:AF$50)</f>
        <v>0</v>
      </c>
      <c r="D111" s="617">
        <f>SUMIF('5. PERSON'!$D$17:$D$192,$C95,'5. PERSON'!DC$17:DC$192)+SUMIF('6. OPERATION'!$D$17:$D$149,$C95,'6. OPERATION'!CF$17:CF$149)+SUMIF('8. FACILIT'!$D$18:$D$50,$C95,'8. FACILIT'!AG$18:AG$50)</f>
        <v>0</v>
      </c>
      <c r="E111" s="617">
        <f>SUMIF('5. PERSON'!$D$17:$D$192,$C95,'5. PERSON'!DD$17:DD$192)+SUMIF('6. OPERATION'!$D$17:$D$149,$C95,'6. OPERATION'!CG$17:CG$149)+SUMIF('8. FACILIT'!$D$18:$D$50,$C95,'8. FACILIT'!AH$18:AH$50)</f>
        <v>0</v>
      </c>
      <c r="F111" s="617">
        <f>SUMIF('5. PERSON'!$D$17:$D$192,$C95,'5. PERSON'!DE$17:DE$192)+SUMIF('6. OPERATION'!$D$17:$D$149,$C95,'6. OPERATION'!CH$17:CH$149)+SUMIF('8. FACILIT'!$D$18:$D$50,$C95,'8. FACILIT'!AI$18:AI$50)</f>
        <v>0</v>
      </c>
      <c r="G111" s="617">
        <f>SUMIF('5. PERSON'!$D$17:$D$192,$C95,'5. PERSON'!DF$17:DF$192)+SUMIF('6. OPERATION'!$D$17:$D$149,$C95,'6. OPERATION'!CI$17:CI$149)+SUMIF('8. FACILIT'!$D$18:$D$50,$C95,'8. FACILIT'!AJ$18:AJ$50)</f>
        <v>0</v>
      </c>
      <c r="H111" s="617">
        <f>SUMIF('5. PERSON'!$D$17:$D$192,$C95,'5. PERSON'!DG$17:DG$192)+SUMIF('6. OPERATION'!$D$17:$D$149,$C95,'6. OPERATION'!CJ$17:CJ$149)+SUMIF('8. FACILIT'!$D$18:$D$50,$C95,'8. FACILIT'!AK$18:AK$50)</f>
        <v>0</v>
      </c>
      <c r="I111" s="617">
        <f>SUMIF('5. PERSON'!$D$17:$D$192,$C95,'5. PERSON'!DH$17:DH$192)+SUMIF('6. OPERATION'!$D$17:$D$149,$C95,'6. OPERATION'!CK$17:CK$149)+SUMIF('8. FACILIT'!$D$18:$D$50,$C95,'8. FACILIT'!AL$18:AL$50)</f>
        <v>0</v>
      </c>
      <c r="J111" s="617">
        <f>SUMIF('5. PERSON'!$D$17:$D$192,$C95,'5. PERSON'!DI$17:DI$192)+SUMIF('6. OPERATION'!$D$17:$D$149,$C95,'6. OPERATION'!CL$17:CL$149)+SUMIF('8. FACILIT'!$D$18:$D$50,$C95,'8. FACILIT'!AM$18:AM$50)</f>
        <v>0</v>
      </c>
      <c r="K111" s="617">
        <f>SUMIF('5. PERSON'!$D$17:$D$192,$C95,'5. PERSON'!DJ$17:DJ$192)+SUMIF('6. OPERATION'!$D$17:$D$149,$C95,'6. OPERATION'!CM$17:CM$149)+SUMIF('8. FACILIT'!$D$18:$D$50,$C95,'8. FACILIT'!AN$18:AN$50)</f>
        <v>0</v>
      </c>
      <c r="L111" s="617">
        <f>SUMIF('5. PERSON'!$D$17:$D$192,$C95,'5. PERSON'!DK$17:DK$192)+SUMIF('6. OPERATION'!$D$17:$D$149,$C95,'6. OPERATION'!CN$17:CN$149)+SUMIF('8. FACILIT'!$D$18:$D$50,$C95,'8. FACILIT'!AO$18:AO$50)</f>
        <v>0</v>
      </c>
      <c r="M111" s="905">
        <f t="shared" si="10"/>
        <v>0</v>
      </c>
    </row>
    <row r="112" spans="2:15" s="912" customFormat="1" ht="13.2" x14ac:dyDescent="0.25">
      <c r="B112" s="122" t="str">
        <f>IF('1. INTRO'!I$2="English",(IF(('5. PERSON'!CN$193+'6. OPERATION'!BQ$150)&gt;0,"Indirect","")),IF(('5. PERSON'!CN$193+'6. OPERATION'!BQ$150)&gt;0,"Indirekt",""))</f>
        <v/>
      </c>
      <c r="C112" s="584">
        <f>SUMIF('5. PERSON'!$D$17:$D$192,$C95,'5. PERSON'!CD$17:CD$192)+SUMIF('6. OPERATION'!$D$17:$D$149,$C95,'6. OPERATION'!BG$17:BG$149)</f>
        <v>0</v>
      </c>
      <c r="D112" s="584">
        <f>SUMIF('5. PERSON'!$D$17:$D$192,$C95,'5. PERSON'!CE$17:CE$192)+SUMIF('6. OPERATION'!$D$17:$D$149,$C95,'6. OPERATION'!BH$17:BH$149)</f>
        <v>0</v>
      </c>
      <c r="E112" s="584">
        <f>SUMIF('5. PERSON'!$D$17:$D$192,$C95,'5. PERSON'!CF$17:CF$192)+SUMIF('6. OPERATION'!$D$17:$D$149,$C95,'6. OPERATION'!BI$17:BI$149)</f>
        <v>0</v>
      </c>
      <c r="F112" s="584">
        <f>SUMIF('5. PERSON'!$D$17:$D$192,$C95,'5. PERSON'!CG$17:CG$192)+SUMIF('6. OPERATION'!$D$17:$D$149,$C95,'6. OPERATION'!BJ$17:BJ$149)</f>
        <v>0</v>
      </c>
      <c r="G112" s="584">
        <f>SUMIF('5. PERSON'!$D$17:$D$192,$C95,'5. PERSON'!CH$17:CH$192)+SUMIF('6. OPERATION'!$D$17:$D$149,$C95,'6. OPERATION'!BK$17:BK$149)</f>
        <v>0</v>
      </c>
      <c r="H112" s="584">
        <f>SUMIF('5. PERSON'!$D$17:$D$192,$C95,'5. PERSON'!CI$17:CI$192)+SUMIF('6. OPERATION'!$D$17:$D$149,$C95,'6. OPERATION'!BL$17:BL$149)</f>
        <v>0</v>
      </c>
      <c r="I112" s="584">
        <f>SUMIF('5. PERSON'!$D$17:$D$192,$C95,'5. PERSON'!CJ$17:CJ$192)+SUMIF('6. OPERATION'!$D$17:$D$149,$C95,'6. OPERATION'!BM$17:BM$149)</f>
        <v>0</v>
      </c>
      <c r="J112" s="584">
        <f>SUMIF('5. PERSON'!$D$17:$D$192,$C95,'5. PERSON'!CK$17:CK$192)+SUMIF('6. OPERATION'!$D$17:$D$149,$C95,'6. OPERATION'!BN$17:BN$149)</f>
        <v>0</v>
      </c>
      <c r="K112" s="584">
        <f>SUMIF('5. PERSON'!$D$17:$D$192,$C95,'5. PERSON'!CL$17:CL$192)+SUMIF('6. OPERATION'!$D$17:$D$149,$C95,'6. OPERATION'!BO$17:BO$149)</f>
        <v>0</v>
      </c>
      <c r="L112" s="584">
        <f>SUMIF('5. PERSON'!$D$17:$D$192,$C95,'5. PERSON'!CM$17:CM$192)+SUMIF('6. OPERATION'!$D$17:$D$149,$C95,'6. OPERATION'!BP$17:BP$149)</f>
        <v>0</v>
      </c>
      <c r="M112" s="908">
        <f t="shared" si="10"/>
        <v>0</v>
      </c>
    </row>
    <row r="113" spans="2:15" s="234" customFormat="1" ht="13.2" x14ac:dyDescent="0.25">
      <c r="B113" s="628" t="s">
        <v>113</v>
      </c>
      <c r="C113" s="443">
        <f>SUM(C106:C112)</f>
        <v>0</v>
      </c>
      <c r="D113" s="443">
        <f t="shared" ref="D113:M113" si="11">SUM(D106:D112)</f>
        <v>0</v>
      </c>
      <c r="E113" s="443">
        <f t="shared" si="11"/>
        <v>0</v>
      </c>
      <c r="F113" s="443">
        <f t="shared" si="11"/>
        <v>0</v>
      </c>
      <c r="G113" s="443">
        <f t="shared" si="11"/>
        <v>0</v>
      </c>
      <c r="H113" s="443">
        <f t="shared" si="11"/>
        <v>0</v>
      </c>
      <c r="I113" s="443">
        <f t="shared" si="11"/>
        <v>0</v>
      </c>
      <c r="J113" s="443">
        <f t="shared" si="11"/>
        <v>0</v>
      </c>
      <c r="K113" s="443">
        <f t="shared" si="11"/>
        <v>0</v>
      </c>
      <c r="L113" s="443">
        <f t="shared" si="11"/>
        <v>0</v>
      </c>
      <c r="M113" s="630">
        <f t="shared" si="11"/>
        <v>0</v>
      </c>
      <c r="N113" s="913"/>
      <c r="O113" s="913"/>
    </row>
    <row r="114" spans="2:15" s="234" customFormat="1" ht="6" customHeight="1" x14ac:dyDescent="0.25">
      <c r="B114" s="914"/>
      <c r="C114" s="127"/>
      <c r="D114" s="127"/>
      <c r="E114" s="127"/>
      <c r="F114" s="127"/>
      <c r="G114" s="127"/>
      <c r="H114" s="127"/>
      <c r="I114" s="127"/>
      <c r="J114" s="127"/>
      <c r="K114" s="127"/>
      <c r="L114" s="127"/>
      <c r="M114" s="636"/>
    </row>
    <row r="115" spans="2:15" s="234" customFormat="1" ht="13.2" x14ac:dyDescent="0.25">
      <c r="B115" s="129" t="str">
        <f>IF('1. INTRO'!I$2="English","Full cost","Full kostnad")</f>
        <v>Full cost</v>
      </c>
      <c r="C115" s="127"/>
      <c r="D115" s="127"/>
      <c r="E115" s="127"/>
      <c r="F115" s="127"/>
      <c r="G115" s="127"/>
      <c r="H115" s="127"/>
      <c r="I115" s="127"/>
      <c r="J115" s="127"/>
      <c r="K115" s="127"/>
      <c r="L115" s="127"/>
      <c r="M115" s="636"/>
    </row>
    <row r="116" spans="2:15" s="234" customFormat="1" ht="13.2" x14ac:dyDescent="0.25">
      <c r="B116" s="902" t="str">
        <f>IF('1. INTRO'!I$2="English","Salary including social costs (LKP)","Lön inklusive LKP")</f>
        <v>Salary including social costs (LKP)</v>
      </c>
      <c r="C116" s="138">
        <f>C98+C107+C108</f>
        <v>0</v>
      </c>
      <c r="D116" s="138">
        <f t="shared" ref="D116:L116" si="12">D98+D107+D108</f>
        <v>0</v>
      </c>
      <c r="E116" s="138">
        <f t="shared" si="12"/>
        <v>0</v>
      </c>
      <c r="F116" s="138">
        <f t="shared" si="12"/>
        <v>0</v>
      </c>
      <c r="G116" s="138">
        <f t="shared" si="12"/>
        <v>0</v>
      </c>
      <c r="H116" s="138">
        <f t="shared" si="12"/>
        <v>0</v>
      </c>
      <c r="I116" s="138">
        <f t="shared" si="12"/>
        <v>0</v>
      </c>
      <c r="J116" s="138">
        <f t="shared" si="12"/>
        <v>0</v>
      </c>
      <c r="K116" s="138">
        <f t="shared" si="12"/>
        <v>0</v>
      </c>
      <c r="L116" s="138">
        <f t="shared" si="12"/>
        <v>0</v>
      </c>
      <c r="M116" s="903">
        <f>SUM(C116:L116)</f>
        <v>0</v>
      </c>
    </row>
    <row r="117" spans="2:15" s="234" customFormat="1" ht="13.2" x14ac:dyDescent="0.25">
      <c r="B117" s="377" t="str">
        <f>IF('1. INTRO'!I$2="English","Operating","Drift")</f>
        <v>Operating</v>
      </c>
      <c r="C117" s="139">
        <f>C99+C109</f>
        <v>0</v>
      </c>
      <c r="D117" s="139">
        <f t="shared" ref="D117:L117" si="13">D99+D109</f>
        <v>0</v>
      </c>
      <c r="E117" s="139">
        <f t="shared" si="13"/>
        <v>0</v>
      </c>
      <c r="F117" s="139">
        <f t="shared" si="13"/>
        <v>0</v>
      </c>
      <c r="G117" s="139">
        <f t="shared" si="13"/>
        <v>0</v>
      </c>
      <c r="H117" s="139">
        <f t="shared" si="13"/>
        <v>0</v>
      </c>
      <c r="I117" s="139">
        <f t="shared" si="13"/>
        <v>0</v>
      </c>
      <c r="J117" s="139">
        <f t="shared" si="13"/>
        <v>0</v>
      </c>
      <c r="K117" s="139">
        <f t="shared" si="13"/>
        <v>0</v>
      </c>
      <c r="L117" s="139">
        <f t="shared" si="13"/>
        <v>0</v>
      </c>
      <c r="M117" s="905">
        <f>SUM(C117:L117)</f>
        <v>0</v>
      </c>
    </row>
    <row r="118" spans="2:15" s="234" customFormat="1" ht="13.2" x14ac:dyDescent="0.25">
      <c r="B118" s="906" t="str">
        <f>IF('1. INTRO'!I$2="English","Equipment","Utrustning")</f>
        <v>Equipment</v>
      </c>
      <c r="C118" s="140">
        <f>C100+C110</f>
        <v>0</v>
      </c>
      <c r="D118" s="140">
        <f t="shared" ref="D118:L118" si="14">D100+D110</f>
        <v>0</v>
      </c>
      <c r="E118" s="140">
        <f t="shared" si="14"/>
        <v>0</v>
      </c>
      <c r="F118" s="140">
        <f t="shared" si="14"/>
        <v>0</v>
      </c>
      <c r="G118" s="140">
        <f t="shared" si="14"/>
        <v>0</v>
      </c>
      <c r="H118" s="140">
        <f t="shared" si="14"/>
        <v>0</v>
      </c>
      <c r="I118" s="140">
        <f t="shared" si="14"/>
        <v>0</v>
      </c>
      <c r="J118" s="140">
        <f t="shared" si="14"/>
        <v>0</v>
      </c>
      <c r="K118" s="140">
        <f t="shared" si="14"/>
        <v>0</v>
      </c>
      <c r="L118" s="140">
        <f t="shared" si="14"/>
        <v>0</v>
      </c>
      <c r="M118" s="907">
        <f>SUM(C118:L118)</f>
        <v>0</v>
      </c>
    </row>
    <row r="119" spans="2:15" s="234" customFormat="1" ht="13.2" x14ac:dyDescent="0.25">
      <c r="B119" s="377" t="str">
        <f>IF('1. INTRO'!I$2="English","Facility","Lokal")</f>
        <v>Facility</v>
      </c>
      <c r="C119" s="139">
        <f>SUMIF('5. PERSON'!$D$17:$D$192,$C95,'5. PERSON'!CP$17:CP$192)+SUMIF('5. PERSON'!$D$17:$D$192,$C95,'5. PERSON'!DB$17:DB$192)+SUMIF('6. OPERATION'!$D$17:$D$149,$C95,'6. OPERATION'!BS$17:BS$149)+SUMIF('6. OPERATION'!$D$17:$D$149,$C95,'6. OPERATION'!CE$17:CE$149)+SUMIF('8. FACILIT'!$D$18:$D$50,$C95,'8. FACILIT'!T$18:T$50)+SUMIF('8. FACILIT'!$D$18:$D$50,$C95,'8. FACILIT'!AF$18:AF$50)</f>
        <v>0</v>
      </c>
      <c r="D119" s="139">
        <f>SUMIF('5. PERSON'!$D$17:$D$192,$C95,'5. PERSON'!CQ$17:CQ$192)+SUMIF('5. PERSON'!$D$17:$D$192,$C95,'5. PERSON'!DC$17:DC$192)+SUMIF('6. OPERATION'!$D$17:$D$149,$C95,'6. OPERATION'!BT$17:BT$149)+SUMIF('6. OPERATION'!$D$17:$D$149,$C95,'6. OPERATION'!CF$17:CF$149)+SUMIF('8. FACILIT'!$D$18:$D$50,$C95,'8. FACILIT'!U$18:U$50)+SUMIF('8. FACILIT'!$D$18:$D$50,$C95,'8. FACILIT'!AG$18:AG$50)</f>
        <v>0</v>
      </c>
      <c r="E119" s="139">
        <f>SUMIF('5. PERSON'!$D$17:$D$192,$C95,'5. PERSON'!CR$17:CR$192)+SUMIF('5. PERSON'!$D$17:$D$192,$C95,'5. PERSON'!DD$17:DD$192)+SUMIF('6. OPERATION'!$D$17:$D$149,$C95,'6. OPERATION'!BU$17:BU$149)+SUMIF('6. OPERATION'!$D$17:$D$149,$C95,'6. OPERATION'!CG$17:CG$149)+SUMIF('8. FACILIT'!$D$18:$D$50,$C95,'8. FACILIT'!V$18:V$50)+SUMIF('8. FACILIT'!$D$18:$D$50,$C95,'8. FACILIT'!AH$18:AH$50)</f>
        <v>0</v>
      </c>
      <c r="F119" s="139">
        <f>SUMIF('5. PERSON'!$D$17:$D$192,$C95,'5. PERSON'!CS$17:CS$192)+SUMIF('5. PERSON'!$D$17:$D$192,$C95,'5. PERSON'!DE$17:DE$192)+SUMIF('6. OPERATION'!$D$17:$D$149,$C95,'6. OPERATION'!BV$17:BV$149)+SUMIF('6. OPERATION'!$D$17:$D$149,$C95,'6. OPERATION'!CH$17:CH$149)+SUMIF('8. FACILIT'!$D$18:$D$50,$C95,'8. FACILIT'!W$18:W$50)+SUMIF('8. FACILIT'!$D$18:$D$50,$C95,'8. FACILIT'!AI$18:AI$50)</f>
        <v>0</v>
      </c>
      <c r="G119" s="139">
        <f>SUMIF('5. PERSON'!$D$17:$D$192,$C95,'5. PERSON'!CT$17:CT$192)+SUMIF('5. PERSON'!$D$17:$D$192,$C95,'5. PERSON'!DF$17:DF$192)+SUMIF('6. OPERATION'!$D$17:$D$149,$C95,'6. OPERATION'!BW$17:BW$149)+SUMIF('6. OPERATION'!$D$17:$D$149,$C95,'6. OPERATION'!CI$17:CI$149)+SUMIF('8. FACILIT'!$D$18:$D$50,$C95,'8. FACILIT'!X$18:X$50)+SUMIF('8. FACILIT'!$D$18:$D$50,$C95,'8. FACILIT'!AJ$18:AJ$50)</f>
        <v>0</v>
      </c>
      <c r="H119" s="139">
        <f>SUMIF('5. PERSON'!$D$17:$D$192,$C95,'5. PERSON'!CU$17:CU$192)+SUMIF('5. PERSON'!$D$17:$D$192,$C95,'5. PERSON'!DG$17:DG$192)+SUMIF('6. OPERATION'!$D$17:$D$149,$C95,'6. OPERATION'!BX$17:BX$149)+SUMIF('6. OPERATION'!$D$17:$D$149,$C95,'6. OPERATION'!CJ$17:CJ$149)+SUMIF('8. FACILIT'!$D$18:$D$50,$C95,'8. FACILIT'!Y$18:Y$50)+SUMIF('8. FACILIT'!$D$18:$D$50,$C95,'8. FACILIT'!AK$18:AK$50)</f>
        <v>0</v>
      </c>
      <c r="I119" s="139">
        <f>SUMIF('5. PERSON'!$D$17:$D$192,$C95,'5. PERSON'!CV$17:CV$192)+SUMIF('5. PERSON'!$D$17:$D$192,$C95,'5. PERSON'!DH$17:DH$192)+SUMIF('6. OPERATION'!$D$17:$D$149,$C95,'6. OPERATION'!BY$17:BY$149)+SUMIF('6. OPERATION'!$D$17:$D$149,$C95,'6. OPERATION'!CK$17:CK$149)+SUMIF('8. FACILIT'!$D$18:$D$50,$C95,'8. FACILIT'!Z$18:Z$50)+SUMIF('8. FACILIT'!$D$18:$D$50,$C95,'8. FACILIT'!AL$18:AL$50)</f>
        <v>0</v>
      </c>
      <c r="J119" s="139">
        <f>SUMIF('5. PERSON'!$D$17:$D$192,$C95,'5. PERSON'!CW$17:CW$192)+SUMIF('5. PERSON'!$D$17:$D$192,$C95,'5. PERSON'!DI$17:DI$192)+SUMIF('6. OPERATION'!$D$17:$D$149,$C95,'6. OPERATION'!BZ$17:BZ$149)+SUMIF('6. OPERATION'!$D$17:$D$149,$C95,'6. OPERATION'!CL$17:CL$149)+SUMIF('8. FACILIT'!$D$18:$D$50,$C95,'8. FACILIT'!AA$18:AA$50)+SUMIF('8. FACILIT'!$D$18:$D$50,$C95,'8. FACILIT'!AM$18:AM$50)</f>
        <v>0</v>
      </c>
      <c r="K119" s="139">
        <f>SUMIF('5. PERSON'!$D$17:$D$192,$C95,'5. PERSON'!CX$17:CX$192)+SUMIF('5. PERSON'!$D$17:$D$192,$C95,'5. PERSON'!DJ$17:DJ$192)+SUMIF('6. OPERATION'!$D$17:$D$149,$C95,'6. OPERATION'!CA$17:CA$149)+SUMIF('6. OPERATION'!$D$17:$D$149,$C95,'6. OPERATION'!CM$17:CM$149)+SUMIF('8. FACILIT'!$D$18:$D$50,$C95,'8. FACILIT'!AB$18:AB$50)+SUMIF('8. FACILIT'!$D$18:$D$50,$C95,'8. FACILIT'!AN$18:AN$50)</f>
        <v>0</v>
      </c>
      <c r="L119" s="139">
        <f>SUMIF('5. PERSON'!$D$17:$D$192,$C95,'5. PERSON'!CY$17:CY$192)+SUMIF('5. PERSON'!$D$17:$D$192,$C95,'5. PERSON'!DK$17:DK$192)+SUMIF('6. OPERATION'!$D$17:$D$149,$C95,'6. OPERATION'!CB$17:CB$149)+SUMIF('6. OPERATION'!$D$17:$D$149,$C95,'6. OPERATION'!CN$17:CN$149)+SUMIF('8. FACILIT'!$D$18:$D$50,$C95,'8. FACILIT'!AC$18:AC$50)+SUMIF('8. FACILIT'!$D$18:$D$50,$C95,'8. FACILIT'!AO$18:AO$50)</f>
        <v>0</v>
      </c>
      <c r="M119" s="905">
        <f>SUM(C119:L119)</f>
        <v>0</v>
      </c>
    </row>
    <row r="120" spans="2:15" s="234" customFormat="1" ht="13.2" x14ac:dyDescent="0.25">
      <c r="B120" s="915" t="str">
        <f>IF('1. INTRO'!I$2="English","Indirect","Indirekt")</f>
        <v>Indirect</v>
      </c>
      <c r="C120" s="141">
        <f>SUMIF('5. PERSON'!$D$17:$D$192,$C95,'5. PERSON'!BR$17:BR$192)+SUMIF('5. PERSON'!$D$17:$D$192,$C95,'5. PERSON'!CD$17:CD$192)+SUMIF('6. OPERATION'!$D$17:$D$149,$C95,'6. OPERATION'!AU$17:AU$149)+SUMIF('6. OPERATION'!$D$17:$D$149,$C95,'6. OPERATION'!BG$17:BG$149)</f>
        <v>0</v>
      </c>
      <c r="D120" s="141">
        <f>SUMIF('5. PERSON'!$D$17:$D$192,$C95,'5. PERSON'!BS$17:BS$192)+SUMIF('5. PERSON'!$D$17:$D$192,$C95,'5. PERSON'!CE$17:CE$192)+SUMIF('6. OPERATION'!$D$17:$D$149,$C95,'6. OPERATION'!AV$17:AV$149)+SUMIF('6. OPERATION'!$D$17:$D$149,$C95,'6. OPERATION'!BH$17:BH$149)</f>
        <v>0</v>
      </c>
      <c r="E120" s="141">
        <f>SUMIF('5. PERSON'!$D$17:$D$192,$C95,'5. PERSON'!BT$17:BT$192)+SUMIF('5. PERSON'!$D$17:$D$192,$C95,'5. PERSON'!CF$17:CF$192)+SUMIF('6. OPERATION'!$D$17:$D$149,$C95,'6. OPERATION'!AW$17:AW$149)+SUMIF('6. OPERATION'!$D$17:$D$149,$C95,'6. OPERATION'!BI$17:BI$149)</f>
        <v>0</v>
      </c>
      <c r="F120" s="141">
        <f>SUMIF('5. PERSON'!$D$17:$D$192,$C95,'5. PERSON'!BU$17:BU$192)+SUMIF('5. PERSON'!$D$17:$D$192,$C95,'5. PERSON'!CG$17:CG$192)+SUMIF('6. OPERATION'!$D$17:$D$149,$C95,'6. OPERATION'!AX$17:AX$149)+SUMIF('6. OPERATION'!$D$17:$D$149,$C95,'6. OPERATION'!BJ$17:BJ$149)</f>
        <v>0</v>
      </c>
      <c r="G120" s="141">
        <f>SUMIF('5. PERSON'!$D$17:$D$192,$C95,'5. PERSON'!BV$17:BV$192)+SUMIF('5. PERSON'!$D$17:$D$192,$C95,'5. PERSON'!CH$17:CH$192)+SUMIF('6. OPERATION'!$D$17:$D$149,$C95,'6. OPERATION'!AY$17:AY$149)+SUMIF('6. OPERATION'!$D$17:$D$149,$C95,'6. OPERATION'!BK$17:BK$149)</f>
        <v>0</v>
      </c>
      <c r="H120" s="141">
        <f>SUMIF('5. PERSON'!$D$17:$D$192,$C95,'5. PERSON'!BW$17:BW$192)+SUMIF('5. PERSON'!$D$17:$D$192,$C95,'5. PERSON'!CI$17:CI$192)+SUMIF('6. OPERATION'!$D$17:$D$149,$C95,'6. OPERATION'!AZ$17:AZ$149)+SUMIF('6. OPERATION'!$D$17:$D$149,$C95,'6. OPERATION'!BL$17:BL$149)</f>
        <v>0</v>
      </c>
      <c r="I120" s="141">
        <f>SUMIF('5. PERSON'!$D$17:$D$192,$C95,'5. PERSON'!BX$17:BX$192)+SUMIF('5. PERSON'!$D$17:$D$192,$C95,'5. PERSON'!CJ$17:CJ$192)+SUMIF('6. OPERATION'!$D$17:$D$149,$C95,'6. OPERATION'!BA$17:BA$149)+SUMIF('6. OPERATION'!$D$17:$D$149,$C95,'6. OPERATION'!BM$17:BM$149)</f>
        <v>0</v>
      </c>
      <c r="J120" s="141">
        <f>SUMIF('5. PERSON'!$D$17:$D$192,$C95,'5. PERSON'!BY$17:BY$192)+SUMIF('5. PERSON'!$D$17:$D$192,$C95,'5. PERSON'!CK$17:CK$192)+SUMIF('6. OPERATION'!$D$17:$D$149,$C95,'6. OPERATION'!BB$17:BB$149)+SUMIF('6. OPERATION'!$D$17:$D$149,$C95,'6. OPERATION'!BN$17:BN$149)</f>
        <v>0</v>
      </c>
      <c r="K120" s="141">
        <f>SUMIF('5. PERSON'!$D$17:$D$192,$C95,'5. PERSON'!BZ$17:BZ$192)+SUMIF('5. PERSON'!$D$17:$D$192,$C95,'5. PERSON'!CL$17:CL$192)+SUMIF('6. OPERATION'!$D$17:$D$149,$C95,'6. OPERATION'!BC$17:BC$149)+SUMIF('6. OPERATION'!$D$17:$D$149,$C95,'6. OPERATION'!BO$17:BO$149)</f>
        <v>0</v>
      </c>
      <c r="L120" s="141">
        <f>SUMIF('5. PERSON'!$D$17:$D$192,$C95,'5. PERSON'!CA$17:CA$192)+SUMIF('5. PERSON'!$D$17:$D$192,$C95,'5. PERSON'!CM$17:CM$192)+SUMIF('6. OPERATION'!$D$17:$D$149,$C95,'6. OPERATION'!BD$17:BD$149)+SUMIF('6. OPERATION'!$D$17:$D$149,$C95,'6. OPERATION'!BP$17:BP$149)</f>
        <v>0</v>
      </c>
      <c r="M120" s="908">
        <f>SUM(C120:L120)</f>
        <v>0</v>
      </c>
    </row>
    <row r="121" spans="2:15" s="234" customFormat="1" ht="13.2" x14ac:dyDescent="0.25">
      <c r="B121" s="628" t="s">
        <v>113</v>
      </c>
      <c r="C121" s="520">
        <f>SUM(C116:C120)</f>
        <v>0</v>
      </c>
      <c r="D121" s="520">
        <f t="shared" ref="D121:M121" si="15">SUM(D116:D120)</f>
        <v>0</v>
      </c>
      <c r="E121" s="520">
        <f t="shared" si="15"/>
        <v>0</v>
      </c>
      <c r="F121" s="520">
        <f t="shared" si="15"/>
        <v>0</v>
      </c>
      <c r="G121" s="520">
        <f t="shared" si="15"/>
        <v>0</v>
      </c>
      <c r="H121" s="520">
        <f t="shared" si="15"/>
        <v>0</v>
      </c>
      <c r="I121" s="520">
        <f t="shared" si="15"/>
        <v>0</v>
      </c>
      <c r="J121" s="520">
        <f t="shared" si="15"/>
        <v>0</v>
      </c>
      <c r="K121" s="520">
        <f t="shared" si="15"/>
        <v>0</v>
      </c>
      <c r="L121" s="520">
        <f t="shared" si="15"/>
        <v>0</v>
      </c>
      <c r="M121" s="916">
        <f t="shared" si="15"/>
        <v>0</v>
      </c>
    </row>
    <row r="122" spans="2:15" s="234" customFormat="1" ht="13.2" x14ac:dyDescent="0.25">
      <c r="B122" s="676"/>
      <c r="C122" s="268"/>
      <c r="D122" s="268"/>
      <c r="E122" s="268"/>
      <c r="F122" s="268"/>
      <c r="G122" s="268"/>
      <c r="H122" s="268"/>
      <c r="I122" s="268"/>
      <c r="J122" s="268"/>
      <c r="K122" s="268"/>
      <c r="L122" s="268"/>
      <c r="M122" s="268"/>
    </row>
    <row r="123" spans="2:15" s="234" customFormat="1" ht="12.75" customHeight="1" x14ac:dyDescent="0.25">
      <c r="B123" s="676" t="str">
        <f>IF('1. INTRO'!I$2="English","Co-funding share in full cost ","Medfinansieringsandel i full kostnad ")</f>
        <v xml:space="preserve">Co-funding share in full cost </v>
      </c>
      <c r="C123" s="640" t="str">
        <f t="shared" ref="C123:M123" si="16">IF(C121&gt;0,C113/C121,"")</f>
        <v/>
      </c>
      <c r="D123" s="640" t="str">
        <f t="shared" si="16"/>
        <v/>
      </c>
      <c r="E123" s="640" t="str">
        <f t="shared" si="16"/>
        <v/>
      </c>
      <c r="F123" s="640" t="str">
        <f t="shared" si="16"/>
        <v/>
      </c>
      <c r="G123" s="640" t="str">
        <f t="shared" si="16"/>
        <v/>
      </c>
      <c r="H123" s="640" t="str">
        <f t="shared" si="16"/>
        <v/>
      </c>
      <c r="I123" s="640" t="str">
        <f t="shared" si="16"/>
        <v/>
      </c>
      <c r="J123" s="640" t="str">
        <f t="shared" si="16"/>
        <v/>
      </c>
      <c r="K123" s="640" t="str">
        <f t="shared" si="16"/>
        <v/>
      </c>
      <c r="L123" s="640" t="str">
        <f t="shared" si="16"/>
        <v/>
      </c>
      <c r="M123" s="640" t="str">
        <f t="shared" si="16"/>
        <v/>
      </c>
    </row>
    <row r="124" spans="2:15" s="268" customFormat="1" ht="12.75" customHeight="1" x14ac:dyDescent="0.25"/>
    <row r="125" spans="2:15" s="268" customFormat="1" ht="12.75" customHeight="1" x14ac:dyDescent="0.25">
      <c r="B125" s="667" t="str">
        <f>IF('1. INTRO'!I$2="English","Calculation comments","Kalkylkommentarer")</f>
        <v>Calculation comments</v>
      </c>
    </row>
    <row r="126" spans="2:15" s="268" customFormat="1" ht="12.75" customHeight="1" x14ac:dyDescent="0.25">
      <c r="B126" s="1264"/>
      <c r="C126" s="1265"/>
      <c r="D126" s="1265"/>
      <c r="E126" s="1265"/>
      <c r="F126" s="1265"/>
      <c r="G126" s="1265"/>
      <c r="H126" s="1265"/>
      <c r="I126" s="1265"/>
      <c r="J126" s="1265"/>
      <c r="K126" s="1265"/>
      <c r="L126" s="1265"/>
      <c r="M126" s="1266"/>
    </row>
    <row r="127" spans="2:15" s="268" customFormat="1" ht="12.75" customHeight="1" x14ac:dyDescent="0.25">
      <c r="B127" s="1267"/>
      <c r="C127" s="1268"/>
      <c r="D127" s="1268"/>
      <c r="E127" s="1268"/>
      <c r="F127" s="1268"/>
      <c r="G127" s="1268"/>
      <c r="H127" s="1268"/>
      <c r="I127" s="1268"/>
      <c r="J127" s="1268"/>
      <c r="K127" s="1268"/>
      <c r="L127" s="1268"/>
      <c r="M127" s="1269"/>
    </row>
    <row r="128" spans="2:15" s="268" customFormat="1" ht="12.75" customHeight="1" x14ac:dyDescent="0.25">
      <c r="B128" s="1267"/>
      <c r="C128" s="1268"/>
      <c r="D128" s="1268"/>
      <c r="E128" s="1268"/>
      <c r="F128" s="1268"/>
      <c r="G128" s="1268"/>
      <c r="H128" s="1268"/>
      <c r="I128" s="1268"/>
      <c r="J128" s="1268"/>
      <c r="K128" s="1268"/>
      <c r="L128" s="1268"/>
      <c r="M128" s="1269"/>
    </row>
    <row r="129" spans="2:13" s="268" customFormat="1" ht="12.75" customHeight="1" x14ac:dyDescent="0.25">
      <c r="B129" s="1267"/>
      <c r="C129" s="1268"/>
      <c r="D129" s="1268"/>
      <c r="E129" s="1268"/>
      <c r="F129" s="1268"/>
      <c r="G129" s="1268"/>
      <c r="H129" s="1268"/>
      <c r="I129" s="1268"/>
      <c r="J129" s="1268"/>
      <c r="K129" s="1268"/>
      <c r="L129" s="1268"/>
      <c r="M129" s="1269"/>
    </row>
    <row r="130" spans="2:13" s="268" customFormat="1" ht="12.75" customHeight="1" x14ac:dyDescent="0.25">
      <c r="B130" s="1267"/>
      <c r="C130" s="1268"/>
      <c r="D130" s="1268"/>
      <c r="E130" s="1268"/>
      <c r="F130" s="1268"/>
      <c r="G130" s="1268"/>
      <c r="H130" s="1268"/>
      <c r="I130" s="1268"/>
      <c r="J130" s="1268"/>
      <c r="K130" s="1268"/>
      <c r="L130" s="1268"/>
      <c r="M130" s="1269"/>
    </row>
    <row r="131" spans="2:13" s="268" customFormat="1" ht="12.75" customHeight="1" x14ac:dyDescent="0.25">
      <c r="B131" s="1270"/>
      <c r="C131" s="1271"/>
      <c r="D131" s="1271"/>
      <c r="E131" s="1271"/>
      <c r="F131" s="1271"/>
      <c r="G131" s="1271"/>
      <c r="H131" s="1271"/>
      <c r="I131" s="1271"/>
      <c r="J131" s="1271"/>
      <c r="K131" s="1271"/>
      <c r="L131" s="1271"/>
      <c r="M131" s="1272"/>
    </row>
    <row r="132" spans="2:13" s="268" customFormat="1" x14ac:dyDescent="0.25">
      <c r="B132" s="1270"/>
      <c r="C132" s="1271"/>
      <c r="D132" s="1271"/>
      <c r="E132" s="1271"/>
      <c r="F132" s="1271"/>
      <c r="G132" s="1271"/>
      <c r="H132" s="1271"/>
      <c r="I132" s="1271"/>
      <c r="J132" s="1271"/>
      <c r="K132" s="1271"/>
      <c r="L132" s="1271"/>
      <c r="M132" s="1272"/>
    </row>
    <row r="133" spans="2:13" s="268" customFormat="1" x14ac:dyDescent="0.25">
      <c r="B133" s="1270"/>
      <c r="C133" s="1271"/>
      <c r="D133" s="1271"/>
      <c r="E133" s="1271"/>
      <c r="F133" s="1271"/>
      <c r="G133" s="1271"/>
      <c r="H133" s="1271"/>
      <c r="I133" s="1271"/>
      <c r="J133" s="1271"/>
      <c r="K133" s="1271"/>
      <c r="L133" s="1271"/>
      <c r="M133" s="1272"/>
    </row>
    <row r="134" spans="2:13" s="268" customFormat="1" x14ac:dyDescent="0.25">
      <c r="B134" s="1270"/>
      <c r="C134" s="1271"/>
      <c r="D134" s="1271"/>
      <c r="E134" s="1271"/>
      <c r="F134" s="1271"/>
      <c r="G134" s="1271"/>
      <c r="H134" s="1271"/>
      <c r="I134" s="1271"/>
      <c r="J134" s="1271"/>
      <c r="K134" s="1271"/>
      <c r="L134" s="1271"/>
      <c r="M134" s="1272"/>
    </row>
    <row r="135" spans="2:13" s="268" customFormat="1" x14ac:dyDescent="0.25">
      <c r="B135" s="1270"/>
      <c r="C135" s="1271"/>
      <c r="D135" s="1271"/>
      <c r="E135" s="1271"/>
      <c r="F135" s="1271"/>
      <c r="G135" s="1271"/>
      <c r="H135" s="1271"/>
      <c r="I135" s="1271"/>
      <c r="J135" s="1271"/>
      <c r="K135" s="1271"/>
      <c r="L135" s="1271"/>
      <c r="M135" s="1272"/>
    </row>
    <row r="136" spans="2:13" s="268" customFormat="1" x14ac:dyDescent="0.25">
      <c r="B136" s="1270"/>
      <c r="C136" s="1271"/>
      <c r="D136" s="1271"/>
      <c r="E136" s="1271"/>
      <c r="F136" s="1271"/>
      <c r="G136" s="1271"/>
      <c r="H136" s="1271"/>
      <c r="I136" s="1271"/>
      <c r="J136" s="1271"/>
      <c r="K136" s="1271"/>
      <c r="L136" s="1271"/>
      <c r="M136" s="1272"/>
    </row>
    <row r="137" spans="2:13" s="268" customFormat="1" x14ac:dyDescent="0.25">
      <c r="B137" s="1270"/>
      <c r="C137" s="1271"/>
      <c r="D137" s="1271"/>
      <c r="E137" s="1271"/>
      <c r="F137" s="1271"/>
      <c r="G137" s="1271"/>
      <c r="H137" s="1271"/>
      <c r="I137" s="1271"/>
      <c r="J137" s="1271"/>
      <c r="K137" s="1271"/>
      <c r="L137" s="1271"/>
      <c r="M137" s="1272"/>
    </row>
    <row r="138" spans="2:13" s="268" customFormat="1" x14ac:dyDescent="0.25">
      <c r="B138" s="1273"/>
      <c r="C138" s="1274"/>
      <c r="D138" s="1274"/>
      <c r="E138" s="1274"/>
      <c r="F138" s="1274"/>
      <c r="G138" s="1274"/>
      <c r="H138" s="1274"/>
      <c r="I138" s="1274"/>
      <c r="J138" s="1274"/>
      <c r="K138" s="1274"/>
      <c r="L138" s="1274"/>
      <c r="M138" s="1275"/>
    </row>
    <row r="139" spans="2:13" s="268" customFormat="1" x14ac:dyDescent="0.25"/>
    <row r="140" spans="2:13" s="268" customFormat="1" x14ac:dyDescent="0.25"/>
    <row r="141" spans="2:13" s="234" customFormat="1" ht="12.75" customHeight="1" x14ac:dyDescent="0.25">
      <c r="B141" s="313" t="str">
        <f>'3. PARTNER'!C$4</f>
        <v xml:space="preserve">Project: </v>
      </c>
      <c r="C141" s="1062" t="str">
        <f>'3. PARTNER'!D$4</f>
        <v/>
      </c>
      <c r="D141" s="1001"/>
      <c r="E141" s="1001"/>
      <c r="F141" s="1001"/>
      <c r="G141" s="1001"/>
      <c r="H141" s="1001"/>
      <c r="I141" s="1001"/>
      <c r="J141" s="1001"/>
      <c r="K141" s="1001"/>
      <c r="L141" s="1001"/>
      <c r="M141" s="1001"/>
    </row>
    <row r="142" spans="2:13" s="234" customFormat="1" ht="13.2" x14ac:dyDescent="0.25">
      <c r="B142" s="313" t="str">
        <f>'3. PARTNER'!C$5</f>
        <v xml:space="preserve">Calculation for: </v>
      </c>
      <c r="C142" s="1062" t="str">
        <f>'3. PARTNER'!D$5</f>
        <v>APPLICATION</v>
      </c>
      <c r="D142" s="1001"/>
      <c r="E142" s="268"/>
      <c r="F142" s="268"/>
      <c r="G142" s="268"/>
      <c r="H142" s="268"/>
      <c r="I142" s="268"/>
      <c r="J142" s="268"/>
      <c r="K142" s="268"/>
      <c r="L142" s="268"/>
      <c r="M142" s="268"/>
    </row>
    <row r="143" spans="2:13" s="234" customFormat="1" ht="13.2" x14ac:dyDescent="0.25">
      <c r="B143" s="35" t="str">
        <f>'3. PARTNER'!C$6</f>
        <v xml:space="preserve">Project leader: </v>
      </c>
      <c r="C143" s="1062" t="str">
        <f>'3. PARTNER'!D$6</f>
        <v/>
      </c>
      <c r="D143" s="1001"/>
      <c r="E143" s="1001"/>
      <c r="F143" s="1001"/>
      <c r="G143" s="1001"/>
      <c r="H143" s="1001"/>
      <c r="I143" s="1001"/>
      <c r="J143" s="1001"/>
      <c r="K143" s="1001"/>
      <c r="L143" s="1001"/>
      <c r="M143" s="1001"/>
    </row>
    <row r="144" spans="2:13" s="234" customFormat="1" ht="13.2" x14ac:dyDescent="0.25">
      <c r="B144" s="313" t="str">
        <f>'5. PERSON'!B$7</f>
        <v xml:space="preserve">Amounts in: </v>
      </c>
      <c r="C144" s="672" t="str">
        <f>'5. PERSON'!C$7</f>
        <v>SEK</v>
      </c>
      <c r="D144" s="268"/>
      <c r="E144" s="268"/>
      <c r="F144" s="268"/>
      <c r="I144" s="270"/>
      <c r="J144" s="270"/>
      <c r="K144" s="270"/>
      <c r="L144" s="270"/>
      <c r="M144" s="270"/>
    </row>
    <row r="145" spans="2:15" s="234" customFormat="1" ht="13.2" x14ac:dyDescent="0.25">
      <c r="B145" s="313"/>
      <c r="C145" s="1053" t="str">
        <f>'3. PARTNER'!D$7</f>
        <v>Other basic data about the project is in sheet 2.</v>
      </c>
      <c r="D145" s="1001"/>
      <c r="E145" s="1001"/>
      <c r="F145" s="1001"/>
      <c r="I145" s="270"/>
      <c r="J145" s="270"/>
      <c r="K145" s="270"/>
      <c r="L145" s="251" t="s">
        <v>4</v>
      </c>
      <c r="M145" s="270"/>
    </row>
    <row r="146" spans="2:15" s="268" customFormat="1" ht="12.75" customHeight="1" x14ac:dyDescent="0.25">
      <c r="L146" s="252" t="str">
        <f>IF('1. INTRO'!I$2="English","months","månader")</f>
        <v>months</v>
      </c>
    </row>
    <row r="147" spans="2:15" s="234" customFormat="1" ht="13.8" x14ac:dyDescent="0.25">
      <c r="B147" s="678" t="str">
        <f>IF('1. INTRO'!I$2="English","Project costs","Projektkostnader")</f>
        <v>Project costs</v>
      </c>
      <c r="C147" s="678" t="str">
        <f>B17</f>
        <v>WP 3</v>
      </c>
      <c r="E147" s="268"/>
      <c r="G147" s="268"/>
      <c r="H147" s="268"/>
      <c r="I147" s="268"/>
      <c r="J147" s="268"/>
      <c r="K147" s="676"/>
      <c r="L147" s="899">
        <f>SUMIF('5. PERSON'!$D$17:$D$192,$C147,'5. PERSON'!AE$17:AE$192)</f>
        <v>0</v>
      </c>
      <c r="M147" s="680" t="s">
        <v>330</v>
      </c>
    </row>
    <row r="148" spans="2:15" s="234" customFormat="1" ht="6" customHeight="1" x14ac:dyDescent="0.25">
      <c r="B148" s="602"/>
      <c r="C148" s="268"/>
      <c r="D148" s="268"/>
      <c r="E148" s="268"/>
      <c r="F148" s="268"/>
      <c r="G148" s="268"/>
      <c r="H148" s="268"/>
      <c r="I148" s="268"/>
      <c r="J148" s="268"/>
      <c r="K148" s="268"/>
      <c r="L148" s="268"/>
      <c r="M148" s="268"/>
    </row>
    <row r="149" spans="2:15" s="234" customFormat="1" ht="13.2" x14ac:dyDescent="0.25">
      <c r="B149" s="110" t="str">
        <f>IF('1. INTRO'!I$2="English","Costs to be covered by funding body","Kostnader att täckas av finansiär")</f>
        <v>Costs to be covered by funding body</v>
      </c>
      <c r="C149" s="607">
        <f>'5. PERSON'!G$15</f>
        <v>1900</v>
      </c>
      <c r="D149" s="607" t="str">
        <f>'5. PERSON'!H$15</f>
        <v/>
      </c>
      <c r="E149" s="607" t="str">
        <f>'5. PERSON'!I$15</f>
        <v/>
      </c>
      <c r="F149" s="607" t="str">
        <f>'5. PERSON'!J$15</f>
        <v/>
      </c>
      <c r="G149" s="607" t="str">
        <f>'5. PERSON'!K$15</f>
        <v/>
      </c>
      <c r="H149" s="607" t="str">
        <f>'5. PERSON'!L$15</f>
        <v/>
      </c>
      <c r="I149" s="607" t="str">
        <f>'5. PERSON'!M$15</f>
        <v/>
      </c>
      <c r="J149" s="607" t="str">
        <f>'5. PERSON'!N$15</f>
        <v/>
      </c>
      <c r="K149" s="607" t="str">
        <f>'5. PERSON'!O$15</f>
        <v/>
      </c>
      <c r="L149" s="607" t="str">
        <f>'5. PERSON'!P$15</f>
        <v/>
      </c>
      <c r="M149" s="608" t="s">
        <v>2</v>
      </c>
    </row>
    <row r="150" spans="2:15" s="234" customFormat="1" ht="12.75" customHeight="1" x14ac:dyDescent="0.25">
      <c r="B150" s="902" t="str">
        <f>IF('1. INTRO'!I$2="English","Salary including social costs (LKP)","Lön inklusive LKP")</f>
        <v>Salary including social costs (LKP)</v>
      </c>
      <c r="C150" s="610">
        <f>IF('2. START'!$C$14&gt;0,SUMIF('5. PERSON'!$D$17:$D$192,$C147,'5. PERSON'!DN$17:DN$192),SUMIF('5. PERSON'!$D$17:$D$192,$C147,'5. PERSON'!AT$17:AT$192))</f>
        <v>0</v>
      </c>
      <c r="D150" s="610">
        <f>IF('2. START'!$C$14&gt;0,SUMIF('5. PERSON'!$D$17:$D$192,$C147,'5. PERSON'!DO$17:DO$192),SUMIF('5. PERSON'!$D$17:$D$192,$C147,'5. PERSON'!AU$17:AU$192))</f>
        <v>0</v>
      </c>
      <c r="E150" s="610">
        <f>IF('2. START'!$C$14&gt;0,SUMIF('5. PERSON'!$D$17:$D$192,$C147,'5. PERSON'!DP$17:DP$192),SUMIF('5. PERSON'!$D$17:$D$192,$C147,'5. PERSON'!AV$17:AV$192))</f>
        <v>0</v>
      </c>
      <c r="F150" s="610">
        <f>IF('2. START'!$C$14&gt;0,SUMIF('5. PERSON'!$D$17:$D$192,$C147,'5. PERSON'!DQ$17:DQ$192),SUMIF('5. PERSON'!$D$17:$D$192,$C147,'5. PERSON'!AW$17:AW$192))</f>
        <v>0</v>
      </c>
      <c r="G150" s="610">
        <f>IF('2. START'!$C$14&gt;0,SUMIF('5. PERSON'!$D$17:$D$192,$C147,'5. PERSON'!DR$17:DR$192),SUMIF('5. PERSON'!$D$17:$D$192,$C147,'5. PERSON'!AX$17:AX$192))</f>
        <v>0</v>
      </c>
      <c r="H150" s="610">
        <f>IF('2. START'!$C$14&gt;0,SUMIF('5. PERSON'!$D$17:$D$192,$C147,'5. PERSON'!DS$17:DS$192),SUMIF('5. PERSON'!$D$17:$D$192,$C147,'5. PERSON'!AY$17:AY$192))</f>
        <v>0</v>
      </c>
      <c r="I150" s="610">
        <f>IF('2. START'!$C$14&gt;0,SUMIF('5. PERSON'!$D$17:$D$192,$C147,'5. PERSON'!DT$17:DT$192),SUMIF('5. PERSON'!$D$17:$D$192,$C147,'5. PERSON'!AZ$17:AZ$192))</f>
        <v>0</v>
      </c>
      <c r="J150" s="610">
        <f>IF('2. START'!$C$14&gt;0,SUMIF('5. PERSON'!$D$17:$D$192,$C147,'5. PERSON'!DU$17:DU$192),SUMIF('5. PERSON'!$D$17:$D$192,$C147,'5. PERSON'!BA$17:BA$192))</f>
        <v>0</v>
      </c>
      <c r="K150" s="610">
        <f>IF('2. START'!$C$14&gt;0,SUMIF('5. PERSON'!$D$17:$D$192,$C147,'5. PERSON'!DV$17:DV$192),SUMIF('5. PERSON'!$D$17:$D$192,$C147,'5. PERSON'!BB$17:BB$192))</f>
        <v>0</v>
      </c>
      <c r="L150" s="610">
        <f>IF('2. START'!$C$14&gt;0,SUMIF('5. PERSON'!$D$17:$D$192,$C147,'5. PERSON'!DW$17:DW$192),SUMIF('5. PERSON'!$D$17:$D$192,$C147,'5. PERSON'!BC$17:BC$192))</f>
        <v>0</v>
      </c>
      <c r="M150" s="903">
        <f t="shared" ref="M150:M155" si="17">SUM(C150:L150)</f>
        <v>0</v>
      </c>
      <c r="O150" s="904"/>
    </row>
    <row r="151" spans="2:15" s="234" customFormat="1" ht="12.75" customHeight="1" x14ac:dyDescent="0.25">
      <c r="B151" s="377" t="str">
        <f>IF('1. INTRO'!I$2="English","Operating","Drift")</f>
        <v>Operating</v>
      </c>
      <c r="C151" s="615">
        <f>SUMIF('6. OPERATION'!$D$17:$D$149,$C147,'6. OPERATION'!W$17:W$149)</f>
        <v>0</v>
      </c>
      <c r="D151" s="615">
        <f>SUMIF('6. OPERATION'!$D$17:$D$149,$C147,'6. OPERATION'!X$17:X$149)</f>
        <v>0</v>
      </c>
      <c r="E151" s="615">
        <f>SUMIF('6. OPERATION'!$D$17:$D$149,$C147,'6. OPERATION'!Y$17:Y$149)</f>
        <v>0</v>
      </c>
      <c r="F151" s="615">
        <f>SUMIF('6. OPERATION'!$D$17:$D$149,$C147,'6. OPERATION'!Z$17:Z$149)</f>
        <v>0</v>
      </c>
      <c r="G151" s="615">
        <f>SUMIF('6. OPERATION'!$D$17:$D$149,$C147,'6. OPERATION'!AA$17:AA$149)</f>
        <v>0</v>
      </c>
      <c r="H151" s="615">
        <f>SUMIF('6. OPERATION'!$D$17:$D$149,$C147,'6. OPERATION'!AB$17:AB$149)</f>
        <v>0</v>
      </c>
      <c r="I151" s="615">
        <f>SUMIF('6. OPERATION'!$D$17:$D$149,$C147,'6. OPERATION'!AC$17:AC$149)</f>
        <v>0</v>
      </c>
      <c r="J151" s="615">
        <f>SUMIF('6. OPERATION'!$D$17:$D$149,$C147,'6. OPERATION'!AD$17:AD$149)</f>
        <v>0</v>
      </c>
      <c r="K151" s="615">
        <f>SUMIF('6. OPERATION'!$D$17:$D$149,$C147,'6. OPERATION'!AE$17:AE$149)</f>
        <v>0</v>
      </c>
      <c r="L151" s="615">
        <f>SUMIF('6. OPERATION'!$D$17:$D$149,$C147,'6. OPERATION'!AF$17:AF$149)</f>
        <v>0</v>
      </c>
      <c r="M151" s="905">
        <f t="shared" si="17"/>
        <v>0</v>
      </c>
    </row>
    <row r="152" spans="2:15" s="234" customFormat="1" ht="13.2" x14ac:dyDescent="0.25">
      <c r="B152" s="906" t="str">
        <f>IF('1. INTRO'!I$2="English","Equipment","Utrustning")</f>
        <v>Equipment</v>
      </c>
      <c r="C152" s="620">
        <f>SUMIF('7. INVEST'!$D$17:$D$49,$C147,'7. INVEST'!W$17:W$49)</f>
        <v>0</v>
      </c>
      <c r="D152" s="620">
        <f>SUMIF('7. INVEST'!$D$17:$D$49,$C147,'7. INVEST'!X$17:X$49)</f>
        <v>0</v>
      </c>
      <c r="E152" s="620">
        <f>SUMIF('7. INVEST'!$D$17:$D$49,$C147,'7. INVEST'!Y$17:Y$49)</f>
        <v>0</v>
      </c>
      <c r="F152" s="620">
        <f>SUMIF('7. INVEST'!$D$17:$D$49,$C147,'7. INVEST'!Z$17:Z$49)</f>
        <v>0</v>
      </c>
      <c r="G152" s="620">
        <f>SUMIF('7. INVEST'!$D$17:$D$49,$C147,'7. INVEST'!AA$17:AA$49)</f>
        <v>0</v>
      </c>
      <c r="H152" s="620">
        <f>SUMIF('7. INVEST'!$D$17:$D$49,$C147,'7. INVEST'!AB$17:AB$49)</f>
        <v>0</v>
      </c>
      <c r="I152" s="620">
        <f>SUMIF('7. INVEST'!$D$17:$D$49,$C147,'7. INVEST'!AC$17:AC$49)</f>
        <v>0</v>
      </c>
      <c r="J152" s="620">
        <f>SUMIF('7. INVEST'!$D$17:$D$49,$C147,'7. INVEST'!AD$17:AD$49)</f>
        <v>0</v>
      </c>
      <c r="K152" s="620">
        <f>SUMIF('7. INVEST'!$D$17:$D$49,$C147,'7. INVEST'!AE$17:AE$49)</f>
        <v>0</v>
      </c>
      <c r="L152" s="620">
        <f>SUMIF('7. INVEST'!$D$17:$D$49,$C147,'7. INVEST'!AF$17:AF$49)</f>
        <v>0</v>
      </c>
      <c r="M152" s="907">
        <f t="shared" si="17"/>
        <v>0</v>
      </c>
    </row>
    <row r="153" spans="2:15" s="234" customFormat="1" ht="13.2" x14ac:dyDescent="0.25">
      <c r="B153" s="121" t="str">
        <f>IF('1. INTRO'!I$2="English",(IF('2. START'!C$11="NO","Facility accepted as direct cost by funding body","Facility")),IF('2. START'!C$11="NO","Lokal accepterad som direkt kostnad av finansiär","Lokal"))</f>
        <v>Facility</v>
      </c>
      <c r="C153" s="615">
        <f>IF('2. START'!$C$11="NO",SUMIF('8. FACILIT'!$D$18:$D$50,$C147,'8. FACILIT'!T$18:T$50),SUMIF('5. PERSON'!$D$17:$D$192,$C147,'5. PERSON'!CP$17:CP$192)+SUMIF('6. OPERATION'!$D$17:$D$149,$C147,'6. OPERATION'!BS$17:BS$149)+SUMIF('8. FACILIT'!$D$18:$D$50,$C147,'8. FACILIT'!T$18:T$50))</f>
        <v>0</v>
      </c>
      <c r="D153" s="615">
        <f>IF('2. START'!$C$11="NO",SUMIF('8. FACILIT'!$D$18:$D$50,$C147,'8. FACILIT'!U$18:U$50),SUMIF('5. PERSON'!$D$17:$D$192,$C147,'5. PERSON'!CQ$17:CQ$192)+SUMIF('6. OPERATION'!$D$17:$D$149,$C147,'6. OPERATION'!BT$17:BT$149)+SUMIF('8. FACILIT'!$D$18:$D$50,$C147,'8. FACILIT'!U$18:U$50))</f>
        <v>0</v>
      </c>
      <c r="E153" s="615">
        <f>IF('2. START'!$C$11="NO",SUMIF('8. FACILIT'!$D$18:$D$50,$C147,'8. FACILIT'!V$18:V$50),SUMIF('5. PERSON'!$D$17:$D$192,$C147,'5. PERSON'!CR$17:CR$192)+SUMIF('6. OPERATION'!$D$17:$D$149,$C147,'6. OPERATION'!BU$17:BU$149)+SUMIF('8. FACILIT'!$D$18:$D$50,$C147,'8. FACILIT'!V$18:V$50))</f>
        <v>0</v>
      </c>
      <c r="F153" s="615">
        <f>IF('2. START'!$C$11="NO",SUMIF('8. FACILIT'!$D$18:$D$50,$C147,'8. FACILIT'!W$18:W$50),SUMIF('5. PERSON'!$D$17:$D$192,$C147,'5. PERSON'!CS$17:CS$192)+SUMIF('6. OPERATION'!$D$17:$D$149,$C147,'6. OPERATION'!BV$17:BV$149)+SUMIF('8. FACILIT'!$D$18:$D$50,$C147,'8. FACILIT'!W$18:W$50))</f>
        <v>0</v>
      </c>
      <c r="G153" s="615">
        <f>IF('2. START'!$C$11="NO",SUMIF('8. FACILIT'!$D$18:$D$50,$C147,'8. FACILIT'!X$18:X$50),SUMIF('5. PERSON'!$D$17:$D$192,$C147,'5. PERSON'!CT$17:CT$192)+SUMIF('6. OPERATION'!$D$17:$D$149,$C147,'6. OPERATION'!BW$17:BW$149)+SUMIF('8. FACILIT'!$D$18:$D$50,$C147,'8. FACILIT'!X$18:X$50))</f>
        <v>0</v>
      </c>
      <c r="H153" s="615">
        <f>IF('2. START'!$C$11="NO",SUMIF('8. FACILIT'!$D$18:$D$50,$C147,'8. FACILIT'!Y$18:Y$50),SUMIF('5. PERSON'!$D$17:$D$192,$C147,'5. PERSON'!CU$17:CU$192)+SUMIF('6. OPERATION'!$D$17:$D$149,$C147,'6. OPERATION'!BX$17:BX$149)+SUMIF('8. FACILIT'!$D$18:$D$50,$C147,'8. FACILIT'!Y$18:Y$50))</f>
        <v>0</v>
      </c>
      <c r="I153" s="615">
        <f>IF('2. START'!$C$11="NO",SUMIF('8. FACILIT'!$D$18:$D$50,$C147,'8. FACILIT'!Z$18:Z$50),SUMIF('5. PERSON'!$D$17:$D$192,$C147,'5. PERSON'!CV$17:CV$192)+SUMIF('6. OPERATION'!$D$17:$D$149,$C147,'6. OPERATION'!BY$17:BY$149)+SUMIF('8. FACILIT'!$D$18:$D$50,$C147,'8. FACILIT'!Z$18:Z$50))</f>
        <v>0</v>
      </c>
      <c r="J153" s="615">
        <f>IF('2. START'!$C$11="NO",SUMIF('8. FACILIT'!$D$18:$D$50,$C147,'8. FACILIT'!AA$18:AA$50),SUMIF('5. PERSON'!$D$17:$D$192,$C147,'5. PERSON'!CW$17:CW$192)+SUMIF('6. OPERATION'!$D$17:$D$149,$C147,'6. OPERATION'!BZ$17:BZ$149)+SUMIF('8. FACILIT'!$D$18:$D$50,$C147,'8. FACILIT'!AA$18:AA$50))</f>
        <v>0</v>
      </c>
      <c r="K153" s="615">
        <f>IF('2. START'!$C$11="NO",SUMIF('8. FACILIT'!$D$18:$D$50,$C147,'8. FACILIT'!AB$18:AB$50),SUMIF('5. PERSON'!$D$17:$D$192,$C147,'5. PERSON'!CX$17:CX$192)+SUMIF('6. OPERATION'!$D$17:$D$149,$C147,'6. OPERATION'!CA$17:CA$149)+SUMIF('8. FACILIT'!$D$18:$D$50,$C147,'8. FACILIT'!AB$18:AB$50))</f>
        <v>0</v>
      </c>
      <c r="L153" s="615">
        <f>IF('2. START'!$C$11="NO",SUMIF('8. FACILIT'!$D$18:$D$50,$C147,'8. FACILIT'!AC$18:AC$50),SUMIF('5. PERSON'!$D$17:$D$192,$C147,'5. PERSON'!CY$17:CY$192)+SUMIF('6. OPERATION'!$D$17:$D$149,$C147,'6. OPERATION'!CB$17:CB$149)+SUMIF('8. FACILIT'!$D$18:$D$50,$C147,'8. FACILIT'!AC$18:AC$50))</f>
        <v>0</v>
      </c>
      <c r="M153" s="905">
        <f t="shared" si="17"/>
        <v>0</v>
      </c>
    </row>
    <row r="154" spans="2:15" s="234" customFormat="1" ht="13.2" x14ac:dyDescent="0.25">
      <c r="B154" s="122" t="str">
        <f>IF('1. INTRO'!I$2="English",(IF('2. START'!C$11="NO","Indirect and facility charge accepted as OH by funding body","Indirect")),IF('2. START'!C$11="NO","Indirekt och lokalpåslag accepterade som OH av finansiär","Indirekt"))</f>
        <v>Indirect</v>
      </c>
      <c r="C154" s="584">
        <f>IF('2. START'!$C$11="NO",SUMIF('5. PERSON'!$D$17:$D$192,$C147,'5. PERSON'!DZ$17:DZ$192)+SUMIF('6. OPERATION'!$D$17:$D$149,$C147,'6. OPERATION'!CQ$17:CQ$149)+SUMIF('7. INVEST'!$D$17:$D$49,$C147,'7. INVEST'!AU$17:AU$49)+SUMIF('8. FACILIT'!$D$18:$D$101,$C147,'8. FACILIT'!AR$18:AR$50),SUMIF('5. PERSON'!$D$17:$D$192,$C147,'5. PERSON'!BR$17:BR$192)+SUMIF('6. OPERATION'!$D$17:$D$149,$C147,'6. OPERATION'!AU$17:AU$149))</f>
        <v>0</v>
      </c>
      <c r="D154" s="584">
        <f>IF('2. START'!$C$11="NO",SUMIF('5. PERSON'!$D$17:$D$192,$C147,'5. PERSON'!EA$17:EA$192)+SUMIF('6. OPERATION'!$D$17:$D$149,$C147,'6. OPERATION'!CR$17:CR$149)+SUMIF('7. INVEST'!$D$17:$D$49,$C147,'7. INVEST'!AV$17:AV$49)+SUMIF('8. FACILIT'!$D$18:$D$101,$C147,'8. FACILIT'!AS$18:AS$50),SUMIF('5. PERSON'!$D$17:$D$192,$C147,'5. PERSON'!BS$17:BS$192)+SUMIF('6. OPERATION'!$D$17:$D$149,$C147,'6. OPERATION'!AV$17:AV$149))</f>
        <v>0</v>
      </c>
      <c r="E154" s="584">
        <f>IF('2. START'!$C$11="NO",SUMIF('5. PERSON'!$D$17:$D$192,$C147,'5. PERSON'!EB$17:EB$192)+SUMIF('6. OPERATION'!$D$17:$D$149,$C147,'6. OPERATION'!CS$17:CS$149)+SUMIF('7. INVEST'!$D$17:$D$49,$C147,'7. INVEST'!AW$17:AW$49)+SUMIF('8. FACILIT'!$D$18:$D$101,$C147,'8. FACILIT'!AT$18:AT$50),SUMIF('5. PERSON'!$D$17:$D$192,$C147,'5. PERSON'!BT$17:BT$192)+SUMIF('6. OPERATION'!$D$17:$D$149,$C147,'6. OPERATION'!AW$17:AW$149))</f>
        <v>0</v>
      </c>
      <c r="F154" s="584">
        <f>IF('2. START'!$C$11="NO",SUMIF('5. PERSON'!$D$17:$D$192,$C147,'5. PERSON'!EC$17:EC$192)+SUMIF('6. OPERATION'!$D$17:$D$149,$C147,'6. OPERATION'!CT$17:CT$149)+SUMIF('7. INVEST'!$D$17:$D$49,$C147,'7. INVEST'!AX$17:AX$49)+SUMIF('8. FACILIT'!$D$18:$D$101,$C147,'8. FACILIT'!AU$18:AU$50),SUMIF('5. PERSON'!$D$17:$D$192,$C147,'5. PERSON'!BU$17:BU$192)+SUMIF('6. OPERATION'!$D$17:$D$149,$C147,'6. OPERATION'!AX$17:AX$149))</f>
        <v>0</v>
      </c>
      <c r="G154" s="584">
        <f>IF('2. START'!$C$11="NO",SUMIF('5. PERSON'!$D$17:$D$192,$C147,'5. PERSON'!ED$17:ED$192)+SUMIF('6. OPERATION'!$D$17:$D$149,$C147,'6. OPERATION'!CU$17:CU$149)+SUMIF('7. INVEST'!$D$17:$D$49,$C147,'7. INVEST'!AY$17:AY$49)+SUMIF('8. FACILIT'!$D$18:$D$101,$C147,'8. FACILIT'!AV$18:AV$50),SUMIF('5. PERSON'!$D$17:$D$192,$C147,'5. PERSON'!BV$17:BV$192)+SUMIF('6. OPERATION'!$D$17:$D$149,$C147,'6. OPERATION'!AY$17:AY$149))</f>
        <v>0</v>
      </c>
      <c r="H154" s="584">
        <f>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584">
        <f>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584">
        <f>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584">
        <f>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584">
        <f>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908">
        <f t="shared" si="17"/>
        <v>0</v>
      </c>
    </row>
    <row r="155" spans="2:15" s="234" customFormat="1" ht="13.2" x14ac:dyDescent="0.25">
      <c r="B155" s="628" t="s">
        <v>113</v>
      </c>
      <c r="C155" s="443">
        <f>SUM(C150:C154)</f>
        <v>0</v>
      </c>
      <c r="D155" s="443">
        <f t="shared" ref="D155:L155" si="18">SUM(D150:D154)</f>
        <v>0</v>
      </c>
      <c r="E155" s="443">
        <f t="shared" si="18"/>
        <v>0</v>
      </c>
      <c r="F155" s="443">
        <f t="shared" si="18"/>
        <v>0</v>
      </c>
      <c r="G155" s="443">
        <f t="shared" si="18"/>
        <v>0</v>
      </c>
      <c r="H155" s="443">
        <f t="shared" si="18"/>
        <v>0</v>
      </c>
      <c r="I155" s="443">
        <f t="shared" si="18"/>
        <v>0</v>
      </c>
      <c r="J155" s="443">
        <f t="shared" si="18"/>
        <v>0</v>
      </c>
      <c r="K155" s="443">
        <f t="shared" si="18"/>
        <v>0</v>
      </c>
      <c r="L155" s="443">
        <f t="shared" si="18"/>
        <v>0</v>
      </c>
      <c r="M155" s="630">
        <f t="shared" si="17"/>
        <v>0</v>
      </c>
    </row>
    <row r="156" spans="2:15" s="234" customFormat="1" ht="6" customHeight="1" x14ac:dyDescent="0.25">
      <c r="B156" s="909"/>
      <c r="C156" s="127"/>
      <c r="D156" s="127"/>
      <c r="E156" s="127"/>
      <c r="F156" s="127"/>
      <c r="G156" s="127"/>
      <c r="H156" s="127"/>
      <c r="I156" s="127"/>
      <c r="J156" s="127"/>
      <c r="K156" s="127"/>
      <c r="L156" s="127"/>
      <c r="M156" s="633"/>
    </row>
    <row r="157" spans="2:15" s="234" customFormat="1" ht="13.2" x14ac:dyDescent="0.25">
      <c r="B157" s="129" t="str">
        <f>IF('1. INTRO'!I$2="English","Costs to be co-funded","Kostnader att medfinansiera")</f>
        <v>Costs to be co-funded</v>
      </c>
      <c r="C157" s="634"/>
      <c r="D157" s="634"/>
      <c r="E157" s="634"/>
      <c r="F157" s="634"/>
      <c r="G157" s="634"/>
      <c r="H157" s="634"/>
      <c r="I157" s="634"/>
      <c r="J157" s="634"/>
      <c r="K157" s="634"/>
      <c r="L157" s="634"/>
      <c r="M157" s="129"/>
    </row>
    <row r="158" spans="2:15" s="234" customFormat="1" ht="13.2" x14ac:dyDescent="0.25">
      <c r="B158" s="159" t="str">
        <f>IF('1. INTRO'!I$2="English",(IF('2. START'!C$11="NO","Indirect and facility charge not accepted as OH by funding body","")),IF('2. START'!C$11="NO","Indirekt och lokalpåslag inte accepterade som OH av finansiär",""))</f>
        <v/>
      </c>
      <c r="C158" s="910">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0</v>
      </c>
      <c r="D158" s="910">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0</v>
      </c>
      <c r="E158" s="910">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0</v>
      </c>
      <c r="F158" s="910">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0</v>
      </c>
      <c r="G158" s="910">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0</v>
      </c>
      <c r="H158" s="910">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910">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910">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910">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910">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903">
        <f t="shared" ref="M158:M164" si="19">SUM(C158:L158)</f>
        <v>0</v>
      </c>
    </row>
    <row r="159" spans="2:15" s="234" customFormat="1" ht="12.75" customHeight="1" x14ac:dyDescent="0.25">
      <c r="B159" s="132" t="str">
        <f>IF('1. INTRO'!I$2="English",(IF('2. START'!C$14&gt;0,"Social costs (LKP) not accepted by funding body","")),IF('2. START'!C$14&gt;0,"LKP som inte accepteras av finansiär",""))</f>
        <v/>
      </c>
      <c r="C159" s="911">
        <f>IF('2. START'!$C$14&gt;0,SUMIF('5. PERSON'!$D$17:$D$192,$C147,'5. PERSON'!AT$17:AT$192)-SUMIF('5. PERSON'!$D$17:$D$192,$C147,'5. PERSON'!DN$17:DN$192),0)</f>
        <v>0</v>
      </c>
      <c r="D159" s="911">
        <f>IF('2. START'!$C$14&gt;0,SUMIF('5. PERSON'!$D$17:$D$192,$C147,'5. PERSON'!AU$17:AU$192)-SUMIF('5. PERSON'!$D$17:$D$192,$C147,'5. PERSON'!DO$17:DO$192),0)</f>
        <v>0</v>
      </c>
      <c r="E159" s="911">
        <f>IF('2. START'!$C$14&gt;0,SUMIF('5. PERSON'!$D$17:$D$192,$C147,'5. PERSON'!AV$17:AV$192)-SUMIF('5. PERSON'!$D$17:$D$192,$C147,'5. PERSON'!DP$17:DP$192),0)</f>
        <v>0</v>
      </c>
      <c r="F159" s="911">
        <f>IF('2. START'!$C$14&gt;0,SUMIF('5. PERSON'!$D$17:$D$192,$C147,'5. PERSON'!AW$17:AW$192)-SUMIF('5. PERSON'!$D$17:$D$192,$C147,'5. PERSON'!DQ$17:DQ$192),0)</f>
        <v>0</v>
      </c>
      <c r="G159" s="911">
        <f>IF('2. START'!$C$14&gt;0,SUMIF('5. PERSON'!$D$17:$D$192,$C147,'5. PERSON'!AX$17:AX$192)-SUMIF('5. PERSON'!$D$17:$D$192,$C147,'5. PERSON'!DR$17:DR$192),0)</f>
        <v>0</v>
      </c>
      <c r="H159" s="911">
        <f>IF('2. START'!$C$14&gt;0,SUMIF('5. PERSON'!$D$17:$D$192,$C147,'5. PERSON'!AY$17:AY$192)-SUMIF('5. PERSON'!$D$17:$D$192,$C147,'5. PERSON'!DS$17:DS$192),0)</f>
        <v>0</v>
      </c>
      <c r="I159" s="911">
        <f>IF('2. START'!$C$14&gt;0,SUMIF('5. PERSON'!$D$17:$D$192,$C147,'5. PERSON'!AZ$17:AZ$192)-SUMIF('5. PERSON'!$D$17:$D$192,$C147,'5. PERSON'!DT$17:DT$192),0)</f>
        <v>0</v>
      </c>
      <c r="J159" s="911">
        <f>IF('2. START'!$C$14&gt;0,SUMIF('5. PERSON'!$D$17:$D$192,$C147,'5. PERSON'!BA$17:BA$192)-SUMIF('5. PERSON'!$D$17:$D$192,$C147,'5. PERSON'!DU$17:DU$192),0)</f>
        <v>0</v>
      </c>
      <c r="K159" s="911">
        <f>IF('2. START'!$C$14&gt;0,SUMIF('5. PERSON'!$D$17:$D$192,$C147,'5. PERSON'!BB$17:BB$192)-SUMIF('5. PERSON'!$D$17:$D$192,$C147,'5. PERSON'!DV$17:DV$192),0)</f>
        <v>0</v>
      </c>
      <c r="L159" s="911">
        <f>IF('2. START'!$C$14&gt;0,SUMIF('5. PERSON'!$D$17:$D$192,$C147,'5. PERSON'!BC$17:BC$192)-SUMIF('5. PERSON'!$D$17:$D$192,$C147,'5. PERSON'!DW$17:DW$192),0)</f>
        <v>0</v>
      </c>
      <c r="M159" s="905">
        <f t="shared" si="19"/>
        <v>0</v>
      </c>
    </row>
    <row r="160" spans="2:15" s="234" customFormat="1" ht="12.75" customHeight="1" x14ac:dyDescent="0.25">
      <c r="B160" s="906" t="str">
        <f>IF('1. INTRO'!I$2="English",(IF('5. PERSON'!BP$193&gt;0,"Salary including social costs (LKP)","")),IF('5. PERSON'!BP$193&gt;0,"Lön inklusive LKP",""))</f>
        <v/>
      </c>
      <c r="C160" s="622">
        <f>SUMIF('5. PERSON'!$D$17:$D$192,$C147,'5. PERSON'!BF$17:BF$192)</f>
        <v>0</v>
      </c>
      <c r="D160" s="622">
        <f>SUMIF('5. PERSON'!$D$17:$D$192,$C147,'5. PERSON'!BG$17:BG$192)</f>
        <v>0</v>
      </c>
      <c r="E160" s="622">
        <f>SUMIF('5. PERSON'!$D$17:$D$192,$C147,'5. PERSON'!BH$17:BH$192)</f>
        <v>0</v>
      </c>
      <c r="F160" s="622">
        <f>SUMIF('5. PERSON'!$D$17:$D$192,$C147,'5. PERSON'!BI$17:BI$192)</f>
        <v>0</v>
      </c>
      <c r="G160" s="622">
        <f>SUMIF('5. PERSON'!$D$17:$D$192,$C147,'5. PERSON'!BJ$17:BJ$192)</f>
        <v>0</v>
      </c>
      <c r="H160" s="622">
        <f>SUMIF('5. PERSON'!$D$17:$D$192,$C147,'5. PERSON'!BK$17:BK$192)</f>
        <v>0</v>
      </c>
      <c r="I160" s="622">
        <f>SUMIF('5. PERSON'!$D$17:$D$192,$C147,'5. PERSON'!BL$17:BL$192)</f>
        <v>0</v>
      </c>
      <c r="J160" s="622">
        <f>SUMIF('5. PERSON'!$D$17:$D$192,$C147,'5. PERSON'!BM$17:BM$192)</f>
        <v>0</v>
      </c>
      <c r="K160" s="622">
        <f>SUMIF('5. PERSON'!$D$17:$D$192,$C147,'5. PERSON'!BN$17:BN$192)</f>
        <v>0</v>
      </c>
      <c r="L160" s="622">
        <f>SUMIF('5. PERSON'!$D$17:$D$192,$C147,'5. PERSON'!BO$17:BO$192)</f>
        <v>0</v>
      </c>
      <c r="M160" s="907">
        <f t="shared" si="19"/>
        <v>0</v>
      </c>
    </row>
    <row r="161" spans="2:15" s="234" customFormat="1" ht="13.2" x14ac:dyDescent="0.25">
      <c r="B161" s="377" t="str">
        <f>IF('1. INTRO'!I$2="English",(IF('6. OPERATION'!AS$150&gt;0,"Operating","")),IF('6. OPERATION'!AS$150&gt;0,"Drift",""))</f>
        <v/>
      </c>
      <c r="C161" s="617">
        <f>SUMIF('6. OPERATION'!$D$17:$D$149,$C147,'6. OPERATION'!AI$17:AI$149)</f>
        <v>0</v>
      </c>
      <c r="D161" s="617">
        <f>SUMIF('6. OPERATION'!$D$17:$D$149,$C147,'6. OPERATION'!AJ$17:AJ$149)</f>
        <v>0</v>
      </c>
      <c r="E161" s="617">
        <f>SUMIF('6. OPERATION'!$D$17:$D$149,$C147,'6. OPERATION'!AK$17:AK$149)</f>
        <v>0</v>
      </c>
      <c r="F161" s="617">
        <f>SUMIF('6. OPERATION'!$D$17:$D$149,$C147,'6. OPERATION'!AL$17:AL$149)</f>
        <v>0</v>
      </c>
      <c r="G161" s="617">
        <f>SUMIF('6. OPERATION'!$D$17:$D$149,$C147,'6. OPERATION'!AM$17:AM$149)</f>
        <v>0</v>
      </c>
      <c r="H161" s="617">
        <f>SUMIF('6. OPERATION'!$D$17:$D$149,$C147,'6. OPERATION'!AN$17:AN$149)</f>
        <v>0</v>
      </c>
      <c r="I161" s="617">
        <f>SUMIF('6. OPERATION'!$D$17:$D$149,$C147,'6. OPERATION'!AO$17:AO$149)</f>
        <v>0</v>
      </c>
      <c r="J161" s="617">
        <f>SUMIF('6. OPERATION'!$D$17:$D$149,$C147,'6. OPERATION'!AP$17:AP$149)</f>
        <v>0</v>
      </c>
      <c r="K161" s="617">
        <f>SUMIF('6. OPERATION'!$D$17:$D$149,$C147,'6. OPERATION'!AQ$17:AQ$149)</f>
        <v>0</v>
      </c>
      <c r="L161" s="617">
        <f>SUMIF('6. OPERATION'!$D$17:$D$149,$C147,'6. OPERATION'!AR$17:AR$149)</f>
        <v>0</v>
      </c>
      <c r="M161" s="905">
        <f t="shared" si="19"/>
        <v>0</v>
      </c>
    </row>
    <row r="162" spans="2:15" s="234" customFormat="1" ht="13.2" x14ac:dyDescent="0.25">
      <c r="B162" s="906" t="str">
        <f>IF('1. INTRO'!I$2="English",(IF('7. INVEST'!AS$50&gt;0,"Equipment","")),IF('7. INVEST'!AS$50&gt;0,"Utrustning",""))</f>
        <v/>
      </c>
      <c r="C162" s="622">
        <f>SUMIF('7. INVEST'!$D$17:$D$49,$C147,'7. INVEST'!AI$17:AI$49)</f>
        <v>0</v>
      </c>
      <c r="D162" s="622">
        <f>SUMIF('7. INVEST'!$D$17:$D$49,$C147,'7. INVEST'!AJ$17:AJ$49)</f>
        <v>0</v>
      </c>
      <c r="E162" s="622">
        <f>SUMIF('7. INVEST'!$D$17:$D$49,$C147,'7. INVEST'!AK$17:AK$49)</f>
        <v>0</v>
      </c>
      <c r="F162" s="622">
        <f>SUMIF('7. INVEST'!$D$17:$D$49,$C147,'7. INVEST'!AL$17:AL$49)</f>
        <v>0</v>
      </c>
      <c r="G162" s="622">
        <f>SUMIF('7. INVEST'!$D$17:$D$49,$C147,'7. INVEST'!AM$17:AM$49)</f>
        <v>0</v>
      </c>
      <c r="H162" s="622">
        <f>SUMIF('7. INVEST'!$D$17:$D$49,$C147,'7. INVEST'!AN$17:AN$49)</f>
        <v>0</v>
      </c>
      <c r="I162" s="622">
        <f>SUMIF('7. INVEST'!$D$17:$D$49,$C147,'7. INVEST'!AO$17:AO$49)</f>
        <v>0</v>
      </c>
      <c r="J162" s="622">
        <f>SUMIF('7. INVEST'!$D$17:$D$49,$C147,'7. INVEST'!AP$17:AP$49)</f>
        <v>0</v>
      </c>
      <c r="K162" s="622">
        <f>SUMIF('7. INVEST'!$D$17:$D$49,$C147,'7. INVEST'!AQ$17:AQ$49)</f>
        <v>0</v>
      </c>
      <c r="L162" s="622">
        <f>SUMIF('7. INVEST'!$D$17:$D$49,$C147,'7. INVEST'!AR$17:AR$49)</f>
        <v>0</v>
      </c>
      <c r="M162" s="907">
        <f t="shared" si="19"/>
        <v>0</v>
      </c>
    </row>
    <row r="163" spans="2:15" s="234" customFormat="1" ht="13.2" x14ac:dyDescent="0.25">
      <c r="B163" s="121" t="str">
        <f>IF('1. INTRO'!I$2="English",(IF('8. FACILIT'!AP$51&gt;0,"Facility","")),IF('8. FACILIT'!AP$51&gt;0,"Lokal",""))</f>
        <v/>
      </c>
      <c r="C163" s="617">
        <f>SUMIF('5. PERSON'!$D$17:$D$192,$C147,'5. PERSON'!DB$17:DB$192)+SUMIF('6. OPERATION'!$D$17:$D$149,$C147,'6. OPERATION'!CE$17:CE$149)+SUMIF('8. FACILIT'!$D$18:$D$50,$C147,'8. FACILIT'!AF$18:AF$50)</f>
        <v>0</v>
      </c>
      <c r="D163" s="617">
        <f>SUMIF('5. PERSON'!$D$17:$D$192,$C147,'5. PERSON'!DC$17:DC$192)+SUMIF('6. OPERATION'!$D$17:$D$149,$C147,'6. OPERATION'!CF$17:CF$149)+SUMIF('8. FACILIT'!$D$18:$D$50,$C147,'8. FACILIT'!AG$18:AG$50)</f>
        <v>0</v>
      </c>
      <c r="E163" s="617">
        <f>SUMIF('5. PERSON'!$D$17:$D$192,$C147,'5. PERSON'!DD$17:DD$192)+SUMIF('6. OPERATION'!$D$17:$D$149,$C147,'6. OPERATION'!CG$17:CG$149)+SUMIF('8. FACILIT'!$D$18:$D$50,$C147,'8. FACILIT'!AH$18:AH$50)</f>
        <v>0</v>
      </c>
      <c r="F163" s="617">
        <f>SUMIF('5. PERSON'!$D$17:$D$192,$C147,'5. PERSON'!DE$17:DE$192)+SUMIF('6. OPERATION'!$D$17:$D$149,$C147,'6. OPERATION'!CH$17:CH$149)+SUMIF('8. FACILIT'!$D$18:$D$50,$C147,'8. FACILIT'!AI$18:AI$50)</f>
        <v>0</v>
      </c>
      <c r="G163" s="617">
        <f>SUMIF('5. PERSON'!$D$17:$D$192,$C147,'5. PERSON'!DF$17:DF$192)+SUMIF('6. OPERATION'!$D$17:$D$149,$C147,'6. OPERATION'!CI$17:CI$149)+SUMIF('8. FACILIT'!$D$18:$D$50,$C147,'8. FACILIT'!AJ$18:AJ$50)</f>
        <v>0</v>
      </c>
      <c r="H163" s="617">
        <f>SUMIF('5. PERSON'!$D$17:$D$192,$C147,'5. PERSON'!DG$17:DG$192)+SUMIF('6. OPERATION'!$D$17:$D$149,$C147,'6. OPERATION'!CJ$17:CJ$149)+SUMIF('8. FACILIT'!$D$18:$D$50,$C147,'8. FACILIT'!AK$18:AK$50)</f>
        <v>0</v>
      </c>
      <c r="I163" s="617">
        <f>SUMIF('5. PERSON'!$D$17:$D$192,$C147,'5. PERSON'!DH$17:DH$192)+SUMIF('6. OPERATION'!$D$17:$D$149,$C147,'6. OPERATION'!CK$17:CK$149)+SUMIF('8. FACILIT'!$D$18:$D$50,$C147,'8. FACILIT'!AL$18:AL$50)</f>
        <v>0</v>
      </c>
      <c r="J163" s="617">
        <f>SUMIF('5. PERSON'!$D$17:$D$192,$C147,'5. PERSON'!DI$17:DI$192)+SUMIF('6. OPERATION'!$D$17:$D$149,$C147,'6. OPERATION'!CL$17:CL$149)+SUMIF('8. FACILIT'!$D$18:$D$50,$C147,'8. FACILIT'!AM$18:AM$50)</f>
        <v>0</v>
      </c>
      <c r="K163" s="617">
        <f>SUMIF('5. PERSON'!$D$17:$D$192,$C147,'5. PERSON'!DJ$17:DJ$192)+SUMIF('6. OPERATION'!$D$17:$D$149,$C147,'6. OPERATION'!CM$17:CM$149)+SUMIF('8. FACILIT'!$D$18:$D$50,$C147,'8. FACILIT'!AN$18:AN$50)</f>
        <v>0</v>
      </c>
      <c r="L163" s="617">
        <f>SUMIF('5. PERSON'!$D$17:$D$192,$C147,'5. PERSON'!DK$17:DK$192)+SUMIF('6. OPERATION'!$D$17:$D$149,$C147,'6. OPERATION'!CN$17:CN$149)+SUMIF('8. FACILIT'!$D$18:$D$50,$C147,'8. FACILIT'!AO$18:AO$50)</f>
        <v>0</v>
      </c>
      <c r="M163" s="905">
        <f t="shared" si="19"/>
        <v>0</v>
      </c>
    </row>
    <row r="164" spans="2:15" s="912" customFormat="1" ht="13.2" x14ac:dyDescent="0.25">
      <c r="B164" s="122" t="str">
        <f>IF('1. INTRO'!I$2="English",(IF(('5. PERSON'!CN$193+'6. OPERATION'!BQ$150)&gt;0,"Indirect","")),IF(('5. PERSON'!CN$193+'6. OPERATION'!BQ$150)&gt;0,"Indirekt",""))</f>
        <v/>
      </c>
      <c r="C164" s="584">
        <f>SUMIF('5. PERSON'!$D$17:$D$192,$C147,'5. PERSON'!CD$17:CD$192)+SUMIF('6. OPERATION'!$D$17:$D$149,$C147,'6. OPERATION'!BG$17:BG$149)</f>
        <v>0</v>
      </c>
      <c r="D164" s="584">
        <f>SUMIF('5. PERSON'!$D$17:$D$192,$C147,'5. PERSON'!CE$17:CE$192)+SUMIF('6. OPERATION'!$D$17:$D$149,$C147,'6. OPERATION'!BH$17:BH$149)</f>
        <v>0</v>
      </c>
      <c r="E164" s="584">
        <f>SUMIF('5. PERSON'!$D$17:$D$192,$C147,'5. PERSON'!CF$17:CF$192)+SUMIF('6. OPERATION'!$D$17:$D$149,$C147,'6. OPERATION'!BI$17:BI$149)</f>
        <v>0</v>
      </c>
      <c r="F164" s="584">
        <f>SUMIF('5. PERSON'!$D$17:$D$192,$C147,'5. PERSON'!CG$17:CG$192)+SUMIF('6. OPERATION'!$D$17:$D$149,$C147,'6. OPERATION'!BJ$17:BJ$149)</f>
        <v>0</v>
      </c>
      <c r="G164" s="584">
        <f>SUMIF('5. PERSON'!$D$17:$D$192,$C147,'5. PERSON'!CH$17:CH$192)+SUMIF('6. OPERATION'!$D$17:$D$149,$C147,'6. OPERATION'!BK$17:BK$149)</f>
        <v>0</v>
      </c>
      <c r="H164" s="584">
        <f>SUMIF('5. PERSON'!$D$17:$D$192,$C147,'5. PERSON'!CI$17:CI$192)+SUMIF('6. OPERATION'!$D$17:$D$149,$C147,'6. OPERATION'!BL$17:BL$149)</f>
        <v>0</v>
      </c>
      <c r="I164" s="584">
        <f>SUMIF('5. PERSON'!$D$17:$D$192,$C147,'5. PERSON'!CJ$17:CJ$192)+SUMIF('6. OPERATION'!$D$17:$D$149,$C147,'6. OPERATION'!BM$17:BM$149)</f>
        <v>0</v>
      </c>
      <c r="J164" s="584">
        <f>SUMIF('5. PERSON'!$D$17:$D$192,$C147,'5. PERSON'!CK$17:CK$192)+SUMIF('6. OPERATION'!$D$17:$D$149,$C147,'6. OPERATION'!BN$17:BN$149)</f>
        <v>0</v>
      </c>
      <c r="K164" s="584">
        <f>SUMIF('5. PERSON'!$D$17:$D$192,$C147,'5. PERSON'!CL$17:CL$192)+SUMIF('6. OPERATION'!$D$17:$D$149,$C147,'6. OPERATION'!BO$17:BO$149)</f>
        <v>0</v>
      </c>
      <c r="L164" s="584">
        <f>SUMIF('5. PERSON'!$D$17:$D$192,$C147,'5. PERSON'!CM$17:CM$192)+SUMIF('6. OPERATION'!$D$17:$D$149,$C147,'6. OPERATION'!BP$17:BP$149)</f>
        <v>0</v>
      </c>
      <c r="M164" s="908">
        <f t="shared" si="19"/>
        <v>0</v>
      </c>
    </row>
    <row r="165" spans="2:15" s="234" customFormat="1" ht="13.2" x14ac:dyDescent="0.25">
      <c r="B165" s="628" t="s">
        <v>113</v>
      </c>
      <c r="C165" s="443">
        <f>SUM(C158:C164)</f>
        <v>0</v>
      </c>
      <c r="D165" s="443">
        <f t="shared" ref="D165:M165" si="20">SUM(D158:D164)</f>
        <v>0</v>
      </c>
      <c r="E165" s="443">
        <f t="shared" si="20"/>
        <v>0</v>
      </c>
      <c r="F165" s="443">
        <f t="shared" si="20"/>
        <v>0</v>
      </c>
      <c r="G165" s="443">
        <f t="shared" si="20"/>
        <v>0</v>
      </c>
      <c r="H165" s="443">
        <f t="shared" si="20"/>
        <v>0</v>
      </c>
      <c r="I165" s="443">
        <f t="shared" si="20"/>
        <v>0</v>
      </c>
      <c r="J165" s="443">
        <f t="shared" si="20"/>
        <v>0</v>
      </c>
      <c r="K165" s="443">
        <f t="shared" si="20"/>
        <v>0</v>
      </c>
      <c r="L165" s="443">
        <f t="shared" si="20"/>
        <v>0</v>
      </c>
      <c r="M165" s="630">
        <f t="shared" si="20"/>
        <v>0</v>
      </c>
      <c r="N165" s="913"/>
      <c r="O165" s="913"/>
    </row>
    <row r="166" spans="2:15" s="234" customFormat="1" ht="6" customHeight="1" x14ac:dyDescent="0.25">
      <c r="B166" s="914"/>
      <c r="C166" s="127"/>
      <c r="D166" s="127"/>
      <c r="E166" s="127"/>
      <c r="F166" s="127"/>
      <c r="G166" s="127"/>
      <c r="H166" s="127"/>
      <c r="I166" s="127"/>
      <c r="J166" s="127"/>
      <c r="K166" s="127"/>
      <c r="L166" s="127"/>
      <c r="M166" s="636"/>
    </row>
    <row r="167" spans="2:15" s="234" customFormat="1" ht="13.2" x14ac:dyDescent="0.25">
      <c r="B167" s="129" t="str">
        <f>IF('1. INTRO'!I$2="English","Full cost","Full kostnad")</f>
        <v>Full cost</v>
      </c>
      <c r="C167" s="127"/>
      <c r="D167" s="127"/>
      <c r="E167" s="127"/>
      <c r="F167" s="127"/>
      <c r="G167" s="127"/>
      <c r="H167" s="127"/>
      <c r="I167" s="127"/>
      <c r="J167" s="127"/>
      <c r="K167" s="127"/>
      <c r="L167" s="127"/>
      <c r="M167" s="636"/>
    </row>
    <row r="168" spans="2:15" s="234" customFormat="1" ht="13.2" x14ac:dyDescent="0.25">
      <c r="B168" s="902" t="str">
        <f>IF('1. INTRO'!I$2="English","Salary including social costs (LKP)","Lön inklusive LKP")</f>
        <v>Salary including social costs (LKP)</v>
      </c>
      <c r="C168" s="138">
        <f>C150+C159+C160</f>
        <v>0</v>
      </c>
      <c r="D168" s="138">
        <f t="shared" ref="D168:L168" si="21">D150+D159+D160</f>
        <v>0</v>
      </c>
      <c r="E168" s="138">
        <f t="shared" si="21"/>
        <v>0</v>
      </c>
      <c r="F168" s="138">
        <f t="shared" si="21"/>
        <v>0</v>
      </c>
      <c r="G168" s="138">
        <f t="shared" si="21"/>
        <v>0</v>
      </c>
      <c r="H168" s="138">
        <f t="shared" si="21"/>
        <v>0</v>
      </c>
      <c r="I168" s="138">
        <f t="shared" si="21"/>
        <v>0</v>
      </c>
      <c r="J168" s="138">
        <f t="shared" si="21"/>
        <v>0</v>
      </c>
      <c r="K168" s="138">
        <f t="shared" si="21"/>
        <v>0</v>
      </c>
      <c r="L168" s="138">
        <f t="shared" si="21"/>
        <v>0</v>
      </c>
      <c r="M168" s="903">
        <f>SUM(C168:L168)</f>
        <v>0</v>
      </c>
    </row>
    <row r="169" spans="2:15" s="234" customFormat="1" ht="13.2" x14ac:dyDescent="0.25">
      <c r="B169" s="377" t="str">
        <f>IF('1. INTRO'!I$2="English","Operating","Drift")</f>
        <v>Operating</v>
      </c>
      <c r="C169" s="139">
        <f>C151+C161</f>
        <v>0</v>
      </c>
      <c r="D169" s="139">
        <f t="shared" ref="D169:L169" si="22">D151+D161</f>
        <v>0</v>
      </c>
      <c r="E169" s="139">
        <f t="shared" si="22"/>
        <v>0</v>
      </c>
      <c r="F169" s="139">
        <f t="shared" si="22"/>
        <v>0</v>
      </c>
      <c r="G169" s="139">
        <f t="shared" si="22"/>
        <v>0</v>
      </c>
      <c r="H169" s="139">
        <f t="shared" si="22"/>
        <v>0</v>
      </c>
      <c r="I169" s="139">
        <f t="shared" si="22"/>
        <v>0</v>
      </c>
      <c r="J169" s="139">
        <f t="shared" si="22"/>
        <v>0</v>
      </c>
      <c r="K169" s="139">
        <f t="shared" si="22"/>
        <v>0</v>
      </c>
      <c r="L169" s="139">
        <f t="shared" si="22"/>
        <v>0</v>
      </c>
      <c r="M169" s="905">
        <f>SUM(C169:L169)</f>
        <v>0</v>
      </c>
    </row>
    <row r="170" spans="2:15" s="234" customFormat="1" ht="13.2" x14ac:dyDescent="0.25">
      <c r="B170" s="906" t="str">
        <f>IF('1. INTRO'!I$2="English","Equipment","Utrustning")</f>
        <v>Equipment</v>
      </c>
      <c r="C170" s="140">
        <f>C152+C162</f>
        <v>0</v>
      </c>
      <c r="D170" s="140">
        <f t="shared" ref="D170:L170" si="23">D152+D162</f>
        <v>0</v>
      </c>
      <c r="E170" s="140">
        <f t="shared" si="23"/>
        <v>0</v>
      </c>
      <c r="F170" s="140">
        <f t="shared" si="23"/>
        <v>0</v>
      </c>
      <c r="G170" s="140">
        <f t="shared" si="23"/>
        <v>0</v>
      </c>
      <c r="H170" s="140">
        <f t="shared" si="23"/>
        <v>0</v>
      </c>
      <c r="I170" s="140">
        <f t="shared" si="23"/>
        <v>0</v>
      </c>
      <c r="J170" s="140">
        <f t="shared" si="23"/>
        <v>0</v>
      </c>
      <c r="K170" s="140">
        <f t="shared" si="23"/>
        <v>0</v>
      </c>
      <c r="L170" s="140">
        <f t="shared" si="23"/>
        <v>0</v>
      </c>
      <c r="M170" s="907">
        <f>SUM(C170:L170)</f>
        <v>0</v>
      </c>
    </row>
    <row r="171" spans="2:15" s="234" customFormat="1" ht="13.2" x14ac:dyDescent="0.25">
      <c r="B171" s="377" t="str">
        <f>IF('1. INTRO'!I$2="English","Facility","Lokal")</f>
        <v>Facility</v>
      </c>
      <c r="C171" s="139">
        <f>SUMIF('5. PERSON'!$D$17:$D$192,$C147,'5. PERSON'!CP$17:CP$192)+SUMIF('5. PERSON'!$D$17:$D$192,$C147,'5. PERSON'!DB$17:DB$192)+SUMIF('6. OPERATION'!$D$17:$D$149,$C147,'6. OPERATION'!BS$17:BS$149)+SUMIF('6. OPERATION'!$D$17:$D$149,$C147,'6. OPERATION'!CE$17:CE$149)+SUMIF('8. FACILIT'!$D$18:$D$50,$C147,'8. FACILIT'!T$18:T$50)+SUMIF('8. FACILIT'!$D$18:$D$50,$C147,'8. FACILIT'!AF$18:AF$50)</f>
        <v>0</v>
      </c>
      <c r="D171" s="139">
        <f>SUMIF('5. PERSON'!$D$17:$D$192,$C147,'5. PERSON'!CQ$17:CQ$192)+SUMIF('5. PERSON'!$D$17:$D$192,$C147,'5. PERSON'!DC$17:DC$192)+SUMIF('6. OPERATION'!$D$17:$D$149,$C147,'6. OPERATION'!BT$17:BT$149)+SUMIF('6. OPERATION'!$D$17:$D$149,$C147,'6. OPERATION'!CF$17:CF$149)+SUMIF('8. FACILIT'!$D$18:$D$50,$C147,'8. FACILIT'!U$18:U$50)+SUMIF('8. FACILIT'!$D$18:$D$50,$C147,'8. FACILIT'!AG$18:AG$50)</f>
        <v>0</v>
      </c>
      <c r="E171" s="139">
        <f>SUMIF('5. PERSON'!$D$17:$D$192,$C147,'5. PERSON'!CR$17:CR$192)+SUMIF('5. PERSON'!$D$17:$D$192,$C147,'5. PERSON'!DD$17:DD$192)+SUMIF('6. OPERATION'!$D$17:$D$149,$C147,'6. OPERATION'!BU$17:BU$149)+SUMIF('6. OPERATION'!$D$17:$D$149,$C147,'6. OPERATION'!CG$17:CG$149)+SUMIF('8. FACILIT'!$D$18:$D$50,$C147,'8. FACILIT'!V$18:V$50)+SUMIF('8. FACILIT'!$D$18:$D$50,$C147,'8. FACILIT'!AH$18:AH$50)</f>
        <v>0</v>
      </c>
      <c r="F171" s="139">
        <f>SUMIF('5. PERSON'!$D$17:$D$192,$C147,'5. PERSON'!CS$17:CS$192)+SUMIF('5. PERSON'!$D$17:$D$192,$C147,'5. PERSON'!DE$17:DE$192)+SUMIF('6. OPERATION'!$D$17:$D$149,$C147,'6. OPERATION'!BV$17:BV$149)+SUMIF('6. OPERATION'!$D$17:$D$149,$C147,'6. OPERATION'!CH$17:CH$149)+SUMIF('8. FACILIT'!$D$18:$D$50,$C147,'8. FACILIT'!W$18:W$50)+SUMIF('8. FACILIT'!$D$18:$D$50,$C147,'8. FACILIT'!AI$18:AI$50)</f>
        <v>0</v>
      </c>
      <c r="G171" s="139">
        <f>SUMIF('5. PERSON'!$D$17:$D$192,$C147,'5. PERSON'!CT$17:CT$192)+SUMIF('5. PERSON'!$D$17:$D$192,$C147,'5. PERSON'!DF$17:DF$192)+SUMIF('6. OPERATION'!$D$17:$D$149,$C147,'6. OPERATION'!BW$17:BW$149)+SUMIF('6. OPERATION'!$D$17:$D$149,$C147,'6. OPERATION'!CI$17:CI$149)+SUMIF('8. FACILIT'!$D$18:$D$50,$C147,'8. FACILIT'!X$18:X$50)+SUMIF('8. FACILIT'!$D$18:$D$50,$C147,'8. FACILIT'!AJ$18:AJ$50)</f>
        <v>0</v>
      </c>
      <c r="H171" s="139">
        <f>SUMIF('5. PERSON'!$D$17:$D$192,$C147,'5. PERSON'!CU$17:CU$192)+SUMIF('5. PERSON'!$D$17:$D$192,$C147,'5. PERSON'!DG$17:DG$192)+SUMIF('6. OPERATION'!$D$17:$D$149,$C147,'6. OPERATION'!BX$17:BX$149)+SUMIF('6. OPERATION'!$D$17:$D$149,$C147,'6. OPERATION'!CJ$17:CJ$149)+SUMIF('8. FACILIT'!$D$18:$D$50,$C147,'8. FACILIT'!Y$18:Y$50)+SUMIF('8. FACILIT'!$D$18:$D$50,$C147,'8. FACILIT'!AK$18:AK$50)</f>
        <v>0</v>
      </c>
      <c r="I171" s="139">
        <f>SUMIF('5. PERSON'!$D$17:$D$192,$C147,'5. PERSON'!CV$17:CV$192)+SUMIF('5. PERSON'!$D$17:$D$192,$C147,'5. PERSON'!DH$17:DH$192)+SUMIF('6. OPERATION'!$D$17:$D$149,$C147,'6. OPERATION'!BY$17:BY$149)+SUMIF('6. OPERATION'!$D$17:$D$149,$C147,'6. OPERATION'!CK$17:CK$149)+SUMIF('8. FACILIT'!$D$18:$D$50,$C147,'8. FACILIT'!Z$18:Z$50)+SUMIF('8. FACILIT'!$D$18:$D$50,$C147,'8. FACILIT'!AL$18:AL$50)</f>
        <v>0</v>
      </c>
      <c r="J171" s="139">
        <f>SUMIF('5. PERSON'!$D$17:$D$192,$C147,'5. PERSON'!CW$17:CW$192)+SUMIF('5. PERSON'!$D$17:$D$192,$C147,'5. PERSON'!DI$17:DI$192)+SUMIF('6. OPERATION'!$D$17:$D$149,$C147,'6. OPERATION'!BZ$17:BZ$149)+SUMIF('6. OPERATION'!$D$17:$D$149,$C147,'6. OPERATION'!CL$17:CL$149)+SUMIF('8. FACILIT'!$D$18:$D$50,$C147,'8. FACILIT'!AA$18:AA$50)+SUMIF('8. FACILIT'!$D$18:$D$50,$C147,'8. FACILIT'!AM$18:AM$50)</f>
        <v>0</v>
      </c>
      <c r="K171" s="139">
        <f>SUMIF('5. PERSON'!$D$17:$D$192,$C147,'5. PERSON'!CX$17:CX$192)+SUMIF('5. PERSON'!$D$17:$D$192,$C147,'5. PERSON'!DJ$17:DJ$192)+SUMIF('6. OPERATION'!$D$17:$D$149,$C147,'6. OPERATION'!CA$17:CA$149)+SUMIF('6. OPERATION'!$D$17:$D$149,$C147,'6. OPERATION'!CM$17:CM$149)+SUMIF('8. FACILIT'!$D$18:$D$50,$C147,'8. FACILIT'!AB$18:AB$50)+SUMIF('8. FACILIT'!$D$18:$D$50,$C147,'8. FACILIT'!AN$18:AN$50)</f>
        <v>0</v>
      </c>
      <c r="L171" s="139">
        <f>SUMIF('5. PERSON'!$D$17:$D$192,$C147,'5. PERSON'!CY$17:CY$192)+SUMIF('5. PERSON'!$D$17:$D$192,$C147,'5. PERSON'!DK$17:DK$192)+SUMIF('6. OPERATION'!$D$17:$D$149,$C147,'6. OPERATION'!CB$17:CB$149)+SUMIF('6. OPERATION'!$D$17:$D$149,$C147,'6. OPERATION'!CN$17:CN$149)+SUMIF('8. FACILIT'!$D$18:$D$50,$C147,'8. FACILIT'!AC$18:AC$50)+SUMIF('8. FACILIT'!$D$18:$D$50,$C147,'8. FACILIT'!AO$18:AO$50)</f>
        <v>0</v>
      </c>
      <c r="M171" s="905">
        <f>SUM(C171:L171)</f>
        <v>0</v>
      </c>
    </row>
    <row r="172" spans="2:15" s="234" customFormat="1" ht="13.2" x14ac:dyDescent="0.25">
      <c r="B172" s="915" t="str">
        <f>IF('1. INTRO'!I$2="English","Indirect","Indirekt")</f>
        <v>Indirect</v>
      </c>
      <c r="C172" s="141">
        <f>SUMIF('5. PERSON'!$D$17:$D$192,$C147,'5. PERSON'!BR$17:BR$192)+SUMIF('5. PERSON'!$D$17:$D$192,$C147,'5. PERSON'!CD$17:CD$192)+SUMIF('6. OPERATION'!$D$17:$D$149,$C147,'6. OPERATION'!AU$17:AU$149)+SUMIF('6. OPERATION'!$D$17:$D$149,$C147,'6. OPERATION'!BG$17:BG$149)</f>
        <v>0</v>
      </c>
      <c r="D172" s="141">
        <f>SUMIF('5. PERSON'!$D$17:$D$192,$C147,'5. PERSON'!BS$17:BS$192)+SUMIF('5. PERSON'!$D$17:$D$192,$C147,'5. PERSON'!CE$17:CE$192)+SUMIF('6. OPERATION'!$D$17:$D$149,$C147,'6. OPERATION'!AV$17:AV$149)+SUMIF('6. OPERATION'!$D$17:$D$149,$C147,'6. OPERATION'!BH$17:BH$149)</f>
        <v>0</v>
      </c>
      <c r="E172" s="141">
        <f>SUMIF('5. PERSON'!$D$17:$D$192,$C147,'5. PERSON'!BT$17:BT$192)+SUMIF('5. PERSON'!$D$17:$D$192,$C147,'5. PERSON'!CF$17:CF$192)+SUMIF('6. OPERATION'!$D$17:$D$149,$C147,'6. OPERATION'!AW$17:AW$149)+SUMIF('6. OPERATION'!$D$17:$D$149,$C147,'6. OPERATION'!BI$17:BI$149)</f>
        <v>0</v>
      </c>
      <c r="F172" s="141">
        <f>SUMIF('5. PERSON'!$D$17:$D$192,$C147,'5. PERSON'!BU$17:BU$192)+SUMIF('5. PERSON'!$D$17:$D$192,$C147,'5. PERSON'!CG$17:CG$192)+SUMIF('6. OPERATION'!$D$17:$D$149,$C147,'6. OPERATION'!AX$17:AX$149)+SUMIF('6. OPERATION'!$D$17:$D$149,$C147,'6. OPERATION'!BJ$17:BJ$149)</f>
        <v>0</v>
      </c>
      <c r="G172" s="141">
        <f>SUMIF('5. PERSON'!$D$17:$D$192,$C147,'5. PERSON'!BV$17:BV$192)+SUMIF('5. PERSON'!$D$17:$D$192,$C147,'5. PERSON'!CH$17:CH$192)+SUMIF('6. OPERATION'!$D$17:$D$149,$C147,'6. OPERATION'!AY$17:AY$149)+SUMIF('6. OPERATION'!$D$17:$D$149,$C147,'6. OPERATION'!BK$17:BK$149)</f>
        <v>0</v>
      </c>
      <c r="H172" s="141">
        <f>SUMIF('5. PERSON'!$D$17:$D$192,$C147,'5. PERSON'!BW$17:BW$192)+SUMIF('5. PERSON'!$D$17:$D$192,$C147,'5. PERSON'!CI$17:CI$192)+SUMIF('6. OPERATION'!$D$17:$D$149,$C147,'6. OPERATION'!AZ$17:AZ$149)+SUMIF('6. OPERATION'!$D$17:$D$149,$C147,'6. OPERATION'!BL$17:BL$149)</f>
        <v>0</v>
      </c>
      <c r="I172" s="141">
        <f>SUMIF('5. PERSON'!$D$17:$D$192,$C147,'5. PERSON'!BX$17:BX$192)+SUMIF('5. PERSON'!$D$17:$D$192,$C147,'5. PERSON'!CJ$17:CJ$192)+SUMIF('6. OPERATION'!$D$17:$D$149,$C147,'6. OPERATION'!BA$17:BA$149)+SUMIF('6. OPERATION'!$D$17:$D$149,$C147,'6. OPERATION'!BM$17:BM$149)</f>
        <v>0</v>
      </c>
      <c r="J172" s="141">
        <f>SUMIF('5. PERSON'!$D$17:$D$192,$C147,'5. PERSON'!BY$17:BY$192)+SUMIF('5. PERSON'!$D$17:$D$192,$C147,'5. PERSON'!CK$17:CK$192)+SUMIF('6. OPERATION'!$D$17:$D$149,$C147,'6. OPERATION'!BB$17:BB$149)+SUMIF('6. OPERATION'!$D$17:$D$149,$C147,'6. OPERATION'!BN$17:BN$149)</f>
        <v>0</v>
      </c>
      <c r="K172" s="141">
        <f>SUMIF('5. PERSON'!$D$17:$D$192,$C147,'5. PERSON'!BZ$17:BZ$192)+SUMIF('5. PERSON'!$D$17:$D$192,$C147,'5. PERSON'!CL$17:CL$192)+SUMIF('6. OPERATION'!$D$17:$D$149,$C147,'6. OPERATION'!BC$17:BC$149)+SUMIF('6. OPERATION'!$D$17:$D$149,$C147,'6. OPERATION'!BO$17:BO$149)</f>
        <v>0</v>
      </c>
      <c r="L172" s="141">
        <f>SUMIF('5. PERSON'!$D$17:$D$192,$C147,'5. PERSON'!CA$17:CA$192)+SUMIF('5. PERSON'!$D$17:$D$192,$C147,'5. PERSON'!CM$17:CM$192)+SUMIF('6. OPERATION'!$D$17:$D$149,$C147,'6. OPERATION'!BD$17:BD$149)+SUMIF('6. OPERATION'!$D$17:$D$149,$C147,'6. OPERATION'!BP$17:BP$149)</f>
        <v>0</v>
      </c>
      <c r="M172" s="908">
        <f>SUM(C172:L172)</f>
        <v>0</v>
      </c>
    </row>
    <row r="173" spans="2:15" s="234" customFormat="1" ht="13.2" x14ac:dyDescent="0.25">
      <c r="B173" s="628" t="s">
        <v>113</v>
      </c>
      <c r="C173" s="520">
        <f>SUM(C168:C172)</f>
        <v>0</v>
      </c>
      <c r="D173" s="520">
        <f t="shared" ref="D173:M173" si="24">SUM(D168:D172)</f>
        <v>0</v>
      </c>
      <c r="E173" s="520">
        <f t="shared" si="24"/>
        <v>0</v>
      </c>
      <c r="F173" s="520">
        <f t="shared" si="24"/>
        <v>0</v>
      </c>
      <c r="G173" s="520">
        <f t="shared" si="24"/>
        <v>0</v>
      </c>
      <c r="H173" s="520">
        <f t="shared" si="24"/>
        <v>0</v>
      </c>
      <c r="I173" s="520">
        <f t="shared" si="24"/>
        <v>0</v>
      </c>
      <c r="J173" s="520">
        <f t="shared" si="24"/>
        <v>0</v>
      </c>
      <c r="K173" s="520">
        <f t="shared" si="24"/>
        <v>0</v>
      </c>
      <c r="L173" s="520">
        <f t="shared" si="24"/>
        <v>0</v>
      </c>
      <c r="M173" s="916">
        <f t="shared" si="24"/>
        <v>0</v>
      </c>
    </row>
    <row r="174" spans="2:15" s="234" customFormat="1" ht="13.2" x14ac:dyDescent="0.25">
      <c r="B174" s="676"/>
      <c r="C174" s="268"/>
      <c r="D174" s="268"/>
      <c r="E174" s="268"/>
      <c r="F174" s="268"/>
      <c r="G174" s="268"/>
      <c r="H174" s="268"/>
      <c r="I174" s="268"/>
      <c r="J174" s="268"/>
      <c r="K174" s="268"/>
      <c r="L174" s="268"/>
      <c r="M174" s="268"/>
    </row>
    <row r="175" spans="2:15" s="234" customFormat="1" ht="12.75" customHeight="1" x14ac:dyDescent="0.25">
      <c r="B175" s="676" t="str">
        <f>IF('1. INTRO'!I$2="English","Co-funding share in full cost ","Medfinansieringsandel i full kostnad ")</f>
        <v xml:space="preserve">Co-funding share in full cost </v>
      </c>
      <c r="C175" s="640" t="str">
        <f t="shared" ref="C175:M175" si="25">IF(C173&gt;0,C165/C173,"")</f>
        <v/>
      </c>
      <c r="D175" s="640" t="str">
        <f t="shared" si="25"/>
        <v/>
      </c>
      <c r="E175" s="640" t="str">
        <f t="shared" si="25"/>
        <v/>
      </c>
      <c r="F175" s="640" t="str">
        <f t="shared" si="25"/>
        <v/>
      </c>
      <c r="G175" s="640" t="str">
        <f t="shared" si="25"/>
        <v/>
      </c>
      <c r="H175" s="640" t="str">
        <f t="shared" si="25"/>
        <v/>
      </c>
      <c r="I175" s="640" t="str">
        <f t="shared" si="25"/>
        <v/>
      </c>
      <c r="J175" s="640" t="str">
        <f t="shared" si="25"/>
        <v/>
      </c>
      <c r="K175" s="640" t="str">
        <f t="shared" si="25"/>
        <v/>
      </c>
      <c r="L175" s="640" t="str">
        <f t="shared" si="25"/>
        <v/>
      </c>
      <c r="M175" s="640" t="str">
        <f t="shared" si="25"/>
        <v/>
      </c>
    </row>
    <row r="176" spans="2:15" s="268" customFormat="1" ht="12.75" customHeight="1" x14ac:dyDescent="0.25"/>
    <row r="177" spans="2:13" s="268" customFormat="1" ht="12.75" customHeight="1" x14ac:dyDescent="0.25">
      <c r="B177" s="667" t="str">
        <f>IF('1. INTRO'!I$2="English","Calculation comments","Kalkylkommentarer")</f>
        <v>Calculation comments</v>
      </c>
    </row>
    <row r="178" spans="2:13" s="268" customFormat="1" ht="12.75" customHeight="1" x14ac:dyDescent="0.25">
      <c r="B178" s="1264"/>
      <c r="C178" s="1265"/>
      <c r="D178" s="1265"/>
      <c r="E178" s="1265"/>
      <c r="F178" s="1265"/>
      <c r="G178" s="1265"/>
      <c r="H178" s="1265"/>
      <c r="I178" s="1265"/>
      <c r="J178" s="1265"/>
      <c r="K178" s="1265"/>
      <c r="L178" s="1265"/>
      <c r="M178" s="1266"/>
    </row>
    <row r="179" spans="2:13" s="268" customFormat="1" ht="12.75" customHeight="1" x14ac:dyDescent="0.25">
      <c r="B179" s="1267"/>
      <c r="C179" s="1268"/>
      <c r="D179" s="1268"/>
      <c r="E179" s="1268"/>
      <c r="F179" s="1268"/>
      <c r="G179" s="1268"/>
      <c r="H179" s="1268"/>
      <c r="I179" s="1268"/>
      <c r="J179" s="1268"/>
      <c r="K179" s="1268"/>
      <c r="L179" s="1268"/>
      <c r="M179" s="1269"/>
    </row>
    <row r="180" spans="2:13" s="268" customFormat="1" ht="12.75" customHeight="1" x14ac:dyDescent="0.25">
      <c r="B180" s="1267"/>
      <c r="C180" s="1268"/>
      <c r="D180" s="1268"/>
      <c r="E180" s="1268"/>
      <c r="F180" s="1268"/>
      <c r="G180" s="1268"/>
      <c r="H180" s="1268"/>
      <c r="I180" s="1268"/>
      <c r="J180" s="1268"/>
      <c r="K180" s="1268"/>
      <c r="L180" s="1268"/>
      <c r="M180" s="1269"/>
    </row>
    <row r="181" spans="2:13" s="268" customFormat="1" ht="12.75" customHeight="1" x14ac:dyDescent="0.25">
      <c r="B181" s="1267"/>
      <c r="C181" s="1268"/>
      <c r="D181" s="1268"/>
      <c r="E181" s="1268"/>
      <c r="F181" s="1268"/>
      <c r="G181" s="1268"/>
      <c r="H181" s="1268"/>
      <c r="I181" s="1268"/>
      <c r="J181" s="1268"/>
      <c r="K181" s="1268"/>
      <c r="L181" s="1268"/>
      <c r="M181" s="1269"/>
    </row>
    <row r="182" spans="2:13" s="268" customFormat="1" ht="12.75" customHeight="1" x14ac:dyDescent="0.25">
      <c r="B182" s="1267"/>
      <c r="C182" s="1268"/>
      <c r="D182" s="1268"/>
      <c r="E182" s="1268"/>
      <c r="F182" s="1268"/>
      <c r="G182" s="1268"/>
      <c r="H182" s="1268"/>
      <c r="I182" s="1268"/>
      <c r="J182" s="1268"/>
      <c r="K182" s="1268"/>
      <c r="L182" s="1268"/>
      <c r="M182" s="1269"/>
    </row>
    <row r="183" spans="2:13" s="268" customFormat="1" ht="12.75" customHeight="1" x14ac:dyDescent="0.25">
      <c r="B183" s="1270"/>
      <c r="C183" s="1271"/>
      <c r="D183" s="1271"/>
      <c r="E183" s="1271"/>
      <c r="F183" s="1271"/>
      <c r="G183" s="1271"/>
      <c r="H183" s="1271"/>
      <c r="I183" s="1271"/>
      <c r="J183" s="1271"/>
      <c r="K183" s="1271"/>
      <c r="L183" s="1271"/>
      <c r="M183" s="1272"/>
    </row>
    <row r="184" spans="2:13" s="268" customFormat="1" x14ac:dyDescent="0.25">
      <c r="B184" s="1270"/>
      <c r="C184" s="1271"/>
      <c r="D184" s="1271"/>
      <c r="E184" s="1271"/>
      <c r="F184" s="1271"/>
      <c r="G184" s="1271"/>
      <c r="H184" s="1271"/>
      <c r="I184" s="1271"/>
      <c r="J184" s="1271"/>
      <c r="K184" s="1271"/>
      <c r="L184" s="1271"/>
      <c r="M184" s="1272"/>
    </row>
    <row r="185" spans="2:13" s="268" customFormat="1" x14ac:dyDescent="0.25">
      <c r="B185" s="1270"/>
      <c r="C185" s="1271"/>
      <c r="D185" s="1271"/>
      <c r="E185" s="1271"/>
      <c r="F185" s="1271"/>
      <c r="G185" s="1271"/>
      <c r="H185" s="1271"/>
      <c r="I185" s="1271"/>
      <c r="J185" s="1271"/>
      <c r="K185" s="1271"/>
      <c r="L185" s="1271"/>
      <c r="M185" s="1272"/>
    </row>
    <row r="186" spans="2:13" s="268" customFormat="1" x14ac:dyDescent="0.25">
      <c r="B186" s="1270"/>
      <c r="C186" s="1271"/>
      <c r="D186" s="1271"/>
      <c r="E186" s="1271"/>
      <c r="F186" s="1271"/>
      <c r="G186" s="1271"/>
      <c r="H186" s="1271"/>
      <c r="I186" s="1271"/>
      <c r="J186" s="1271"/>
      <c r="K186" s="1271"/>
      <c r="L186" s="1271"/>
      <c r="M186" s="1272"/>
    </row>
    <row r="187" spans="2:13" s="268" customFormat="1" x14ac:dyDescent="0.25">
      <c r="B187" s="1270"/>
      <c r="C187" s="1271"/>
      <c r="D187" s="1271"/>
      <c r="E187" s="1271"/>
      <c r="F187" s="1271"/>
      <c r="G187" s="1271"/>
      <c r="H187" s="1271"/>
      <c r="I187" s="1271"/>
      <c r="J187" s="1271"/>
      <c r="K187" s="1271"/>
      <c r="L187" s="1271"/>
      <c r="M187" s="1272"/>
    </row>
    <row r="188" spans="2:13" s="268" customFormat="1" x14ac:dyDescent="0.25">
      <c r="B188" s="1270"/>
      <c r="C188" s="1271"/>
      <c r="D188" s="1271"/>
      <c r="E188" s="1271"/>
      <c r="F188" s="1271"/>
      <c r="G188" s="1271"/>
      <c r="H188" s="1271"/>
      <c r="I188" s="1271"/>
      <c r="J188" s="1271"/>
      <c r="K188" s="1271"/>
      <c r="L188" s="1271"/>
      <c r="M188" s="1272"/>
    </row>
    <row r="189" spans="2:13" s="268" customFormat="1" x14ac:dyDescent="0.25">
      <c r="B189" s="1270"/>
      <c r="C189" s="1271"/>
      <c r="D189" s="1271"/>
      <c r="E189" s="1271"/>
      <c r="F189" s="1271"/>
      <c r="G189" s="1271"/>
      <c r="H189" s="1271"/>
      <c r="I189" s="1271"/>
      <c r="J189" s="1271"/>
      <c r="K189" s="1271"/>
      <c r="L189" s="1271"/>
      <c r="M189" s="1272"/>
    </row>
    <row r="190" spans="2:13" s="268" customFormat="1" x14ac:dyDescent="0.25">
      <c r="B190" s="1273"/>
      <c r="C190" s="1274"/>
      <c r="D190" s="1274"/>
      <c r="E190" s="1274"/>
      <c r="F190" s="1274"/>
      <c r="G190" s="1274"/>
      <c r="H190" s="1274"/>
      <c r="I190" s="1274"/>
      <c r="J190" s="1274"/>
      <c r="K190" s="1274"/>
      <c r="L190" s="1274"/>
      <c r="M190" s="1275"/>
    </row>
    <row r="191" spans="2:13" s="268" customFormat="1" x14ac:dyDescent="0.25"/>
    <row r="192" spans="2:13" s="268" customFormat="1" x14ac:dyDescent="0.25"/>
    <row r="193" spans="2:15" s="234" customFormat="1" ht="12.75" customHeight="1" x14ac:dyDescent="0.25">
      <c r="B193" s="313" t="str">
        <f>'3. PARTNER'!C$4</f>
        <v xml:space="preserve">Project: </v>
      </c>
      <c r="C193" s="1062" t="str">
        <f>'3. PARTNER'!D$4</f>
        <v/>
      </c>
      <c r="D193" s="1001"/>
      <c r="E193" s="1001"/>
      <c r="F193" s="1001"/>
      <c r="G193" s="1001"/>
      <c r="H193" s="1001"/>
      <c r="I193" s="1001"/>
      <c r="J193" s="1001"/>
      <c r="K193" s="1001"/>
      <c r="L193" s="1001"/>
      <c r="M193" s="1001"/>
    </row>
    <row r="194" spans="2:15" s="234" customFormat="1" ht="13.2" x14ac:dyDescent="0.25">
      <c r="B194" s="313" t="str">
        <f>'3. PARTNER'!C$5</f>
        <v xml:space="preserve">Calculation for: </v>
      </c>
      <c r="C194" s="1062" t="str">
        <f>'3. PARTNER'!D$5</f>
        <v>APPLICATION</v>
      </c>
      <c r="D194" s="1001"/>
      <c r="E194" s="268"/>
      <c r="F194" s="268"/>
      <c r="G194" s="268"/>
      <c r="H194" s="268"/>
      <c r="I194" s="268"/>
      <c r="J194" s="268"/>
      <c r="K194" s="268"/>
      <c r="L194" s="268"/>
      <c r="M194" s="268"/>
    </row>
    <row r="195" spans="2:15" s="234" customFormat="1" ht="13.2" x14ac:dyDescent="0.25">
      <c r="B195" s="35" t="str">
        <f>'3. PARTNER'!C$6</f>
        <v xml:space="preserve">Project leader: </v>
      </c>
      <c r="C195" s="1062" t="str">
        <f>'3. PARTNER'!D$6</f>
        <v/>
      </c>
      <c r="D195" s="1001"/>
      <c r="E195" s="1001"/>
      <c r="F195" s="1001"/>
      <c r="G195" s="1001"/>
      <c r="H195" s="1001"/>
      <c r="I195" s="1001"/>
      <c r="J195" s="1001"/>
      <c r="K195" s="1001"/>
      <c r="L195" s="1001"/>
      <c r="M195" s="1001"/>
    </row>
    <row r="196" spans="2:15" s="234" customFormat="1" ht="13.2" x14ac:dyDescent="0.25">
      <c r="B196" s="313" t="str">
        <f>'5. PERSON'!B$7</f>
        <v xml:space="preserve">Amounts in: </v>
      </c>
      <c r="C196" s="672" t="str">
        <f>'5. PERSON'!C$7</f>
        <v>SEK</v>
      </c>
      <c r="D196" s="268"/>
      <c r="E196" s="268"/>
      <c r="F196" s="268"/>
      <c r="I196" s="270"/>
      <c r="J196" s="270"/>
      <c r="K196" s="270"/>
      <c r="L196" s="270"/>
      <c r="M196" s="270"/>
    </row>
    <row r="197" spans="2:15" s="234" customFormat="1" ht="13.2" x14ac:dyDescent="0.25">
      <c r="B197" s="313"/>
      <c r="C197" s="1053" t="str">
        <f>'3. PARTNER'!D$7</f>
        <v>Other basic data about the project is in sheet 2.</v>
      </c>
      <c r="D197" s="1001"/>
      <c r="E197" s="1001"/>
      <c r="F197" s="1001"/>
      <c r="I197" s="270"/>
      <c r="J197" s="270"/>
      <c r="K197" s="270"/>
      <c r="L197" s="251" t="s">
        <v>4</v>
      </c>
      <c r="M197" s="270"/>
    </row>
    <row r="198" spans="2:15" s="268" customFormat="1" ht="12.75" customHeight="1" x14ac:dyDescent="0.25">
      <c r="L198" s="252" t="str">
        <f>IF('1. INTRO'!I$2="English","months","månader")</f>
        <v>months</v>
      </c>
    </row>
    <row r="199" spans="2:15" s="234" customFormat="1" ht="13.8" x14ac:dyDescent="0.25">
      <c r="B199" s="678" t="str">
        <f>IF('1. INTRO'!I$2="English","Project costs","Projektkostnader")</f>
        <v>Project costs</v>
      </c>
      <c r="C199" s="678" t="str">
        <f>B18</f>
        <v>WP 4</v>
      </c>
      <c r="D199" s="234" t="str">
        <f>E18</f>
        <v/>
      </c>
      <c r="E199" s="268"/>
      <c r="G199" s="268"/>
      <c r="H199" s="268"/>
      <c r="I199" s="268"/>
      <c r="J199" s="268"/>
      <c r="K199" s="676"/>
      <c r="L199" s="899">
        <f>SUMIF('5. PERSON'!$D$17:$D$192,$C199,'5. PERSON'!AE$17:AE$192)</f>
        <v>0</v>
      </c>
      <c r="M199" s="680" t="s">
        <v>330</v>
      </c>
    </row>
    <row r="200" spans="2:15" s="234" customFormat="1" ht="6" customHeight="1" x14ac:dyDescent="0.25">
      <c r="B200" s="602"/>
      <c r="C200" s="268"/>
      <c r="D200" s="268"/>
      <c r="E200" s="268"/>
      <c r="F200" s="268"/>
      <c r="G200" s="268"/>
      <c r="H200" s="268"/>
      <c r="I200" s="268"/>
      <c r="J200" s="268"/>
      <c r="K200" s="268"/>
      <c r="L200" s="268"/>
      <c r="M200" s="268"/>
    </row>
    <row r="201" spans="2:15" s="234" customFormat="1" ht="13.2" x14ac:dyDescent="0.25">
      <c r="B201" s="110" t="str">
        <f>IF('1. INTRO'!I$2="English","Costs to be covered by funding body","Kostnader att täckas av finansiär")</f>
        <v>Costs to be covered by funding body</v>
      </c>
      <c r="C201" s="607">
        <f>'5. PERSON'!G$15</f>
        <v>1900</v>
      </c>
      <c r="D201" s="607" t="str">
        <f>'5. PERSON'!H$15</f>
        <v/>
      </c>
      <c r="E201" s="607" t="str">
        <f>'5. PERSON'!I$15</f>
        <v/>
      </c>
      <c r="F201" s="607" t="str">
        <f>'5. PERSON'!J$15</f>
        <v/>
      </c>
      <c r="G201" s="607" t="str">
        <f>'5. PERSON'!K$15</f>
        <v/>
      </c>
      <c r="H201" s="607" t="str">
        <f>'5. PERSON'!L$15</f>
        <v/>
      </c>
      <c r="I201" s="607" t="str">
        <f>'5. PERSON'!M$15</f>
        <v/>
      </c>
      <c r="J201" s="607" t="str">
        <f>'5. PERSON'!N$15</f>
        <v/>
      </c>
      <c r="K201" s="607" t="str">
        <f>'5. PERSON'!O$15</f>
        <v/>
      </c>
      <c r="L201" s="607" t="str">
        <f>'5. PERSON'!P$15</f>
        <v/>
      </c>
      <c r="M201" s="608" t="s">
        <v>2</v>
      </c>
    </row>
    <row r="202" spans="2:15" s="234" customFormat="1" ht="12.75" customHeight="1" x14ac:dyDescent="0.25">
      <c r="B202" s="902" t="str">
        <f>IF('1. INTRO'!I$2="English","Salary including social costs (LKP)","Lön inklusive LKP")</f>
        <v>Salary including social costs (LKP)</v>
      </c>
      <c r="C202" s="610">
        <f>IF('2. START'!$C$14&gt;0,SUMIF('5. PERSON'!$D$17:$D$192,$C199,'5. PERSON'!DN$17:DN$192),SUMIF('5. PERSON'!$D$17:$D$192,$C199,'5. PERSON'!AT$17:AT$192))</f>
        <v>0</v>
      </c>
      <c r="D202" s="610">
        <f>IF('2. START'!$C$14&gt;0,SUMIF('5. PERSON'!$D$17:$D$192,$C199,'5. PERSON'!DO$17:DO$192),SUMIF('5. PERSON'!$D$17:$D$192,$C199,'5. PERSON'!AU$17:AU$192))</f>
        <v>0</v>
      </c>
      <c r="E202" s="610">
        <f>IF('2. START'!$C$14&gt;0,SUMIF('5. PERSON'!$D$17:$D$192,$C199,'5. PERSON'!DP$17:DP$192),SUMIF('5. PERSON'!$D$17:$D$192,$C199,'5. PERSON'!AV$17:AV$192))</f>
        <v>0</v>
      </c>
      <c r="F202" s="610">
        <f>IF('2. START'!$C$14&gt;0,SUMIF('5. PERSON'!$D$17:$D$192,$C199,'5. PERSON'!DQ$17:DQ$192),SUMIF('5. PERSON'!$D$17:$D$192,$C199,'5. PERSON'!AW$17:AW$192))</f>
        <v>0</v>
      </c>
      <c r="G202" s="610">
        <f>IF('2. START'!$C$14&gt;0,SUMIF('5. PERSON'!$D$17:$D$192,$C199,'5. PERSON'!DR$17:DR$192),SUMIF('5. PERSON'!$D$17:$D$192,$C199,'5. PERSON'!AX$17:AX$192))</f>
        <v>0</v>
      </c>
      <c r="H202" s="610">
        <f>IF('2. START'!$C$14&gt;0,SUMIF('5. PERSON'!$D$17:$D$192,$C199,'5. PERSON'!DS$17:DS$192),SUMIF('5. PERSON'!$D$17:$D$192,$C199,'5. PERSON'!AY$17:AY$192))</f>
        <v>0</v>
      </c>
      <c r="I202" s="610">
        <f>IF('2. START'!$C$14&gt;0,SUMIF('5. PERSON'!$D$17:$D$192,$C199,'5. PERSON'!DT$17:DT$192),SUMIF('5. PERSON'!$D$17:$D$192,$C199,'5. PERSON'!AZ$17:AZ$192))</f>
        <v>0</v>
      </c>
      <c r="J202" s="610">
        <f>IF('2. START'!$C$14&gt;0,SUMIF('5. PERSON'!$D$17:$D$192,$C199,'5. PERSON'!DU$17:DU$192),SUMIF('5. PERSON'!$D$17:$D$192,$C199,'5. PERSON'!BA$17:BA$192))</f>
        <v>0</v>
      </c>
      <c r="K202" s="610">
        <f>IF('2. START'!$C$14&gt;0,SUMIF('5. PERSON'!$D$17:$D$192,$C199,'5. PERSON'!DV$17:DV$192),SUMIF('5. PERSON'!$D$17:$D$192,$C199,'5. PERSON'!BB$17:BB$192))</f>
        <v>0</v>
      </c>
      <c r="L202" s="610">
        <f>IF('2. START'!$C$14&gt;0,SUMIF('5. PERSON'!$D$17:$D$192,$C199,'5. PERSON'!DW$17:DW$192),SUMIF('5. PERSON'!$D$17:$D$192,$C199,'5. PERSON'!BC$17:BC$192))</f>
        <v>0</v>
      </c>
      <c r="M202" s="903">
        <f t="shared" ref="M202:M207" si="26">SUM(C202:L202)</f>
        <v>0</v>
      </c>
      <c r="O202" s="904"/>
    </row>
    <row r="203" spans="2:15" s="234" customFormat="1" ht="12.75" customHeight="1" x14ac:dyDescent="0.25">
      <c r="B203" s="377" t="str">
        <f>IF('1. INTRO'!I$2="English","Operating","Drift")</f>
        <v>Operating</v>
      </c>
      <c r="C203" s="615">
        <f>SUMIF('6. OPERATION'!$D$17:$D$149,$C199,'6. OPERATION'!W$17:W$149)</f>
        <v>0</v>
      </c>
      <c r="D203" s="615">
        <f>SUMIF('6. OPERATION'!$D$17:$D$149,$C199,'6. OPERATION'!X$17:X$149)</f>
        <v>0</v>
      </c>
      <c r="E203" s="615">
        <f>SUMIF('6. OPERATION'!$D$17:$D$149,$C199,'6. OPERATION'!Y$17:Y$149)</f>
        <v>0</v>
      </c>
      <c r="F203" s="615">
        <f>SUMIF('6. OPERATION'!$D$17:$D$149,$C199,'6. OPERATION'!Z$17:Z$149)</f>
        <v>0</v>
      </c>
      <c r="G203" s="615">
        <f>SUMIF('6. OPERATION'!$D$17:$D$149,$C199,'6. OPERATION'!AA$17:AA$149)</f>
        <v>0</v>
      </c>
      <c r="H203" s="615">
        <f>SUMIF('6. OPERATION'!$D$17:$D$149,$C199,'6. OPERATION'!AB$17:AB$149)</f>
        <v>0</v>
      </c>
      <c r="I203" s="615">
        <f>SUMIF('6. OPERATION'!$D$17:$D$149,$C199,'6. OPERATION'!AC$17:AC$149)</f>
        <v>0</v>
      </c>
      <c r="J203" s="615">
        <f>SUMIF('6. OPERATION'!$D$17:$D$149,$C199,'6. OPERATION'!AD$17:AD$149)</f>
        <v>0</v>
      </c>
      <c r="K203" s="615">
        <f>SUMIF('6. OPERATION'!$D$17:$D$149,$C199,'6. OPERATION'!AE$17:AE$149)</f>
        <v>0</v>
      </c>
      <c r="L203" s="615">
        <f>SUMIF('6. OPERATION'!$D$17:$D$149,$C199,'6. OPERATION'!AF$17:AF$149)</f>
        <v>0</v>
      </c>
      <c r="M203" s="905">
        <f t="shared" si="26"/>
        <v>0</v>
      </c>
    </row>
    <row r="204" spans="2:15" s="234" customFormat="1" ht="13.2" x14ac:dyDescent="0.25">
      <c r="B204" s="906" t="str">
        <f>IF('1. INTRO'!I$2="English","Equipment","Utrustning")</f>
        <v>Equipment</v>
      </c>
      <c r="C204" s="620">
        <f>SUMIF('7. INVEST'!$D$17:$D$49,$C199,'7. INVEST'!W$17:W$49)</f>
        <v>0</v>
      </c>
      <c r="D204" s="620">
        <f>SUMIF('7. INVEST'!$D$17:$D$49,$C199,'7. INVEST'!X$17:X$49)</f>
        <v>0</v>
      </c>
      <c r="E204" s="620">
        <f>SUMIF('7. INVEST'!$D$17:$D$49,$C199,'7. INVEST'!Y$17:Y$49)</f>
        <v>0</v>
      </c>
      <c r="F204" s="620">
        <f>SUMIF('7. INVEST'!$D$17:$D$49,$C199,'7. INVEST'!Z$17:Z$49)</f>
        <v>0</v>
      </c>
      <c r="G204" s="620">
        <f>SUMIF('7. INVEST'!$D$17:$D$49,$C199,'7. INVEST'!AA$17:AA$49)</f>
        <v>0</v>
      </c>
      <c r="H204" s="620">
        <f>SUMIF('7. INVEST'!$D$17:$D$49,$C199,'7. INVEST'!AB$17:AB$49)</f>
        <v>0</v>
      </c>
      <c r="I204" s="620">
        <f>SUMIF('7. INVEST'!$D$17:$D$49,$C199,'7. INVEST'!AC$17:AC$49)</f>
        <v>0</v>
      </c>
      <c r="J204" s="620">
        <f>SUMIF('7. INVEST'!$D$17:$D$49,$C199,'7. INVEST'!AD$17:AD$49)</f>
        <v>0</v>
      </c>
      <c r="K204" s="620">
        <f>SUMIF('7. INVEST'!$D$17:$D$49,$C199,'7. INVEST'!AE$17:AE$49)</f>
        <v>0</v>
      </c>
      <c r="L204" s="620">
        <f>SUMIF('7. INVEST'!$D$17:$D$49,$C199,'7. INVEST'!AF$17:AF$49)</f>
        <v>0</v>
      </c>
      <c r="M204" s="907">
        <f t="shared" si="26"/>
        <v>0</v>
      </c>
    </row>
    <row r="205" spans="2:15" s="234" customFormat="1" ht="13.2" x14ac:dyDescent="0.25">
      <c r="B205" s="121" t="str">
        <f>IF('1. INTRO'!I$2="English",(IF('2. START'!C$11="NO","Facility accepted as direct cost by funding body","Facility")),IF('2. START'!C$11="NO","Lokal accepterad som direkt kostnad av finansiär","Lokal"))</f>
        <v>Facility</v>
      </c>
      <c r="C205" s="615">
        <f>IF('2. START'!$C$11="NO",SUMIF('8. FACILIT'!$D$18:$D$50,$C199,'8. FACILIT'!T$18:T$50),SUMIF('5. PERSON'!$D$17:$D$192,$C199,'5. PERSON'!CP$17:CP$192)+SUMIF('6. OPERATION'!$D$17:$D$149,$C199,'6. OPERATION'!BS$17:BS$149)+SUMIF('8. FACILIT'!$D$18:$D$50,$C199,'8. FACILIT'!T$18:T$50))</f>
        <v>0</v>
      </c>
      <c r="D205" s="615">
        <f>IF('2. START'!$C$11="NO",SUMIF('8. FACILIT'!$D$18:$D$50,$C199,'8. FACILIT'!U$18:U$50),SUMIF('5. PERSON'!$D$17:$D$192,$C199,'5. PERSON'!CQ$17:CQ$192)+SUMIF('6. OPERATION'!$D$17:$D$149,$C199,'6. OPERATION'!BT$17:BT$149)+SUMIF('8. FACILIT'!$D$18:$D$50,$C199,'8. FACILIT'!U$18:U$50))</f>
        <v>0</v>
      </c>
      <c r="E205" s="615">
        <f>IF('2. START'!$C$11="NO",SUMIF('8. FACILIT'!$D$18:$D$50,$C199,'8. FACILIT'!V$18:V$50),SUMIF('5. PERSON'!$D$17:$D$192,$C199,'5. PERSON'!CR$17:CR$192)+SUMIF('6. OPERATION'!$D$17:$D$149,$C199,'6. OPERATION'!BU$17:BU$149)+SUMIF('8. FACILIT'!$D$18:$D$50,$C199,'8. FACILIT'!V$18:V$50))</f>
        <v>0</v>
      </c>
      <c r="F205" s="615">
        <f>IF('2. START'!$C$11="NO",SUMIF('8. FACILIT'!$D$18:$D$50,$C199,'8. FACILIT'!W$18:W$50),SUMIF('5. PERSON'!$D$17:$D$192,$C199,'5. PERSON'!CS$17:CS$192)+SUMIF('6. OPERATION'!$D$17:$D$149,$C199,'6. OPERATION'!BV$17:BV$149)+SUMIF('8. FACILIT'!$D$18:$D$50,$C199,'8. FACILIT'!W$18:W$50))</f>
        <v>0</v>
      </c>
      <c r="G205" s="615">
        <f>IF('2. START'!$C$11="NO",SUMIF('8. FACILIT'!$D$18:$D$50,$C199,'8. FACILIT'!X$18:X$50),SUMIF('5. PERSON'!$D$17:$D$192,$C199,'5. PERSON'!CT$17:CT$192)+SUMIF('6. OPERATION'!$D$17:$D$149,$C199,'6. OPERATION'!BW$17:BW$149)+SUMIF('8. FACILIT'!$D$18:$D$50,$C199,'8. FACILIT'!X$18:X$50))</f>
        <v>0</v>
      </c>
      <c r="H205" s="615">
        <f>IF('2. START'!$C$11="NO",SUMIF('8. FACILIT'!$D$18:$D$50,$C199,'8. FACILIT'!Y$18:Y$50),SUMIF('5. PERSON'!$D$17:$D$192,$C199,'5. PERSON'!CU$17:CU$192)+SUMIF('6. OPERATION'!$D$17:$D$149,$C199,'6. OPERATION'!BX$17:BX$149)+SUMIF('8. FACILIT'!$D$18:$D$50,$C199,'8. FACILIT'!Y$18:Y$50))</f>
        <v>0</v>
      </c>
      <c r="I205" s="615">
        <f>IF('2. START'!$C$11="NO",SUMIF('8. FACILIT'!$D$18:$D$50,$C199,'8. FACILIT'!Z$18:Z$50),SUMIF('5. PERSON'!$D$17:$D$192,$C199,'5. PERSON'!CV$17:CV$192)+SUMIF('6. OPERATION'!$D$17:$D$149,$C199,'6. OPERATION'!BY$17:BY$149)+SUMIF('8. FACILIT'!$D$18:$D$50,$C199,'8. FACILIT'!Z$18:Z$50))</f>
        <v>0</v>
      </c>
      <c r="J205" s="615">
        <f>IF('2. START'!$C$11="NO",SUMIF('8. FACILIT'!$D$18:$D$50,$C199,'8. FACILIT'!AA$18:AA$50),SUMIF('5. PERSON'!$D$17:$D$192,$C199,'5. PERSON'!CW$17:CW$192)+SUMIF('6. OPERATION'!$D$17:$D$149,$C199,'6. OPERATION'!BZ$17:BZ$149)+SUMIF('8. FACILIT'!$D$18:$D$50,$C199,'8. FACILIT'!AA$18:AA$50))</f>
        <v>0</v>
      </c>
      <c r="K205" s="615">
        <f>IF('2. START'!$C$11="NO",SUMIF('8. FACILIT'!$D$18:$D$50,$C199,'8. FACILIT'!AB$18:AB$50),SUMIF('5. PERSON'!$D$17:$D$192,$C199,'5. PERSON'!CX$17:CX$192)+SUMIF('6. OPERATION'!$D$17:$D$149,$C199,'6. OPERATION'!CA$17:CA$149)+SUMIF('8. FACILIT'!$D$18:$D$50,$C199,'8. FACILIT'!AB$18:AB$50))</f>
        <v>0</v>
      </c>
      <c r="L205" s="615">
        <f>IF('2. START'!$C$11="NO",SUMIF('8. FACILIT'!$D$18:$D$50,$C199,'8. FACILIT'!AC$18:AC$50),SUMIF('5. PERSON'!$D$17:$D$192,$C199,'5. PERSON'!CY$17:CY$192)+SUMIF('6. OPERATION'!$D$17:$D$149,$C199,'6. OPERATION'!CB$17:CB$149)+SUMIF('8. FACILIT'!$D$18:$D$50,$C199,'8. FACILIT'!AC$18:AC$50))</f>
        <v>0</v>
      </c>
      <c r="M205" s="905">
        <f t="shared" si="26"/>
        <v>0</v>
      </c>
    </row>
    <row r="206" spans="2:15" s="234" customFormat="1" ht="13.2" x14ac:dyDescent="0.25">
      <c r="B206" s="122" t="str">
        <f>IF('1. INTRO'!I$2="English",(IF('2. START'!C$11="NO","Indirect and facility charge accepted as OH by funding body","Indirect")),IF('2. START'!C$11="NO","Indirekt och lokalpåslag accepterade som OH av finansiär","Indirekt"))</f>
        <v>Indirect</v>
      </c>
      <c r="C206" s="584">
        <f>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584">
        <f>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584">
        <f>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584">
        <f>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584">
        <f>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584">
        <f>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584">
        <f>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584">
        <f>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584">
        <f>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584">
        <f>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908">
        <f t="shared" si="26"/>
        <v>0</v>
      </c>
    </row>
    <row r="207" spans="2:15" s="234" customFormat="1" ht="13.2" x14ac:dyDescent="0.25">
      <c r="B207" s="628" t="s">
        <v>113</v>
      </c>
      <c r="C207" s="443">
        <f>SUM(C202:C206)</f>
        <v>0</v>
      </c>
      <c r="D207" s="443">
        <f t="shared" ref="D207:L207" si="27">SUM(D202:D206)</f>
        <v>0</v>
      </c>
      <c r="E207" s="443">
        <f t="shared" si="27"/>
        <v>0</v>
      </c>
      <c r="F207" s="443">
        <f t="shared" si="27"/>
        <v>0</v>
      </c>
      <c r="G207" s="443">
        <f t="shared" si="27"/>
        <v>0</v>
      </c>
      <c r="H207" s="443">
        <f t="shared" si="27"/>
        <v>0</v>
      </c>
      <c r="I207" s="443">
        <f t="shared" si="27"/>
        <v>0</v>
      </c>
      <c r="J207" s="443">
        <f t="shared" si="27"/>
        <v>0</v>
      </c>
      <c r="K207" s="443">
        <f t="shared" si="27"/>
        <v>0</v>
      </c>
      <c r="L207" s="443">
        <f t="shared" si="27"/>
        <v>0</v>
      </c>
      <c r="M207" s="630">
        <f t="shared" si="26"/>
        <v>0</v>
      </c>
    </row>
    <row r="208" spans="2:15" s="234" customFormat="1" ht="6" customHeight="1" x14ac:dyDescent="0.25">
      <c r="B208" s="909"/>
      <c r="C208" s="127"/>
      <c r="D208" s="127"/>
      <c r="E208" s="127"/>
      <c r="F208" s="127"/>
      <c r="G208" s="127"/>
      <c r="H208" s="127"/>
      <c r="I208" s="127"/>
      <c r="J208" s="127"/>
      <c r="K208" s="127"/>
      <c r="L208" s="127"/>
      <c r="M208" s="633"/>
    </row>
    <row r="209" spans="2:15" s="234" customFormat="1" ht="13.2" x14ac:dyDescent="0.25">
      <c r="B209" s="129" t="str">
        <f>IF('1. INTRO'!I$2="English","Costs to be co-funded","Kostnader att medfinansiera")</f>
        <v>Costs to be co-funded</v>
      </c>
      <c r="C209" s="634"/>
      <c r="D209" s="634"/>
      <c r="E209" s="634"/>
      <c r="F209" s="634"/>
      <c r="G209" s="634"/>
      <c r="H209" s="634"/>
      <c r="I209" s="634"/>
      <c r="J209" s="634"/>
      <c r="K209" s="634"/>
      <c r="L209" s="634"/>
      <c r="M209" s="129"/>
    </row>
    <row r="210" spans="2:15" s="234" customFormat="1" ht="13.2" x14ac:dyDescent="0.25">
      <c r="B210" s="159" t="str">
        <f>IF('1. INTRO'!I$2="English",(IF('2. START'!C$11="NO","Indirect and facility charge not accepted as OH by funding body","")),IF('2. START'!C$11="NO","Indirekt och lokalpåslag inte accepterade som OH av finansiär",""))</f>
        <v/>
      </c>
      <c r="C210" s="910">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910">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910">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910">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910">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910">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910">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910">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910">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910">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903">
        <f t="shared" ref="M210:M216" si="28">SUM(C210:L210)</f>
        <v>0</v>
      </c>
    </row>
    <row r="211" spans="2:15" s="234" customFormat="1" ht="12.75" customHeight="1" x14ac:dyDescent="0.25">
      <c r="B211" s="132" t="str">
        <f>IF('1. INTRO'!I$2="English",(IF('2. START'!C$14&gt;0,"Social costs (LKP) not accepted by funding body","")),IF('2. START'!C$14&gt;0,"LKP som inte accepteras av finansiär",""))</f>
        <v/>
      </c>
      <c r="C211" s="911">
        <f>IF('2. START'!$C$14&gt;0,SUMIF('5. PERSON'!$D$17:$D$192,$C199,'5. PERSON'!AT$17:AT$192)-SUMIF('5. PERSON'!$D$17:$D$192,$C199,'5. PERSON'!DN$17:DN$192),0)</f>
        <v>0</v>
      </c>
      <c r="D211" s="911">
        <f>IF('2. START'!$C$14&gt;0,SUMIF('5. PERSON'!$D$17:$D$192,$C199,'5. PERSON'!AU$17:AU$192)-SUMIF('5. PERSON'!$D$17:$D$192,$C199,'5. PERSON'!DO$17:DO$192),0)</f>
        <v>0</v>
      </c>
      <c r="E211" s="911">
        <f>IF('2. START'!$C$14&gt;0,SUMIF('5. PERSON'!$D$17:$D$192,$C199,'5. PERSON'!AV$17:AV$192)-SUMIF('5. PERSON'!$D$17:$D$192,$C199,'5. PERSON'!DP$17:DP$192),0)</f>
        <v>0</v>
      </c>
      <c r="F211" s="911">
        <f>IF('2. START'!$C$14&gt;0,SUMIF('5. PERSON'!$D$17:$D$192,$C199,'5. PERSON'!AW$17:AW$192)-SUMIF('5. PERSON'!$D$17:$D$192,$C199,'5. PERSON'!DQ$17:DQ$192),0)</f>
        <v>0</v>
      </c>
      <c r="G211" s="911">
        <f>IF('2. START'!$C$14&gt;0,SUMIF('5. PERSON'!$D$17:$D$192,$C199,'5. PERSON'!AX$17:AX$192)-SUMIF('5. PERSON'!$D$17:$D$192,$C199,'5. PERSON'!DR$17:DR$192),0)</f>
        <v>0</v>
      </c>
      <c r="H211" s="911">
        <f>IF('2. START'!$C$14&gt;0,SUMIF('5. PERSON'!$D$17:$D$192,$C199,'5. PERSON'!AY$17:AY$192)-SUMIF('5. PERSON'!$D$17:$D$192,$C199,'5. PERSON'!DS$17:DS$192),0)</f>
        <v>0</v>
      </c>
      <c r="I211" s="911">
        <f>IF('2. START'!$C$14&gt;0,SUMIF('5. PERSON'!$D$17:$D$192,$C199,'5. PERSON'!AZ$17:AZ$192)-SUMIF('5. PERSON'!$D$17:$D$192,$C199,'5. PERSON'!DT$17:DT$192),0)</f>
        <v>0</v>
      </c>
      <c r="J211" s="911">
        <f>IF('2. START'!$C$14&gt;0,SUMIF('5. PERSON'!$D$17:$D$192,$C199,'5. PERSON'!BA$17:BA$192)-SUMIF('5. PERSON'!$D$17:$D$192,$C199,'5. PERSON'!DU$17:DU$192),0)</f>
        <v>0</v>
      </c>
      <c r="K211" s="911">
        <f>IF('2. START'!$C$14&gt;0,SUMIF('5. PERSON'!$D$17:$D$192,$C199,'5. PERSON'!BB$17:BB$192)-SUMIF('5. PERSON'!$D$17:$D$192,$C199,'5. PERSON'!DV$17:DV$192),0)</f>
        <v>0</v>
      </c>
      <c r="L211" s="911">
        <f>IF('2. START'!$C$14&gt;0,SUMIF('5. PERSON'!$D$17:$D$192,$C199,'5. PERSON'!BC$17:BC$192)-SUMIF('5. PERSON'!$D$17:$D$192,$C199,'5. PERSON'!DW$17:DW$192),0)</f>
        <v>0</v>
      </c>
      <c r="M211" s="905">
        <f t="shared" si="28"/>
        <v>0</v>
      </c>
    </row>
    <row r="212" spans="2:15" s="234" customFormat="1" ht="12.75" customHeight="1" x14ac:dyDescent="0.25">
      <c r="B212" s="906" t="str">
        <f>IF('1. INTRO'!I$2="English",(IF('5. PERSON'!BP$193&gt;0,"Salary including social costs (LKP)","")),IF('5. PERSON'!BP$193&gt;0,"Lön inklusive LKP",""))</f>
        <v/>
      </c>
      <c r="C212" s="622">
        <f>SUMIF('5. PERSON'!$D$17:$D$192,$C199,'5. PERSON'!BF$17:BF$192)</f>
        <v>0</v>
      </c>
      <c r="D212" s="622">
        <f>SUMIF('5. PERSON'!$D$17:$D$192,$C199,'5. PERSON'!BG$17:BG$192)</f>
        <v>0</v>
      </c>
      <c r="E212" s="622">
        <f>SUMIF('5. PERSON'!$D$17:$D$192,$C199,'5. PERSON'!BH$17:BH$192)</f>
        <v>0</v>
      </c>
      <c r="F212" s="622">
        <f>SUMIF('5. PERSON'!$D$17:$D$192,$C199,'5. PERSON'!BI$17:BI$192)</f>
        <v>0</v>
      </c>
      <c r="G212" s="622">
        <f>SUMIF('5. PERSON'!$D$17:$D$192,$C199,'5. PERSON'!BJ$17:BJ$192)</f>
        <v>0</v>
      </c>
      <c r="H212" s="622">
        <f>SUMIF('5. PERSON'!$D$17:$D$192,$C199,'5. PERSON'!BK$17:BK$192)</f>
        <v>0</v>
      </c>
      <c r="I212" s="622">
        <f>SUMIF('5. PERSON'!$D$17:$D$192,$C199,'5. PERSON'!BL$17:BL$192)</f>
        <v>0</v>
      </c>
      <c r="J212" s="622">
        <f>SUMIF('5. PERSON'!$D$17:$D$192,$C199,'5. PERSON'!BM$17:BM$192)</f>
        <v>0</v>
      </c>
      <c r="K212" s="622">
        <f>SUMIF('5. PERSON'!$D$17:$D$192,$C199,'5. PERSON'!BN$17:BN$192)</f>
        <v>0</v>
      </c>
      <c r="L212" s="622">
        <f>SUMIF('5. PERSON'!$D$17:$D$192,$C199,'5. PERSON'!BO$17:BO$192)</f>
        <v>0</v>
      </c>
      <c r="M212" s="907">
        <f t="shared" si="28"/>
        <v>0</v>
      </c>
    </row>
    <row r="213" spans="2:15" s="234" customFormat="1" ht="13.2" x14ac:dyDescent="0.25">
      <c r="B213" s="377" t="str">
        <f>IF('1. INTRO'!I$2="English",(IF('6. OPERATION'!AS$150&gt;0,"Operating","")),IF('6. OPERATION'!AS$150&gt;0,"Drift",""))</f>
        <v/>
      </c>
      <c r="C213" s="617">
        <f>SUMIF('6. OPERATION'!$D$17:$D$149,$C199,'6. OPERATION'!AI$17:AI$149)</f>
        <v>0</v>
      </c>
      <c r="D213" s="617">
        <f>SUMIF('6. OPERATION'!$D$17:$D$149,$C199,'6. OPERATION'!AJ$17:AJ$149)</f>
        <v>0</v>
      </c>
      <c r="E213" s="617">
        <f>SUMIF('6. OPERATION'!$D$17:$D$149,$C199,'6. OPERATION'!AK$17:AK$149)</f>
        <v>0</v>
      </c>
      <c r="F213" s="617">
        <f>SUMIF('6. OPERATION'!$D$17:$D$149,$C199,'6. OPERATION'!AL$17:AL$149)</f>
        <v>0</v>
      </c>
      <c r="G213" s="617">
        <f>SUMIF('6. OPERATION'!$D$17:$D$149,$C199,'6. OPERATION'!AM$17:AM$149)</f>
        <v>0</v>
      </c>
      <c r="H213" s="617">
        <f>SUMIF('6. OPERATION'!$D$17:$D$149,$C199,'6. OPERATION'!AN$17:AN$149)</f>
        <v>0</v>
      </c>
      <c r="I213" s="617">
        <f>SUMIF('6. OPERATION'!$D$17:$D$149,$C199,'6. OPERATION'!AO$17:AO$149)</f>
        <v>0</v>
      </c>
      <c r="J213" s="617">
        <f>SUMIF('6. OPERATION'!$D$17:$D$149,$C199,'6. OPERATION'!AP$17:AP$149)</f>
        <v>0</v>
      </c>
      <c r="K213" s="617">
        <f>SUMIF('6. OPERATION'!$D$17:$D$149,$C199,'6. OPERATION'!AQ$17:AQ$149)</f>
        <v>0</v>
      </c>
      <c r="L213" s="617">
        <f>SUMIF('6. OPERATION'!$D$17:$D$149,$C199,'6. OPERATION'!AR$17:AR$149)</f>
        <v>0</v>
      </c>
      <c r="M213" s="905">
        <f t="shared" si="28"/>
        <v>0</v>
      </c>
    </row>
    <row r="214" spans="2:15" s="234" customFormat="1" ht="13.2" x14ac:dyDescent="0.25">
      <c r="B214" s="906" t="str">
        <f>IF('1. INTRO'!I$2="English",(IF('7. INVEST'!AS$50&gt;0,"Equipment","")),IF('7. INVEST'!AS$50&gt;0,"Utrustning",""))</f>
        <v/>
      </c>
      <c r="C214" s="622">
        <f>SUMIF('7. INVEST'!$D$17:$D$49,$C199,'7. INVEST'!AI$17:AI$49)</f>
        <v>0</v>
      </c>
      <c r="D214" s="622">
        <f>SUMIF('7. INVEST'!$D$17:$D$49,$C199,'7. INVEST'!AJ$17:AJ$49)</f>
        <v>0</v>
      </c>
      <c r="E214" s="622">
        <f>SUMIF('7. INVEST'!$D$17:$D$49,$C199,'7. INVEST'!AK$17:AK$49)</f>
        <v>0</v>
      </c>
      <c r="F214" s="622">
        <f>SUMIF('7. INVEST'!$D$17:$D$49,$C199,'7. INVEST'!AL$17:AL$49)</f>
        <v>0</v>
      </c>
      <c r="G214" s="622">
        <f>SUMIF('7. INVEST'!$D$17:$D$49,$C199,'7. INVEST'!AM$17:AM$49)</f>
        <v>0</v>
      </c>
      <c r="H214" s="622">
        <f>SUMIF('7. INVEST'!$D$17:$D$49,$C199,'7. INVEST'!AN$17:AN$49)</f>
        <v>0</v>
      </c>
      <c r="I214" s="622">
        <f>SUMIF('7. INVEST'!$D$17:$D$49,$C199,'7. INVEST'!AO$17:AO$49)</f>
        <v>0</v>
      </c>
      <c r="J214" s="622">
        <f>SUMIF('7. INVEST'!$D$17:$D$49,$C199,'7. INVEST'!AP$17:AP$49)</f>
        <v>0</v>
      </c>
      <c r="K214" s="622">
        <f>SUMIF('7. INVEST'!$D$17:$D$49,$C199,'7. INVEST'!AQ$17:AQ$49)</f>
        <v>0</v>
      </c>
      <c r="L214" s="622">
        <f>SUMIF('7. INVEST'!$D$17:$D$49,$C199,'7. INVEST'!AR$17:AR$49)</f>
        <v>0</v>
      </c>
      <c r="M214" s="907">
        <f t="shared" si="28"/>
        <v>0</v>
      </c>
    </row>
    <row r="215" spans="2:15" s="234" customFormat="1" ht="13.2" x14ac:dyDescent="0.25">
      <c r="B215" s="121" t="str">
        <f>IF('1. INTRO'!I$2="English",(IF('8. FACILIT'!AP$51&gt;0,"Facility","")),IF('8. FACILIT'!AP$51&gt;0,"Lokal",""))</f>
        <v/>
      </c>
      <c r="C215" s="617">
        <f>SUMIF('5. PERSON'!$D$17:$D$192,$C199,'5. PERSON'!DB$17:DB$192)+SUMIF('6. OPERATION'!$D$17:$D$149,$C199,'6. OPERATION'!CE$17:CE$149)+SUMIF('8. FACILIT'!$D$18:$D$50,$C199,'8. FACILIT'!AF$18:AF$50)</f>
        <v>0</v>
      </c>
      <c r="D215" s="617">
        <f>SUMIF('5. PERSON'!$D$17:$D$192,$C199,'5. PERSON'!DC$17:DC$192)+SUMIF('6. OPERATION'!$D$17:$D$149,$C199,'6. OPERATION'!CF$17:CF$149)+SUMIF('8. FACILIT'!$D$18:$D$50,$C199,'8. FACILIT'!AG$18:AG$50)</f>
        <v>0</v>
      </c>
      <c r="E215" s="617">
        <f>SUMIF('5. PERSON'!$D$17:$D$192,$C199,'5. PERSON'!DD$17:DD$192)+SUMIF('6. OPERATION'!$D$17:$D$149,$C199,'6. OPERATION'!CG$17:CG$149)+SUMIF('8. FACILIT'!$D$18:$D$50,$C199,'8. FACILIT'!AH$18:AH$50)</f>
        <v>0</v>
      </c>
      <c r="F215" s="617">
        <f>SUMIF('5. PERSON'!$D$17:$D$192,$C199,'5. PERSON'!DE$17:DE$192)+SUMIF('6. OPERATION'!$D$17:$D$149,$C199,'6. OPERATION'!CH$17:CH$149)+SUMIF('8. FACILIT'!$D$18:$D$50,$C199,'8. FACILIT'!AI$18:AI$50)</f>
        <v>0</v>
      </c>
      <c r="G215" s="617">
        <f>SUMIF('5. PERSON'!$D$17:$D$192,$C199,'5. PERSON'!DF$17:DF$192)+SUMIF('6. OPERATION'!$D$17:$D$149,$C199,'6. OPERATION'!CI$17:CI$149)+SUMIF('8. FACILIT'!$D$18:$D$50,$C199,'8. FACILIT'!AJ$18:AJ$50)</f>
        <v>0</v>
      </c>
      <c r="H215" s="617">
        <f>SUMIF('5. PERSON'!$D$17:$D$192,$C199,'5. PERSON'!DG$17:DG$192)+SUMIF('6. OPERATION'!$D$17:$D$149,$C199,'6. OPERATION'!CJ$17:CJ$149)+SUMIF('8. FACILIT'!$D$18:$D$50,$C199,'8. FACILIT'!AK$18:AK$50)</f>
        <v>0</v>
      </c>
      <c r="I215" s="617">
        <f>SUMIF('5. PERSON'!$D$17:$D$192,$C199,'5. PERSON'!DH$17:DH$192)+SUMIF('6. OPERATION'!$D$17:$D$149,$C199,'6. OPERATION'!CK$17:CK$149)+SUMIF('8. FACILIT'!$D$18:$D$50,$C199,'8. FACILIT'!AL$18:AL$50)</f>
        <v>0</v>
      </c>
      <c r="J215" s="617">
        <f>SUMIF('5. PERSON'!$D$17:$D$192,$C199,'5. PERSON'!DI$17:DI$192)+SUMIF('6. OPERATION'!$D$17:$D$149,$C199,'6. OPERATION'!CL$17:CL$149)+SUMIF('8. FACILIT'!$D$18:$D$50,$C199,'8. FACILIT'!AM$18:AM$50)</f>
        <v>0</v>
      </c>
      <c r="K215" s="617">
        <f>SUMIF('5. PERSON'!$D$17:$D$192,$C199,'5. PERSON'!DJ$17:DJ$192)+SUMIF('6. OPERATION'!$D$17:$D$149,$C199,'6. OPERATION'!CM$17:CM$149)+SUMIF('8. FACILIT'!$D$18:$D$50,$C199,'8. FACILIT'!AN$18:AN$50)</f>
        <v>0</v>
      </c>
      <c r="L215" s="617">
        <f>SUMIF('5. PERSON'!$D$17:$D$192,$C199,'5. PERSON'!DK$17:DK$192)+SUMIF('6. OPERATION'!$D$17:$D$149,$C199,'6. OPERATION'!CN$17:CN$149)+SUMIF('8. FACILIT'!$D$18:$D$50,$C199,'8. FACILIT'!AO$18:AO$50)</f>
        <v>0</v>
      </c>
      <c r="M215" s="905">
        <f t="shared" si="28"/>
        <v>0</v>
      </c>
    </row>
    <row r="216" spans="2:15" s="912" customFormat="1" ht="13.2" x14ac:dyDescent="0.25">
      <c r="B216" s="122" t="str">
        <f>IF('1. INTRO'!I$2="English",(IF(('5. PERSON'!CN$193+'6. OPERATION'!BQ$150)&gt;0,"Indirect","")),IF(('5. PERSON'!CN$193+'6. OPERATION'!BQ$150)&gt;0,"Indirekt",""))</f>
        <v/>
      </c>
      <c r="C216" s="584">
        <f>SUMIF('5. PERSON'!$D$17:$D$192,$C199,'5. PERSON'!CD$17:CD$192)+SUMIF('6. OPERATION'!$D$17:$D$149,$C199,'6. OPERATION'!BG$17:BG$149)</f>
        <v>0</v>
      </c>
      <c r="D216" s="584">
        <f>SUMIF('5. PERSON'!$D$17:$D$192,$C199,'5. PERSON'!CE$17:CE$192)+SUMIF('6. OPERATION'!$D$17:$D$149,$C199,'6. OPERATION'!BH$17:BH$149)</f>
        <v>0</v>
      </c>
      <c r="E216" s="584">
        <f>SUMIF('5. PERSON'!$D$17:$D$192,$C199,'5. PERSON'!CF$17:CF$192)+SUMIF('6. OPERATION'!$D$17:$D$149,$C199,'6. OPERATION'!BI$17:BI$149)</f>
        <v>0</v>
      </c>
      <c r="F216" s="584">
        <f>SUMIF('5. PERSON'!$D$17:$D$192,$C199,'5. PERSON'!CG$17:CG$192)+SUMIF('6. OPERATION'!$D$17:$D$149,$C199,'6. OPERATION'!BJ$17:BJ$149)</f>
        <v>0</v>
      </c>
      <c r="G216" s="584">
        <f>SUMIF('5. PERSON'!$D$17:$D$192,$C199,'5. PERSON'!CH$17:CH$192)+SUMIF('6. OPERATION'!$D$17:$D$149,$C199,'6. OPERATION'!BK$17:BK$149)</f>
        <v>0</v>
      </c>
      <c r="H216" s="584">
        <f>SUMIF('5. PERSON'!$D$17:$D$192,$C199,'5. PERSON'!CI$17:CI$192)+SUMIF('6. OPERATION'!$D$17:$D$149,$C199,'6. OPERATION'!BL$17:BL$149)</f>
        <v>0</v>
      </c>
      <c r="I216" s="584">
        <f>SUMIF('5. PERSON'!$D$17:$D$192,$C199,'5. PERSON'!CJ$17:CJ$192)+SUMIF('6. OPERATION'!$D$17:$D$149,$C199,'6. OPERATION'!BM$17:BM$149)</f>
        <v>0</v>
      </c>
      <c r="J216" s="584">
        <f>SUMIF('5. PERSON'!$D$17:$D$192,$C199,'5. PERSON'!CK$17:CK$192)+SUMIF('6. OPERATION'!$D$17:$D$149,$C199,'6. OPERATION'!BN$17:BN$149)</f>
        <v>0</v>
      </c>
      <c r="K216" s="584">
        <f>SUMIF('5. PERSON'!$D$17:$D$192,$C199,'5. PERSON'!CL$17:CL$192)+SUMIF('6. OPERATION'!$D$17:$D$149,$C199,'6. OPERATION'!BO$17:BO$149)</f>
        <v>0</v>
      </c>
      <c r="L216" s="584">
        <f>SUMIF('5. PERSON'!$D$17:$D$192,$C199,'5. PERSON'!CM$17:CM$192)+SUMIF('6. OPERATION'!$D$17:$D$149,$C199,'6. OPERATION'!BP$17:BP$149)</f>
        <v>0</v>
      </c>
      <c r="M216" s="908">
        <f t="shared" si="28"/>
        <v>0</v>
      </c>
    </row>
    <row r="217" spans="2:15" s="234" customFormat="1" ht="13.2" x14ac:dyDescent="0.25">
      <c r="B217" s="628" t="s">
        <v>113</v>
      </c>
      <c r="C217" s="443">
        <f>SUM(C210:C216)</f>
        <v>0</v>
      </c>
      <c r="D217" s="443">
        <f t="shared" ref="D217:M217" si="29">SUM(D210:D216)</f>
        <v>0</v>
      </c>
      <c r="E217" s="443">
        <f t="shared" si="29"/>
        <v>0</v>
      </c>
      <c r="F217" s="443">
        <f t="shared" si="29"/>
        <v>0</v>
      </c>
      <c r="G217" s="443">
        <f t="shared" si="29"/>
        <v>0</v>
      </c>
      <c r="H217" s="443">
        <f t="shared" si="29"/>
        <v>0</v>
      </c>
      <c r="I217" s="443">
        <f t="shared" si="29"/>
        <v>0</v>
      </c>
      <c r="J217" s="443">
        <f t="shared" si="29"/>
        <v>0</v>
      </c>
      <c r="K217" s="443">
        <f t="shared" si="29"/>
        <v>0</v>
      </c>
      <c r="L217" s="443">
        <f t="shared" si="29"/>
        <v>0</v>
      </c>
      <c r="M217" s="630">
        <f t="shared" si="29"/>
        <v>0</v>
      </c>
      <c r="N217" s="913"/>
      <c r="O217" s="913"/>
    </row>
    <row r="218" spans="2:15" s="234" customFormat="1" ht="6" customHeight="1" x14ac:dyDescent="0.25">
      <c r="B218" s="914"/>
      <c r="C218" s="127"/>
      <c r="D218" s="127"/>
      <c r="E218" s="127"/>
      <c r="F218" s="127"/>
      <c r="G218" s="127"/>
      <c r="H218" s="127"/>
      <c r="I218" s="127"/>
      <c r="J218" s="127"/>
      <c r="K218" s="127"/>
      <c r="L218" s="127"/>
      <c r="M218" s="636"/>
    </row>
    <row r="219" spans="2:15" s="234" customFormat="1" ht="13.2" x14ac:dyDescent="0.25">
      <c r="B219" s="129" t="str">
        <f>IF('1. INTRO'!I$2="English","Full cost","Full kostnad")</f>
        <v>Full cost</v>
      </c>
      <c r="C219" s="127"/>
      <c r="D219" s="127"/>
      <c r="E219" s="127"/>
      <c r="F219" s="127"/>
      <c r="G219" s="127"/>
      <c r="H219" s="127"/>
      <c r="I219" s="127"/>
      <c r="J219" s="127"/>
      <c r="K219" s="127"/>
      <c r="L219" s="127"/>
      <c r="M219" s="636"/>
    </row>
    <row r="220" spans="2:15" s="234" customFormat="1" ht="13.2" x14ac:dyDescent="0.25">
      <c r="B220" s="902" t="str">
        <f>IF('1. INTRO'!I$2="English","Salary including social costs (LKP)","Lön inklusive LKP")</f>
        <v>Salary including social costs (LKP)</v>
      </c>
      <c r="C220" s="138">
        <f>C202+C211+C212</f>
        <v>0</v>
      </c>
      <c r="D220" s="138">
        <f t="shared" ref="D220:L220" si="30">D202+D211+D212</f>
        <v>0</v>
      </c>
      <c r="E220" s="138">
        <f t="shared" si="30"/>
        <v>0</v>
      </c>
      <c r="F220" s="138">
        <f t="shared" si="30"/>
        <v>0</v>
      </c>
      <c r="G220" s="138">
        <f t="shared" si="30"/>
        <v>0</v>
      </c>
      <c r="H220" s="138">
        <f t="shared" si="30"/>
        <v>0</v>
      </c>
      <c r="I220" s="138">
        <f t="shared" si="30"/>
        <v>0</v>
      </c>
      <c r="J220" s="138">
        <f t="shared" si="30"/>
        <v>0</v>
      </c>
      <c r="K220" s="138">
        <f t="shared" si="30"/>
        <v>0</v>
      </c>
      <c r="L220" s="138">
        <f t="shared" si="30"/>
        <v>0</v>
      </c>
      <c r="M220" s="903">
        <f>SUM(C220:L220)</f>
        <v>0</v>
      </c>
    </row>
    <row r="221" spans="2:15" s="234" customFormat="1" ht="13.2" x14ac:dyDescent="0.25">
      <c r="B221" s="377" t="str">
        <f>IF('1. INTRO'!I$2="English","Operating","Drift")</f>
        <v>Operating</v>
      </c>
      <c r="C221" s="139">
        <f>C203+C213</f>
        <v>0</v>
      </c>
      <c r="D221" s="139">
        <f t="shared" ref="D221:L221" si="31">D203+D213</f>
        <v>0</v>
      </c>
      <c r="E221" s="139">
        <f t="shared" si="31"/>
        <v>0</v>
      </c>
      <c r="F221" s="139">
        <f t="shared" si="31"/>
        <v>0</v>
      </c>
      <c r="G221" s="139">
        <f t="shared" si="31"/>
        <v>0</v>
      </c>
      <c r="H221" s="139">
        <f t="shared" si="31"/>
        <v>0</v>
      </c>
      <c r="I221" s="139">
        <f t="shared" si="31"/>
        <v>0</v>
      </c>
      <c r="J221" s="139">
        <f t="shared" si="31"/>
        <v>0</v>
      </c>
      <c r="K221" s="139">
        <f t="shared" si="31"/>
        <v>0</v>
      </c>
      <c r="L221" s="139">
        <f t="shared" si="31"/>
        <v>0</v>
      </c>
      <c r="M221" s="905">
        <f>SUM(C221:L221)</f>
        <v>0</v>
      </c>
    </row>
    <row r="222" spans="2:15" s="234" customFormat="1" ht="13.2" x14ac:dyDescent="0.25">
      <c r="B222" s="906" t="str">
        <f>IF('1. INTRO'!I$2="English","Equipment","Utrustning")</f>
        <v>Equipment</v>
      </c>
      <c r="C222" s="140">
        <f>C204+C214</f>
        <v>0</v>
      </c>
      <c r="D222" s="140">
        <f t="shared" ref="D222:L222" si="32">D204+D214</f>
        <v>0</v>
      </c>
      <c r="E222" s="140">
        <f t="shared" si="32"/>
        <v>0</v>
      </c>
      <c r="F222" s="140">
        <f t="shared" si="32"/>
        <v>0</v>
      </c>
      <c r="G222" s="140">
        <f t="shared" si="32"/>
        <v>0</v>
      </c>
      <c r="H222" s="140">
        <f t="shared" si="32"/>
        <v>0</v>
      </c>
      <c r="I222" s="140">
        <f t="shared" si="32"/>
        <v>0</v>
      </c>
      <c r="J222" s="140">
        <f t="shared" si="32"/>
        <v>0</v>
      </c>
      <c r="K222" s="140">
        <f t="shared" si="32"/>
        <v>0</v>
      </c>
      <c r="L222" s="140">
        <f t="shared" si="32"/>
        <v>0</v>
      </c>
      <c r="M222" s="907">
        <f>SUM(C222:L222)</f>
        <v>0</v>
      </c>
    </row>
    <row r="223" spans="2:15" s="234" customFormat="1" ht="13.2" x14ac:dyDescent="0.25">
      <c r="B223" s="377" t="str">
        <f>IF('1. INTRO'!I$2="English","Facility","Lokal")</f>
        <v>Facility</v>
      </c>
      <c r="C223" s="139">
        <f>SUMIF('5. PERSON'!$D$17:$D$192,$C199,'5. PERSON'!CP$17:CP$192)+SUMIF('5. PERSON'!$D$17:$D$192,$C199,'5. PERSON'!DB$17:DB$192)+SUMIF('6. OPERATION'!$D$17:$D$149,$C199,'6. OPERATION'!BS$17:BS$149)+SUMIF('6. OPERATION'!$D$17:$D$149,$C199,'6. OPERATION'!CE$17:CE$149)+SUMIF('8. FACILIT'!$D$18:$D$50,$C199,'8. FACILIT'!T$18:T$50)+SUMIF('8. FACILIT'!$D$18:$D$50,$C199,'8. FACILIT'!AF$18:AF$50)</f>
        <v>0</v>
      </c>
      <c r="D223" s="139">
        <f>SUMIF('5. PERSON'!$D$17:$D$192,$C199,'5. PERSON'!CQ$17:CQ$192)+SUMIF('5. PERSON'!$D$17:$D$192,$C199,'5. PERSON'!DC$17:DC$192)+SUMIF('6. OPERATION'!$D$17:$D$149,$C199,'6. OPERATION'!BT$17:BT$149)+SUMIF('6. OPERATION'!$D$17:$D$149,$C199,'6. OPERATION'!CF$17:CF$149)+SUMIF('8. FACILIT'!$D$18:$D$50,$C199,'8. FACILIT'!U$18:U$50)+SUMIF('8. FACILIT'!$D$18:$D$50,$C199,'8. FACILIT'!AG$18:AG$50)</f>
        <v>0</v>
      </c>
      <c r="E223" s="139">
        <f>SUMIF('5. PERSON'!$D$17:$D$192,$C199,'5. PERSON'!CR$17:CR$192)+SUMIF('5. PERSON'!$D$17:$D$192,$C199,'5. PERSON'!DD$17:DD$192)+SUMIF('6. OPERATION'!$D$17:$D$149,$C199,'6. OPERATION'!BU$17:BU$149)+SUMIF('6. OPERATION'!$D$17:$D$149,$C199,'6. OPERATION'!CG$17:CG$149)+SUMIF('8. FACILIT'!$D$18:$D$50,$C199,'8. FACILIT'!V$18:V$50)+SUMIF('8. FACILIT'!$D$18:$D$50,$C199,'8. FACILIT'!AH$18:AH$50)</f>
        <v>0</v>
      </c>
      <c r="F223" s="139">
        <f>SUMIF('5. PERSON'!$D$17:$D$192,$C199,'5. PERSON'!CS$17:CS$192)+SUMIF('5. PERSON'!$D$17:$D$192,$C199,'5. PERSON'!DE$17:DE$192)+SUMIF('6. OPERATION'!$D$17:$D$149,$C199,'6. OPERATION'!BV$17:BV$149)+SUMIF('6. OPERATION'!$D$17:$D$149,$C199,'6. OPERATION'!CH$17:CH$149)+SUMIF('8. FACILIT'!$D$18:$D$50,$C199,'8. FACILIT'!W$18:W$50)+SUMIF('8. FACILIT'!$D$18:$D$50,$C199,'8. FACILIT'!AI$18:AI$50)</f>
        <v>0</v>
      </c>
      <c r="G223" s="139">
        <f>SUMIF('5. PERSON'!$D$17:$D$192,$C199,'5. PERSON'!CT$17:CT$192)+SUMIF('5. PERSON'!$D$17:$D$192,$C199,'5. PERSON'!DF$17:DF$192)+SUMIF('6. OPERATION'!$D$17:$D$149,$C199,'6. OPERATION'!BW$17:BW$149)+SUMIF('6. OPERATION'!$D$17:$D$149,$C199,'6. OPERATION'!CI$17:CI$149)+SUMIF('8. FACILIT'!$D$18:$D$50,$C199,'8. FACILIT'!X$18:X$50)+SUMIF('8. FACILIT'!$D$18:$D$50,$C199,'8. FACILIT'!AJ$18:AJ$50)</f>
        <v>0</v>
      </c>
      <c r="H223" s="139">
        <f>SUMIF('5. PERSON'!$D$17:$D$192,$C199,'5. PERSON'!CU$17:CU$192)+SUMIF('5. PERSON'!$D$17:$D$192,$C199,'5. PERSON'!DG$17:DG$192)+SUMIF('6. OPERATION'!$D$17:$D$149,$C199,'6. OPERATION'!BX$17:BX$149)+SUMIF('6. OPERATION'!$D$17:$D$149,$C199,'6. OPERATION'!CJ$17:CJ$149)+SUMIF('8. FACILIT'!$D$18:$D$50,$C199,'8. FACILIT'!Y$18:Y$50)+SUMIF('8. FACILIT'!$D$18:$D$50,$C199,'8. FACILIT'!AK$18:AK$50)</f>
        <v>0</v>
      </c>
      <c r="I223" s="139">
        <f>SUMIF('5. PERSON'!$D$17:$D$192,$C199,'5. PERSON'!CV$17:CV$192)+SUMIF('5. PERSON'!$D$17:$D$192,$C199,'5. PERSON'!DH$17:DH$192)+SUMIF('6. OPERATION'!$D$17:$D$149,$C199,'6. OPERATION'!BY$17:BY$149)+SUMIF('6. OPERATION'!$D$17:$D$149,$C199,'6. OPERATION'!CK$17:CK$149)+SUMIF('8. FACILIT'!$D$18:$D$50,$C199,'8. FACILIT'!Z$18:Z$50)+SUMIF('8. FACILIT'!$D$18:$D$50,$C199,'8. FACILIT'!AL$18:AL$50)</f>
        <v>0</v>
      </c>
      <c r="J223" s="139">
        <f>SUMIF('5. PERSON'!$D$17:$D$192,$C199,'5. PERSON'!CW$17:CW$192)+SUMIF('5. PERSON'!$D$17:$D$192,$C199,'5. PERSON'!DI$17:DI$192)+SUMIF('6. OPERATION'!$D$17:$D$149,$C199,'6. OPERATION'!BZ$17:BZ$149)+SUMIF('6. OPERATION'!$D$17:$D$149,$C199,'6. OPERATION'!CL$17:CL$149)+SUMIF('8. FACILIT'!$D$18:$D$50,$C199,'8. FACILIT'!AA$18:AA$50)+SUMIF('8. FACILIT'!$D$18:$D$50,$C199,'8. FACILIT'!AM$18:AM$50)</f>
        <v>0</v>
      </c>
      <c r="K223" s="139">
        <f>SUMIF('5. PERSON'!$D$17:$D$192,$C199,'5. PERSON'!CX$17:CX$192)+SUMIF('5. PERSON'!$D$17:$D$192,$C199,'5. PERSON'!DJ$17:DJ$192)+SUMIF('6. OPERATION'!$D$17:$D$149,$C199,'6. OPERATION'!CA$17:CA$149)+SUMIF('6. OPERATION'!$D$17:$D$149,$C199,'6. OPERATION'!CM$17:CM$149)+SUMIF('8. FACILIT'!$D$18:$D$50,$C199,'8. FACILIT'!AB$18:AB$50)+SUMIF('8. FACILIT'!$D$18:$D$50,$C199,'8. FACILIT'!AN$18:AN$50)</f>
        <v>0</v>
      </c>
      <c r="L223" s="139">
        <f>SUMIF('5. PERSON'!$D$17:$D$192,$C199,'5. PERSON'!CY$17:CY$192)+SUMIF('5. PERSON'!$D$17:$D$192,$C199,'5. PERSON'!DK$17:DK$192)+SUMIF('6. OPERATION'!$D$17:$D$149,$C199,'6. OPERATION'!CB$17:CB$149)+SUMIF('6. OPERATION'!$D$17:$D$149,$C199,'6. OPERATION'!CN$17:CN$149)+SUMIF('8. FACILIT'!$D$18:$D$50,$C199,'8. FACILIT'!AC$18:AC$50)+SUMIF('8. FACILIT'!$D$18:$D$50,$C199,'8. FACILIT'!AO$18:AO$50)</f>
        <v>0</v>
      </c>
      <c r="M223" s="905">
        <f>SUM(C223:L223)</f>
        <v>0</v>
      </c>
    </row>
    <row r="224" spans="2:15" s="234" customFormat="1" ht="13.2" x14ac:dyDescent="0.25">
      <c r="B224" s="915" t="str">
        <f>IF('1. INTRO'!I$2="English","Indirect","Indirekt")</f>
        <v>Indirect</v>
      </c>
      <c r="C224" s="141">
        <f>SUMIF('5. PERSON'!$D$17:$D$192,$C199,'5. PERSON'!BR$17:BR$192)+SUMIF('5. PERSON'!$D$17:$D$192,$C199,'5. PERSON'!CD$17:CD$192)+SUMIF('6. OPERATION'!$D$17:$D$149,$C199,'6. OPERATION'!AU$17:AU$149)+SUMIF('6. OPERATION'!$D$17:$D$149,$C199,'6. OPERATION'!BG$17:BG$149)</f>
        <v>0</v>
      </c>
      <c r="D224" s="141">
        <f>SUMIF('5. PERSON'!$D$17:$D$192,$C199,'5. PERSON'!BS$17:BS$192)+SUMIF('5. PERSON'!$D$17:$D$192,$C199,'5. PERSON'!CE$17:CE$192)+SUMIF('6. OPERATION'!$D$17:$D$149,$C199,'6. OPERATION'!AV$17:AV$149)+SUMIF('6. OPERATION'!$D$17:$D$149,$C199,'6. OPERATION'!BH$17:BH$149)</f>
        <v>0</v>
      </c>
      <c r="E224" s="141">
        <f>SUMIF('5. PERSON'!$D$17:$D$192,$C199,'5. PERSON'!BT$17:BT$192)+SUMIF('5. PERSON'!$D$17:$D$192,$C199,'5. PERSON'!CF$17:CF$192)+SUMIF('6. OPERATION'!$D$17:$D$149,$C199,'6. OPERATION'!AW$17:AW$149)+SUMIF('6. OPERATION'!$D$17:$D$149,$C199,'6. OPERATION'!BI$17:BI$149)</f>
        <v>0</v>
      </c>
      <c r="F224" s="141">
        <f>SUMIF('5. PERSON'!$D$17:$D$192,$C199,'5. PERSON'!BU$17:BU$192)+SUMIF('5. PERSON'!$D$17:$D$192,$C199,'5. PERSON'!CG$17:CG$192)+SUMIF('6. OPERATION'!$D$17:$D$149,$C199,'6. OPERATION'!AX$17:AX$149)+SUMIF('6. OPERATION'!$D$17:$D$149,$C199,'6. OPERATION'!BJ$17:BJ$149)</f>
        <v>0</v>
      </c>
      <c r="G224" s="141">
        <f>SUMIF('5. PERSON'!$D$17:$D$192,$C199,'5. PERSON'!BV$17:BV$192)+SUMIF('5. PERSON'!$D$17:$D$192,$C199,'5. PERSON'!CH$17:CH$192)+SUMIF('6. OPERATION'!$D$17:$D$149,$C199,'6. OPERATION'!AY$17:AY$149)+SUMIF('6. OPERATION'!$D$17:$D$149,$C199,'6. OPERATION'!BK$17:BK$149)</f>
        <v>0</v>
      </c>
      <c r="H224" s="141">
        <f>SUMIF('5. PERSON'!$D$17:$D$192,$C199,'5. PERSON'!BW$17:BW$192)+SUMIF('5. PERSON'!$D$17:$D$192,$C199,'5. PERSON'!CI$17:CI$192)+SUMIF('6. OPERATION'!$D$17:$D$149,$C199,'6. OPERATION'!AZ$17:AZ$149)+SUMIF('6. OPERATION'!$D$17:$D$149,$C199,'6. OPERATION'!BL$17:BL$149)</f>
        <v>0</v>
      </c>
      <c r="I224" s="141">
        <f>SUMIF('5. PERSON'!$D$17:$D$192,$C199,'5. PERSON'!BX$17:BX$192)+SUMIF('5. PERSON'!$D$17:$D$192,$C199,'5. PERSON'!CJ$17:CJ$192)+SUMIF('6. OPERATION'!$D$17:$D$149,$C199,'6. OPERATION'!BA$17:BA$149)+SUMIF('6. OPERATION'!$D$17:$D$149,$C199,'6. OPERATION'!BM$17:BM$149)</f>
        <v>0</v>
      </c>
      <c r="J224" s="141">
        <f>SUMIF('5. PERSON'!$D$17:$D$192,$C199,'5. PERSON'!BY$17:BY$192)+SUMIF('5. PERSON'!$D$17:$D$192,$C199,'5. PERSON'!CK$17:CK$192)+SUMIF('6. OPERATION'!$D$17:$D$149,$C199,'6. OPERATION'!BB$17:BB$149)+SUMIF('6. OPERATION'!$D$17:$D$149,$C199,'6. OPERATION'!BN$17:BN$149)</f>
        <v>0</v>
      </c>
      <c r="K224" s="141">
        <f>SUMIF('5. PERSON'!$D$17:$D$192,$C199,'5. PERSON'!BZ$17:BZ$192)+SUMIF('5. PERSON'!$D$17:$D$192,$C199,'5. PERSON'!CL$17:CL$192)+SUMIF('6. OPERATION'!$D$17:$D$149,$C199,'6. OPERATION'!BC$17:BC$149)+SUMIF('6. OPERATION'!$D$17:$D$149,$C199,'6. OPERATION'!BO$17:BO$149)</f>
        <v>0</v>
      </c>
      <c r="L224" s="141">
        <f>SUMIF('5. PERSON'!$D$17:$D$192,$C199,'5. PERSON'!CA$17:CA$192)+SUMIF('5. PERSON'!$D$17:$D$192,$C199,'5. PERSON'!CM$17:CM$192)+SUMIF('6. OPERATION'!$D$17:$D$149,$C199,'6. OPERATION'!BD$17:BD$149)+SUMIF('6. OPERATION'!$D$17:$D$149,$C199,'6. OPERATION'!BP$17:BP$149)</f>
        <v>0</v>
      </c>
      <c r="M224" s="908">
        <f>SUM(C224:L224)</f>
        <v>0</v>
      </c>
    </row>
    <row r="225" spans="2:13" s="234" customFormat="1" ht="13.2" x14ac:dyDescent="0.25">
      <c r="B225" s="628" t="s">
        <v>113</v>
      </c>
      <c r="C225" s="520">
        <f>SUM(C220:C224)</f>
        <v>0</v>
      </c>
      <c r="D225" s="520">
        <f t="shared" ref="D225:M225" si="33">SUM(D220:D224)</f>
        <v>0</v>
      </c>
      <c r="E225" s="520">
        <f t="shared" si="33"/>
        <v>0</v>
      </c>
      <c r="F225" s="520">
        <f t="shared" si="33"/>
        <v>0</v>
      </c>
      <c r="G225" s="520">
        <f t="shared" si="33"/>
        <v>0</v>
      </c>
      <c r="H225" s="520">
        <f t="shared" si="33"/>
        <v>0</v>
      </c>
      <c r="I225" s="520">
        <f t="shared" si="33"/>
        <v>0</v>
      </c>
      <c r="J225" s="520">
        <f t="shared" si="33"/>
        <v>0</v>
      </c>
      <c r="K225" s="520">
        <f t="shared" si="33"/>
        <v>0</v>
      </c>
      <c r="L225" s="520">
        <f t="shared" si="33"/>
        <v>0</v>
      </c>
      <c r="M225" s="916">
        <f t="shared" si="33"/>
        <v>0</v>
      </c>
    </row>
    <row r="226" spans="2:13" s="234" customFormat="1" ht="13.2" x14ac:dyDescent="0.25">
      <c r="B226" s="676"/>
      <c r="C226" s="268"/>
      <c r="D226" s="268"/>
      <c r="E226" s="268"/>
      <c r="F226" s="268"/>
      <c r="G226" s="268"/>
      <c r="H226" s="268"/>
      <c r="I226" s="268"/>
      <c r="J226" s="268"/>
      <c r="K226" s="268"/>
      <c r="L226" s="268"/>
      <c r="M226" s="268"/>
    </row>
    <row r="227" spans="2:13" s="234" customFormat="1" ht="12.75" customHeight="1" x14ac:dyDescent="0.25">
      <c r="B227" s="676" t="str">
        <f>IF('1. INTRO'!I$2="English","Co-funding share in full cost ","Medfinansieringsandel i full kostnad ")</f>
        <v xml:space="preserve">Co-funding share in full cost </v>
      </c>
      <c r="C227" s="640" t="str">
        <f t="shared" ref="C227:M227" si="34">IF(C225&gt;0,C217/C225,"")</f>
        <v/>
      </c>
      <c r="D227" s="640" t="str">
        <f t="shared" si="34"/>
        <v/>
      </c>
      <c r="E227" s="640" t="str">
        <f t="shared" si="34"/>
        <v/>
      </c>
      <c r="F227" s="640" t="str">
        <f t="shared" si="34"/>
        <v/>
      </c>
      <c r="G227" s="640" t="str">
        <f t="shared" si="34"/>
        <v/>
      </c>
      <c r="H227" s="640" t="str">
        <f t="shared" si="34"/>
        <v/>
      </c>
      <c r="I227" s="640" t="str">
        <f t="shared" si="34"/>
        <v/>
      </c>
      <c r="J227" s="640" t="str">
        <f t="shared" si="34"/>
        <v/>
      </c>
      <c r="K227" s="640" t="str">
        <f t="shared" si="34"/>
        <v/>
      </c>
      <c r="L227" s="640" t="str">
        <f t="shared" si="34"/>
        <v/>
      </c>
      <c r="M227" s="640" t="str">
        <f t="shared" si="34"/>
        <v/>
      </c>
    </row>
    <row r="228" spans="2:13" s="268" customFormat="1" ht="12.75" customHeight="1" x14ac:dyDescent="0.25"/>
    <row r="229" spans="2:13" s="268" customFormat="1" ht="12.75" customHeight="1" x14ac:dyDescent="0.25">
      <c r="B229" s="667" t="str">
        <f>IF('1. INTRO'!I$2="English","Calculation comments","Kalkylkommentarer")</f>
        <v>Calculation comments</v>
      </c>
    </row>
    <row r="230" spans="2:13" s="268" customFormat="1" ht="12.75" customHeight="1" x14ac:dyDescent="0.25">
      <c r="B230" s="1264"/>
      <c r="C230" s="1265"/>
      <c r="D230" s="1265"/>
      <c r="E230" s="1265"/>
      <c r="F230" s="1265"/>
      <c r="G230" s="1265"/>
      <c r="H230" s="1265"/>
      <c r="I230" s="1265"/>
      <c r="J230" s="1265"/>
      <c r="K230" s="1265"/>
      <c r="L230" s="1265"/>
      <c r="M230" s="1266"/>
    </row>
    <row r="231" spans="2:13" s="268" customFormat="1" ht="12.75" customHeight="1" x14ac:dyDescent="0.25">
      <c r="B231" s="1267"/>
      <c r="C231" s="1268"/>
      <c r="D231" s="1268"/>
      <c r="E231" s="1268"/>
      <c r="F231" s="1268"/>
      <c r="G231" s="1268"/>
      <c r="H231" s="1268"/>
      <c r="I231" s="1268"/>
      <c r="J231" s="1268"/>
      <c r="K231" s="1268"/>
      <c r="L231" s="1268"/>
      <c r="M231" s="1269"/>
    </row>
    <row r="232" spans="2:13" s="268" customFormat="1" ht="12.75" customHeight="1" x14ac:dyDescent="0.25">
      <c r="B232" s="1267"/>
      <c r="C232" s="1268"/>
      <c r="D232" s="1268"/>
      <c r="E232" s="1268"/>
      <c r="F232" s="1268"/>
      <c r="G232" s="1268"/>
      <c r="H232" s="1268"/>
      <c r="I232" s="1268"/>
      <c r="J232" s="1268"/>
      <c r="K232" s="1268"/>
      <c r="L232" s="1268"/>
      <c r="M232" s="1269"/>
    </row>
    <row r="233" spans="2:13" s="268" customFormat="1" ht="12.75" customHeight="1" x14ac:dyDescent="0.25">
      <c r="B233" s="1267"/>
      <c r="C233" s="1268"/>
      <c r="D233" s="1268"/>
      <c r="E233" s="1268"/>
      <c r="F233" s="1268"/>
      <c r="G233" s="1268"/>
      <c r="H233" s="1268"/>
      <c r="I233" s="1268"/>
      <c r="J233" s="1268"/>
      <c r="K233" s="1268"/>
      <c r="L233" s="1268"/>
      <c r="M233" s="1269"/>
    </row>
    <row r="234" spans="2:13" s="268" customFormat="1" ht="12.75" customHeight="1" x14ac:dyDescent="0.25">
      <c r="B234" s="1267"/>
      <c r="C234" s="1268"/>
      <c r="D234" s="1268"/>
      <c r="E234" s="1268"/>
      <c r="F234" s="1268"/>
      <c r="G234" s="1268"/>
      <c r="H234" s="1268"/>
      <c r="I234" s="1268"/>
      <c r="J234" s="1268"/>
      <c r="K234" s="1268"/>
      <c r="L234" s="1268"/>
      <c r="M234" s="1269"/>
    </row>
    <row r="235" spans="2:13" s="268" customFormat="1" ht="12.75" customHeight="1" x14ac:dyDescent="0.25">
      <c r="B235" s="1270"/>
      <c r="C235" s="1271"/>
      <c r="D235" s="1271"/>
      <c r="E235" s="1271"/>
      <c r="F235" s="1271"/>
      <c r="G235" s="1271"/>
      <c r="H235" s="1271"/>
      <c r="I235" s="1271"/>
      <c r="J235" s="1271"/>
      <c r="K235" s="1271"/>
      <c r="L235" s="1271"/>
      <c r="M235" s="1272"/>
    </row>
    <row r="236" spans="2:13" s="268" customFormat="1" x14ac:dyDescent="0.25">
      <c r="B236" s="1270"/>
      <c r="C236" s="1271"/>
      <c r="D236" s="1271"/>
      <c r="E236" s="1271"/>
      <c r="F236" s="1271"/>
      <c r="G236" s="1271"/>
      <c r="H236" s="1271"/>
      <c r="I236" s="1271"/>
      <c r="J236" s="1271"/>
      <c r="K236" s="1271"/>
      <c r="L236" s="1271"/>
      <c r="M236" s="1272"/>
    </row>
    <row r="237" spans="2:13" s="268" customFormat="1" x14ac:dyDescent="0.25">
      <c r="B237" s="1270"/>
      <c r="C237" s="1271"/>
      <c r="D237" s="1271"/>
      <c r="E237" s="1271"/>
      <c r="F237" s="1271"/>
      <c r="G237" s="1271"/>
      <c r="H237" s="1271"/>
      <c r="I237" s="1271"/>
      <c r="J237" s="1271"/>
      <c r="K237" s="1271"/>
      <c r="L237" s="1271"/>
      <c r="M237" s="1272"/>
    </row>
    <row r="238" spans="2:13" s="268" customFormat="1" x14ac:dyDescent="0.25">
      <c r="B238" s="1270"/>
      <c r="C238" s="1271"/>
      <c r="D238" s="1271"/>
      <c r="E238" s="1271"/>
      <c r="F238" s="1271"/>
      <c r="G238" s="1271"/>
      <c r="H238" s="1271"/>
      <c r="I238" s="1271"/>
      <c r="J238" s="1271"/>
      <c r="K238" s="1271"/>
      <c r="L238" s="1271"/>
      <c r="M238" s="1272"/>
    </row>
    <row r="239" spans="2:13" s="268" customFormat="1" x14ac:dyDescent="0.25">
      <c r="B239" s="1270"/>
      <c r="C239" s="1271"/>
      <c r="D239" s="1271"/>
      <c r="E239" s="1271"/>
      <c r="F239" s="1271"/>
      <c r="G239" s="1271"/>
      <c r="H239" s="1271"/>
      <c r="I239" s="1271"/>
      <c r="J239" s="1271"/>
      <c r="K239" s="1271"/>
      <c r="L239" s="1271"/>
      <c r="M239" s="1272"/>
    </row>
    <row r="240" spans="2:13" s="268" customFormat="1" x14ac:dyDescent="0.25">
      <c r="B240" s="1270"/>
      <c r="C240" s="1271"/>
      <c r="D240" s="1271"/>
      <c r="E240" s="1271"/>
      <c r="F240" s="1271"/>
      <c r="G240" s="1271"/>
      <c r="H240" s="1271"/>
      <c r="I240" s="1271"/>
      <c r="J240" s="1271"/>
      <c r="K240" s="1271"/>
      <c r="L240" s="1271"/>
      <c r="M240" s="1272"/>
    </row>
    <row r="241" spans="2:15" s="268" customFormat="1" x14ac:dyDescent="0.25">
      <c r="B241" s="1270"/>
      <c r="C241" s="1271"/>
      <c r="D241" s="1271"/>
      <c r="E241" s="1271"/>
      <c r="F241" s="1271"/>
      <c r="G241" s="1271"/>
      <c r="H241" s="1271"/>
      <c r="I241" s="1271"/>
      <c r="J241" s="1271"/>
      <c r="K241" s="1271"/>
      <c r="L241" s="1271"/>
      <c r="M241" s="1272"/>
    </row>
    <row r="242" spans="2:15" s="268" customFormat="1" x14ac:dyDescent="0.25">
      <c r="B242" s="1273"/>
      <c r="C242" s="1274"/>
      <c r="D242" s="1274"/>
      <c r="E242" s="1274"/>
      <c r="F242" s="1274"/>
      <c r="G242" s="1274"/>
      <c r="H242" s="1274"/>
      <c r="I242" s="1274"/>
      <c r="J242" s="1274"/>
      <c r="K242" s="1274"/>
      <c r="L242" s="1274"/>
      <c r="M242" s="1275"/>
    </row>
    <row r="243" spans="2:15" s="268" customFormat="1" x14ac:dyDescent="0.25"/>
    <row r="244" spans="2:15" s="268" customFormat="1" x14ac:dyDescent="0.25"/>
    <row r="245" spans="2:15" s="234" customFormat="1" ht="12.75" customHeight="1" x14ac:dyDescent="0.25">
      <c r="B245" s="313" t="str">
        <f>'3. PARTNER'!C$4</f>
        <v xml:space="preserve">Project: </v>
      </c>
      <c r="C245" s="1062" t="str">
        <f>'3. PARTNER'!D$4</f>
        <v/>
      </c>
      <c r="D245" s="1001"/>
      <c r="E245" s="1001"/>
      <c r="F245" s="1001"/>
      <c r="G245" s="1001"/>
      <c r="H245" s="1001"/>
      <c r="I245" s="1001"/>
      <c r="J245" s="1001"/>
      <c r="K245" s="1001"/>
      <c r="L245" s="1001"/>
      <c r="M245" s="1001"/>
    </row>
    <row r="246" spans="2:15" s="234" customFormat="1" ht="13.2" x14ac:dyDescent="0.25">
      <c r="B246" s="313" t="str">
        <f>'3. PARTNER'!C$5</f>
        <v xml:space="preserve">Calculation for: </v>
      </c>
      <c r="C246" s="1062" t="str">
        <f>'3. PARTNER'!D$5</f>
        <v>APPLICATION</v>
      </c>
      <c r="D246" s="1001"/>
      <c r="E246" s="268"/>
      <c r="F246" s="268"/>
      <c r="G246" s="268"/>
      <c r="H246" s="268"/>
      <c r="I246" s="268"/>
      <c r="J246" s="268"/>
      <c r="K246" s="268"/>
      <c r="L246" s="268"/>
      <c r="M246" s="268"/>
    </row>
    <row r="247" spans="2:15" s="234" customFormat="1" ht="13.2" x14ac:dyDescent="0.25">
      <c r="B247" s="35" t="str">
        <f>'3. PARTNER'!C$6</f>
        <v xml:space="preserve">Project leader: </v>
      </c>
      <c r="C247" s="1062" t="str">
        <f>'3. PARTNER'!D$6</f>
        <v/>
      </c>
      <c r="D247" s="1001"/>
      <c r="E247" s="1001"/>
      <c r="F247" s="1001"/>
      <c r="G247" s="1001"/>
      <c r="H247" s="1001"/>
      <c r="I247" s="1001"/>
      <c r="J247" s="1001"/>
      <c r="K247" s="1001"/>
      <c r="L247" s="1001"/>
      <c r="M247" s="1001"/>
    </row>
    <row r="248" spans="2:15" s="234" customFormat="1" ht="13.2" x14ac:dyDescent="0.25">
      <c r="B248" s="313" t="str">
        <f>'5. PERSON'!B$7</f>
        <v xml:space="preserve">Amounts in: </v>
      </c>
      <c r="C248" s="672" t="str">
        <f>'5. PERSON'!C$7</f>
        <v>SEK</v>
      </c>
      <c r="D248" s="268"/>
      <c r="E248" s="268"/>
      <c r="F248" s="268"/>
      <c r="I248" s="270"/>
      <c r="J248" s="270"/>
      <c r="K248" s="270"/>
      <c r="L248" s="270"/>
      <c r="M248" s="270"/>
    </row>
    <row r="249" spans="2:15" s="234" customFormat="1" ht="13.2" x14ac:dyDescent="0.25">
      <c r="B249" s="313"/>
      <c r="C249" s="1053" t="str">
        <f>'3. PARTNER'!D$7</f>
        <v>Other basic data about the project is in sheet 2.</v>
      </c>
      <c r="D249" s="1001"/>
      <c r="E249" s="1001"/>
      <c r="F249" s="1001"/>
      <c r="I249" s="270"/>
      <c r="J249" s="270"/>
      <c r="K249" s="270"/>
      <c r="L249" s="251" t="s">
        <v>4</v>
      </c>
      <c r="M249" s="270"/>
    </row>
    <row r="250" spans="2:15" s="268" customFormat="1" ht="12.75" customHeight="1" x14ac:dyDescent="0.25">
      <c r="L250" s="252" t="str">
        <f>IF('1. INTRO'!I$2="English","months","månader")</f>
        <v>months</v>
      </c>
    </row>
    <row r="251" spans="2:15" s="234" customFormat="1" ht="13.8" x14ac:dyDescent="0.25">
      <c r="B251" s="678" t="str">
        <f>IF('1. INTRO'!I$2="English","Project costs","Projektkostnader")</f>
        <v>Project costs</v>
      </c>
      <c r="C251" s="678" t="str">
        <f>B19</f>
        <v>WP 5</v>
      </c>
      <c r="D251" s="234" t="str">
        <f>E19</f>
        <v/>
      </c>
      <c r="E251" s="268"/>
      <c r="G251" s="268"/>
      <c r="H251" s="268"/>
      <c r="I251" s="268"/>
      <c r="J251" s="268"/>
      <c r="K251" s="676"/>
      <c r="L251" s="899">
        <f>SUMIF('5. PERSON'!$D$17:$D$192,$C251,'5. PERSON'!AE$17:AE$192)</f>
        <v>0</v>
      </c>
      <c r="M251" s="680" t="s">
        <v>330</v>
      </c>
    </row>
    <row r="252" spans="2:15" s="234" customFormat="1" ht="6" customHeight="1" x14ac:dyDescent="0.25">
      <c r="B252" s="602"/>
      <c r="C252" s="268"/>
      <c r="D252" s="268"/>
      <c r="E252" s="268"/>
      <c r="F252" s="268"/>
      <c r="G252" s="268"/>
      <c r="H252" s="268"/>
      <c r="I252" s="268"/>
      <c r="J252" s="268"/>
      <c r="K252" s="268"/>
      <c r="L252" s="268"/>
      <c r="M252" s="268"/>
    </row>
    <row r="253" spans="2:15" s="234" customFormat="1" ht="13.2" x14ac:dyDescent="0.25">
      <c r="B253" s="110" t="str">
        <f>IF('1. INTRO'!I$2="English","Costs to be covered by funding body","Kostnader att täckas av finansiär")</f>
        <v>Costs to be covered by funding body</v>
      </c>
      <c r="C253" s="607">
        <f>'5. PERSON'!G$15</f>
        <v>1900</v>
      </c>
      <c r="D253" s="607" t="str">
        <f>'5. PERSON'!H$15</f>
        <v/>
      </c>
      <c r="E253" s="607" t="str">
        <f>'5. PERSON'!I$15</f>
        <v/>
      </c>
      <c r="F253" s="607" t="str">
        <f>'5. PERSON'!J$15</f>
        <v/>
      </c>
      <c r="G253" s="607" t="str">
        <f>'5. PERSON'!K$15</f>
        <v/>
      </c>
      <c r="H253" s="607" t="str">
        <f>'5. PERSON'!L$15</f>
        <v/>
      </c>
      <c r="I253" s="607" t="str">
        <f>'5. PERSON'!M$15</f>
        <v/>
      </c>
      <c r="J253" s="607" t="str">
        <f>'5. PERSON'!N$15</f>
        <v/>
      </c>
      <c r="K253" s="607" t="str">
        <f>'5. PERSON'!O$15</f>
        <v/>
      </c>
      <c r="L253" s="607" t="str">
        <f>'5. PERSON'!P$15</f>
        <v/>
      </c>
      <c r="M253" s="608" t="s">
        <v>2</v>
      </c>
    </row>
    <row r="254" spans="2:15" s="234" customFormat="1" ht="12.75" customHeight="1" x14ac:dyDescent="0.25">
      <c r="B254" s="902" t="str">
        <f>IF('1. INTRO'!I$2="English","Salary including social costs (LKP)","Lön inklusive LKP")</f>
        <v>Salary including social costs (LKP)</v>
      </c>
      <c r="C254" s="610">
        <f>IF('2. START'!$C$14&gt;0,SUMIF('5. PERSON'!$D$17:$D$192,$C251,'5. PERSON'!DN$17:DN$192),SUMIF('5. PERSON'!$D$17:$D$192,$C251,'5. PERSON'!AT$17:AT$192))</f>
        <v>0</v>
      </c>
      <c r="D254" s="610">
        <f>IF('2. START'!$C$14&gt;0,SUMIF('5. PERSON'!$D$17:$D$192,$C251,'5. PERSON'!DO$17:DO$192),SUMIF('5. PERSON'!$D$17:$D$192,$C251,'5. PERSON'!AU$17:AU$192))</f>
        <v>0</v>
      </c>
      <c r="E254" s="610">
        <f>IF('2. START'!$C$14&gt;0,SUMIF('5. PERSON'!$D$17:$D$192,$C251,'5. PERSON'!DP$17:DP$192),SUMIF('5. PERSON'!$D$17:$D$192,$C251,'5. PERSON'!AV$17:AV$192))</f>
        <v>0</v>
      </c>
      <c r="F254" s="610">
        <f>IF('2. START'!$C$14&gt;0,SUMIF('5. PERSON'!$D$17:$D$192,$C251,'5. PERSON'!DQ$17:DQ$192),SUMIF('5. PERSON'!$D$17:$D$192,$C251,'5. PERSON'!AW$17:AW$192))</f>
        <v>0</v>
      </c>
      <c r="G254" s="610">
        <f>IF('2. START'!$C$14&gt;0,SUMIF('5. PERSON'!$D$17:$D$192,$C251,'5. PERSON'!DR$17:DR$192),SUMIF('5. PERSON'!$D$17:$D$192,$C251,'5. PERSON'!AX$17:AX$192))</f>
        <v>0</v>
      </c>
      <c r="H254" s="610">
        <f>IF('2. START'!$C$14&gt;0,SUMIF('5. PERSON'!$D$17:$D$192,$C251,'5. PERSON'!DS$17:DS$192),SUMIF('5. PERSON'!$D$17:$D$192,$C251,'5. PERSON'!AY$17:AY$192))</f>
        <v>0</v>
      </c>
      <c r="I254" s="610">
        <f>IF('2. START'!$C$14&gt;0,SUMIF('5. PERSON'!$D$17:$D$192,$C251,'5. PERSON'!DT$17:DT$192),SUMIF('5. PERSON'!$D$17:$D$192,$C251,'5. PERSON'!AZ$17:AZ$192))</f>
        <v>0</v>
      </c>
      <c r="J254" s="610">
        <f>IF('2. START'!$C$14&gt;0,SUMIF('5. PERSON'!$D$17:$D$192,$C251,'5. PERSON'!DU$17:DU$192),SUMIF('5. PERSON'!$D$17:$D$192,$C251,'5. PERSON'!BA$17:BA$192))</f>
        <v>0</v>
      </c>
      <c r="K254" s="610">
        <f>IF('2. START'!$C$14&gt;0,SUMIF('5. PERSON'!$D$17:$D$192,$C251,'5. PERSON'!DV$17:DV$192),SUMIF('5. PERSON'!$D$17:$D$192,$C251,'5. PERSON'!BB$17:BB$192))</f>
        <v>0</v>
      </c>
      <c r="L254" s="610">
        <f>IF('2. START'!$C$14&gt;0,SUMIF('5. PERSON'!$D$17:$D$192,$C251,'5. PERSON'!DW$17:DW$192),SUMIF('5. PERSON'!$D$17:$D$192,$C251,'5. PERSON'!BC$17:BC$192))</f>
        <v>0</v>
      </c>
      <c r="M254" s="903">
        <f t="shared" ref="M254:M259" si="35">SUM(C254:L254)</f>
        <v>0</v>
      </c>
      <c r="O254" s="904"/>
    </row>
    <row r="255" spans="2:15" s="234" customFormat="1" ht="12.75" customHeight="1" x14ac:dyDescent="0.25">
      <c r="B255" s="377" t="str">
        <f>IF('1. INTRO'!I$2="English","Operating","Drift")</f>
        <v>Operating</v>
      </c>
      <c r="C255" s="615">
        <f>SUMIF('6. OPERATION'!$D$17:$D$149,$C251,'6. OPERATION'!W$17:W$149)</f>
        <v>0</v>
      </c>
      <c r="D255" s="615">
        <f>SUMIF('6. OPERATION'!$D$17:$D$149,$C251,'6. OPERATION'!X$17:X$149)</f>
        <v>0</v>
      </c>
      <c r="E255" s="615">
        <f>SUMIF('6. OPERATION'!$D$17:$D$149,$C251,'6. OPERATION'!Y$17:Y$149)</f>
        <v>0</v>
      </c>
      <c r="F255" s="615">
        <f>SUMIF('6. OPERATION'!$D$17:$D$149,$C251,'6. OPERATION'!Z$17:Z$149)</f>
        <v>0</v>
      </c>
      <c r="G255" s="615">
        <f>SUMIF('6. OPERATION'!$D$17:$D$149,$C251,'6. OPERATION'!AA$17:AA$149)</f>
        <v>0</v>
      </c>
      <c r="H255" s="615">
        <f>SUMIF('6. OPERATION'!$D$17:$D$149,$C251,'6. OPERATION'!AB$17:AB$149)</f>
        <v>0</v>
      </c>
      <c r="I255" s="615">
        <f>SUMIF('6. OPERATION'!$D$17:$D$149,$C251,'6. OPERATION'!AC$17:AC$149)</f>
        <v>0</v>
      </c>
      <c r="J255" s="615">
        <f>SUMIF('6. OPERATION'!$D$17:$D$149,$C251,'6. OPERATION'!AD$17:AD$149)</f>
        <v>0</v>
      </c>
      <c r="K255" s="615">
        <f>SUMIF('6. OPERATION'!$D$17:$D$149,$C251,'6. OPERATION'!AE$17:AE$149)</f>
        <v>0</v>
      </c>
      <c r="L255" s="615">
        <f>SUMIF('6. OPERATION'!$D$17:$D$149,$C251,'6. OPERATION'!AF$17:AF$149)</f>
        <v>0</v>
      </c>
      <c r="M255" s="905">
        <f t="shared" si="35"/>
        <v>0</v>
      </c>
    </row>
    <row r="256" spans="2:15" s="234" customFormat="1" ht="13.2" x14ac:dyDescent="0.25">
      <c r="B256" s="906" t="str">
        <f>IF('1. INTRO'!I$2="English","Equipment","Utrustning")</f>
        <v>Equipment</v>
      </c>
      <c r="C256" s="620">
        <f>SUMIF('7. INVEST'!$D$17:$D$49,$C251,'7. INVEST'!W$17:W$49)</f>
        <v>0</v>
      </c>
      <c r="D256" s="620">
        <f>SUMIF('7. INVEST'!$D$17:$D$49,$C251,'7. INVEST'!X$17:X$49)</f>
        <v>0</v>
      </c>
      <c r="E256" s="620">
        <f>SUMIF('7. INVEST'!$D$17:$D$49,$C251,'7. INVEST'!Y$17:Y$49)</f>
        <v>0</v>
      </c>
      <c r="F256" s="620">
        <f>SUMIF('7. INVEST'!$D$17:$D$49,$C251,'7. INVEST'!Z$17:Z$49)</f>
        <v>0</v>
      </c>
      <c r="G256" s="620">
        <f>SUMIF('7. INVEST'!$D$17:$D$49,$C251,'7. INVEST'!AA$17:AA$49)</f>
        <v>0</v>
      </c>
      <c r="H256" s="620">
        <f>SUMIF('7. INVEST'!$D$17:$D$49,$C251,'7. INVEST'!AB$17:AB$49)</f>
        <v>0</v>
      </c>
      <c r="I256" s="620">
        <f>SUMIF('7. INVEST'!$D$17:$D$49,$C251,'7. INVEST'!AC$17:AC$49)</f>
        <v>0</v>
      </c>
      <c r="J256" s="620">
        <f>SUMIF('7. INVEST'!$D$17:$D$49,$C251,'7. INVEST'!AD$17:AD$49)</f>
        <v>0</v>
      </c>
      <c r="K256" s="620">
        <f>SUMIF('7. INVEST'!$D$17:$D$49,$C251,'7. INVEST'!AE$17:AE$49)</f>
        <v>0</v>
      </c>
      <c r="L256" s="620">
        <f>SUMIF('7. INVEST'!$D$17:$D$49,$C251,'7. INVEST'!AF$17:AF$49)</f>
        <v>0</v>
      </c>
      <c r="M256" s="907">
        <f t="shared" si="35"/>
        <v>0</v>
      </c>
    </row>
    <row r="257" spans="2:15" s="234" customFormat="1" ht="13.2" x14ac:dyDescent="0.25">
      <c r="B257" s="121" t="str">
        <f>IF('1. INTRO'!I$2="English",(IF('2. START'!C$11="NO","Facility accepted as direct cost by funding body","Facility")),IF('2. START'!C$11="NO","Lokal accepterad som direkt kostnad av finansiär","Lokal"))</f>
        <v>Facility</v>
      </c>
      <c r="C257" s="615">
        <f>IF('2. START'!$C$11="NO",SUMIF('8. FACILIT'!$D$18:$D$50,$C251,'8. FACILIT'!T$18:T$50),SUMIF('5. PERSON'!$D$17:$D$192,$C251,'5. PERSON'!CP$17:CP$192)+SUMIF('6. OPERATION'!$D$17:$D$149,$C251,'6. OPERATION'!BS$17:BS$149)+SUMIF('8. FACILIT'!$D$18:$D$50,$C251,'8. FACILIT'!T$18:T$50))</f>
        <v>0</v>
      </c>
      <c r="D257" s="615">
        <f>IF('2. START'!$C$11="NO",SUMIF('8. FACILIT'!$D$18:$D$50,$C251,'8. FACILIT'!U$18:U$50),SUMIF('5. PERSON'!$D$17:$D$192,$C251,'5. PERSON'!CQ$17:CQ$192)+SUMIF('6. OPERATION'!$D$17:$D$149,$C251,'6. OPERATION'!BT$17:BT$149)+SUMIF('8. FACILIT'!$D$18:$D$50,$C251,'8. FACILIT'!U$18:U$50))</f>
        <v>0</v>
      </c>
      <c r="E257" s="615">
        <f>IF('2. START'!$C$11="NO",SUMIF('8. FACILIT'!$D$18:$D$50,$C251,'8. FACILIT'!V$18:V$50),SUMIF('5. PERSON'!$D$17:$D$192,$C251,'5. PERSON'!CR$17:CR$192)+SUMIF('6. OPERATION'!$D$17:$D$149,$C251,'6. OPERATION'!BU$17:BU$149)+SUMIF('8. FACILIT'!$D$18:$D$50,$C251,'8. FACILIT'!V$18:V$50))</f>
        <v>0</v>
      </c>
      <c r="F257" s="615">
        <f>IF('2. START'!$C$11="NO",SUMIF('8. FACILIT'!$D$18:$D$50,$C251,'8. FACILIT'!W$18:W$50),SUMIF('5. PERSON'!$D$17:$D$192,$C251,'5. PERSON'!CS$17:CS$192)+SUMIF('6. OPERATION'!$D$17:$D$149,$C251,'6. OPERATION'!BV$17:BV$149)+SUMIF('8. FACILIT'!$D$18:$D$50,$C251,'8. FACILIT'!W$18:W$50))</f>
        <v>0</v>
      </c>
      <c r="G257" s="615">
        <f>IF('2. START'!$C$11="NO",SUMIF('8. FACILIT'!$D$18:$D$50,$C251,'8. FACILIT'!X$18:X$50),SUMIF('5. PERSON'!$D$17:$D$192,$C251,'5. PERSON'!CT$17:CT$192)+SUMIF('6. OPERATION'!$D$17:$D$149,$C251,'6. OPERATION'!BW$17:BW$149)+SUMIF('8. FACILIT'!$D$18:$D$50,$C251,'8. FACILIT'!X$18:X$50))</f>
        <v>0</v>
      </c>
      <c r="H257" s="615">
        <f>IF('2. START'!$C$11="NO",SUMIF('8. FACILIT'!$D$18:$D$50,$C251,'8. FACILIT'!Y$18:Y$50),SUMIF('5. PERSON'!$D$17:$D$192,$C251,'5. PERSON'!CU$17:CU$192)+SUMIF('6. OPERATION'!$D$17:$D$149,$C251,'6. OPERATION'!BX$17:BX$149)+SUMIF('8. FACILIT'!$D$18:$D$50,$C251,'8. FACILIT'!Y$18:Y$50))</f>
        <v>0</v>
      </c>
      <c r="I257" s="615">
        <f>IF('2. START'!$C$11="NO",SUMIF('8. FACILIT'!$D$18:$D$50,$C251,'8. FACILIT'!Z$18:Z$50),SUMIF('5. PERSON'!$D$17:$D$192,$C251,'5. PERSON'!CV$17:CV$192)+SUMIF('6. OPERATION'!$D$17:$D$149,$C251,'6. OPERATION'!BY$17:BY$149)+SUMIF('8. FACILIT'!$D$18:$D$50,$C251,'8. FACILIT'!Z$18:Z$50))</f>
        <v>0</v>
      </c>
      <c r="J257" s="615">
        <f>IF('2. START'!$C$11="NO",SUMIF('8. FACILIT'!$D$18:$D$50,$C251,'8. FACILIT'!AA$18:AA$50),SUMIF('5. PERSON'!$D$17:$D$192,$C251,'5. PERSON'!CW$17:CW$192)+SUMIF('6. OPERATION'!$D$17:$D$149,$C251,'6. OPERATION'!BZ$17:BZ$149)+SUMIF('8. FACILIT'!$D$18:$D$50,$C251,'8. FACILIT'!AA$18:AA$50))</f>
        <v>0</v>
      </c>
      <c r="K257" s="615">
        <f>IF('2. START'!$C$11="NO",SUMIF('8. FACILIT'!$D$18:$D$50,$C251,'8. FACILIT'!AB$18:AB$50),SUMIF('5. PERSON'!$D$17:$D$192,$C251,'5. PERSON'!CX$17:CX$192)+SUMIF('6. OPERATION'!$D$17:$D$149,$C251,'6. OPERATION'!CA$17:CA$149)+SUMIF('8. FACILIT'!$D$18:$D$50,$C251,'8. FACILIT'!AB$18:AB$50))</f>
        <v>0</v>
      </c>
      <c r="L257" s="615">
        <f>IF('2. START'!$C$11="NO",SUMIF('8. FACILIT'!$D$18:$D$50,$C251,'8. FACILIT'!AC$18:AC$50),SUMIF('5. PERSON'!$D$17:$D$192,$C251,'5. PERSON'!CY$17:CY$192)+SUMIF('6. OPERATION'!$D$17:$D$149,$C251,'6. OPERATION'!CB$17:CB$149)+SUMIF('8. FACILIT'!$D$18:$D$50,$C251,'8. FACILIT'!AC$18:AC$50))</f>
        <v>0</v>
      </c>
      <c r="M257" s="905">
        <f t="shared" si="35"/>
        <v>0</v>
      </c>
    </row>
    <row r="258" spans="2:15" s="234" customFormat="1" ht="13.2" x14ac:dyDescent="0.25">
      <c r="B258" s="122" t="str">
        <f>IF('1. INTRO'!I$2="English",(IF('2. START'!C$11="NO","Indirect and facility charge accepted as OH by funding body","Indirect")),IF('2. START'!C$11="NO","Indirekt och lokalpåslag accepterade som OH av finansiär","Indirekt"))</f>
        <v>Indirect</v>
      </c>
      <c r="C258" s="584">
        <f>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584">
        <f>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584">
        <f>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584">
        <f>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584">
        <f>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584">
        <f>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584">
        <f>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584">
        <f>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584">
        <f>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584">
        <f>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908">
        <f t="shared" si="35"/>
        <v>0</v>
      </c>
    </row>
    <row r="259" spans="2:15" s="234" customFormat="1" ht="13.2" x14ac:dyDescent="0.25">
      <c r="B259" s="628" t="s">
        <v>113</v>
      </c>
      <c r="C259" s="443">
        <f>SUM(C254:C258)</f>
        <v>0</v>
      </c>
      <c r="D259" s="443">
        <f t="shared" ref="D259:L259" si="36">SUM(D254:D258)</f>
        <v>0</v>
      </c>
      <c r="E259" s="443">
        <f t="shared" si="36"/>
        <v>0</v>
      </c>
      <c r="F259" s="443">
        <f t="shared" si="36"/>
        <v>0</v>
      </c>
      <c r="G259" s="443">
        <f t="shared" si="36"/>
        <v>0</v>
      </c>
      <c r="H259" s="443">
        <f t="shared" si="36"/>
        <v>0</v>
      </c>
      <c r="I259" s="443">
        <f t="shared" si="36"/>
        <v>0</v>
      </c>
      <c r="J259" s="443">
        <f t="shared" si="36"/>
        <v>0</v>
      </c>
      <c r="K259" s="443">
        <f t="shared" si="36"/>
        <v>0</v>
      </c>
      <c r="L259" s="443">
        <f t="shared" si="36"/>
        <v>0</v>
      </c>
      <c r="M259" s="630">
        <f t="shared" si="35"/>
        <v>0</v>
      </c>
    </row>
    <row r="260" spans="2:15" s="234" customFormat="1" ht="6" customHeight="1" x14ac:dyDescent="0.25">
      <c r="B260" s="909"/>
      <c r="C260" s="127"/>
      <c r="D260" s="127"/>
      <c r="E260" s="127"/>
      <c r="F260" s="127"/>
      <c r="G260" s="127"/>
      <c r="H260" s="127"/>
      <c r="I260" s="127"/>
      <c r="J260" s="127"/>
      <c r="K260" s="127"/>
      <c r="L260" s="127"/>
      <c r="M260" s="633"/>
    </row>
    <row r="261" spans="2:15" s="234" customFormat="1" ht="13.2" x14ac:dyDescent="0.25">
      <c r="B261" s="129" t="str">
        <f>IF('1. INTRO'!I$2="English","Costs to be co-funded","Kostnader att medfinansiera")</f>
        <v>Costs to be co-funded</v>
      </c>
      <c r="C261" s="634"/>
      <c r="D261" s="634"/>
      <c r="E261" s="634"/>
      <c r="F261" s="634"/>
      <c r="G261" s="634"/>
      <c r="H261" s="634"/>
      <c r="I261" s="634"/>
      <c r="J261" s="634"/>
      <c r="K261" s="634"/>
      <c r="L261" s="634"/>
      <c r="M261" s="129"/>
    </row>
    <row r="262" spans="2:15" s="234" customFormat="1" ht="13.2" x14ac:dyDescent="0.25">
      <c r="B262" s="159" t="str">
        <f>IF('1. INTRO'!I$2="English",(IF('2. START'!C$11="NO","Indirect and facility charge not accepted as OH by funding body","")),IF('2. START'!C$11="NO","Indirekt och lokalpåslag inte accepterade som OH av finansiär",""))</f>
        <v/>
      </c>
      <c r="C262" s="910">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910">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910">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910">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910">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910">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910">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910">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910">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910">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903">
        <f t="shared" ref="M262:M268" si="37">SUM(C262:L262)</f>
        <v>0</v>
      </c>
    </row>
    <row r="263" spans="2:15" s="234" customFormat="1" ht="12.75" customHeight="1" x14ac:dyDescent="0.25">
      <c r="B263" s="132" t="str">
        <f>IF('1. INTRO'!I$2="English",(IF('2. START'!C$14&gt;0,"Social costs (LKP) not accepted by funding body","")),IF('2. START'!C$14&gt;0,"LKP som inte accepteras av finansiär",""))</f>
        <v/>
      </c>
      <c r="C263" s="911">
        <f>IF('2. START'!$C$14&gt;0,SUMIF('5. PERSON'!$D$17:$D$192,$C251,'5. PERSON'!AT$17:AT$192)-SUMIF('5. PERSON'!$D$17:$D$192,$C251,'5. PERSON'!DN$17:DN$192),0)</f>
        <v>0</v>
      </c>
      <c r="D263" s="911">
        <f>IF('2. START'!$C$14&gt;0,SUMIF('5. PERSON'!$D$17:$D$192,$C251,'5. PERSON'!AU$17:AU$192)-SUMIF('5. PERSON'!$D$17:$D$192,$C251,'5. PERSON'!DO$17:DO$192),0)</f>
        <v>0</v>
      </c>
      <c r="E263" s="911">
        <f>IF('2. START'!$C$14&gt;0,SUMIF('5. PERSON'!$D$17:$D$192,$C251,'5. PERSON'!AV$17:AV$192)-SUMIF('5. PERSON'!$D$17:$D$192,$C251,'5. PERSON'!DP$17:DP$192),0)</f>
        <v>0</v>
      </c>
      <c r="F263" s="911">
        <f>IF('2. START'!$C$14&gt;0,SUMIF('5. PERSON'!$D$17:$D$192,$C251,'5. PERSON'!AW$17:AW$192)-SUMIF('5. PERSON'!$D$17:$D$192,$C251,'5. PERSON'!DQ$17:DQ$192),0)</f>
        <v>0</v>
      </c>
      <c r="G263" s="911">
        <f>IF('2. START'!$C$14&gt;0,SUMIF('5. PERSON'!$D$17:$D$192,$C251,'5. PERSON'!AX$17:AX$192)-SUMIF('5. PERSON'!$D$17:$D$192,$C251,'5. PERSON'!DR$17:DR$192),0)</f>
        <v>0</v>
      </c>
      <c r="H263" s="911">
        <f>IF('2. START'!$C$14&gt;0,SUMIF('5. PERSON'!$D$17:$D$192,$C251,'5. PERSON'!AY$17:AY$192)-SUMIF('5. PERSON'!$D$17:$D$192,$C251,'5. PERSON'!DS$17:DS$192),0)</f>
        <v>0</v>
      </c>
      <c r="I263" s="911">
        <f>IF('2. START'!$C$14&gt;0,SUMIF('5. PERSON'!$D$17:$D$192,$C251,'5. PERSON'!AZ$17:AZ$192)-SUMIF('5. PERSON'!$D$17:$D$192,$C251,'5. PERSON'!DT$17:DT$192),0)</f>
        <v>0</v>
      </c>
      <c r="J263" s="911">
        <f>IF('2. START'!$C$14&gt;0,SUMIF('5. PERSON'!$D$17:$D$192,$C251,'5. PERSON'!BA$17:BA$192)-SUMIF('5. PERSON'!$D$17:$D$192,$C251,'5. PERSON'!DU$17:DU$192),0)</f>
        <v>0</v>
      </c>
      <c r="K263" s="911">
        <f>IF('2. START'!$C$14&gt;0,SUMIF('5. PERSON'!$D$17:$D$192,$C251,'5. PERSON'!BB$17:BB$192)-SUMIF('5. PERSON'!$D$17:$D$192,$C251,'5. PERSON'!DV$17:DV$192),0)</f>
        <v>0</v>
      </c>
      <c r="L263" s="911">
        <f>IF('2. START'!$C$14&gt;0,SUMIF('5. PERSON'!$D$17:$D$192,$C251,'5. PERSON'!BC$17:BC$192)-SUMIF('5. PERSON'!$D$17:$D$192,$C251,'5. PERSON'!DW$17:DW$192),0)</f>
        <v>0</v>
      </c>
      <c r="M263" s="905">
        <f t="shared" si="37"/>
        <v>0</v>
      </c>
    </row>
    <row r="264" spans="2:15" s="234" customFormat="1" ht="12.75" customHeight="1" x14ac:dyDescent="0.25">
      <c r="B264" s="906" t="str">
        <f>IF('1. INTRO'!I$2="English",(IF('5. PERSON'!BP$193&gt;0,"Salary including social costs (LKP)","")),IF('5. PERSON'!BP$193&gt;0,"Lön inklusive LKP",""))</f>
        <v/>
      </c>
      <c r="C264" s="622">
        <f>SUMIF('5. PERSON'!$D$17:$D$192,$C251,'5. PERSON'!BF$17:BF$192)</f>
        <v>0</v>
      </c>
      <c r="D264" s="622">
        <f>SUMIF('5. PERSON'!$D$17:$D$192,$C251,'5. PERSON'!BG$17:BG$192)</f>
        <v>0</v>
      </c>
      <c r="E264" s="622">
        <f>SUMIF('5. PERSON'!$D$17:$D$192,$C251,'5. PERSON'!BH$17:BH$192)</f>
        <v>0</v>
      </c>
      <c r="F264" s="622">
        <f>SUMIF('5. PERSON'!$D$17:$D$192,$C251,'5. PERSON'!BI$17:BI$192)</f>
        <v>0</v>
      </c>
      <c r="G264" s="622">
        <f>SUMIF('5. PERSON'!$D$17:$D$192,$C251,'5. PERSON'!BJ$17:BJ$192)</f>
        <v>0</v>
      </c>
      <c r="H264" s="622">
        <f>SUMIF('5. PERSON'!$D$17:$D$192,$C251,'5. PERSON'!BK$17:BK$192)</f>
        <v>0</v>
      </c>
      <c r="I264" s="622">
        <f>SUMIF('5. PERSON'!$D$17:$D$192,$C251,'5. PERSON'!BL$17:BL$192)</f>
        <v>0</v>
      </c>
      <c r="J264" s="622">
        <f>SUMIF('5. PERSON'!$D$17:$D$192,$C251,'5. PERSON'!BM$17:BM$192)</f>
        <v>0</v>
      </c>
      <c r="K264" s="622">
        <f>SUMIF('5. PERSON'!$D$17:$D$192,$C251,'5. PERSON'!BN$17:BN$192)</f>
        <v>0</v>
      </c>
      <c r="L264" s="622">
        <f>SUMIF('5. PERSON'!$D$17:$D$192,$C251,'5. PERSON'!BO$17:BO$192)</f>
        <v>0</v>
      </c>
      <c r="M264" s="907">
        <f t="shared" si="37"/>
        <v>0</v>
      </c>
    </row>
    <row r="265" spans="2:15" s="234" customFormat="1" ht="13.2" x14ac:dyDescent="0.25">
      <c r="B265" s="377" t="str">
        <f>IF('1. INTRO'!I$2="English",(IF('6. OPERATION'!AS$150&gt;0,"Operating","")),IF('6. OPERATION'!AS$150&gt;0,"Drift",""))</f>
        <v/>
      </c>
      <c r="C265" s="617">
        <f>SUMIF('6. OPERATION'!$D$17:$D$149,$C251,'6. OPERATION'!AI$17:AI$149)</f>
        <v>0</v>
      </c>
      <c r="D265" s="617">
        <f>SUMIF('6. OPERATION'!$D$17:$D$149,$C251,'6. OPERATION'!AJ$17:AJ$149)</f>
        <v>0</v>
      </c>
      <c r="E265" s="617">
        <f>SUMIF('6. OPERATION'!$D$17:$D$149,$C251,'6. OPERATION'!AK$17:AK$149)</f>
        <v>0</v>
      </c>
      <c r="F265" s="617">
        <f>SUMIF('6. OPERATION'!$D$17:$D$149,$C251,'6. OPERATION'!AL$17:AL$149)</f>
        <v>0</v>
      </c>
      <c r="G265" s="617">
        <f>SUMIF('6. OPERATION'!$D$17:$D$149,$C251,'6. OPERATION'!AM$17:AM$149)</f>
        <v>0</v>
      </c>
      <c r="H265" s="617">
        <f>SUMIF('6. OPERATION'!$D$17:$D$149,$C251,'6. OPERATION'!AN$17:AN$149)</f>
        <v>0</v>
      </c>
      <c r="I265" s="617">
        <f>SUMIF('6. OPERATION'!$D$17:$D$149,$C251,'6. OPERATION'!AO$17:AO$149)</f>
        <v>0</v>
      </c>
      <c r="J265" s="617">
        <f>SUMIF('6. OPERATION'!$D$17:$D$149,$C251,'6. OPERATION'!AP$17:AP$149)</f>
        <v>0</v>
      </c>
      <c r="K265" s="617">
        <f>SUMIF('6. OPERATION'!$D$17:$D$149,$C251,'6. OPERATION'!AQ$17:AQ$149)</f>
        <v>0</v>
      </c>
      <c r="L265" s="617">
        <f>SUMIF('6. OPERATION'!$D$17:$D$149,$C251,'6. OPERATION'!AR$17:AR$149)</f>
        <v>0</v>
      </c>
      <c r="M265" s="905">
        <f t="shared" si="37"/>
        <v>0</v>
      </c>
    </row>
    <row r="266" spans="2:15" s="234" customFormat="1" ht="13.2" x14ac:dyDescent="0.25">
      <c r="B266" s="906" t="str">
        <f>IF('1. INTRO'!I$2="English",(IF('7. INVEST'!AS$50&gt;0,"Equipment","")),IF('7. INVEST'!AS$50&gt;0,"Utrustning",""))</f>
        <v/>
      </c>
      <c r="C266" s="622">
        <f>SUMIF('7. INVEST'!$D$17:$D$49,$C251,'7. INVEST'!AI$17:AI$49)</f>
        <v>0</v>
      </c>
      <c r="D266" s="622">
        <f>SUMIF('7. INVEST'!$D$17:$D$49,$C251,'7. INVEST'!AJ$17:AJ$49)</f>
        <v>0</v>
      </c>
      <c r="E266" s="622">
        <f>SUMIF('7. INVEST'!$D$17:$D$49,$C251,'7. INVEST'!AK$17:AK$49)</f>
        <v>0</v>
      </c>
      <c r="F266" s="622">
        <f>SUMIF('7. INVEST'!$D$17:$D$49,$C251,'7. INVEST'!AL$17:AL$49)</f>
        <v>0</v>
      </c>
      <c r="G266" s="622">
        <f>SUMIF('7. INVEST'!$D$17:$D$49,$C251,'7. INVEST'!AM$17:AM$49)</f>
        <v>0</v>
      </c>
      <c r="H266" s="622">
        <f>SUMIF('7. INVEST'!$D$17:$D$49,$C251,'7. INVEST'!AN$17:AN$49)</f>
        <v>0</v>
      </c>
      <c r="I266" s="622">
        <f>SUMIF('7. INVEST'!$D$17:$D$49,$C251,'7. INVEST'!AO$17:AO$49)</f>
        <v>0</v>
      </c>
      <c r="J266" s="622">
        <f>SUMIF('7. INVEST'!$D$17:$D$49,$C251,'7. INVEST'!AP$17:AP$49)</f>
        <v>0</v>
      </c>
      <c r="K266" s="622">
        <f>SUMIF('7. INVEST'!$D$17:$D$49,$C251,'7. INVEST'!AQ$17:AQ$49)</f>
        <v>0</v>
      </c>
      <c r="L266" s="622">
        <f>SUMIF('7. INVEST'!$D$17:$D$49,$C251,'7. INVEST'!AR$17:AR$49)</f>
        <v>0</v>
      </c>
      <c r="M266" s="907">
        <f t="shared" si="37"/>
        <v>0</v>
      </c>
    </row>
    <row r="267" spans="2:15" s="234" customFormat="1" ht="13.2" x14ac:dyDescent="0.25">
      <c r="B267" s="121" t="str">
        <f>IF('1. INTRO'!I$2="English",(IF('8. FACILIT'!AP$51&gt;0,"Facility","")),IF('8. FACILIT'!AP$51&gt;0,"Lokal",""))</f>
        <v/>
      </c>
      <c r="C267" s="617">
        <f>SUMIF('5. PERSON'!$D$17:$D$192,$C251,'5. PERSON'!DB$17:DB$192)+SUMIF('6. OPERATION'!$D$17:$D$149,$C251,'6. OPERATION'!CE$17:CE$149)+SUMIF('8. FACILIT'!$D$18:$D$50,$C251,'8. FACILIT'!AF$18:AF$50)</f>
        <v>0</v>
      </c>
      <c r="D267" s="617">
        <f>SUMIF('5. PERSON'!$D$17:$D$192,$C251,'5. PERSON'!DC$17:DC$192)+SUMIF('6. OPERATION'!$D$17:$D$149,$C251,'6. OPERATION'!CF$17:CF$149)+SUMIF('8. FACILIT'!$D$18:$D$50,$C251,'8. FACILIT'!AG$18:AG$50)</f>
        <v>0</v>
      </c>
      <c r="E267" s="617">
        <f>SUMIF('5. PERSON'!$D$17:$D$192,$C251,'5. PERSON'!DD$17:DD$192)+SUMIF('6. OPERATION'!$D$17:$D$149,$C251,'6. OPERATION'!CG$17:CG$149)+SUMIF('8. FACILIT'!$D$18:$D$50,$C251,'8. FACILIT'!AH$18:AH$50)</f>
        <v>0</v>
      </c>
      <c r="F267" s="617">
        <f>SUMIF('5. PERSON'!$D$17:$D$192,$C251,'5. PERSON'!DE$17:DE$192)+SUMIF('6. OPERATION'!$D$17:$D$149,$C251,'6. OPERATION'!CH$17:CH$149)+SUMIF('8. FACILIT'!$D$18:$D$50,$C251,'8. FACILIT'!AI$18:AI$50)</f>
        <v>0</v>
      </c>
      <c r="G267" s="617">
        <f>SUMIF('5. PERSON'!$D$17:$D$192,$C251,'5. PERSON'!DF$17:DF$192)+SUMIF('6. OPERATION'!$D$17:$D$149,$C251,'6. OPERATION'!CI$17:CI$149)+SUMIF('8. FACILIT'!$D$18:$D$50,$C251,'8. FACILIT'!AJ$18:AJ$50)</f>
        <v>0</v>
      </c>
      <c r="H267" s="617">
        <f>SUMIF('5. PERSON'!$D$17:$D$192,$C251,'5. PERSON'!DG$17:DG$192)+SUMIF('6. OPERATION'!$D$17:$D$149,$C251,'6. OPERATION'!CJ$17:CJ$149)+SUMIF('8. FACILIT'!$D$18:$D$50,$C251,'8. FACILIT'!AK$18:AK$50)</f>
        <v>0</v>
      </c>
      <c r="I267" s="617">
        <f>SUMIF('5. PERSON'!$D$17:$D$192,$C251,'5. PERSON'!DH$17:DH$192)+SUMIF('6. OPERATION'!$D$17:$D$149,$C251,'6. OPERATION'!CK$17:CK$149)+SUMIF('8. FACILIT'!$D$18:$D$50,$C251,'8. FACILIT'!AL$18:AL$50)</f>
        <v>0</v>
      </c>
      <c r="J267" s="617">
        <f>SUMIF('5. PERSON'!$D$17:$D$192,$C251,'5. PERSON'!DI$17:DI$192)+SUMIF('6. OPERATION'!$D$17:$D$149,$C251,'6. OPERATION'!CL$17:CL$149)+SUMIF('8. FACILIT'!$D$18:$D$50,$C251,'8. FACILIT'!AM$18:AM$50)</f>
        <v>0</v>
      </c>
      <c r="K267" s="617">
        <f>SUMIF('5. PERSON'!$D$17:$D$192,$C251,'5. PERSON'!DJ$17:DJ$192)+SUMIF('6. OPERATION'!$D$17:$D$149,$C251,'6. OPERATION'!CM$17:CM$149)+SUMIF('8. FACILIT'!$D$18:$D$50,$C251,'8. FACILIT'!AN$18:AN$50)</f>
        <v>0</v>
      </c>
      <c r="L267" s="617">
        <f>SUMIF('5. PERSON'!$D$17:$D$192,$C251,'5. PERSON'!DK$17:DK$192)+SUMIF('6. OPERATION'!$D$17:$D$149,$C251,'6. OPERATION'!CN$17:CN$149)+SUMIF('8. FACILIT'!$D$18:$D$50,$C251,'8. FACILIT'!AO$18:AO$50)</f>
        <v>0</v>
      </c>
      <c r="M267" s="905">
        <f t="shared" si="37"/>
        <v>0</v>
      </c>
    </row>
    <row r="268" spans="2:15" s="912" customFormat="1" ht="13.2" x14ac:dyDescent="0.25">
      <c r="B268" s="122" t="str">
        <f>IF('1. INTRO'!I$2="English",(IF(('5. PERSON'!CN$193+'6. OPERATION'!BQ$150)&gt;0,"Indirect","")),IF(('5. PERSON'!CN$193+'6. OPERATION'!BQ$150)&gt;0,"Indirekt",""))</f>
        <v/>
      </c>
      <c r="C268" s="584">
        <f>SUMIF('5. PERSON'!$D$17:$D$192,$C251,'5. PERSON'!CD$17:CD$192)+SUMIF('6. OPERATION'!$D$17:$D$149,$C251,'6. OPERATION'!BG$17:BG$149)</f>
        <v>0</v>
      </c>
      <c r="D268" s="584">
        <f>SUMIF('5. PERSON'!$D$17:$D$192,$C251,'5. PERSON'!CE$17:CE$192)+SUMIF('6. OPERATION'!$D$17:$D$149,$C251,'6. OPERATION'!BH$17:BH$149)</f>
        <v>0</v>
      </c>
      <c r="E268" s="584">
        <f>SUMIF('5. PERSON'!$D$17:$D$192,$C251,'5. PERSON'!CF$17:CF$192)+SUMIF('6. OPERATION'!$D$17:$D$149,$C251,'6. OPERATION'!BI$17:BI$149)</f>
        <v>0</v>
      </c>
      <c r="F268" s="584">
        <f>SUMIF('5. PERSON'!$D$17:$D$192,$C251,'5. PERSON'!CG$17:CG$192)+SUMIF('6. OPERATION'!$D$17:$D$149,$C251,'6. OPERATION'!BJ$17:BJ$149)</f>
        <v>0</v>
      </c>
      <c r="G268" s="584">
        <f>SUMIF('5. PERSON'!$D$17:$D$192,$C251,'5. PERSON'!CH$17:CH$192)+SUMIF('6. OPERATION'!$D$17:$D$149,$C251,'6. OPERATION'!BK$17:BK$149)</f>
        <v>0</v>
      </c>
      <c r="H268" s="584">
        <f>SUMIF('5. PERSON'!$D$17:$D$192,$C251,'5. PERSON'!CI$17:CI$192)+SUMIF('6. OPERATION'!$D$17:$D$149,$C251,'6. OPERATION'!BL$17:BL$149)</f>
        <v>0</v>
      </c>
      <c r="I268" s="584">
        <f>SUMIF('5. PERSON'!$D$17:$D$192,$C251,'5. PERSON'!CJ$17:CJ$192)+SUMIF('6. OPERATION'!$D$17:$D$149,$C251,'6. OPERATION'!BM$17:BM$149)</f>
        <v>0</v>
      </c>
      <c r="J268" s="584">
        <f>SUMIF('5. PERSON'!$D$17:$D$192,$C251,'5. PERSON'!CK$17:CK$192)+SUMIF('6. OPERATION'!$D$17:$D$149,$C251,'6. OPERATION'!BN$17:BN$149)</f>
        <v>0</v>
      </c>
      <c r="K268" s="584">
        <f>SUMIF('5. PERSON'!$D$17:$D$192,$C251,'5. PERSON'!CL$17:CL$192)+SUMIF('6. OPERATION'!$D$17:$D$149,$C251,'6. OPERATION'!BO$17:BO$149)</f>
        <v>0</v>
      </c>
      <c r="L268" s="584">
        <f>SUMIF('5. PERSON'!$D$17:$D$192,$C251,'5. PERSON'!CM$17:CM$192)+SUMIF('6. OPERATION'!$D$17:$D$149,$C251,'6. OPERATION'!BP$17:BP$149)</f>
        <v>0</v>
      </c>
      <c r="M268" s="908">
        <f t="shared" si="37"/>
        <v>0</v>
      </c>
    </row>
    <row r="269" spans="2:15" s="234" customFormat="1" ht="13.2" x14ac:dyDescent="0.25">
      <c r="B269" s="628" t="s">
        <v>113</v>
      </c>
      <c r="C269" s="443">
        <f>SUM(C262:C268)</f>
        <v>0</v>
      </c>
      <c r="D269" s="443">
        <f t="shared" ref="D269:M269" si="38">SUM(D262:D268)</f>
        <v>0</v>
      </c>
      <c r="E269" s="443">
        <f t="shared" si="38"/>
        <v>0</v>
      </c>
      <c r="F269" s="443">
        <f t="shared" si="38"/>
        <v>0</v>
      </c>
      <c r="G269" s="443">
        <f t="shared" si="38"/>
        <v>0</v>
      </c>
      <c r="H269" s="443">
        <f t="shared" si="38"/>
        <v>0</v>
      </c>
      <c r="I269" s="443">
        <f t="shared" si="38"/>
        <v>0</v>
      </c>
      <c r="J269" s="443">
        <f t="shared" si="38"/>
        <v>0</v>
      </c>
      <c r="K269" s="443">
        <f t="shared" si="38"/>
        <v>0</v>
      </c>
      <c r="L269" s="443">
        <f t="shared" si="38"/>
        <v>0</v>
      </c>
      <c r="M269" s="630">
        <f t="shared" si="38"/>
        <v>0</v>
      </c>
      <c r="N269" s="913"/>
      <c r="O269" s="913"/>
    </row>
    <row r="270" spans="2:15" s="234" customFormat="1" ht="6" customHeight="1" x14ac:dyDescent="0.25">
      <c r="B270" s="914"/>
      <c r="C270" s="127"/>
      <c r="D270" s="127"/>
      <c r="E270" s="127"/>
      <c r="F270" s="127"/>
      <c r="G270" s="127"/>
      <c r="H270" s="127"/>
      <c r="I270" s="127"/>
      <c r="J270" s="127"/>
      <c r="K270" s="127"/>
      <c r="L270" s="127"/>
      <c r="M270" s="636"/>
    </row>
    <row r="271" spans="2:15" s="234" customFormat="1" ht="13.2" x14ac:dyDescent="0.25">
      <c r="B271" s="129" t="str">
        <f>IF('1. INTRO'!I$2="English","Full cost","Full kostnad")</f>
        <v>Full cost</v>
      </c>
      <c r="C271" s="127"/>
      <c r="D271" s="127"/>
      <c r="E271" s="127"/>
      <c r="F271" s="127"/>
      <c r="G271" s="127"/>
      <c r="H271" s="127"/>
      <c r="I271" s="127"/>
      <c r="J271" s="127"/>
      <c r="K271" s="127"/>
      <c r="L271" s="127"/>
      <c r="M271" s="636"/>
    </row>
    <row r="272" spans="2:15" s="234" customFormat="1" ht="13.2" x14ac:dyDescent="0.25">
      <c r="B272" s="902" t="str">
        <f>IF('1. INTRO'!I$2="English","Salary including social costs (LKP)","Lön inklusive LKP")</f>
        <v>Salary including social costs (LKP)</v>
      </c>
      <c r="C272" s="138">
        <f>C254+C263+C264</f>
        <v>0</v>
      </c>
      <c r="D272" s="138">
        <f t="shared" ref="D272:L272" si="39">D254+D263+D264</f>
        <v>0</v>
      </c>
      <c r="E272" s="138">
        <f t="shared" si="39"/>
        <v>0</v>
      </c>
      <c r="F272" s="138">
        <f t="shared" si="39"/>
        <v>0</v>
      </c>
      <c r="G272" s="138">
        <f t="shared" si="39"/>
        <v>0</v>
      </c>
      <c r="H272" s="138">
        <f t="shared" si="39"/>
        <v>0</v>
      </c>
      <c r="I272" s="138">
        <f t="shared" si="39"/>
        <v>0</v>
      </c>
      <c r="J272" s="138">
        <f t="shared" si="39"/>
        <v>0</v>
      </c>
      <c r="K272" s="138">
        <f t="shared" si="39"/>
        <v>0</v>
      </c>
      <c r="L272" s="138">
        <f t="shared" si="39"/>
        <v>0</v>
      </c>
      <c r="M272" s="903">
        <f>SUM(C272:L272)</f>
        <v>0</v>
      </c>
    </row>
    <row r="273" spans="2:13" s="234" customFormat="1" ht="13.2" x14ac:dyDescent="0.25">
      <c r="B273" s="377" t="str">
        <f>IF('1. INTRO'!I$2="English","Operating","Drift")</f>
        <v>Operating</v>
      </c>
      <c r="C273" s="139">
        <f>C255+C265</f>
        <v>0</v>
      </c>
      <c r="D273" s="139">
        <f t="shared" ref="D273:L273" si="40">D255+D265</f>
        <v>0</v>
      </c>
      <c r="E273" s="139">
        <f t="shared" si="40"/>
        <v>0</v>
      </c>
      <c r="F273" s="139">
        <f t="shared" si="40"/>
        <v>0</v>
      </c>
      <c r="G273" s="139">
        <f t="shared" si="40"/>
        <v>0</v>
      </c>
      <c r="H273" s="139">
        <f t="shared" si="40"/>
        <v>0</v>
      </c>
      <c r="I273" s="139">
        <f t="shared" si="40"/>
        <v>0</v>
      </c>
      <c r="J273" s="139">
        <f t="shared" si="40"/>
        <v>0</v>
      </c>
      <c r="K273" s="139">
        <f t="shared" si="40"/>
        <v>0</v>
      </c>
      <c r="L273" s="139">
        <f t="shared" si="40"/>
        <v>0</v>
      </c>
      <c r="M273" s="905">
        <f>SUM(C273:L273)</f>
        <v>0</v>
      </c>
    </row>
    <row r="274" spans="2:13" s="234" customFormat="1" ht="13.2" x14ac:dyDescent="0.25">
      <c r="B274" s="906" t="str">
        <f>IF('1. INTRO'!I$2="English","Equipment","Utrustning")</f>
        <v>Equipment</v>
      </c>
      <c r="C274" s="140">
        <f>C256+C266</f>
        <v>0</v>
      </c>
      <c r="D274" s="140">
        <f t="shared" ref="D274:L274" si="41">D256+D266</f>
        <v>0</v>
      </c>
      <c r="E274" s="140">
        <f t="shared" si="41"/>
        <v>0</v>
      </c>
      <c r="F274" s="140">
        <f t="shared" si="41"/>
        <v>0</v>
      </c>
      <c r="G274" s="140">
        <f t="shared" si="41"/>
        <v>0</v>
      </c>
      <c r="H274" s="140">
        <f t="shared" si="41"/>
        <v>0</v>
      </c>
      <c r="I274" s="140">
        <f t="shared" si="41"/>
        <v>0</v>
      </c>
      <c r="J274" s="140">
        <f t="shared" si="41"/>
        <v>0</v>
      </c>
      <c r="K274" s="140">
        <f t="shared" si="41"/>
        <v>0</v>
      </c>
      <c r="L274" s="140">
        <f t="shared" si="41"/>
        <v>0</v>
      </c>
      <c r="M274" s="907">
        <f>SUM(C274:L274)</f>
        <v>0</v>
      </c>
    </row>
    <row r="275" spans="2:13" s="234" customFormat="1" ht="13.2" x14ac:dyDescent="0.25">
      <c r="B275" s="377" t="str">
        <f>IF('1. INTRO'!I$2="English","Facility","Lokal")</f>
        <v>Facility</v>
      </c>
      <c r="C275" s="139">
        <f>SUMIF('5. PERSON'!$D$17:$D$192,$C251,'5. PERSON'!CP$17:CP$192)+SUMIF('5. PERSON'!$D$17:$D$192,$C251,'5. PERSON'!DB$17:DB$192)+SUMIF('6. OPERATION'!$D$17:$D$149,$C251,'6. OPERATION'!BS$17:BS$149)+SUMIF('6. OPERATION'!$D$17:$D$149,$C251,'6. OPERATION'!CE$17:CE$149)+SUMIF('8. FACILIT'!$D$18:$D$50,$C251,'8. FACILIT'!T$18:T$50)+SUMIF('8. FACILIT'!$D$18:$D$50,$C251,'8. FACILIT'!AF$18:AF$50)</f>
        <v>0</v>
      </c>
      <c r="D275" s="139">
        <f>SUMIF('5. PERSON'!$D$17:$D$192,$C251,'5. PERSON'!CQ$17:CQ$192)+SUMIF('5. PERSON'!$D$17:$D$192,$C251,'5. PERSON'!DC$17:DC$192)+SUMIF('6. OPERATION'!$D$17:$D$149,$C251,'6. OPERATION'!BT$17:BT$149)+SUMIF('6. OPERATION'!$D$17:$D$149,$C251,'6. OPERATION'!CF$17:CF$149)+SUMIF('8. FACILIT'!$D$18:$D$50,$C251,'8. FACILIT'!U$18:U$50)+SUMIF('8. FACILIT'!$D$18:$D$50,$C251,'8. FACILIT'!AG$18:AG$50)</f>
        <v>0</v>
      </c>
      <c r="E275" s="139">
        <f>SUMIF('5. PERSON'!$D$17:$D$192,$C251,'5. PERSON'!CR$17:CR$192)+SUMIF('5. PERSON'!$D$17:$D$192,$C251,'5. PERSON'!DD$17:DD$192)+SUMIF('6. OPERATION'!$D$17:$D$149,$C251,'6. OPERATION'!BU$17:BU$149)+SUMIF('6. OPERATION'!$D$17:$D$149,$C251,'6. OPERATION'!CG$17:CG$149)+SUMIF('8. FACILIT'!$D$18:$D$50,$C251,'8. FACILIT'!V$18:V$50)+SUMIF('8. FACILIT'!$D$18:$D$50,$C251,'8. FACILIT'!AH$18:AH$50)</f>
        <v>0</v>
      </c>
      <c r="F275" s="139">
        <f>SUMIF('5. PERSON'!$D$17:$D$192,$C251,'5. PERSON'!CS$17:CS$192)+SUMIF('5. PERSON'!$D$17:$D$192,$C251,'5. PERSON'!DE$17:DE$192)+SUMIF('6. OPERATION'!$D$17:$D$149,$C251,'6. OPERATION'!BV$17:BV$149)+SUMIF('6. OPERATION'!$D$17:$D$149,$C251,'6. OPERATION'!CH$17:CH$149)+SUMIF('8. FACILIT'!$D$18:$D$50,$C251,'8. FACILIT'!W$18:W$50)+SUMIF('8. FACILIT'!$D$18:$D$50,$C251,'8. FACILIT'!AI$18:AI$50)</f>
        <v>0</v>
      </c>
      <c r="G275" s="139">
        <f>SUMIF('5. PERSON'!$D$17:$D$192,$C251,'5. PERSON'!CT$17:CT$192)+SUMIF('5. PERSON'!$D$17:$D$192,$C251,'5. PERSON'!DF$17:DF$192)+SUMIF('6. OPERATION'!$D$17:$D$149,$C251,'6. OPERATION'!BW$17:BW$149)+SUMIF('6. OPERATION'!$D$17:$D$149,$C251,'6. OPERATION'!CI$17:CI$149)+SUMIF('8. FACILIT'!$D$18:$D$50,$C251,'8. FACILIT'!X$18:X$50)+SUMIF('8. FACILIT'!$D$18:$D$50,$C251,'8. FACILIT'!AJ$18:AJ$50)</f>
        <v>0</v>
      </c>
      <c r="H275" s="139">
        <f>SUMIF('5. PERSON'!$D$17:$D$192,$C251,'5. PERSON'!CU$17:CU$192)+SUMIF('5. PERSON'!$D$17:$D$192,$C251,'5. PERSON'!DG$17:DG$192)+SUMIF('6. OPERATION'!$D$17:$D$149,$C251,'6. OPERATION'!BX$17:BX$149)+SUMIF('6. OPERATION'!$D$17:$D$149,$C251,'6. OPERATION'!CJ$17:CJ$149)+SUMIF('8. FACILIT'!$D$18:$D$50,$C251,'8. FACILIT'!Y$18:Y$50)+SUMIF('8. FACILIT'!$D$18:$D$50,$C251,'8. FACILIT'!AK$18:AK$50)</f>
        <v>0</v>
      </c>
      <c r="I275" s="139">
        <f>SUMIF('5. PERSON'!$D$17:$D$192,$C251,'5. PERSON'!CV$17:CV$192)+SUMIF('5. PERSON'!$D$17:$D$192,$C251,'5. PERSON'!DH$17:DH$192)+SUMIF('6. OPERATION'!$D$17:$D$149,$C251,'6. OPERATION'!BY$17:BY$149)+SUMIF('6. OPERATION'!$D$17:$D$149,$C251,'6. OPERATION'!CK$17:CK$149)+SUMIF('8. FACILIT'!$D$18:$D$50,$C251,'8. FACILIT'!Z$18:Z$50)+SUMIF('8. FACILIT'!$D$18:$D$50,$C251,'8. FACILIT'!AL$18:AL$50)</f>
        <v>0</v>
      </c>
      <c r="J275" s="139">
        <f>SUMIF('5. PERSON'!$D$17:$D$192,$C251,'5. PERSON'!CW$17:CW$192)+SUMIF('5. PERSON'!$D$17:$D$192,$C251,'5. PERSON'!DI$17:DI$192)+SUMIF('6. OPERATION'!$D$17:$D$149,$C251,'6. OPERATION'!BZ$17:BZ$149)+SUMIF('6. OPERATION'!$D$17:$D$149,$C251,'6. OPERATION'!CL$17:CL$149)+SUMIF('8. FACILIT'!$D$18:$D$50,$C251,'8. FACILIT'!AA$18:AA$50)+SUMIF('8. FACILIT'!$D$18:$D$50,$C251,'8. FACILIT'!AM$18:AM$50)</f>
        <v>0</v>
      </c>
      <c r="K275" s="139">
        <f>SUMIF('5. PERSON'!$D$17:$D$192,$C251,'5. PERSON'!CX$17:CX$192)+SUMIF('5. PERSON'!$D$17:$D$192,$C251,'5. PERSON'!DJ$17:DJ$192)+SUMIF('6. OPERATION'!$D$17:$D$149,$C251,'6. OPERATION'!CA$17:CA$149)+SUMIF('6. OPERATION'!$D$17:$D$149,$C251,'6. OPERATION'!CM$17:CM$149)+SUMIF('8. FACILIT'!$D$18:$D$50,$C251,'8. FACILIT'!AB$18:AB$50)+SUMIF('8. FACILIT'!$D$18:$D$50,$C251,'8. FACILIT'!AN$18:AN$50)</f>
        <v>0</v>
      </c>
      <c r="L275" s="139">
        <f>SUMIF('5. PERSON'!$D$17:$D$192,$C251,'5. PERSON'!CY$17:CY$192)+SUMIF('5. PERSON'!$D$17:$D$192,$C251,'5. PERSON'!DK$17:DK$192)+SUMIF('6. OPERATION'!$D$17:$D$149,$C251,'6. OPERATION'!CB$17:CB$149)+SUMIF('6. OPERATION'!$D$17:$D$149,$C251,'6. OPERATION'!CN$17:CN$149)+SUMIF('8. FACILIT'!$D$18:$D$50,$C251,'8. FACILIT'!AC$18:AC$50)+SUMIF('8. FACILIT'!$D$18:$D$50,$C251,'8. FACILIT'!AO$18:AO$50)</f>
        <v>0</v>
      </c>
      <c r="M275" s="905">
        <f>SUM(C275:L275)</f>
        <v>0</v>
      </c>
    </row>
    <row r="276" spans="2:13" s="234" customFormat="1" ht="13.2" x14ac:dyDescent="0.25">
      <c r="B276" s="915" t="str">
        <f>IF('1. INTRO'!I$2="English","Indirect","Indirekt")</f>
        <v>Indirect</v>
      </c>
      <c r="C276" s="141">
        <f>SUMIF('5. PERSON'!$D$17:$D$192,$C251,'5. PERSON'!BR$17:BR$192)+SUMIF('5. PERSON'!$D$17:$D$192,$C251,'5. PERSON'!CD$17:CD$192)+SUMIF('6. OPERATION'!$D$17:$D$149,$C251,'6. OPERATION'!AU$17:AU$149)+SUMIF('6. OPERATION'!$D$17:$D$149,$C251,'6. OPERATION'!BG$17:BG$149)</f>
        <v>0</v>
      </c>
      <c r="D276" s="141">
        <f>SUMIF('5. PERSON'!$D$17:$D$192,$C251,'5. PERSON'!BS$17:BS$192)+SUMIF('5. PERSON'!$D$17:$D$192,$C251,'5. PERSON'!CE$17:CE$192)+SUMIF('6. OPERATION'!$D$17:$D$149,$C251,'6. OPERATION'!AV$17:AV$149)+SUMIF('6. OPERATION'!$D$17:$D$149,$C251,'6. OPERATION'!BH$17:BH$149)</f>
        <v>0</v>
      </c>
      <c r="E276" s="141">
        <f>SUMIF('5. PERSON'!$D$17:$D$192,$C251,'5. PERSON'!BT$17:BT$192)+SUMIF('5. PERSON'!$D$17:$D$192,$C251,'5. PERSON'!CF$17:CF$192)+SUMIF('6. OPERATION'!$D$17:$D$149,$C251,'6. OPERATION'!AW$17:AW$149)+SUMIF('6. OPERATION'!$D$17:$D$149,$C251,'6. OPERATION'!BI$17:BI$149)</f>
        <v>0</v>
      </c>
      <c r="F276" s="141">
        <f>SUMIF('5. PERSON'!$D$17:$D$192,$C251,'5. PERSON'!BU$17:BU$192)+SUMIF('5. PERSON'!$D$17:$D$192,$C251,'5. PERSON'!CG$17:CG$192)+SUMIF('6. OPERATION'!$D$17:$D$149,$C251,'6. OPERATION'!AX$17:AX$149)+SUMIF('6. OPERATION'!$D$17:$D$149,$C251,'6. OPERATION'!BJ$17:BJ$149)</f>
        <v>0</v>
      </c>
      <c r="G276" s="141">
        <f>SUMIF('5. PERSON'!$D$17:$D$192,$C251,'5. PERSON'!BV$17:BV$192)+SUMIF('5. PERSON'!$D$17:$D$192,$C251,'5. PERSON'!CH$17:CH$192)+SUMIF('6. OPERATION'!$D$17:$D$149,$C251,'6. OPERATION'!AY$17:AY$149)+SUMIF('6. OPERATION'!$D$17:$D$149,$C251,'6. OPERATION'!BK$17:BK$149)</f>
        <v>0</v>
      </c>
      <c r="H276" s="141">
        <f>SUMIF('5. PERSON'!$D$17:$D$192,$C251,'5. PERSON'!BW$17:BW$192)+SUMIF('5. PERSON'!$D$17:$D$192,$C251,'5. PERSON'!CI$17:CI$192)+SUMIF('6. OPERATION'!$D$17:$D$149,$C251,'6. OPERATION'!AZ$17:AZ$149)+SUMIF('6. OPERATION'!$D$17:$D$149,$C251,'6. OPERATION'!BL$17:BL$149)</f>
        <v>0</v>
      </c>
      <c r="I276" s="141">
        <f>SUMIF('5. PERSON'!$D$17:$D$192,$C251,'5. PERSON'!BX$17:BX$192)+SUMIF('5. PERSON'!$D$17:$D$192,$C251,'5. PERSON'!CJ$17:CJ$192)+SUMIF('6. OPERATION'!$D$17:$D$149,$C251,'6. OPERATION'!BA$17:BA$149)+SUMIF('6. OPERATION'!$D$17:$D$149,$C251,'6. OPERATION'!BM$17:BM$149)</f>
        <v>0</v>
      </c>
      <c r="J276" s="141">
        <f>SUMIF('5. PERSON'!$D$17:$D$192,$C251,'5. PERSON'!BY$17:BY$192)+SUMIF('5. PERSON'!$D$17:$D$192,$C251,'5. PERSON'!CK$17:CK$192)+SUMIF('6. OPERATION'!$D$17:$D$149,$C251,'6. OPERATION'!BB$17:BB$149)+SUMIF('6. OPERATION'!$D$17:$D$149,$C251,'6. OPERATION'!BN$17:BN$149)</f>
        <v>0</v>
      </c>
      <c r="K276" s="141">
        <f>SUMIF('5. PERSON'!$D$17:$D$192,$C251,'5. PERSON'!BZ$17:BZ$192)+SUMIF('5. PERSON'!$D$17:$D$192,$C251,'5. PERSON'!CL$17:CL$192)+SUMIF('6. OPERATION'!$D$17:$D$149,$C251,'6. OPERATION'!BC$17:BC$149)+SUMIF('6. OPERATION'!$D$17:$D$149,$C251,'6. OPERATION'!BO$17:BO$149)</f>
        <v>0</v>
      </c>
      <c r="L276" s="141">
        <f>SUMIF('5. PERSON'!$D$17:$D$192,$C251,'5. PERSON'!CA$17:CA$192)+SUMIF('5. PERSON'!$D$17:$D$192,$C251,'5. PERSON'!CM$17:CM$192)+SUMIF('6. OPERATION'!$D$17:$D$149,$C251,'6. OPERATION'!BD$17:BD$149)+SUMIF('6. OPERATION'!$D$17:$D$149,$C251,'6. OPERATION'!BP$17:BP$149)</f>
        <v>0</v>
      </c>
      <c r="M276" s="908">
        <f>SUM(C276:L276)</f>
        <v>0</v>
      </c>
    </row>
    <row r="277" spans="2:13" s="234" customFormat="1" ht="13.2" x14ac:dyDescent="0.25">
      <c r="B277" s="628" t="s">
        <v>113</v>
      </c>
      <c r="C277" s="520">
        <f>SUM(C272:C276)</f>
        <v>0</v>
      </c>
      <c r="D277" s="520">
        <f t="shared" ref="D277:M277" si="42">SUM(D272:D276)</f>
        <v>0</v>
      </c>
      <c r="E277" s="520">
        <f t="shared" si="42"/>
        <v>0</v>
      </c>
      <c r="F277" s="520">
        <f t="shared" si="42"/>
        <v>0</v>
      </c>
      <c r="G277" s="520">
        <f t="shared" si="42"/>
        <v>0</v>
      </c>
      <c r="H277" s="520">
        <f t="shared" si="42"/>
        <v>0</v>
      </c>
      <c r="I277" s="520">
        <f t="shared" si="42"/>
        <v>0</v>
      </c>
      <c r="J277" s="520">
        <f t="shared" si="42"/>
        <v>0</v>
      </c>
      <c r="K277" s="520">
        <f t="shared" si="42"/>
        <v>0</v>
      </c>
      <c r="L277" s="520">
        <f t="shared" si="42"/>
        <v>0</v>
      </c>
      <c r="M277" s="916">
        <f t="shared" si="42"/>
        <v>0</v>
      </c>
    </row>
    <row r="278" spans="2:13" s="234" customFormat="1" ht="13.2" x14ac:dyDescent="0.25">
      <c r="B278" s="676"/>
      <c r="C278" s="268"/>
      <c r="D278" s="268"/>
      <c r="E278" s="268"/>
      <c r="F278" s="268"/>
      <c r="G278" s="268"/>
      <c r="H278" s="268"/>
      <c r="I278" s="268"/>
      <c r="J278" s="268"/>
      <c r="K278" s="268"/>
      <c r="L278" s="268"/>
      <c r="M278" s="268"/>
    </row>
    <row r="279" spans="2:13" s="234" customFormat="1" ht="12.75" customHeight="1" x14ac:dyDescent="0.25">
      <c r="B279" s="676" t="str">
        <f>IF('1. INTRO'!I$2="English","Co-funding share in full cost ","Medfinansieringsandel i full kostnad ")</f>
        <v xml:space="preserve">Co-funding share in full cost </v>
      </c>
      <c r="C279" s="640" t="str">
        <f t="shared" ref="C279:M279" si="43">IF(C277&gt;0,C269/C277,"")</f>
        <v/>
      </c>
      <c r="D279" s="640" t="str">
        <f t="shared" si="43"/>
        <v/>
      </c>
      <c r="E279" s="640" t="str">
        <f t="shared" si="43"/>
        <v/>
      </c>
      <c r="F279" s="640" t="str">
        <f t="shared" si="43"/>
        <v/>
      </c>
      <c r="G279" s="640" t="str">
        <f t="shared" si="43"/>
        <v/>
      </c>
      <c r="H279" s="640" t="str">
        <f t="shared" si="43"/>
        <v/>
      </c>
      <c r="I279" s="640" t="str">
        <f t="shared" si="43"/>
        <v/>
      </c>
      <c r="J279" s="640" t="str">
        <f t="shared" si="43"/>
        <v/>
      </c>
      <c r="K279" s="640" t="str">
        <f t="shared" si="43"/>
        <v/>
      </c>
      <c r="L279" s="640" t="str">
        <f t="shared" si="43"/>
        <v/>
      </c>
      <c r="M279" s="640" t="str">
        <f t="shared" si="43"/>
        <v/>
      </c>
    </row>
    <row r="280" spans="2:13" s="268" customFormat="1" ht="12.75" customHeight="1" x14ac:dyDescent="0.25"/>
    <row r="281" spans="2:13" s="268" customFormat="1" ht="12.75" customHeight="1" x14ac:dyDescent="0.25">
      <c r="B281" s="667" t="str">
        <f>IF('1. INTRO'!I$2="English","Calculation comments","Kalkylkommentarer")</f>
        <v>Calculation comments</v>
      </c>
    </row>
    <row r="282" spans="2:13" s="268" customFormat="1" ht="12.75" customHeight="1" x14ac:dyDescent="0.25">
      <c r="B282" s="1264"/>
      <c r="C282" s="1265"/>
      <c r="D282" s="1265"/>
      <c r="E282" s="1265"/>
      <c r="F282" s="1265"/>
      <c r="G282" s="1265"/>
      <c r="H282" s="1265"/>
      <c r="I282" s="1265"/>
      <c r="J282" s="1265"/>
      <c r="K282" s="1265"/>
      <c r="L282" s="1265"/>
      <c r="M282" s="1266"/>
    </row>
    <row r="283" spans="2:13" s="268" customFormat="1" ht="12.75" customHeight="1" x14ac:dyDescent="0.25">
      <c r="B283" s="1267"/>
      <c r="C283" s="1268"/>
      <c r="D283" s="1268"/>
      <c r="E283" s="1268"/>
      <c r="F283" s="1268"/>
      <c r="G283" s="1268"/>
      <c r="H283" s="1268"/>
      <c r="I283" s="1268"/>
      <c r="J283" s="1268"/>
      <c r="K283" s="1268"/>
      <c r="L283" s="1268"/>
      <c r="M283" s="1269"/>
    </row>
    <row r="284" spans="2:13" s="268" customFormat="1" ht="12.75" customHeight="1" x14ac:dyDescent="0.25">
      <c r="B284" s="1267"/>
      <c r="C284" s="1268"/>
      <c r="D284" s="1268"/>
      <c r="E284" s="1268"/>
      <c r="F284" s="1268"/>
      <c r="G284" s="1268"/>
      <c r="H284" s="1268"/>
      <c r="I284" s="1268"/>
      <c r="J284" s="1268"/>
      <c r="K284" s="1268"/>
      <c r="L284" s="1268"/>
      <c r="M284" s="1269"/>
    </row>
    <row r="285" spans="2:13" s="268" customFormat="1" ht="12.75" customHeight="1" x14ac:dyDescent="0.25">
      <c r="B285" s="1267"/>
      <c r="C285" s="1268"/>
      <c r="D285" s="1268"/>
      <c r="E285" s="1268"/>
      <c r="F285" s="1268"/>
      <c r="G285" s="1268"/>
      <c r="H285" s="1268"/>
      <c r="I285" s="1268"/>
      <c r="J285" s="1268"/>
      <c r="K285" s="1268"/>
      <c r="L285" s="1268"/>
      <c r="M285" s="1269"/>
    </row>
    <row r="286" spans="2:13" s="268" customFormat="1" ht="12.75" customHeight="1" x14ac:dyDescent="0.25">
      <c r="B286" s="1267"/>
      <c r="C286" s="1268"/>
      <c r="D286" s="1268"/>
      <c r="E286" s="1268"/>
      <c r="F286" s="1268"/>
      <c r="G286" s="1268"/>
      <c r="H286" s="1268"/>
      <c r="I286" s="1268"/>
      <c r="J286" s="1268"/>
      <c r="K286" s="1268"/>
      <c r="L286" s="1268"/>
      <c r="M286" s="1269"/>
    </row>
    <row r="287" spans="2:13" s="268" customFormat="1" ht="12.75" customHeight="1" x14ac:dyDescent="0.25">
      <c r="B287" s="1270"/>
      <c r="C287" s="1271"/>
      <c r="D287" s="1271"/>
      <c r="E287" s="1271"/>
      <c r="F287" s="1271"/>
      <c r="G287" s="1271"/>
      <c r="H287" s="1271"/>
      <c r="I287" s="1271"/>
      <c r="J287" s="1271"/>
      <c r="K287" s="1271"/>
      <c r="L287" s="1271"/>
      <c r="M287" s="1272"/>
    </row>
    <row r="288" spans="2:13" s="268" customFormat="1" x14ac:dyDescent="0.25">
      <c r="B288" s="1270"/>
      <c r="C288" s="1271"/>
      <c r="D288" s="1271"/>
      <c r="E288" s="1271"/>
      <c r="F288" s="1271"/>
      <c r="G288" s="1271"/>
      <c r="H288" s="1271"/>
      <c r="I288" s="1271"/>
      <c r="J288" s="1271"/>
      <c r="K288" s="1271"/>
      <c r="L288" s="1271"/>
      <c r="M288" s="1272"/>
    </row>
    <row r="289" spans="2:13" s="268" customFormat="1" x14ac:dyDescent="0.25">
      <c r="B289" s="1270"/>
      <c r="C289" s="1271"/>
      <c r="D289" s="1271"/>
      <c r="E289" s="1271"/>
      <c r="F289" s="1271"/>
      <c r="G289" s="1271"/>
      <c r="H289" s="1271"/>
      <c r="I289" s="1271"/>
      <c r="J289" s="1271"/>
      <c r="K289" s="1271"/>
      <c r="L289" s="1271"/>
      <c r="M289" s="1272"/>
    </row>
    <row r="290" spans="2:13" s="268" customFormat="1" x14ac:dyDescent="0.25">
      <c r="B290" s="1270"/>
      <c r="C290" s="1271"/>
      <c r="D290" s="1271"/>
      <c r="E290" s="1271"/>
      <c r="F290" s="1271"/>
      <c r="G290" s="1271"/>
      <c r="H290" s="1271"/>
      <c r="I290" s="1271"/>
      <c r="J290" s="1271"/>
      <c r="K290" s="1271"/>
      <c r="L290" s="1271"/>
      <c r="M290" s="1272"/>
    </row>
    <row r="291" spans="2:13" s="268" customFormat="1" x14ac:dyDescent="0.25">
      <c r="B291" s="1270"/>
      <c r="C291" s="1271"/>
      <c r="D291" s="1271"/>
      <c r="E291" s="1271"/>
      <c r="F291" s="1271"/>
      <c r="G291" s="1271"/>
      <c r="H291" s="1271"/>
      <c r="I291" s="1271"/>
      <c r="J291" s="1271"/>
      <c r="K291" s="1271"/>
      <c r="L291" s="1271"/>
      <c r="M291" s="1272"/>
    </row>
    <row r="292" spans="2:13" s="268" customFormat="1" x14ac:dyDescent="0.25">
      <c r="B292" s="1270"/>
      <c r="C292" s="1271"/>
      <c r="D292" s="1271"/>
      <c r="E292" s="1271"/>
      <c r="F292" s="1271"/>
      <c r="G292" s="1271"/>
      <c r="H292" s="1271"/>
      <c r="I292" s="1271"/>
      <c r="J292" s="1271"/>
      <c r="K292" s="1271"/>
      <c r="L292" s="1271"/>
      <c r="M292" s="1272"/>
    </row>
    <row r="293" spans="2:13" s="268" customFormat="1" x14ac:dyDescent="0.25">
      <c r="B293" s="1270"/>
      <c r="C293" s="1271"/>
      <c r="D293" s="1271"/>
      <c r="E293" s="1271"/>
      <c r="F293" s="1271"/>
      <c r="G293" s="1271"/>
      <c r="H293" s="1271"/>
      <c r="I293" s="1271"/>
      <c r="J293" s="1271"/>
      <c r="K293" s="1271"/>
      <c r="L293" s="1271"/>
      <c r="M293" s="1272"/>
    </row>
    <row r="294" spans="2:13" s="268" customFormat="1" x14ac:dyDescent="0.25">
      <c r="B294" s="1273"/>
      <c r="C294" s="1274"/>
      <c r="D294" s="1274"/>
      <c r="E294" s="1274"/>
      <c r="F294" s="1274"/>
      <c r="G294" s="1274"/>
      <c r="H294" s="1274"/>
      <c r="I294" s="1274"/>
      <c r="J294" s="1274"/>
      <c r="K294" s="1274"/>
      <c r="L294" s="1274"/>
      <c r="M294" s="1275"/>
    </row>
    <row r="295" spans="2:13" s="268" customFormat="1" x14ac:dyDescent="0.25"/>
    <row r="296" spans="2:13" s="268" customFormat="1" x14ac:dyDescent="0.25"/>
    <row r="297" spans="2:13" s="234" customFormat="1" ht="12.75" customHeight="1" x14ac:dyDescent="0.25">
      <c r="B297" s="313" t="str">
        <f>'3. PARTNER'!C$4</f>
        <v xml:space="preserve">Project: </v>
      </c>
      <c r="C297" s="1062" t="str">
        <f>'3. PARTNER'!D$4</f>
        <v/>
      </c>
      <c r="D297" s="1001"/>
      <c r="E297" s="1001"/>
      <c r="F297" s="1001"/>
      <c r="G297" s="1001"/>
      <c r="H297" s="1001"/>
      <c r="I297" s="1001"/>
      <c r="J297" s="1001"/>
      <c r="K297" s="1001"/>
      <c r="L297" s="1001"/>
      <c r="M297" s="1001"/>
    </row>
    <row r="298" spans="2:13" s="234" customFormat="1" ht="13.2" x14ac:dyDescent="0.25">
      <c r="B298" s="313" t="str">
        <f>'3. PARTNER'!C$5</f>
        <v xml:space="preserve">Calculation for: </v>
      </c>
      <c r="C298" s="1062" t="str">
        <f>'3. PARTNER'!D$5</f>
        <v>APPLICATION</v>
      </c>
      <c r="D298" s="1001"/>
      <c r="E298" s="268"/>
      <c r="F298" s="268"/>
      <c r="G298" s="268"/>
      <c r="H298" s="268"/>
      <c r="I298" s="268"/>
      <c r="J298" s="268"/>
      <c r="K298" s="268"/>
      <c r="L298" s="268"/>
      <c r="M298" s="268"/>
    </row>
    <row r="299" spans="2:13" s="234" customFormat="1" ht="13.2" x14ac:dyDescent="0.25">
      <c r="B299" s="35" t="str">
        <f>'3. PARTNER'!C$6</f>
        <v xml:space="preserve">Project leader: </v>
      </c>
      <c r="C299" s="1062" t="str">
        <f>'3. PARTNER'!D$6</f>
        <v/>
      </c>
      <c r="D299" s="1001"/>
      <c r="E299" s="1001"/>
      <c r="F299" s="1001"/>
      <c r="G299" s="1001"/>
      <c r="H299" s="1001"/>
      <c r="I299" s="1001"/>
      <c r="J299" s="1001"/>
      <c r="K299" s="1001"/>
      <c r="L299" s="1001"/>
      <c r="M299" s="1001"/>
    </row>
    <row r="300" spans="2:13" s="234" customFormat="1" ht="13.2" x14ac:dyDescent="0.25">
      <c r="B300" s="313" t="str">
        <f>'5. PERSON'!B$7</f>
        <v xml:space="preserve">Amounts in: </v>
      </c>
      <c r="C300" s="672" t="str">
        <f>'5. PERSON'!C$7</f>
        <v>SEK</v>
      </c>
      <c r="D300" s="268"/>
      <c r="E300" s="268"/>
      <c r="F300" s="268"/>
      <c r="I300" s="270"/>
      <c r="J300" s="270"/>
      <c r="K300" s="270"/>
      <c r="L300" s="270"/>
      <c r="M300" s="270"/>
    </row>
    <row r="301" spans="2:13" s="234" customFormat="1" ht="13.2" x14ac:dyDescent="0.25">
      <c r="B301" s="313"/>
      <c r="C301" s="1053" t="str">
        <f>'3. PARTNER'!D$7</f>
        <v>Other basic data about the project is in sheet 2.</v>
      </c>
      <c r="D301" s="1001"/>
      <c r="E301" s="1001"/>
      <c r="F301" s="1001"/>
      <c r="I301" s="270"/>
      <c r="J301" s="270"/>
      <c r="K301" s="270"/>
      <c r="L301" s="251" t="s">
        <v>4</v>
      </c>
      <c r="M301" s="270"/>
    </row>
    <row r="302" spans="2:13" s="268" customFormat="1" ht="12.75" customHeight="1" x14ac:dyDescent="0.25">
      <c r="L302" s="252" t="str">
        <f>IF('1. INTRO'!I$2="English","months","månader")</f>
        <v>months</v>
      </c>
    </row>
    <row r="303" spans="2:13" s="234" customFormat="1" ht="13.8" x14ac:dyDescent="0.25">
      <c r="B303" s="678" t="str">
        <f>IF('1. INTRO'!I$2="English","Project costs","Projektkostnader")</f>
        <v>Project costs</v>
      </c>
      <c r="C303" s="678" t="str">
        <f>B20</f>
        <v>WP 6</v>
      </c>
      <c r="D303" s="234" t="str">
        <f>E20</f>
        <v/>
      </c>
      <c r="E303" s="268"/>
      <c r="G303" s="268"/>
      <c r="H303" s="268"/>
      <c r="I303" s="268"/>
      <c r="J303" s="268"/>
      <c r="K303" s="676"/>
      <c r="L303" s="899">
        <f>SUMIF('5. PERSON'!$D$17:$D$192,$C303,'5. PERSON'!AE$17:AE$192)</f>
        <v>0</v>
      </c>
      <c r="M303" s="680" t="s">
        <v>330</v>
      </c>
    </row>
    <row r="304" spans="2:13" s="234" customFormat="1" ht="6" customHeight="1" x14ac:dyDescent="0.25">
      <c r="B304" s="602"/>
      <c r="C304" s="268"/>
      <c r="D304" s="268"/>
      <c r="E304" s="268"/>
      <c r="F304" s="268"/>
      <c r="G304" s="268"/>
      <c r="H304" s="268"/>
      <c r="I304" s="268"/>
      <c r="J304" s="268"/>
      <c r="K304" s="268"/>
      <c r="L304" s="268"/>
      <c r="M304" s="268"/>
    </row>
    <row r="305" spans="2:15" s="234" customFormat="1" ht="13.2" x14ac:dyDescent="0.25">
      <c r="B305" s="110" t="str">
        <f>IF('1. INTRO'!I$2="English","Costs to be covered by funding body","Kostnader att täckas av finansiär")</f>
        <v>Costs to be covered by funding body</v>
      </c>
      <c r="C305" s="607">
        <f>'5. PERSON'!G$15</f>
        <v>1900</v>
      </c>
      <c r="D305" s="607" t="str">
        <f>'5. PERSON'!H$15</f>
        <v/>
      </c>
      <c r="E305" s="607" t="str">
        <f>'5. PERSON'!I$15</f>
        <v/>
      </c>
      <c r="F305" s="607" t="str">
        <f>'5. PERSON'!J$15</f>
        <v/>
      </c>
      <c r="G305" s="607" t="str">
        <f>'5. PERSON'!K$15</f>
        <v/>
      </c>
      <c r="H305" s="607" t="str">
        <f>'5. PERSON'!L$15</f>
        <v/>
      </c>
      <c r="I305" s="607" t="str">
        <f>'5. PERSON'!M$15</f>
        <v/>
      </c>
      <c r="J305" s="607" t="str">
        <f>'5. PERSON'!N$15</f>
        <v/>
      </c>
      <c r="K305" s="607" t="str">
        <f>'5. PERSON'!O$15</f>
        <v/>
      </c>
      <c r="L305" s="607" t="str">
        <f>'5. PERSON'!P$15</f>
        <v/>
      </c>
      <c r="M305" s="608" t="s">
        <v>2</v>
      </c>
    </row>
    <row r="306" spans="2:15" s="234" customFormat="1" ht="12.75" customHeight="1" x14ac:dyDescent="0.25">
      <c r="B306" s="902" t="str">
        <f>IF('1. INTRO'!I$2="English","Salary including social costs (LKP)","Lön inklusive LKP")</f>
        <v>Salary including social costs (LKP)</v>
      </c>
      <c r="C306" s="610">
        <f>IF('2. START'!$C$14&gt;0,SUMIF('5. PERSON'!$D$17:$D$192,$C303,'5. PERSON'!DN$17:DN$192),SUMIF('5. PERSON'!$D$17:$D$192,$C303,'5. PERSON'!AT$17:AT$192))</f>
        <v>0</v>
      </c>
      <c r="D306" s="610">
        <f>IF('2. START'!$C$14&gt;0,SUMIF('5. PERSON'!$D$17:$D$192,$C303,'5. PERSON'!DO$17:DO$192),SUMIF('5. PERSON'!$D$17:$D$192,$C303,'5. PERSON'!AU$17:AU$192))</f>
        <v>0</v>
      </c>
      <c r="E306" s="610">
        <f>IF('2. START'!$C$14&gt;0,SUMIF('5. PERSON'!$D$17:$D$192,$C303,'5. PERSON'!DP$17:DP$192),SUMIF('5. PERSON'!$D$17:$D$192,$C303,'5. PERSON'!AV$17:AV$192))</f>
        <v>0</v>
      </c>
      <c r="F306" s="610">
        <f>IF('2. START'!$C$14&gt;0,SUMIF('5. PERSON'!$D$17:$D$192,$C303,'5. PERSON'!DQ$17:DQ$192),SUMIF('5. PERSON'!$D$17:$D$192,$C303,'5. PERSON'!AW$17:AW$192))</f>
        <v>0</v>
      </c>
      <c r="G306" s="610">
        <f>IF('2. START'!$C$14&gt;0,SUMIF('5. PERSON'!$D$17:$D$192,$C303,'5. PERSON'!DR$17:DR$192),SUMIF('5. PERSON'!$D$17:$D$192,$C303,'5. PERSON'!AX$17:AX$192))</f>
        <v>0</v>
      </c>
      <c r="H306" s="610">
        <f>IF('2. START'!$C$14&gt;0,SUMIF('5. PERSON'!$D$17:$D$192,$C303,'5. PERSON'!DS$17:DS$192),SUMIF('5. PERSON'!$D$17:$D$192,$C303,'5. PERSON'!AY$17:AY$192))</f>
        <v>0</v>
      </c>
      <c r="I306" s="610">
        <f>IF('2. START'!$C$14&gt;0,SUMIF('5. PERSON'!$D$17:$D$192,$C303,'5. PERSON'!DT$17:DT$192),SUMIF('5. PERSON'!$D$17:$D$192,$C303,'5. PERSON'!AZ$17:AZ$192))</f>
        <v>0</v>
      </c>
      <c r="J306" s="610">
        <f>IF('2. START'!$C$14&gt;0,SUMIF('5. PERSON'!$D$17:$D$192,$C303,'5. PERSON'!DU$17:DU$192),SUMIF('5. PERSON'!$D$17:$D$192,$C303,'5. PERSON'!BA$17:BA$192))</f>
        <v>0</v>
      </c>
      <c r="K306" s="610">
        <f>IF('2. START'!$C$14&gt;0,SUMIF('5. PERSON'!$D$17:$D$192,$C303,'5. PERSON'!DV$17:DV$192),SUMIF('5. PERSON'!$D$17:$D$192,$C303,'5. PERSON'!BB$17:BB$192))</f>
        <v>0</v>
      </c>
      <c r="L306" s="610">
        <f>IF('2. START'!$C$14&gt;0,SUMIF('5. PERSON'!$D$17:$D$192,$C303,'5. PERSON'!DW$17:DW$192),SUMIF('5. PERSON'!$D$17:$D$192,$C303,'5. PERSON'!BC$17:BC$192))</f>
        <v>0</v>
      </c>
      <c r="M306" s="903">
        <f t="shared" ref="M306:M311" si="44">SUM(C306:L306)</f>
        <v>0</v>
      </c>
      <c r="O306" s="904"/>
    </row>
    <row r="307" spans="2:15" s="234" customFormat="1" ht="12.75" customHeight="1" x14ac:dyDescent="0.25">
      <c r="B307" s="377" t="str">
        <f>IF('1. INTRO'!I$2="English","Operating","Drift")</f>
        <v>Operating</v>
      </c>
      <c r="C307" s="615">
        <f>SUMIF('6. OPERATION'!$D$17:$D$149,$C303,'6. OPERATION'!W$17:W$149)</f>
        <v>0</v>
      </c>
      <c r="D307" s="615">
        <f>SUMIF('6. OPERATION'!$D$17:$D$149,$C303,'6. OPERATION'!X$17:X$149)</f>
        <v>0</v>
      </c>
      <c r="E307" s="615">
        <f>SUMIF('6. OPERATION'!$D$17:$D$149,$C303,'6. OPERATION'!Y$17:Y$149)</f>
        <v>0</v>
      </c>
      <c r="F307" s="615">
        <f>SUMIF('6. OPERATION'!$D$17:$D$149,$C303,'6. OPERATION'!Z$17:Z$149)</f>
        <v>0</v>
      </c>
      <c r="G307" s="615">
        <f>SUMIF('6. OPERATION'!$D$17:$D$149,$C303,'6. OPERATION'!AA$17:AA$149)</f>
        <v>0</v>
      </c>
      <c r="H307" s="615">
        <f>SUMIF('6. OPERATION'!$D$17:$D$149,$C303,'6. OPERATION'!AB$17:AB$149)</f>
        <v>0</v>
      </c>
      <c r="I307" s="615">
        <f>SUMIF('6. OPERATION'!$D$17:$D$149,$C303,'6. OPERATION'!AC$17:AC$149)</f>
        <v>0</v>
      </c>
      <c r="J307" s="615">
        <f>SUMIF('6. OPERATION'!$D$17:$D$149,$C303,'6. OPERATION'!AD$17:AD$149)</f>
        <v>0</v>
      </c>
      <c r="K307" s="615">
        <f>SUMIF('6. OPERATION'!$D$17:$D$149,$C303,'6. OPERATION'!AE$17:AE$149)</f>
        <v>0</v>
      </c>
      <c r="L307" s="615">
        <f>SUMIF('6. OPERATION'!$D$17:$D$149,$C303,'6. OPERATION'!AF$17:AF$149)</f>
        <v>0</v>
      </c>
      <c r="M307" s="905">
        <f t="shared" si="44"/>
        <v>0</v>
      </c>
    </row>
    <row r="308" spans="2:15" s="234" customFormat="1" ht="13.2" x14ac:dyDescent="0.25">
      <c r="B308" s="906" t="str">
        <f>IF('1. INTRO'!I$2="English","Equipment","Utrustning")</f>
        <v>Equipment</v>
      </c>
      <c r="C308" s="620">
        <f>SUMIF('7. INVEST'!$D$17:$D$49,$C303,'7. INVEST'!W$17:W$49)</f>
        <v>0</v>
      </c>
      <c r="D308" s="620">
        <f>SUMIF('7. INVEST'!$D$17:$D$49,$C303,'7. INVEST'!X$17:X$49)</f>
        <v>0</v>
      </c>
      <c r="E308" s="620">
        <f>SUMIF('7. INVEST'!$D$17:$D$49,$C303,'7. INVEST'!Y$17:Y$49)</f>
        <v>0</v>
      </c>
      <c r="F308" s="620">
        <f>SUMIF('7. INVEST'!$D$17:$D$49,$C303,'7. INVEST'!Z$17:Z$49)</f>
        <v>0</v>
      </c>
      <c r="G308" s="620">
        <f>SUMIF('7. INVEST'!$D$17:$D$49,$C303,'7. INVEST'!AA$17:AA$49)</f>
        <v>0</v>
      </c>
      <c r="H308" s="620">
        <f>SUMIF('7. INVEST'!$D$17:$D$49,$C303,'7. INVEST'!AB$17:AB$49)</f>
        <v>0</v>
      </c>
      <c r="I308" s="620">
        <f>SUMIF('7. INVEST'!$D$17:$D$49,$C303,'7. INVEST'!AC$17:AC$49)</f>
        <v>0</v>
      </c>
      <c r="J308" s="620">
        <f>SUMIF('7. INVEST'!$D$17:$D$49,$C303,'7. INVEST'!AD$17:AD$49)</f>
        <v>0</v>
      </c>
      <c r="K308" s="620">
        <f>SUMIF('7. INVEST'!$D$17:$D$49,$C303,'7. INVEST'!AE$17:AE$49)</f>
        <v>0</v>
      </c>
      <c r="L308" s="620">
        <f>SUMIF('7. INVEST'!$D$17:$D$49,$C303,'7. INVEST'!AF$17:AF$49)</f>
        <v>0</v>
      </c>
      <c r="M308" s="907">
        <f t="shared" si="44"/>
        <v>0</v>
      </c>
    </row>
    <row r="309" spans="2:15" s="234" customFormat="1" ht="13.2" x14ac:dyDescent="0.25">
      <c r="B309" s="121" t="str">
        <f>IF('1. INTRO'!I$2="English",(IF('2. START'!C$11="NO","Facility accepted as direct cost by funding body","Facility")),IF('2. START'!C$11="NO","Lokal accepterad som direkt kostnad av finansiär","Lokal"))</f>
        <v>Facility</v>
      </c>
      <c r="C309" s="615">
        <f>IF('2. START'!$C$11="NO",SUMIF('8. FACILIT'!$D$18:$D$50,$C303,'8. FACILIT'!T$18:T$50),SUMIF('5. PERSON'!$D$17:$D$192,$C303,'5. PERSON'!CP$17:CP$192)+SUMIF('6. OPERATION'!$D$17:$D$149,$C303,'6. OPERATION'!BS$17:BS$149)+SUMIF('8. FACILIT'!$D$18:$D$50,$C303,'8. FACILIT'!T$18:T$50))</f>
        <v>0</v>
      </c>
      <c r="D309" s="615">
        <f>IF('2. START'!$C$11="NO",SUMIF('8. FACILIT'!$D$18:$D$50,$C303,'8. FACILIT'!U$18:U$50),SUMIF('5. PERSON'!$D$17:$D$192,$C303,'5. PERSON'!CQ$17:CQ$192)+SUMIF('6. OPERATION'!$D$17:$D$149,$C303,'6. OPERATION'!BT$17:BT$149)+SUMIF('8. FACILIT'!$D$18:$D$50,$C303,'8. FACILIT'!U$18:U$50))</f>
        <v>0</v>
      </c>
      <c r="E309" s="615">
        <f>IF('2. START'!$C$11="NO",SUMIF('8. FACILIT'!$D$18:$D$50,$C303,'8. FACILIT'!V$18:V$50),SUMIF('5. PERSON'!$D$17:$D$192,$C303,'5. PERSON'!CR$17:CR$192)+SUMIF('6. OPERATION'!$D$17:$D$149,$C303,'6. OPERATION'!BU$17:BU$149)+SUMIF('8. FACILIT'!$D$18:$D$50,$C303,'8. FACILIT'!V$18:V$50))</f>
        <v>0</v>
      </c>
      <c r="F309" s="615">
        <f>IF('2. START'!$C$11="NO",SUMIF('8. FACILIT'!$D$18:$D$50,$C303,'8. FACILIT'!W$18:W$50),SUMIF('5. PERSON'!$D$17:$D$192,$C303,'5. PERSON'!CS$17:CS$192)+SUMIF('6. OPERATION'!$D$17:$D$149,$C303,'6. OPERATION'!BV$17:BV$149)+SUMIF('8. FACILIT'!$D$18:$D$50,$C303,'8. FACILIT'!W$18:W$50))</f>
        <v>0</v>
      </c>
      <c r="G309" s="615">
        <f>IF('2. START'!$C$11="NO",SUMIF('8. FACILIT'!$D$18:$D$50,$C303,'8. FACILIT'!X$18:X$50),SUMIF('5. PERSON'!$D$17:$D$192,$C303,'5. PERSON'!CT$17:CT$192)+SUMIF('6. OPERATION'!$D$17:$D$149,$C303,'6. OPERATION'!BW$17:BW$149)+SUMIF('8. FACILIT'!$D$18:$D$50,$C303,'8. FACILIT'!X$18:X$50))</f>
        <v>0</v>
      </c>
      <c r="H309" s="615">
        <f>IF('2. START'!$C$11="NO",SUMIF('8. FACILIT'!$D$18:$D$50,$C303,'8. FACILIT'!Y$18:Y$50),SUMIF('5. PERSON'!$D$17:$D$192,$C303,'5. PERSON'!CU$17:CU$192)+SUMIF('6. OPERATION'!$D$17:$D$149,$C303,'6. OPERATION'!BX$17:BX$149)+SUMIF('8. FACILIT'!$D$18:$D$50,$C303,'8. FACILIT'!Y$18:Y$50))</f>
        <v>0</v>
      </c>
      <c r="I309" s="615">
        <f>IF('2. START'!$C$11="NO",SUMIF('8. FACILIT'!$D$18:$D$50,$C303,'8. FACILIT'!Z$18:Z$50),SUMIF('5. PERSON'!$D$17:$D$192,$C303,'5. PERSON'!CV$17:CV$192)+SUMIF('6. OPERATION'!$D$17:$D$149,$C303,'6. OPERATION'!BY$17:BY$149)+SUMIF('8. FACILIT'!$D$18:$D$50,$C303,'8. FACILIT'!Z$18:Z$50))</f>
        <v>0</v>
      </c>
      <c r="J309" s="615">
        <f>IF('2. START'!$C$11="NO",SUMIF('8. FACILIT'!$D$18:$D$50,$C303,'8. FACILIT'!AA$18:AA$50),SUMIF('5. PERSON'!$D$17:$D$192,$C303,'5. PERSON'!CW$17:CW$192)+SUMIF('6. OPERATION'!$D$17:$D$149,$C303,'6. OPERATION'!BZ$17:BZ$149)+SUMIF('8. FACILIT'!$D$18:$D$50,$C303,'8. FACILIT'!AA$18:AA$50))</f>
        <v>0</v>
      </c>
      <c r="K309" s="615">
        <f>IF('2. START'!$C$11="NO",SUMIF('8. FACILIT'!$D$18:$D$50,$C303,'8. FACILIT'!AB$18:AB$50),SUMIF('5. PERSON'!$D$17:$D$192,$C303,'5. PERSON'!CX$17:CX$192)+SUMIF('6. OPERATION'!$D$17:$D$149,$C303,'6. OPERATION'!CA$17:CA$149)+SUMIF('8. FACILIT'!$D$18:$D$50,$C303,'8. FACILIT'!AB$18:AB$50))</f>
        <v>0</v>
      </c>
      <c r="L309" s="615">
        <f>IF('2. START'!$C$11="NO",SUMIF('8. FACILIT'!$D$18:$D$50,$C303,'8. FACILIT'!AC$18:AC$50),SUMIF('5. PERSON'!$D$17:$D$192,$C303,'5. PERSON'!CY$17:CY$192)+SUMIF('6. OPERATION'!$D$17:$D$149,$C303,'6. OPERATION'!CB$17:CB$149)+SUMIF('8. FACILIT'!$D$18:$D$50,$C303,'8. FACILIT'!AC$18:AC$50))</f>
        <v>0</v>
      </c>
      <c r="M309" s="905">
        <f t="shared" si="44"/>
        <v>0</v>
      </c>
    </row>
    <row r="310" spans="2:15" s="234" customFormat="1" ht="13.2" x14ac:dyDescent="0.25">
      <c r="B310" s="122" t="str">
        <f>IF('1. INTRO'!I$2="English",(IF('2. START'!C$11="NO","Indirect and facility charge accepted as OH by funding body","Indirect")),IF('2. START'!C$11="NO","Indirekt och lokalpåslag accepterade som OH av finansiär","Indirekt"))</f>
        <v>Indirect</v>
      </c>
      <c r="C310" s="584">
        <f>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584">
        <f>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584">
        <f>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584">
        <f>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584">
        <f>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584">
        <f>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584">
        <f>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584">
        <f>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584">
        <f>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584">
        <f>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908">
        <f t="shared" si="44"/>
        <v>0</v>
      </c>
    </row>
    <row r="311" spans="2:15" s="234" customFormat="1" ht="13.2" x14ac:dyDescent="0.25">
      <c r="B311" s="628" t="s">
        <v>113</v>
      </c>
      <c r="C311" s="443">
        <f>SUM(C306:C310)</f>
        <v>0</v>
      </c>
      <c r="D311" s="443">
        <f t="shared" ref="D311:L311" si="45">SUM(D306:D310)</f>
        <v>0</v>
      </c>
      <c r="E311" s="443">
        <f t="shared" si="45"/>
        <v>0</v>
      </c>
      <c r="F311" s="443">
        <f t="shared" si="45"/>
        <v>0</v>
      </c>
      <c r="G311" s="443">
        <f t="shared" si="45"/>
        <v>0</v>
      </c>
      <c r="H311" s="443">
        <f t="shared" si="45"/>
        <v>0</v>
      </c>
      <c r="I311" s="443">
        <f t="shared" si="45"/>
        <v>0</v>
      </c>
      <c r="J311" s="443">
        <f t="shared" si="45"/>
        <v>0</v>
      </c>
      <c r="K311" s="443">
        <f t="shared" si="45"/>
        <v>0</v>
      </c>
      <c r="L311" s="443">
        <f t="shared" si="45"/>
        <v>0</v>
      </c>
      <c r="M311" s="630">
        <f t="shared" si="44"/>
        <v>0</v>
      </c>
    </row>
    <row r="312" spans="2:15" s="234" customFormat="1" ht="6" customHeight="1" x14ac:dyDescent="0.25">
      <c r="B312" s="909"/>
      <c r="C312" s="127"/>
      <c r="D312" s="127"/>
      <c r="E312" s="127"/>
      <c r="F312" s="127"/>
      <c r="G312" s="127"/>
      <c r="H312" s="127"/>
      <c r="I312" s="127"/>
      <c r="J312" s="127"/>
      <c r="K312" s="127"/>
      <c r="L312" s="127"/>
      <c r="M312" s="633"/>
    </row>
    <row r="313" spans="2:15" s="234" customFormat="1" ht="13.2" x14ac:dyDescent="0.25">
      <c r="B313" s="129" t="str">
        <f>IF('1. INTRO'!I$2="English","Costs to be co-funded","Kostnader att medfinansiera")</f>
        <v>Costs to be co-funded</v>
      </c>
      <c r="C313" s="634"/>
      <c r="D313" s="634"/>
      <c r="E313" s="634"/>
      <c r="F313" s="634"/>
      <c r="G313" s="634"/>
      <c r="H313" s="634"/>
      <c r="I313" s="634"/>
      <c r="J313" s="634"/>
      <c r="K313" s="634"/>
      <c r="L313" s="634"/>
      <c r="M313" s="129"/>
    </row>
    <row r="314" spans="2:15" s="234" customFormat="1" ht="13.2" x14ac:dyDescent="0.25">
      <c r="B314" s="159" t="str">
        <f>IF('1. INTRO'!I$2="English",(IF('2. START'!C$11="NO","Indirect and facility charge not accepted as OH by funding body","")),IF('2. START'!C$11="NO","Indirekt och lokalpåslag inte accepterade som OH av finansiär",""))</f>
        <v/>
      </c>
      <c r="C314" s="910">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910">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910">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910">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910">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910">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910">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910">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910">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910">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903">
        <f t="shared" ref="M314:M320" si="46">SUM(C314:L314)</f>
        <v>0</v>
      </c>
    </row>
    <row r="315" spans="2:15" s="234" customFormat="1" ht="12.75" customHeight="1" x14ac:dyDescent="0.25">
      <c r="B315" s="132" t="str">
        <f>IF('1. INTRO'!I$2="English",(IF('2. START'!C$14&gt;0,"Social costs (LKP) not accepted by funding body","")),IF('2. START'!C$14&gt;0,"LKP som inte accepteras av finansiär",""))</f>
        <v/>
      </c>
      <c r="C315" s="911">
        <f>IF('2. START'!$C$14&gt;0,SUMIF('5. PERSON'!$D$17:$D$192,$C303,'5. PERSON'!AT$17:AT$192)-SUMIF('5. PERSON'!$D$17:$D$192,$C303,'5. PERSON'!DN$17:DN$192),0)</f>
        <v>0</v>
      </c>
      <c r="D315" s="911">
        <f>IF('2. START'!$C$14&gt;0,SUMIF('5. PERSON'!$D$17:$D$192,$C303,'5. PERSON'!AU$17:AU$192)-SUMIF('5. PERSON'!$D$17:$D$192,$C303,'5. PERSON'!DO$17:DO$192),0)</f>
        <v>0</v>
      </c>
      <c r="E315" s="911">
        <f>IF('2. START'!$C$14&gt;0,SUMIF('5. PERSON'!$D$17:$D$192,$C303,'5. PERSON'!AV$17:AV$192)-SUMIF('5. PERSON'!$D$17:$D$192,$C303,'5. PERSON'!DP$17:DP$192),0)</f>
        <v>0</v>
      </c>
      <c r="F315" s="911">
        <f>IF('2. START'!$C$14&gt;0,SUMIF('5. PERSON'!$D$17:$D$192,$C303,'5. PERSON'!AW$17:AW$192)-SUMIF('5. PERSON'!$D$17:$D$192,$C303,'5. PERSON'!DQ$17:DQ$192),0)</f>
        <v>0</v>
      </c>
      <c r="G315" s="911">
        <f>IF('2. START'!$C$14&gt;0,SUMIF('5. PERSON'!$D$17:$D$192,$C303,'5. PERSON'!AX$17:AX$192)-SUMIF('5. PERSON'!$D$17:$D$192,$C303,'5. PERSON'!DR$17:DR$192),0)</f>
        <v>0</v>
      </c>
      <c r="H315" s="911">
        <f>IF('2. START'!$C$14&gt;0,SUMIF('5. PERSON'!$D$17:$D$192,$C303,'5. PERSON'!AY$17:AY$192)-SUMIF('5. PERSON'!$D$17:$D$192,$C303,'5. PERSON'!DS$17:DS$192),0)</f>
        <v>0</v>
      </c>
      <c r="I315" s="911">
        <f>IF('2. START'!$C$14&gt;0,SUMIF('5. PERSON'!$D$17:$D$192,$C303,'5. PERSON'!AZ$17:AZ$192)-SUMIF('5. PERSON'!$D$17:$D$192,$C303,'5. PERSON'!DT$17:DT$192),0)</f>
        <v>0</v>
      </c>
      <c r="J315" s="911">
        <f>IF('2. START'!$C$14&gt;0,SUMIF('5. PERSON'!$D$17:$D$192,$C303,'5. PERSON'!BA$17:BA$192)-SUMIF('5. PERSON'!$D$17:$D$192,$C303,'5. PERSON'!DU$17:DU$192),0)</f>
        <v>0</v>
      </c>
      <c r="K315" s="911">
        <f>IF('2. START'!$C$14&gt;0,SUMIF('5. PERSON'!$D$17:$D$192,$C303,'5. PERSON'!BB$17:BB$192)-SUMIF('5. PERSON'!$D$17:$D$192,$C303,'5. PERSON'!DV$17:DV$192),0)</f>
        <v>0</v>
      </c>
      <c r="L315" s="911">
        <f>IF('2. START'!$C$14&gt;0,SUMIF('5. PERSON'!$D$17:$D$192,$C303,'5. PERSON'!BC$17:BC$192)-SUMIF('5. PERSON'!$D$17:$D$192,$C303,'5. PERSON'!DW$17:DW$192),0)</f>
        <v>0</v>
      </c>
      <c r="M315" s="905">
        <f t="shared" si="46"/>
        <v>0</v>
      </c>
    </row>
    <row r="316" spans="2:15" s="234" customFormat="1" ht="12.75" customHeight="1" x14ac:dyDescent="0.25">
      <c r="B316" s="906" t="str">
        <f>IF('1. INTRO'!I$2="English",(IF('5. PERSON'!BP$193&gt;0,"Salary including social costs (LKP)","")),IF('5. PERSON'!BP$193&gt;0,"Lön inklusive LKP",""))</f>
        <v/>
      </c>
      <c r="C316" s="622">
        <f>SUMIF('5. PERSON'!$D$17:$D$192,$C303,'5. PERSON'!BF$17:BF$192)</f>
        <v>0</v>
      </c>
      <c r="D316" s="622">
        <f>SUMIF('5. PERSON'!$D$17:$D$192,$C303,'5. PERSON'!BG$17:BG$192)</f>
        <v>0</v>
      </c>
      <c r="E316" s="622">
        <f>SUMIF('5. PERSON'!$D$17:$D$192,$C303,'5. PERSON'!BH$17:BH$192)</f>
        <v>0</v>
      </c>
      <c r="F316" s="622">
        <f>SUMIF('5. PERSON'!$D$17:$D$192,$C303,'5. PERSON'!BI$17:BI$192)</f>
        <v>0</v>
      </c>
      <c r="G316" s="622">
        <f>SUMIF('5. PERSON'!$D$17:$D$192,$C303,'5. PERSON'!BJ$17:BJ$192)</f>
        <v>0</v>
      </c>
      <c r="H316" s="622">
        <f>SUMIF('5. PERSON'!$D$17:$D$192,$C303,'5. PERSON'!BK$17:BK$192)</f>
        <v>0</v>
      </c>
      <c r="I316" s="622">
        <f>SUMIF('5. PERSON'!$D$17:$D$192,$C303,'5. PERSON'!BL$17:BL$192)</f>
        <v>0</v>
      </c>
      <c r="J316" s="622">
        <f>SUMIF('5. PERSON'!$D$17:$D$192,$C303,'5. PERSON'!BM$17:BM$192)</f>
        <v>0</v>
      </c>
      <c r="K316" s="622">
        <f>SUMIF('5. PERSON'!$D$17:$D$192,$C303,'5. PERSON'!BN$17:BN$192)</f>
        <v>0</v>
      </c>
      <c r="L316" s="622">
        <f>SUMIF('5. PERSON'!$D$17:$D$192,$C303,'5. PERSON'!BO$17:BO$192)</f>
        <v>0</v>
      </c>
      <c r="M316" s="907">
        <f t="shared" si="46"/>
        <v>0</v>
      </c>
    </row>
    <row r="317" spans="2:15" s="234" customFormat="1" ht="13.2" x14ac:dyDescent="0.25">
      <c r="B317" s="377" t="str">
        <f>IF('1. INTRO'!I$2="English",(IF('6. OPERATION'!AS$150&gt;0,"Operating","")),IF('6. OPERATION'!AS$150&gt;0,"Drift",""))</f>
        <v/>
      </c>
      <c r="C317" s="617">
        <f>SUMIF('6. OPERATION'!$D$17:$D$149,$C303,'6. OPERATION'!AI$17:AI$149)</f>
        <v>0</v>
      </c>
      <c r="D317" s="617">
        <f>SUMIF('6. OPERATION'!$D$17:$D$149,$C303,'6. OPERATION'!AJ$17:AJ$149)</f>
        <v>0</v>
      </c>
      <c r="E317" s="617">
        <f>SUMIF('6. OPERATION'!$D$17:$D$149,$C303,'6. OPERATION'!AK$17:AK$149)</f>
        <v>0</v>
      </c>
      <c r="F317" s="617">
        <f>SUMIF('6. OPERATION'!$D$17:$D$149,$C303,'6. OPERATION'!AL$17:AL$149)</f>
        <v>0</v>
      </c>
      <c r="G317" s="617">
        <f>SUMIF('6. OPERATION'!$D$17:$D$149,$C303,'6. OPERATION'!AM$17:AM$149)</f>
        <v>0</v>
      </c>
      <c r="H317" s="617">
        <f>SUMIF('6. OPERATION'!$D$17:$D$149,$C303,'6. OPERATION'!AN$17:AN$149)</f>
        <v>0</v>
      </c>
      <c r="I317" s="617">
        <f>SUMIF('6. OPERATION'!$D$17:$D$149,$C303,'6. OPERATION'!AO$17:AO$149)</f>
        <v>0</v>
      </c>
      <c r="J317" s="617">
        <f>SUMIF('6. OPERATION'!$D$17:$D$149,$C303,'6. OPERATION'!AP$17:AP$149)</f>
        <v>0</v>
      </c>
      <c r="K317" s="617">
        <f>SUMIF('6. OPERATION'!$D$17:$D$149,$C303,'6. OPERATION'!AQ$17:AQ$149)</f>
        <v>0</v>
      </c>
      <c r="L317" s="617">
        <f>SUMIF('6. OPERATION'!$D$17:$D$149,$C303,'6. OPERATION'!AR$17:AR$149)</f>
        <v>0</v>
      </c>
      <c r="M317" s="905">
        <f t="shared" si="46"/>
        <v>0</v>
      </c>
    </row>
    <row r="318" spans="2:15" s="234" customFormat="1" ht="13.2" x14ac:dyDescent="0.25">
      <c r="B318" s="906" t="str">
        <f>IF('1. INTRO'!I$2="English",(IF('7. INVEST'!AS$50&gt;0,"Equipment","")),IF('7. INVEST'!AS$50&gt;0,"Utrustning",""))</f>
        <v/>
      </c>
      <c r="C318" s="622">
        <f>SUMIF('7. INVEST'!$D$17:$D$49,$C303,'7. INVEST'!AI$17:AI$49)</f>
        <v>0</v>
      </c>
      <c r="D318" s="622">
        <f>SUMIF('7. INVEST'!$D$17:$D$49,$C303,'7. INVEST'!AJ$17:AJ$49)</f>
        <v>0</v>
      </c>
      <c r="E318" s="622">
        <f>SUMIF('7. INVEST'!$D$17:$D$49,$C303,'7. INVEST'!AK$17:AK$49)</f>
        <v>0</v>
      </c>
      <c r="F318" s="622">
        <f>SUMIF('7. INVEST'!$D$17:$D$49,$C303,'7. INVEST'!AL$17:AL$49)</f>
        <v>0</v>
      </c>
      <c r="G318" s="622">
        <f>SUMIF('7. INVEST'!$D$17:$D$49,$C303,'7. INVEST'!AM$17:AM$49)</f>
        <v>0</v>
      </c>
      <c r="H318" s="622">
        <f>SUMIF('7. INVEST'!$D$17:$D$49,$C303,'7. INVEST'!AN$17:AN$49)</f>
        <v>0</v>
      </c>
      <c r="I318" s="622">
        <f>SUMIF('7. INVEST'!$D$17:$D$49,$C303,'7. INVEST'!AO$17:AO$49)</f>
        <v>0</v>
      </c>
      <c r="J318" s="622">
        <f>SUMIF('7. INVEST'!$D$17:$D$49,$C303,'7. INVEST'!AP$17:AP$49)</f>
        <v>0</v>
      </c>
      <c r="K318" s="622">
        <f>SUMIF('7. INVEST'!$D$17:$D$49,$C303,'7. INVEST'!AQ$17:AQ$49)</f>
        <v>0</v>
      </c>
      <c r="L318" s="622">
        <f>SUMIF('7. INVEST'!$D$17:$D$49,$C303,'7. INVEST'!AR$17:AR$49)</f>
        <v>0</v>
      </c>
      <c r="M318" s="907">
        <f t="shared" si="46"/>
        <v>0</v>
      </c>
    </row>
    <row r="319" spans="2:15" s="234" customFormat="1" ht="13.2" x14ac:dyDescent="0.25">
      <c r="B319" s="121" t="str">
        <f>IF('1. INTRO'!I$2="English",(IF('8. FACILIT'!AP$51&gt;0,"Facility","")),IF('8. FACILIT'!AP$51&gt;0,"Lokal",""))</f>
        <v/>
      </c>
      <c r="C319" s="617">
        <f>SUMIF('5. PERSON'!$D$17:$D$192,$C303,'5. PERSON'!DB$17:DB$192)+SUMIF('6. OPERATION'!$D$17:$D$149,$C303,'6. OPERATION'!CE$17:CE$149)+SUMIF('8. FACILIT'!$D$18:$D$50,$C303,'8. FACILIT'!AF$18:AF$50)</f>
        <v>0</v>
      </c>
      <c r="D319" s="617">
        <f>SUMIF('5. PERSON'!$D$17:$D$192,$C303,'5. PERSON'!DC$17:DC$192)+SUMIF('6. OPERATION'!$D$17:$D$149,$C303,'6. OPERATION'!CF$17:CF$149)+SUMIF('8. FACILIT'!$D$18:$D$50,$C303,'8. FACILIT'!AG$18:AG$50)</f>
        <v>0</v>
      </c>
      <c r="E319" s="617">
        <f>SUMIF('5. PERSON'!$D$17:$D$192,$C303,'5. PERSON'!DD$17:DD$192)+SUMIF('6. OPERATION'!$D$17:$D$149,$C303,'6. OPERATION'!CG$17:CG$149)+SUMIF('8. FACILIT'!$D$18:$D$50,$C303,'8. FACILIT'!AH$18:AH$50)</f>
        <v>0</v>
      </c>
      <c r="F319" s="617">
        <f>SUMIF('5. PERSON'!$D$17:$D$192,$C303,'5. PERSON'!DE$17:DE$192)+SUMIF('6. OPERATION'!$D$17:$D$149,$C303,'6. OPERATION'!CH$17:CH$149)+SUMIF('8. FACILIT'!$D$18:$D$50,$C303,'8. FACILIT'!AI$18:AI$50)</f>
        <v>0</v>
      </c>
      <c r="G319" s="617">
        <f>SUMIF('5. PERSON'!$D$17:$D$192,$C303,'5. PERSON'!DF$17:DF$192)+SUMIF('6. OPERATION'!$D$17:$D$149,$C303,'6. OPERATION'!CI$17:CI$149)+SUMIF('8. FACILIT'!$D$18:$D$50,$C303,'8. FACILIT'!AJ$18:AJ$50)</f>
        <v>0</v>
      </c>
      <c r="H319" s="617">
        <f>SUMIF('5. PERSON'!$D$17:$D$192,$C303,'5. PERSON'!DG$17:DG$192)+SUMIF('6. OPERATION'!$D$17:$D$149,$C303,'6. OPERATION'!CJ$17:CJ$149)+SUMIF('8. FACILIT'!$D$18:$D$50,$C303,'8. FACILIT'!AK$18:AK$50)</f>
        <v>0</v>
      </c>
      <c r="I319" s="617">
        <f>SUMIF('5. PERSON'!$D$17:$D$192,$C303,'5. PERSON'!DH$17:DH$192)+SUMIF('6. OPERATION'!$D$17:$D$149,$C303,'6. OPERATION'!CK$17:CK$149)+SUMIF('8. FACILIT'!$D$18:$D$50,$C303,'8. FACILIT'!AL$18:AL$50)</f>
        <v>0</v>
      </c>
      <c r="J319" s="617">
        <f>SUMIF('5. PERSON'!$D$17:$D$192,$C303,'5. PERSON'!DI$17:DI$192)+SUMIF('6. OPERATION'!$D$17:$D$149,$C303,'6. OPERATION'!CL$17:CL$149)+SUMIF('8. FACILIT'!$D$18:$D$50,$C303,'8. FACILIT'!AM$18:AM$50)</f>
        <v>0</v>
      </c>
      <c r="K319" s="617">
        <f>SUMIF('5. PERSON'!$D$17:$D$192,$C303,'5. PERSON'!DJ$17:DJ$192)+SUMIF('6. OPERATION'!$D$17:$D$149,$C303,'6. OPERATION'!CM$17:CM$149)+SUMIF('8. FACILIT'!$D$18:$D$50,$C303,'8. FACILIT'!AN$18:AN$50)</f>
        <v>0</v>
      </c>
      <c r="L319" s="617">
        <f>SUMIF('5. PERSON'!$D$17:$D$192,$C303,'5. PERSON'!DK$17:DK$192)+SUMIF('6. OPERATION'!$D$17:$D$149,$C303,'6. OPERATION'!CN$17:CN$149)+SUMIF('8. FACILIT'!$D$18:$D$50,$C303,'8. FACILIT'!AO$18:AO$50)</f>
        <v>0</v>
      </c>
      <c r="M319" s="905">
        <f t="shared" si="46"/>
        <v>0</v>
      </c>
    </row>
    <row r="320" spans="2:15" s="912" customFormat="1" ht="13.2" x14ac:dyDescent="0.25">
      <c r="B320" s="122" t="str">
        <f>IF('1. INTRO'!I$2="English",(IF(('5. PERSON'!CN$193+'6. OPERATION'!BQ$150)&gt;0,"Indirect","")),IF(('5. PERSON'!CN$193+'6. OPERATION'!BQ$150)&gt;0,"Indirekt",""))</f>
        <v/>
      </c>
      <c r="C320" s="584">
        <f>SUMIF('5. PERSON'!$D$17:$D$192,$C303,'5. PERSON'!CD$17:CD$192)+SUMIF('6. OPERATION'!$D$17:$D$149,$C303,'6. OPERATION'!BG$17:BG$149)</f>
        <v>0</v>
      </c>
      <c r="D320" s="584">
        <f>SUMIF('5. PERSON'!$D$17:$D$192,$C303,'5. PERSON'!CE$17:CE$192)+SUMIF('6. OPERATION'!$D$17:$D$149,$C303,'6. OPERATION'!BH$17:BH$149)</f>
        <v>0</v>
      </c>
      <c r="E320" s="584">
        <f>SUMIF('5. PERSON'!$D$17:$D$192,$C303,'5. PERSON'!CF$17:CF$192)+SUMIF('6. OPERATION'!$D$17:$D$149,$C303,'6. OPERATION'!BI$17:BI$149)</f>
        <v>0</v>
      </c>
      <c r="F320" s="584">
        <f>SUMIF('5. PERSON'!$D$17:$D$192,$C303,'5. PERSON'!CG$17:CG$192)+SUMIF('6. OPERATION'!$D$17:$D$149,$C303,'6. OPERATION'!BJ$17:BJ$149)</f>
        <v>0</v>
      </c>
      <c r="G320" s="584">
        <f>SUMIF('5. PERSON'!$D$17:$D$192,$C303,'5. PERSON'!CH$17:CH$192)+SUMIF('6. OPERATION'!$D$17:$D$149,$C303,'6. OPERATION'!BK$17:BK$149)</f>
        <v>0</v>
      </c>
      <c r="H320" s="584">
        <f>SUMIF('5. PERSON'!$D$17:$D$192,$C303,'5. PERSON'!CI$17:CI$192)+SUMIF('6. OPERATION'!$D$17:$D$149,$C303,'6. OPERATION'!BL$17:BL$149)</f>
        <v>0</v>
      </c>
      <c r="I320" s="584">
        <f>SUMIF('5. PERSON'!$D$17:$D$192,$C303,'5. PERSON'!CJ$17:CJ$192)+SUMIF('6. OPERATION'!$D$17:$D$149,$C303,'6. OPERATION'!BM$17:BM$149)</f>
        <v>0</v>
      </c>
      <c r="J320" s="584">
        <f>SUMIF('5. PERSON'!$D$17:$D$192,$C303,'5. PERSON'!CK$17:CK$192)+SUMIF('6. OPERATION'!$D$17:$D$149,$C303,'6. OPERATION'!BN$17:BN$149)</f>
        <v>0</v>
      </c>
      <c r="K320" s="584">
        <f>SUMIF('5. PERSON'!$D$17:$D$192,$C303,'5. PERSON'!CL$17:CL$192)+SUMIF('6. OPERATION'!$D$17:$D$149,$C303,'6. OPERATION'!BO$17:BO$149)</f>
        <v>0</v>
      </c>
      <c r="L320" s="584">
        <f>SUMIF('5. PERSON'!$D$17:$D$192,$C303,'5. PERSON'!CM$17:CM$192)+SUMIF('6. OPERATION'!$D$17:$D$149,$C303,'6. OPERATION'!BP$17:BP$149)</f>
        <v>0</v>
      </c>
      <c r="M320" s="908">
        <f t="shared" si="46"/>
        <v>0</v>
      </c>
    </row>
    <row r="321" spans="2:15" s="234" customFormat="1" ht="13.2" x14ac:dyDescent="0.25">
      <c r="B321" s="628" t="s">
        <v>113</v>
      </c>
      <c r="C321" s="443">
        <f>SUM(C314:C320)</f>
        <v>0</v>
      </c>
      <c r="D321" s="443">
        <f t="shared" ref="D321:M321" si="47">SUM(D314:D320)</f>
        <v>0</v>
      </c>
      <c r="E321" s="443">
        <f t="shared" si="47"/>
        <v>0</v>
      </c>
      <c r="F321" s="443">
        <f t="shared" si="47"/>
        <v>0</v>
      </c>
      <c r="G321" s="443">
        <f t="shared" si="47"/>
        <v>0</v>
      </c>
      <c r="H321" s="443">
        <f t="shared" si="47"/>
        <v>0</v>
      </c>
      <c r="I321" s="443">
        <f t="shared" si="47"/>
        <v>0</v>
      </c>
      <c r="J321" s="443">
        <f t="shared" si="47"/>
        <v>0</v>
      </c>
      <c r="K321" s="443">
        <f t="shared" si="47"/>
        <v>0</v>
      </c>
      <c r="L321" s="443">
        <f t="shared" si="47"/>
        <v>0</v>
      </c>
      <c r="M321" s="630">
        <f t="shared" si="47"/>
        <v>0</v>
      </c>
      <c r="N321" s="913"/>
      <c r="O321" s="913"/>
    </row>
    <row r="322" spans="2:15" s="234" customFormat="1" ht="6" customHeight="1" x14ac:dyDescent="0.25">
      <c r="B322" s="914"/>
      <c r="C322" s="127"/>
      <c r="D322" s="127"/>
      <c r="E322" s="127"/>
      <c r="F322" s="127"/>
      <c r="G322" s="127"/>
      <c r="H322" s="127"/>
      <c r="I322" s="127"/>
      <c r="J322" s="127"/>
      <c r="K322" s="127"/>
      <c r="L322" s="127"/>
      <c r="M322" s="636"/>
    </row>
    <row r="323" spans="2:15" s="234" customFormat="1" ht="13.2" x14ac:dyDescent="0.25">
      <c r="B323" s="129" t="str">
        <f>IF('1. INTRO'!I$2="English","Full cost","Full kostnad")</f>
        <v>Full cost</v>
      </c>
      <c r="C323" s="127"/>
      <c r="D323" s="127"/>
      <c r="E323" s="127"/>
      <c r="F323" s="127"/>
      <c r="G323" s="127"/>
      <c r="H323" s="127"/>
      <c r="I323" s="127"/>
      <c r="J323" s="127"/>
      <c r="K323" s="127"/>
      <c r="L323" s="127"/>
      <c r="M323" s="636"/>
    </row>
    <row r="324" spans="2:15" s="234" customFormat="1" ht="13.2" x14ac:dyDescent="0.25">
      <c r="B324" s="902" t="str">
        <f>IF('1. INTRO'!I$2="English","Salary including social costs (LKP)","Lön inklusive LKP")</f>
        <v>Salary including social costs (LKP)</v>
      </c>
      <c r="C324" s="138">
        <f>C306+C315+C316</f>
        <v>0</v>
      </c>
      <c r="D324" s="138">
        <f t="shared" ref="D324:L324" si="48">D306+D315+D316</f>
        <v>0</v>
      </c>
      <c r="E324" s="138">
        <f t="shared" si="48"/>
        <v>0</v>
      </c>
      <c r="F324" s="138">
        <f t="shared" si="48"/>
        <v>0</v>
      </c>
      <c r="G324" s="138">
        <f t="shared" si="48"/>
        <v>0</v>
      </c>
      <c r="H324" s="138">
        <f t="shared" si="48"/>
        <v>0</v>
      </c>
      <c r="I324" s="138">
        <f t="shared" si="48"/>
        <v>0</v>
      </c>
      <c r="J324" s="138">
        <f t="shared" si="48"/>
        <v>0</v>
      </c>
      <c r="K324" s="138">
        <f t="shared" si="48"/>
        <v>0</v>
      </c>
      <c r="L324" s="138">
        <f t="shared" si="48"/>
        <v>0</v>
      </c>
      <c r="M324" s="903">
        <f>SUM(C324:L324)</f>
        <v>0</v>
      </c>
    </row>
    <row r="325" spans="2:15" s="234" customFormat="1" ht="13.2" x14ac:dyDescent="0.25">
      <c r="B325" s="377" t="str">
        <f>IF('1. INTRO'!I$2="English","Operating","Drift")</f>
        <v>Operating</v>
      </c>
      <c r="C325" s="139">
        <f>C307+C317</f>
        <v>0</v>
      </c>
      <c r="D325" s="139">
        <f t="shared" ref="D325:L325" si="49">D307+D317</f>
        <v>0</v>
      </c>
      <c r="E325" s="139">
        <f t="shared" si="49"/>
        <v>0</v>
      </c>
      <c r="F325" s="139">
        <f t="shared" si="49"/>
        <v>0</v>
      </c>
      <c r="G325" s="139">
        <f t="shared" si="49"/>
        <v>0</v>
      </c>
      <c r="H325" s="139">
        <f t="shared" si="49"/>
        <v>0</v>
      </c>
      <c r="I325" s="139">
        <f t="shared" si="49"/>
        <v>0</v>
      </c>
      <c r="J325" s="139">
        <f t="shared" si="49"/>
        <v>0</v>
      </c>
      <c r="K325" s="139">
        <f t="shared" si="49"/>
        <v>0</v>
      </c>
      <c r="L325" s="139">
        <f t="shared" si="49"/>
        <v>0</v>
      </c>
      <c r="M325" s="905">
        <f>SUM(C325:L325)</f>
        <v>0</v>
      </c>
    </row>
    <row r="326" spans="2:15" s="234" customFormat="1" ht="13.2" x14ac:dyDescent="0.25">
      <c r="B326" s="906" t="str">
        <f>IF('1. INTRO'!I$2="English","Equipment","Utrustning")</f>
        <v>Equipment</v>
      </c>
      <c r="C326" s="140">
        <f>C308+C318</f>
        <v>0</v>
      </c>
      <c r="D326" s="140">
        <f t="shared" ref="D326:L326" si="50">D308+D318</f>
        <v>0</v>
      </c>
      <c r="E326" s="140">
        <f t="shared" si="50"/>
        <v>0</v>
      </c>
      <c r="F326" s="140">
        <f t="shared" si="50"/>
        <v>0</v>
      </c>
      <c r="G326" s="140">
        <f t="shared" si="50"/>
        <v>0</v>
      </c>
      <c r="H326" s="140">
        <f t="shared" si="50"/>
        <v>0</v>
      </c>
      <c r="I326" s="140">
        <f t="shared" si="50"/>
        <v>0</v>
      </c>
      <c r="J326" s="140">
        <f t="shared" si="50"/>
        <v>0</v>
      </c>
      <c r="K326" s="140">
        <f t="shared" si="50"/>
        <v>0</v>
      </c>
      <c r="L326" s="140">
        <f t="shared" si="50"/>
        <v>0</v>
      </c>
      <c r="M326" s="907">
        <f>SUM(C326:L326)</f>
        <v>0</v>
      </c>
    </row>
    <row r="327" spans="2:15" s="234" customFormat="1" ht="13.2" x14ac:dyDescent="0.25">
      <c r="B327" s="377" t="str">
        <f>IF('1. INTRO'!I$2="English","Facility","Lokal")</f>
        <v>Facility</v>
      </c>
      <c r="C327" s="139">
        <f>SUMIF('5. PERSON'!$D$17:$D$192,$C303,'5. PERSON'!CP$17:CP$192)+SUMIF('5. PERSON'!$D$17:$D$192,$C303,'5. PERSON'!DB$17:DB$192)+SUMIF('6. OPERATION'!$D$17:$D$149,$C303,'6. OPERATION'!BS$17:BS$149)+SUMIF('6. OPERATION'!$D$17:$D$149,$C303,'6. OPERATION'!CE$17:CE$149)+SUMIF('8. FACILIT'!$D$18:$D$50,$C303,'8. FACILIT'!T$18:T$50)+SUMIF('8. FACILIT'!$D$18:$D$50,$C303,'8. FACILIT'!AF$18:AF$50)</f>
        <v>0</v>
      </c>
      <c r="D327" s="139">
        <f>SUMIF('5. PERSON'!$D$17:$D$192,$C303,'5. PERSON'!CQ$17:CQ$192)+SUMIF('5. PERSON'!$D$17:$D$192,$C303,'5. PERSON'!DC$17:DC$192)+SUMIF('6. OPERATION'!$D$17:$D$149,$C303,'6. OPERATION'!BT$17:BT$149)+SUMIF('6. OPERATION'!$D$17:$D$149,$C303,'6. OPERATION'!CF$17:CF$149)+SUMIF('8. FACILIT'!$D$18:$D$50,$C303,'8. FACILIT'!U$18:U$50)+SUMIF('8. FACILIT'!$D$18:$D$50,$C303,'8. FACILIT'!AG$18:AG$50)</f>
        <v>0</v>
      </c>
      <c r="E327" s="139">
        <f>SUMIF('5. PERSON'!$D$17:$D$192,$C303,'5. PERSON'!CR$17:CR$192)+SUMIF('5. PERSON'!$D$17:$D$192,$C303,'5. PERSON'!DD$17:DD$192)+SUMIF('6. OPERATION'!$D$17:$D$149,$C303,'6. OPERATION'!BU$17:BU$149)+SUMIF('6. OPERATION'!$D$17:$D$149,$C303,'6. OPERATION'!CG$17:CG$149)+SUMIF('8. FACILIT'!$D$18:$D$50,$C303,'8. FACILIT'!V$18:V$50)+SUMIF('8. FACILIT'!$D$18:$D$50,$C303,'8. FACILIT'!AH$18:AH$50)</f>
        <v>0</v>
      </c>
      <c r="F327" s="139">
        <f>SUMIF('5. PERSON'!$D$17:$D$192,$C303,'5. PERSON'!CS$17:CS$192)+SUMIF('5. PERSON'!$D$17:$D$192,$C303,'5. PERSON'!DE$17:DE$192)+SUMIF('6. OPERATION'!$D$17:$D$149,$C303,'6. OPERATION'!BV$17:BV$149)+SUMIF('6. OPERATION'!$D$17:$D$149,$C303,'6. OPERATION'!CH$17:CH$149)+SUMIF('8. FACILIT'!$D$18:$D$50,$C303,'8. FACILIT'!W$18:W$50)+SUMIF('8. FACILIT'!$D$18:$D$50,$C303,'8. FACILIT'!AI$18:AI$50)</f>
        <v>0</v>
      </c>
      <c r="G327" s="139">
        <f>SUMIF('5. PERSON'!$D$17:$D$192,$C303,'5. PERSON'!CT$17:CT$192)+SUMIF('5. PERSON'!$D$17:$D$192,$C303,'5. PERSON'!DF$17:DF$192)+SUMIF('6. OPERATION'!$D$17:$D$149,$C303,'6. OPERATION'!BW$17:BW$149)+SUMIF('6. OPERATION'!$D$17:$D$149,$C303,'6. OPERATION'!CI$17:CI$149)+SUMIF('8. FACILIT'!$D$18:$D$50,$C303,'8. FACILIT'!X$18:X$50)+SUMIF('8. FACILIT'!$D$18:$D$50,$C303,'8. FACILIT'!AJ$18:AJ$50)</f>
        <v>0</v>
      </c>
      <c r="H327" s="139">
        <f>SUMIF('5. PERSON'!$D$17:$D$192,$C303,'5. PERSON'!CU$17:CU$192)+SUMIF('5. PERSON'!$D$17:$D$192,$C303,'5. PERSON'!DG$17:DG$192)+SUMIF('6. OPERATION'!$D$17:$D$149,$C303,'6. OPERATION'!BX$17:BX$149)+SUMIF('6. OPERATION'!$D$17:$D$149,$C303,'6. OPERATION'!CJ$17:CJ$149)+SUMIF('8. FACILIT'!$D$18:$D$50,$C303,'8. FACILIT'!Y$18:Y$50)+SUMIF('8. FACILIT'!$D$18:$D$50,$C303,'8. FACILIT'!AK$18:AK$50)</f>
        <v>0</v>
      </c>
      <c r="I327" s="139">
        <f>SUMIF('5. PERSON'!$D$17:$D$192,$C303,'5. PERSON'!CV$17:CV$192)+SUMIF('5. PERSON'!$D$17:$D$192,$C303,'5. PERSON'!DH$17:DH$192)+SUMIF('6. OPERATION'!$D$17:$D$149,$C303,'6. OPERATION'!BY$17:BY$149)+SUMIF('6. OPERATION'!$D$17:$D$149,$C303,'6. OPERATION'!CK$17:CK$149)+SUMIF('8. FACILIT'!$D$18:$D$50,$C303,'8. FACILIT'!Z$18:Z$50)+SUMIF('8. FACILIT'!$D$18:$D$50,$C303,'8. FACILIT'!AL$18:AL$50)</f>
        <v>0</v>
      </c>
      <c r="J327" s="139">
        <f>SUMIF('5. PERSON'!$D$17:$D$192,$C303,'5. PERSON'!CW$17:CW$192)+SUMIF('5. PERSON'!$D$17:$D$192,$C303,'5. PERSON'!DI$17:DI$192)+SUMIF('6. OPERATION'!$D$17:$D$149,$C303,'6. OPERATION'!BZ$17:BZ$149)+SUMIF('6. OPERATION'!$D$17:$D$149,$C303,'6. OPERATION'!CL$17:CL$149)+SUMIF('8. FACILIT'!$D$18:$D$50,$C303,'8. FACILIT'!AA$18:AA$50)+SUMIF('8. FACILIT'!$D$18:$D$50,$C303,'8. FACILIT'!AM$18:AM$50)</f>
        <v>0</v>
      </c>
      <c r="K327" s="139">
        <f>SUMIF('5. PERSON'!$D$17:$D$192,$C303,'5. PERSON'!CX$17:CX$192)+SUMIF('5. PERSON'!$D$17:$D$192,$C303,'5. PERSON'!DJ$17:DJ$192)+SUMIF('6. OPERATION'!$D$17:$D$149,$C303,'6. OPERATION'!CA$17:CA$149)+SUMIF('6. OPERATION'!$D$17:$D$149,$C303,'6. OPERATION'!CM$17:CM$149)+SUMIF('8. FACILIT'!$D$18:$D$50,$C303,'8. FACILIT'!AB$18:AB$50)+SUMIF('8. FACILIT'!$D$18:$D$50,$C303,'8. FACILIT'!AN$18:AN$50)</f>
        <v>0</v>
      </c>
      <c r="L327" s="139">
        <f>SUMIF('5. PERSON'!$D$17:$D$192,$C303,'5. PERSON'!CY$17:CY$192)+SUMIF('5. PERSON'!$D$17:$D$192,$C303,'5. PERSON'!DK$17:DK$192)+SUMIF('6. OPERATION'!$D$17:$D$149,$C303,'6. OPERATION'!CB$17:CB$149)+SUMIF('6. OPERATION'!$D$17:$D$149,$C303,'6. OPERATION'!CN$17:CN$149)+SUMIF('8. FACILIT'!$D$18:$D$50,$C303,'8. FACILIT'!AC$18:AC$50)+SUMIF('8. FACILIT'!$D$18:$D$50,$C303,'8. FACILIT'!AO$18:AO$50)</f>
        <v>0</v>
      </c>
      <c r="M327" s="905">
        <f>SUM(C327:L327)</f>
        <v>0</v>
      </c>
    </row>
    <row r="328" spans="2:15" s="234" customFormat="1" ht="13.2" x14ac:dyDescent="0.25">
      <c r="B328" s="915" t="str">
        <f>IF('1. INTRO'!I$2="English","Indirect","Indirekt")</f>
        <v>Indirect</v>
      </c>
      <c r="C328" s="141">
        <f>SUMIF('5. PERSON'!$D$17:$D$192,$C303,'5. PERSON'!BR$17:BR$192)+SUMIF('5. PERSON'!$D$17:$D$192,$C303,'5. PERSON'!CD$17:CD$192)+SUMIF('6. OPERATION'!$D$17:$D$149,$C303,'6. OPERATION'!AU$17:AU$149)+SUMIF('6. OPERATION'!$D$17:$D$149,$C303,'6. OPERATION'!BG$17:BG$149)</f>
        <v>0</v>
      </c>
      <c r="D328" s="141">
        <f>SUMIF('5. PERSON'!$D$17:$D$192,$C303,'5. PERSON'!BS$17:BS$192)+SUMIF('5. PERSON'!$D$17:$D$192,$C303,'5. PERSON'!CE$17:CE$192)+SUMIF('6. OPERATION'!$D$17:$D$149,$C303,'6. OPERATION'!AV$17:AV$149)+SUMIF('6. OPERATION'!$D$17:$D$149,$C303,'6. OPERATION'!BH$17:BH$149)</f>
        <v>0</v>
      </c>
      <c r="E328" s="141">
        <f>SUMIF('5. PERSON'!$D$17:$D$192,$C303,'5. PERSON'!BT$17:BT$192)+SUMIF('5. PERSON'!$D$17:$D$192,$C303,'5. PERSON'!CF$17:CF$192)+SUMIF('6. OPERATION'!$D$17:$D$149,$C303,'6. OPERATION'!AW$17:AW$149)+SUMIF('6. OPERATION'!$D$17:$D$149,$C303,'6. OPERATION'!BI$17:BI$149)</f>
        <v>0</v>
      </c>
      <c r="F328" s="141">
        <f>SUMIF('5. PERSON'!$D$17:$D$192,$C303,'5. PERSON'!BU$17:BU$192)+SUMIF('5. PERSON'!$D$17:$D$192,$C303,'5. PERSON'!CG$17:CG$192)+SUMIF('6. OPERATION'!$D$17:$D$149,$C303,'6. OPERATION'!AX$17:AX$149)+SUMIF('6. OPERATION'!$D$17:$D$149,$C303,'6. OPERATION'!BJ$17:BJ$149)</f>
        <v>0</v>
      </c>
      <c r="G328" s="141">
        <f>SUMIF('5. PERSON'!$D$17:$D$192,$C303,'5. PERSON'!BV$17:BV$192)+SUMIF('5. PERSON'!$D$17:$D$192,$C303,'5. PERSON'!CH$17:CH$192)+SUMIF('6. OPERATION'!$D$17:$D$149,$C303,'6. OPERATION'!AY$17:AY$149)+SUMIF('6. OPERATION'!$D$17:$D$149,$C303,'6. OPERATION'!BK$17:BK$149)</f>
        <v>0</v>
      </c>
      <c r="H328" s="141">
        <f>SUMIF('5. PERSON'!$D$17:$D$192,$C303,'5. PERSON'!BW$17:BW$192)+SUMIF('5. PERSON'!$D$17:$D$192,$C303,'5. PERSON'!CI$17:CI$192)+SUMIF('6. OPERATION'!$D$17:$D$149,$C303,'6. OPERATION'!AZ$17:AZ$149)+SUMIF('6. OPERATION'!$D$17:$D$149,$C303,'6. OPERATION'!BL$17:BL$149)</f>
        <v>0</v>
      </c>
      <c r="I328" s="141">
        <f>SUMIF('5. PERSON'!$D$17:$D$192,$C303,'5. PERSON'!BX$17:BX$192)+SUMIF('5. PERSON'!$D$17:$D$192,$C303,'5. PERSON'!CJ$17:CJ$192)+SUMIF('6. OPERATION'!$D$17:$D$149,$C303,'6. OPERATION'!BA$17:BA$149)+SUMIF('6. OPERATION'!$D$17:$D$149,$C303,'6. OPERATION'!BM$17:BM$149)</f>
        <v>0</v>
      </c>
      <c r="J328" s="141">
        <f>SUMIF('5. PERSON'!$D$17:$D$192,$C303,'5. PERSON'!BY$17:BY$192)+SUMIF('5. PERSON'!$D$17:$D$192,$C303,'5. PERSON'!CK$17:CK$192)+SUMIF('6. OPERATION'!$D$17:$D$149,$C303,'6. OPERATION'!BB$17:BB$149)+SUMIF('6. OPERATION'!$D$17:$D$149,$C303,'6. OPERATION'!BN$17:BN$149)</f>
        <v>0</v>
      </c>
      <c r="K328" s="141">
        <f>SUMIF('5. PERSON'!$D$17:$D$192,$C303,'5. PERSON'!BZ$17:BZ$192)+SUMIF('5. PERSON'!$D$17:$D$192,$C303,'5. PERSON'!CL$17:CL$192)+SUMIF('6. OPERATION'!$D$17:$D$149,$C303,'6. OPERATION'!BC$17:BC$149)+SUMIF('6. OPERATION'!$D$17:$D$149,$C303,'6. OPERATION'!BO$17:BO$149)</f>
        <v>0</v>
      </c>
      <c r="L328" s="141">
        <f>SUMIF('5. PERSON'!$D$17:$D$192,$C303,'5. PERSON'!CA$17:CA$192)+SUMIF('5. PERSON'!$D$17:$D$192,$C303,'5. PERSON'!CM$17:CM$192)+SUMIF('6. OPERATION'!$D$17:$D$149,$C303,'6. OPERATION'!BD$17:BD$149)+SUMIF('6. OPERATION'!$D$17:$D$149,$C303,'6. OPERATION'!BP$17:BP$149)</f>
        <v>0</v>
      </c>
      <c r="M328" s="908">
        <f>SUM(C328:L328)</f>
        <v>0</v>
      </c>
    </row>
    <row r="329" spans="2:15" s="234" customFormat="1" ht="13.2" x14ac:dyDescent="0.25">
      <c r="B329" s="628" t="s">
        <v>113</v>
      </c>
      <c r="C329" s="520">
        <f>SUM(C324:C328)</f>
        <v>0</v>
      </c>
      <c r="D329" s="520">
        <f t="shared" ref="D329:M329" si="51">SUM(D324:D328)</f>
        <v>0</v>
      </c>
      <c r="E329" s="520">
        <f t="shared" si="51"/>
        <v>0</v>
      </c>
      <c r="F329" s="520">
        <f t="shared" si="51"/>
        <v>0</v>
      </c>
      <c r="G329" s="520">
        <f t="shared" si="51"/>
        <v>0</v>
      </c>
      <c r="H329" s="520">
        <f t="shared" si="51"/>
        <v>0</v>
      </c>
      <c r="I329" s="520">
        <f t="shared" si="51"/>
        <v>0</v>
      </c>
      <c r="J329" s="520">
        <f t="shared" si="51"/>
        <v>0</v>
      </c>
      <c r="K329" s="520">
        <f t="shared" si="51"/>
        <v>0</v>
      </c>
      <c r="L329" s="520">
        <f t="shared" si="51"/>
        <v>0</v>
      </c>
      <c r="M329" s="916">
        <f t="shared" si="51"/>
        <v>0</v>
      </c>
    </row>
    <row r="330" spans="2:15" s="234" customFormat="1" ht="13.2" x14ac:dyDescent="0.25">
      <c r="B330" s="676"/>
      <c r="C330" s="268"/>
      <c r="D330" s="268"/>
      <c r="E330" s="268"/>
      <c r="F330" s="268"/>
      <c r="G330" s="268"/>
      <c r="H330" s="268"/>
      <c r="I330" s="268"/>
      <c r="J330" s="268"/>
      <c r="K330" s="268"/>
      <c r="L330" s="268"/>
      <c r="M330" s="268"/>
    </row>
    <row r="331" spans="2:15" s="234" customFormat="1" ht="12.75" customHeight="1" x14ac:dyDescent="0.25">
      <c r="B331" s="676" t="str">
        <f>IF('1. INTRO'!I$2="English","Co-funding share in full cost ","Medfinansieringsandel i full kostnad ")</f>
        <v xml:space="preserve">Co-funding share in full cost </v>
      </c>
      <c r="C331" s="640" t="str">
        <f t="shared" ref="C331:M331" si="52">IF(C329&gt;0,C321/C329,"")</f>
        <v/>
      </c>
      <c r="D331" s="640" t="str">
        <f t="shared" si="52"/>
        <v/>
      </c>
      <c r="E331" s="640" t="str">
        <f t="shared" si="52"/>
        <v/>
      </c>
      <c r="F331" s="640" t="str">
        <f t="shared" si="52"/>
        <v/>
      </c>
      <c r="G331" s="640" t="str">
        <f t="shared" si="52"/>
        <v/>
      </c>
      <c r="H331" s="640" t="str">
        <f t="shared" si="52"/>
        <v/>
      </c>
      <c r="I331" s="640" t="str">
        <f t="shared" si="52"/>
        <v/>
      </c>
      <c r="J331" s="640" t="str">
        <f t="shared" si="52"/>
        <v/>
      </c>
      <c r="K331" s="640" t="str">
        <f t="shared" si="52"/>
        <v/>
      </c>
      <c r="L331" s="640" t="str">
        <f t="shared" si="52"/>
        <v/>
      </c>
      <c r="M331" s="640" t="str">
        <f t="shared" si="52"/>
        <v/>
      </c>
    </row>
    <row r="332" spans="2:15" s="268" customFormat="1" ht="12.75" customHeight="1" x14ac:dyDescent="0.25"/>
    <row r="333" spans="2:15" s="268" customFormat="1" ht="12.75" customHeight="1" x14ac:dyDescent="0.25">
      <c r="B333" s="667" t="str">
        <f>IF('1. INTRO'!I$2="English","Calculation comments","Kalkylkommentarer")</f>
        <v>Calculation comments</v>
      </c>
    </row>
    <row r="334" spans="2:15" s="268" customFormat="1" ht="12.75" customHeight="1" x14ac:dyDescent="0.25">
      <c r="B334" s="1264"/>
      <c r="C334" s="1265"/>
      <c r="D334" s="1265"/>
      <c r="E334" s="1265"/>
      <c r="F334" s="1265"/>
      <c r="G334" s="1265"/>
      <c r="H334" s="1265"/>
      <c r="I334" s="1265"/>
      <c r="J334" s="1265"/>
      <c r="K334" s="1265"/>
      <c r="L334" s="1265"/>
      <c r="M334" s="1266"/>
    </row>
    <row r="335" spans="2:15" s="268" customFormat="1" ht="12.75" customHeight="1" x14ac:dyDescent="0.25">
      <c r="B335" s="1267"/>
      <c r="C335" s="1268"/>
      <c r="D335" s="1268"/>
      <c r="E335" s="1268"/>
      <c r="F335" s="1268"/>
      <c r="G335" s="1268"/>
      <c r="H335" s="1268"/>
      <c r="I335" s="1268"/>
      <c r="J335" s="1268"/>
      <c r="K335" s="1268"/>
      <c r="L335" s="1268"/>
      <c r="M335" s="1269"/>
    </row>
    <row r="336" spans="2:15" s="268" customFormat="1" ht="12.75" customHeight="1" x14ac:dyDescent="0.25">
      <c r="B336" s="1267"/>
      <c r="C336" s="1268"/>
      <c r="D336" s="1268"/>
      <c r="E336" s="1268"/>
      <c r="F336" s="1268"/>
      <c r="G336" s="1268"/>
      <c r="H336" s="1268"/>
      <c r="I336" s="1268"/>
      <c r="J336" s="1268"/>
      <c r="K336" s="1268"/>
      <c r="L336" s="1268"/>
      <c r="M336" s="1269"/>
    </row>
    <row r="337" spans="2:13" s="268" customFormat="1" ht="12.75" customHeight="1" x14ac:dyDescent="0.25">
      <c r="B337" s="1267"/>
      <c r="C337" s="1268"/>
      <c r="D337" s="1268"/>
      <c r="E337" s="1268"/>
      <c r="F337" s="1268"/>
      <c r="G337" s="1268"/>
      <c r="H337" s="1268"/>
      <c r="I337" s="1268"/>
      <c r="J337" s="1268"/>
      <c r="K337" s="1268"/>
      <c r="L337" s="1268"/>
      <c r="M337" s="1269"/>
    </row>
    <row r="338" spans="2:13" s="268" customFormat="1" ht="12.75" customHeight="1" x14ac:dyDescent="0.25">
      <c r="B338" s="1267"/>
      <c r="C338" s="1268"/>
      <c r="D338" s="1268"/>
      <c r="E338" s="1268"/>
      <c r="F338" s="1268"/>
      <c r="G338" s="1268"/>
      <c r="H338" s="1268"/>
      <c r="I338" s="1268"/>
      <c r="J338" s="1268"/>
      <c r="K338" s="1268"/>
      <c r="L338" s="1268"/>
      <c r="M338" s="1269"/>
    </row>
    <row r="339" spans="2:13" s="268" customFormat="1" ht="12.75" customHeight="1" x14ac:dyDescent="0.25">
      <c r="B339" s="1270"/>
      <c r="C339" s="1271"/>
      <c r="D339" s="1271"/>
      <c r="E339" s="1271"/>
      <c r="F339" s="1271"/>
      <c r="G339" s="1271"/>
      <c r="H339" s="1271"/>
      <c r="I339" s="1271"/>
      <c r="J339" s="1271"/>
      <c r="K339" s="1271"/>
      <c r="L339" s="1271"/>
      <c r="M339" s="1272"/>
    </row>
    <row r="340" spans="2:13" s="268" customFormat="1" x14ac:dyDescent="0.25">
      <c r="B340" s="1270"/>
      <c r="C340" s="1271"/>
      <c r="D340" s="1271"/>
      <c r="E340" s="1271"/>
      <c r="F340" s="1271"/>
      <c r="G340" s="1271"/>
      <c r="H340" s="1271"/>
      <c r="I340" s="1271"/>
      <c r="J340" s="1271"/>
      <c r="K340" s="1271"/>
      <c r="L340" s="1271"/>
      <c r="M340" s="1272"/>
    </row>
    <row r="341" spans="2:13" s="268" customFormat="1" x14ac:dyDescent="0.25">
      <c r="B341" s="1270"/>
      <c r="C341" s="1271"/>
      <c r="D341" s="1271"/>
      <c r="E341" s="1271"/>
      <c r="F341" s="1271"/>
      <c r="G341" s="1271"/>
      <c r="H341" s="1271"/>
      <c r="I341" s="1271"/>
      <c r="J341" s="1271"/>
      <c r="K341" s="1271"/>
      <c r="L341" s="1271"/>
      <c r="M341" s="1272"/>
    </row>
    <row r="342" spans="2:13" s="268" customFormat="1" x14ac:dyDescent="0.25">
      <c r="B342" s="1270"/>
      <c r="C342" s="1271"/>
      <c r="D342" s="1271"/>
      <c r="E342" s="1271"/>
      <c r="F342" s="1271"/>
      <c r="G342" s="1271"/>
      <c r="H342" s="1271"/>
      <c r="I342" s="1271"/>
      <c r="J342" s="1271"/>
      <c r="K342" s="1271"/>
      <c r="L342" s="1271"/>
      <c r="M342" s="1272"/>
    </row>
    <row r="343" spans="2:13" s="268" customFormat="1" x14ac:dyDescent="0.25">
      <c r="B343" s="1270"/>
      <c r="C343" s="1271"/>
      <c r="D343" s="1271"/>
      <c r="E343" s="1271"/>
      <c r="F343" s="1271"/>
      <c r="G343" s="1271"/>
      <c r="H343" s="1271"/>
      <c r="I343" s="1271"/>
      <c r="J343" s="1271"/>
      <c r="K343" s="1271"/>
      <c r="L343" s="1271"/>
      <c r="M343" s="1272"/>
    </row>
    <row r="344" spans="2:13" s="268" customFormat="1" x14ac:dyDescent="0.25">
      <c r="B344" s="1270"/>
      <c r="C344" s="1271"/>
      <c r="D344" s="1271"/>
      <c r="E344" s="1271"/>
      <c r="F344" s="1271"/>
      <c r="G344" s="1271"/>
      <c r="H344" s="1271"/>
      <c r="I344" s="1271"/>
      <c r="J344" s="1271"/>
      <c r="K344" s="1271"/>
      <c r="L344" s="1271"/>
      <c r="M344" s="1272"/>
    </row>
    <row r="345" spans="2:13" s="268" customFormat="1" x14ac:dyDescent="0.25">
      <c r="B345" s="1270"/>
      <c r="C345" s="1271"/>
      <c r="D345" s="1271"/>
      <c r="E345" s="1271"/>
      <c r="F345" s="1271"/>
      <c r="G345" s="1271"/>
      <c r="H345" s="1271"/>
      <c r="I345" s="1271"/>
      <c r="J345" s="1271"/>
      <c r="K345" s="1271"/>
      <c r="L345" s="1271"/>
      <c r="M345" s="1272"/>
    </row>
    <row r="346" spans="2:13" s="268" customFormat="1" x14ac:dyDescent="0.25">
      <c r="B346" s="1273"/>
      <c r="C346" s="1274"/>
      <c r="D346" s="1274"/>
      <c r="E346" s="1274"/>
      <c r="F346" s="1274"/>
      <c r="G346" s="1274"/>
      <c r="H346" s="1274"/>
      <c r="I346" s="1274"/>
      <c r="J346" s="1274"/>
      <c r="K346" s="1274"/>
      <c r="L346" s="1274"/>
      <c r="M346" s="1275"/>
    </row>
    <row r="347" spans="2:13" s="268" customFormat="1" x14ac:dyDescent="0.25"/>
    <row r="348" spans="2:13" s="268" customFormat="1" x14ac:dyDescent="0.25"/>
    <row r="349" spans="2:13" s="234" customFormat="1" ht="12.75" customHeight="1" x14ac:dyDescent="0.25">
      <c r="B349" s="313" t="str">
        <f>'3. PARTNER'!C$4</f>
        <v xml:space="preserve">Project: </v>
      </c>
      <c r="C349" s="1062" t="str">
        <f>'3. PARTNER'!D$4</f>
        <v/>
      </c>
      <c r="D349" s="1001"/>
      <c r="E349" s="1001"/>
      <c r="F349" s="1001"/>
      <c r="G349" s="1001"/>
      <c r="H349" s="1001"/>
      <c r="I349" s="1001"/>
      <c r="J349" s="1001"/>
      <c r="K349" s="1001"/>
      <c r="L349" s="1001"/>
      <c r="M349" s="1001"/>
    </row>
    <row r="350" spans="2:13" s="234" customFormat="1" ht="13.2" x14ac:dyDescent="0.25">
      <c r="B350" s="313" t="str">
        <f>'3. PARTNER'!C$5</f>
        <v xml:space="preserve">Calculation for: </v>
      </c>
      <c r="C350" s="1062" t="str">
        <f>'3. PARTNER'!D$5</f>
        <v>APPLICATION</v>
      </c>
      <c r="D350" s="1001"/>
      <c r="E350" s="268"/>
      <c r="F350" s="268"/>
      <c r="G350" s="268"/>
      <c r="H350" s="268"/>
      <c r="I350" s="268"/>
      <c r="J350" s="268"/>
      <c r="K350" s="268"/>
      <c r="L350" s="268"/>
      <c r="M350" s="268"/>
    </row>
    <row r="351" spans="2:13" s="234" customFormat="1" ht="13.2" x14ac:dyDescent="0.25">
      <c r="B351" s="35" t="str">
        <f>'3. PARTNER'!C$6</f>
        <v xml:space="preserve">Project leader: </v>
      </c>
      <c r="C351" s="1062" t="str">
        <f>'3. PARTNER'!D$6</f>
        <v/>
      </c>
      <c r="D351" s="1001"/>
      <c r="E351" s="1001"/>
      <c r="F351" s="1001"/>
      <c r="G351" s="1001"/>
      <c r="H351" s="1001"/>
      <c r="I351" s="1001"/>
      <c r="J351" s="1001"/>
      <c r="K351" s="1001"/>
      <c r="L351" s="1001"/>
      <c r="M351" s="1001"/>
    </row>
    <row r="352" spans="2:13" s="234" customFormat="1" ht="13.2" x14ac:dyDescent="0.25">
      <c r="B352" s="313" t="str">
        <f>'5. PERSON'!B$7</f>
        <v xml:space="preserve">Amounts in: </v>
      </c>
      <c r="C352" s="672" t="str">
        <f>'5. PERSON'!C$7</f>
        <v>SEK</v>
      </c>
      <c r="D352" s="268"/>
      <c r="E352" s="268"/>
      <c r="F352" s="268"/>
      <c r="I352" s="270"/>
      <c r="J352" s="270"/>
      <c r="K352" s="270"/>
      <c r="L352" s="270"/>
      <c r="M352" s="270"/>
    </row>
    <row r="353" spans="2:15" s="234" customFormat="1" ht="13.2" x14ac:dyDescent="0.25">
      <c r="B353" s="313"/>
      <c r="C353" s="1053" t="str">
        <f>'3. PARTNER'!D$7</f>
        <v>Other basic data about the project is in sheet 2.</v>
      </c>
      <c r="D353" s="1001"/>
      <c r="E353" s="1001"/>
      <c r="F353" s="1001"/>
      <c r="I353" s="270"/>
      <c r="J353" s="270"/>
      <c r="K353" s="270"/>
      <c r="L353" s="251" t="s">
        <v>4</v>
      </c>
      <c r="M353" s="270"/>
    </row>
    <row r="354" spans="2:15" s="268" customFormat="1" ht="12.75" customHeight="1" x14ac:dyDescent="0.25">
      <c r="L354" s="252" t="str">
        <f>IF('1. INTRO'!I$2="English","months","månader")</f>
        <v>months</v>
      </c>
    </row>
    <row r="355" spans="2:15" s="234" customFormat="1" ht="13.8" x14ac:dyDescent="0.25">
      <c r="B355" s="678" t="str">
        <f>IF('1. INTRO'!I$2="English","Project costs","Projektkostnader")</f>
        <v>Project costs</v>
      </c>
      <c r="C355" s="678" t="str">
        <f>B21</f>
        <v>WP 7</v>
      </c>
      <c r="D355" s="234" t="str">
        <f>E21</f>
        <v/>
      </c>
      <c r="E355" s="268"/>
      <c r="G355" s="268"/>
      <c r="H355" s="268"/>
      <c r="I355" s="268"/>
      <c r="J355" s="268"/>
      <c r="K355" s="676"/>
      <c r="L355" s="899">
        <f>SUMIF('5. PERSON'!$D$17:$D$192,$C355,'5. PERSON'!AE$17:AE$192)</f>
        <v>0</v>
      </c>
      <c r="M355" s="680" t="s">
        <v>330</v>
      </c>
    </row>
    <row r="356" spans="2:15" s="234" customFormat="1" ht="6" customHeight="1" x14ac:dyDescent="0.25">
      <c r="B356" s="602"/>
      <c r="C356" s="268"/>
      <c r="D356" s="268"/>
      <c r="E356" s="268"/>
      <c r="F356" s="268"/>
      <c r="G356" s="268"/>
      <c r="H356" s="268"/>
      <c r="I356" s="268"/>
      <c r="J356" s="268"/>
      <c r="K356" s="268"/>
      <c r="L356" s="268"/>
      <c r="M356" s="268"/>
    </row>
    <row r="357" spans="2:15" s="234" customFormat="1" ht="13.2" x14ac:dyDescent="0.25">
      <c r="B357" s="110" t="str">
        <f>IF('1. INTRO'!I$2="English","Costs to be covered by funding body","Kostnader att täckas av finansiär")</f>
        <v>Costs to be covered by funding body</v>
      </c>
      <c r="C357" s="607">
        <f>'5. PERSON'!G$15</f>
        <v>1900</v>
      </c>
      <c r="D357" s="607" t="str">
        <f>'5. PERSON'!H$15</f>
        <v/>
      </c>
      <c r="E357" s="607" t="str">
        <f>'5. PERSON'!I$15</f>
        <v/>
      </c>
      <c r="F357" s="607" t="str">
        <f>'5. PERSON'!J$15</f>
        <v/>
      </c>
      <c r="G357" s="607" t="str">
        <f>'5. PERSON'!K$15</f>
        <v/>
      </c>
      <c r="H357" s="607" t="str">
        <f>'5. PERSON'!L$15</f>
        <v/>
      </c>
      <c r="I357" s="607" t="str">
        <f>'5. PERSON'!M$15</f>
        <v/>
      </c>
      <c r="J357" s="607" t="str">
        <f>'5. PERSON'!N$15</f>
        <v/>
      </c>
      <c r="K357" s="607" t="str">
        <f>'5. PERSON'!O$15</f>
        <v/>
      </c>
      <c r="L357" s="607" t="str">
        <f>'5. PERSON'!P$15</f>
        <v/>
      </c>
      <c r="M357" s="608" t="s">
        <v>2</v>
      </c>
    </row>
    <row r="358" spans="2:15" s="234" customFormat="1" ht="12.75" customHeight="1" x14ac:dyDescent="0.25">
      <c r="B358" s="902" t="str">
        <f>IF('1. INTRO'!I$2="English","Salary including social costs (LKP)","Lön inklusive LKP")</f>
        <v>Salary including social costs (LKP)</v>
      </c>
      <c r="C358" s="610">
        <f>IF('2. START'!$C$14&gt;0,SUMIF('5. PERSON'!$D$17:$D$192,$C355,'5. PERSON'!DN$17:DN$192),SUMIF('5. PERSON'!$D$17:$D$192,$C355,'5. PERSON'!AT$17:AT$192))</f>
        <v>0</v>
      </c>
      <c r="D358" s="610">
        <f>IF('2. START'!$C$14&gt;0,SUMIF('5. PERSON'!$D$17:$D$192,$C355,'5. PERSON'!DO$17:DO$192),SUMIF('5. PERSON'!$D$17:$D$192,$C355,'5. PERSON'!AU$17:AU$192))</f>
        <v>0</v>
      </c>
      <c r="E358" s="610">
        <f>IF('2. START'!$C$14&gt;0,SUMIF('5. PERSON'!$D$17:$D$192,$C355,'5. PERSON'!DP$17:DP$192),SUMIF('5. PERSON'!$D$17:$D$192,$C355,'5. PERSON'!AV$17:AV$192))</f>
        <v>0</v>
      </c>
      <c r="F358" s="610">
        <f>IF('2. START'!$C$14&gt;0,SUMIF('5. PERSON'!$D$17:$D$192,$C355,'5. PERSON'!DQ$17:DQ$192),SUMIF('5. PERSON'!$D$17:$D$192,$C355,'5. PERSON'!AW$17:AW$192))</f>
        <v>0</v>
      </c>
      <c r="G358" s="610">
        <f>IF('2. START'!$C$14&gt;0,SUMIF('5. PERSON'!$D$17:$D$192,$C355,'5. PERSON'!DR$17:DR$192),SUMIF('5. PERSON'!$D$17:$D$192,$C355,'5. PERSON'!AX$17:AX$192))</f>
        <v>0</v>
      </c>
      <c r="H358" s="610">
        <f>IF('2. START'!$C$14&gt;0,SUMIF('5. PERSON'!$D$17:$D$192,$C355,'5. PERSON'!DS$17:DS$192),SUMIF('5. PERSON'!$D$17:$D$192,$C355,'5. PERSON'!AY$17:AY$192))</f>
        <v>0</v>
      </c>
      <c r="I358" s="610">
        <f>IF('2. START'!$C$14&gt;0,SUMIF('5. PERSON'!$D$17:$D$192,$C355,'5. PERSON'!DT$17:DT$192),SUMIF('5. PERSON'!$D$17:$D$192,$C355,'5. PERSON'!AZ$17:AZ$192))</f>
        <v>0</v>
      </c>
      <c r="J358" s="610">
        <f>IF('2. START'!$C$14&gt;0,SUMIF('5. PERSON'!$D$17:$D$192,$C355,'5. PERSON'!DU$17:DU$192),SUMIF('5. PERSON'!$D$17:$D$192,$C355,'5. PERSON'!BA$17:BA$192))</f>
        <v>0</v>
      </c>
      <c r="K358" s="610">
        <f>IF('2. START'!$C$14&gt;0,SUMIF('5. PERSON'!$D$17:$D$192,$C355,'5. PERSON'!DV$17:DV$192),SUMIF('5. PERSON'!$D$17:$D$192,$C355,'5. PERSON'!BB$17:BB$192))</f>
        <v>0</v>
      </c>
      <c r="L358" s="610">
        <f>IF('2. START'!$C$14&gt;0,SUMIF('5. PERSON'!$D$17:$D$192,$C355,'5. PERSON'!DW$17:DW$192),SUMIF('5. PERSON'!$D$17:$D$192,$C355,'5. PERSON'!BC$17:BC$192))</f>
        <v>0</v>
      </c>
      <c r="M358" s="903">
        <f t="shared" ref="M358:M363" si="53">SUM(C358:L358)</f>
        <v>0</v>
      </c>
      <c r="O358" s="904"/>
    </row>
    <row r="359" spans="2:15" s="234" customFormat="1" ht="12.75" customHeight="1" x14ac:dyDescent="0.25">
      <c r="B359" s="377" t="str">
        <f>IF('1. INTRO'!I$2="English","Operating","Drift")</f>
        <v>Operating</v>
      </c>
      <c r="C359" s="615">
        <f>SUMIF('6. OPERATION'!$D$17:$D$149,$C355,'6. OPERATION'!W$17:W$149)</f>
        <v>0</v>
      </c>
      <c r="D359" s="615">
        <f>SUMIF('6. OPERATION'!$D$17:$D$149,$C355,'6. OPERATION'!X$17:X$149)</f>
        <v>0</v>
      </c>
      <c r="E359" s="615">
        <f>SUMIF('6. OPERATION'!$D$17:$D$149,$C355,'6. OPERATION'!Y$17:Y$149)</f>
        <v>0</v>
      </c>
      <c r="F359" s="615">
        <f>SUMIF('6. OPERATION'!$D$17:$D$149,$C355,'6. OPERATION'!Z$17:Z$149)</f>
        <v>0</v>
      </c>
      <c r="G359" s="615">
        <f>SUMIF('6. OPERATION'!$D$17:$D$149,$C355,'6. OPERATION'!AA$17:AA$149)</f>
        <v>0</v>
      </c>
      <c r="H359" s="615">
        <f>SUMIF('6. OPERATION'!$D$17:$D$149,$C355,'6. OPERATION'!AB$17:AB$149)</f>
        <v>0</v>
      </c>
      <c r="I359" s="615">
        <f>SUMIF('6. OPERATION'!$D$17:$D$149,$C355,'6. OPERATION'!AC$17:AC$149)</f>
        <v>0</v>
      </c>
      <c r="J359" s="615">
        <f>SUMIF('6. OPERATION'!$D$17:$D$149,$C355,'6. OPERATION'!AD$17:AD$149)</f>
        <v>0</v>
      </c>
      <c r="K359" s="615">
        <f>SUMIF('6. OPERATION'!$D$17:$D$149,$C355,'6. OPERATION'!AE$17:AE$149)</f>
        <v>0</v>
      </c>
      <c r="L359" s="615">
        <f>SUMIF('6. OPERATION'!$D$17:$D$149,$C355,'6. OPERATION'!AF$17:AF$149)</f>
        <v>0</v>
      </c>
      <c r="M359" s="905">
        <f t="shared" si="53"/>
        <v>0</v>
      </c>
    </row>
    <row r="360" spans="2:15" s="234" customFormat="1" ht="13.2" x14ac:dyDescent="0.25">
      <c r="B360" s="906" t="str">
        <f>IF('1. INTRO'!I$2="English","Equipment","Utrustning")</f>
        <v>Equipment</v>
      </c>
      <c r="C360" s="620">
        <f>SUMIF('7. INVEST'!$D$17:$D$49,$C355,'7. INVEST'!W$17:W$49)</f>
        <v>0</v>
      </c>
      <c r="D360" s="620">
        <f>SUMIF('7. INVEST'!$D$17:$D$49,$C355,'7. INVEST'!X$17:X$49)</f>
        <v>0</v>
      </c>
      <c r="E360" s="620">
        <f>SUMIF('7. INVEST'!$D$17:$D$49,$C355,'7. INVEST'!Y$17:Y$49)</f>
        <v>0</v>
      </c>
      <c r="F360" s="620">
        <f>SUMIF('7. INVEST'!$D$17:$D$49,$C355,'7. INVEST'!Z$17:Z$49)</f>
        <v>0</v>
      </c>
      <c r="G360" s="620">
        <f>SUMIF('7. INVEST'!$D$17:$D$49,$C355,'7. INVEST'!AA$17:AA$49)</f>
        <v>0</v>
      </c>
      <c r="H360" s="620">
        <f>SUMIF('7. INVEST'!$D$17:$D$49,$C355,'7. INVEST'!AB$17:AB$49)</f>
        <v>0</v>
      </c>
      <c r="I360" s="620">
        <f>SUMIF('7. INVEST'!$D$17:$D$49,$C355,'7. INVEST'!AC$17:AC$49)</f>
        <v>0</v>
      </c>
      <c r="J360" s="620">
        <f>SUMIF('7. INVEST'!$D$17:$D$49,$C355,'7. INVEST'!AD$17:AD$49)</f>
        <v>0</v>
      </c>
      <c r="K360" s="620">
        <f>SUMIF('7. INVEST'!$D$17:$D$49,$C355,'7. INVEST'!AE$17:AE$49)</f>
        <v>0</v>
      </c>
      <c r="L360" s="620">
        <f>SUMIF('7. INVEST'!$D$17:$D$49,$C355,'7. INVEST'!AF$17:AF$49)</f>
        <v>0</v>
      </c>
      <c r="M360" s="907">
        <f t="shared" si="53"/>
        <v>0</v>
      </c>
    </row>
    <row r="361" spans="2:15" s="234" customFormat="1" ht="13.2" x14ac:dyDescent="0.25">
      <c r="B361" s="121" t="str">
        <f>IF('1. INTRO'!I$2="English",(IF('2. START'!C$11="NO","Facility accepted as direct cost by funding body","Facility")),IF('2. START'!C$11="NO","Lokal accepterad som direkt kostnad av finansiär","Lokal"))</f>
        <v>Facility</v>
      </c>
      <c r="C361" s="615">
        <f>IF('2. START'!$C$11="NO",SUMIF('8. FACILIT'!$D$18:$D$50,$C355,'8. FACILIT'!T$18:T$50),SUMIF('5. PERSON'!$D$17:$D$192,$C355,'5. PERSON'!CP$17:CP$192)+SUMIF('6. OPERATION'!$D$17:$D$149,$C355,'6. OPERATION'!BS$17:BS$149)+SUMIF('8. FACILIT'!$D$18:$D$50,$C355,'8. FACILIT'!T$18:T$50))</f>
        <v>0</v>
      </c>
      <c r="D361" s="615">
        <f>IF('2. START'!$C$11="NO",SUMIF('8. FACILIT'!$D$18:$D$50,$C355,'8. FACILIT'!U$18:U$50),SUMIF('5. PERSON'!$D$17:$D$192,$C355,'5. PERSON'!CQ$17:CQ$192)+SUMIF('6. OPERATION'!$D$17:$D$149,$C355,'6. OPERATION'!BT$17:BT$149)+SUMIF('8. FACILIT'!$D$18:$D$50,$C355,'8. FACILIT'!U$18:U$50))</f>
        <v>0</v>
      </c>
      <c r="E361" s="615">
        <f>IF('2. START'!$C$11="NO",SUMIF('8. FACILIT'!$D$18:$D$50,$C355,'8. FACILIT'!V$18:V$50),SUMIF('5. PERSON'!$D$17:$D$192,$C355,'5. PERSON'!CR$17:CR$192)+SUMIF('6. OPERATION'!$D$17:$D$149,$C355,'6. OPERATION'!BU$17:BU$149)+SUMIF('8. FACILIT'!$D$18:$D$50,$C355,'8. FACILIT'!V$18:V$50))</f>
        <v>0</v>
      </c>
      <c r="F361" s="615">
        <f>IF('2. START'!$C$11="NO",SUMIF('8. FACILIT'!$D$18:$D$50,$C355,'8. FACILIT'!W$18:W$50),SUMIF('5. PERSON'!$D$17:$D$192,$C355,'5. PERSON'!CS$17:CS$192)+SUMIF('6. OPERATION'!$D$17:$D$149,$C355,'6. OPERATION'!BV$17:BV$149)+SUMIF('8. FACILIT'!$D$18:$D$50,$C355,'8. FACILIT'!W$18:W$50))</f>
        <v>0</v>
      </c>
      <c r="G361" s="615">
        <f>IF('2. START'!$C$11="NO",SUMIF('8. FACILIT'!$D$18:$D$50,$C355,'8. FACILIT'!X$18:X$50),SUMIF('5. PERSON'!$D$17:$D$192,$C355,'5. PERSON'!CT$17:CT$192)+SUMIF('6. OPERATION'!$D$17:$D$149,$C355,'6. OPERATION'!BW$17:BW$149)+SUMIF('8. FACILIT'!$D$18:$D$50,$C355,'8. FACILIT'!X$18:X$50))</f>
        <v>0</v>
      </c>
      <c r="H361" s="615">
        <f>IF('2. START'!$C$11="NO",SUMIF('8. FACILIT'!$D$18:$D$50,$C355,'8. FACILIT'!Y$18:Y$50),SUMIF('5. PERSON'!$D$17:$D$192,$C355,'5. PERSON'!CU$17:CU$192)+SUMIF('6. OPERATION'!$D$17:$D$149,$C355,'6. OPERATION'!BX$17:BX$149)+SUMIF('8. FACILIT'!$D$18:$D$50,$C355,'8. FACILIT'!Y$18:Y$50))</f>
        <v>0</v>
      </c>
      <c r="I361" s="615">
        <f>IF('2. START'!$C$11="NO",SUMIF('8. FACILIT'!$D$18:$D$50,$C355,'8. FACILIT'!Z$18:Z$50),SUMIF('5. PERSON'!$D$17:$D$192,$C355,'5. PERSON'!CV$17:CV$192)+SUMIF('6. OPERATION'!$D$17:$D$149,$C355,'6. OPERATION'!BY$17:BY$149)+SUMIF('8. FACILIT'!$D$18:$D$50,$C355,'8. FACILIT'!Z$18:Z$50))</f>
        <v>0</v>
      </c>
      <c r="J361" s="615">
        <f>IF('2. START'!$C$11="NO",SUMIF('8. FACILIT'!$D$18:$D$50,$C355,'8. FACILIT'!AA$18:AA$50),SUMIF('5. PERSON'!$D$17:$D$192,$C355,'5. PERSON'!CW$17:CW$192)+SUMIF('6. OPERATION'!$D$17:$D$149,$C355,'6. OPERATION'!BZ$17:BZ$149)+SUMIF('8. FACILIT'!$D$18:$D$50,$C355,'8. FACILIT'!AA$18:AA$50))</f>
        <v>0</v>
      </c>
      <c r="K361" s="615">
        <f>IF('2. START'!$C$11="NO",SUMIF('8. FACILIT'!$D$18:$D$50,$C355,'8. FACILIT'!AB$18:AB$50),SUMIF('5. PERSON'!$D$17:$D$192,$C355,'5. PERSON'!CX$17:CX$192)+SUMIF('6. OPERATION'!$D$17:$D$149,$C355,'6. OPERATION'!CA$17:CA$149)+SUMIF('8. FACILIT'!$D$18:$D$50,$C355,'8. FACILIT'!AB$18:AB$50))</f>
        <v>0</v>
      </c>
      <c r="L361" s="615">
        <f>IF('2. START'!$C$11="NO",SUMIF('8. FACILIT'!$D$18:$D$50,$C355,'8. FACILIT'!AC$18:AC$50),SUMIF('5. PERSON'!$D$17:$D$192,$C355,'5. PERSON'!CY$17:CY$192)+SUMIF('6. OPERATION'!$D$17:$D$149,$C355,'6. OPERATION'!CB$17:CB$149)+SUMIF('8. FACILIT'!$D$18:$D$50,$C355,'8. FACILIT'!AC$18:AC$50))</f>
        <v>0</v>
      </c>
      <c r="M361" s="905">
        <f t="shared" si="53"/>
        <v>0</v>
      </c>
    </row>
    <row r="362" spans="2:15" s="234" customFormat="1" ht="13.2" x14ac:dyDescent="0.25">
      <c r="B362" s="122" t="str">
        <f>IF('1. INTRO'!I$2="English",(IF('2. START'!C$11="NO","Indirect and facility charge accepted as OH by funding body","Indirect")),IF('2. START'!C$11="NO","Indirekt och lokalpåslag accepterade som OH av finansiär","Indirekt"))</f>
        <v>Indirect</v>
      </c>
      <c r="C362" s="584">
        <f>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584">
        <f>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584">
        <f>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584">
        <f>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584">
        <f>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584">
        <f>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584">
        <f>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584">
        <f>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584">
        <f>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584">
        <f>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908">
        <f t="shared" si="53"/>
        <v>0</v>
      </c>
    </row>
    <row r="363" spans="2:15" s="234" customFormat="1" ht="13.2" x14ac:dyDescent="0.25">
      <c r="B363" s="628" t="s">
        <v>113</v>
      </c>
      <c r="C363" s="443">
        <f>SUM(C358:C362)</f>
        <v>0</v>
      </c>
      <c r="D363" s="443">
        <f t="shared" ref="D363:L363" si="54">SUM(D358:D362)</f>
        <v>0</v>
      </c>
      <c r="E363" s="443">
        <f t="shared" si="54"/>
        <v>0</v>
      </c>
      <c r="F363" s="443">
        <f t="shared" si="54"/>
        <v>0</v>
      </c>
      <c r="G363" s="443">
        <f t="shared" si="54"/>
        <v>0</v>
      </c>
      <c r="H363" s="443">
        <f t="shared" si="54"/>
        <v>0</v>
      </c>
      <c r="I363" s="443">
        <f t="shared" si="54"/>
        <v>0</v>
      </c>
      <c r="J363" s="443">
        <f t="shared" si="54"/>
        <v>0</v>
      </c>
      <c r="K363" s="443">
        <f t="shared" si="54"/>
        <v>0</v>
      </c>
      <c r="L363" s="443">
        <f t="shared" si="54"/>
        <v>0</v>
      </c>
      <c r="M363" s="630">
        <f t="shared" si="53"/>
        <v>0</v>
      </c>
    </row>
    <row r="364" spans="2:15" s="234" customFormat="1" ht="6" customHeight="1" x14ac:dyDescent="0.25">
      <c r="B364" s="909"/>
      <c r="C364" s="127"/>
      <c r="D364" s="127"/>
      <c r="E364" s="127"/>
      <c r="F364" s="127"/>
      <c r="G364" s="127"/>
      <c r="H364" s="127"/>
      <c r="I364" s="127"/>
      <c r="J364" s="127"/>
      <c r="K364" s="127"/>
      <c r="L364" s="127"/>
      <c r="M364" s="633"/>
    </row>
    <row r="365" spans="2:15" s="234" customFormat="1" ht="13.2" x14ac:dyDescent="0.25">
      <c r="B365" s="129" t="str">
        <f>IF('1. INTRO'!I$2="English","Costs to be co-funded","Kostnader att medfinansiera")</f>
        <v>Costs to be co-funded</v>
      </c>
      <c r="C365" s="634"/>
      <c r="D365" s="634"/>
      <c r="E365" s="634"/>
      <c r="F365" s="634"/>
      <c r="G365" s="634"/>
      <c r="H365" s="634"/>
      <c r="I365" s="634"/>
      <c r="J365" s="634"/>
      <c r="K365" s="634"/>
      <c r="L365" s="634"/>
      <c r="M365" s="129"/>
    </row>
    <row r="366" spans="2:15" s="234" customFormat="1" ht="13.2" x14ac:dyDescent="0.25">
      <c r="B366" s="159" t="str">
        <f>IF('1. INTRO'!I$2="English",(IF('2. START'!C$11="NO","Indirect and facility charge not accepted as OH by funding body","")),IF('2. START'!C$11="NO","Indirekt och lokalpåslag inte accepterade som OH av finansiär",""))</f>
        <v/>
      </c>
      <c r="C366" s="910">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910">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910">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910">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910">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910">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910">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910">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910">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910">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903">
        <f t="shared" ref="M366:M372" si="55">SUM(C366:L366)</f>
        <v>0</v>
      </c>
    </row>
    <row r="367" spans="2:15" s="234" customFormat="1" ht="12.75" customHeight="1" x14ac:dyDescent="0.25">
      <c r="B367" s="132" t="str">
        <f>IF('1. INTRO'!I$2="English",(IF('2. START'!C$14&gt;0,"Social costs (LKP) not accepted by funding body","")),IF('2. START'!C$14&gt;0,"LKP som inte accepteras av finansiär",""))</f>
        <v/>
      </c>
      <c r="C367" s="911">
        <f>IF('2. START'!$C$14&gt;0,SUMIF('5. PERSON'!$D$17:$D$192,$C355,'5. PERSON'!AT$17:AT$192)-SUMIF('5. PERSON'!$D$17:$D$192,$C355,'5. PERSON'!DN$17:DN$192),0)</f>
        <v>0</v>
      </c>
      <c r="D367" s="911">
        <f>IF('2. START'!$C$14&gt;0,SUMIF('5. PERSON'!$D$17:$D$192,$C355,'5. PERSON'!AU$17:AU$192)-SUMIF('5. PERSON'!$D$17:$D$192,$C355,'5. PERSON'!DO$17:DO$192),0)</f>
        <v>0</v>
      </c>
      <c r="E367" s="911">
        <f>IF('2. START'!$C$14&gt;0,SUMIF('5. PERSON'!$D$17:$D$192,$C355,'5. PERSON'!AV$17:AV$192)-SUMIF('5. PERSON'!$D$17:$D$192,$C355,'5. PERSON'!DP$17:DP$192),0)</f>
        <v>0</v>
      </c>
      <c r="F367" s="911">
        <f>IF('2. START'!$C$14&gt;0,SUMIF('5. PERSON'!$D$17:$D$192,$C355,'5. PERSON'!AW$17:AW$192)-SUMIF('5. PERSON'!$D$17:$D$192,$C355,'5. PERSON'!DQ$17:DQ$192),0)</f>
        <v>0</v>
      </c>
      <c r="G367" s="911">
        <f>IF('2. START'!$C$14&gt;0,SUMIF('5. PERSON'!$D$17:$D$192,$C355,'5. PERSON'!AX$17:AX$192)-SUMIF('5. PERSON'!$D$17:$D$192,$C355,'5. PERSON'!DR$17:DR$192),0)</f>
        <v>0</v>
      </c>
      <c r="H367" s="911">
        <f>IF('2. START'!$C$14&gt;0,SUMIF('5. PERSON'!$D$17:$D$192,$C355,'5. PERSON'!AY$17:AY$192)-SUMIF('5. PERSON'!$D$17:$D$192,$C355,'5. PERSON'!DS$17:DS$192),0)</f>
        <v>0</v>
      </c>
      <c r="I367" s="911">
        <f>IF('2. START'!$C$14&gt;0,SUMIF('5. PERSON'!$D$17:$D$192,$C355,'5. PERSON'!AZ$17:AZ$192)-SUMIF('5. PERSON'!$D$17:$D$192,$C355,'5. PERSON'!DT$17:DT$192),0)</f>
        <v>0</v>
      </c>
      <c r="J367" s="911">
        <f>IF('2. START'!$C$14&gt;0,SUMIF('5. PERSON'!$D$17:$D$192,$C355,'5. PERSON'!BA$17:BA$192)-SUMIF('5. PERSON'!$D$17:$D$192,$C355,'5. PERSON'!DU$17:DU$192),0)</f>
        <v>0</v>
      </c>
      <c r="K367" s="911">
        <f>IF('2. START'!$C$14&gt;0,SUMIF('5. PERSON'!$D$17:$D$192,$C355,'5. PERSON'!BB$17:BB$192)-SUMIF('5. PERSON'!$D$17:$D$192,$C355,'5. PERSON'!DV$17:DV$192),0)</f>
        <v>0</v>
      </c>
      <c r="L367" s="911">
        <f>IF('2. START'!$C$14&gt;0,SUMIF('5. PERSON'!$D$17:$D$192,$C355,'5. PERSON'!BC$17:BC$192)-SUMIF('5. PERSON'!$D$17:$D$192,$C355,'5. PERSON'!DW$17:DW$192),0)</f>
        <v>0</v>
      </c>
      <c r="M367" s="905">
        <f t="shared" si="55"/>
        <v>0</v>
      </c>
    </row>
    <row r="368" spans="2:15" s="234" customFormat="1" ht="12.75" customHeight="1" x14ac:dyDescent="0.25">
      <c r="B368" s="906" t="str">
        <f>IF('1. INTRO'!I$2="English",(IF('5. PERSON'!BP$193&gt;0,"Salary including social costs (LKP)","")),IF('5. PERSON'!BP$193&gt;0,"Lön inklusive LKP",""))</f>
        <v/>
      </c>
      <c r="C368" s="622">
        <f>SUMIF('5. PERSON'!$D$17:$D$192,$C355,'5. PERSON'!BF$17:BF$192)</f>
        <v>0</v>
      </c>
      <c r="D368" s="622">
        <f>SUMIF('5. PERSON'!$D$17:$D$192,$C355,'5. PERSON'!BG$17:BG$192)</f>
        <v>0</v>
      </c>
      <c r="E368" s="622">
        <f>SUMIF('5. PERSON'!$D$17:$D$192,$C355,'5. PERSON'!BH$17:BH$192)</f>
        <v>0</v>
      </c>
      <c r="F368" s="622">
        <f>SUMIF('5. PERSON'!$D$17:$D$192,$C355,'5. PERSON'!BI$17:BI$192)</f>
        <v>0</v>
      </c>
      <c r="G368" s="622">
        <f>SUMIF('5. PERSON'!$D$17:$D$192,$C355,'5. PERSON'!BJ$17:BJ$192)</f>
        <v>0</v>
      </c>
      <c r="H368" s="622">
        <f>SUMIF('5. PERSON'!$D$17:$D$192,$C355,'5. PERSON'!BK$17:BK$192)</f>
        <v>0</v>
      </c>
      <c r="I368" s="622">
        <f>SUMIF('5. PERSON'!$D$17:$D$192,$C355,'5. PERSON'!BL$17:BL$192)</f>
        <v>0</v>
      </c>
      <c r="J368" s="622">
        <f>SUMIF('5. PERSON'!$D$17:$D$192,$C355,'5. PERSON'!BM$17:BM$192)</f>
        <v>0</v>
      </c>
      <c r="K368" s="622">
        <f>SUMIF('5. PERSON'!$D$17:$D$192,$C355,'5. PERSON'!BN$17:BN$192)</f>
        <v>0</v>
      </c>
      <c r="L368" s="622">
        <f>SUMIF('5. PERSON'!$D$17:$D$192,$C355,'5. PERSON'!BO$17:BO$192)</f>
        <v>0</v>
      </c>
      <c r="M368" s="907">
        <f t="shared" si="55"/>
        <v>0</v>
      </c>
    </row>
    <row r="369" spans="2:15" s="234" customFormat="1" ht="13.2" x14ac:dyDescent="0.25">
      <c r="B369" s="377" t="str">
        <f>IF('1. INTRO'!I$2="English",(IF('6. OPERATION'!AS$150&gt;0,"Operating","")),IF('6. OPERATION'!AS$150&gt;0,"Drift",""))</f>
        <v/>
      </c>
      <c r="C369" s="617">
        <f>SUMIF('6. OPERATION'!$D$17:$D$149,$C355,'6. OPERATION'!AI$17:AI$149)</f>
        <v>0</v>
      </c>
      <c r="D369" s="617">
        <f>SUMIF('6. OPERATION'!$D$17:$D$149,$C355,'6. OPERATION'!AJ$17:AJ$149)</f>
        <v>0</v>
      </c>
      <c r="E369" s="617">
        <f>SUMIF('6. OPERATION'!$D$17:$D$149,$C355,'6. OPERATION'!AK$17:AK$149)</f>
        <v>0</v>
      </c>
      <c r="F369" s="617">
        <f>SUMIF('6. OPERATION'!$D$17:$D$149,$C355,'6. OPERATION'!AL$17:AL$149)</f>
        <v>0</v>
      </c>
      <c r="G369" s="617">
        <f>SUMIF('6. OPERATION'!$D$17:$D$149,$C355,'6. OPERATION'!AM$17:AM$149)</f>
        <v>0</v>
      </c>
      <c r="H369" s="617">
        <f>SUMIF('6. OPERATION'!$D$17:$D$149,$C355,'6. OPERATION'!AN$17:AN$149)</f>
        <v>0</v>
      </c>
      <c r="I369" s="617">
        <f>SUMIF('6. OPERATION'!$D$17:$D$149,$C355,'6. OPERATION'!AO$17:AO$149)</f>
        <v>0</v>
      </c>
      <c r="J369" s="617">
        <f>SUMIF('6. OPERATION'!$D$17:$D$149,$C355,'6. OPERATION'!AP$17:AP$149)</f>
        <v>0</v>
      </c>
      <c r="K369" s="617">
        <f>SUMIF('6. OPERATION'!$D$17:$D$149,$C355,'6. OPERATION'!AQ$17:AQ$149)</f>
        <v>0</v>
      </c>
      <c r="L369" s="617">
        <f>SUMIF('6. OPERATION'!$D$17:$D$149,$C355,'6. OPERATION'!AR$17:AR$149)</f>
        <v>0</v>
      </c>
      <c r="M369" s="905">
        <f t="shared" si="55"/>
        <v>0</v>
      </c>
    </row>
    <row r="370" spans="2:15" s="234" customFormat="1" ht="13.2" x14ac:dyDescent="0.25">
      <c r="B370" s="906" t="str">
        <f>IF('1. INTRO'!I$2="English",(IF('7. INVEST'!AS$50&gt;0,"Equipment","")),IF('7. INVEST'!AS$50&gt;0,"Utrustning",""))</f>
        <v/>
      </c>
      <c r="C370" s="622">
        <f>SUMIF('7. INVEST'!$D$17:$D$49,$C355,'7. INVEST'!AI$17:AI$49)</f>
        <v>0</v>
      </c>
      <c r="D370" s="622">
        <f>SUMIF('7. INVEST'!$D$17:$D$49,$C355,'7. INVEST'!AJ$17:AJ$49)</f>
        <v>0</v>
      </c>
      <c r="E370" s="622">
        <f>SUMIF('7. INVEST'!$D$17:$D$49,$C355,'7. INVEST'!AK$17:AK$49)</f>
        <v>0</v>
      </c>
      <c r="F370" s="622">
        <f>SUMIF('7. INVEST'!$D$17:$D$49,$C355,'7. INVEST'!AL$17:AL$49)</f>
        <v>0</v>
      </c>
      <c r="G370" s="622">
        <f>SUMIF('7. INVEST'!$D$17:$D$49,$C355,'7. INVEST'!AM$17:AM$49)</f>
        <v>0</v>
      </c>
      <c r="H370" s="622">
        <f>SUMIF('7. INVEST'!$D$17:$D$49,$C355,'7. INVEST'!AN$17:AN$49)</f>
        <v>0</v>
      </c>
      <c r="I370" s="622">
        <f>SUMIF('7. INVEST'!$D$17:$D$49,$C355,'7. INVEST'!AO$17:AO$49)</f>
        <v>0</v>
      </c>
      <c r="J370" s="622">
        <f>SUMIF('7. INVEST'!$D$17:$D$49,$C355,'7. INVEST'!AP$17:AP$49)</f>
        <v>0</v>
      </c>
      <c r="K370" s="622">
        <f>SUMIF('7. INVEST'!$D$17:$D$49,$C355,'7. INVEST'!AQ$17:AQ$49)</f>
        <v>0</v>
      </c>
      <c r="L370" s="622">
        <f>SUMIF('7. INVEST'!$D$17:$D$49,$C355,'7. INVEST'!AR$17:AR$49)</f>
        <v>0</v>
      </c>
      <c r="M370" s="907">
        <f t="shared" si="55"/>
        <v>0</v>
      </c>
    </row>
    <row r="371" spans="2:15" s="234" customFormat="1" ht="13.2" x14ac:dyDescent="0.25">
      <c r="B371" s="121" t="str">
        <f>IF('1. INTRO'!I$2="English",(IF('8. FACILIT'!AP$51&gt;0,"Facility","")),IF('8. FACILIT'!AP$51&gt;0,"Lokal",""))</f>
        <v/>
      </c>
      <c r="C371" s="617">
        <f>SUMIF('5. PERSON'!$D$17:$D$192,$C355,'5. PERSON'!DB$17:DB$192)+SUMIF('6. OPERATION'!$D$17:$D$149,$C355,'6. OPERATION'!CE$17:CE$149)+SUMIF('8. FACILIT'!$D$18:$D$50,$C355,'8. FACILIT'!AF$18:AF$50)</f>
        <v>0</v>
      </c>
      <c r="D371" s="617">
        <f>SUMIF('5. PERSON'!$D$17:$D$192,$C355,'5. PERSON'!DC$17:DC$192)+SUMIF('6. OPERATION'!$D$17:$D$149,$C355,'6. OPERATION'!CF$17:CF$149)+SUMIF('8. FACILIT'!$D$18:$D$50,$C355,'8. FACILIT'!AG$18:AG$50)</f>
        <v>0</v>
      </c>
      <c r="E371" s="617">
        <f>SUMIF('5. PERSON'!$D$17:$D$192,$C355,'5. PERSON'!DD$17:DD$192)+SUMIF('6. OPERATION'!$D$17:$D$149,$C355,'6. OPERATION'!CG$17:CG$149)+SUMIF('8. FACILIT'!$D$18:$D$50,$C355,'8. FACILIT'!AH$18:AH$50)</f>
        <v>0</v>
      </c>
      <c r="F371" s="617">
        <f>SUMIF('5. PERSON'!$D$17:$D$192,$C355,'5. PERSON'!DE$17:DE$192)+SUMIF('6. OPERATION'!$D$17:$D$149,$C355,'6. OPERATION'!CH$17:CH$149)+SUMIF('8. FACILIT'!$D$18:$D$50,$C355,'8. FACILIT'!AI$18:AI$50)</f>
        <v>0</v>
      </c>
      <c r="G371" s="617">
        <f>SUMIF('5. PERSON'!$D$17:$D$192,$C355,'5. PERSON'!DF$17:DF$192)+SUMIF('6. OPERATION'!$D$17:$D$149,$C355,'6. OPERATION'!CI$17:CI$149)+SUMIF('8. FACILIT'!$D$18:$D$50,$C355,'8. FACILIT'!AJ$18:AJ$50)</f>
        <v>0</v>
      </c>
      <c r="H371" s="617">
        <f>SUMIF('5. PERSON'!$D$17:$D$192,$C355,'5. PERSON'!DG$17:DG$192)+SUMIF('6. OPERATION'!$D$17:$D$149,$C355,'6. OPERATION'!CJ$17:CJ$149)+SUMIF('8. FACILIT'!$D$18:$D$50,$C355,'8. FACILIT'!AK$18:AK$50)</f>
        <v>0</v>
      </c>
      <c r="I371" s="617">
        <f>SUMIF('5. PERSON'!$D$17:$D$192,$C355,'5. PERSON'!DH$17:DH$192)+SUMIF('6. OPERATION'!$D$17:$D$149,$C355,'6. OPERATION'!CK$17:CK$149)+SUMIF('8. FACILIT'!$D$18:$D$50,$C355,'8. FACILIT'!AL$18:AL$50)</f>
        <v>0</v>
      </c>
      <c r="J371" s="617">
        <f>SUMIF('5. PERSON'!$D$17:$D$192,$C355,'5. PERSON'!DI$17:DI$192)+SUMIF('6. OPERATION'!$D$17:$D$149,$C355,'6. OPERATION'!CL$17:CL$149)+SUMIF('8. FACILIT'!$D$18:$D$50,$C355,'8. FACILIT'!AM$18:AM$50)</f>
        <v>0</v>
      </c>
      <c r="K371" s="617">
        <f>SUMIF('5. PERSON'!$D$17:$D$192,$C355,'5. PERSON'!DJ$17:DJ$192)+SUMIF('6. OPERATION'!$D$17:$D$149,$C355,'6. OPERATION'!CM$17:CM$149)+SUMIF('8. FACILIT'!$D$18:$D$50,$C355,'8. FACILIT'!AN$18:AN$50)</f>
        <v>0</v>
      </c>
      <c r="L371" s="617">
        <f>SUMIF('5. PERSON'!$D$17:$D$192,$C355,'5. PERSON'!DK$17:DK$192)+SUMIF('6. OPERATION'!$D$17:$D$149,$C355,'6. OPERATION'!CN$17:CN$149)+SUMIF('8. FACILIT'!$D$18:$D$50,$C355,'8. FACILIT'!AO$18:AO$50)</f>
        <v>0</v>
      </c>
      <c r="M371" s="905">
        <f t="shared" si="55"/>
        <v>0</v>
      </c>
    </row>
    <row r="372" spans="2:15" s="912" customFormat="1" ht="13.2" x14ac:dyDescent="0.25">
      <c r="B372" s="122" t="str">
        <f>IF('1. INTRO'!I$2="English",(IF(('5. PERSON'!CN$193+'6. OPERATION'!BQ$150)&gt;0,"Indirect","")),IF(('5. PERSON'!CN$193+'6. OPERATION'!BQ$150)&gt;0,"Indirekt",""))</f>
        <v/>
      </c>
      <c r="C372" s="584">
        <f>SUMIF('5. PERSON'!$D$17:$D$192,$C355,'5. PERSON'!CD$17:CD$192)+SUMIF('6. OPERATION'!$D$17:$D$149,$C355,'6. OPERATION'!BG$17:BG$149)</f>
        <v>0</v>
      </c>
      <c r="D372" s="584">
        <f>SUMIF('5. PERSON'!$D$17:$D$192,$C355,'5. PERSON'!CE$17:CE$192)+SUMIF('6. OPERATION'!$D$17:$D$149,$C355,'6. OPERATION'!BH$17:BH$149)</f>
        <v>0</v>
      </c>
      <c r="E372" s="584">
        <f>SUMIF('5. PERSON'!$D$17:$D$192,$C355,'5. PERSON'!CF$17:CF$192)+SUMIF('6. OPERATION'!$D$17:$D$149,$C355,'6. OPERATION'!BI$17:BI$149)</f>
        <v>0</v>
      </c>
      <c r="F372" s="584">
        <f>SUMIF('5. PERSON'!$D$17:$D$192,$C355,'5. PERSON'!CG$17:CG$192)+SUMIF('6. OPERATION'!$D$17:$D$149,$C355,'6. OPERATION'!BJ$17:BJ$149)</f>
        <v>0</v>
      </c>
      <c r="G372" s="584">
        <f>SUMIF('5. PERSON'!$D$17:$D$192,$C355,'5. PERSON'!CH$17:CH$192)+SUMIF('6. OPERATION'!$D$17:$D$149,$C355,'6. OPERATION'!BK$17:BK$149)</f>
        <v>0</v>
      </c>
      <c r="H372" s="584">
        <f>SUMIF('5. PERSON'!$D$17:$D$192,$C355,'5. PERSON'!CI$17:CI$192)+SUMIF('6. OPERATION'!$D$17:$D$149,$C355,'6. OPERATION'!BL$17:BL$149)</f>
        <v>0</v>
      </c>
      <c r="I372" s="584">
        <f>SUMIF('5. PERSON'!$D$17:$D$192,$C355,'5. PERSON'!CJ$17:CJ$192)+SUMIF('6. OPERATION'!$D$17:$D$149,$C355,'6. OPERATION'!BM$17:BM$149)</f>
        <v>0</v>
      </c>
      <c r="J372" s="584">
        <f>SUMIF('5. PERSON'!$D$17:$D$192,$C355,'5. PERSON'!CK$17:CK$192)+SUMIF('6. OPERATION'!$D$17:$D$149,$C355,'6. OPERATION'!BN$17:BN$149)</f>
        <v>0</v>
      </c>
      <c r="K372" s="584">
        <f>SUMIF('5. PERSON'!$D$17:$D$192,$C355,'5. PERSON'!CL$17:CL$192)+SUMIF('6. OPERATION'!$D$17:$D$149,$C355,'6. OPERATION'!BO$17:BO$149)</f>
        <v>0</v>
      </c>
      <c r="L372" s="584">
        <f>SUMIF('5. PERSON'!$D$17:$D$192,$C355,'5. PERSON'!CM$17:CM$192)+SUMIF('6. OPERATION'!$D$17:$D$149,$C355,'6. OPERATION'!BP$17:BP$149)</f>
        <v>0</v>
      </c>
      <c r="M372" s="908">
        <f t="shared" si="55"/>
        <v>0</v>
      </c>
    </row>
    <row r="373" spans="2:15" s="234" customFormat="1" ht="13.2" x14ac:dyDescent="0.25">
      <c r="B373" s="628" t="s">
        <v>113</v>
      </c>
      <c r="C373" s="443">
        <f>SUM(C366:C372)</f>
        <v>0</v>
      </c>
      <c r="D373" s="443">
        <f t="shared" ref="D373:M373" si="56">SUM(D366:D372)</f>
        <v>0</v>
      </c>
      <c r="E373" s="443">
        <f t="shared" si="56"/>
        <v>0</v>
      </c>
      <c r="F373" s="443">
        <f t="shared" si="56"/>
        <v>0</v>
      </c>
      <c r="G373" s="443">
        <f t="shared" si="56"/>
        <v>0</v>
      </c>
      <c r="H373" s="443">
        <f t="shared" si="56"/>
        <v>0</v>
      </c>
      <c r="I373" s="443">
        <f t="shared" si="56"/>
        <v>0</v>
      </c>
      <c r="J373" s="443">
        <f t="shared" si="56"/>
        <v>0</v>
      </c>
      <c r="K373" s="443">
        <f t="shared" si="56"/>
        <v>0</v>
      </c>
      <c r="L373" s="443">
        <f t="shared" si="56"/>
        <v>0</v>
      </c>
      <c r="M373" s="630">
        <f t="shared" si="56"/>
        <v>0</v>
      </c>
      <c r="N373" s="913"/>
      <c r="O373" s="913"/>
    </row>
    <row r="374" spans="2:15" s="234" customFormat="1" ht="6" customHeight="1" x14ac:dyDescent="0.25">
      <c r="B374" s="914"/>
      <c r="C374" s="127"/>
      <c r="D374" s="127"/>
      <c r="E374" s="127"/>
      <c r="F374" s="127"/>
      <c r="G374" s="127"/>
      <c r="H374" s="127"/>
      <c r="I374" s="127"/>
      <c r="J374" s="127"/>
      <c r="K374" s="127"/>
      <c r="L374" s="127"/>
      <c r="M374" s="636"/>
    </row>
    <row r="375" spans="2:15" s="234" customFormat="1" ht="13.2" x14ac:dyDescent="0.25">
      <c r="B375" s="129" t="str">
        <f>IF('1. INTRO'!I$2="English","Full cost","Full kostnad")</f>
        <v>Full cost</v>
      </c>
      <c r="C375" s="127"/>
      <c r="D375" s="127"/>
      <c r="E375" s="127"/>
      <c r="F375" s="127"/>
      <c r="G375" s="127"/>
      <c r="H375" s="127"/>
      <c r="I375" s="127"/>
      <c r="J375" s="127"/>
      <c r="K375" s="127"/>
      <c r="L375" s="127"/>
      <c r="M375" s="636"/>
    </row>
    <row r="376" spans="2:15" s="234" customFormat="1" ht="13.2" x14ac:dyDescent="0.25">
      <c r="B376" s="902" t="str">
        <f>IF('1. INTRO'!I$2="English","Salary including social costs (LKP)","Lön inklusive LKP")</f>
        <v>Salary including social costs (LKP)</v>
      </c>
      <c r="C376" s="138">
        <f>C358+C367+C368</f>
        <v>0</v>
      </c>
      <c r="D376" s="138">
        <f t="shared" ref="D376:L376" si="57">D358+D367+D368</f>
        <v>0</v>
      </c>
      <c r="E376" s="138">
        <f t="shared" si="57"/>
        <v>0</v>
      </c>
      <c r="F376" s="138">
        <f t="shared" si="57"/>
        <v>0</v>
      </c>
      <c r="G376" s="138">
        <f t="shared" si="57"/>
        <v>0</v>
      </c>
      <c r="H376" s="138">
        <f t="shared" si="57"/>
        <v>0</v>
      </c>
      <c r="I376" s="138">
        <f t="shared" si="57"/>
        <v>0</v>
      </c>
      <c r="J376" s="138">
        <f t="shared" si="57"/>
        <v>0</v>
      </c>
      <c r="K376" s="138">
        <f t="shared" si="57"/>
        <v>0</v>
      </c>
      <c r="L376" s="138">
        <f t="shared" si="57"/>
        <v>0</v>
      </c>
      <c r="M376" s="903">
        <f>SUM(C376:L376)</f>
        <v>0</v>
      </c>
    </row>
    <row r="377" spans="2:15" s="234" customFormat="1" ht="13.2" x14ac:dyDescent="0.25">
      <c r="B377" s="377" t="str">
        <f>IF('1. INTRO'!I$2="English","Operating","Drift")</f>
        <v>Operating</v>
      </c>
      <c r="C377" s="139">
        <f>C359+C369</f>
        <v>0</v>
      </c>
      <c r="D377" s="139">
        <f t="shared" ref="D377:L377" si="58">D359+D369</f>
        <v>0</v>
      </c>
      <c r="E377" s="139">
        <f t="shared" si="58"/>
        <v>0</v>
      </c>
      <c r="F377" s="139">
        <f t="shared" si="58"/>
        <v>0</v>
      </c>
      <c r="G377" s="139">
        <f t="shared" si="58"/>
        <v>0</v>
      </c>
      <c r="H377" s="139">
        <f t="shared" si="58"/>
        <v>0</v>
      </c>
      <c r="I377" s="139">
        <f t="shared" si="58"/>
        <v>0</v>
      </c>
      <c r="J377" s="139">
        <f t="shared" si="58"/>
        <v>0</v>
      </c>
      <c r="K377" s="139">
        <f t="shared" si="58"/>
        <v>0</v>
      </c>
      <c r="L377" s="139">
        <f t="shared" si="58"/>
        <v>0</v>
      </c>
      <c r="M377" s="905">
        <f>SUM(C377:L377)</f>
        <v>0</v>
      </c>
    </row>
    <row r="378" spans="2:15" s="234" customFormat="1" ht="13.2" x14ac:dyDescent="0.25">
      <c r="B378" s="906" t="str">
        <f>IF('1. INTRO'!I$2="English","Equipment","Utrustning")</f>
        <v>Equipment</v>
      </c>
      <c r="C378" s="140">
        <f>C360+C370</f>
        <v>0</v>
      </c>
      <c r="D378" s="140">
        <f t="shared" ref="D378:L378" si="59">D360+D370</f>
        <v>0</v>
      </c>
      <c r="E378" s="140">
        <f t="shared" si="59"/>
        <v>0</v>
      </c>
      <c r="F378" s="140">
        <f t="shared" si="59"/>
        <v>0</v>
      </c>
      <c r="G378" s="140">
        <f t="shared" si="59"/>
        <v>0</v>
      </c>
      <c r="H378" s="140">
        <f t="shared" si="59"/>
        <v>0</v>
      </c>
      <c r="I378" s="140">
        <f t="shared" si="59"/>
        <v>0</v>
      </c>
      <c r="J378" s="140">
        <f t="shared" si="59"/>
        <v>0</v>
      </c>
      <c r="K378" s="140">
        <f t="shared" si="59"/>
        <v>0</v>
      </c>
      <c r="L378" s="140">
        <f t="shared" si="59"/>
        <v>0</v>
      </c>
      <c r="M378" s="907">
        <f>SUM(C378:L378)</f>
        <v>0</v>
      </c>
    </row>
    <row r="379" spans="2:15" s="234" customFormat="1" ht="13.2" x14ac:dyDescent="0.25">
      <c r="B379" s="377" t="str">
        <f>IF('1. INTRO'!I$2="English","Facility","Lokal")</f>
        <v>Facility</v>
      </c>
      <c r="C379" s="139">
        <f>SUMIF('5. PERSON'!$D$17:$D$192,$C355,'5. PERSON'!CP$17:CP$192)+SUMIF('5. PERSON'!$D$17:$D$192,$C355,'5. PERSON'!DB$17:DB$192)+SUMIF('6. OPERATION'!$D$17:$D$149,$C355,'6. OPERATION'!BS$17:BS$149)+SUMIF('6. OPERATION'!$D$17:$D$149,$C355,'6. OPERATION'!CE$17:CE$149)+SUMIF('8. FACILIT'!$D$18:$D$50,$C355,'8. FACILIT'!T$18:T$50)+SUMIF('8. FACILIT'!$D$18:$D$50,$C355,'8. FACILIT'!AF$18:AF$50)</f>
        <v>0</v>
      </c>
      <c r="D379" s="139">
        <f>SUMIF('5. PERSON'!$D$17:$D$192,$C355,'5. PERSON'!CQ$17:CQ$192)+SUMIF('5. PERSON'!$D$17:$D$192,$C355,'5. PERSON'!DC$17:DC$192)+SUMIF('6. OPERATION'!$D$17:$D$149,$C355,'6. OPERATION'!BT$17:BT$149)+SUMIF('6. OPERATION'!$D$17:$D$149,$C355,'6. OPERATION'!CF$17:CF$149)+SUMIF('8. FACILIT'!$D$18:$D$50,$C355,'8. FACILIT'!U$18:U$50)+SUMIF('8. FACILIT'!$D$18:$D$50,$C355,'8. FACILIT'!AG$18:AG$50)</f>
        <v>0</v>
      </c>
      <c r="E379" s="139">
        <f>SUMIF('5. PERSON'!$D$17:$D$192,$C355,'5. PERSON'!CR$17:CR$192)+SUMIF('5. PERSON'!$D$17:$D$192,$C355,'5. PERSON'!DD$17:DD$192)+SUMIF('6. OPERATION'!$D$17:$D$149,$C355,'6. OPERATION'!BU$17:BU$149)+SUMIF('6. OPERATION'!$D$17:$D$149,$C355,'6. OPERATION'!CG$17:CG$149)+SUMIF('8. FACILIT'!$D$18:$D$50,$C355,'8. FACILIT'!V$18:V$50)+SUMIF('8. FACILIT'!$D$18:$D$50,$C355,'8. FACILIT'!AH$18:AH$50)</f>
        <v>0</v>
      </c>
      <c r="F379" s="139">
        <f>SUMIF('5. PERSON'!$D$17:$D$192,$C355,'5. PERSON'!CS$17:CS$192)+SUMIF('5. PERSON'!$D$17:$D$192,$C355,'5. PERSON'!DE$17:DE$192)+SUMIF('6. OPERATION'!$D$17:$D$149,$C355,'6. OPERATION'!BV$17:BV$149)+SUMIF('6. OPERATION'!$D$17:$D$149,$C355,'6. OPERATION'!CH$17:CH$149)+SUMIF('8. FACILIT'!$D$18:$D$50,$C355,'8. FACILIT'!W$18:W$50)+SUMIF('8. FACILIT'!$D$18:$D$50,$C355,'8. FACILIT'!AI$18:AI$50)</f>
        <v>0</v>
      </c>
      <c r="G379" s="139">
        <f>SUMIF('5. PERSON'!$D$17:$D$192,$C355,'5. PERSON'!CT$17:CT$192)+SUMIF('5. PERSON'!$D$17:$D$192,$C355,'5. PERSON'!DF$17:DF$192)+SUMIF('6. OPERATION'!$D$17:$D$149,$C355,'6. OPERATION'!BW$17:BW$149)+SUMIF('6. OPERATION'!$D$17:$D$149,$C355,'6. OPERATION'!CI$17:CI$149)+SUMIF('8. FACILIT'!$D$18:$D$50,$C355,'8. FACILIT'!X$18:X$50)+SUMIF('8. FACILIT'!$D$18:$D$50,$C355,'8. FACILIT'!AJ$18:AJ$50)</f>
        <v>0</v>
      </c>
      <c r="H379" s="139">
        <f>SUMIF('5. PERSON'!$D$17:$D$192,$C355,'5. PERSON'!CU$17:CU$192)+SUMIF('5. PERSON'!$D$17:$D$192,$C355,'5. PERSON'!DG$17:DG$192)+SUMIF('6. OPERATION'!$D$17:$D$149,$C355,'6. OPERATION'!BX$17:BX$149)+SUMIF('6. OPERATION'!$D$17:$D$149,$C355,'6. OPERATION'!CJ$17:CJ$149)+SUMIF('8. FACILIT'!$D$18:$D$50,$C355,'8. FACILIT'!Y$18:Y$50)+SUMIF('8. FACILIT'!$D$18:$D$50,$C355,'8. FACILIT'!AK$18:AK$50)</f>
        <v>0</v>
      </c>
      <c r="I379" s="139">
        <f>SUMIF('5. PERSON'!$D$17:$D$192,$C355,'5. PERSON'!CV$17:CV$192)+SUMIF('5. PERSON'!$D$17:$D$192,$C355,'5. PERSON'!DH$17:DH$192)+SUMIF('6. OPERATION'!$D$17:$D$149,$C355,'6. OPERATION'!BY$17:BY$149)+SUMIF('6. OPERATION'!$D$17:$D$149,$C355,'6. OPERATION'!CK$17:CK$149)+SUMIF('8. FACILIT'!$D$18:$D$50,$C355,'8. FACILIT'!Z$18:Z$50)+SUMIF('8. FACILIT'!$D$18:$D$50,$C355,'8. FACILIT'!AL$18:AL$50)</f>
        <v>0</v>
      </c>
      <c r="J379" s="139">
        <f>SUMIF('5. PERSON'!$D$17:$D$192,$C355,'5. PERSON'!CW$17:CW$192)+SUMIF('5. PERSON'!$D$17:$D$192,$C355,'5. PERSON'!DI$17:DI$192)+SUMIF('6. OPERATION'!$D$17:$D$149,$C355,'6. OPERATION'!BZ$17:BZ$149)+SUMIF('6. OPERATION'!$D$17:$D$149,$C355,'6. OPERATION'!CL$17:CL$149)+SUMIF('8. FACILIT'!$D$18:$D$50,$C355,'8. FACILIT'!AA$18:AA$50)+SUMIF('8. FACILIT'!$D$18:$D$50,$C355,'8. FACILIT'!AM$18:AM$50)</f>
        <v>0</v>
      </c>
      <c r="K379" s="139">
        <f>SUMIF('5. PERSON'!$D$17:$D$192,$C355,'5. PERSON'!CX$17:CX$192)+SUMIF('5. PERSON'!$D$17:$D$192,$C355,'5. PERSON'!DJ$17:DJ$192)+SUMIF('6. OPERATION'!$D$17:$D$149,$C355,'6. OPERATION'!CA$17:CA$149)+SUMIF('6. OPERATION'!$D$17:$D$149,$C355,'6. OPERATION'!CM$17:CM$149)+SUMIF('8. FACILIT'!$D$18:$D$50,$C355,'8. FACILIT'!AB$18:AB$50)+SUMIF('8. FACILIT'!$D$18:$D$50,$C355,'8. FACILIT'!AN$18:AN$50)</f>
        <v>0</v>
      </c>
      <c r="L379" s="139">
        <f>SUMIF('5. PERSON'!$D$17:$D$192,$C355,'5. PERSON'!CY$17:CY$192)+SUMIF('5. PERSON'!$D$17:$D$192,$C355,'5. PERSON'!DK$17:DK$192)+SUMIF('6. OPERATION'!$D$17:$D$149,$C355,'6. OPERATION'!CB$17:CB$149)+SUMIF('6. OPERATION'!$D$17:$D$149,$C355,'6. OPERATION'!CN$17:CN$149)+SUMIF('8. FACILIT'!$D$18:$D$50,$C355,'8. FACILIT'!AC$18:AC$50)+SUMIF('8. FACILIT'!$D$18:$D$50,$C355,'8. FACILIT'!AO$18:AO$50)</f>
        <v>0</v>
      </c>
      <c r="M379" s="905">
        <f>SUM(C379:L379)</f>
        <v>0</v>
      </c>
    </row>
    <row r="380" spans="2:15" s="234" customFormat="1" ht="13.2" x14ac:dyDescent="0.25">
      <c r="B380" s="915" t="str">
        <f>IF('1. INTRO'!I$2="English","Indirect","Indirekt")</f>
        <v>Indirect</v>
      </c>
      <c r="C380" s="141">
        <f>SUMIF('5. PERSON'!$D$17:$D$192,$C355,'5. PERSON'!BR$17:BR$192)+SUMIF('5. PERSON'!$D$17:$D$192,$C355,'5. PERSON'!CD$17:CD$192)+SUMIF('6. OPERATION'!$D$17:$D$149,$C355,'6. OPERATION'!AU$17:AU$149)+SUMIF('6. OPERATION'!$D$17:$D$149,$C355,'6. OPERATION'!BG$17:BG$149)</f>
        <v>0</v>
      </c>
      <c r="D380" s="141">
        <f>SUMIF('5. PERSON'!$D$17:$D$192,$C355,'5. PERSON'!BS$17:BS$192)+SUMIF('5. PERSON'!$D$17:$D$192,$C355,'5. PERSON'!CE$17:CE$192)+SUMIF('6. OPERATION'!$D$17:$D$149,$C355,'6. OPERATION'!AV$17:AV$149)+SUMIF('6. OPERATION'!$D$17:$D$149,$C355,'6. OPERATION'!BH$17:BH$149)</f>
        <v>0</v>
      </c>
      <c r="E380" s="141">
        <f>SUMIF('5. PERSON'!$D$17:$D$192,$C355,'5. PERSON'!BT$17:BT$192)+SUMIF('5. PERSON'!$D$17:$D$192,$C355,'5. PERSON'!CF$17:CF$192)+SUMIF('6. OPERATION'!$D$17:$D$149,$C355,'6. OPERATION'!AW$17:AW$149)+SUMIF('6. OPERATION'!$D$17:$D$149,$C355,'6. OPERATION'!BI$17:BI$149)</f>
        <v>0</v>
      </c>
      <c r="F380" s="141">
        <f>SUMIF('5. PERSON'!$D$17:$D$192,$C355,'5. PERSON'!BU$17:BU$192)+SUMIF('5. PERSON'!$D$17:$D$192,$C355,'5. PERSON'!CG$17:CG$192)+SUMIF('6. OPERATION'!$D$17:$D$149,$C355,'6. OPERATION'!AX$17:AX$149)+SUMIF('6. OPERATION'!$D$17:$D$149,$C355,'6. OPERATION'!BJ$17:BJ$149)</f>
        <v>0</v>
      </c>
      <c r="G380" s="141">
        <f>SUMIF('5. PERSON'!$D$17:$D$192,$C355,'5. PERSON'!BV$17:BV$192)+SUMIF('5. PERSON'!$D$17:$D$192,$C355,'5. PERSON'!CH$17:CH$192)+SUMIF('6. OPERATION'!$D$17:$D$149,$C355,'6. OPERATION'!AY$17:AY$149)+SUMIF('6. OPERATION'!$D$17:$D$149,$C355,'6. OPERATION'!BK$17:BK$149)</f>
        <v>0</v>
      </c>
      <c r="H380" s="141">
        <f>SUMIF('5. PERSON'!$D$17:$D$192,$C355,'5. PERSON'!BW$17:BW$192)+SUMIF('5. PERSON'!$D$17:$D$192,$C355,'5. PERSON'!CI$17:CI$192)+SUMIF('6. OPERATION'!$D$17:$D$149,$C355,'6. OPERATION'!AZ$17:AZ$149)+SUMIF('6. OPERATION'!$D$17:$D$149,$C355,'6. OPERATION'!BL$17:BL$149)</f>
        <v>0</v>
      </c>
      <c r="I380" s="141">
        <f>SUMIF('5. PERSON'!$D$17:$D$192,$C355,'5. PERSON'!BX$17:BX$192)+SUMIF('5. PERSON'!$D$17:$D$192,$C355,'5. PERSON'!CJ$17:CJ$192)+SUMIF('6. OPERATION'!$D$17:$D$149,$C355,'6. OPERATION'!BA$17:BA$149)+SUMIF('6. OPERATION'!$D$17:$D$149,$C355,'6. OPERATION'!BM$17:BM$149)</f>
        <v>0</v>
      </c>
      <c r="J380" s="141">
        <f>SUMIF('5. PERSON'!$D$17:$D$192,$C355,'5. PERSON'!BY$17:BY$192)+SUMIF('5. PERSON'!$D$17:$D$192,$C355,'5. PERSON'!CK$17:CK$192)+SUMIF('6. OPERATION'!$D$17:$D$149,$C355,'6. OPERATION'!BB$17:BB$149)+SUMIF('6. OPERATION'!$D$17:$D$149,$C355,'6. OPERATION'!BN$17:BN$149)</f>
        <v>0</v>
      </c>
      <c r="K380" s="141">
        <f>SUMIF('5. PERSON'!$D$17:$D$192,$C355,'5. PERSON'!BZ$17:BZ$192)+SUMIF('5. PERSON'!$D$17:$D$192,$C355,'5. PERSON'!CL$17:CL$192)+SUMIF('6. OPERATION'!$D$17:$D$149,$C355,'6. OPERATION'!BC$17:BC$149)+SUMIF('6. OPERATION'!$D$17:$D$149,$C355,'6. OPERATION'!BO$17:BO$149)</f>
        <v>0</v>
      </c>
      <c r="L380" s="141">
        <f>SUMIF('5. PERSON'!$D$17:$D$192,$C355,'5. PERSON'!CA$17:CA$192)+SUMIF('5. PERSON'!$D$17:$D$192,$C355,'5. PERSON'!CM$17:CM$192)+SUMIF('6. OPERATION'!$D$17:$D$149,$C355,'6. OPERATION'!BD$17:BD$149)+SUMIF('6. OPERATION'!$D$17:$D$149,$C355,'6. OPERATION'!BP$17:BP$149)</f>
        <v>0</v>
      </c>
      <c r="M380" s="908">
        <f>SUM(C380:L380)</f>
        <v>0</v>
      </c>
    </row>
    <row r="381" spans="2:15" s="234" customFormat="1" ht="13.2" x14ac:dyDescent="0.25">
      <c r="B381" s="628" t="s">
        <v>113</v>
      </c>
      <c r="C381" s="520">
        <f>SUM(C376:C380)</f>
        <v>0</v>
      </c>
      <c r="D381" s="520">
        <f t="shared" ref="D381:M381" si="60">SUM(D376:D380)</f>
        <v>0</v>
      </c>
      <c r="E381" s="520">
        <f t="shared" si="60"/>
        <v>0</v>
      </c>
      <c r="F381" s="520">
        <f t="shared" si="60"/>
        <v>0</v>
      </c>
      <c r="G381" s="520">
        <f t="shared" si="60"/>
        <v>0</v>
      </c>
      <c r="H381" s="520">
        <f t="shared" si="60"/>
        <v>0</v>
      </c>
      <c r="I381" s="520">
        <f t="shared" si="60"/>
        <v>0</v>
      </c>
      <c r="J381" s="520">
        <f t="shared" si="60"/>
        <v>0</v>
      </c>
      <c r="K381" s="520">
        <f t="shared" si="60"/>
        <v>0</v>
      </c>
      <c r="L381" s="520">
        <f t="shared" si="60"/>
        <v>0</v>
      </c>
      <c r="M381" s="916">
        <f t="shared" si="60"/>
        <v>0</v>
      </c>
    </row>
    <row r="382" spans="2:15" s="234" customFormat="1" ht="13.2" x14ac:dyDescent="0.25">
      <c r="B382" s="676"/>
      <c r="C382" s="268"/>
      <c r="D382" s="268"/>
      <c r="E382" s="268"/>
      <c r="F382" s="268"/>
      <c r="G382" s="268"/>
      <c r="H382" s="268"/>
      <c r="I382" s="268"/>
      <c r="J382" s="268"/>
      <c r="K382" s="268"/>
      <c r="L382" s="268"/>
      <c r="M382" s="268"/>
    </row>
    <row r="383" spans="2:15" s="234" customFormat="1" ht="12.75" customHeight="1" x14ac:dyDescent="0.25">
      <c r="B383" s="676" t="str">
        <f>IF('1. INTRO'!I$2="English","Co-funding share in full cost ","Medfinansieringsandel i full kostnad ")</f>
        <v xml:space="preserve">Co-funding share in full cost </v>
      </c>
      <c r="C383" s="640" t="str">
        <f t="shared" ref="C383:M383" si="61">IF(C381&gt;0,C373/C381,"")</f>
        <v/>
      </c>
      <c r="D383" s="640" t="str">
        <f t="shared" si="61"/>
        <v/>
      </c>
      <c r="E383" s="640" t="str">
        <f t="shared" si="61"/>
        <v/>
      </c>
      <c r="F383" s="640" t="str">
        <f t="shared" si="61"/>
        <v/>
      </c>
      <c r="G383" s="640" t="str">
        <f t="shared" si="61"/>
        <v/>
      </c>
      <c r="H383" s="640" t="str">
        <f t="shared" si="61"/>
        <v/>
      </c>
      <c r="I383" s="640" t="str">
        <f t="shared" si="61"/>
        <v/>
      </c>
      <c r="J383" s="640" t="str">
        <f t="shared" si="61"/>
        <v/>
      </c>
      <c r="K383" s="640" t="str">
        <f t="shared" si="61"/>
        <v/>
      </c>
      <c r="L383" s="640" t="str">
        <f t="shared" si="61"/>
        <v/>
      </c>
      <c r="M383" s="640" t="str">
        <f t="shared" si="61"/>
        <v/>
      </c>
    </row>
    <row r="384" spans="2:15" s="268" customFormat="1" ht="12.75" customHeight="1" x14ac:dyDescent="0.25"/>
    <row r="385" spans="2:13" s="268" customFormat="1" ht="12.75" customHeight="1" x14ac:dyDescent="0.25">
      <c r="B385" s="667" t="str">
        <f>IF('1. INTRO'!I$2="English","Calculation comments","Kalkylkommentarer")</f>
        <v>Calculation comments</v>
      </c>
    </row>
    <row r="386" spans="2:13" s="268" customFormat="1" ht="12.75" customHeight="1" x14ac:dyDescent="0.25">
      <c r="B386" s="1264"/>
      <c r="C386" s="1265"/>
      <c r="D386" s="1265"/>
      <c r="E386" s="1265"/>
      <c r="F386" s="1265"/>
      <c r="G386" s="1265"/>
      <c r="H386" s="1265"/>
      <c r="I386" s="1265"/>
      <c r="J386" s="1265"/>
      <c r="K386" s="1265"/>
      <c r="L386" s="1265"/>
      <c r="M386" s="1266"/>
    </row>
    <row r="387" spans="2:13" s="268" customFormat="1" ht="12.75" customHeight="1" x14ac:dyDescent="0.25">
      <c r="B387" s="1267"/>
      <c r="C387" s="1268"/>
      <c r="D387" s="1268"/>
      <c r="E387" s="1268"/>
      <c r="F387" s="1268"/>
      <c r="G387" s="1268"/>
      <c r="H387" s="1268"/>
      <c r="I387" s="1268"/>
      <c r="J387" s="1268"/>
      <c r="K387" s="1268"/>
      <c r="L387" s="1268"/>
      <c r="M387" s="1269"/>
    </row>
    <row r="388" spans="2:13" s="268" customFormat="1" ht="12.75" customHeight="1" x14ac:dyDescent="0.25">
      <c r="B388" s="1267"/>
      <c r="C388" s="1268"/>
      <c r="D388" s="1268"/>
      <c r="E388" s="1268"/>
      <c r="F388" s="1268"/>
      <c r="G388" s="1268"/>
      <c r="H388" s="1268"/>
      <c r="I388" s="1268"/>
      <c r="J388" s="1268"/>
      <c r="K388" s="1268"/>
      <c r="L388" s="1268"/>
      <c r="M388" s="1269"/>
    </row>
    <row r="389" spans="2:13" s="268" customFormat="1" ht="12.75" customHeight="1" x14ac:dyDescent="0.25">
      <c r="B389" s="1267"/>
      <c r="C389" s="1268"/>
      <c r="D389" s="1268"/>
      <c r="E389" s="1268"/>
      <c r="F389" s="1268"/>
      <c r="G389" s="1268"/>
      <c r="H389" s="1268"/>
      <c r="I389" s="1268"/>
      <c r="J389" s="1268"/>
      <c r="K389" s="1268"/>
      <c r="L389" s="1268"/>
      <c r="M389" s="1269"/>
    </row>
    <row r="390" spans="2:13" s="268" customFormat="1" ht="12.75" customHeight="1" x14ac:dyDescent="0.25">
      <c r="B390" s="1267"/>
      <c r="C390" s="1268"/>
      <c r="D390" s="1268"/>
      <c r="E390" s="1268"/>
      <c r="F390" s="1268"/>
      <c r="G390" s="1268"/>
      <c r="H390" s="1268"/>
      <c r="I390" s="1268"/>
      <c r="J390" s="1268"/>
      <c r="K390" s="1268"/>
      <c r="L390" s="1268"/>
      <c r="M390" s="1269"/>
    </row>
    <row r="391" spans="2:13" s="268" customFormat="1" ht="12.75" customHeight="1" x14ac:dyDescent="0.25">
      <c r="B391" s="1270"/>
      <c r="C391" s="1271"/>
      <c r="D391" s="1271"/>
      <c r="E391" s="1271"/>
      <c r="F391" s="1271"/>
      <c r="G391" s="1271"/>
      <c r="H391" s="1271"/>
      <c r="I391" s="1271"/>
      <c r="J391" s="1271"/>
      <c r="K391" s="1271"/>
      <c r="L391" s="1271"/>
      <c r="M391" s="1272"/>
    </row>
    <row r="392" spans="2:13" s="268" customFormat="1" x14ac:dyDescent="0.25">
      <c r="B392" s="1270"/>
      <c r="C392" s="1271"/>
      <c r="D392" s="1271"/>
      <c r="E392" s="1271"/>
      <c r="F392" s="1271"/>
      <c r="G392" s="1271"/>
      <c r="H392" s="1271"/>
      <c r="I392" s="1271"/>
      <c r="J392" s="1271"/>
      <c r="K392" s="1271"/>
      <c r="L392" s="1271"/>
      <c r="M392" s="1272"/>
    </row>
    <row r="393" spans="2:13" s="268" customFormat="1" x14ac:dyDescent="0.25">
      <c r="B393" s="1270"/>
      <c r="C393" s="1271"/>
      <c r="D393" s="1271"/>
      <c r="E393" s="1271"/>
      <c r="F393" s="1271"/>
      <c r="G393" s="1271"/>
      <c r="H393" s="1271"/>
      <c r="I393" s="1271"/>
      <c r="J393" s="1271"/>
      <c r="K393" s="1271"/>
      <c r="L393" s="1271"/>
      <c r="M393" s="1272"/>
    </row>
    <row r="394" spans="2:13" s="268" customFormat="1" x14ac:dyDescent="0.25">
      <c r="B394" s="1270"/>
      <c r="C394" s="1271"/>
      <c r="D394" s="1271"/>
      <c r="E394" s="1271"/>
      <c r="F394" s="1271"/>
      <c r="G394" s="1271"/>
      <c r="H394" s="1271"/>
      <c r="I394" s="1271"/>
      <c r="J394" s="1271"/>
      <c r="K394" s="1271"/>
      <c r="L394" s="1271"/>
      <c r="M394" s="1272"/>
    </row>
    <row r="395" spans="2:13" s="268" customFormat="1" x14ac:dyDescent="0.25">
      <c r="B395" s="1270"/>
      <c r="C395" s="1271"/>
      <c r="D395" s="1271"/>
      <c r="E395" s="1271"/>
      <c r="F395" s="1271"/>
      <c r="G395" s="1271"/>
      <c r="H395" s="1271"/>
      <c r="I395" s="1271"/>
      <c r="J395" s="1271"/>
      <c r="K395" s="1271"/>
      <c r="L395" s="1271"/>
      <c r="M395" s="1272"/>
    </row>
    <row r="396" spans="2:13" s="268" customFormat="1" x14ac:dyDescent="0.25">
      <c r="B396" s="1270"/>
      <c r="C396" s="1271"/>
      <c r="D396" s="1271"/>
      <c r="E396" s="1271"/>
      <c r="F396" s="1271"/>
      <c r="G396" s="1271"/>
      <c r="H396" s="1271"/>
      <c r="I396" s="1271"/>
      <c r="J396" s="1271"/>
      <c r="K396" s="1271"/>
      <c r="L396" s="1271"/>
      <c r="M396" s="1272"/>
    </row>
    <row r="397" spans="2:13" s="268" customFormat="1" x14ac:dyDescent="0.25">
      <c r="B397" s="1270"/>
      <c r="C397" s="1271"/>
      <c r="D397" s="1271"/>
      <c r="E397" s="1271"/>
      <c r="F397" s="1271"/>
      <c r="G397" s="1271"/>
      <c r="H397" s="1271"/>
      <c r="I397" s="1271"/>
      <c r="J397" s="1271"/>
      <c r="K397" s="1271"/>
      <c r="L397" s="1271"/>
      <c r="M397" s="1272"/>
    </row>
    <row r="398" spans="2:13" s="268" customFormat="1" x14ac:dyDescent="0.25">
      <c r="B398" s="1273"/>
      <c r="C398" s="1274"/>
      <c r="D398" s="1274"/>
      <c r="E398" s="1274"/>
      <c r="F398" s="1274"/>
      <c r="G398" s="1274"/>
      <c r="H398" s="1274"/>
      <c r="I398" s="1274"/>
      <c r="J398" s="1274"/>
      <c r="K398" s="1274"/>
      <c r="L398" s="1274"/>
      <c r="M398" s="1275"/>
    </row>
    <row r="399" spans="2:13" s="268" customFormat="1" x14ac:dyDescent="0.25"/>
    <row r="400" spans="2:13" s="268" customFormat="1" x14ac:dyDescent="0.25"/>
    <row r="401" spans="2:15" s="234" customFormat="1" ht="12.75" customHeight="1" x14ac:dyDescent="0.25">
      <c r="B401" s="313" t="str">
        <f>'3. PARTNER'!C$4</f>
        <v xml:space="preserve">Project: </v>
      </c>
      <c r="C401" s="1062" t="str">
        <f>'3. PARTNER'!D$4</f>
        <v/>
      </c>
      <c r="D401" s="1001"/>
      <c r="E401" s="1001"/>
      <c r="F401" s="1001"/>
      <c r="G401" s="1001"/>
      <c r="H401" s="1001"/>
      <c r="I401" s="1001"/>
      <c r="J401" s="1001"/>
      <c r="K401" s="1001"/>
      <c r="L401" s="1001"/>
      <c r="M401" s="1001"/>
    </row>
    <row r="402" spans="2:15" s="234" customFormat="1" ht="13.2" x14ac:dyDescent="0.25">
      <c r="B402" s="313" t="str">
        <f>'3. PARTNER'!C$5</f>
        <v xml:space="preserve">Calculation for: </v>
      </c>
      <c r="C402" s="1062" t="str">
        <f>'3. PARTNER'!D$5</f>
        <v>APPLICATION</v>
      </c>
      <c r="D402" s="1001"/>
      <c r="E402" s="268"/>
      <c r="F402" s="268"/>
      <c r="G402" s="268"/>
      <c r="H402" s="268"/>
      <c r="I402" s="268"/>
      <c r="J402" s="268"/>
      <c r="K402" s="268"/>
      <c r="L402" s="268"/>
      <c r="M402" s="268"/>
    </row>
    <row r="403" spans="2:15" s="234" customFormat="1" ht="13.2" x14ac:dyDescent="0.25">
      <c r="B403" s="35" t="str">
        <f>'3. PARTNER'!C$6</f>
        <v xml:space="preserve">Project leader: </v>
      </c>
      <c r="C403" s="1062" t="str">
        <f>'3. PARTNER'!D$6</f>
        <v/>
      </c>
      <c r="D403" s="1001"/>
      <c r="E403" s="1001"/>
      <c r="F403" s="1001"/>
      <c r="G403" s="1001"/>
      <c r="H403" s="1001"/>
      <c r="I403" s="1001"/>
      <c r="J403" s="1001"/>
      <c r="K403" s="1001"/>
      <c r="L403" s="1001"/>
      <c r="M403" s="1001"/>
    </row>
    <row r="404" spans="2:15" s="234" customFormat="1" ht="13.2" x14ac:dyDescent="0.25">
      <c r="B404" s="313" t="str">
        <f>'5. PERSON'!B$7</f>
        <v xml:space="preserve">Amounts in: </v>
      </c>
      <c r="C404" s="672" t="str">
        <f>'5. PERSON'!C$7</f>
        <v>SEK</v>
      </c>
      <c r="D404" s="268"/>
      <c r="E404" s="268"/>
      <c r="F404" s="268"/>
      <c r="I404" s="270"/>
      <c r="J404" s="270"/>
      <c r="K404" s="270"/>
      <c r="L404" s="270"/>
      <c r="M404" s="270"/>
    </row>
    <row r="405" spans="2:15" s="234" customFormat="1" ht="13.2" x14ac:dyDescent="0.25">
      <c r="B405" s="313"/>
      <c r="C405" s="1053" t="str">
        <f>'3. PARTNER'!D$7</f>
        <v>Other basic data about the project is in sheet 2.</v>
      </c>
      <c r="D405" s="1001"/>
      <c r="E405" s="1001"/>
      <c r="F405" s="1001"/>
      <c r="I405" s="270"/>
      <c r="J405" s="270"/>
      <c r="K405" s="270"/>
      <c r="L405" s="251" t="s">
        <v>4</v>
      </c>
      <c r="M405" s="270"/>
    </row>
    <row r="406" spans="2:15" s="268" customFormat="1" ht="12.75" customHeight="1" x14ac:dyDescent="0.25">
      <c r="L406" s="252" t="str">
        <f>IF('1. INTRO'!I$2="English","months","månader")</f>
        <v>months</v>
      </c>
    </row>
    <row r="407" spans="2:15" s="234" customFormat="1" ht="13.8" x14ac:dyDescent="0.25">
      <c r="B407" s="678" t="str">
        <f>IF('1. INTRO'!I$2="English","Project costs","Projektkostnader")</f>
        <v>Project costs</v>
      </c>
      <c r="C407" s="678" t="str">
        <f>B22</f>
        <v>WP 8</v>
      </c>
      <c r="D407" s="234" t="str">
        <f>E22</f>
        <v/>
      </c>
      <c r="E407" s="268"/>
      <c r="G407" s="268"/>
      <c r="H407" s="268"/>
      <c r="I407" s="268"/>
      <c r="J407" s="268"/>
      <c r="K407" s="676"/>
      <c r="L407" s="899">
        <f>SUMIF('5. PERSON'!$D$17:$D$192,$C407,'5. PERSON'!AE$17:AE$192)</f>
        <v>0</v>
      </c>
      <c r="M407" s="680" t="s">
        <v>330</v>
      </c>
    </row>
    <row r="408" spans="2:15" s="234" customFormat="1" ht="6" customHeight="1" x14ac:dyDescent="0.25">
      <c r="B408" s="602"/>
      <c r="C408" s="268"/>
      <c r="D408" s="268"/>
      <c r="E408" s="268"/>
      <c r="F408" s="268"/>
      <c r="G408" s="268"/>
      <c r="H408" s="268"/>
      <c r="I408" s="268"/>
      <c r="J408" s="268"/>
      <c r="K408" s="268"/>
      <c r="L408" s="268"/>
      <c r="M408" s="268"/>
    </row>
    <row r="409" spans="2:15" s="234" customFormat="1" ht="13.2" x14ac:dyDescent="0.25">
      <c r="B409" s="110" t="str">
        <f>IF('1. INTRO'!I$2="English","Costs to be covered by funding body","Kostnader att täckas av finansiär")</f>
        <v>Costs to be covered by funding body</v>
      </c>
      <c r="C409" s="607">
        <f>'5. PERSON'!G$15</f>
        <v>1900</v>
      </c>
      <c r="D409" s="607" t="str">
        <f>'5. PERSON'!H$15</f>
        <v/>
      </c>
      <c r="E409" s="607" t="str">
        <f>'5. PERSON'!I$15</f>
        <v/>
      </c>
      <c r="F409" s="607" t="str">
        <f>'5. PERSON'!J$15</f>
        <v/>
      </c>
      <c r="G409" s="607" t="str">
        <f>'5. PERSON'!K$15</f>
        <v/>
      </c>
      <c r="H409" s="607" t="str">
        <f>'5. PERSON'!L$15</f>
        <v/>
      </c>
      <c r="I409" s="607" t="str">
        <f>'5. PERSON'!M$15</f>
        <v/>
      </c>
      <c r="J409" s="607" t="str">
        <f>'5. PERSON'!N$15</f>
        <v/>
      </c>
      <c r="K409" s="607" t="str">
        <f>'5. PERSON'!O$15</f>
        <v/>
      </c>
      <c r="L409" s="607" t="str">
        <f>'5. PERSON'!P$15</f>
        <v/>
      </c>
      <c r="M409" s="608" t="s">
        <v>2</v>
      </c>
    </row>
    <row r="410" spans="2:15" s="234" customFormat="1" ht="12.75" customHeight="1" x14ac:dyDescent="0.25">
      <c r="B410" s="902" t="str">
        <f>IF('1. INTRO'!I$2="English","Salary including social costs (LKP)","Lön inklusive LKP")</f>
        <v>Salary including social costs (LKP)</v>
      </c>
      <c r="C410" s="610">
        <f>IF('2. START'!$C$14&gt;0,SUMIF('5. PERSON'!$D$17:$D$192,$C407,'5. PERSON'!DN$17:DN$192),SUMIF('5. PERSON'!$D$17:$D$192,$C407,'5. PERSON'!AT$17:AT$192))</f>
        <v>0</v>
      </c>
      <c r="D410" s="610">
        <f>IF('2. START'!$C$14&gt;0,SUMIF('5. PERSON'!$D$17:$D$192,$C407,'5. PERSON'!DO$17:DO$192),SUMIF('5. PERSON'!$D$17:$D$192,$C407,'5. PERSON'!AU$17:AU$192))</f>
        <v>0</v>
      </c>
      <c r="E410" s="610">
        <f>IF('2. START'!$C$14&gt;0,SUMIF('5. PERSON'!$D$17:$D$192,$C407,'5. PERSON'!DP$17:DP$192),SUMIF('5. PERSON'!$D$17:$D$192,$C407,'5. PERSON'!AV$17:AV$192))</f>
        <v>0</v>
      </c>
      <c r="F410" s="610">
        <f>IF('2. START'!$C$14&gt;0,SUMIF('5. PERSON'!$D$17:$D$192,$C407,'5. PERSON'!DQ$17:DQ$192),SUMIF('5. PERSON'!$D$17:$D$192,$C407,'5. PERSON'!AW$17:AW$192))</f>
        <v>0</v>
      </c>
      <c r="G410" s="610">
        <f>IF('2. START'!$C$14&gt;0,SUMIF('5. PERSON'!$D$17:$D$192,$C407,'5. PERSON'!DR$17:DR$192),SUMIF('5. PERSON'!$D$17:$D$192,$C407,'5. PERSON'!AX$17:AX$192))</f>
        <v>0</v>
      </c>
      <c r="H410" s="610">
        <f>IF('2. START'!$C$14&gt;0,SUMIF('5. PERSON'!$D$17:$D$192,$C407,'5. PERSON'!DS$17:DS$192),SUMIF('5. PERSON'!$D$17:$D$192,$C407,'5. PERSON'!AY$17:AY$192))</f>
        <v>0</v>
      </c>
      <c r="I410" s="610">
        <f>IF('2. START'!$C$14&gt;0,SUMIF('5. PERSON'!$D$17:$D$192,$C407,'5. PERSON'!DT$17:DT$192),SUMIF('5. PERSON'!$D$17:$D$192,$C407,'5. PERSON'!AZ$17:AZ$192))</f>
        <v>0</v>
      </c>
      <c r="J410" s="610">
        <f>IF('2. START'!$C$14&gt;0,SUMIF('5. PERSON'!$D$17:$D$192,$C407,'5. PERSON'!DU$17:DU$192),SUMIF('5. PERSON'!$D$17:$D$192,$C407,'5. PERSON'!BA$17:BA$192))</f>
        <v>0</v>
      </c>
      <c r="K410" s="610">
        <f>IF('2. START'!$C$14&gt;0,SUMIF('5. PERSON'!$D$17:$D$192,$C407,'5. PERSON'!DV$17:DV$192),SUMIF('5. PERSON'!$D$17:$D$192,$C407,'5. PERSON'!BB$17:BB$192))</f>
        <v>0</v>
      </c>
      <c r="L410" s="610">
        <f>IF('2. START'!$C$14&gt;0,SUMIF('5. PERSON'!$D$17:$D$192,$C407,'5. PERSON'!DW$17:DW$192),SUMIF('5. PERSON'!$D$17:$D$192,$C407,'5. PERSON'!BC$17:BC$192))</f>
        <v>0</v>
      </c>
      <c r="M410" s="903">
        <f t="shared" ref="M410:M415" si="62">SUM(C410:L410)</f>
        <v>0</v>
      </c>
      <c r="O410" s="904"/>
    </row>
    <row r="411" spans="2:15" s="234" customFormat="1" ht="12.75" customHeight="1" x14ac:dyDescent="0.25">
      <c r="B411" s="377" t="str">
        <f>IF('1. INTRO'!I$2="English","Operating","Drift")</f>
        <v>Operating</v>
      </c>
      <c r="C411" s="615">
        <f>SUMIF('6. OPERATION'!$D$17:$D$149,$C407,'6. OPERATION'!W$17:W$149)</f>
        <v>0</v>
      </c>
      <c r="D411" s="615">
        <f>SUMIF('6. OPERATION'!$D$17:$D$149,$C407,'6. OPERATION'!X$17:X$149)</f>
        <v>0</v>
      </c>
      <c r="E411" s="615">
        <f>SUMIF('6. OPERATION'!$D$17:$D$149,$C407,'6. OPERATION'!Y$17:Y$149)</f>
        <v>0</v>
      </c>
      <c r="F411" s="615">
        <f>SUMIF('6. OPERATION'!$D$17:$D$149,$C407,'6. OPERATION'!Z$17:Z$149)</f>
        <v>0</v>
      </c>
      <c r="G411" s="615">
        <f>SUMIF('6. OPERATION'!$D$17:$D$149,$C407,'6. OPERATION'!AA$17:AA$149)</f>
        <v>0</v>
      </c>
      <c r="H411" s="615">
        <f>SUMIF('6. OPERATION'!$D$17:$D$149,$C407,'6. OPERATION'!AB$17:AB$149)</f>
        <v>0</v>
      </c>
      <c r="I411" s="615">
        <f>SUMIF('6. OPERATION'!$D$17:$D$149,$C407,'6. OPERATION'!AC$17:AC$149)</f>
        <v>0</v>
      </c>
      <c r="J411" s="615">
        <f>SUMIF('6. OPERATION'!$D$17:$D$149,$C407,'6. OPERATION'!AD$17:AD$149)</f>
        <v>0</v>
      </c>
      <c r="K411" s="615">
        <f>SUMIF('6. OPERATION'!$D$17:$D$149,$C407,'6. OPERATION'!AE$17:AE$149)</f>
        <v>0</v>
      </c>
      <c r="L411" s="615">
        <f>SUMIF('6. OPERATION'!$D$17:$D$149,$C407,'6. OPERATION'!AF$17:AF$149)</f>
        <v>0</v>
      </c>
      <c r="M411" s="905">
        <f t="shared" si="62"/>
        <v>0</v>
      </c>
    </row>
    <row r="412" spans="2:15" s="234" customFormat="1" ht="13.2" x14ac:dyDescent="0.25">
      <c r="B412" s="906" t="str">
        <f>IF('1. INTRO'!I$2="English","Equipment","Utrustning")</f>
        <v>Equipment</v>
      </c>
      <c r="C412" s="620">
        <f>SUMIF('7. INVEST'!$D$17:$D$49,$C407,'7. INVEST'!W$17:W$49)</f>
        <v>0</v>
      </c>
      <c r="D412" s="620">
        <f>SUMIF('7. INVEST'!$D$17:$D$49,$C407,'7. INVEST'!X$17:X$49)</f>
        <v>0</v>
      </c>
      <c r="E412" s="620">
        <f>SUMIF('7. INVEST'!$D$17:$D$49,$C407,'7. INVEST'!Y$17:Y$49)</f>
        <v>0</v>
      </c>
      <c r="F412" s="620">
        <f>SUMIF('7. INVEST'!$D$17:$D$49,$C407,'7. INVEST'!Z$17:Z$49)</f>
        <v>0</v>
      </c>
      <c r="G412" s="620">
        <f>SUMIF('7. INVEST'!$D$17:$D$49,$C407,'7. INVEST'!AA$17:AA$49)</f>
        <v>0</v>
      </c>
      <c r="H412" s="620">
        <f>SUMIF('7. INVEST'!$D$17:$D$49,$C407,'7. INVEST'!AB$17:AB$49)</f>
        <v>0</v>
      </c>
      <c r="I412" s="620">
        <f>SUMIF('7. INVEST'!$D$17:$D$49,$C407,'7. INVEST'!AC$17:AC$49)</f>
        <v>0</v>
      </c>
      <c r="J412" s="620">
        <f>SUMIF('7. INVEST'!$D$17:$D$49,$C407,'7. INVEST'!AD$17:AD$49)</f>
        <v>0</v>
      </c>
      <c r="K412" s="620">
        <f>SUMIF('7. INVEST'!$D$17:$D$49,$C407,'7. INVEST'!AE$17:AE$49)</f>
        <v>0</v>
      </c>
      <c r="L412" s="620">
        <f>SUMIF('7. INVEST'!$D$17:$D$49,$C407,'7. INVEST'!AF$17:AF$49)</f>
        <v>0</v>
      </c>
      <c r="M412" s="907">
        <f t="shared" si="62"/>
        <v>0</v>
      </c>
    </row>
    <row r="413" spans="2:15" s="234" customFormat="1" ht="13.2" x14ac:dyDescent="0.25">
      <c r="B413" s="121" t="str">
        <f>IF('1. INTRO'!I$2="English",(IF('2. START'!C$11="NO","Facility accepted as direct cost by funding body","Facility")),IF('2. START'!C$11="NO","Lokal accepterad som direkt kostnad av finansiär","Lokal"))</f>
        <v>Facility</v>
      </c>
      <c r="C413" s="615">
        <f>IF('2. START'!$C$11="NO",SUMIF('8. FACILIT'!$D$18:$D$50,$C407,'8. FACILIT'!T$18:T$50),SUMIF('5. PERSON'!$D$17:$D$192,$C407,'5. PERSON'!CP$17:CP$192)+SUMIF('6. OPERATION'!$D$17:$D$149,$C407,'6. OPERATION'!BS$17:BS$149)+SUMIF('8. FACILIT'!$D$18:$D$50,$C407,'8. FACILIT'!T$18:T$50))</f>
        <v>0</v>
      </c>
      <c r="D413" s="615">
        <f>IF('2. START'!$C$11="NO",SUMIF('8. FACILIT'!$D$18:$D$50,$C407,'8. FACILIT'!U$18:U$50),SUMIF('5. PERSON'!$D$17:$D$192,$C407,'5. PERSON'!CQ$17:CQ$192)+SUMIF('6. OPERATION'!$D$17:$D$149,$C407,'6. OPERATION'!BT$17:BT$149)+SUMIF('8. FACILIT'!$D$18:$D$50,$C407,'8. FACILIT'!U$18:U$50))</f>
        <v>0</v>
      </c>
      <c r="E413" s="615">
        <f>IF('2. START'!$C$11="NO",SUMIF('8. FACILIT'!$D$18:$D$50,$C407,'8. FACILIT'!V$18:V$50),SUMIF('5. PERSON'!$D$17:$D$192,$C407,'5. PERSON'!CR$17:CR$192)+SUMIF('6. OPERATION'!$D$17:$D$149,$C407,'6. OPERATION'!BU$17:BU$149)+SUMIF('8. FACILIT'!$D$18:$D$50,$C407,'8. FACILIT'!V$18:V$50))</f>
        <v>0</v>
      </c>
      <c r="F413" s="615">
        <f>IF('2. START'!$C$11="NO",SUMIF('8. FACILIT'!$D$18:$D$50,$C407,'8. FACILIT'!W$18:W$50),SUMIF('5. PERSON'!$D$17:$D$192,$C407,'5. PERSON'!CS$17:CS$192)+SUMIF('6. OPERATION'!$D$17:$D$149,$C407,'6. OPERATION'!BV$17:BV$149)+SUMIF('8. FACILIT'!$D$18:$D$50,$C407,'8. FACILIT'!W$18:W$50))</f>
        <v>0</v>
      </c>
      <c r="G413" s="615">
        <f>IF('2. START'!$C$11="NO",SUMIF('8. FACILIT'!$D$18:$D$50,$C407,'8. FACILIT'!X$18:X$50),SUMIF('5. PERSON'!$D$17:$D$192,$C407,'5. PERSON'!CT$17:CT$192)+SUMIF('6. OPERATION'!$D$17:$D$149,$C407,'6. OPERATION'!BW$17:BW$149)+SUMIF('8. FACILIT'!$D$18:$D$50,$C407,'8. FACILIT'!X$18:X$50))</f>
        <v>0</v>
      </c>
      <c r="H413" s="615">
        <f>IF('2. START'!$C$11="NO",SUMIF('8. FACILIT'!$D$18:$D$50,$C407,'8. FACILIT'!Y$18:Y$50),SUMIF('5. PERSON'!$D$17:$D$192,$C407,'5. PERSON'!CU$17:CU$192)+SUMIF('6. OPERATION'!$D$17:$D$149,$C407,'6. OPERATION'!BX$17:BX$149)+SUMIF('8. FACILIT'!$D$18:$D$50,$C407,'8. FACILIT'!Y$18:Y$50))</f>
        <v>0</v>
      </c>
      <c r="I413" s="615">
        <f>IF('2. START'!$C$11="NO",SUMIF('8. FACILIT'!$D$18:$D$50,$C407,'8. FACILIT'!Z$18:Z$50),SUMIF('5. PERSON'!$D$17:$D$192,$C407,'5. PERSON'!CV$17:CV$192)+SUMIF('6. OPERATION'!$D$17:$D$149,$C407,'6. OPERATION'!BY$17:BY$149)+SUMIF('8. FACILIT'!$D$18:$D$50,$C407,'8. FACILIT'!Z$18:Z$50))</f>
        <v>0</v>
      </c>
      <c r="J413" s="615">
        <f>IF('2. START'!$C$11="NO",SUMIF('8. FACILIT'!$D$18:$D$50,$C407,'8. FACILIT'!AA$18:AA$50),SUMIF('5. PERSON'!$D$17:$D$192,$C407,'5. PERSON'!CW$17:CW$192)+SUMIF('6. OPERATION'!$D$17:$D$149,$C407,'6. OPERATION'!BZ$17:BZ$149)+SUMIF('8. FACILIT'!$D$18:$D$50,$C407,'8. FACILIT'!AA$18:AA$50))</f>
        <v>0</v>
      </c>
      <c r="K413" s="615">
        <f>IF('2. START'!$C$11="NO",SUMIF('8. FACILIT'!$D$18:$D$50,$C407,'8. FACILIT'!AB$18:AB$50),SUMIF('5. PERSON'!$D$17:$D$192,$C407,'5. PERSON'!CX$17:CX$192)+SUMIF('6. OPERATION'!$D$17:$D$149,$C407,'6. OPERATION'!CA$17:CA$149)+SUMIF('8. FACILIT'!$D$18:$D$50,$C407,'8. FACILIT'!AB$18:AB$50))</f>
        <v>0</v>
      </c>
      <c r="L413" s="615">
        <f>IF('2. START'!$C$11="NO",SUMIF('8. FACILIT'!$D$18:$D$50,$C407,'8. FACILIT'!AC$18:AC$50),SUMIF('5. PERSON'!$D$17:$D$192,$C407,'5. PERSON'!CY$17:CY$192)+SUMIF('6. OPERATION'!$D$17:$D$149,$C407,'6. OPERATION'!CB$17:CB$149)+SUMIF('8. FACILIT'!$D$18:$D$50,$C407,'8. FACILIT'!AC$18:AC$50))</f>
        <v>0</v>
      </c>
      <c r="M413" s="905">
        <f t="shared" si="62"/>
        <v>0</v>
      </c>
    </row>
    <row r="414" spans="2:15" s="234" customFormat="1" ht="13.2" x14ac:dyDescent="0.25">
      <c r="B414" s="122" t="str">
        <f>IF('1. INTRO'!I$2="English",(IF('2. START'!C$11="NO","Indirect and facility charge accepted as OH by funding body","Indirect")),IF('2. START'!C$11="NO","Indirekt och lokalpåslag accepterade som OH av finansiär","Indirekt"))</f>
        <v>Indirect</v>
      </c>
      <c r="C414" s="584">
        <f>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584">
        <f>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584">
        <f>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584">
        <f>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584">
        <f>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584">
        <f>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584">
        <f>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584">
        <f>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584">
        <f>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584">
        <f>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908">
        <f t="shared" si="62"/>
        <v>0</v>
      </c>
    </row>
    <row r="415" spans="2:15" s="234" customFormat="1" ht="13.2" x14ac:dyDescent="0.25">
      <c r="B415" s="628" t="s">
        <v>113</v>
      </c>
      <c r="C415" s="443">
        <f>SUM(C410:C414)</f>
        <v>0</v>
      </c>
      <c r="D415" s="443">
        <f t="shared" ref="D415:L415" si="63">SUM(D410:D414)</f>
        <v>0</v>
      </c>
      <c r="E415" s="443">
        <f t="shared" si="63"/>
        <v>0</v>
      </c>
      <c r="F415" s="443">
        <f t="shared" si="63"/>
        <v>0</v>
      </c>
      <c r="G415" s="443">
        <f t="shared" si="63"/>
        <v>0</v>
      </c>
      <c r="H415" s="443">
        <f t="shared" si="63"/>
        <v>0</v>
      </c>
      <c r="I415" s="443">
        <f t="shared" si="63"/>
        <v>0</v>
      </c>
      <c r="J415" s="443">
        <f t="shared" si="63"/>
        <v>0</v>
      </c>
      <c r="K415" s="443">
        <f t="shared" si="63"/>
        <v>0</v>
      </c>
      <c r="L415" s="443">
        <f t="shared" si="63"/>
        <v>0</v>
      </c>
      <c r="M415" s="630">
        <f t="shared" si="62"/>
        <v>0</v>
      </c>
    </row>
    <row r="416" spans="2:15" s="234" customFormat="1" ht="6" customHeight="1" x14ac:dyDescent="0.25">
      <c r="B416" s="909"/>
      <c r="C416" s="127"/>
      <c r="D416" s="127"/>
      <c r="E416" s="127"/>
      <c r="F416" s="127"/>
      <c r="G416" s="127"/>
      <c r="H416" s="127"/>
      <c r="I416" s="127"/>
      <c r="J416" s="127"/>
      <c r="K416" s="127"/>
      <c r="L416" s="127"/>
      <c r="M416" s="633"/>
    </row>
    <row r="417" spans="2:15" s="234" customFormat="1" ht="13.2" x14ac:dyDescent="0.25">
      <c r="B417" s="129" t="str">
        <f>IF('1. INTRO'!I$2="English","Costs to be co-funded","Kostnader att medfinansiera")</f>
        <v>Costs to be co-funded</v>
      </c>
      <c r="C417" s="634"/>
      <c r="D417" s="634"/>
      <c r="E417" s="634"/>
      <c r="F417" s="634"/>
      <c r="G417" s="634"/>
      <c r="H417" s="634"/>
      <c r="I417" s="634"/>
      <c r="J417" s="634"/>
      <c r="K417" s="634"/>
      <c r="L417" s="634"/>
      <c r="M417" s="129"/>
    </row>
    <row r="418" spans="2:15" s="234" customFormat="1" ht="13.2" x14ac:dyDescent="0.25">
      <c r="B418" s="159" t="str">
        <f>IF('1. INTRO'!I$2="English",(IF('2. START'!C$11="NO","Indirect and facility charge not accepted as OH by funding body","")),IF('2. START'!C$11="NO","Indirekt och lokalpåslag inte accepterade som OH av finansiär",""))</f>
        <v/>
      </c>
      <c r="C418" s="910">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910">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910">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910">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910">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910">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910">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910">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910">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910">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903">
        <f t="shared" ref="M418:M424" si="64">SUM(C418:L418)</f>
        <v>0</v>
      </c>
    </row>
    <row r="419" spans="2:15" s="234" customFormat="1" ht="12.75" customHeight="1" x14ac:dyDescent="0.25">
      <c r="B419" s="132" t="str">
        <f>IF('1. INTRO'!I$2="English",(IF('2. START'!C$14&gt;0,"Social costs (LKP) not accepted by funding body","")),IF('2. START'!C$14&gt;0,"LKP som inte accepteras av finansiär",""))</f>
        <v/>
      </c>
      <c r="C419" s="911">
        <f>IF('2. START'!$C$14&gt;0,SUMIF('5. PERSON'!$D$17:$D$192,$C407,'5. PERSON'!AT$17:AT$192)-SUMIF('5. PERSON'!$D$17:$D$192,$C407,'5. PERSON'!DN$17:DN$192),0)</f>
        <v>0</v>
      </c>
      <c r="D419" s="911">
        <f>IF('2. START'!$C$14&gt;0,SUMIF('5. PERSON'!$D$17:$D$192,$C407,'5. PERSON'!AU$17:AU$192)-SUMIF('5. PERSON'!$D$17:$D$192,$C407,'5. PERSON'!DO$17:DO$192),0)</f>
        <v>0</v>
      </c>
      <c r="E419" s="911">
        <f>IF('2. START'!$C$14&gt;0,SUMIF('5. PERSON'!$D$17:$D$192,$C407,'5. PERSON'!AV$17:AV$192)-SUMIF('5. PERSON'!$D$17:$D$192,$C407,'5. PERSON'!DP$17:DP$192),0)</f>
        <v>0</v>
      </c>
      <c r="F419" s="911">
        <f>IF('2. START'!$C$14&gt;0,SUMIF('5. PERSON'!$D$17:$D$192,$C407,'5. PERSON'!AW$17:AW$192)-SUMIF('5. PERSON'!$D$17:$D$192,$C407,'5. PERSON'!DQ$17:DQ$192),0)</f>
        <v>0</v>
      </c>
      <c r="G419" s="911">
        <f>IF('2. START'!$C$14&gt;0,SUMIF('5. PERSON'!$D$17:$D$192,$C407,'5. PERSON'!AX$17:AX$192)-SUMIF('5. PERSON'!$D$17:$D$192,$C407,'5. PERSON'!DR$17:DR$192),0)</f>
        <v>0</v>
      </c>
      <c r="H419" s="911">
        <f>IF('2. START'!$C$14&gt;0,SUMIF('5. PERSON'!$D$17:$D$192,$C407,'5. PERSON'!AY$17:AY$192)-SUMIF('5. PERSON'!$D$17:$D$192,$C407,'5. PERSON'!DS$17:DS$192),0)</f>
        <v>0</v>
      </c>
      <c r="I419" s="911">
        <f>IF('2. START'!$C$14&gt;0,SUMIF('5. PERSON'!$D$17:$D$192,$C407,'5. PERSON'!AZ$17:AZ$192)-SUMIF('5. PERSON'!$D$17:$D$192,$C407,'5. PERSON'!DT$17:DT$192),0)</f>
        <v>0</v>
      </c>
      <c r="J419" s="911">
        <f>IF('2. START'!$C$14&gt;0,SUMIF('5. PERSON'!$D$17:$D$192,$C407,'5. PERSON'!BA$17:BA$192)-SUMIF('5. PERSON'!$D$17:$D$192,$C407,'5. PERSON'!DU$17:DU$192),0)</f>
        <v>0</v>
      </c>
      <c r="K419" s="911">
        <f>IF('2. START'!$C$14&gt;0,SUMIF('5. PERSON'!$D$17:$D$192,$C407,'5. PERSON'!BB$17:BB$192)-SUMIF('5. PERSON'!$D$17:$D$192,$C407,'5. PERSON'!DV$17:DV$192),0)</f>
        <v>0</v>
      </c>
      <c r="L419" s="911">
        <f>IF('2. START'!$C$14&gt;0,SUMIF('5. PERSON'!$D$17:$D$192,$C407,'5. PERSON'!BC$17:BC$192)-SUMIF('5. PERSON'!$D$17:$D$192,$C407,'5. PERSON'!DW$17:DW$192),0)</f>
        <v>0</v>
      </c>
      <c r="M419" s="905">
        <f t="shared" si="64"/>
        <v>0</v>
      </c>
    </row>
    <row r="420" spans="2:15" s="234" customFormat="1" ht="12.75" customHeight="1" x14ac:dyDescent="0.25">
      <c r="B420" s="906" t="str">
        <f>IF('1. INTRO'!I$2="English",(IF('5. PERSON'!BP$193&gt;0,"Salary including social costs (LKP)","")),IF('5. PERSON'!BP$193&gt;0,"Lön inklusive LKP",""))</f>
        <v/>
      </c>
      <c r="C420" s="622">
        <f>SUMIF('5. PERSON'!$D$17:$D$192,$C407,'5. PERSON'!BF$17:BF$192)</f>
        <v>0</v>
      </c>
      <c r="D420" s="622">
        <f>SUMIF('5. PERSON'!$D$17:$D$192,$C407,'5. PERSON'!BG$17:BG$192)</f>
        <v>0</v>
      </c>
      <c r="E420" s="622">
        <f>SUMIF('5. PERSON'!$D$17:$D$192,$C407,'5. PERSON'!BH$17:BH$192)</f>
        <v>0</v>
      </c>
      <c r="F420" s="622">
        <f>SUMIF('5. PERSON'!$D$17:$D$192,$C407,'5. PERSON'!BI$17:BI$192)</f>
        <v>0</v>
      </c>
      <c r="G420" s="622">
        <f>SUMIF('5. PERSON'!$D$17:$D$192,$C407,'5. PERSON'!BJ$17:BJ$192)</f>
        <v>0</v>
      </c>
      <c r="H420" s="622">
        <f>SUMIF('5. PERSON'!$D$17:$D$192,$C407,'5. PERSON'!BK$17:BK$192)</f>
        <v>0</v>
      </c>
      <c r="I420" s="622">
        <f>SUMIF('5. PERSON'!$D$17:$D$192,$C407,'5. PERSON'!BL$17:BL$192)</f>
        <v>0</v>
      </c>
      <c r="J420" s="622">
        <f>SUMIF('5. PERSON'!$D$17:$D$192,$C407,'5. PERSON'!BM$17:BM$192)</f>
        <v>0</v>
      </c>
      <c r="K420" s="622">
        <f>SUMIF('5. PERSON'!$D$17:$D$192,$C407,'5. PERSON'!BN$17:BN$192)</f>
        <v>0</v>
      </c>
      <c r="L420" s="622">
        <f>SUMIF('5. PERSON'!$D$17:$D$192,$C407,'5. PERSON'!BO$17:BO$192)</f>
        <v>0</v>
      </c>
      <c r="M420" s="907">
        <f t="shared" si="64"/>
        <v>0</v>
      </c>
    </row>
    <row r="421" spans="2:15" s="234" customFormat="1" ht="13.2" x14ac:dyDescent="0.25">
      <c r="B421" s="377" t="str">
        <f>IF('1. INTRO'!I$2="English",(IF('6. OPERATION'!AS$150&gt;0,"Operating","")),IF('6. OPERATION'!AS$150&gt;0,"Drift",""))</f>
        <v/>
      </c>
      <c r="C421" s="617">
        <f>SUMIF('6. OPERATION'!$D$17:$D$149,$C407,'6. OPERATION'!AI$17:AI$149)</f>
        <v>0</v>
      </c>
      <c r="D421" s="617">
        <f>SUMIF('6. OPERATION'!$D$17:$D$149,$C407,'6. OPERATION'!AJ$17:AJ$149)</f>
        <v>0</v>
      </c>
      <c r="E421" s="617">
        <f>SUMIF('6. OPERATION'!$D$17:$D$149,$C407,'6. OPERATION'!AK$17:AK$149)</f>
        <v>0</v>
      </c>
      <c r="F421" s="617">
        <f>SUMIF('6. OPERATION'!$D$17:$D$149,$C407,'6. OPERATION'!AL$17:AL$149)</f>
        <v>0</v>
      </c>
      <c r="G421" s="617">
        <f>SUMIF('6. OPERATION'!$D$17:$D$149,$C407,'6. OPERATION'!AM$17:AM$149)</f>
        <v>0</v>
      </c>
      <c r="H421" s="617">
        <f>SUMIF('6. OPERATION'!$D$17:$D$149,$C407,'6. OPERATION'!AN$17:AN$149)</f>
        <v>0</v>
      </c>
      <c r="I421" s="617">
        <f>SUMIF('6. OPERATION'!$D$17:$D$149,$C407,'6. OPERATION'!AO$17:AO$149)</f>
        <v>0</v>
      </c>
      <c r="J421" s="617">
        <f>SUMIF('6. OPERATION'!$D$17:$D$149,$C407,'6. OPERATION'!AP$17:AP$149)</f>
        <v>0</v>
      </c>
      <c r="K421" s="617">
        <f>SUMIF('6. OPERATION'!$D$17:$D$149,$C407,'6. OPERATION'!AQ$17:AQ$149)</f>
        <v>0</v>
      </c>
      <c r="L421" s="617">
        <f>SUMIF('6. OPERATION'!$D$17:$D$149,$C407,'6. OPERATION'!AR$17:AR$149)</f>
        <v>0</v>
      </c>
      <c r="M421" s="905">
        <f t="shared" si="64"/>
        <v>0</v>
      </c>
    </row>
    <row r="422" spans="2:15" s="234" customFormat="1" ht="13.2" x14ac:dyDescent="0.25">
      <c r="B422" s="906" t="str">
        <f>IF('1. INTRO'!I$2="English",(IF('7. INVEST'!AS$50&gt;0,"Equipment","")),IF('7. INVEST'!AS$50&gt;0,"Utrustning",""))</f>
        <v/>
      </c>
      <c r="C422" s="622">
        <f>SUMIF('7. INVEST'!$D$17:$D$49,$C407,'7. INVEST'!AI$17:AI$49)</f>
        <v>0</v>
      </c>
      <c r="D422" s="622">
        <f>SUMIF('7. INVEST'!$D$17:$D$49,$C407,'7. INVEST'!AJ$17:AJ$49)</f>
        <v>0</v>
      </c>
      <c r="E422" s="622">
        <f>SUMIF('7. INVEST'!$D$17:$D$49,$C407,'7. INVEST'!AK$17:AK$49)</f>
        <v>0</v>
      </c>
      <c r="F422" s="622">
        <f>SUMIF('7. INVEST'!$D$17:$D$49,$C407,'7. INVEST'!AL$17:AL$49)</f>
        <v>0</v>
      </c>
      <c r="G422" s="622">
        <f>SUMIF('7. INVEST'!$D$17:$D$49,$C407,'7. INVEST'!AM$17:AM$49)</f>
        <v>0</v>
      </c>
      <c r="H422" s="622">
        <f>SUMIF('7. INVEST'!$D$17:$D$49,$C407,'7. INVEST'!AN$17:AN$49)</f>
        <v>0</v>
      </c>
      <c r="I422" s="622">
        <f>SUMIF('7. INVEST'!$D$17:$D$49,$C407,'7. INVEST'!AO$17:AO$49)</f>
        <v>0</v>
      </c>
      <c r="J422" s="622">
        <f>SUMIF('7. INVEST'!$D$17:$D$49,$C407,'7. INVEST'!AP$17:AP$49)</f>
        <v>0</v>
      </c>
      <c r="K422" s="622">
        <f>SUMIF('7. INVEST'!$D$17:$D$49,$C407,'7. INVEST'!AQ$17:AQ$49)</f>
        <v>0</v>
      </c>
      <c r="L422" s="622">
        <f>SUMIF('7. INVEST'!$D$17:$D$49,$C407,'7. INVEST'!AR$17:AR$49)</f>
        <v>0</v>
      </c>
      <c r="M422" s="907">
        <f t="shared" si="64"/>
        <v>0</v>
      </c>
    </row>
    <row r="423" spans="2:15" s="234" customFormat="1" ht="13.2" x14ac:dyDescent="0.25">
      <c r="B423" s="121" t="str">
        <f>IF('1. INTRO'!I$2="English",(IF('8. FACILIT'!AP$51&gt;0,"Facility","")),IF('8. FACILIT'!AP$51&gt;0,"Lokal",""))</f>
        <v/>
      </c>
      <c r="C423" s="617">
        <f>SUMIF('5. PERSON'!$D$17:$D$192,$C407,'5. PERSON'!DB$17:DB$192)+SUMIF('6. OPERATION'!$D$17:$D$149,$C407,'6. OPERATION'!CE$17:CE$149)+SUMIF('8. FACILIT'!$D$18:$D$50,$C407,'8. FACILIT'!AF$18:AF$50)</f>
        <v>0</v>
      </c>
      <c r="D423" s="617">
        <f>SUMIF('5. PERSON'!$D$17:$D$192,$C407,'5. PERSON'!DC$17:DC$192)+SUMIF('6. OPERATION'!$D$17:$D$149,$C407,'6. OPERATION'!CF$17:CF$149)+SUMIF('8. FACILIT'!$D$18:$D$50,$C407,'8. FACILIT'!AG$18:AG$50)</f>
        <v>0</v>
      </c>
      <c r="E423" s="617">
        <f>SUMIF('5. PERSON'!$D$17:$D$192,$C407,'5. PERSON'!DD$17:DD$192)+SUMIF('6. OPERATION'!$D$17:$D$149,$C407,'6. OPERATION'!CG$17:CG$149)+SUMIF('8. FACILIT'!$D$18:$D$50,$C407,'8. FACILIT'!AH$18:AH$50)</f>
        <v>0</v>
      </c>
      <c r="F423" s="617">
        <f>SUMIF('5. PERSON'!$D$17:$D$192,$C407,'5. PERSON'!DE$17:DE$192)+SUMIF('6. OPERATION'!$D$17:$D$149,$C407,'6. OPERATION'!CH$17:CH$149)+SUMIF('8. FACILIT'!$D$18:$D$50,$C407,'8. FACILIT'!AI$18:AI$50)</f>
        <v>0</v>
      </c>
      <c r="G423" s="617">
        <f>SUMIF('5. PERSON'!$D$17:$D$192,$C407,'5. PERSON'!DF$17:DF$192)+SUMIF('6. OPERATION'!$D$17:$D$149,$C407,'6. OPERATION'!CI$17:CI$149)+SUMIF('8. FACILIT'!$D$18:$D$50,$C407,'8. FACILIT'!AJ$18:AJ$50)</f>
        <v>0</v>
      </c>
      <c r="H423" s="617">
        <f>SUMIF('5. PERSON'!$D$17:$D$192,$C407,'5. PERSON'!DG$17:DG$192)+SUMIF('6. OPERATION'!$D$17:$D$149,$C407,'6. OPERATION'!CJ$17:CJ$149)+SUMIF('8. FACILIT'!$D$18:$D$50,$C407,'8. FACILIT'!AK$18:AK$50)</f>
        <v>0</v>
      </c>
      <c r="I423" s="617">
        <f>SUMIF('5. PERSON'!$D$17:$D$192,$C407,'5. PERSON'!DH$17:DH$192)+SUMIF('6. OPERATION'!$D$17:$D$149,$C407,'6. OPERATION'!CK$17:CK$149)+SUMIF('8. FACILIT'!$D$18:$D$50,$C407,'8. FACILIT'!AL$18:AL$50)</f>
        <v>0</v>
      </c>
      <c r="J423" s="617">
        <f>SUMIF('5. PERSON'!$D$17:$D$192,$C407,'5. PERSON'!DI$17:DI$192)+SUMIF('6. OPERATION'!$D$17:$D$149,$C407,'6. OPERATION'!CL$17:CL$149)+SUMIF('8. FACILIT'!$D$18:$D$50,$C407,'8. FACILIT'!AM$18:AM$50)</f>
        <v>0</v>
      </c>
      <c r="K423" s="617">
        <f>SUMIF('5. PERSON'!$D$17:$D$192,$C407,'5. PERSON'!DJ$17:DJ$192)+SUMIF('6. OPERATION'!$D$17:$D$149,$C407,'6. OPERATION'!CM$17:CM$149)+SUMIF('8. FACILIT'!$D$18:$D$50,$C407,'8. FACILIT'!AN$18:AN$50)</f>
        <v>0</v>
      </c>
      <c r="L423" s="617">
        <f>SUMIF('5. PERSON'!$D$17:$D$192,$C407,'5. PERSON'!DK$17:DK$192)+SUMIF('6. OPERATION'!$D$17:$D$149,$C407,'6. OPERATION'!CN$17:CN$149)+SUMIF('8. FACILIT'!$D$18:$D$50,$C407,'8. FACILIT'!AO$18:AO$50)</f>
        <v>0</v>
      </c>
      <c r="M423" s="905">
        <f t="shared" si="64"/>
        <v>0</v>
      </c>
    </row>
    <row r="424" spans="2:15" s="912" customFormat="1" ht="13.2" x14ac:dyDescent="0.25">
      <c r="B424" s="122" t="str">
        <f>IF('1. INTRO'!I$2="English",(IF(('5. PERSON'!CN$193+'6. OPERATION'!BQ$150)&gt;0,"Indirect","")),IF(('5. PERSON'!CN$193+'6. OPERATION'!BQ$150)&gt;0,"Indirekt",""))</f>
        <v/>
      </c>
      <c r="C424" s="584">
        <f>SUMIF('5. PERSON'!$D$17:$D$192,$C407,'5. PERSON'!CD$17:CD$192)+SUMIF('6. OPERATION'!$D$17:$D$149,$C407,'6. OPERATION'!BG$17:BG$149)</f>
        <v>0</v>
      </c>
      <c r="D424" s="584">
        <f>SUMIF('5. PERSON'!$D$17:$D$192,$C407,'5. PERSON'!CE$17:CE$192)+SUMIF('6. OPERATION'!$D$17:$D$149,$C407,'6. OPERATION'!BH$17:BH$149)</f>
        <v>0</v>
      </c>
      <c r="E424" s="584">
        <f>SUMIF('5. PERSON'!$D$17:$D$192,$C407,'5. PERSON'!CF$17:CF$192)+SUMIF('6. OPERATION'!$D$17:$D$149,$C407,'6. OPERATION'!BI$17:BI$149)</f>
        <v>0</v>
      </c>
      <c r="F424" s="584">
        <f>SUMIF('5. PERSON'!$D$17:$D$192,$C407,'5. PERSON'!CG$17:CG$192)+SUMIF('6. OPERATION'!$D$17:$D$149,$C407,'6. OPERATION'!BJ$17:BJ$149)</f>
        <v>0</v>
      </c>
      <c r="G424" s="584">
        <f>SUMIF('5. PERSON'!$D$17:$D$192,$C407,'5. PERSON'!CH$17:CH$192)+SUMIF('6. OPERATION'!$D$17:$D$149,$C407,'6. OPERATION'!BK$17:BK$149)</f>
        <v>0</v>
      </c>
      <c r="H424" s="584">
        <f>SUMIF('5. PERSON'!$D$17:$D$192,$C407,'5. PERSON'!CI$17:CI$192)+SUMIF('6. OPERATION'!$D$17:$D$149,$C407,'6. OPERATION'!BL$17:BL$149)</f>
        <v>0</v>
      </c>
      <c r="I424" s="584">
        <f>SUMIF('5. PERSON'!$D$17:$D$192,$C407,'5. PERSON'!CJ$17:CJ$192)+SUMIF('6. OPERATION'!$D$17:$D$149,$C407,'6. OPERATION'!BM$17:BM$149)</f>
        <v>0</v>
      </c>
      <c r="J424" s="584">
        <f>SUMIF('5. PERSON'!$D$17:$D$192,$C407,'5. PERSON'!CK$17:CK$192)+SUMIF('6. OPERATION'!$D$17:$D$149,$C407,'6. OPERATION'!BN$17:BN$149)</f>
        <v>0</v>
      </c>
      <c r="K424" s="584">
        <f>SUMIF('5. PERSON'!$D$17:$D$192,$C407,'5. PERSON'!CL$17:CL$192)+SUMIF('6. OPERATION'!$D$17:$D$149,$C407,'6. OPERATION'!BO$17:BO$149)</f>
        <v>0</v>
      </c>
      <c r="L424" s="584">
        <f>SUMIF('5. PERSON'!$D$17:$D$192,$C407,'5. PERSON'!CM$17:CM$192)+SUMIF('6. OPERATION'!$D$17:$D$149,$C407,'6. OPERATION'!BP$17:BP$149)</f>
        <v>0</v>
      </c>
      <c r="M424" s="908">
        <f t="shared" si="64"/>
        <v>0</v>
      </c>
    </row>
    <row r="425" spans="2:15" s="234" customFormat="1" ht="13.2" x14ac:dyDescent="0.25">
      <c r="B425" s="628" t="s">
        <v>113</v>
      </c>
      <c r="C425" s="443">
        <f>SUM(C418:C424)</f>
        <v>0</v>
      </c>
      <c r="D425" s="443">
        <f t="shared" ref="D425:M425" si="65">SUM(D418:D424)</f>
        <v>0</v>
      </c>
      <c r="E425" s="443">
        <f t="shared" si="65"/>
        <v>0</v>
      </c>
      <c r="F425" s="443">
        <f t="shared" si="65"/>
        <v>0</v>
      </c>
      <c r="G425" s="443">
        <f t="shared" si="65"/>
        <v>0</v>
      </c>
      <c r="H425" s="443">
        <f t="shared" si="65"/>
        <v>0</v>
      </c>
      <c r="I425" s="443">
        <f t="shared" si="65"/>
        <v>0</v>
      </c>
      <c r="J425" s="443">
        <f t="shared" si="65"/>
        <v>0</v>
      </c>
      <c r="K425" s="443">
        <f t="shared" si="65"/>
        <v>0</v>
      </c>
      <c r="L425" s="443">
        <f t="shared" si="65"/>
        <v>0</v>
      </c>
      <c r="M425" s="630">
        <f t="shared" si="65"/>
        <v>0</v>
      </c>
      <c r="N425" s="913"/>
      <c r="O425" s="913"/>
    </row>
    <row r="426" spans="2:15" s="234" customFormat="1" ht="6" customHeight="1" x14ac:dyDescent="0.25">
      <c r="B426" s="914"/>
      <c r="C426" s="127"/>
      <c r="D426" s="127"/>
      <c r="E426" s="127"/>
      <c r="F426" s="127"/>
      <c r="G426" s="127"/>
      <c r="H426" s="127"/>
      <c r="I426" s="127"/>
      <c r="J426" s="127"/>
      <c r="K426" s="127"/>
      <c r="L426" s="127"/>
      <c r="M426" s="636"/>
    </row>
    <row r="427" spans="2:15" s="234" customFormat="1" ht="13.2" x14ac:dyDescent="0.25">
      <c r="B427" s="129" t="str">
        <f>IF('1. INTRO'!I$2="English","Full cost","Full kostnad")</f>
        <v>Full cost</v>
      </c>
      <c r="C427" s="127"/>
      <c r="D427" s="127"/>
      <c r="E427" s="127"/>
      <c r="F427" s="127"/>
      <c r="G427" s="127"/>
      <c r="H427" s="127"/>
      <c r="I427" s="127"/>
      <c r="J427" s="127"/>
      <c r="K427" s="127"/>
      <c r="L427" s="127"/>
      <c r="M427" s="636"/>
    </row>
    <row r="428" spans="2:15" s="234" customFormat="1" ht="13.2" x14ac:dyDescent="0.25">
      <c r="B428" s="902" t="str">
        <f>IF('1. INTRO'!I$2="English","Salary including social costs (LKP)","Lön inklusive LKP")</f>
        <v>Salary including social costs (LKP)</v>
      </c>
      <c r="C428" s="138">
        <f>C410+C419+C420</f>
        <v>0</v>
      </c>
      <c r="D428" s="138">
        <f t="shared" ref="D428:L428" si="66">D410+D419+D420</f>
        <v>0</v>
      </c>
      <c r="E428" s="138">
        <f t="shared" si="66"/>
        <v>0</v>
      </c>
      <c r="F428" s="138">
        <f t="shared" si="66"/>
        <v>0</v>
      </c>
      <c r="G428" s="138">
        <f t="shared" si="66"/>
        <v>0</v>
      </c>
      <c r="H428" s="138">
        <f t="shared" si="66"/>
        <v>0</v>
      </c>
      <c r="I428" s="138">
        <f t="shared" si="66"/>
        <v>0</v>
      </c>
      <c r="J428" s="138">
        <f t="shared" si="66"/>
        <v>0</v>
      </c>
      <c r="K428" s="138">
        <f t="shared" si="66"/>
        <v>0</v>
      </c>
      <c r="L428" s="138">
        <f t="shared" si="66"/>
        <v>0</v>
      </c>
      <c r="M428" s="903">
        <f>SUM(C428:L428)</f>
        <v>0</v>
      </c>
    </row>
    <row r="429" spans="2:15" s="234" customFormat="1" ht="13.2" x14ac:dyDescent="0.25">
      <c r="B429" s="377" t="str">
        <f>IF('1. INTRO'!I$2="English","Operating","Drift")</f>
        <v>Operating</v>
      </c>
      <c r="C429" s="139">
        <f>C411+C421</f>
        <v>0</v>
      </c>
      <c r="D429" s="139">
        <f t="shared" ref="D429:L429" si="67">D411+D421</f>
        <v>0</v>
      </c>
      <c r="E429" s="139">
        <f t="shared" si="67"/>
        <v>0</v>
      </c>
      <c r="F429" s="139">
        <f t="shared" si="67"/>
        <v>0</v>
      </c>
      <c r="G429" s="139">
        <f t="shared" si="67"/>
        <v>0</v>
      </c>
      <c r="H429" s="139">
        <f t="shared" si="67"/>
        <v>0</v>
      </c>
      <c r="I429" s="139">
        <f t="shared" si="67"/>
        <v>0</v>
      </c>
      <c r="J429" s="139">
        <f t="shared" si="67"/>
        <v>0</v>
      </c>
      <c r="K429" s="139">
        <f t="shared" si="67"/>
        <v>0</v>
      </c>
      <c r="L429" s="139">
        <f t="shared" si="67"/>
        <v>0</v>
      </c>
      <c r="M429" s="905">
        <f>SUM(C429:L429)</f>
        <v>0</v>
      </c>
    </row>
    <row r="430" spans="2:15" s="234" customFormat="1" ht="13.2" x14ac:dyDescent="0.25">
      <c r="B430" s="906" t="str">
        <f>IF('1. INTRO'!I$2="English","Equipment","Utrustning")</f>
        <v>Equipment</v>
      </c>
      <c r="C430" s="140">
        <f>C412+C422</f>
        <v>0</v>
      </c>
      <c r="D430" s="140">
        <f t="shared" ref="D430:L430" si="68">D412+D422</f>
        <v>0</v>
      </c>
      <c r="E430" s="140">
        <f t="shared" si="68"/>
        <v>0</v>
      </c>
      <c r="F430" s="140">
        <f t="shared" si="68"/>
        <v>0</v>
      </c>
      <c r="G430" s="140">
        <f t="shared" si="68"/>
        <v>0</v>
      </c>
      <c r="H430" s="140">
        <f t="shared" si="68"/>
        <v>0</v>
      </c>
      <c r="I430" s="140">
        <f t="shared" si="68"/>
        <v>0</v>
      </c>
      <c r="J430" s="140">
        <f t="shared" si="68"/>
        <v>0</v>
      </c>
      <c r="K430" s="140">
        <f t="shared" si="68"/>
        <v>0</v>
      </c>
      <c r="L430" s="140">
        <f t="shared" si="68"/>
        <v>0</v>
      </c>
      <c r="M430" s="907">
        <f>SUM(C430:L430)</f>
        <v>0</v>
      </c>
    </row>
    <row r="431" spans="2:15" s="234" customFormat="1" ht="13.2" x14ac:dyDescent="0.25">
      <c r="B431" s="377" t="str">
        <f>IF('1. INTRO'!I$2="English","Facility","Lokal")</f>
        <v>Facility</v>
      </c>
      <c r="C431" s="139">
        <f>SUMIF('5. PERSON'!$D$17:$D$192,$C407,'5. PERSON'!CP$17:CP$192)+SUMIF('5. PERSON'!$D$17:$D$192,$C407,'5. PERSON'!DB$17:DB$192)+SUMIF('6. OPERATION'!$D$17:$D$149,$C407,'6. OPERATION'!BS$17:BS$149)+SUMIF('6. OPERATION'!$D$17:$D$149,$C407,'6. OPERATION'!CE$17:CE$149)+SUMIF('8. FACILIT'!$D$18:$D$50,$C407,'8. FACILIT'!T$18:T$50)+SUMIF('8. FACILIT'!$D$18:$D$50,$C407,'8. FACILIT'!AF$18:AF$50)</f>
        <v>0</v>
      </c>
      <c r="D431" s="139">
        <f>SUMIF('5. PERSON'!$D$17:$D$192,$C407,'5. PERSON'!CQ$17:CQ$192)+SUMIF('5. PERSON'!$D$17:$D$192,$C407,'5. PERSON'!DC$17:DC$192)+SUMIF('6. OPERATION'!$D$17:$D$149,$C407,'6. OPERATION'!BT$17:BT$149)+SUMIF('6. OPERATION'!$D$17:$D$149,$C407,'6. OPERATION'!CF$17:CF$149)+SUMIF('8. FACILIT'!$D$18:$D$50,$C407,'8. FACILIT'!U$18:U$50)+SUMIF('8. FACILIT'!$D$18:$D$50,$C407,'8. FACILIT'!AG$18:AG$50)</f>
        <v>0</v>
      </c>
      <c r="E431" s="139">
        <f>SUMIF('5. PERSON'!$D$17:$D$192,$C407,'5. PERSON'!CR$17:CR$192)+SUMIF('5. PERSON'!$D$17:$D$192,$C407,'5. PERSON'!DD$17:DD$192)+SUMIF('6. OPERATION'!$D$17:$D$149,$C407,'6. OPERATION'!BU$17:BU$149)+SUMIF('6. OPERATION'!$D$17:$D$149,$C407,'6. OPERATION'!CG$17:CG$149)+SUMIF('8. FACILIT'!$D$18:$D$50,$C407,'8. FACILIT'!V$18:V$50)+SUMIF('8. FACILIT'!$D$18:$D$50,$C407,'8. FACILIT'!AH$18:AH$50)</f>
        <v>0</v>
      </c>
      <c r="F431" s="139">
        <f>SUMIF('5. PERSON'!$D$17:$D$192,$C407,'5. PERSON'!CS$17:CS$192)+SUMIF('5. PERSON'!$D$17:$D$192,$C407,'5. PERSON'!DE$17:DE$192)+SUMIF('6. OPERATION'!$D$17:$D$149,$C407,'6. OPERATION'!BV$17:BV$149)+SUMIF('6. OPERATION'!$D$17:$D$149,$C407,'6. OPERATION'!CH$17:CH$149)+SUMIF('8. FACILIT'!$D$18:$D$50,$C407,'8. FACILIT'!W$18:W$50)+SUMIF('8. FACILIT'!$D$18:$D$50,$C407,'8. FACILIT'!AI$18:AI$50)</f>
        <v>0</v>
      </c>
      <c r="G431" s="139">
        <f>SUMIF('5. PERSON'!$D$17:$D$192,$C407,'5. PERSON'!CT$17:CT$192)+SUMIF('5. PERSON'!$D$17:$D$192,$C407,'5. PERSON'!DF$17:DF$192)+SUMIF('6. OPERATION'!$D$17:$D$149,$C407,'6. OPERATION'!BW$17:BW$149)+SUMIF('6. OPERATION'!$D$17:$D$149,$C407,'6. OPERATION'!CI$17:CI$149)+SUMIF('8. FACILIT'!$D$18:$D$50,$C407,'8. FACILIT'!X$18:X$50)+SUMIF('8. FACILIT'!$D$18:$D$50,$C407,'8. FACILIT'!AJ$18:AJ$50)</f>
        <v>0</v>
      </c>
      <c r="H431" s="139">
        <f>SUMIF('5. PERSON'!$D$17:$D$192,$C407,'5. PERSON'!CU$17:CU$192)+SUMIF('5. PERSON'!$D$17:$D$192,$C407,'5. PERSON'!DG$17:DG$192)+SUMIF('6. OPERATION'!$D$17:$D$149,$C407,'6. OPERATION'!BX$17:BX$149)+SUMIF('6. OPERATION'!$D$17:$D$149,$C407,'6. OPERATION'!CJ$17:CJ$149)+SUMIF('8. FACILIT'!$D$18:$D$50,$C407,'8. FACILIT'!Y$18:Y$50)+SUMIF('8. FACILIT'!$D$18:$D$50,$C407,'8. FACILIT'!AK$18:AK$50)</f>
        <v>0</v>
      </c>
      <c r="I431" s="139">
        <f>SUMIF('5. PERSON'!$D$17:$D$192,$C407,'5. PERSON'!CV$17:CV$192)+SUMIF('5. PERSON'!$D$17:$D$192,$C407,'5. PERSON'!DH$17:DH$192)+SUMIF('6. OPERATION'!$D$17:$D$149,$C407,'6. OPERATION'!BY$17:BY$149)+SUMIF('6. OPERATION'!$D$17:$D$149,$C407,'6. OPERATION'!CK$17:CK$149)+SUMIF('8. FACILIT'!$D$18:$D$50,$C407,'8. FACILIT'!Z$18:Z$50)+SUMIF('8. FACILIT'!$D$18:$D$50,$C407,'8. FACILIT'!AL$18:AL$50)</f>
        <v>0</v>
      </c>
      <c r="J431" s="139">
        <f>SUMIF('5. PERSON'!$D$17:$D$192,$C407,'5. PERSON'!CW$17:CW$192)+SUMIF('5. PERSON'!$D$17:$D$192,$C407,'5. PERSON'!DI$17:DI$192)+SUMIF('6. OPERATION'!$D$17:$D$149,$C407,'6. OPERATION'!BZ$17:BZ$149)+SUMIF('6. OPERATION'!$D$17:$D$149,$C407,'6. OPERATION'!CL$17:CL$149)+SUMIF('8. FACILIT'!$D$18:$D$50,$C407,'8. FACILIT'!AA$18:AA$50)+SUMIF('8. FACILIT'!$D$18:$D$50,$C407,'8. FACILIT'!AM$18:AM$50)</f>
        <v>0</v>
      </c>
      <c r="K431" s="139">
        <f>SUMIF('5. PERSON'!$D$17:$D$192,$C407,'5. PERSON'!CX$17:CX$192)+SUMIF('5. PERSON'!$D$17:$D$192,$C407,'5. PERSON'!DJ$17:DJ$192)+SUMIF('6. OPERATION'!$D$17:$D$149,$C407,'6. OPERATION'!CA$17:CA$149)+SUMIF('6. OPERATION'!$D$17:$D$149,$C407,'6. OPERATION'!CM$17:CM$149)+SUMIF('8. FACILIT'!$D$18:$D$50,$C407,'8. FACILIT'!AB$18:AB$50)+SUMIF('8. FACILIT'!$D$18:$D$50,$C407,'8. FACILIT'!AN$18:AN$50)</f>
        <v>0</v>
      </c>
      <c r="L431" s="139">
        <f>SUMIF('5. PERSON'!$D$17:$D$192,$C407,'5. PERSON'!CY$17:CY$192)+SUMIF('5. PERSON'!$D$17:$D$192,$C407,'5. PERSON'!DK$17:DK$192)+SUMIF('6. OPERATION'!$D$17:$D$149,$C407,'6. OPERATION'!CB$17:CB$149)+SUMIF('6. OPERATION'!$D$17:$D$149,$C407,'6. OPERATION'!CN$17:CN$149)+SUMIF('8. FACILIT'!$D$18:$D$50,$C407,'8. FACILIT'!AC$18:AC$50)+SUMIF('8. FACILIT'!$D$18:$D$50,$C407,'8. FACILIT'!AO$18:AO$50)</f>
        <v>0</v>
      </c>
      <c r="M431" s="905">
        <f>SUM(C431:L431)</f>
        <v>0</v>
      </c>
    </row>
    <row r="432" spans="2:15" s="234" customFormat="1" ht="13.2" x14ac:dyDescent="0.25">
      <c r="B432" s="915" t="str">
        <f>IF('1. INTRO'!I$2="English","Indirect","Indirekt")</f>
        <v>Indirect</v>
      </c>
      <c r="C432" s="141">
        <f>SUMIF('5. PERSON'!$D$17:$D$192,$C407,'5. PERSON'!BR$17:BR$192)+SUMIF('5. PERSON'!$D$17:$D$192,$C407,'5. PERSON'!CD$17:CD$192)+SUMIF('6. OPERATION'!$D$17:$D$149,$C407,'6. OPERATION'!AU$17:AU$149)+SUMIF('6. OPERATION'!$D$17:$D$149,$C407,'6. OPERATION'!BG$17:BG$149)</f>
        <v>0</v>
      </c>
      <c r="D432" s="141">
        <f>SUMIF('5. PERSON'!$D$17:$D$192,$C407,'5. PERSON'!BS$17:BS$192)+SUMIF('5. PERSON'!$D$17:$D$192,$C407,'5. PERSON'!CE$17:CE$192)+SUMIF('6. OPERATION'!$D$17:$D$149,$C407,'6. OPERATION'!AV$17:AV$149)+SUMIF('6. OPERATION'!$D$17:$D$149,$C407,'6. OPERATION'!BH$17:BH$149)</f>
        <v>0</v>
      </c>
      <c r="E432" s="141">
        <f>SUMIF('5. PERSON'!$D$17:$D$192,$C407,'5. PERSON'!BT$17:BT$192)+SUMIF('5. PERSON'!$D$17:$D$192,$C407,'5. PERSON'!CF$17:CF$192)+SUMIF('6. OPERATION'!$D$17:$D$149,$C407,'6. OPERATION'!AW$17:AW$149)+SUMIF('6. OPERATION'!$D$17:$D$149,$C407,'6. OPERATION'!BI$17:BI$149)</f>
        <v>0</v>
      </c>
      <c r="F432" s="141">
        <f>SUMIF('5. PERSON'!$D$17:$D$192,$C407,'5. PERSON'!BU$17:BU$192)+SUMIF('5. PERSON'!$D$17:$D$192,$C407,'5. PERSON'!CG$17:CG$192)+SUMIF('6. OPERATION'!$D$17:$D$149,$C407,'6. OPERATION'!AX$17:AX$149)+SUMIF('6. OPERATION'!$D$17:$D$149,$C407,'6. OPERATION'!BJ$17:BJ$149)</f>
        <v>0</v>
      </c>
      <c r="G432" s="141">
        <f>SUMIF('5. PERSON'!$D$17:$D$192,$C407,'5. PERSON'!BV$17:BV$192)+SUMIF('5. PERSON'!$D$17:$D$192,$C407,'5. PERSON'!CH$17:CH$192)+SUMIF('6. OPERATION'!$D$17:$D$149,$C407,'6. OPERATION'!AY$17:AY$149)+SUMIF('6. OPERATION'!$D$17:$D$149,$C407,'6. OPERATION'!BK$17:BK$149)</f>
        <v>0</v>
      </c>
      <c r="H432" s="141">
        <f>SUMIF('5. PERSON'!$D$17:$D$192,$C407,'5. PERSON'!BW$17:BW$192)+SUMIF('5. PERSON'!$D$17:$D$192,$C407,'5. PERSON'!CI$17:CI$192)+SUMIF('6. OPERATION'!$D$17:$D$149,$C407,'6. OPERATION'!AZ$17:AZ$149)+SUMIF('6. OPERATION'!$D$17:$D$149,$C407,'6. OPERATION'!BL$17:BL$149)</f>
        <v>0</v>
      </c>
      <c r="I432" s="141">
        <f>SUMIF('5. PERSON'!$D$17:$D$192,$C407,'5. PERSON'!BX$17:BX$192)+SUMIF('5. PERSON'!$D$17:$D$192,$C407,'5. PERSON'!CJ$17:CJ$192)+SUMIF('6. OPERATION'!$D$17:$D$149,$C407,'6. OPERATION'!BA$17:BA$149)+SUMIF('6. OPERATION'!$D$17:$D$149,$C407,'6. OPERATION'!BM$17:BM$149)</f>
        <v>0</v>
      </c>
      <c r="J432" s="141">
        <f>SUMIF('5. PERSON'!$D$17:$D$192,$C407,'5. PERSON'!BY$17:BY$192)+SUMIF('5. PERSON'!$D$17:$D$192,$C407,'5. PERSON'!CK$17:CK$192)+SUMIF('6. OPERATION'!$D$17:$D$149,$C407,'6. OPERATION'!BB$17:BB$149)+SUMIF('6. OPERATION'!$D$17:$D$149,$C407,'6. OPERATION'!BN$17:BN$149)</f>
        <v>0</v>
      </c>
      <c r="K432" s="141">
        <f>SUMIF('5. PERSON'!$D$17:$D$192,$C407,'5. PERSON'!BZ$17:BZ$192)+SUMIF('5. PERSON'!$D$17:$D$192,$C407,'5. PERSON'!CL$17:CL$192)+SUMIF('6. OPERATION'!$D$17:$D$149,$C407,'6. OPERATION'!BC$17:BC$149)+SUMIF('6. OPERATION'!$D$17:$D$149,$C407,'6. OPERATION'!BO$17:BO$149)</f>
        <v>0</v>
      </c>
      <c r="L432" s="141">
        <f>SUMIF('5. PERSON'!$D$17:$D$192,$C407,'5. PERSON'!CA$17:CA$192)+SUMIF('5. PERSON'!$D$17:$D$192,$C407,'5. PERSON'!CM$17:CM$192)+SUMIF('6. OPERATION'!$D$17:$D$149,$C407,'6. OPERATION'!BD$17:BD$149)+SUMIF('6. OPERATION'!$D$17:$D$149,$C407,'6. OPERATION'!BP$17:BP$149)</f>
        <v>0</v>
      </c>
      <c r="M432" s="908">
        <f>SUM(C432:L432)</f>
        <v>0</v>
      </c>
    </row>
    <row r="433" spans="2:13" s="234" customFormat="1" ht="13.2" x14ac:dyDescent="0.25">
      <c r="B433" s="628" t="s">
        <v>113</v>
      </c>
      <c r="C433" s="520">
        <f>SUM(C428:C432)</f>
        <v>0</v>
      </c>
      <c r="D433" s="520">
        <f t="shared" ref="D433:M433" si="69">SUM(D428:D432)</f>
        <v>0</v>
      </c>
      <c r="E433" s="520">
        <f t="shared" si="69"/>
        <v>0</v>
      </c>
      <c r="F433" s="520">
        <f t="shared" si="69"/>
        <v>0</v>
      </c>
      <c r="G433" s="520">
        <f t="shared" si="69"/>
        <v>0</v>
      </c>
      <c r="H433" s="520">
        <f t="shared" si="69"/>
        <v>0</v>
      </c>
      <c r="I433" s="520">
        <f t="shared" si="69"/>
        <v>0</v>
      </c>
      <c r="J433" s="520">
        <f t="shared" si="69"/>
        <v>0</v>
      </c>
      <c r="K433" s="520">
        <f t="shared" si="69"/>
        <v>0</v>
      </c>
      <c r="L433" s="520">
        <f t="shared" si="69"/>
        <v>0</v>
      </c>
      <c r="M433" s="916">
        <f t="shared" si="69"/>
        <v>0</v>
      </c>
    </row>
    <row r="434" spans="2:13" s="234" customFormat="1" ht="13.2" x14ac:dyDescent="0.25">
      <c r="B434" s="676"/>
      <c r="C434" s="268"/>
      <c r="D434" s="268"/>
      <c r="E434" s="268"/>
      <c r="F434" s="268"/>
      <c r="G434" s="268"/>
      <c r="H434" s="268"/>
      <c r="I434" s="268"/>
      <c r="J434" s="268"/>
      <c r="K434" s="268"/>
      <c r="L434" s="268"/>
      <c r="M434" s="268"/>
    </row>
    <row r="435" spans="2:13" s="234" customFormat="1" ht="12.75" customHeight="1" x14ac:dyDescent="0.25">
      <c r="B435" s="676" t="str">
        <f>IF('1. INTRO'!I$2="English","Co-funding share in full cost ","Medfinansieringsandel i full kostnad ")</f>
        <v xml:space="preserve">Co-funding share in full cost </v>
      </c>
      <c r="C435" s="640" t="str">
        <f t="shared" ref="C435:M435" si="70">IF(C433&gt;0,C425/C433,"")</f>
        <v/>
      </c>
      <c r="D435" s="640" t="str">
        <f t="shared" si="70"/>
        <v/>
      </c>
      <c r="E435" s="640" t="str">
        <f t="shared" si="70"/>
        <v/>
      </c>
      <c r="F435" s="640" t="str">
        <f t="shared" si="70"/>
        <v/>
      </c>
      <c r="G435" s="640" t="str">
        <f t="shared" si="70"/>
        <v/>
      </c>
      <c r="H435" s="640" t="str">
        <f t="shared" si="70"/>
        <v/>
      </c>
      <c r="I435" s="640" t="str">
        <f t="shared" si="70"/>
        <v/>
      </c>
      <c r="J435" s="640" t="str">
        <f t="shared" si="70"/>
        <v/>
      </c>
      <c r="K435" s="640" t="str">
        <f t="shared" si="70"/>
        <v/>
      </c>
      <c r="L435" s="640" t="str">
        <f t="shared" si="70"/>
        <v/>
      </c>
      <c r="M435" s="640" t="str">
        <f t="shared" si="70"/>
        <v/>
      </c>
    </row>
    <row r="436" spans="2:13" s="268" customFormat="1" ht="12.75" customHeight="1" x14ac:dyDescent="0.25"/>
    <row r="437" spans="2:13" s="268" customFormat="1" ht="12.75" customHeight="1" x14ac:dyDescent="0.25">
      <c r="B437" s="667" t="str">
        <f>IF('1. INTRO'!I$2="English","Calculation comments","Kalkylkommentarer")</f>
        <v>Calculation comments</v>
      </c>
    </row>
    <row r="438" spans="2:13" s="268" customFormat="1" ht="12.75" customHeight="1" x14ac:dyDescent="0.25">
      <c r="B438" s="1264"/>
      <c r="C438" s="1265"/>
      <c r="D438" s="1265"/>
      <c r="E438" s="1265"/>
      <c r="F438" s="1265"/>
      <c r="G438" s="1265"/>
      <c r="H438" s="1265"/>
      <c r="I438" s="1265"/>
      <c r="J438" s="1265"/>
      <c r="K438" s="1265"/>
      <c r="L438" s="1265"/>
      <c r="M438" s="1266"/>
    </row>
    <row r="439" spans="2:13" s="268" customFormat="1" ht="12.75" customHeight="1" x14ac:dyDescent="0.25">
      <c r="B439" s="1267"/>
      <c r="C439" s="1268"/>
      <c r="D439" s="1268"/>
      <c r="E439" s="1268"/>
      <c r="F439" s="1268"/>
      <c r="G439" s="1268"/>
      <c r="H439" s="1268"/>
      <c r="I439" s="1268"/>
      <c r="J439" s="1268"/>
      <c r="K439" s="1268"/>
      <c r="L439" s="1268"/>
      <c r="M439" s="1269"/>
    </row>
    <row r="440" spans="2:13" s="268" customFormat="1" ht="12.75" customHeight="1" x14ac:dyDescent="0.25">
      <c r="B440" s="1267"/>
      <c r="C440" s="1268"/>
      <c r="D440" s="1268"/>
      <c r="E440" s="1268"/>
      <c r="F440" s="1268"/>
      <c r="G440" s="1268"/>
      <c r="H440" s="1268"/>
      <c r="I440" s="1268"/>
      <c r="J440" s="1268"/>
      <c r="K440" s="1268"/>
      <c r="L440" s="1268"/>
      <c r="M440" s="1269"/>
    </row>
    <row r="441" spans="2:13" s="268" customFormat="1" ht="12.75" customHeight="1" x14ac:dyDescent="0.25">
      <c r="B441" s="1267"/>
      <c r="C441" s="1268"/>
      <c r="D441" s="1268"/>
      <c r="E441" s="1268"/>
      <c r="F441" s="1268"/>
      <c r="G441" s="1268"/>
      <c r="H441" s="1268"/>
      <c r="I441" s="1268"/>
      <c r="J441" s="1268"/>
      <c r="K441" s="1268"/>
      <c r="L441" s="1268"/>
      <c r="M441" s="1269"/>
    </row>
    <row r="442" spans="2:13" s="268" customFormat="1" ht="12.75" customHeight="1" x14ac:dyDescent="0.25">
      <c r="B442" s="1267"/>
      <c r="C442" s="1268"/>
      <c r="D442" s="1268"/>
      <c r="E442" s="1268"/>
      <c r="F442" s="1268"/>
      <c r="G442" s="1268"/>
      <c r="H442" s="1268"/>
      <c r="I442" s="1268"/>
      <c r="J442" s="1268"/>
      <c r="K442" s="1268"/>
      <c r="L442" s="1268"/>
      <c r="M442" s="1269"/>
    </row>
    <row r="443" spans="2:13" s="268" customFormat="1" ht="12.75" customHeight="1" x14ac:dyDescent="0.25">
      <c r="B443" s="1270"/>
      <c r="C443" s="1271"/>
      <c r="D443" s="1271"/>
      <c r="E443" s="1271"/>
      <c r="F443" s="1271"/>
      <c r="G443" s="1271"/>
      <c r="H443" s="1271"/>
      <c r="I443" s="1271"/>
      <c r="J443" s="1271"/>
      <c r="K443" s="1271"/>
      <c r="L443" s="1271"/>
      <c r="M443" s="1272"/>
    </row>
    <row r="444" spans="2:13" s="268" customFormat="1" x14ac:dyDescent="0.25">
      <c r="B444" s="1270"/>
      <c r="C444" s="1271"/>
      <c r="D444" s="1271"/>
      <c r="E444" s="1271"/>
      <c r="F444" s="1271"/>
      <c r="G444" s="1271"/>
      <c r="H444" s="1271"/>
      <c r="I444" s="1271"/>
      <c r="J444" s="1271"/>
      <c r="K444" s="1271"/>
      <c r="L444" s="1271"/>
      <c r="M444" s="1272"/>
    </row>
    <row r="445" spans="2:13" s="268" customFormat="1" x14ac:dyDescent="0.25">
      <c r="B445" s="1270"/>
      <c r="C445" s="1271"/>
      <c r="D445" s="1271"/>
      <c r="E445" s="1271"/>
      <c r="F445" s="1271"/>
      <c r="G445" s="1271"/>
      <c r="H445" s="1271"/>
      <c r="I445" s="1271"/>
      <c r="J445" s="1271"/>
      <c r="K445" s="1271"/>
      <c r="L445" s="1271"/>
      <c r="M445" s="1272"/>
    </row>
    <row r="446" spans="2:13" s="268" customFormat="1" x14ac:dyDescent="0.25">
      <c r="B446" s="1270"/>
      <c r="C446" s="1271"/>
      <c r="D446" s="1271"/>
      <c r="E446" s="1271"/>
      <c r="F446" s="1271"/>
      <c r="G446" s="1271"/>
      <c r="H446" s="1271"/>
      <c r="I446" s="1271"/>
      <c r="J446" s="1271"/>
      <c r="K446" s="1271"/>
      <c r="L446" s="1271"/>
      <c r="M446" s="1272"/>
    </row>
    <row r="447" spans="2:13" s="268" customFormat="1" x14ac:dyDescent="0.25">
      <c r="B447" s="1270"/>
      <c r="C447" s="1271"/>
      <c r="D447" s="1271"/>
      <c r="E447" s="1271"/>
      <c r="F447" s="1271"/>
      <c r="G447" s="1271"/>
      <c r="H447" s="1271"/>
      <c r="I447" s="1271"/>
      <c r="J447" s="1271"/>
      <c r="K447" s="1271"/>
      <c r="L447" s="1271"/>
      <c r="M447" s="1272"/>
    </row>
    <row r="448" spans="2:13" s="268" customFormat="1" x14ac:dyDescent="0.25">
      <c r="B448" s="1270"/>
      <c r="C448" s="1271"/>
      <c r="D448" s="1271"/>
      <c r="E448" s="1271"/>
      <c r="F448" s="1271"/>
      <c r="G448" s="1271"/>
      <c r="H448" s="1271"/>
      <c r="I448" s="1271"/>
      <c r="J448" s="1271"/>
      <c r="K448" s="1271"/>
      <c r="L448" s="1271"/>
      <c r="M448" s="1272"/>
    </row>
    <row r="449" spans="2:15" s="268" customFormat="1" x14ac:dyDescent="0.25">
      <c r="B449" s="1270"/>
      <c r="C449" s="1271"/>
      <c r="D449" s="1271"/>
      <c r="E449" s="1271"/>
      <c r="F449" s="1271"/>
      <c r="G449" s="1271"/>
      <c r="H449" s="1271"/>
      <c r="I449" s="1271"/>
      <c r="J449" s="1271"/>
      <c r="K449" s="1271"/>
      <c r="L449" s="1271"/>
      <c r="M449" s="1272"/>
    </row>
    <row r="450" spans="2:15" s="268" customFormat="1" x14ac:dyDescent="0.25">
      <c r="B450" s="1273"/>
      <c r="C450" s="1274"/>
      <c r="D450" s="1274"/>
      <c r="E450" s="1274"/>
      <c r="F450" s="1274"/>
      <c r="G450" s="1274"/>
      <c r="H450" s="1274"/>
      <c r="I450" s="1274"/>
      <c r="J450" s="1274"/>
      <c r="K450" s="1274"/>
      <c r="L450" s="1274"/>
      <c r="M450" s="1275"/>
    </row>
    <row r="451" spans="2:15" s="268" customFormat="1" x14ac:dyDescent="0.25"/>
    <row r="452" spans="2:15" s="268" customFormat="1" x14ac:dyDescent="0.25"/>
    <row r="453" spans="2:15" s="234" customFormat="1" ht="12.75" customHeight="1" x14ac:dyDescent="0.25">
      <c r="B453" s="313" t="str">
        <f>'3. PARTNER'!C$4</f>
        <v xml:space="preserve">Project: </v>
      </c>
      <c r="C453" s="1062" t="str">
        <f>'3. PARTNER'!D$4</f>
        <v/>
      </c>
      <c r="D453" s="1001"/>
      <c r="E453" s="1001"/>
      <c r="F453" s="1001"/>
      <c r="G453" s="1001"/>
      <c r="H453" s="1001"/>
      <c r="I453" s="1001"/>
      <c r="J453" s="1001"/>
      <c r="K453" s="1001"/>
      <c r="L453" s="1001"/>
      <c r="M453" s="1001"/>
    </row>
    <row r="454" spans="2:15" s="234" customFormat="1" ht="13.2" x14ac:dyDescent="0.25">
      <c r="B454" s="313" t="str">
        <f>'3. PARTNER'!C$5</f>
        <v xml:space="preserve">Calculation for: </v>
      </c>
      <c r="C454" s="1062" t="str">
        <f>'3. PARTNER'!D$5</f>
        <v>APPLICATION</v>
      </c>
      <c r="D454" s="1001"/>
      <c r="E454" s="268"/>
      <c r="F454" s="268"/>
      <c r="G454" s="268"/>
      <c r="H454" s="268"/>
      <c r="I454" s="268"/>
      <c r="J454" s="268"/>
      <c r="K454" s="268"/>
      <c r="L454" s="268"/>
      <c r="M454" s="268"/>
    </row>
    <row r="455" spans="2:15" s="234" customFormat="1" ht="13.2" x14ac:dyDescent="0.25">
      <c r="B455" s="35" t="str">
        <f>'3. PARTNER'!C$6</f>
        <v xml:space="preserve">Project leader: </v>
      </c>
      <c r="C455" s="1062" t="str">
        <f>'3. PARTNER'!D$6</f>
        <v/>
      </c>
      <c r="D455" s="1001"/>
      <c r="E455" s="1001"/>
      <c r="F455" s="1001"/>
      <c r="G455" s="1001"/>
      <c r="H455" s="1001"/>
      <c r="I455" s="1001"/>
      <c r="J455" s="1001"/>
      <c r="K455" s="1001"/>
      <c r="L455" s="1001"/>
      <c r="M455" s="1001"/>
    </row>
    <row r="456" spans="2:15" s="234" customFormat="1" ht="13.2" x14ac:dyDescent="0.25">
      <c r="B456" s="313" t="str">
        <f>'5. PERSON'!B$7</f>
        <v xml:space="preserve">Amounts in: </v>
      </c>
      <c r="C456" s="672" t="str">
        <f>'5. PERSON'!C$7</f>
        <v>SEK</v>
      </c>
      <c r="D456" s="268"/>
      <c r="E456" s="268"/>
      <c r="F456" s="268"/>
      <c r="I456" s="270"/>
      <c r="J456" s="270"/>
      <c r="K456" s="270"/>
      <c r="L456" s="270"/>
      <c r="M456" s="270"/>
    </row>
    <row r="457" spans="2:15" s="234" customFormat="1" ht="13.2" x14ac:dyDescent="0.25">
      <c r="B457" s="313"/>
      <c r="C457" s="1053" t="str">
        <f>'3. PARTNER'!D$7</f>
        <v>Other basic data about the project is in sheet 2.</v>
      </c>
      <c r="D457" s="1001"/>
      <c r="E457" s="1001"/>
      <c r="F457" s="1001"/>
      <c r="I457" s="270"/>
      <c r="J457" s="270"/>
      <c r="K457" s="270"/>
      <c r="L457" s="251" t="s">
        <v>4</v>
      </c>
      <c r="M457" s="270"/>
    </row>
    <row r="458" spans="2:15" s="268" customFormat="1" ht="12.75" customHeight="1" x14ac:dyDescent="0.25">
      <c r="L458" s="252" t="str">
        <f>IF('1. INTRO'!I$2="English","months","månader")</f>
        <v>months</v>
      </c>
    </row>
    <row r="459" spans="2:15" s="234" customFormat="1" ht="13.8" x14ac:dyDescent="0.25">
      <c r="B459" s="678" t="str">
        <f>IF('1. INTRO'!I$2="English","Project costs","Projektkostnader")</f>
        <v>Project costs</v>
      </c>
      <c r="C459" s="678" t="str">
        <f>B23</f>
        <v>WP 9</v>
      </c>
      <c r="D459" s="234" t="str">
        <f>E23</f>
        <v/>
      </c>
      <c r="E459" s="268"/>
      <c r="G459" s="268"/>
      <c r="H459" s="268"/>
      <c r="I459" s="268"/>
      <c r="J459" s="268"/>
      <c r="K459" s="676"/>
      <c r="L459" s="899">
        <f>SUMIF('5. PERSON'!$D$17:$D$192,$C459,'5. PERSON'!AE$17:AE$192)</f>
        <v>0</v>
      </c>
      <c r="M459" s="680" t="s">
        <v>330</v>
      </c>
    </row>
    <row r="460" spans="2:15" s="234" customFormat="1" ht="6" customHeight="1" x14ac:dyDescent="0.25">
      <c r="B460" s="602"/>
      <c r="C460" s="268"/>
      <c r="D460" s="268"/>
      <c r="E460" s="268"/>
      <c r="F460" s="268"/>
      <c r="G460" s="268"/>
      <c r="H460" s="268"/>
      <c r="I460" s="268"/>
      <c r="J460" s="268"/>
      <c r="K460" s="268"/>
      <c r="L460" s="268"/>
      <c r="M460" s="268"/>
    </row>
    <row r="461" spans="2:15" s="234" customFormat="1" ht="13.2" x14ac:dyDescent="0.25">
      <c r="B461" s="110" t="str">
        <f>IF('1. INTRO'!I$2="English","Costs to be covered by funding body","Kostnader att täckas av finansiär")</f>
        <v>Costs to be covered by funding body</v>
      </c>
      <c r="C461" s="607">
        <f>'5. PERSON'!G$15</f>
        <v>1900</v>
      </c>
      <c r="D461" s="607" t="str">
        <f>'5. PERSON'!H$15</f>
        <v/>
      </c>
      <c r="E461" s="607" t="str">
        <f>'5. PERSON'!I$15</f>
        <v/>
      </c>
      <c r="F461" s="607" t="str">
        <f>'5. PERSON'!J$15</f>
        <v/>
      </c>
      <c r="G461" s="607" t="str">
        <f>'5. PERSON'!K$15</f>
        <v/>
      </c>
      <c r="H461" s="607" t="str">
        <f>'5. PERSON'!L$15</f>
        <v/>
      </c>
      <c r="I461" s="607" t="str">
        <f>'5. PERSON'!M$15</f>
        <v/>
      </c>
      <c r="J461" s="607" t="str">
        <f>'5. PERSON'!N$15</f>
        <v/>
      </c>
      <c r="K461" s="607" t="str">
        <f>'5. PERSON'!O$15</f>
        <v/>
      </c>
      <c r="L461" s="607" t="str">
        <f>'5. PERSON'!P$15</f>
        <v/>
      </c>
      <c r="M461" s="608" t="s">
        <v>2</v>
      </c>
    </row>
    <row r="462" spans="2:15" s="234" customFormat="1" ht="12.75" customHeight="1" x14ac:dyDescent="0.25">
      <c r="B462" s="902" t="str">
        <f>IF('1. INTRO'!I$2="English","Salary including social costs (LKP)","Lön inklusive LKP")</f>
        <v>Salary including social costs (LKP)</v>
      </c>
      <c r="C462" s="610">
        <f>IF('2. START'!$C$14&gt;0,SUMIF('5. PERSON'!$D$17:$D$192,$C459,'5. PERSON'!DN$17:DN$192),SUMIF('5. PERSON'!$D$17:$D$192,$C459,'5. PERSON'!AT$17:AT$192))</f>
        <v>0</v>
      </c>
      <c r="D462" s="610">
        <f>IF('2. START'!$C$14&gt;0,SUMIF('5. PERSON'!$D$17:$D$192,$C459,'5. PERSON'!DO$17:DO$192),SUMIF('5. PERSON'!$D$17:$D$192,$C459,'5. PERSON'!AU$17:AU$192))</f>
        <v>0</v>
      </c>
      <c r="E462" s="610">
        <f>IF('2. START'!$C$14&gt;0,SUMIF('5. PERSON'!$D$17:$D$192,$C459,'5. PERSON'!DP$17:DP$192),SUMIF('5. PERSON'!$D$17:$D$192,$C459,'5. PERSON'!AV$17:AV$192))</f>
        <v>0</v>
      </c>
      <c r="F462" s="610">
        <f>IF('2. START'!$C$14&gt;0,SUMIF('5. PERSON'!$D$17:$D$192,$C459,'5. PERSON'!DQ$17:DQ$192),SUMIF('5. PERSON'!$D$17:$D$192,$C459,'5. PERSON'!AW$17:AW$192))</f>
        <v>0</v>
      </c>
      <c r="G462" s="610">
        <f>IF('2. START'!$C$14&gt;0,SUMIF('5. PERSON'!$D$17:$D$192,$C459,'5. PERSON'!DR$17:DR$192),SUMIF('5. PERSON'!$D$17:$D$192,$C459,'5. PERSON'!AX$17:AX$192))</f>
        <v>0</v>
      </c>
      <c r="H462" s="610">
        <f>IF('2. START'!$C$14&gt;0,SUMIF('5. PERSON'!$D$17:$D$192,$C459,'5. PERSON'!DS$17:DS$192),SUMIF('5. PERSON'!$D$17:$D$192,$C459,'5. PERSON'!AY$17:AY$192))</f>
        <v>0</v>
      </c>
      <c r="I462" s="610">
        <f>IF('2. START'!$C$14&gt;0,SUMIF('5. PERSON'!$D$17:$D$192,$C459,'5. PERSON'!DT$17:DT$192),SUMIF('5. PERSON'!$D$17:$D$192,$C459,'5. PERSON'!AZ$17:AZ$192))</f>
        <v>0</v>
      </c>
      <c r="J462" s="610">
        <f>IF('2. START'!$C$14&gt;0,SUMIF('5. PERSON'!$D$17:$D$192,$C459,'5. PERSON'!DU$17:DU$192),SUMIF('5. PERSON'!$D$17:$D$192,$C459,'5. PERSON'!BA$17:BA$192))</f>
        <v>0</v>
      </c>
      <c r="K462" s="610">
        <f>IF('2. START'!$C$14&gt;0,SUMIF('5. PERSON'!$D$17:$D$192,$C459,'5. PERSON'!DV$17:DV$192),SUMIF('5. PERSON'!$D$17:$D$192,$C459,'5. PERSON'!BB$17:BB$192))</f>
        <v>0</v>
      </c>
      <c r="L462" s="610">
        <f>IF('2. START'!$C$14&gt;0,SUMIF('5. PERSON'!$D$17:$D$192,$C459,'5. PERSON'!DW$17:DW$192),SUMIF('5. PERSON'!$D$17:$D$192,$C459,'5. PERSON'!BC$17:BC$192))</f>
        <v>0</v>
      </c>
      <c r="M462" s="903">
        <f t="shared" ref="M462:M467" si="71">SUM(C462:L462)</f>
        <v>0</v>
      </c>
      <c r="O462" s="904"/>
    </row>
    <row r="463" spans="2:15" s="234" customFormat="1" ht="12.75" customHeight="1" x14ac:dyDescent="0.25">
      <c r="B463" s="377" t="str">
        <f>IF('1. INTRO'!I$2="English","Operating","Drift")</f>
        <v>Operating</v>
      </c>
      <c r="C463" s="615">
        <f>SUMIF('6. OPERATION'!$D$17:$D$149,$C459,'6. OPERATION'!W$17:W$149)</f>
        <v>0</v>
      </c>
      <c r="D463" s="615">
        <f>SUMIF('6. OPERATION'!$D$17:$D$149,$C459,'6. OPERATION'!X$17:X$149)</f>
        <v>0</v>
      </c>
      <c r="E463" s="615">
        <f>SUMIF('6. OPERATION'!$D$17:$D$149,$C459,'6. OPERATION'!Y$17:Y$149)</f>
        <v>0</v>
      </c>
      <c r="F463" s="615">
        <f>SUMIF('6. OPERATION'!$D$17:$D$149,$C459,'6. OPERATION'!Z$17:Z$149)</f>
        <v>0</v>
      </c>
      <c r="G463" s="615">
        <f>SUMIF('6. OPERATION'!$D$17:$D$149,$C459,'6. OPERATION'!AA$17:AA$149)</f>
        <v>0</v>
      </c>
      <c r="H463" s="615">
        <f>SUMIF('6. OPERATION'!$D$17:$D$149,$C459,'6. OPERATION'!AB$17:AB$149)</f>
        <v>0</v>
      </c>
      <c r="I463" s="615">
        <f>SUMIF('6. OPERATION'!$D$17:$D$149,$C459,'6. OPERATION'!AC$17:AC$149)</f>
        <v>0</v>
      </c>
      <c r="J463" s="615">
        <f>SUMIF('6. OPERATION'!$D$17:$D$149,$C459,'6. OPERATION'!AD$17:AD$149)</f>
        <v>0</v>
      </c>
      <c r="K463" s="615">
        <f>SUMIF('6. OPERATION'!$D$17:$D$149,$C459,'6. OPERATION'!AE$17:AE$149)</f>
        <v>0</v>
      </c>
      <c r="L463" s="615">
        <f>SUMIF('6. OPERATION'!$D$17:$D$149,$C459,'6. OPERATION'!AF$17:AF$149)</f>
        <v>0</v>
      </c>
      <c r="M463" s="905">
        <f t="shared" si="71"/>
        <v>0</v>
      </c>
    </row>
    <row r="464" spans="2:15" s="234" customFormat="1" ht="13.2" x14ac:dyDescent="0.25">
      <c r="B464" s="906" t="str">
        <f>IF('1. INTRO'!I$2="English","Equipment","Utrustning")</f>
        <v>Equipment</v>
      </c>
      <c r="C464" s="620">
        <f>SUMIF('7. INVEST'!$D$17:$D$49,$C459,'7. INVEST'!W$17:W$49)</f>
        <v>0</v>
      </c>
      <c r="D464" s="620">
        <f>SUMIF('7. INVEST'!$D$17:$D$49,$C459,'7. INVEST'!X$17:X$49)</f>
        <v>0</v>
      </c>
      <c r="E464" s="620">
        <f>SUMIF('7. INVEST'!$D$17:$D$49,$C459,'7. INVEST'!Y$17:Y$49)</f>
        <v>0</v>
      </c>
      <c r="F464" s="620">
        <f>SUMIF('7. INVEST'!$D$17:$D$49,$C459,'7. INVEST'!Z$17:Z$49)</f>
        <v>0</v>
      </c>
      <c r="G464" s="620">
        <f>SUMIF('7. INVEST'!$D$17:$D$49,$C459,'7. INVEST'!AA$17:AA$49)</f>
        <v>0</v>
      </c>
      <c r="H464" s="620">
        <f>SUMIF('7. INVEST'!$D$17:$D$49,$C459,'7. INVEST'!AB$17:AB$49)</f>
        <v>0</v>
      </c>
      <c r="I464" s="620">
        <f>SUMIF('7. INVEST'!$D$17:$D$49,$C459,'7. INVEST'!AC$17:AC$49)</f>
        <v>0</v>
      </c>
      <c r="J464" s="620">
        <f>SUMIF('7. INVEST'!$D$17:$D$49,$C459,'7. INVEST'!AD$17:AD$49)</f>
        <v>0</v>
      </c>
      <c r="K464" s="620">
        <f>SUMIF('7. INVEST'!$D$17:$D$49,$C459,'7. INVEST'!AE$17:AE$49)</f>
        <v>0</v>
      </c>
      <c r="L464" s="620">
        <f>SUMIF('7. INVEST'!$D$17:$D$49,$C459,'7. INVEST'!AF$17:AF$49)</f>
        <v>0</v>
      </c>
      <c r="M464" s="907">
        <f t="shared" si="71"/>
        <v>0</v>
      </c>
    </row>
    <row r="465" spans="2:15" s="234" customFormat="1" ht="13.2" x14ac:dyDescent="0.25">
      <c r="B465" s="121" t="str">
        <f>IF('1. INTRO'!I$2="English",(IF('2. START'!C$11="NO","Facility accepted as direct cost by funding body","Facility")),IF('2. START'!C$11="NO","Lokal accepterad som direkt kostnad av finansiär","Lokal"))</f>
        <v>Facility</v>
      </c>
      <c r="C465" s="615">
        <f>IF('2. START'!$C$11="NO",SUMIF('8. FACILIT'!$D$18:$D$50,$C459,'8. FACILIT'!T$18:T$50),SUMIF('5. PERSON'!$D$17:$D$192,$C459,'5. PERSON'!CP$17:CP$192)+SUMIF('6. OPERATION'!$D$17:$D$149,$C459,'6. OPERATION'!BS$17:BS$149)+SUMIF('8. FACILIT'!$D$18:$D$50,$C459,'8. FACILIT'!T$18:T$50))</f>
        <v>0</v>
      </c>
      <c r="D465" s="615">
        <f>IF('2. START'!$C$11="NO",SUMIF('8. FACILIT'!$D$18:$D$50,$C459,'8. FACILIT'!U$18:U$50),SUMIF('5. PERSON'!$D$17:$D$192,$C459,'5. PERSON'!CQ$17:CQ$192)+SUMIF('6. OPERATION'!$D$17:$D$149,$C459,'6. OPERATION'!BT$17:BT$149)+SUMIF('8. FACILIT'!$D$18:$D$50,$C459,'8. FACILIT'!U$18:U$50))</f>
        <v>0</v>
      </c>
      <c r="E465" s="615">
        <f>IF('2. START'!$C$11="NO",SUMIF('8. FACILIT'!$D$18:$D$50,$C459,'8. FACILIT'!V$18:V$50),SUMIF('5. PERSON'!$D$17:$D$192,$C459,'5. PERSON'!CR$17:CR$192)+SUMIF('6. OPERATION'!$D$17:$D$149,$C459,'6. OPERATION'!BU$17:BU$149)+SUMIF('8. FACILIT'!$D$18:$D$50,$C459,'8. FACILIT'!V$18:V$50))</f>
        <v>0</v>
      </c>
      <c r="F465" s="615">
        <f>IF('2. START'!$C$11="NO",SUMIF('8. FACILIT'!$D$18:$D$50,$C459,'8. FACILIT'!W$18:W$50),SUMIF('5. PERSON'!$D$17:$D$192,$C459,'5. PERSON'!CS$17:CS$192)+SUMIF('6. OPERATION'!$D$17:$D$149,$C459,'6. OPERATION'!BV$17:BV$149)+SUMIF('8. FACILIT'!$D$18:$D$50,$C459,'8. FACILIT'!W$18:W$50))</f>
        <v>0</v>
      </c>
      <c r="G465" s="615">
        <f>IF('2. START'!$C$11="NO",SUMIF('8. FACILIT'!$D$18:$D$50,$C459,'8. FACILIT'!X$18:X$50),SUMIF('5. PERSON'!$D$17:$D$192,$C459,'5. PERSON'!CT$17:CT$192)+SUMIF('6. OPERATION'!$D$17:$D$149,$C459,'6. OPERATION'!BW$17:BW$149)+SUMIF('8. FACILIT'!$D$18:$D$50,$C459,'8. FACILIT'!X$18:X$50))</f>
        <v>0</v>
      </c>
      <c r="H465" s="615">
        <f>IF('2. START'!$C$11="NO",SUMIF('8. FACILIT'!$D$18:$D$50,$C459,'8. FACILIT'!Y$18:Y$50),SUMIF('5. PERSON'!$D$17:$D$192,$C459,'5. PERSON'!CU$17:CU$192)+SUMIF('6. OPERATION'!$D$17:$D$149,$C459,'6. OPERATION'!BX$17:BX$149)+SUMIF('8. FACILIT'!$D$18:$D$50,$C459,'8. FACILIT'!Y$18:Y$50))</f>
        <v>0</v>
      </c>
      <c r="I465" s="615">
        <f>IF('2. START'!$C$11="NO",SUMIF('8. FACILIT'!$D$18:$D$50,$C459,'8. FACILIT'!Z$18:Z$50),SUMIF('5. PERSON'!$D$17:$D$192,$C459,'5. PERSON'!CV$17:CV$192)+SUMIF('6. OPERATION'!$D$17:$D$149,$C459,'6. OPERATION'!BY$17:BY$149)+SUMIF('8. FACILIT'!$D$18:$D$50,$C459,'8. FACILIT'!Z$18:Z$50))</f>
        <v>0</v>
      </c>
      <c r="J465" s="615">
        <f>IF('2. START'!$C$11="NO",SUMIF('8. FACILIT'!$D$18:$D$50,$C459,'8. FACILIT'!AA$18:AA$50),SUMIF('5. PERSON'!$D$17:$D$192,$C459,'5. PERSON'!CW$17:CW$192)+SUMIF('6. OPERATION'!$D$17:$D$149,$C459,'6. OPERATION'!BZ$17:BZ$149)+SUMIF('8. FACILIT'!$D$18:$D$50,$C459,'8. FACILIT'!AA$18:AA$50))</f>
        <v>0</v>
      </c>
      <c r="K465" s="615">
        <f>IF('2. START'!$C$11="NO",SUMIF('8. FACILIT'!$D$18:$D$50,$C459,'8. FACILIT'!AB$18:AB$50),SUMIF('5. PERSON'!$D$17:$D$192,$C459,'5. PERSON'!CX$17:CX$192)+SUMIF('6. OPERATION'!$D$17:$D$149,$C459,'6. OPERATION'!CA$17:CA$149)+SUMIF('8. FACILIT'!$D$18:$D$50,$C459,'8. FACILIT'!AB$18:AB$50))</f>
        <v>0</v>
      </c>
      <c r="L465" s="615">
        <f>IF('2. START'!$C$11="NO",SUMIF('8. FACILIT'!$D$18:$D$50,$C459,'8. FACILIT'!AC$18:AC$50),SUMIF('5. PERSON'!$D$17:$D$192,$C459,'5. PERSON'!CY$17:CY$192)+SUMIF('6. OPERATION'!$D$17:$D$149,$C459,'6. OPERATION'!CB$17:CB$149)+SUMIF('8. FACILIT'!$D$18:$D$50,$C459,'8. FACILIT'!AC$18:AC$50))</f>
        <v>0</v>
      </c>
      <c r="M465" s="905">
        <f t="shared" si="71"/>
        <v>0</v>
      </c>
    </row>
    <row r="466" spans="2:15" s="234" customFormat="1" ht="13.2" x14ac:dyDescent="0.25">
      <c r="B466" s="122" t="str">
        <f>IF('1. INTRO'!I$2="English",(IF('2. START'!C$11="NO","Indirect and facility charge accepted as OH by funding body","Indirect")),IF('2. START'!C$11="NO","Indirekt och lokalpåslag accepterade som OH av finansiär","Indirekt"))</f>
        <v>Indirect</v>
      </c>
      <c r="C466" s="584">
        <f>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584">
        <f>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584">
        <f>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584">
        <f>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584">
        <f>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584">
        <f>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584">
        <f>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584">
        <f>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584">
        <f>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584">
        <f>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908">
        <f t="shared" si="71"/>
        <v>0</v>
      </c>
    </row>
    <row r="467" spans="2:15" s="234" customFormat="1" ht="13.2" x14ac:dyDescent="0.25">
      <c r="B467" s="628" t="s">
        <v>113</v>
      </c>
      <c r="C467" s="443">
        <f>SUM(C462:C466)</f>
        <v>0</v>
      </c>
      <c r="D467" s="443">
        <f t="shared" ref="D467:L467" si="72">SUM(D462:D466)</f>
        <v>0</v>
      </c>
      <c r="E467" s="443">
        <f t="shared" si="72"/>
        <v>0</v>
      </c>
      <c r="F467" s="443">
        <f t="shared" si="72"/>
        <v>0</v>
      </c>
      <c r="G467" s="443">
        <f t="shared" si="72"/>
        <v>0</v>
      </c>
      <c r="H467" s="443">
        <f t="shared" si="72"/>
        <v>0</v>
      </c>
      <c r="I467" s="443">
        <f t="shared" si="72"/>
        <v>0</v>
      </c>
      <c r="J467" s="443">
        <f t="shared" si="72"/>
        <v>0</v>
      </c>
      <c r="K467" s="443">
        <f t="shared" si="72"/>
        <v>0</v>
      </c>
      <c r="L467" s="443">
        <f t="shared" si="72"/>
        <v>0</v>
      </c>
      <c r="M467" s="630">
        <f t="shared" si="71"/>
        <v>0</v>
      </c>
    </row>
    <row r="468" spans="2:15" s="234" customFormat="1" ht="6" customHeight="1" x14ac:dyDescent="0.25">
      <c r="B468" s="909"/>
      <c r="C468" s="127"/>
      <c r="D468" s="127"/>
      <c r="E468" s="127"/>
      <c r="F468" s="127"/>
      <c r="G468" s="127"/>
      <c r="H468" s="127"/>
      <c r="I468" s="127"/>
      <c r="J468" s="127"/>
      <c r="K468" s="127"/>
      <c r="L468" s="127"/>
      <c r="M468" s="633"/>
    </row>
    <row r="469" spans="2:15" s="234" customFormat="1" ht="13.2" x14ac:dyDescent="0.25">
      <c r="B469" s="129" t="str">
        <f>IF('1. INTRO'!I$2="English","Costs to be co-funded","Kostnader att medfinansiera")</f>
        <v>Costs to be co-funded</v>
      </c>
      <c r="C469" s="634"/>
      <c r="D469" s="634"/>
      <c r="E469" s="634"/>
      <c r="F469" s="634"/>
      <c r="G469" s="634"/>
      <c r="H469" s="634"/>
      <c r="I469" s="634"/>
      <c r="J469" s="634"/>
      <c r="K469" s="634"/>
      <c r="L469" s="634"/>
      <c r="M469" s="129"/>
    </row>
    <row r="470" spans="2:15" s="234" customFormat="1" ht="13.2" x14ac:dyDescent="0.25">
      <c r="B470" s="159" t="str">
        <f>IF('1. INTRO'!I$2="English",(IF('2. START'!C$11="NO","Indirect and facility charge not accepted as OH by funding body","")),IF('2. START'!C$11="NO","Indirekt och lokalpåslag inte accepterade som OH av finansiär",""))</f>
        <v/>
      </c>
      <c r="C470" s="910">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910">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910">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910">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910">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910">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910">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910">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910">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910">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903">
        <f t="shared" ref="M470:M476" si="73">SUM(C470:L470)</f>
        <v>0</v>
      </c>
    </row>
    <row r="471" spans="2:15" s="234" customFormat="1" ht="12.75" customHeight="1" x14ac:dyDescent="0.25">
      <c r="B471" s="132" t="str">
        <f>IF('1. INTRO'!I$2="English",(IF('2. START'!C$14&gt;0,"Social costs (LKP) not accepted by funding body","")),IF('2. START'!C$14&gt;0,"LKP som inte accepteras av finansiär",""))</f>
        <v/>
      </c>
      <c r="C471" s="911">
        <f>IF('2. START'!$C$14&gt;0,SUMIF('5. PERSON'!$D$17:$D$192,$C459,'5. PERSON'!AT$17:AT$192)-SUMIF('5. PERSON'!$D$17:$D$192,$C459,'5. PERSON'!DN$17:DN$192),0)</f>
        <v>0</v>
      </c>
      <c r="D471" s="911">
        <f>IF('2. START'!$C$14&gt;0,SUMIF('5. PERSON'!$D$17:$D$192,$C459,'5. PERSON'!AU$17:AU$192)-SUMIF('5. PERSON'!$D$17:$D$192,$C459,'5. PERSON'!DO$17:DO$192),0)</f>
        <v>0</v>
      </c>
      <c r="E471" s="911">
        <f>IF('2. START'!$C$14&gt;0,SUMIF('5. PERSON'!$D$17:$D$192,$C459,'5. PERSON'!AV$17:AV$192)-SUMIF('5. PERSON'!$D$17:$D$192,$C459,'5. PERSON'!DP$17:DP$192),0)</f>
        <v>0</v>
      </c>
      <c r="F471" s="911">
        <f>IF('2. START'!$C$14&gt;0,SUMIF('5. PERSON'!$D$17:$D$192,$C459,'5. PERSON'!AW$17:AW$192)-SUMIF('5. PERSON'!$D$17:$D$192,$C459,'5. PERSON'!DQ$17:DQ$192),0)</f>
        <v>0</v>
      </c>
      <c r="G471" s="911">
        <f>IF('2. START'!$C$14&gt;0,SUMIF('5. PERSON'!$D$17:$D$192,$C459,'5. PERSON'!AX$17:AX$192)-SUMIF('5. PERSON'!$D$17:$D$192,$C459,'5. PERSON'!DR$17:DR$192),0)</f>
        <v>0</v>
      </c>
      <c r="H471" s="911">
        <f>IF('2. START'!$C$14&gt;0,SUMIF('5. PERSON'!$D$17:$D$192,$C459,'5. PERSON'!AY$17:AY$192)-SUMIF('5. PERSON'!$D$17:$D$192,$C459,'5. PERSON'!DS$17:DS$192),0)</f>
        <v>0</v>
      </c>
      <c r="I471" s="911">
        <f>IF('2. START'!$C$14&gt;0,SUMIF('5. PERSON'!$D$17:$D$192,$C459,'5. PERSON'!AZ$17:AZ$192)-SUMIF('5. PERSON'!$D$17:$D$192,$C459,'5. PERSON'!DT$17:DT$192),0)</f>
        <v>0</v>
      </c>
      <c r="J471" s="911">
        <f>IF('2. START'!$C$14&gt;0,SUMIF('5. PERSON'!$D$17:$D$192,$C459,'5. PERSON'!BA$17:BA$192)-SUMIF('5. PERSON'!$D$17:$D$192,$C459,'5. PERSON'!DU$17:DU$192),0)</f>
        <v>0</v>
      </c>
      <c r="K471" s="911">
        <f>IF('2. START'!$C$14&gt;0,SUMIF('5. PERSON'!$D$17:$D$192,$C459,'5. PERSON'!BB$17:BB$192)-SUMIF('5. PERSON'!$D$17:$D$192,$C459,'5. PERSON'!DV$17:DV$192),0)</f>
        <v>0</v>
      </c>
      <c r="L471" s="911">
        <f>IF('2. START'!$C$14&gt;0,SUMIF('5. PERSON'!$D$17:$D$192,$C459,'5. PERSON'!BC$17:BC$192)-SUMIF('5. PERSON'!$D$17:$D$192,$C459,'5. PERSON'!DW$17:DW$192),0)</f>
        <v>0</v>
      </c>
      <c r="M471" s="905">
        <f t="shared" si="73"/>
        <v>0</v>
      </c>
    </row>
    <row r="472" spans="2:15" s="234" customFormat="1" ht="12.75" customHeight="1" x14ac:dyDescent="0.25">
      <c r="B472" s="906" t="str">
        <f>IF('1. INTRO'!I$2="English",(IF('5. PERSON'!BP$193&gt;0,"Salary including social costs (LKP)","")),IF('5. PERSON'!BP$193&gt;0,"Lön inklusive LKP",""))</f>
        <v/>
      </c>
      <c r="C472" s="622">
        <f>SUMIF('5. PERSON'!$D$17:$D$192,$C459,'5. PERSON'!BF$17:BF$192)</f>
        <v>0</v>
      </c>
      <c r="D472" s="622">
        <f>SUMIF('5. PERSON'!$D$17:$D$192,$C459,'5. PERSON'!BG$17:BG$192)</f>
        <v>0</v>
      </c>
      <c r="E472" s="622">
        <f>SUMIF('5. PERSON'!$D$17:$D$192,$C459,'5. PERSON'!BH$17:BH$192)</f>
        <v>0</v>
      </c>
      <c r="F472" s="622">
        <f>SUMIF('5. PERSON'!$D$17:$D$192,$C459,'5. PERSON'!BI$17:BI$192)</f>
        <v>0</v>
      </c>
      <c r="G472" s="622">
        <f>SUMIF('5. PERSON'!$D$17:$D$192,$C459,'5. PERSON'!BJ$17:BJ$192)</f>
        <v>0</v>
      </c>
      <c r="H472" s="622">
        <f>SUMIF('5. PERSON'!$D$17:$D$192,$C459,'5. PERSON'!BK$17:BK$192)</f>
        <v>0</v>
      </c>
      <c r="I472" s="622">
        <f>SUMIF('5. PERSON'!$D$17:$D$192,$C459,'5. PERSON'!BL$17:BL$192)</f>
        <v>0</v>
      </c>
      <c r="J472" s="622">
        <f>SUMIF('5. PERSON'!$D$17:$D$192,$C459,'5. PERSON'!BM$17:BM$192)</f>
        <v>0</v>
      </c>
      <c r="K472" s="622">
        <f>SUMIF('5. PERSON'!$D$17:$D$192,$C459,'5. PERSON'!BN$17:BN$192)</f>
        <v>0</v>
      </c>
      <c r="L472" s="622">
        <f>SUMIF('5. PERSON'!$D$17:$D$192,$C459,'5. PERSON'!BO$17:BO$192)</f>
        <v>0</v>
      </c>
      <c r="M472" s="907">
        <f t="shared" si="73"/>
        <v>0</v>
      </c>
    </row>
    <row r="473" spans="2:15" s="234" customFormat="1" ht="13.2" x14ac:dyDescent="0.25">
      <c r="B473" s="377" t="str">
        <f>IF('1. INTRO'!I$2="English",(IF('6. OPERATION'!AS$150&gt;0,"Operating","")),IF('6. OPERATION'!AS$150&gt;0,"Drift",""))</f>
        <v/>
      </c>
      <c r="C473" s="617">
        <f>SUMIF('6. OPERATION'!$D$17:$D$149,$C459,'6. OPERATION'!AI$17:AI$149)</f>
        <v>0</v>
      </c>
      <c r="D473" s="617">
        <f>SUMIF('6. OPERATION'!$D$17:$D$149,$C459,'6. OPERATION'!AJ$17:AJ$149)</f>
        <v>0</v>
      </c>
      <c r="E473" s="617">
        <f>SUMIF('6. OPERATION'!$D$17:$D$149,$C459,'6. OPERATION'!AK$17:AK$149)</f>
        <v>0</v>
      </c>
      <c r="F473" s="617">
        <f>SUMIF('6. OPERATION'!$D$17:$D$149,$C459,'6. OPERATION'!AL$17:AL$149)</f>
        <v>0</v>
      </c>
      <c r="G473" s="617">
        <f>SUMIF('6. OPERATION'!$D$17:$D$149,$C459,'6. OPERATION'!AM$17:AM$149)</f>
        <v>0</v>
      </c>
      <c r="H473" s="617">
        <f>SUMIF('6. OPERATION'!$D$17:$D$149,$C459,'6. OPERATION'!AN$17:AN$149)</f>
        <v>0</v>
      </c>
      <c r="I473" s="617">
        <f>SUMIF('6. OPERATION'!$D$17:$D$149,$C459,'6. OPERATION'!AO$17:AO$149)</f>
        <v>0</v>
      </c>
      <c r="J473" s="617">
        <f>SUMIF('6. OPERATION'!$D$17:$D$149,$C459,'6. OPERATION'!AP$17:AP$149)</f>
        <v>0</v>
      </c>
      <c r="K473" s="617">
        <f>SUMIF('6. OPERATION'!$D$17:$D$149,$C459,'6. OPERATION'!AQ$17:AQ$149)</f>
        <v>0</v>
      </c>
      <c r="L473" s="617">
        <f>SUMIF('6. OPERATION'!$D$17:$D$149,$C459,'6. OPERATION'!AR$17:AR$149)</f>
        <v>0</v>
      </c>
      <c r="M473" s="905">
        <f t="shared" si="73"/>
        <v>0</v>
      </c>
    </row>
    <row r="474" spans="2:15" s="234" customFormat="1" ht="13.2" x14ac:dyDescent="0.25">
      <c r="B474" s="906" t="str">
        <f>IF('1. INTRO'!I$2="English",(IF('7. INVEST'!AS$50&gt;0,"Equipment","")),IF('7. INVEST'!AS$50&gt;0,"Utrustning",""))</f>
        <v/>
      </c>
      <c r="C474" s="622">
        <f>SUMIF('7. INVEST'!$D$17:$D$49,$C459,'7. INVEST'!AI$17:AI$49)</f>
        <v>0</v>
      </c>
      <c r="D474" s="622">
        <f>SUMIF('7. INVEST'!$D$17:$D$49,$C459,'7. INVEST'!AJ$17:AJ$49)</f>
        <v>0</v>
      </c>
      <c r="E474" s="622">
        <f>SUMIF('7. INVEST'!$D$17:$D$49,$C459,'7. INVEST'!AK$17:AK$49)</f>
        <v>0</v>
      </c>
      <c r="F474" s="622">
        <f>SUMIF('7. INVEST'!$D$17:$D$49,$C459,'7. INVEST'!AL$17:AL$49)</f>
        <v>0</v>
      </c>
      <c r="G474" s="622">
        <f>SUMIF('7. INVEST'!$D$17:$D$49,$C459,'7. INVEST'!AM$17:AM$49)</f>
        <v>0</v>
      </c>
      <c r="H474" s="622">
        <f>SUMIF('7. INVEST'!$D$17:$D$49,$C459,'7. INVEST'!AN$17:AN$49)</f>
        <v>0</v>
      </c>
      <c r="I474" s="622">
        <f>SUMIF('7. INVEST'!$D$17:$D$49,$C459,'7. INVEST'!AO$17:AO$49)</f>
        <v>0</v>
      </c>
      <c r="J474" s="622">
        <f>SUMIF('7. INVEST'!$D$17:$D$49,$C459,'7. INVEST'!AP$17:AP$49)</f>
        <v>0</v>
      </c>
      <c r="K474" s="622">
        <f>SUMIF('7. INVEST'!$D$17:$D$49,$C459,'7. INVEST'!AQ$17:AQ$49)</f>
        <v>0</v>
      </c>
      <c r="L474" s="622">
        <f>SUMIF('7. INVEST'!$D$17:$D$49,$C459,'7. INVEST'!AR$17:AR$49)</f>
        <v>0</v>
      </c>
      <c r="M474" s="907">
        <f t="shared" si="73"/>
        <v>0</v>
      </c>
    </row>
    <row r="475" spans="2:15" s="234" customFormat="1" ht="13.2" x14ac:dyDescent="0.25">
      <c r="B475" s="121" t="str">
        <f>IF('1. INTRO'!I$2="English",(IF('8. FACILIT'!AP$51&gt;0,"Facility","")),IF('8. FACILIT'!AP$51&gt;0,"Lokal",""))</f>
        <v/>
      </c>
      <c r="C475" s="617">
        <f>SUMIF('5. PERSON'!$D$17:$D$192,$C459,'5. PERSON'!DB$17:DB$192)+SUMIF('6. OPERATION'!$D$17:$D$149,$C459,'6. OPERATION'!CE$17:CE$149)+SUMIF('8. FACILIT'!$D$18:$D$50,$C459,'8. FACILIT'!AF$18:AF$50)</f>
        <v>0</v>
      </c>
      <c r="D475" s="617">
        <f>SUMIF('5. PERSON'!$D$17:$D$192,$C459,'5. PERSON'!DC$17:DC$192)+SUMIF('6. OPERATION'!$D$17:$D$149,$C459,'6. OPERATION'!CF$17:CF$149)+SUMIF('8. FACILIT'!$D$18:$D$50,$C459,'8. FACILIT'!AG$18:AG$50)</f>
        <v>0</v>
      </c>
      <c r="E475" s="617">
        <f>SUMIF('5. PERSON'!$D$17:$D$192,$C459,'5. PERSON'!DD$17:DD$192)+SUMIF('6. OPERATION'!$D$17:$D$149,$C459,'6. OPERATION'!CG$17:CG$149)+SUMIF('8. FACILIT'!$D$18:$D$50,$C459,'8. FACILIT'!AH$18:AH$50)</f>
        <v>0</v>
      </c>
      <c r="F475" s="617">
        <f>SUMIF('5. PERSON'!$D$17:$D$192,$C459,'5. PERSON'!DE$17:DE$192)+SUMIF('6. OPERATION'!$D$17:$D$149,$C459,'6. OPERATION'!CH$17:CH$149)+SUMIF('8. FACILIT'!$D$18:$D$50,$C459,'8. FACILIT'!AI$18:AI$50)</f>
        <v>0</v>
      </c>
      <c r="G475" s="617">
        <f>SUMIF('5. PERSON'!$D$17:$D$192,$C459,'5. PERSON'!DF$17:DF$192)+SUMIF('6. OPERATION'!$D$17:$D$149,$C459,'6. OPERATION'!CI$17:CI$149)+SUMIF('8. FACILIT'!$D$18:$D$50,$C459,'8. FACILIT'!AJ$18:AJ$50)</f>
        <v>0</v>
      </c>
      <c r="H475" s="617">
        <f>SUMIF('5. PERSON'!$D$17:$D$192,$C459,'5. PERSON'!DG$17:DG$192)+SUMIF('6. OPERATION'!$D$17:$D$149,$C459,'6. OPERATION'!CJ$17:CJ$149)+SUMIF('8. FACILIT'!$D$18:$D$50,$C459,'8. FACILIT'!AK$18:AK$50)</f>
        <v>0</v>
      </c>
      <c r="I475" s="617">
        <f>SUMIF('5. PERSON'!$D$17:$D$192,$C459,'5. PERSON'!DH$17:DH$192)+SUMIF('6. OPERATION'!$D$17:$D$149,$C459,'6. OPERATION'!CK$17:CK$149)+SUMIF('8. FACILIT'!$D$18:$D$50,$C459,'8. FACILIT'!AL$18:AL$50)</f>
        <v>0</v>
      </c>
      <c r="J475" s="617">
        <f>SUMIF('5. PERSON'!$D$17:$D$192,$C459,'5. PERSON'!DI$17:DI$192)+SUMIF('6. OPERATION'!$D$17:$D$149,$C459,'6. OPERATION'!CL$17:CL$149)+SUMIF('8. FACILIT'!$D$18:$D$50,$C459,'8. FACILIT'!AM$18:AM$50)</f>
        <v>0</v>
      </c>
      <c r="K475" s="617">
        <f>SUMIF('5. PERSON'!$D$17:$D$192,$C459,'5. PERSON'!DJ$17:DJ$192)+SUMIF('6. OPERATION'!$D$17:$D$149,$C459,'6. OPERATION'!CM$17:CM$149)+SUMIF('8. FACILIT'!$D$18:$D$50,$C459,'8. FACILIT'!AN$18:AN$50)</f>
        <v>0</v>
      </c>
      <c r="L475" s="617">
        <f>SUMIF('5. PERSON'!$D$17:$D$192,$C459,'5. PERSON'!DK$17:DK$192)+SUMIF('6. OPERATION'!$D$17:$D$149,$C459,'6. OPERATION'!CN$17:CN$149)+SUMIF('8. FACILIT'!$D$18:$D$50,$C459,'8. FACILIT'!AO$18:AO$50)</f>
        <v>0</v>
      </c>
      <c r="M475" s="905">
        <f t="shared" si="73"/>
        <v>0</v>
      </c>
    </row>
    <row r="476" spans="2:15" s="912" customFormat="1" ht="13.2" x14ac:dyDescent="0.25">
      <c r="B476" s="122" t="str">
        <f>IF('1. INTRO'!I$2="English",(IF(('5. PERSON'!CN$193+'6. OPERATION'!BQ$150)&gt;0,"Indirect","")),IF(('5. PERSON'!CN$193+'6. OPERATION'!BQ$150)&gt;0,"Indirekt",""))</f>
        <v/>
      </c>
      <c r="C476" s="584">
        <f>SUMIF('5. PERSON'!$D$17:$D$192,$C459,'5. PERSON'!CD$17:CD$192)+SUMIF('6. OPERATION'!$D$17:$D$149,$C459,'6. OPERATION'!BG$17:BG$149)</f>
        <v>0</v>
      </c>
      <c r="D476" s="584">
        <f>SUMIF('5. PERSON'!$D$17:$D$192,$C459,'5. PERSON'!CE$17:CE$192)+SUMIF('6. OPERATION'!$D$17:$D$149,$C459,'6. OPERATION'!BH$17:BH$149)</f>
        <v>0</v>
      </c>
      <c r="E476" s="584">
        <f>SUMIF('5. PERSON'!$D$17:$D$192,$C459,'5. PERSON'!CF$17:CF$192)+SUMIF('6. OPERATION'!$D$17:$D$149,$C459,'6. OPERATION'!BI$17:BI$149)</f>
        <v>0</v>
      </c>
      <c r="F476" s="584">
        <f>SUMIF('5. PERSON'!$D$17:$D$192,$C459,'5. PERSON'!CG$17:CG$192)+SUMIF('6. OPERATION'!$D$17:$D$149,$C459,'6. OPERATION'!BJ$17:BJ$149)</f>
        <v>0</v>
      </c>
      <c r="G476" s="584">
        <f>SUMIF('5. PERSON'!$D$17:$D$192,$C459,'5. PERSON'!CH$17:CH$192)+SUMIF('6. OPERATION'!$D$17:$D$149,$C459,'6. OPERATION'!BK$17:BK$149)</f>
        <v>0</v>
      </c>
      <c r="H476" s="584">
        <f>SUMIF('5. PERSON'!$D$17:$D$192,$C459,'5. PERSON'!CI$17:CI$192)+SUMIF('6. OPERATION'!$D$17:$D$149,$C459,'6. OPERATION'!BL$17:BL$149)</f>
        <v>0</v>
      </c>
      <c r="I476" s="584">
        <f>SUMIF('5. PERSON'!$D$17:$D$192,$C459,'5. PERSON'!CJ$17:CJ$192)+SUMIF('6. OPERATION'!$D$17:$D$149,$C459,'6. OPERATION'!BM$17:BM$149)</f>
        <v>0</v>
      </c>
      <c r="J476" s="584">
        <f>SUMIF('5. PERSON'!$D$17:$D$192,$C459,'5. PERSON'!CK$17:CK$192)+SUMIF('6. OPERATION'!$D$17:$D$149,$C459,'6. OPERATION'!BN$17:BN$149)</f>
        <v>0</v>
      </c>
      <c r="K476" s="584">
        <f>SUMIF('5. PERSON'!$D$17:$D$192,$C459,'5. PERSON'!CL$17:CL$192)+SUMIF('6. OPERATION'!$D$17:$D$149,$C459,'6. OPERATION'!BO$17:BO$149)</f>
        <v>0</v>
      </c>
      <c r="L476" s="584">
        <f>SUMIF('5. PERSON'!$D$17:$D$192,$C459,'5. PERSON'!CM$17:CM$192)+SUMIF('6. OPERATION'!$D$17:$D$149,$C459,'6. OPERATION'!BP$17:BP$149)</f>
        <v>0</v>
      </c>
      <c r="M476" s="908">
        <f t="shared" si="73"/>
        <v>0</v>
      </c>
    </row>
    <row r="477" spans="2:15" s="234" customFormat="1" ht="13.2" x14ac:dyDescent="0.25">
      <c r="B477" s="628" t="s">
        <v>113</v>
      </c>
      <c r="C477" s="443">
        <f>SUM(C470:C476)</f>
        <v>0</v>
      </c>
      <c r="D477" s="443">
        <f t="shared" ref="D477:M477" si="74">SUM(D470:D476)</f>
        <v>0</v>
      </c>
      <c r="E477" s="443">
        <f t="shared" si="74"/>
        <v>0</v>
      </c>
      <c r="F477" s="443">
        <f t="shared" si="74"/>
        <v>0</v>
      </c>
      <c r="G477" s="443">
        <f t="shared" si="74"/>
        <v>0</v>
      </c>
      <c r="H477" s="443">
        <f t="shared" si="74"/>
        <v>0</v>
      </c>
      <c r="I477" s="443">
        <f t="shared" si="74"/>
        <v>0</v>
      </c>
      <c r="J477" s="443">
        <f t="shared" si="74"/>
        <v>0</v>
      </c>
      <c r="K477" s="443">
        <f t="shared" si="74"/>
        <v>0</v>
      </c>
      <c r="L477" s="443">
        <f t="shared" si="74"/>
        <v>0</v>
      </c>
      <c r="M477" s="630">
        <f t="shared" si="74"/>
        <v>0</v>
      </c>
      <c r="N477" s="913"/>
      <c r="O477" s="913"/>
    </row>
    <row r="478" spans="2:15" s="234" customFormat="1" ht="6" customHeight="1" x14ac:dyDescent="0.25">
      <c r="B478" s="914"/>
      <c r="C478" s="127"/>
      <c r="D478" s="127"/>
      <c r="E478" s="127"/>
      <c r="F478" s="127"/>
      <c r="G478" s="127"/>
      <c r="H478" s="127"/>
      <c r="I478" s="127"/>
      <c r="J478" s="127"/>
      <c r="K478" s="127"/>
      <c r="L478" s="127"/>
      <c r="M478" s="636"/>
    </row>
    <row r="479" spans="2:15" s="234" customFormat="1" ht="13.2" x14ac:dyDescent="0.25">
      <c r="B479" s="129" t="str">
        <f>IF('1. INTRO'!I$2="English","Full cost","Full kostnad")</f>
        <v>Full cost</v>
      </c>
      <c r="C479" s="127"/>
      <c r="D479" s="127"/>
      <c r="E479" s="127"/>
      <c r="F479" s="127"/>
      <c r="G479" s="127"/>
      <c r="H479" s="127"/>
      <c r="I479" s="127"/>
      <c r="J479" s="127"/>
      <c r="K479" s="127"/>
      <c r="L479" s="127"/>
      <c r="M479" s="636"/>
    </row>
    <row r="480" spans="2:15" s="234" customFormat="1" ht="13.2" x14ac:dyDescent="0.25">
      <c r="B480" s="902" t="str">
        <f>IF('1. INTRO'!I$2="English","Salary including social costs (LKP)","Lön inklusive LKP")</f>
        <v>Salary including social costs (LKP)</v>
      </c>
      <c r="C480" s="138">
        <f>C462+C471+C472</f>
        <v>0</v>
      </c>
      <c r="D480" s="138">
        <f t="shared" ref="D480:L480" si="75">D462+D471+D472</f>
        <v>0</v>
      </c>
      <c r="E480" s="138">
        <f t="shared" si="75"/>
        <v>0</v>
      </c>
      <c r="F480" s="138">
        <f t="shared" si="75"/>
        <v>0</v>
      </c>
      <c r="G480" s="138">
        <f t="shared" si="75"/>
        <v>0</v>
      </c>
      <c r="H480" s="138">
        <f t="shared" si="75"/>
        <v>0</v>
      </c>
      <c r="I480" s="138">
        <f t="shared" si="75"/>
        <v>0</v>
      </c>
      <c r="J480" s="138">
        <f t="shared" si="75"/>
        <v>0</v>
      </c>
      <c r="K480" s="138">
        <f t="shared" si="75"/>
        <v>0</v>
      </c>
      <c r="L480" s="138">
        <f t="shared" si="75"/>
        <v>0</v>
      </c>
      <c r="M480" s="903">
        <f>SUM(C480:L480)</f>
        <v>0</v>
      </c>
    </row>
    <row r="481" spans="2:13" s="234" customFormat="1" ht="13.2" x14ac:dyDescent="0.25">
      <c r="B481" s="377" t="str">
        <f>IF('1. INTRO'!I$2="English","Operating","Drift")</f>
        <v>Operating</v>
      </c>
      <c r="C481" s="139">
        <f>C463+C473</f>
        <v>0</v>
      </c>
      <c r="D481" s="139">
        <f t="shared" ref="D481:L481" si="76">D463+D473</f>
        <v>0</v>
      </c>
      <c r="E481" s="139">
        <f t="shared" si="76"/>
        <v>0</v>
      </c>
      <c r="F481" s="139">
        <f t="shared" si="76"/>
        <v>0</v>
      </c>
      <c r="G481" s="139">
        <f t="shared" si="76"/>
        <v>0</v>
      </c>
      <c r="H481" s="139">
        <f t="shared" si="76"/>
        <v>0</v>
      </c>
      <c r="I481" s="139">
        <f t="shared" si="76"/>
        <v>0</v>
      </c>
      <c r="J481" s="139">
        <f t="shared" si="76"/>
        <v>0</v>
      </c>
      <c r="K481" s="139">
        <f t="shared" si="76"/>
        <v>0</v>
      </c>
      <c r="L481" s="139">
        <f t="shared" si="76"/>
        <v>0</v>
      </c>
      <c r="M481" s="905">
        <f>SUM(C481:L481)</f>
        <v>0</v>
      </c>
    </row>
    <row r="482" spans="2:13" s="234" customFormat="1" ht="13.2" x14ac:dyDescent="0.25">
      <c r="B482" s="906" t="str">
        <f>IF('1. INTRO'!I$2="English","Equipment","Utrustning")</f>
        <v>Equipment</v>
      </c>
      <c r="C482" s="140">
        <f>C464+C474</f>
        <v>0</v>
      </c>
      <c r="D482" s="140">
        <f t="shared" ref="D482:L482" si="77">D464+D474</f>
        <v>0</v>
      </c>
      <c r="E482" s="140">
        <f t="shared" si="77"/>
        <v>0</v>
      </c>
      <c r="F482" s="140">
        <f t="shared" si="77"/>
        <v>0</v>
      </c>
      <c r="G482" s="140">
        <f t="shared" si="77"/>
        <v>0</v>
      </c>
      <c r="H482" s="140">
        <f t="shared" si="77"/>
        <v>0</v>
      </c>
      <c r="I482" s="140">
        <f t="shared" si="77"/>
        <v>0</v>
      </c>
      <c r="J482" s="140">
        <f t="shared" si="77"/>
        <v>0</v>
      </c>
      <c r="K482" s="140">
        <f t="shared" si="77"/>
        <v>0</v>
      </c>
      <c r="L482" s="140">
        <f t="shared" si="77"/>
        <v>0</v>
      </c>
      <c r="M482" s="907">
        <f>SUM(C482:L482)</f>
        <v>0</v>
      </c>
    </row>
    <row r="483" spans="2:13" s="234" customFormat="1" ht="13.2" x14ac:dyDescent="0.25">
      <c r="B483" s="377" t="str">
        <f>IF('1. INTRO'!I$2="English","Facility","Lokal")</f>
        <v>Facility</v>
      </c>
      <c r="C483" s="139">
        <f>SUMIF('5. PERSON'!$D$17:$D$192,$C459,'5. PERSON'!CP$17:CP$192)+SUMIF('5. PERSON'!$D$17:$D$192,$C459,'5. PERSON'!DB$17:DB$192)+SUMIF('6. OPERATION'!$D$17:$D$149,$C459,'6. OPERATION'!BS$17:BS$149)+SUMIF('6. OPERATION'!$D$17:$D$149,$C459,'6. OPERATION'!CE$17:CE$149)+SUMIF('8. FACILIT'!$D$18:$D$50,$C459,'8. FACILIT'!T$18:T$50)+SUMIF('8. FACILIT'!$D$18:$D$50,$C459,'8. FACILIT'!AF$18:AF$50)</f>
        <v>0</v>
      </c>
      <c r="D483" s="139">
        <f>SUMIF('5. PERSON'!$D$17:$D$192,$C459,'5. PERSON'!CQ$17:CQ$192)+SUMIF('5. PERSON'!$D$17:$D$192,$C459,'5. PERSON'!DC$17:DC$192)+SUMIF('6. OPERATION'!$D$17:$D$149,$C459,'6. OPERATION'!BT$17:BT$149)+SUMIF('6. OPERATION'!$D$17:$D$149,$C459,'6. OPERATION'!CF$17:CF$149)+SUMIF('8. FACILIT'!$D$18:$D$50,$C459,'8. FACILIT'!U$18:U$50)+SUMIF('8. FACILIT'!$D$18:$D$50,$C459,'8. FACILIT'!AG$18:AG$50)</f>
        <v>0</v>
      </c>
      <c r="E483" s="139">
        <f>SUMIF('5. PERSON'!$D$17:$D$192,$C459,'5. PERSON'!CR$17:CR$192)+SUMIF('5. PERSON'!$D$17:$D$192,$C459,'5. PERSON'!DD$17:DD$192)+SUMIF('6. OPERATION'!$D$17:$D$149,$C459,'6. OPERATION'!BU$17:BU$149)+SUMIF('6. OPERATION'!$D$17:$D$149,$C459,'6. OPERATION'!CG$17:CG$149)+SUMIF('8. FACILIT'!$D$18:$D$50,$C459,'8. FACILIT'!V$18:V$50)+SUMIF('8. FACILIT'!$D$18:$D$50,$C459,'8. FACILIT'!AH$18:AH$50)</f>
        <v>0</v>
      </c>
      <c r="F483" s="139">
        <f>SUMIF('5. PERSON'!$D$17:$D$192,$C459,'5. PERSON'!CS$17:CS$192)+SUMIF('5. PERSON'!$D$17:$D$192,$C459,'5. PERSON'!DE$17:DE$192)+SUMIF('6. OPERATION'!$D$17:$D$149,$C459,'6. OPERATION'!BV$17:BV$149)+SUMIF('6. OPERATION'!$D$17:$D$149,$C459,'6. OPERATION'!CH$17:CH$149)+SUMIF('8. FACILIT'!$D$18:$D$50,$C459,'8. FACILIT'!W$18:W$50)+SUMIF('8. FACILIT'!$D$18:$D$50,$C459,'8. FACILIT'!AI$18:AI$50)</f>
        <v>0</v>
      </c>
      <c r="G483" s="139">
        <f>SUMIF('5. PERSON'!$D$17:$D$192,$C459,'5. PERSON'!CT$17:CT$192)+SUMIF('5. PERSON'!$D$17:$D$192,$C459,'5. PERSON'!DF$17:DF$192)+SUMIF('6. OPERATION'!$D$17:$D$149,$C459,'6. OPERATION'!BW$17:BW$149)+SUMIF('6. OPERATION'!$D$17:$D$149,$C459,'6. OPERATION'!CI$17:CI$149)+SUMIF('8. FACILIT'!$D$18:$D$50,$C459,'8. FACILIT'!X$18:X$50)+SUMIF('8. FACILIT'!$D$18:$D$50,$C459,'8. FACILIT'!AJ$18:AJ$50)</f>
        <v>0</v>
      </c>
      <c r="H483" s="139">
        <f>SUMIF('5. PERSON'!$D$17:$D$192,$C459,'5. PERSON'!CU$17:CU$192)+SUMIF('5. PERSON'!$D$17:$D$192,$C459,'5. PERSON'!DG$17:DG$192)+SUMIF('6. OPERATION'!$D$17:$D$149,$C459,'6. OPERATION'!BX$17:BX$149)+SUMIF('6. OPERATION'!$D$17:$D$149,$C459,'6. OPERATION'!CJ$17:CJ$149)+SUMIF('8. FACILIT'!$D$18:$D$50,$C459,'8. FACILIT'!Y$18:Y$50)+SUMIF('8. FACILIT'!$D$18:$D$50,$C459,'8. FACILIT'!AK$18:AK$50)</f>
        <v>0</v>
      </c>
      <c r="I483" s="139">
        <f>SUMIF('5. PERSON'!$D$17:$D$192,$C459,'5. PERSON'!CV$17:CV$192)+SUMIF('5. PERSON'!$D$17:$D$192,$C459,'5. PERSON'!DH$17:DH$192)+SUMIF('6. OPERATION'!$D$17:$D$149,$C459,'6. OPERATION'!BY$17:BY$149)+SUMIF('6. OPERATION'!$D$17:$D$149,$C459,'6. OPERATION'!CK$17:CK$149)+SUMIF('8. FACILIT'!$D$18:$D$50,$C459,'8. FACILIT'!Z$18:Z$50)+SUMIF('8. FACILIT'!$D$18:$D$50,$C459,'8. FACILIT'!AL$18:AL$50)</f>
        <v>0</v>
      </c>
      <c r="J483" s="139">
        <f>SUMIF('5. PERSON'!$D$17:$D$192,$C459,'5. PERSON'!CW$17:CW$192)+SUMIF('5. PERSON'!$D$17:$D$192,$C459,'5. PERSON'!DI$17:DI$192)+SUMIF('6. OPERATION'!$D$17:$D$149,$C459,'6. OPERATION'!BZ$17:BZ$149)+SUMIF('6. OPERATION'!$D$17:$D$149,$C459,'6. OPERATION'!CL$17:CL$149)+SUMIF('8. FACILIT'!$D$18:$D$50,$C459,'8. FACILIT'!AA$18:AA$50)+SUMIF('8. FACILIT'!$D$18:$D$50,$C459,'8. FACILIT'!AM$18:AM$50)</f>
        <v>0</v>
      </c>
      <c r="K483" s="139">
        <f>SUMIF('5. PERSON'!$D$17:$D$192,$C459,'5. PERSON'!CX$17:CX$192)+SUMIF('5. PERSON'!$D$17:$D$192,$C459,'5. PERSON'!DJ$17:DJ$192)+SUMIF('6. OPERATION'!$D$17:$D$149,$C459,'6. OPERATION'!CA$17:CA$149)+SUMIF('6. OPERATION'!$D$17:$D$149,$C459,'6. OPERATION'!CM$17:CM$149)+SUMIF('8. FACILIT'!$D$18:$D$50,$C459,'8. FACILIT'!AB$18:AB$50)+SUMIF('8. FACILIT'!$D$18:$D$50,$C459,'8. FACILIT'!AN$18:AN$50)</f>
        <v>0</v>
      </c>
      <c r="L483" s="139">
        <f>SUMIF('5. PERSON'!$D$17:$D$192,$C459,'5. PERSON'!CY$17:CY$192)+SUMIF('5. PERSON'!$D$17:$D$192,$C459,'5. PERSON'!DK$17:DK$192)+SUMIF('6. OPERATION'!$D$17:$D$149,$C459,'6. OPERATION'!CB$17:CB$149)+SUMIF('6. OPERATION'!$D$17:$D$149,$C459,'6. OPERATION'!CN$17:CN$149)+SUMIF('8. FACILIT'!$D$18:$D$50,$C459,'8. FACILIT'!AC$18:AC$50)+SUMIF('8. FACILIT'!$D$18:$D$50,$C459,'8. FACILIT'!AO$18:AO$50)</f>
        <v>0</v>
      </c>
      <c r="M483" s="905">
        <f>SUM(C483:L483)</f>
        <v>0</v>
      </c>
    </row>
    <row r="484" spans="2:13" s="234" customFormat="1" ht="13.2" x14ac:dyDescent="0.25">
      <c r="B484" s="915" t="str">
        <f>IF('1. INTRO'!I$2="English","Indirect","Indirekt")</f>
        <v>Indirect</v>
      </c>
      <c r="C484" s="141">
        <f>SUMIF('5. PERSON'!$D$17:$D$192,$C459,'5. PERSON'!BR$17:BR$192)+SUMIF('5. PERSON'!$D$17:$D$192,$C459,'5. PERSON'!CD$17:CD$192)+SUMIF('6. OPERATION'!$D$17:$D$149,$C459,'6. OPERATION'!AU$17:AU$149)+SUMIF('6. OPERATION'!$D$17:$D$149,$C459,'6. OPERATION'!BG$17:BG$149)</f>
        <v>0</v>
      </c>
      <c r="D484" s="141">
        <f>SUMIF('5. PERSON'!$D$17:$D$192,$C459,'5. PERSON'!BS$17:BS$192)+SUMIF('5. PERSON'!$D$17:$D$192,$C459,'5. PERSON'!CE$17:CE$192)+SUMIF('6. OPERATION'!$D$17:$D$149,$C459,'6. OPERATION'!AV$17:AV$149)+SUMIF('6. OPERATION'!$D$17:$D$149,$C459,'6. OPERATION'!BH$17:BH$149)</f>
        <v>0</v>
      </c>
      <c r="E484" s="141">
        <f>SUMIF('5. PERSON'!$D$17:$D$192,$C459,'5. PERSON'!BT$17:BT$192)+SUMIF('5. PERSON'!$D$17:$D$192,$C459,'5. PERSON'!CF$17:CF$192)+SUMIF('6. OPERATION'!$D$17:$D$149,$C459,'6. OPERATION'!AW$17:AW$149)+SUMIF('6. OPERATION'!$D$17:$D$149,$C459,'6. OPERATION'!BI$17:BI$149)</f>
        <v>0</v>
      </c>
      <c r="F484" s="141">
        <f>SUMIF('5. PERSON'!$D$17:$D$192,$C459,'5. PERSON'!BU$17:BU$192)+SUMIF('5. PERSON'!$D$17:$D$192,$C459,'5. PERSON'!CG$17:CG$192)+SUMIF('6. OPERATION'!$D$17:$D$149,$C459,'6. OPERATION'!AX$17:AX$149)+SUMIF('6. OPERATION'!$D$17:$D$149,$C459,'6. OPERATION'!BJ$17:BJ$149)</f>
        <v>0</v>
      </c>
      <c r="G484" s="141">
        <f>SUMIF('5. PERSON'!$D$17:$D$192,$C459,'5. PERSON'!BV$17:BV$192)+SUMIF('5. PERSON'!$D$17:$D$192,$C459,'5. PERSON'!CH$17:CH$192)+SUMIF('6. OPERATION'!$D$17:$D$149,$C459,'6. OPERATION'!AY$17:AY$149)+SUMIF('6. OPERATION'!$D$17:$D$149,$C459,'6. OPERATION'!BK$17:BK$149)</f>
        <v>0</v>
      </c>
      <c r="H484" s="141">
        <f>SUMIF('5. PERSON'!$D$17:$D$192,$C459,'5. PERSON'!BW$17:BW$192)+SUMIF('5. PERSON'!$D$17:$D$192,$C459,'5. PERSON'!CI$17:CI$192)+SUMIF('6. OPERATION'!$D$17:$D$149,$C459,'6. OPERATION'!AZ$17:AZ$149)+SUMIF('6. OPERATION'!$D$17:$D$149,$C459,'6. OPERATION'!BL$17:BL$149)</f>
        <v>0</v>
      </c>
      <c r="I484" s="141">
        <f>SUMIF('5. PERSON'!$D$17:$D$192,$C459,'5. PERSON'!BX$17:BX$192)+SUMIF('5. PERSON'!$D$17:$D$192,$C459,'5. PERSON'!CJ$17:CJ$192)+SUMIF('6. OPERATION'!$D$17:$D$149,$C459,'6. OPERATION'!BA$17:BA$149)+SUMIF('6. OPERATION'!$D$17:$D$149,$C459,'6. OPERATION'!BM$17:BM$149)</f>
        <v>0</v>
      </c>
      <c r="J484" s="141">
        <f>SUMIF('5. PERSON'!$D$17:$D$192,$C459,'5. PERSON'!BY$17:BY$192)+SUMIF('5. PERSON'!$D$17:$D$192,$C459,'5. PERSON'!CK$17:CK$192)+SUMIF('6. OPERATION'!$D$17:$D$149,$C459,'6. OPERATION'!BB$17:BB$149)+SUMIF('6. OPERATION'!$D$17:$D$149,$C459,'6. OPERATION'!BN$17:BN$149)</f>
        <v>0</v>
      </c>
      <c r="K484" s="141">
        <f>SUMIF('5. PERSON'!$D$17:$D$192,$C459,'5. PERSON'!BZ$17:BZ$192)+SUMIF('5. PERSON'!$D$17:$D$192,$C459,'5. PERSON'!CL$17:CL$192)+SUMIF('6. OPERATION'!$D$17:$D$149,$C459,'6. OPERATION'!BC$17:BC$149)+SUMIF('6. OPERATION'!$D$17:$D$149,$C459,'6. OPERATION'!BO$17:BO$149)</f>
        <v>0</v>
      </c>
      <c r="L484" s="141">
        <f>SUMIF('5. PERSON'!$D$17:$D$192,$C459,'5. PERSON'!CA$17:CA$192)+SUMIF('5. PERSON'!$D$17:$D$192,$C459,'5. PERSON'!CM$17:CM$192)+SUMIF('6. OPERATION'!$D$17:$D$149,$C459,'6. OPERATION'!BD$17:BD$149)+SUMIF('6. OPERATION'!$D$17:$D$149,$C459,'6. OPERATION'!BP$17:BP$149)</f>
        <v>0</v>
      </c>
      <c r="M484" s="908">
        <f>SUM(C484:L484)</f>
        <v>0</v>
      </c>
    </row>
    <row r="485" spans="2:13" s="234" customFormat="1" ht="13.2" x14ac:dyDescent="0.25">
      <c r="B485" s="628" t="s">
        <v>113</v>
      </c>
      <c r="C485" s="520">
        <f>SUM(C480:C484)</f>
        <v>0</v>
      </c>
      <c r="D485" s="520">
        <f t="shared" ref="D485:M485" si="78">SUM(D480:D484)</f>
        <v>0</v>
      </c>
      <c r="E485" s="520">
        <f t="shared" si="78"/>
        <v>0</v>
      </c>
      <c r="F485" s="520">
        <f t="shared" si="78"/>
        <v>0</v>
      </c>
      <c r="G485" s="520">
        <f t="shared" si="78"/>
        <v>0</v>
      </c>
      <c r="H485" s="520">
        <f t="shared" si="78"/>
        <v>0</v>
      </c>
      <c r="I485" s="520">
        <f t="shared" si="78"/>
        <v>0</v>
      </c>
      <c r="J485" s="520">
        <f t="shared" si="78"/>
        <v>0</v>
      </c>
      <c r="K485" s="520">
        <f t="shared" si="78"/>
        <v>0</v>
      </c>
      <c r="L485" s="520">
        <f t="shared" si="78"/>
        <v>0</v>
      </c>
      <c r="M485" s="916">
        <f t="shared" si="78"/>
        <v>0</v>
      </c>
    </row>
    <row r="486" spans="2:13" s="234" customFormat="1" ht="13.2" x14ac:dyDescent="0.25">
      <c r="B486" s="676"/>
      <c r="C486" s="268"/>
      <c r="D486" s="268"/>
      <c r="E486" s="268"/>
      <c r="F486" s="268"/>
      <c r="G486" s="268"/>
      <c r="H486" s="268"/>
      <c r="I486" s="268"/>
      <c r="J486" s="268"/>
      <c r="K486" s="268"/>
      <c r="L486" s="268"/>
      <c r="M486" s="268"/>
    </row>
    <row r="487" spans="2:13" s="234" customFormat="1" ht="12.75" customHeight="1" x14ac:dyDescent="0.25">
      <c r="B487" s="676" t="str">
        <f>IF('1. INTRO'!I$2="English","Co-funding share in full cost ","Medfinansieringsandel i full kostnad ")</f>
        <v xml:space="preserve">Co-funding share in full cost </v>
      </c>
      <c r="C487" s="640" t="str">
        <f t="shared" ref="C487:M487" si="79">IF(C485&gt;0,C477/C485,"")</f>
        <v/>
      </c>
      <c r="D487" s="640" t="str">
        <f t="shared" si="79"/>
        <v/>
      </c>
      <c r="E487" s="640" t="str">
        <f t="shared" si="79"/>
        <v/>
      </c>
      <c r="F487" s="640" t="str">
        <f t="shared" si="79"/>
        <v/>
      </c>
      <c r="G487" s="640" t="str">
        <f t="shared" si="79"/>
        <v/>
      </c>
      <c r="H487" s="640" t="str">
        <f t="shared" si="79"/>
        <v/>
      </c>
      <c r="I487" s="640" t="str">
        <f t="shared" si="79"/>
        <v/>
      </c>
      <c r="J487" s="640" t="str">
        <f t="shared" si="79"/>
        <v/>
      </c>
      <c r="K487" s="640" t="str">
        <f t="shared" si="79"/>
        <v/>
      </c>
      <c r="L487" s="640" t="str">
        <f t="shared" si="79"/>
        <v/>
      </c>
      <c r="M487" s="640" t="str">
        <f t="shared" si="79"/>
        <v/>
      </c>
    </row>
    <row r="488" spans="2:13" s="268" customFormat="1" ht="12.75" customHeight="1" x14ac:dyDescent="0.25"/>
    <row r="489" spans="2:13" s="268" customFormat="1" ht="12.75" customHeight="1" x14ac:dyDescent="0.25">
      <c r="B489" s="667" t="str">
        <f>IF('1. INTRO'!I$2="English","Calculation comments","Kalkylkommentarer")</f>
        <v>Calculation comments</v>
      </c>
    </row>
    <row r="490" spans="2:13" s="268" customFormat="1" ht="12.75" customHeight="1" x14ac:dyDescent="0.25">
      <c r="B490" s="1264"/>
      <c r="C490" s="1265"/>
      <c r="D490" s="1265"/>
      <c r="E490" s="1265"/>
      <c r="F490" s="1265"/>
      <c r="G490" s="1265"/>
      <c r="H490" s="1265"/>
      <c r="I490" s="1265"/>
      <c r="J490" s="1265"/>
      <c r="K490" s="1265"/>
      <c r="L490" s="1265"/>
      <c r="M490" s="1266"/>
    </row>
    <row r="491" spans="2:13" s="268" customFormat="1" ht="12.75" customHeight="1" x14ac:dyDescent="0.25">
      <c r="B491" s="1267"/>
      <c r="C491" s="1268"/>
      <c r="D491" s="1268"/>
      <c r="E491" s="1268"/>
      <c r="F491" s="1268"/>
      <c r="G491" s="1268"/>
      <c r="H491" s="1268"/>
      <c r="I491" s="1268"/>
      <c r="J491" s="1268"/>
      <c r="K491" s="1268"/>
      <c r="L491" s="1268"/>
      <c r="M491" s="1269"/>
    </row>
    <row r="492" spans="2:13" s="268" customFormat="1" ht="12.75" customHeight="1" x14ac:dyDescent="0.25">
      <c r="B492" s="1267"/>
      <c r="C492" s="1268"/>
      <c r="D492" s="1268"/>
      <c r="E492" s="1268"/>
      <c r="F492" s="1268"/>
      <c r="G492" s="1268"/>
      <c r="H492" s="1268"/>
      <c r="I492" s="1268"/>
      <c r="J492" s="1268"/>
      <c r="K492" s="1268"/>
      <c r="L492" s="1268"/>
      <c r="M492" s="1269"/>
    </row>
    <row r="493" spans="2:13" s="268" customFormat="1" ht="12.75" customHeight="1" x14ac:dyDescent="0.25">
      <c r="B493" s="1267"/>
      <c r="C493" s="1268"/>
      <c r="D493" s="1268"/>
      <c r="E493" s="1268"/>
      <c r="F493" s="1268"/>
      <c r="G493" s="1268"/>
      <c r="H493" s="1268"/>
      <c r="I493" s="1268"/>
      <c r="J493" s="1268"/>
      <c r="K493" s="1268"/>
      <c r="L493" s="1268"/>
      <c r="M493" s="1269"/>
    </row>
    <row r="494" spans="2:13" s="268" customFormat="1" ht="12.75" customHeight="1" x14ac:dyDescent="0.25">
      <c r="B494" s="1267"/>
      <c r="C494" s="1268"/>
      <c r="D494" s="1268"/>
      <c r="E494" s="1268"/>
      <c r="F494" s="1268"/>
      <c r="G494" s="1268"/>
      <c r="H494" s="1268"/>
      <c r="I494" s="1268"/>
      <c r="J494" s="1268"/>
      <c r="K494" s="1268"/>
      <c r="L494" s="1268"/>
      <c r="M494" s="1269"/>
    </row>
    <row r="495" spans="2:13" s="268" customFormat="1" ht="12.75" customHeight="1" x14ac:dyDescent="0.25">
      <c r="B495" s="1270"/>
      <c r="C495" s="1271"/>
      <c r="D495" s="1271"/>
      <c r="E495" s="1271"/>
      <c r="F495" s="1271"/>
      <c r="G495" s="1271"/>
      <c r="H495" s="1271"/>
      <c r="I495" s="1271"/>
      <c r="J495" s="1271"/>
      <c r="K495" s="1271"/>
      <c r="L495" s="1271"/>
      <c r="M495" s="1272"/>
    </row>
    <row r="496" spans="2:13" s="268" customFormat="1" x14ac:dyDescent="0.25">
      <c r="B496" s="1270"/>
      <c r="C496" s="1271"/>
      <c r="D496" s="1271"/>
      <c r="E496" s="1271"/>
      <c r="F496" s="1271"/>
      <c r="G496" s="1271"/>
      <c r="H496" s="1271"/>
      <c r="I496" s="1271"/>
      <c r="J496" s="1271"/>
      <c r="K496" s="1271"/>
      <c r="L496" s="1271"/>
      <c r="M496" s="1272"/>
    </row>
    <row r="497" spans="2:13" s="268" customFormat="1" x14ac:dyDescent="0.25">
      <c r="B497" s="1270"/>
      <c r="C497" s="1271"/>
      <c r="D497" s="1271"/>
      <c r="E497" s="1271"/>
      <c r="F497" s="1271"/>
      <c r="G497" s="1271"/>
      <c r="H497" s="1271"/>
      <c r="I497" s="1271"/>
      <c r="J497" s="1271"/>
      <c r="K497" s="1271"/>
      <c r="L497" s="1271"/>
      <c r="M497" s="1272"/>
    </row>
    <row r="498" spans="2:13" s="268" customFormat="1" x14ac:dyDescent="0.25">
      <c r="B498" s="1270"/>
      <c r="C498" s="1271"/>
      <c r="D498" s="1271"/>
      <c r="E498" s="1271"/>
      <c r="F498" s="1271"/>
      <c r="G498" s="1271"/>
      <c r="H498" s="1271"/>
      <c r="I498" s="1271"/>
      <c r="J498" s="1271"/>
      <c r="K498" s="1271"/>
      <c r="L498" s="1271"/>
      <c r="M498" s="1272"/>
    </row>
    <row r="499" spans="2:13" s="268" customFormat="1" x14ac:dyDescent="0.25">
      <c r="B499" s="1270"/>
      <c r="C499" s="1271"/>
      <c r="D499" s="1271"/>
      <c r="E499" s="1271"/>
      <c r="F499" s="1271"/>
      <c r="G499" s="1271"/>
      <c r="H499" s="1271"/>
      <c r="I499" s="1271"/>
      <c r="J499" s="1271"/>
      <c r="K499" s="1271"/>
      <c r="L499" s="1271"/>
      <c r="M499" s="1272"/>
    </row>
    <row r="500" spans="2:13" s="268" customFormat="1" x14ac:dyDescent="0.25">
      <c r="B500" s="1270"/>
      <c r="C500" s="1271"/>
      <c r="D500" s="1271"/>
      <c r="E500" s="1271"/>
      <c r="F500" s="1271"/>
      <c r="G500" s="1271"/>
      <c r="H500" s="1271"/>
      <c r="I500" s="1271"/>
      <c r="J500" s="1271"/>
      <c r="K500" s="1271"/>
      <c r="L500" s="1271"/>
      <c r="M500" s="1272"/>
    </row>
    <row r="501" spans="2:13" s="268" customFormat="1" x14ac:dyDescent="0.25">
      <c r="B501" s="1270"/>
      <c r="C501" s="1271"/>
      <c r="D501" s="1271"/>
      <c r="E501" s="1271"/>
      <c r="F501" s="1271"/>
      <c r="G501" s="1271"/>
      <c r="H501" s="1271"/>
      <c r="I501" s="1271"/>
      <c r="J501" s="1271"/>
      <c r="K501" s="1271"/>
      <c r="L501" s="1271"/>
      <c r="M501" s="1272"/>
    </row>
    <row r="502" spans="2:13" s="268" customFormat="1" x14ac:dyDescent="0.25">
      <c r="B502" s="1273"/>
      <c r="C502" s="1274"/>
      <c r="D502" s="1274"/>
      <c r="E502" s="1274"/>
      <c r="F502" s="1274"/>
      <c r="G502" s="1274"/>
      <c r="H502" s="1274"/>
      <c r="I502" s="1274"/>
      <c r="J502" s="1274"/>
      <c r="K502" s="1274"/>
      <c r="L502" s="1274"/>
      <c r="M502" s="1275"/>
    </row>
    <row r="503" spans="2:13" s="268" customFormat="1" x14ac:dyDescent="0.25"/>
    <row r="504" spans="2:13" s="268" customFormat="1" x14ac:dyDescent="0.25"/>
    <row r="505" spans="2:13" s="234" customFormat="1" ht="12.75" customHeight="1" x14ac:dyDescent="0.25">
      <c r="B505" s="313" t="str">
        <f>'3. PARTNER'!C$4</f>
        <v xml:space="preserve">Project: </v>
      </c>
      <c r="C505" s="1062" t="str">
        <f>'3. PARTNER'!D$4</f>
        <v/>
      </c>
      <c r="D505" s="1001"/>
      <c r="E505" s="1001"/>
      <c r="F505" s="1001"/>
      <c r="G505" s="1001"/>
      <c r="H505" s="1001"/>
      <c r="I505" s="1001"/>
      <c r="J505" s="1001"/>
      <c r="K505" s="1001"/>
      <c r="L505" s="1001"/>
      <c r="M505" s="1001"/>
    </row>
    <row r="506" spans="2:13" s="234" customFormat="1" ht="13.2" x14ac:dyDescent="0.25">
      <c r="B506" s="313" t="str">
        <f>'3. PARTNER'!C$5</f>
        <v xml:space="preserve">Calculation for: </v>
      </c>
      <c r="C506" s="1062" t="str">
        <f>'3. PARTNER'!D$5</f>
        <v>APPLICATION</v>
      </c>
      <c r="D506" s="1001"/>
      <c r="E506" s="268"/>
      <c r="F506" s="268"/>
      <c r="G506" s="268"/>
      <c r="H506" s="268"/>
      <c r="I506" s="268"/>
      <c r="J506" s="268"/>
      <c r="K506" s="268"/>
      <c r="L506" s="268"/>
      <c r="M506" s="268"/>
    </row>
    <row r="507" spans="2:13" s="234" customFormat="1" ht="13.2" x14ac:dyDescent="0.25">
      <c r="B507" s="35" t="str">
        <f>'3. PARTNER'!C$6</f>
        <v xml:space="preserve">Project leader: </v>
      </c>
      <c r="C507" s="1062" t="str">
        <f>'3. PARTNER'!D$6</f>
        <v/>
      </c>
      <c r="D507" s="1001"/>
      <c r="E507" s="1001"/>
      <c r="F507" s="1001"/>
      <c r="G507" s="1001"/>
      <c r="H507" s="1001"/>
      <c r="I507" s="1001"/>
      <c r="J507" s="1001"/>
      <c r="K507" s="1001"/>
      <c r="L507" s="1001"/>
      <c r="M507" s="1001"/>
    </row>
    <row r="508" spans="2:13" s="234" customFormat="1" ht="13.2" x14ac:dyDescent="0.25">
      <c r="B508" s="313" t="str">
        <f>'5. PERSON'!B$7</f>
        <v xml:space="preserve">Amounts in: </v>
      </c>
      <c r="C508" s="672" t="str">
        <f>'5. PERSON'!C$7</f>
        <v>SEK</v>
      </c>
      <c r="D508" s="268"/>
      <c r="E508" s="268"/>
      <c r="F508" s="268"/>
      <c r="I508" s="270"/>
      <c r="J508" s="270"/>
      <c r="K508" s="270"/>
      <c r="L508" s="270"/>
      <c r="M508" s="270"/>
    </row>
    <row r="509" spans="2:13" s="234" customFormat="1" ht="13.2" x14ac:dyDescent="0.25">
      <c r="B509" s="313"/>
      <c r="C509" s="1053" t="str">
        <f>'3. PARTNER'!D$7</f>
        <v>Other basic data about the project is in sheet 2.</v>
      </c>
      <c r="D509" s="1001"/>
      <c r="E509" s="1001"/>
      <c r="F509" s="1001"/>
      <c r="I509" s="270"/>
      <c r="J509" s="270"/>
      <c r="K509" s="270"/>
      <c r="L509" s="251" t="s">
        <v>4</v>
      </c>
      <c r="M509" s="270"/>
    </row>
    <row r="510" spans="2:13" s="268" customFormat="1" ht="12.75" customHeight="1" x14ac:dyDescent="0.25">
      <c r="L510" s="252" t="str">
        <f>IF('1. INTRO'!I$2="English","months","månader")</f>
        <v>months</v>
      </c>
    </row>
    <row r="511" spans="2:13" s="234" customFormat="1" ht="13.8" x14ac:dyDescent="0.25">
      <c r="B511" s="678" t="str">
        <f>IF('1. INTRO'!I$2="English","Project costs","Projektkostnader")</f>
        <v>Project costs</v>
      </c>
      <c r="C511" s="678" t="str">
        <f>B24</f>
        <v>WP 10</v>
      </c>
      <c r="D511" s="234" t="str">
        <f>E24</f>
        <v/>
      </c>
      <c r="E511" s="268"/>
      <c r="G511" s="268"/>
      <c r="H511" s="268"/>
      <c r="I511" s="268"/>
      <c r="J511" s="268"/>
      <c r="K511" s="676"/>
      <c r="L511" s="899">
        <f>SUMIF('5. PERSON'!$D$17:$D$192,$C511,'5. PERSON'!AE$17:AE$192)</f>
        <v>0</v>
      </c>
      <c r="M511" s="680" t="s">
        <v>330</v>
      </c>
    </row>
    <row r="512" spans="2:13" s="234" customFormat="1" ht="6" customHeight="1" x14ac:dyDescent="0.25">
      <c r="B512" s="602"/>
      <c r="C512" s="268"/>
      <c r="D512" s="268"/>
      <c r="E512" s="268"/>
      <c r="F512" s="268"/>
      <c r="G512" s="268"/>
      <c r="H512" s="268"/>
      <c r="I512" s="268"/>
      <c r="J512" s="268"/>
      <c r="K512" s="268"/>
      <c r="L512" s="268"/>
      <c r="M512" s="268"/>
    </row>
    <row r="513" spans="2:15" s="234" customFormat="1" ht="13.2" x14ac:dyDescent="0.25">
      <c r="B513" s="110" t="str">
        <f>IF('1. INTRO'!I$2="English","Costs to be covered by funding body","Kostnader att täckas av finansiär")</f>
        <v>Costs to be covered by funding body</v>
      </c>
      <c r="C513" s="607">
        <f>'5. PERSON'!G$15</f>
        <v>1900</v>
      </c>
      <c r="D513" s="607" t="str">
        <f>'5. PERSON'!H$15</f>
        <v/>
      </c>
      <c r="E513" s="607" t="str">
        <f>'5. PERSON'!I$15</f>
        <v/>
      </c>
      <c r="F513" s="607" t="str">
        <f>'5. PERSON'!J$15</f>
        <v/>
      </c>
      <c r="G513" s="607" t="str">
        <f>'5. PERSON'!K$15</f>
        <v/>
      </c>
      <c r="H513" s="607" t="str">
        <f>'5. PERSON'!L$15</f>
        <v/>
      </c>
      <c r="I513" s="607" t="str">
        <f>'5. PERSON'!M$15</f>
        <v/>
      </c>
      <c r="J513" s="607" t="str">
        <f>'5. PERSON'!N$15</f>
        <v/>
      </c>
      <c r="K513" s="607" t="str">
        <f>'5. PERSON'!O$15</f>
        <v/>
      </c>
      <c r="L513" s="607" t="str">
        <f>'5. PERSON'!P$15</f>
        <v/>
      </c>
      <c r="M513" s="608" t="s">
        <v>2</v>
      </c>
    </row>
    <row r="514" spans="2:15" s="234" customFormat="1" ht="12.75" customHeight="1" x14ac:dyDescent="0.25">
      <c r="B514" s="902" t="str">
        <f>IF('1. INTRO'!I$2="English","Salary including social costs (LKP)","Lön inklusive LKP")</f>
        <v>Salary including social costs (LKP)</v>
      </c>
      <c r="C514" s="610">
        <f>IF('2. START'!$C$14&gt;0,SUMIF('5. PERSON'!$D$17:$D$192,$C511,'5. PERSON'!DN$17:DN$192),SUMIF('5. PERSON'!$D$17:$D$192,$C511,'5. PERSON'!AT$17:AT$192))</f>
        <v>0</v>
      </c>
      <c r="D514" s="610">
        <f>IF('2. START'!$C$14&gt;0,SUMIF('5. PERSON'!$D$17:$D$192,$C511,'5. PERSON'!DO$17:DO$192),SUMIF('5. PERSON'!$D$17:$D$192,$C511,'5. PERSON'!AU$17:AU$192))</f>
        <v>0</v>
      </c>
      <c r="E514" s="610">
        <f>IF('2. START'!$C$14&gt;0,SUMIF('5. PERSON'!$D$17:$D$192,$C511,'5. PERSON'!DP$17:DP$192),SUMIF('5. PERSON'!$D$17:$D$192,$C511,'5. PERSON'!AV$17:AV$192))</f>
        <v>0</v>
      </c>
      <c r="F514" s="610">
        <f>IF('2. START'!$C$14&gt;0,SUMIF('5. PERSON'!$D$17:$D$192,$C511,'5. PERSON'!DQ$17:DQ$192),SUMIF('5. PERSON'!$D$17:$D$192,$C511,'5. PERSON'!AW$17:AW$192))</f>
        <v>0</v>
      </c>
      <c r="G514" s="610">
        <f>IF('2. START'!$C$14&gt;0,SUMIF('5. PERSON'!$D$17:$D$192,$C511,'5. PERSON'!DR$17:DR$192),SUMIF('5. PERSON'!$D$17:$D$192,$C511,'5. PERSON'!AX$17:AX$192))</f>
        <v>0</v>
      </c>
      <c r="H514" s="610">
        <f>IF('2. START'!$C$14&gt;0,SUMIF('5. PERSON'!$D$17:$D$192,$C511,'5. PERSON'!DS$17:DS$192),SUMIF('5. PERSON'!$D$17:$D$192,$C511,'5. PERSON'!AY$17:AY$192))</f>
        <v>0</v>
      </c>
      <c r="I514" s="610">
        <f>IF('2. START'!$C$14&gt;0,SUMIF('5. PERSON'!$D$17:$D$192,$C511,'5. PERSON'!DT$17:DT$192),SUMIF('5. PERSON'!$D$17:$D$192,$C511,'5. PERSON'!AZ$17:AZ$192))</f>
        <v>0</v>
      </c>
      <c r="J514" s="610">
        <f>IF('2. START'!$C$14&gt;0,SUMIF('5. PERSON'!$D$17:$D$192,$C511,'5. PERSON'!DU$17:DU$192),SUMIF('5. PERSON'!$D$17:$D$192,$C511,'5. PERSON'!BA$17:BA$192))</f>
        <v>0</v>
      </c>
      <c r="K514" s="610">
        <f>IF('2. START'!$C$14&gt;0,SUMIF('5. PERSON'!$D$17:$D$192,$C511,'5. PERSON'!DV$17:DV$192),SUMIF('5. PERSON'!$D$17:$D$192,$C511,'5. PERSON'!BB$17:BB$192))</f>
        <v>0</v>
      </c>
      <c r="L514" s="610">
        <f>IF('2. START'!$C$14&gt;0,SUMIF('5. PERSON'!$D$17:$D$192,$C511,'5. PERSON'!DW$17:DW$192),SUMIF('5. PERSON'!$D$17:$D$192,$C511,'5. PERSON'!BC$17:BC$192))</f>
        <v>0</v>
      </c>
      <c r="M514" s="903">
        <f t="shared" ref="M514:M519" si="80">SUM(C514:L514)</f>
        <v>0</v>
      </c>
      <c r="O514" s="904"/>
    </row>
    <row r="515" spans="2:15" s="234" customFormat="1" ht="12.75" customHeight="1" x14ac:dyDescent="0.25">
      <c r="B515" s="377" t="str">
        <f>IF('1. INTRO'!I$2="English","Operating","Drift")</f>
        <v>Operating</v>
      </c>
      <c r="C515" s="615">
        <f>SUMIF('6. OPERATION'!$D$17:$D$149,$C511,'6. OPERATION'!W$17:W$149)</f>
        <v>0</v>
      </c>
      <c r="D515" s="615">
        <f>SUMIF('6. OPERATION'!$D$17:$D$149,$C511,'6. OPERATION'!X$17:X$149)</f>
        <v>0</v>
      </c>
      <c r="E515" s="615">
        <f>SUMIF('6. OPERATION'!$D$17:$D$149,$C511,'6. OPERATION'!Y$17:Y$149)</f>
        <v>0</v>
      </c>
      <c r="F515" s="615">
        <f>SUMIF('6. OPERATION'!$D$17:$D$149,$C511,'6. OPERATION'!Z$17:Z$149)</f>
        <v>0</v>
      </c>
      <c r="G515" s="615">
        <f>SUMIF('6. OPERATION'!$D$17:$D$149,$C511,'6. OPERATION'!AA$17:AA$149)</f>
        <v>0</v>
      </c>
      <c r="H515" s="615">
        <f>SUMIF('6. OPERATION'!$D$17:$D$149,$C511,'6. OPERATION'!AB$17:AB$149)</f>
        <v>0</v>
      </c>
      <c r="I515" s="615">
        <f>SUMIF('6. OPERATION'!$D$17:$D$149,$C511,'6. OPERATION'!AC$17:AC$149)</f>
        <v>0</v>
      </c>
      <c r="J515" s="615">
        <f>SUMIF('6. OPERATION'!$D$17:$D$149,$C511,'6. OPERATION'!AD$17:AD$149)</f>
        <v>0</v>
      </c>
      <c r="K515" s="615">
        <f>SUMIF('6. OPERATION'!$D$17:$D$149,$C511,'6. OPERATION'!AE$17:AE$149)</f>
        <v>0</v>
      </c>
      <c r="L515" s="615">
        <f>SUMIF('6. OPERATION'!$D$17:$D$149,$C511,'6. OPERATION'!AF$17:AF$149)</f>
        <v>0</v>
      </c>
      <c r="M515" s="905">
        <f t="shared" si="80"/>
        <v>0</v>
      </c>
    </row>
    <row r="516" spans="2:15" s="234" customFormat="1" ht="13.2" x14ac:dyDescent="0.25">
      <c r="B516" s="906" t="str">
        <f>IF('1. INTRO'!I$2="English","Equipment","Utrustning")</f>
        <v>Equipment</v>
      </c>
      <c r="C516" s="620">
        <f>SUMIF('7. INVEST'!$D$17:$D$49,$C511,'7. INVEST'!W$17:W$49)</f>
        <v>0</v>
      </c>
      <c r="D516" s="620">
        <f>SUMIF('7. INVEST'!$D$17:$D$49,$C511,'7. INVEST'!X$17:X$49)</f>
        <v>0</v>
      </c>
      <c r="E516" s="620">
        <f>SUMIF('7. INVEST'!$D$17:$D$49,$C511,'7. INVEST'!Y$17:Y$49)</f>
        <v>0</v>
      </c>
      <c r="F516" s="620">
        <f>SUMIF('7. INVEST'!$D$17:$D$49,$C511,'7. INVEST'!Z$17:Z$49)</f>
        <v>0</v>
      </c>
      <c r="G516" s="620">
        <f>SUMIF('7. INVEST'!$D$17:$D$49,$C511,'7. INVEST'!AA$17:AA$49)</f>
        <v>0</v>
      </c>
      <c r="H516" s="620">
        <f>SUMIF('7. INVEST'!$D$17:$D$49,$C511,'7. INVEST'!AB$17:AB$49)</f>
        <v>0</v>
      </c>
      <c r="I516" s="620">
        <f>SUMIF('7. INVEST'!$D$17:$D$49,$C511,'7. INVEST'!AC$17:AC$49)</f>
        <v>0</v>
      </c>
      <c r="J516" s="620">
        <f>SUMIF('7. INVEST'!$D$17:$D$49,$C511,'7. INVEST'!AD$17:AD$49)</f>
        <v>0</v>
      </c>
      <c r="K516" s="620">
        <f>SUMIF('7. INVEST'!$D$17:$D$49,$C511,'7. INVEST'!AE$17:AE$49)</f>
        <v>0</v>
      </c>
      <c r="L516" s="620">
        <f>SUMIF('7. INVEST'!$D$17:$D$49,$C511,'7. INVEST'!AF$17:AF$49)</f>
        <v>0</v>
      </c>
      <c r="M516" s="907">
        <f t="shared" si="80"/>
        <v>0</v>
      </c>
    </row>
    <row r="517" spans="2:15" s="234" customFormat="1" ht="13.2" x14ac:dyDescent="0.25">
      <c r="B517" s="121" t="str">
        <f>IF('1. INTRO'!I$2="English",(IF('2. START'!C$11="NO","Facility accepted as direct cost by funding body","Facility")),IF('2. START'!C$11="NO","Lokal accepterad som direkt kostnad av finansiär","Lokal"))</f>
        <v>Facility</v>
      </c>
      <c r="C517" s="615">
        <f>IF('2. START'!$C$11="NO",SUMIF('8. FACILIT'!$D$18:$D$50,$C511,'8. FACILIT'!T$18:T$50),SUMIF('5. PERSON'!$D$17:$D$192,$C511,'5. PERSON'!CP$17:CP$192)+SUMIF('6. OPERATION'!$D$17:$D$149,$C511,'6. OPERATION'!BS$17:BS$149)+SUMIF('8. FACILIT'!$D$18:$D$50,$C511,'8. FACILIT'!T$18:T$50))</f>
        <v>0</v>
      </c>
      <c r="D517" s="615">
        <f>IF('2. START'!$C$11="NO",SUMIF('8. FACILIT'!$D$18:$D$50,$C511,'8. FACILIT'!U$18:U$50),SUMIF('5. PERSON'!$D$17:$D$192,$C511,'5. PERSON'!CQ$17:CQ$192)+SUMIF('6. OPERATION'!$D$17:$D$149,$C511,'6. OPERATION'!BT$17:BT$149)+SUMIF('8. FACILIT'!$D$18:$D$50,$C511,'8. FACILIT'!U$18:U$50))</f>
        <v>0</v>
      </c>
      <c r="E517" s="615">
        <f>IF('2. START'!$C$11="NO",SUMIF('8. FACILIT'!$D$18:$D$50,$C511,'8. FACILIT'!V$18:V$50),SUMIF('5. PERSON'!$D$17:$D$192,$C511,'5. PERSON'!CR$17:CR$192)+SUMIF('6. OPERATION'!$D$17:$D$149,$C511,'6. OPERATION'!BU$17:BU$149)+SUMIF('8. FACILIT'!$D$18:$D$50,$C511,'8. FACILIT'!V$18:V$50))</f>
        <v>0</v>
      </c>
      <c r="F517" s="615">
        <f>IF('2. START'!$C$11="NO",SUMIF('8. FACILIT'!$D$18:$D$50,$C511,'8. FACILIT'!W$18:W$50),SUMIF('5. PERSON'!$D$17:$D$192,$C511,'5. PERSON'!CS$17:CS$192)+SUMIF('6. OPERATION'!$D$17:$D$149,$C511,'6. OPERATION'!BV$17:BV$149)+SUMIF('8. FACILIT'!$D$18:$D$50,$C511,'8. FACILIT'!W$18:W$50))</f>
        <v>0</v>
      </c>
      <c r="G517" s="615">
        <f>IF('2. START'!$C$11="NO",SUMIF('8. FACILIT'!$D$18:$D$50,$C511,'8. FACILIT'!X$18:X$50),SUMIF('5. PERSON'!$D$17:$D$192,$C511,'5. PERSON'!CT$17:CT$192)+SUMIF('6. OPERATION'!$D$17:$D$149,$C511,'6. OPERATION'!BW$17:BW$149)+SUMIF('8. FACILIT'!$D$18:$D$50,$C511,'8. FACILIT'!X$18:X$50))</f>
        <v>0</v>
      </c>
      <c r="H517" s="615">
        <f>IF('2. START'!$C$11="NO",SUMIF('8. FACILIT'!$D$18:$D$50,$C511,'8. FACILIT'!Y$18:Y$50),SUMIF('5. PERSON'!$D$17:$D$192,$C511,'5. PERSON'!CU$17:CU$192)+SUMIF('6. OPERATION'!$D$17:$D$149,$C511,'6. OPERATION'!BX$17:BX$149)+SUMIF('8. FACILIT'!$D$18:$D$50,$C511,'8. FACILIT'!Y$18:Y$50))</f>
        <v>0</v>
      </c>
      <c r="I517" s="615">
        <f>IF('2. START'!$C$11="NO",SUMIF('8. FACILIT'!$D$18:$D$50,$C511,'8. FACILIT'!Z$18:Z$50),SUMIF('5. PERSON'!$D$17:$D$192,$C511,'5. PERSON'!CV$17:CV$192)+SUMIF('6. OPERATION'!$D$17:$D$149,$C511,'6. OPERATION'!BY$17:BY$149)+SUMIF('8. FACILIT'!$D$18:$D$50,$C511,'8. FACILIT'!Z$18:Z$50))</f>
        <v>0</v>
      </c>
      <c r="J517" s="615">
        <f>IF('2. START'!$C$11="NO",SUMIF('8. FACILIT'!$D$18:$D$50,$C511,'8. FACILIT'!AA$18:AA$50),SUMIF('5. PERSON'!$D$17:$D$192,$C511,'5. PERSON'!CW$17:CW$192)+SUMIF('6. OPERATION'!$D$17:$D$149,$C511,'6. OPERATION'!BZ$17:BZ$149)+SUMIF('8. FACILIT'!$D$18:$D$50,$C511,'8. FACILIT'!AA$18:AA$50))</f>
        <v>0</v>
      </c>
      <c r="K517" s="615">
        <f>IF('2. START'!$C$11="NO",SUMIF('8. FACILIT'!$D$18:$D$50,$C511,'8. FACILIT'!AB$18:AB$50),SUMIF('5. PERSON'!$D$17:$D$192,$C511,'5. PERSON'!CX$17:CX$192)+SUMIF('6. OPERATION'!$D$17:$D$149,$C511,'6. OPERATION'!CA$17:CA$149)+SUMIF('8. FACILIT'!$D$18:$D$50,$C511,'8. FACILIT'!AB$18:AB$50))</f>
        <v>0</v>
      </c>
      <c r="L517" s="615">
        <f>IF('2. START'!$C$11="NO",SUMIF('8. FACILIT'!$D$18:$D$50,$C511,'8. FACILIT'!AC$18:AC$50),SUMIF('5. PERSON'!$D$17:$D$192,$C511,'5. PERSON'!CY$17:CY$192)+SUMIF('6. OPERATION'!$D$17:$D$149,$C511,'6. OPERATION'!CB$17:CB$149)+SUMIF('8. FACILIT'!$D$18:$D$50,$C511,'8. FACILIT'!AC$18:AC$50))</f>
        <v>0</v>
      </c>
      <c r="M517" s="905">
        <f t="shared" si="80"/>
        <v>0</v>
      </c>
    </row>
    <row r="518" spans="2:15" s="234" customFormat="1" ht="13.2" x14ac:dyDescent="0.25">
      <c r="B518" s="122" t="str">
        <f>IF('1. INTRO'!I$2="English",(IF('2. START'!C$11="NO","Indirect and facility charge accepted as OH by funding body","Indirect")),IF('2. START'!C$11="NO","Indirekt och lokalpåslag accepterade som OH av finansiär","Indirekt"))</f>
        <v>Indirect</v>
      </c>
      <c r="C518" s="584">
        <f>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584">
        <f>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584">
        <f>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584">
        <f>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584">
        <f>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584">
        <f>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584">
        <f>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584">
        <f>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584">
        <f>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584">
        <f>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908">
        <f t="shared" si="80"/>
        <v>0</v>
      </c>
    </row>
    <row r="519" spans="2:15" s="234" customFormat="1" ht="13.2" x14ac:dyDescent="0.25">
      <c r="B519" s="628" t="s">
        <v>113</v>
      </c>
      <c r="C519" s="443">
        <f>SUM(C514:C518)</f>
        <v>0</v>
      </c>
      <c r="D519" s="443">
        <f t="shared" ref="D519:L519" si="81">SUM(D514:D518)</f>
        <v>0</v>
      </c>
      <c r="E519" s="443">
        <f t="shared" si="81"/>
        <v>0</v>
      </c>
      <c r="F519" s="443">
        <f t="shared" si="81"/>
        <v>0</v>
      </c>
      <c r="G519" s="443">
        <f t="shared" si="81"/>
        <v>0</v>
      </c>
      <c r="H519" s="443">
        <f t="shared" si="81"/>
        <v>0</v>
      </c>
      <c r="I519" s="443">
        <f t="shared" si="81"/>
        <v>0</v>
      </c>
      <c r="J519" s="443">
        <f t="shared" si="81"/>
        <v>0</v>
      </c>
      <c r="K519" s="443">
        <f t="shared" si="81"/>
        <v>0</v>
      </c>
      <c r="L519" s="443">
        <f t="shared" si="81"/>
        <v>0</v>
      </c>
      <c r="M519" s="630">
        <f t="shared" si="80"/>
        <v>0</v>
      </c>
    </row>
    <row r="520" spans="2:15" s="234" customFormat="1" ht="6" customHeight="1" x14ac:dyDescent="0.25">
      <c r="B520" s="909"/>
      <c r="C520" s="127"/>
      <c r="D520" s="127"/>
      <c r="E520" s="127"/>
      <c r="F520" s="127"/>
      <c r="G520" s="127"/>
      <c r="H520" s="127"/>
      <c r="I520" s="127"/>
      <c r="J520" s="127"/>
      <c r="K520" s="127"/>
      <c r="L520" s="127"/>
      <c r="M520" s="633"/>
    </row>
    <row r="521" spans="2:15" s="234" customFormat="1" ht="13.2" x14ac:dyDescent="0.25">
      <c r="B521" s="129" t="str">
        <f>IF('1. INTRO'!I$2="English","Costs to be co-funded","Kostnader att medfinansiera")</f>
        <v>Costs to be co-funded</v>
      </c>
      <c r="C521" s="634"/>
      <c r="D521" s="634"/>
      <c r="E521" s="634"/>
      <c r="F521" s="634"/>
      <c r="G521" s="634"/>
      <c r="H521" s="634"/>
      <c r="I521" s="634"/>
      <c r="J521" s="634"/>
      <c r="K521" s="634"/>
      <c r="L521" s="634"/>
      <c r="M521" s="129"/>
    </row>
    <row r="522" spans="2:15" s="234" customFormat="1" ht="13.2" x14ac:dyDescent="0.25">
      <c r="B522" s="159" t="str">
        <f>IF('1. INTRO'!I$2="English",(IF('2. START'!C$11="NO","Indirect and facility charge not accepted as OH by funding body","")),IF('2. START'!C$11="NO","Indirekt och lokalpåslag inte accepterade som OH av finansiär",""))</f>
        <v/>
      </c>
      <c r="C522" s="910">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910">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910">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910">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910">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910">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910">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910">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910">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910">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903">
        <f t="shared" ref="M522:M528" si="82">SUM(C522:L522)</f>
        <v>0</v>
      </c>
    </row>
    <row r="523" spans="2:15" s="234" customFormat="1" ht="12.75" customHeight="1" x14ac:dyDescent="0.25">
      <c r="B523" s="132" t="str">
        <f>IF('1. INTRO'!I$2="English",(IF('2. START'!C$14&gt;0,"Social costs (LKP) not accepted by funding body","")),IF('2. START'!C$14&gt;0,"LKP som inte accepteras av finansiär",""))</f>
        <v/>
      </c>
      <c r="C523" s="911">
        <f>IF('2. START'!$C$14&gt;0,SUMIF('5. PERSON'!$D$17:$D$192,$C511,'5. PERSON'!AT$17:AT$192)-SUMIF('5. PERSON'!$D$17:$D$192,$C511,'5. PERSON'!DN$17:DN$192),0)</f>
        <v>0</v>
      </c>
      <c r="D523" s="911">
        <f>IF('2. START'!$C$14&gt;0,SUMIF('5. PERSON'!$D$17:$D$192,$C511,'5. PERSON'!AU$17:AU$192)-SUMIF('5. PERSON'!$D$17:$D$192,$C511,'5. PERSON'!DO$17:DO$192),0)</f>
        <v>0</v>
      </c>
      <c r="E523" s="911">
        <f>IF('2. START'!$C$14&gt;0,SUMIF('5. PERSON'!$D$17:$D$192,$C511,'5. PERSON'!AV$17:AV$192)-SUMIF('5. PERSON'!$D$17:$D$192,$C511,'5. PERSON'!DP$17:DP$192),0)</f>
        <v>0</v>
      </c>
      <c r="F523" s="911">
        <f>IF('2. START'!$C$14&gt;0,SUMIF('5. PERSON'!$D$17:$D$192,$C511,'5. PERSON'!AW$17:AW$192)-SUMIF('5. PERSON'!$D$17:$D$192,$C511,'5. PERSON'!DQ$17:DQ$192),0)</f>
        <v>0</v>
      </c>
      <c r="G523" s="911">
        <f>IF('2. START'!$C$14&gt;0,SUMIF('5. PERSON'!$D$17:$D$192,$C511,'5. PERSON'!AX$17:AX$192)-SUMIF('5. PERSON'!$D$17:$D$192,$C511,'5. PERSON'!DR$17:DR$192),0)</f>
        <v>0</v>
      </c>
      <c r="H523" s="911">
        <f>IF('2. START'!$C$14&gt;0,SUMIF('5. PERSON'!$D$17:$D$192,$C511,'5. PERSON'!AY$17:AY$192)-SUMIF('5. PERSON'!$D$17:$D$192,$C511,'5. PERSON'!DS$17:DS$192),0)</f>
        <v>0</v>
      </c>
      <c r="I523" s="911">
        <f>IF('2. START'!$C$14&gt;0,SUMIF('5. PERSON'!$D$17:$D$192,$C511,'5. PERSON'!AZ$17:AZ$192)-SUMIF('5. PERSON'!$D$17:$D$192,$C511,'5. PERSON'!DT$17:DT$192),0)</f>
        <v>0</v>
      </c>
      <c r="J523" s="911">
        <f>IF('2. START'!$C$14&gt;0,SUMIF('5. PERSON'!$D$17:$D$192,$C511,'5. PERSON'!BA$17:BA$192)-SUMIF('5. PERSON'!$D$17:$D$192,$C511,'5. PERSON'!DU$17:DU$192),0)</f>
        <v>0</v>
      </c>
      <c r="K523" s="911">
        <f>IF('2. START'!$C$14&gt;0,SUMIF('5. PERSON'!$D$17:$D$192,$C511,'5. PERSON'!BB$17:BB$192)-SUMIF('5. PERSON'!$D$17:$D$192,$C511,'5. PERSON'!DV$17:DV$192),0)</f>
        <v>0</v>
      </c>
      <c r="L523" s="911">
        <f>IF('2. START'!$C$14&gt;0,SUMIF('5. PERSON'!$D$17:$D$192,$C511,'5. PERSON'!BC$17:BC$192)-SUMIF('5. PERSON'!$D$17:$D$192,$C511,'5. PERSON'!DW$17:DW$192),0)</f>
        <v>0</v>
      </c>
      <c r="M523" s="905">
        <f t="shared" si="82"/>
        <v>0</v>
      </c>
    </row>
    <row r="524" spans="2:15" s="234" customFormat="1" ht="12.75" customHeight="1" x14ac:dyDescent="0.25">
      <c r="B524" s="906" t="str">
        <f>IF('1. INTRO'!I$2="English",(IF('5. PERSON'!BP$193&gt;0,"Salary including social costs (LKP)","")),IF('5. PERSON'!BP$193&gt;0,"Lön inklusive LKP",""))</f>
        <v/>
      </c>
      <c r="C524" s="622">
        <f>SUMIF('5. PERSON'!$D$17:$D$192,$C511,'5. PERSON'!BF$17:BF$192)</f>
        <v>0</v>
      </c>
      <c r="D524" s="622">
        <f>SUMIF('5. PERSON'!$D$17:$D$192,$C511,'5. PERSON'!BG$17:BG$192)</f>
        <v>0</v>
      </c>
      <c r="E524" s="622">
        <f>SUMIF('5. PERSON'!$D$17:$D$192,$C511,'5. PERSON'!BH$17:BH$192)</f>
        <v>0</v>
      </c>
      <c r="F524" s="622">
        <f>SUMIF('5. PERSON'!$D$17:$D$192,$C511,'5. PERSON'!BI$17:BI$192)</f>
        <v>0</v>
      </c>
      <c r="G524" s="622">
        <f>SUMIF('5. PERSON'!$D$17:$D$192,$C511,'5. PERSON'!BJ$17:BJ$192)</f>
        <v>0</v>
      </c>
      <c r="H524" s="622">
        <f>SUMIF('5. PERSON'!$D$17:$D$192,$C511,'5. PERSON'!BK$17:BK$192)</f>
        <v>0</v>
      </c>
      <c r="I524" s="622">
        <f>SUMIF('5. PERSON'!$D$17:$D$192,$C511,'5. PERSON'!BL$17:BL$192)</f>
        <v>0</v>
      </c>
      <c r="J524" s="622">
        <f>SUMIF('5. PERSON'!$D$17:$D$192,$C511,'5. PERSON'!BM$17:BM$192)</f>
        <v>0</v>
      </c>
      <c r="K524" s="622">
        <f>SUMIF('5. PERSON'!$D$17:$D$192,$C511,'5. PERSON'!BN$17:BN$192)</f>
        <v>0</v>
      </c>
      <c r="L524" s="622">
        <f>SUMIF('5. PERSON'!$D$17:$D$192,$C511,'5. PERSON'!BO$17:BO$192)</f>
        <v>0</v>
      </c>
      <c r="M524" s="907">
        <f t="shared" si="82"/>
        <v>0</v>
      </c>
    </row>
    <row r="525" spans="2:15" s="234" customFormat="1" ht="13.2" x14ac:dyDescent="0.25">
      <c r="B525" s="377" t="str">
        <f>IF('1. INTRO'!I$2="English",(IF('6. OPERATION'!AS$150&gt;0,"Operating","")),IF('6. OPERATION'!AS$150&gt;0,"Drift",""))</f>
        <v/>
      </c>
      <c r="C525" s="617">
        <f>SUMIF('6. OPERATION'!$D$17:$D$149,$C511,'6. OPERATION'!AI$17:AI$149)</f>
        <v>0</v>
      </c>
      <c r="D525" s="617">
        <f>SUMIF('6. OPERATION'!$D$17:$D$149,$C511,'6. OPERATION'!AJ$17:AJ$149)</f>
        <v>0</v>
      </c>
      <c r="E525" s="617">
        <f>SUMIF('6. OPERATION'!$D$17:$D$149,$C511,'6. OPERATION'!AK$17:AK$149)</f>
        <v>0</v>
      </c>
      <c r="F525" s="617">
        <f>SUMIF('6. OPERATION'!$D$17:$D$149,$C511,'6. OPERATION'!AL$17:AL$149)</f>
        <v>0</v>
      </c>
      <c r="G525" s="617">
        <f>SUMIF('6. OPERATION'!$D$17:$D$149,$C511,'6. OPERATION'!AM$17:AM$149)</f>
        <v>0</v>
      </c>
      <c r="H525" s="617">
        <f>SUMIF('6. OPERATION'!$D$17:$D$149,$C511,'6. OPERATION'!AN$17:AN$149)</f>
        <v>0</v>
      </c>
      <c r="I525" s="617">
        <f>SUMIF('6. OPERATION'!$D$17:$D$149,$C511,'6. OPERATION'!AO$17:AO$149)</f>
        <v>0</v>
      </c>
      <c r="J525" s="617">
        <f>SUMIF('6. OPERATION'!$D$17:$D$149,$C511,'6. OPERATION'!AP$17:AP$149)</f>
        <v>0</v>
      </c>
      <c r="K525" s="617">
        <f>SUMIF('6. OPERATION'!$D$17:$D$149,$C511,'6. OPERATION'!AQ$17:AQ$149)</f>
        <v>0</v>
      </c>
      <c r="L525" s="617">
        <f>SUMIF('6. OPERATION'!$D$17:$D$149,$C511,'6. OPERATION'!AR$17:AR$149)</f>
        <v>0</v>
      </c>
      <c r="M525" s="905">
        <f t="shared" si="82"/>
        <v>0</v>
      </c>
    </row>
    <row r="526" spans="2:15" s="234" customFormat="1" ht="13.2" x14ac:dyDescent="0.25">
      <c r="B526" s="906" t="str">
        <f>IF('1. INTRO'!I$2="English",(IF('7. INVEST'!AS$50&gt;0,"Equipment","")),IF('7. INVEST'!AS$50&gt;0,"Utrustning",""))</f>
        <v/>
      </c>
      <c r="C526" s="622">
        <f>SUMIF('7. INVEST'!$D$17:$D$49,$C511,'7. INVEST'!AI$17:AI$49)</f>
        <v>0</v>
      </c>
      <c r="D526" s="622">
        <f>SUMIF('7. INVEST'!$D$17:$D$49,$C511,'7. INVEST'!AJ$17:AJ$49)</f>
        <v>0</v>
      </c>
      <c r="E526" s="622">
        <f>SUMIF('7. INVEST'!$D$17:$D$49,$C511,'7. INVEST'!AK$17:AK$49)</f>
        <v>0</v>
      </c>
      <c r="F526" s="622">
        <f>SUMIF('7. INVEST'!$D$17:$D$49,$C511,'7. INVEST'!AL$17:AL$49)</f>
        <v>0</v>
      </c>
      <c r="G526" s="622">
        <f>SUMIF('7. INVEST'!$D$17:$D$49,$C511,'7. INVEST'!AM$17:AM$49)</f>
        <v>0</v>
      </c>
      <c r="H526" s="622">
        <f>SUMIF('7. INVEST'!$D$17:$D$49,$C511,'7. INVEST'!AN$17:AN$49)</f>
        <v>0</v>
      </c>
      <c r="I526" s="622">
        <f>SUMIF('7. INVEST'!$D$17:$D$49,$C511,'7. INVEST'!AO$17:AO$49)</f>
        <v>0</v>
      </c>
      <c r="J526" s="622">
        <f>SUMIF('7. INVEST'!$D$17:$D$49,$C511,'7. INVEST'!AP$17:AP$49)</f>
        <v>0</v>
      </c>
      <c r="K526" s="622">
        <f>SUMIF('7. INVEST'!$D$17:$D$49,$C511,'7. INVEST'!AQ$17:AQ$49)</f>
        <v>0</v>
      </c>
      <c r="L526" s="622">
        <f>SUMIF('7. INVEST'!$D$17:$D$49,$C511,'7. INVEST'!AR$17:AR$49)</f>
        <v>0</v>
      </c>
      <c r="M526" s="907">
        <f t="shared" si="82"/>
        <v>0</v>
      </c>
    </row>
    <row r="527" spans="2:15" s="234" customFormat="1" ht="13.2" x14ac:dyDescent="0.25">
      <c r="B527" s="121" t="str">
        <f>IF('1. INTRO'!I$2="English",(IF('8. FACILIT'!AP$51&gt;0,"Facility","")),IF('8. FACILIT'!AP$51&gt;0,"Lokal",""))</f>
        <v/>
      </c>
      <c r="C527" s="617">
        <f>SUMIF('5. PERSON'!$D$17:$D$192,$C511,'5. PERSON'!DB$17:DB$192)+SUMIF('6. OPERATION'!$D$17:$D$149,$C511,'6. OPERATION'!CE$17:CE$149)+SUMIF('8. FACILIT'!$D$18:$D$50,$C511,'8. FACILIT'!AF$18:AF$50)</f>
        <v>0</v>
      </c>
      <c r="D527" s="617">
        <f>SUMIF('5. PERSON'!$D$17:$D$192,$C511,'5. PERSON'!DC$17:DC$192)+SUMIF('6. OPERATION'!$D$17:$D$149,$C511,'6. OPERATION'!CF$17:CF$149)+SUMIF('8. FACILIT'!$D$18:$D$50,$C511,'8. FACILIT'!AG$18:AG$50)</f>
        <v>0</v>
      </c>
      <c r="E527" s="617">
        <f>SUMIF('5. PERSON'!$D$17:$D$192,$C511,'5. PERSON'!DD$17:DD$192)+SUMIF('6. OPERATION'!$D$17:$D$149,$C511,'6. OPERATION'!CG$17:CG$149)+SUMIF('8. FACILIT'!$D$18:$D$50,$C511,'8. FACILIT'!AH$18:AH$50)</f>
        <v>0</v>
      </c>
      <c r="F527" s="617">
        <f>SUMIF('5. PERSON'!$D$17:$D$192,$C511,'5. PERSON'!DE$17:DE$192)+SUMIF('6. OPERATION'!$D$17:$D$149,$C511,'6. OPERATION'!CH$17:CH$149)+SUMIF('8. FACILIT'!$D$18:$D$50,$C511,'8. FACILIT'!AI$18:AI$50)</f>
        <v>0</v>
      </c>
      <c r="G527" s="617">
        <f>SUMIF('5. PERSON'!$D$17:$D$192,$C511,'5. PERSON'!DF$17:DF$192)+SUMIF('6. OPERATION'!$D$17:$D$149,$C511,'6. OPERATION'!CI$17:CI$149)+SUMIF('8. FACILIT'!$D$18:$D$50,$C511,'8. FACILIT'!AJ$18:AJ$50)</f>
        <v>0</v>
      </c>
      <c r="H527" s="617">
        <f>SUMIF('5. PERSON'!$D$17:$D$192,$C511,'5. PERSON'!DG$17:DG$192)+SUMIF('6. OPERATION'!$D$17:$D$149,$C511,'6. OPERATION'!CJ$17:CJ$149)+SUMIF('8. FACILIT'!$D$18:$D$50,$C511,'8. FACILIT'!AK$18:AK$50)</f>
        <v>0</v>
      </c>
      <c r="I527" s="617">
        <f>SUMIF('5. PERSON'!$D$17:$D$192,$C511,'5. PERSON'!DH$17:DH$192)+SUMIF('6. OPERATION'!$D$17:$D$149,$C511,'6. OPERATION'!CK$17:CK$149)+SUMIF('8. FACILIT'!$D$18:$D$50,$C511,'8. FACILIT'!AL$18:AL$50)</f>
        <v>0</v>
      </c>
      <c r="J527" s="617">
        <f>SUMIF('5. PERSON'!$D$17:$D$192,$C511,'5. PERSON'!DI$17:DI$192)+SUMIF('6. OPERATION'!$D$17:$D$149,$C511,'6. OPERATION'!CL$17:CL$149)+SUMIF('8. FACILIT'!$D$18:$D$50,$C511,'8. FACILIT'!AM$18:AM$50)</f>
        <v>0</v>
      </c>
      <c r="K527" s="617">
        <f>SUMIF('5. PERSON'!$D$17:$D$192,$C511,'5. PERSON'!DJ$17:DJ$192)+SUMIF('6. OPERATION'!$D$17:$D$149,$C511,'6. OPERATION'!CM$17:CM$149)+SUMIF('8. FACILIT'!$D$18:$D$50,$C511,'8. FACILIT'!AN$18:AN$50)</f>
        <v>0</v>
      </c>
      <c r="L527" s="617">
        <f>SUMIF('5. PERSON'!$D$17:$D$192,$C511,'5. PERSON'!DK$17:DK$192)+SUMIF('6. OPERATION'!$D$17:$D$149,$C511,'6. OPERATION'!CN$17:CN$149)+SUMIF('8. FACILIT'!$D$18:$D$50,$C511,'8. FACILIT'!AO$18:AO$50)</f>
        <v>0</v>
      </c>
      <c r="M527" s="905">
        <f t="shared" si="82"/>
        <v>0</v>
      </c>
    </row>
    <row r="528" spans="2:15" s="912" customFormat="1" ht="13.2" x14ac:dyDescent="0.25">
      <c r="B528" s="122" t="str">
        <f>IF('1. INTRO'!I$2="English",(IF(('5. PERSON'!CN$193+'6. OPERATION'!BQ$150)&gt;0,"Indirect","")),IF(('5. PERSON'!CN$193+'6. OPERATION'!BQ$150)&gt;0,"Indirekt",""))</f>
        <v/>
      </c>
      <c r="C528" s="584">
        <f>SUMIF('5. PERSON'!$D$17:$D$192,$C511,'5. PERSON'!CD$17:CD$192)+SUMIF('6. OPERATION'!$D$17:$D$149,$C511,'6. OPERATION'!BG$17:BG$149)</f>
        <v>0</v>
      </c>
      <c r="D528" s="584">
        <f>SUMIF('5. PERSON'!$D$17:$D$192,$C511,'5. PERSON'!CE$17:CE$192)+SUMIF('6. OPERATION'!$D$17:$D$149,$C511,'6. OPERATION'!BH$17:BH$149)</f>
        <v>0</v>
      </c>
      <c r="E528" s="584">
        <f>SUMIF('5. PERSON'!$D$17:$D$192,$C511,'5. PERSON'!CF$17:CF$192)+SUMIF('6. OPERATION'!$D$17:$D$149,$C511,'6. OPERATION'!BI$17:BI$149)</f>
        <v>0</v>
      </c>
      <c r="F528" s="584">
        <f>SUMIF('5. PERSON'!$D$17:$D$192,$C511,'5. PERSON'!CG$17:CG$192)+SUMIF('6. OPERATION'!$D$17:$D$149,$C511,'6. OPERATION'!BJ$17:BJ$149)</f>
        <v>0</v>
      </c>
      <c r="G528" s="584">
        <f>SUMIF('5. PERSON'!$D$17:$D$192,$C511,'5. PERSON'!CH$17:CH$192)+SUMIF('6. OPERATION'!$D$17:$D$149,$C511,'6. OPERATION'!BK$17:BK$149)</f>
        <v>0</v>
      </c>
      <c r="H528" s="584">
        <f>SUMIF('5. PERSON'!$D$17:$D$192,$C511,'5. PERSON'!CI$17:CI$192)+SUMIF('6. OPERATION'!$D$17:$D$149,$C511,'6. OPERATION'!BL$17:BL$149)</f>
        <v>0</v>
      </c>
      <c r="I528" s="584">
        <f>SUMIF('5. PERSON'!$D$17:$D$192,$C511,'5. PERSON'!CJ$17:CJ$192)+SUMIF('6. OPERATION'!$D$17:$D$149,$C511,'6. OPERATION'!BM$17:BM$149)</f>
        <v>0</v>
      </c>
      <c r="J528" s="584">
        <f>SUMIF('5. PERSON'!$D$17:$D$192,$C511,'5. PERSON'!CK$17:CK$192)+SUMIF('6. OPERATION'!$D$17:$D$149,$C511,'6. OPERATION'!BN$17:BN$149)</f>
        <v>0</v>
      </c>
      <c r="K528" s="584">
        <f>SUMIF('5. PERSON'!$D$17:$D$192,$C511,'5. PERSON'!CL$17:CL$192)+SUMIF('6. OPERATION'!$D$17:$D$149,$C511,'6. OPERATION'!BO$17:BO$149)</f>
        <v>0</v>
      </c>
      <c r="L528" s="584">
        <f>SUMIF('5. PERSON'!$D$17:$D$192,$C511,'5. PERSON'!CM$17:CM$192)+SUMIF('6. OPERATION'!$D$17:$D$149,$C511,'6. OPERATION'!BP$17:BP$149)</f>
        <v>0</v>
      </c>
      <c r="M528" s="908">
        <f t="shared" si="82"/>
        <v>0</v>
      </c>
    </row>
    <row r="529" spans="2:15" s="234" customFormat="1" ht="13.2" x14ac:dyDescent="0.25">
      <c r="B529" s="628" t="s">
        <v>113</v>
      </c>
      <c r="C529" s="443">
        <f>SUM(C522:C528)</f>
        <v>0</v>
      </c>
      <c r="D529" s="443">
        <f t="shared" ref="D529:M529" si="83">SUM(D522:D528)</f>
        <v>0</v>
      </c>
      <c r="E529" s="443">
        <f t="shared" si="83"/>
        <v>0</v>
      </c>
      <c r="F529" s="443">
        <f t="shared" si="83"/>
        <v>0</v>
      </c>
      <c r="G529" s="443">
        <f t="shared" si="83"/>
        <v>0</v>
      </c>
      <c r="H529" s="443">
        <f t="shared" si="83"/>
        <v>0</v>
      </c>
      <c r="I529" s="443">
        <f t="shared" si="83"/>
        <v>0</v>
      </c>
      <c r="J529" s="443">
        <f t="shared" si="83"/>
        <v>0</v>
      </c>
      <c r="K529" s="443">
        <f t="shared" si="83"/>
        <v>0</v>
      </c>
      <c r="L529" s="443">
        <f t="shared" si="83"/>
        <v>0</v>
      </c>
      <c r="M529" s="630">
        <f t="shared" si="83"/>
        <v>0</v>
      </c>
      <c r="N529" s="913"/>
      <c r="O529" s="913"/>
    </row>
    <row r="530" spans="2:15" s="234" customFormat="1" ht="6" customHeight="1" x14ac:dyDescent="0.25">
      <c r="B530" s="914"/>
      <c r="C530" s="127"/>
      <c r="D530" s="127"/>
      <c r="E530" s="127"/>
      <c r="F530" s="127"/>
      <c r="G530" s="127"/>
      <c r="H530" s="127"/>
      <c r="I530" s="127"/>
      <c r="J530" s="127"/>
      <c r="K530" s="127"/>
      <c r="L530" s="127"/>
      <c r="M530" s="636"/>
    </row>
    <row r="531" spans="2:15" s="234" customFormat="1" ht="13.2" x14ac:dyDescent="0.25">
      <c r="B531" s="129" t="str">
        <f>IF('1. INTRO'!I$2="English","Full cost","Full kostnad")</f>
        <v>Full cost</v>
      </c>
      <c r="C531" s="127"/>
      <c r="D531" s="127"/>
      <c r="E531" s="127"/>
      <c r="F531" s="127"/>
      <c r="G531" s="127"/>
      <c r="H531" s="127"/>
      <c r="I531" s="127"/>
      <c r="J531" s="127"/>
      <c r="K531" s="127"/>
      <c r="L531" s="127"/>
      <c r="M531" s="636"/>
    </row>
    <row r="532" spans="2:15" s="234" customFormat="1" ht="13.2" x14ac:dyDescent="0.25">
      <c r="B532" s="902" t="str">
        <f>IF('1. INTRO'!I$2="English","Salary including social costs (LKP)","Lön inklusive LKP")</f>
        <v>Salary including social costs (LKP)</v>
      </c>
      <c r="C532" s="138">
        <f>C514+C523+C524</f>
        <v>0</v>
      </c>
      <c r="D532" s="138">
        <f t="shared" ref="D532:L532" si="84">D514+D523+D524</f>
        <v>0</v>
      </c>
      <c r="E532" s="138">
        <f t="shared" si="84"/>
        <v>0</v>
      </c>
      <c r="F532" s="138">
        <f t="shared" si="84"/>
        <v>0</v>
      </c>
      <c r="G532" s="138">
        <f t="shared" si="84"/>
        <v>0</v>
      </c>
      <c r="H532" s="138">
        <f t="shared" si="84"/>
        <v>0</v>
      </c>
      <c r="I532" s="138">
        <f t="shared" si="84"/>
        <v>0</v>
      </c>
      <c r="J532" s="138">
        <f t="shared" si="84"/>
        <v>0</v>
      </c>
      <c r="K532" s="138">
        <f t="shared" si="84"/>
        <v>0</v>
      </c>
      <c r="L532" s="138">
        <f t="shared" si="84"/>
        <v>0</v>
      </c>
      <c r="M532" s="903">
        <f>SUM(C532:L532)</f>
        <v>0</v>
      </c>
    </row>
    <row r="533" spans="2:15" s="234" customFormat="1" ht="13.2" x14ac:dyDescent="0.25">
      <c r="B533" s="377" t="str">
        <f>IF('1. INTRO'!I$2="English","Operating","Drift")</f>
        <v>Operating</v>
      </c>
      <c r="C533" s="139">
        <f>C515+C525</f>
        <v>0</v>
      </c>
      <c r="D533" s="139">
        <f t="shared" ref="D533:L533" si="85">D515+D525</f>
        <v>0</v>
      </c>
      <c r="E533" s="139">
        <f t="shared" si="85"/>
        <v>0</v>
      </c>
      <c r="F533" s="139">
        <f t="shared" si="85"/>
        <v>0</v>
      </c>
      <c r="G533" s="139">
        <f t="shared" si="85"/>
        <v>0</v>
      </c>
      <c r="H533" s="139">
        <f t="shared" si="85"/>
        <v>0</v>
      </c>
      <c r="I533" s="139">
        <f t="shared" si="85"/>
        <v>0</v>
      </c>
      <c r="J533" s="139">
        <f t="shared" si="85"/>
        <v>0</v>
      </c>
      <c r="K533" s="139">
        <f t="shared" si="85"/>
        <v>0</v>
      </c>
      <c r="L533" s="139">
        <f t="shared" si="85"/>
        <v>0</v>
      </c>
      <c r="M533" s="905">
        <f>SUM(C533:L533)</f>
        <v>0</v>
      </c>
    </row>
    <row r="534" spans="2:15" s="234" customFormat="1" ht="13.2" x14ac:dyDescent="0.25">
      <c r="B534" s="906" t="str">
        <f>IF('1. INTRO'!I$2="English","Equipment","Utrustning")</f>
        <v>Equipment</v>
      </c>
      <c r="C534" s="140">
        <f>C516+C526</f>
        <v>0</v>
      </c>
      <c r="D534" s="140">
        <f t="shared" ref="D534:L534" si="86">D516+D526</f>
        <v>0</v>
      </c>
      <c r="E534" s="140">
        <f t="shared" si="86"/>
        <v>0</v>
      </c>
      <c r="F534" s="140">
        <f t="shared" si="86"/>
        <v>0</v>
      </c>
      <c r="G534" s="140">
        <f t="shared" si="86"/>
        <v>0</v>
      </c>
      <c r="H534" s="140">
        <f t="shared" si="86"/>
        <v>0</v>
      </c>
      <c r="I534" s="140">
        <f t="shared" si="86"/>
        <v>0</v>
      </c>
      <c r="J534" s="140">
        <f t="shared" si="86"/>
        <v>0</v>
      </c>
      <c r="K534" s="140">
        <f t="shared" si="86"/>
        <v>0</v>
      </c>
      <c r="L534" s="140">
        <f t="shared" si="86"/>
        <v>0</v>
      </c>
      <c r="M534" s="907">
        <f>SUM(C534:L534)</f>
        <v>0</v>
      </c>
    </row>
    <row r="535" spans="2:15" s="234" customFormat="1" ht="13.2" x14ac:dyDescent="0.25">
      <c r="B535" s="377" t="str">
        <f>IF('1. INTRO'!I$2="English","Facility","Lokal")</f>
        <v>Facility</v>
      </c>
      <c r="C535" s="139">
        <f>SUMIF('5. PERSON'!$D$17:$D$192,$C511,'5. PERSON'!CP$17:CP$192)+SUMIF('5. PERSON'!$D$17:$D$192,$C511,'5. PERSON'!DB$17:DB$192)+SUMIF('6. OPERATION'!$D$17:$D$149,$C511,'6. OPERATION'!BS$17:BS$149)+SUMIF('6. OPERATION'!$D$17:$D$149,$C511,'6. OPERATION'!CE$17:CE$149)+SUMIF('8. FACILIT'!$D$18:$D$50,$C511,'8. FACILIT'!T$18:T$50)+SUMIF('8. FACILIT'!$D$18:$D$50,$C511,'8. FACILIT'!AF$18:AF$50)</f>
        <v>0</v>
      </c>
      <c r="D535" s="139">
        <f>SUMIF('5. PERSON'!$D$17:$D$192,$C511,'5. PERSON'!CQ$17:CQ$192)+SUMIF('5. PERSON'!$D$17:$D$192,$C511,'5. PERSON'!DC$17:DC$192)+SUMIF('6. OPERATION'!$D$17:$D$149,$C511,'6. OPERATION'!BT$17:BT$149)+SUMIF('6. OPERATION'!$D$17:$D$149,$C511,'6. OPERATION'!CF$17:CF$149)+SUMIF('8. FACILIT'!$D$18:$D$50,$C511,'8. FACILIT'!U$18:U$50)+SUMIF('8. FACILIT'!$D$18:$D$50,$C511,'8. FACILIT'!AG$18:AG$50)</f>
        <v>0</v>
      </c>
      <c r="E535" s="139">
        <f>SUMIF('5. PERSON'!$D$17:$D$192,$C511,'5. PERSON'!CR$17:CR$192)+SUMIF('5. PERSON'!$D$17:$D$192,$C511,'5. PERSON'!DD$17:DD$192)+SUMIF('6. OPERATION'!$D$17:$D$149,$C511,'6. OPERATION'!BU$17:BU$149)+SUMIF('6. OPERATION'!$D$17:$D$149,$C511,'6. OPERATION'!CG$17:CG$149)+SUMIF('8. FACILIT'!$D$18:$D$50,$C511,'8. FACILIT'!V$18:V$50)+SUMIF('8. FACILIT'!$D$18:$D$50,$C511,'8. FACILIT'!AH$18:AH$50)</f>
        <v>0</v>
      </c>
      <c r="F535" s="139">
        <f>SUMIF('5. PERSON'!$D$17:$D$192,$C511,'5. PERSON'!CS$17:CS$192)+SUMIF('5. PERSON'!$D$17:$D$192,$C511,'5. PERSON'!DE$17:DE$192)+SUMIF('6. OPERATION'!$D$17:$D$149,$C511,'6. OPERATION'!BV$17:BV$149)+SUMIF('6. OPERATION'!$D$17:$D$149,$C511,'6. OPERATION'!CH$17:CH$149)+SUMIF('8. FACILIT'!$D$18:$D$50,$C511,'8. FACILIT'!W$18:W$50)+SUMIF('8. FACILIT'!$D$18:$D$50,$C511,'8. FACILIT'!AI$18:AI$50)</f>
        <v>0</v>
      </c>
      <c r="G535" s="139">
        <f>SUMIF('5. PERSON'!$D$17:$D$192,$C511,'5. PERSON'!CT$17:CT$192)+SUMIF('5. PERSON'!$D$17:$D$192,$C511,'5. PERSON'!DF$17:DF$192)+SUMIF('6. OPERATION'!$D$17:$D$149,$C511,'6. OPERATION'!BW$17:BW$149)+SUMIF('6. OPERATION'!$D$17:$D$149,$C511,'6. OPERATION'!CI$17:CI$149)+SUMIF('8. FACILIT'!$D$18:$D$50,$C511,'8. FACILIT'!X$18:X$50)+SUMIF('8. FACILIT'!$D$18:$D$50,$C511,'8. FACILIT'!AJ$18:AJ$50)</f>
        <v>0</v>
      </c>
      <c r="H535" s="139">
        <f>SUMIF('5. PERSON'!$D$17:$D$192,$C511,'5. PERSON'!CU$17:CU$192)+SUMIF('5. PERSON'!$D$17:$D$192,$C511,'5. PERSON'!DG$17:DG$192)+SUMIF('6. OPERATION'!$D$17:$D$149,$C511,'6. OPERATION'!BX$17:BX$149)+SUMIF('6. OPERATION'!$D$17:$D$149,$C511,'6. OPERATION'!CJ$17:CJ$149)+SUMIF('8. FACILIT'!$D$18:$D$50,$C511,'8. FACILIT'!Y$18:Y$50)+SUMIF('8. FACILIT'!$D$18:$D$50,$C511,'8. FACILIT'!AK$18:AK$50)</f>
        <v>0</v>
      </c>
      <c r="I535" s="139">
        <f>SUMIF('5. PERSON'!$D$17:$D$192,$C511,'5. PERSON'!CV$17:CV$192)+SUMIF('5. PERSON'!$D$17:$D$192,$C511,'5. PERSON'!DH$17:DH$192)+SUMIF('6. OPERATION'!$D$17:$D$149,$C511,'6. OPERATION'!BY$17:BY$149)+SUMIF('6. OPERATION'!$D$17:$D$149,$C511,'6. OPERATION'!CK$17:CK$149)+SUMIF('8. FACILIT'!$D$18:$D$50,$C511,'8. FACILIT'!Z$18:Z$50)+SUMIF('8. FACILIT'!$D$18:$D$50,$C511,'8. FACILIT'!AL$18:AL$50)</f>
        <v>0</v>
      </c>
      <c r="J535" s="139">
        <f>SUMIF('5. PERSON'!$D$17:$D$192,$C511,'5. PERSON'!CW$17:CW$192)+SUMIF('5. PERSON'!$D$17:$D$192,$C511,'5. PERSON'!DI$17:DI$192)+SUMIF('6. OPERATION'!$D$17:$D$149,$C511,'6. OPERATION'!BZ$17:BZ$149)+SUMIF('6. OPERATION'!$D$17:$D$149,$C511,'6. OPERATION'!CL$17:CL$149)+SUMIF('8. FACILIT'!$D$18:$D$50,$C511,'8. FACILIT'!AA$18:AA$50)+SUMIF('8. FACILIT'!$D$18:$D$50,$C511,'8. FACILIT'!AM$18:AM$50)</f>
        <v>0</v>
      </c>
      <c r="K535" s="139">
        <f>SUMIF('5. PERSON'!$D$17:$D$192,$C511,'5. PERSON'!CX$17:CX$192)+SUMIF('5. PERSON'!$D$17:$D$192,$C511,'5. PERSON'!DJ$17:DJ$192)+SUMIF('6. OPERATION'!$D$17:$D$149,$C511,'6. OPERATION'!CA$17:CA$149)+SUMIF('6. OPERATION'!$D$17:$D$149,$C511,'6. OPERATION'!CM$17:CM$149)+SUMIF('8. FACILIT'!$D$18:$D$50,$C511,'8. FACILIT'!AB$18:AB$50)+SUMIF('8. FACILIT'!$D$18:$D$50,$C511,'8. FACILIT'!AN$18:AN$50)</f>
        <v>0</v>
      </c>
      <c r="L535" s="139">
        <f>SUMIF('5. PERSON'!$D$17:$D$192,$C511,'5. PERSON'!CY$17:CY$192)+SUMIF('5. PERSON'!$D$17:$D$192,$C511,'5. PERSON'!DK$17:DK$192)+SUMIF('6. OPERATION'!$D$17:$D$149,$C511,'6. OPERATION'!CB$17:CB$149)+SUMIF('6. OPERATION'!$D$17:$D$149,$C511,'6. OPERATION'!CN$17:CN$149)+SUMIF('8. FACILIT'!$D$18:$D$50,$C511,'8. FACILIT'!AC$18:AC$50)+SUMIF('8. FACILIT'!$D$18:$D$50,$C511,'8. FACILIT'!AO$18:AO$50)</f>
        <v>0</v>
      </c>
      <c r="M535" s="905">
        <f>SUM(C535:L535)</f>
        <v>0</v>
      </c>
    </row>
    <row r="536" spans="2:15" s="234" customFormat="1" ht="13.2" x14ac:dyDescent="0.25">
      <c r="B536" s="915" t="str">
        <f>IF('1. INTRO'!I$2="English","Indirect","Indirekt")</f>
        <v>Indirect</v>
      </c>
      <c r="C536" s="141">
        <f>SUMIF('5. PERSON'!$D$17:$D$192,$C511,'5. PERSON'!BR$17:BR$192)+SUMIF('5. PERSON'!$D$17:$D$192,$C511,'5. PERSON'!CD$17:CD$192)+SUMIF('6. OPERATION'!$D$17:$D$149,$C511,'6. OPERATION'!AU$17:AU$149)+SUMIF('6. OPERATION'!$D$17:$D$149,$C511,'6. OPERATION'!BG$17:BG$149)</f>
        <v>0</v>
      </c>
      <c r="D536" s="141">
        <f>SUMIF('5. PERSON'!$D$17:$D$192,$C511,'5. PERSON'!BS$17:BS$192)+SUMIF('5. PERSON'!$D$17:$D$192,$C511,'5. PERSON'!CE$17:CE$192)+SUMIF('6. OPERATION'!$D$17:$D$149,$C511,'6. OPERATION'!AV$17:AV$149)+SUMIF('6. OPERATION'!$D$17:$D$149,$C511,'6. OPERATION'!BH$17:BH$149)</f>
        <v>0</v>
      </c>
      <c r="E536" s="141">
        <f>SUMIF('5. PERSON'!$D$17:$D$192,$C511,'5. PERSON'!BT$17:BT$192)+SUMIF('5. PERSON'!$D$17:$D$192,$C511,'5. PERSON'!CF$17:CF$192)+SUMIF('6. OPERATION'!$D$17:$D$149,$C511,'6. OPERATION'!AW$17:AW$149)+SUMIF('6. OPERATION'!$D$17:$D$149,$C511,'6. OPERATION'!BI$17:BI$149)</f>
        <v>0</v>
      </c>
      <c r="F536" s="141">
        <f>SUMIF('5. PERSON'!$D$17:$D$192,$C511,'5. PERSON'!BU$17:BU$192)+SUMIF('5. PERSON'!$D$17:$D$192,$C511,'5. PERSON'!CG$17:CG$192)+SUMIF('6. OPERATION'!$D$17:$D$149,$C511,'6. OPERATION'!AX$17:AX$149)+SUMIF('6. OPERATION'!$D$17:$D$149,$C511,'6. OPERATION'!BJ$17:BJ$149)</f>
        <v>0</v>
      </c>
      <c r="G536" s="141">
        <f>SUMIF('5. PERSON'!$D$17:$D$192,$C511,'5. PERSON'!BV$17:BV$192)+SUMIF('5. PERSON'!$D$17:$D$192,$C511,'5. PERSON'!CH$17:CH$192)+SUMIF('6. OPERATION'!$D$17:$D$149,$C511,'6. OPERATION'!AY$17:AY$149)+SUMIF('6. OPERATION'!$D$17:$D$149,$C511,'6. OPERATION'!BK$17:BK$149)</f>
        <v>0</v>
      </c>
      <c r="H536" s="141">
        <f>SUMIF('5. PERSON'!$D$17:$D$192,$C511,'5. PERSON'!BW$17:BW$192)+SUMIF('5. PERSON'!$D$17:$D$192,$C511,'5. PERSON'!CI$17:CI$192)+SUMIF('6. OPERATION'!$D$17:$D$149,$C511,'6. OPERATION'!AZ$17:AZ$149)+SUMIF('6. OPERATION'!$D$17:$D$149,$C511,'6. OPERATION'!BL$17:BL$149)</f>
        <v>0</v>
      </c>
      <c r="I536" s="141">
        <f>SUMIF('5. PERSON'!$D$17:$D$192,$C511,'5. PERSON'!BX$17:BX$192)+SUMIF('5. PERSON'!$D$17:$D$192,$C511,'5. PERSON'!CJ$17:CJ$192)+SUMIF('6. OPERATION'!$D$17:$D$149,$C511,'6. OPERATION'!BA$17:BA$149)+SUMIF('6. OPERATION'!$D$17:$D$149,$C511,'6. OPERATION'!BM$17:BM$149)</f>
        <v>0</v>
      </c>
      <c r="J536" s="141">
        <f>SUMIF('5. PERSON'!$D$17:$D$192,$C511,'5. PERSON'!BY$17:BY$192)+SUMIF('5. PERSON'!$D$17:$D$192,$C511,'5. PERSON'!CK$17:CK$192)+SUMIF('6. OPERATION'!$D$17:$D$149,$C511,'6. OPERATION'!BB$17:BB$149)+SUMIF('6. OPERATION'!$D$17:$D$149,$C511,'6. OPERATION'!BN$17:BN$149)</f>
        <v>0</v>
      </c>
      <c r="K536" s="141">
        <f>SUMIF('5. PERSON'!$D$17:$D$192,$C511,'5. PERSON'!BZ$17:BZ$192)+SUMIF('5. PERSON'!$D$17:$D$192,$C511,'5. PERSON'!CL$17:CL$192)+SUMIF('6. OPERATION'!$D$17:$D$149,$C511,'6. OPERATION'!BC$17:BC$149)+SUMIF('6. OPERATION'!$D$17:$D$149,$C511,'6. OPERATION'!BO$17:BO$149)</f>
        <v>0</v>
      </c>
      <c r="L536" s="141">
        <f>SUMIF('5. PERSON'!$D$17:$D$192,$C511,'5. PERSON'!CA$17:CA$192)+SUMIF('5. PERSON'!$D$17:$D$192,$C511,'5. PERSON'!CM$17:CM$192)+SUMIF('6. OPERATION'!$D$17:$D$149,$C511,'6. OPERATION'!BD$17:BD$149)+SUMIF('6. OPERATION'!$D$17:$D$149,$C511,'6. OPERATION'!BP$17:BP$149)</f>
        <v>0</v>
      </c>
      <c r="M536" s="908">
        <f>SUM(C536:L536)</f>
        <v>0</v>
      </c>
    </row>
    <row r="537" spans="2:15" s="234" customFormat="1" ht="13.2" x14ac:dyDescent="0.25">
      <c r="B537" s="628" t="s">
        <v>113</v>
      </c>
      <c r="C537" s="520">
        <f>SUM(C532:C536)</f>
        <v>0</v>
      </c>
      <c r="D537" s="520">
        <f t="shared" ref="D537:M537" si="87">SUM(D532:D536)</f>
        <v>0</v>
      </c>
      <c r="E537" s="520">
        <f t="shared" si="87"/>
        <v>0</v>
      </c>
      <c r="F537" s="520">
        <f t="shared" si="87"/>
        <v>0</v>
      </c>
      <c r="G537" s="520">
        <f t="shared" si="87"/>
        <v>0</v>
      </c>
      <c r="H537" s="520">
        <f t="shared" si="87"/>
        <v>0</v>
      </c>
      <c r="I537" s="520">
        <f t="shared" si="87"/>
        <v>0</v>
      </c>
      <c r="J537" s="520">
        <f t="shared" si="87"/>
        <v>0</v>
      </c>
      <c r="K537" s="520">
        <f t="shared" si="87"/>
        <v>0</v>
      </c>
      <c r="L537" s="520">
        <f t="shared" si="87"/>
        <v>0</v>
      </c>
      <c r="M537" s="916">
        <f t="shared" si="87"/>
        <v>0</v>
      </c>
    </row>
    <row r="538" spans="2:15" s="234" customFormat="1" ht="13.2" x14ac:dyDescent="0.25">
      <c r="B538" s="676"/>
      <c r="C538" s="268"/>
      <c r="D538" s="268"/>
      <c r="E538" s="268"/>
      <c r="F538" s="268"/>
      <c r="G538" s="268"/>
      <c r="H538" s="268"/>
      <c r="I538" s="268"/>
      <c r="J538" s="268"/>
      <c r="K538" s="268"/>
      <c r="L538" s="268"/>
      <c r="M538" s="268"/>
    </row>
    <row r="539" spans="2:15" s="234" customFormat="1" ht="12.75" customHeight="1" x14ac:dyDescent="0.25">
      <c r="B539" s="676" t="str">
        <f>IF('1. INTRO'!I$2="English","Co-funding share in full cost ","Medfinansieringsandel i full kostnad ")</f>
        <v xml:space="preserve">Co-funding share in full cost </v>
      </c>
      <c r="C539" s="640" t="str">
        <f t="shared" ref="C539:M539" si="88">IF(C537&gt;0,C529/C537,"")</f>
        <v/>
      </c>
      <c r="D539" s="640" t="str">
        <f t="shared" si="88"/>
        <v/>
      </c>
      <c r="E539" s="640" t="str">
        <f t="shared" si="88"/>
        <v/>
      </c>
      <c r="F539" s="640" t="str">
        <f t="shared" si="88"/>
        <v/>
      </c>
      <c r="G539" s="640" t="str">
        <f t="shared" si="88"/>
        <v/>
      </c>
      <c r="H539" s="640" t="str">
        <f t="shared" si="88"/>
        <v/>
      </c>
      <c r="I539" s="640" t="str">
        <f t="shared" si="88"/>
        <v/>
      </c>
      <c r="J539" s="640" t="str">
        <f t="shared" si="88"/>
        <v/>
      </c>
      <c r="K539" s="640" t="str">
        <f t="shared" si="88"/>
        <v/>
      </c>
      <c r="L539" s="640" t="str">
        <f t="shared" si="88"/>
        <v/>
      </c>
      <c r="M539" s="640" t="str">
        <f t="shared" si="88"/>
        <v/>
      </c>
    </row>
    <row r="540" spans="2:15" s="268" customFormat="1" ht="12.75" customHeight="1" x14ac:dyDescent="0.25"/>
    <row r="541" spans="2:15" s="268" customFormat="1" ht="12.75" customHeight="1" x14ac:dyDescent="0.25">
      <c r="B541" s="667" t="str">
        <f>IF('1. INTRO'!I$2="English","Calculation comments","Kalkylkommentarer")</f>
        <v>Calculation comments</v>
      </c>
    </row>
    <row r="542" spans="2:15" s="268" customFormat="1" ht="12.75" customHeight="1" x14ac:dyDescent="0.25">
      <c r="B542" s="1264"/>
      <c r="C542" s="1265"/>
      <c r="D542" s="1265"/>
      <c r="E542" s="1265"/>
      <c r="F542" s="1265"/>
      <c r="G542" s="1265"/>
      <c r="H542" s="1265"/>
      <c r="I542" s="1265"/>
      <c r="J542" s="1265"/>
      <c r="K542" s="1265"/>
      <c r="L542" s="1265"/>
      <c r="M542" s="1266"/>
    </row>
    <row r="543" spans="2:15" s="268" customFormat="1" ht="12.75" customHeight="1" x14ac:dyDescent="0.25">
      <c r="B543" s="1267"/>
      <c r="C543" s="1268"/>
      <c r="D543" s="1268"/>
      <c r="E543" s="1268"/>
      <c r="F543" s="1268"/>
      <c r="G543" s="1268"/>
      <c r="H543" s="1268"/>
      <c r="I543" s="1268"/>
      <c r="J543" s="1268"/>
      <c r="K543" s="1268"/>
      <c r="L543" s="1268"/>
      <c r="M543" s="1269"/>
    </row>
    <row r="544" spans="2:15" s="268" customFormat="1" ht="12.75" customHeight="1" x14ac:dyDescent="0.25">
      <c r="B544" s="1267"/>
      <c r="C544" s="1268"/>
      <c r="D544" s="1268"/>
      <c r="E544" s="1268"/>
      <c r="F544" s="1268"/>
      <c r="G544" s="1268"/>
      <c r="H544" s="1268"/>
      <c r="I544" s="1268"/>
      <c r="J544" s="1268"/>
      <c r="K544" s="1268"/>
      <c r="L544" s="1268"/>
      <c r="M544" s="1269"/>
    </row>
    <row r="545" spans="2:13" s="268" customFormat="1" ht="12.75" customHeight="1" x14ac:dyDescent="0.25">
      <c r="B545" s="1267"/>
      <c r="C545" s="1268"/>
      <c r="D545" s="1268"/>
      <c r="E545" s="1268"/>
      <c r="F545" s="1268"/>
      <c r="G545" s="1268"/>
      <c r="H545" s="1268"/>
      <c r="I545" s="1268"/>
      <c r="J545" s="1268"/>
      <c r="K545" s="1268"/>
      <c r="L545" s="1268"/>
      <c r="M545" s="1269"/>
    </row>
    <row r="546" spans="2:13" s="268" customFormat="1" ht="12.75" customHeight="1" x14ac:dyDescent="0.25">
      <c r="B546" s="1267"/>
      <c r="C546" s="1268"/>
      <c r="D546" s="1268"/>
      <c r="E546" s="1268"/>
      <c r="F546" s="1268"/>
      <c r="G546" s="1268"/>
      <c r="H546" s="1268"/>
      <c r="I546" s="1268"/>
      <c r="J546" s="1268"/>
      <c r="K546" s="1268"/>
      <c r="L546" s="1268"/>
      <c r="M546" s="1269"/>
    </row>
    <row r="547" spans="2:13" s="268" customFormat="1" ht="12.75" customHeight="1" x14ac:dyDescent="0.25">
      <c r="B547" s="1270"/>
      <c r="C547" s="1271"/>
      <c r="D547" s="1271"/>
      <c r="E547" s="1271"/>
      <c r="F547" s="1271"/>
      <c r="G547" s="1271"/>
      <c r="H547" s="1271"/>
      <c r="I547" s="1271"/>
      <c r="J547" s="1271"/>
      <c r="K547" s="1271"/>
      <c r="L547" s="1271"/>
      <c r="M547" s="1272"/>
    </row>
    <row r="548" spans="2:13" s="268" customFormat="1" x14ac:dyDescent="0.25">
      <c r="B548" s="1270"/>
      <c r="C548" s="1271"/>
      <c r="D548" s="1271"/>
      <c r="E548" s="1271"/>
      <c r="F548" s="1271"/>
      <c r="G548" s="1271"/>
      <c r="H548" s="1271"/>
      <c r="I548" s="1271"/>
      <c r="J548" s="1271"/>
      <c r="K548" s="1271"/>
      <c r="L548" s="1271"/>
      <c r="M548" s="1272"/>
    </row>
    <row r="549" spans="2:13" s="268" customFormat="1" x14ac:dyDescent="0.25">
      <c r="B549" s="1270"/>
      <c r="C549" s="1271"/>
      <c r="D549" s="1271"/>
      <c r="E549" s="1271"/>
      <c r="F549" s="1271"/>
      <c r="G549" s="1271"/>
      <c r="H549" s="1271"/>
      <c r="I549" s="1271"/>
      <c r="J549" s="1271"/>
      <c r="K549" s="1271"/>
      <c r="L549" s="1271"/>
      <c r="M549" s="1272"/>
    </row>
    <row r="550" spans="2:13" s="268" customFormat="1" x14ac:dyDescent="0.25">
      <c r="B550" s="1270"/>
      <c r="C550" s="1271"/>
      <c r="D550" s="1271"/>
      <c r="E550" s="1271"/>
      <c r="F550" s="1271"/>
      <c r="G550" s="1271"/>
      <c r="H550" s="1271"/>
      <c r="I550" s="1271"/>
      <c r="J550" s="1271"/>
      <c r="K550" s="1271"/>
      <c r="L550" s="1271"/>
      <c r="M550" s="1272"/>
    </row>
    <row r="551" spans="2:13" s="268" customFormat="1" x14ac:dyDescent="0.25">
      <c r="B551" s="1270"/>
      <c r="C551" s="1271"/>
      <c r="D551" s="1271"/>
      <c r="E551" s="1271"/>
      <c r="F551" s="1271"/>
      <c r="G551" s="1271"/>
      <c r="H551" s="1271"/>
      <c r="I551" s="1271"/>
      <c r="J551" s="1271"/>
      <c r="K551" s="1271"/>
      <c r="L551" s="1271"/>
      <c r="M551" s="1272"/>
    </row>
    <row r="552" spans="2:13" s="268" customFormat="1" x14ac:dyDescent="0.25">
      <c r="B552" s="1270"/>
      <c r="C552" s="1271"/>
      <c r="D552" s="1271"/>
      <c r="E552" s="1271"/>
      <c r="F552" s="1271"/>
      <c r="G552" s="1271"/>
      <c r="H552" s="1271"/>
      <c r="I552" s="1271"/>
      <c r="J552" s="1271"/>
      <c r="K552" s="1271"/>
      <c r="L552" s="1271"/>
      <c r="M552" s="1272"/>
    </row>
    <row r="553" spans="2:13" s="268" customFormat="1" x14ac:dyDescent="0.25">
      <c r="B553" s="1270"/>
      <c r="C553" s="1271"/>
      <c r="D553" s="1271"/>
      <c r="E553" s="1271"/>
      <c r="F553" s="1271"/>
      <c r="G553" s="1271"/>
      <c r="H553" s="1271"/>
      <c r="I553" s="1271"/>
      <c r="J553" s="1271"/>
      <c r="K553" s="1271"/>
      <c r="L553" s="1271"/>
      <c r="M553" s="1272"/>
    </row>
    <row r="554" spans="2:13" s="268" customFormat="1" x14ac:dyDescent="0.25">
      <c r="B554" s="1273"/>
      <c r="C554" s="1274"/>
      <c r="D554" s="1274"/>
      <c r="E554" s="1274"/>
      <c r="F554" s="1274"/>
      <c r="G554" s="1274"/>
      <c r="H554" s="1274"/>
      <c r="I554" s="1274"/>
      <c r="J554" s="1274"/>
      <c r="K554" s="1274"/>
      <c r="L554" s="1274"/>
      <c r="M554" s="1275"/>
    </row>
    <row r="555" spans="2:13" s="268" customFormat="1" x14ac:dyDescent="0.25"/>
    <row r="556" spans="2:13" s="268" customFormat="1" x14ac:dyDescent="0.25"/>
    <row r="557" spans="2:13" s="234" customFormat="1" ht="12.75" customHeight="1" x14ac:dyDescent="0.25">
      <c r="B557" s="313" t="str">
        <f>'3. PARTNER'!C$4</f>
        <v xml:space="preserve">Project: </v>
      </c>
      <c r="C557" s="1062" t="str">
        <f>'3. PARTNER'!D$4</f>
        <v/>
      </c>
      <c r="D557" s="1001"/>
      <c r="E557" s="1001"/>
      <c r="F557" s="1001"/>
      <c r="G557" s="1001"/>
      <c r="H557" s="1001"/>
      <c r="I557" s="1001"/>
      <c r="J557" s="1001"/>
      <c r="K557" s="1001"/>
      <c r="L557" s="1001"/>
      <c r="M557" s="1001"/>
    </row>
    <row r="558" spans="2:13" s="234" customFormat="1" ht="13.2" x14ac:dyDescent="0.25">
      <c r="B558" s="313" t="str">
        <f>'3. PARTNER'!C$5</f>
        <v xml:space="preserve">Calculation for: </v>
      </c>
      <c r="C558" s="1062" t="str">
        <f>'3. PARTNER'!D$5</f>
        <v>APPLICATION</v>
      </c>
      <c r="D558" s="1001"/>
      <c r="E558" s="268"/>
      <c r="F558" s="268"/>
      <c r="G558" s="268"/>
      <c r="H558" s="268"/>
      <c r="I558" s="268"/>
      <c r="J558" s="268"/>
      <c r="K558" s="268"/>
      <c r="L558" s="268"/>
      <c r="M558" s="268"/>
    </row>
    <row r="559" spans="2:13" s="234" customFormat="1" ht="13.2" x14ac:dyDescent="0.25">
      <c r="B559" s="35" t="str">
        <f>'3. PARTNER'!C$6</f>
        <v xml:space="preserve">Project leader: </v>
      </c>
      <c r="C559" s="1062" t="str">
        <f>'3. PARTNER'!D$6</f>
        <v/>
      </c>
      <c r="D559" s="1001"/>
      <c r="E559" s="1001"/>
      <c r="F559" s="1001"/>
      <c r="G559" s="1001"/>
      <c r="H559" s="1001"/>
      <c r="I559" s="1001"/>
      <c r="J559" s="1001"/>
      <c r="K559" s="1001"/>
      <c r="L559" s="1001"/>
      <c r="M559" s="1001"/>
    </row>
    <row r="560" spans="2:13" s="234" customFormat="1" ht="13.2" x14ac:dyDescent="0.25">
      <c r="B560" s="313" t="str">
        <f>'5. PERSON'!B$7</f>
        <v xml:space="preserve">Amounts in: </v>
      </c>
      <c r="C560" s="672" t="str">
        <f>'5. PERSON'!C$7</f>
        <v>SEK</v>
      </c>
      <c r="D560" s="268"/>
      <c r="E560" s="268"/>
      <c r="F560" s="268"/>
      <c r="I560" s="270"/>
      <c r="J560" s="270"/>
      <c r="K560" s="270"/>
      <c r="L560" s="270"/>
      <c r="M560" s="270"/>
    </row>
    <row r="561" spans="2:15" s="234" customFormat="1" ht="13.2" x14ac:dyDescent="0.25">
      <c r="B561" s="313"/>
      <c r="C561" s="1053" t="str">
        <f>'3. PARTNER'!D$7</f>
        <v>Other basic data about the project is in sheet 2.</v>
      </c>
      <c r="D561" s="1001"/>
      <c r="E561" s="1001"/>
      <c r="F561" s="1001"/>
      <c r="I561" s="270"/>
      <c r="J561" s="270"/>
      <c r="K561" s="270"/>
      <c r="L561" s="251" t="s">
        <v>4</v>
      </c>
      <c r="M561" s="270"/>
    </row>
    <row r="562" spans="2:15" s="268" customFormat="1" ht="12.75" customHeight="1" x14ac:dyDescent="0.25">
      <c r="L562" s="252" t="str">
        <f>IF('1. INTRO'!I$2="English","months","månader")</f>
        <v>months</v>
      </c>
    </row>
    <row r="563" spans="2:15" s="234" customFormat="1" ht="13.8" x14ac:dyDescent="0.25">
      <c r="B563" s="678" t="str">
        <f>IF('1. INTRO'!I$2="English","Project costs","Projektkostnader")</f>
        <v>Project costs</v>
      </c>
      <c r="C563" s="678" t="str">
        <f>B25</f>
        <v>WP 11</v>
      </c>
      <c r="D563" s="234" t="str">
        <f>E25</f>
        <v/>
      </c>
      <c r="E563" s="268"/>
      <c r="G563" s="268"/>
      <c r="H563" s="268"/>
      <c r="I563" s="268"/>
      <c r="J563" s="268"/>
      <c r="K563" s="676"/>
      <c r="L563" s="899">
        <f>SUMIF('5. PERSON'!$D$17:$D$192,$C563,'5. PERSON'!AE$17:AE$192)</f>
        <v>0</v>
      </c>
      <c r="M563" s="680" t="s">
        <v>330</v>
      </c>
    </row>
    <row r="564" spans="2:15" s="234" customFormat="1" ht="6" customHeight="1" x14ac:dyDescent="0.25">
      <c r="B564" s="602"/>
      <c r="C564" s="268"/>
      <c r="D564" s="268"/>
      <c r="E564" s="268"/>
      <c r="F564" s="268"/>
      <c r="G564" s="268"/>
      <c r="H564" s="268"/>
      <c r="I564" s="268"/>
      <c r="J564" s="268"/>
      <c r="K564" s="268"/>
      <c r="L564" s="268"/>
      <c r="M564" s="268"/>
    </row>
    <row r="565" spans="2:15" s="234" customFormat="1" ht="13.2" x14ac:dyDescent="0.25">
      <c r="B565" s="110" t="str">
        <f>IF('1. INTRO'!I$2="English","Costs to be covered by funding body","Kostnader att täckas av finansiär")</f>
        <v>Costs to be covered by funding body</v>
      </c>
      <c r="C565" s="607">
        <f>'5. PERSON'!G$15</f>
        <v>1900</v>
      </c>
      <c r="D565" s="607" t="str">
        <f>'5. PERSON'!H$15</f>
        <v/>
      </c>
      <c r="E565" s="607" t="str">
        <f>'5. PERSON'!I$15</f>
        <v/>
      </c>
      <c r="F565" s="607" t="str">
        <f>'5. PERSON'!J$15</f>
        <v/>
      </c>
      <c r="G565" s="607" t="str">
        <f>'5. PERSON'!K$15</f>
        <v/>
      </c>
      <c r="H565" s="607" t="str">
        <f>'5. PERSON'!L$15</f>
        <v/>
      </c>
      <c r="I565" s="607" t="str">
        <f>'5. PERSON'!M$15</f>
        <v/>
      </c>
      <c r="J565" s="607" t="str">
        <f>'5. PERSON'!N$15</f>
        <v/>
      </c>
      <c r="K565" s="607" t="str">
        <f>'5. PERSON'!O$15</f>
        <v/>
      </c>
      <c r="L565" s="607" t="str">
        <f>'5. PERSON'!P$15</f>
        <v/>
      </c>
      <c r="M565" s="608" t="s">
        <v>2</v>
      </c>
    </row>
    <row r="566" spans="2:15" s="234" customFormat="1" ht="12.75" customHeight="1" x14ac:dyDescent="0.25">
      <c r="B566" s="902" t="str">
        <f>IF('1. INTRO'!I$2="English","Salary including social costs (LKP)","Lön inklusive LKP")</f>
        <v>Salary including social costs (LKP)</v>
      </c>
      <c r="C566" s="610">
        <f>IF('2. START'!$C$14&gt;0,SUMIF('5. PERSON'!$D$17:$D$192,$C563,'5. PERSON'!DN$17:DN$192),SUMIF('5. PERSON'!$D$17:$D$192,$C563,'5. PERSON'!AT$17:AT$192))</f>
        <v>0</v>
      </c>
      <c r="D566" s="610">
        <f>IF('2. START'!$C$14&gt;0,SUMIF('5. PERSON'!$D$17:$D$192,$C563,'5. PERSON'!DO$17:DO$192),SUMIF('5. PERSON'!$D$17:$D$192,$C563,'5. PERSON'!AU$17:AU$192))</f>
        <v>0</v>
      </c>
      <c r="E566" s="610">
        <f>IF('2. START'!$C$14&gt;0,SUMIF('5. PERSON'!$D$17:$D$192,$C563,'5. PERSON'!DP$17:DP$192),SUMIF('5. PERSON'!$D$17:$D$192,$C563,'5. PERSON'!AV$17:AV$192))</f>
        <v>0</v>
      </c>
      <c r="F566" s="610">
        <f>IF('2. START'!$C$14&gt;0,SUMIF('5. PERSON'!$D$17:$D$192,$C563,'5. PERSON'!DQ$17:DQ$192),SUMIF('5. PERSON'!$D$17:$D$192,$C563,'5. PERSON'!AW$17:AW$192))</f>
        <v>0</v>
      </c>
      <c r="G566" s="610">
        <f>IF('2. START'!$C$14&gt;0,SUMIF('5. PERSON'!$D$17:$D$192,$C563,'5. PERSON'!DR$17:DR$192),SUMIF('5. PERSON'!$D$17:$D$192,$C563,'5. PERSON'!AX$17:AX$192))</f>
        <v>0</v>
      </c>
      <c r="H566" s="610">
        <f>IF('2. START'!$C$14&gt;0,SUMIF('5. PERSON'!$D$17:$D$192,$C563,'5. PERSON'!DS$17:DS$192),SUMIF('5. PERSON'!$D$17:$D$192,$C563,'5. PERSON'!AY$17:AY$192))</f>
        <v>0</v>
      </c>
      <c r="I566" s="610">
        <f>IF('2. START'!$C$14&gt;0,SUMIF('5. PERSON'!$D$17:$D$192,$C563,'5. PERSON'!DT$17:DT$192),SUMIF('5. PERSON'!$D$17:$D$192,$C563,'5. PERSON'!AZ$17:AZ$192))</f>
        <v>0</v>
      </c>
      <c r="J566" s="610">
        <f>IF('2. START'!$C$14&gt;0,SUMIF('5. PERSON'!$D$17:$D$192,$C563,'5. PERSON'!DU$17:DU$192),SUMIF('5. PERSON'!$D$17:$D$192,$C563,'5. PERSON'!BA$17:BA$192))</f>
        <v>0</v>
      </c>
      <c r="K566" s="610">
        <f>IF('2. START'!$C$14&gt;0,SUMIF('5. PERSON'!$D$17:$D$192,$C563,'5. PERSON'!DV$17:DV$192),SUMIF('5. PERSON'!$D$17:$D$192,$C563,'5. PERSON'!BB$17:BB$192))</f>
        <v>0</v>
      </c>
      <c r="L566" s="610">
        <f>IF('2. START'!$C$14&gt;0,SUMIF('5. PERSON'!$D$17:$D$192,$C563,'5. PERSON'!DW$17:DW$192),SUMIF('5. PERSON'!$D$17:$D$192,$C563,'5. PERSON'!BC$17:BC$192))</f>
        <v>0</v>
      </c>
      <c r="M566" s="903">
        <f t="shared" ref="M566:M571" si="89">SUM(C566:L566)</f>
        <v>0</v>
      </c>
      <c r="O566" s="904"/>
    </row>
    <row r="567" spans="2:15" s="234" customFormat="1" ht="12.75" customHeight="1" x14ac:dyDescent="0.25">
      <c r="B567" s="377" t="str">
        <f>IF('1. INTRO'!I$2="English","Operating","Drift")</f>
        <v>Operating</v>
      </c>
      <c r="C567" s="615">
        <f>SUMIF('6. OPERATION'!$D$17:$D$149,$C563,'6. OPERATION'!W$17:W$149)</f>
        <v>0</v>
      </c>
      <c r="D567" s="615">
        <f>SUMIF('6. OPERATION'!$D$17:$D$149,$C563,'6. OPERATION'!X$17:X$149)</f>
        <v>0</v>
      </c>
      <c r="E567" s="615">
        <f>SUMIF('6. OPERATION'!$D$17:$D$149,$C563,'6. OPERATION'!Y$17:Y$149)</f>
        <v>0</v>
      </c>
      <c r="F567" s="615">
        <f>SUMIF('6. OPERATION'!$D$17:$D$149,$C563,'6. OPERATION'!Z$17:Z$149)</f>
        <v>0</v>
      </c>
      <c r="G567" s="615">
        <f>SUMIF('6. OPERATION'!$D$17:$D$149,$C563,'6. OPERATION'!AA$17:AA$149)</f>
        <v>0</v>
      </c>
      <c r="H567" s="615">
        <f>SUMIF('6. OPERATION'!$D$17:$D$149,$C563,'6. OPERATION'!AB$17:AB$149)</f>
        <v>0</v>
      </c>
      <c r="I567" s="615">
        <f>SUMIF('6. OPERATION'!$D$17:$D$149,$C563,'6. OPERATION'!AC$17:AC$149)</f>
        <v>0</v>
      </c>
      <c r="J567" s="615">
        <f>SUMIF('6. OPERATION'!$D$17:$D$149,$C563,'6. OPERATION'!AD$17:AD$149)</f>
        <v>0</v>
      </c>
      <c r="K567" s="615">
        <f>SUMIF('6. OPERATION'!$D$17:$D$149,$C563,'6. OPERATION'!AE$17:AE$149)</f>
        <v>0</v>
      </c>
      <c r="L567" s="615">
        <f>SUMIF('6. OPERATION'!$D$17:$D$149,$C563,'6. OPERATION'!AF$17:AF$149)</f>
        <v>0</v>
      </c>
      <c r="M567" s="905">
        <f t="shared" si="89"/>
        <v>0</v>
      </c>
    </row>
    <row r="568" spans="2:15" s="234" customFormat="1" ht="13.2" x14ac:dyDescent="0.25">
      <c r="B568" s="906" t="str">
        <f>IF('1. INTRO'!I$2="English","Equipment","Utrustning")</f>
        <v>Equipment</v>
      </c>
      <c r="C568" s="620">
        <f>SUMIF('7. INVEST'!$D$17:$D$49,$C563,'7. INVEST'!W$17:W$49)</f>
        <v>0</v>
      </c>
      <c r="D568" s="620">
        <f>SUMIF('7. INVEST'!$D$17:$D$49,$C563,'7. INVEST'!X$17:X$49)</f>
        <v>0</v>
      </c>
      <c r="E568" s="620">
        <f>SUMIF('7. INVEST'!$D$17:$D$49,$C563,'7. INVEST'!Y$17:Y$49)</f>
        <v>0</v>
      </c>
      <c r="F568" s="620">
        <f>SUMIF('7. INVEST'!$D$17:$D$49,$C563,'7. INVEST'!Z$17:Z$49)</f>
        <v>0</v>
      </c>
      <c r="G568" s="620">
        <f>SUMIF('7. INVEST'!$D$17:$D$49,$C563,'7. INVEST'!AA$17:AA$49)</f>
        <v>0</v>
      </c>
      <c r="H568" s="620">
        <f>SUMIF('7. INVEST'!$D$17:$D$49,$C563,'7. INVEST'!AB$17:AB$49)</f>
        <v>0</v>
      </c>
      <c r="I568" s="620">
        <f>SUMIF('7. INVEST'!$D$17:$D$49,$C563,'7. INVEST'!AC$17:AC$49)</f>
        <v>0</v>
      </c>
      <c r="J568" s="620">
        <f>SUMIF('7. INVEST'!$D$17:$D$49,$C563,'7. INVEST'!AD$17:AD$49)</f>
        <v>0</v>
      </c>
      <c r="K568" s="620">
        <f>SUMIF('7. INVEST'!$D$17:$D$49,$C563,'7. INVEST'!AE$17:AE$49)</f>
        <v>0</v>
      </c>
      <c r="L568" s="620">
        <f>SUMIF('7. INVEST'!$D$17:$D$49,$C563,'7. INVEST'!AF$17:AF$49)</f>
        <v>0</v>
      </c>
      <c r="M568" s="907">
        <f t="shared" si="89"/>
        <v>0</v>
      </c>
    </row>
    <row r="569" spans="2:15" s="234" customFormat="1" ht="13.2" x14ac:dyDescent="0.25">
      <c r="B569" s="121" t="str">
        <f>IF('1. INTRO'!I$2="English",(IF('2. START'!C$11="NO","Facility accepted as direct cost by funding body","Facility")),IF('2. START'!C$11="NO","Lokal accepterad som direkt kostnad av finansiär","Lokal"))</f>
        <v>Facility</v>
      </c>
      <c r="C569" s="615">
        <f>IF('2. START'!$C$11="NO",SUMIF('8. FACILIT'!$D$18:$D$50,$C563,'8. FACILIT'!T$18:T$50),SUMIF('5. PERSON'!$D$17:$D$192,$C563,'5. PERSON'!CP$17:CP$192)+SUMIF('6. OPERATION'!$D$17:$D$149,$C563,'6. OPERATION'!BS$17:BS$149)+SUMIF('8. FACILIT'!$D$18:$D$50,$C563,'8. FACILIT'!T$18:T$50))</f>
        <v>0</v>
      </c>
      <c r="D569" s="615">
        <f>IF('2. START'!$C$11="NO",SUMIF('8. FACILIT'!$D$18:$D$50,$C563,'8. FACILIT'!U$18:U$50),SUMIF('5. PERSON'!$D$17:$D$192,$C563,'5. PERSON'!CQ$17:CQ$192)+SUMIF('6. OPERATION'!$D$17:$D$149,$C563,'6. OPERATION'!BT$17:BT$149)+SUMIF('8. FACILIT'!$D$18:$D$50,$C563,'8. FACILIT'!U$18:U$50))</f>
        <v>0</v>
      </c>
      <c r="E569" s="615">
        <f>IF('2. START'!$C$11="NO",SUMIF('8. FACILIT'!$D$18:$D$50,$C563,'8. FACILIT'!V$18:V$50),SUMIF('5. PERSON'!$D$17:$D$192,$C563,'5. PERSON'!CR$17:CR$192)+SUMIF('6. OPERATION'!$D$17:$D$149,$C563,'6. OPERATION'!BU$17:BU$149)+SUMIF('8. FACILIT'!$D$18:$D$50,$C563,'8. FACILIT'!V$18:V$50))</f>
        <v>0</v>
      </c>
      <c r="F569" s="615">
        <f>IF('2. START'!$C$11="NO",SUMIF('8. FACILIT'!$D$18:$D$50,$C563,'8. FACILIT'!W$18:W$50),SUMIF('5. PERSON'!$D$17:$D$192,$C563,'5. PERSON'!CS$17:CS$192)+SUMIF('6. OPERATION'!$D$17:$D$149,$C563,'6. OPERATION'!BV$17:BV$149)+SUMIF('8. FACILIT'!$D$18:$D$50,$C563,'8. FACILIT'!W$18:W$50))</f>
        <v>0</v>
      </c>
      <c r="G569" s="615">
        <f>IF('2. START'!$C$11="NO",SUMIF('8. FACILIT'!$D$18:$D$50,$C563,'8. FACILIT'!X$18:X$50),SUMIF('5. PERSON'!$D$17:$D$192,$C563,'5. PERSON'!CT$17:CT$192)+SUMIF('6. OPERATION'!$D$17:$D$149,$C563,'6. OPERATION'!BW$17:BW$149)+SUMIF('8. FACILIT'!$D$18:$D$50,$C563,'8. FACILIT'!X$18:X$50))</f>
        <v>0</v>
      </c>
      <c r="H569" s="615">
        <f>IF('2. START'!$C$11="NO",SUMIF('8. FACILIT'!$D$18:$D$50,$C563,'8. FACILIT'!Y$18:Y$50),SUMIF('5. PERSON'!$D$17:$D$192,$C563,'5. PERSON'!CU$17:CU$192)+SUMIF('6. OPERATION'!$D$17:$D$149,$C563,'6. OPERATION'!BX$17:BX$149)+SUMIF('8. FACILIT'!$D$18:$D$50,$C563,'8. FACILIT'!Y$18:Y$50))</f>
        <v>0</v>
      </c>
      <c r="I569" s="615">
        <f>IF('2. START'!$C$11="NO",SUMIF('8. FACILIT'!$D$18:$D$50,$C563,'8. FACILIT'!Z$18:Z$50),SUMIF('5. PERSON'!$D$17:$D$192,$C563,'5. PERSON'!CV$17:CV$192)+SUMIF('6. OPERATION'!$D$17:$D$149,$C563,'6. OPERATION'!BY$17:BY$149)+SUMIF('8. FACILIT'!$D$18:$D$50,$C563,'8. FACILIT'!Z$18:Z$50))</f>
        <v>0</v>
      </c>
      <c r="J569" s="615">
        <f>IF('2. START'!$C$11="NO",SUMIF('8. FACILIT'!$D$18:$D$50,$C563,'8. FACILIT'!AA$18:AA$50),SUMIF('5. PERSON'!$D$17:$D$192,$C563,'5. PERSON'!CW$17:CW$192)+SUMIF('6. OPERATION'!$D$17:$D$149,$C563,'6. OPERATION'!BZ$17:BZ$149)+SUMIF('8. FACILIT'!$D$18:$D$50,$C563,'8. FACILIT'!AA$18:AA$50))</f>
        <v>0</v>
      </c>
      <c r="K569" s="615">
        <f>IF('2. START'!$C$11="NO",SUMIF('8. FACILIT'!$D$18:$D$50,$C563,'8. FACILIT'!AB$18:AB$50),SUMIF('5. PERSON'!$D$17:$D$192,$C563,'5. PERSON'!CX$17:CX$192)+SUMIF('6. OPERATION'!$D$17:$D$149,$C563,'6. OPERATION'!CA$17:CA$149)+SUMIF('8. FACILIT'!$D$18:$D$50,$C563,'8. FACILIT'!AB$18:AB$50))</f>
        <v>0</v>
      </c>
      <c r="L569" s="615">
        <f>IF('2. START'!$C$11="NO",SUMIF('8. FACILIT'!$D$18:$D$50,$C563,'8. FACILIT'!AC$18:AC$50),SUMIF('5. PERSON'!$D$17:$D$192,$C563,'5. PERSON'!CY$17:CY$192)+SUMIF('6. OPERATION'!$D$17:$D$149,$C563,'6. OPERATION'!CB$17:CB$149)+SUMIF('8. FACILIT'!$D$18:$D$50,$C563,'8. FACILIT'!AC$18:AC$50))</f>
        <v>0</v>
      </c>
      <c r="M569" s="905">
        <f t="shared" si="89"/>
        <v>0</v>
      </c>
    </row>
    <row r="570" spans="2:15" s="234" customFormat="1" ht="13.2" x14ac:dyDescent="0.25">
      <c r="B570" s="122" t="str">
        <f>IF('1. INTRO'!I$2="English",(IF('2. START'!C$11="NO","Indirect and facility charge accepted as OH by funding body","Indirect")),IF('2. START'!C$11="NO","Indirekt och lokalpåslag accepterade som OH av finansiär","Indirekt"))</f>
        <v>Indirect</v>
      </c>
      <c r="C570" s="584">
        <f>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584">
        <f>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584">
        <f>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584">
        <f>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584">
        <f>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584">
        <f>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584">
        <f>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584">
        <f>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584">
        <f>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584">
        <f>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908">
        <f t="shared" si="89"/>
        <v>0</v>
      </c>
    </row>
    <row r="571" spans="2:15" s="234" customFormat="1" ht="13.2" x14ac:dyDescent="0.25">
      <c r="B571" s="628" t="s">
        <v>113</v>
      </c>
      <c r="C571" s="443">
        <f>SUM(C566:C570)</f>
        <v>0</v>
      </c>
      <c r="D571" s="443">
        <f t="shared" ref="D571:L571" si="90">SUM(D566:D570)</f>
        <v>0</v>
      </c>
      <c r="E571" s="443">
        <f t="shared" si="90"/>
        <v>0</v>
      </c>
      <c r="F571" s="443">
        <f t="shared" si="90"/>
        <v>0</v>
      </c>
      <c r="G571" s="443">
        <f t="shared" si="90"/>
        <v>0</v>
      </c>
      <c r="H571" s="443">
        <f t="shared" si="90"/>
        <v>0</v>
      </c>
      <c r="I571" s="443">
        <f t="shared" si="90"/>
        <v>0</v>
      </c>
      <c r="J571" s="443">
        <f t="shared" si="90"/>
        <v>0</v>
      </c>
      <c r="K571" s="443">
        <f t="shared" si="90"/>
        <v>0</v>
      </c>
      <c r="L571" s="443">
        <f t="shared" si="90"/>
        <v>0</v>
      </c>
      <c r="M571" s="630">
        <f t="shared" si="89"/>
        <v>0</v>
      </c>
    </row>
    <row r="572" spans="2:15" s="234" customFormat="1" ht="6" customHeight="1" x14ac:dyDescent="0.25">
      <c r="B572" s="909"/>
      <c r="C572" s="127"/>
      <c r="D572" s="127"/>
      <c r="E572" s="127"/>
      <c r="F572" s="127"/>
      <c r="G572" s="127"/>
      <c r="H572" s="127"/>
      <c r="I572" s="127"/>
      <c r="J572" s="127"/>
      <c r="K572" s="127"/>
      <c r="L572" s="127"/>
      <c r="M572" s="633"/>
    </row>
    <row r="573" spans="2:15" s="234" customFormat="1" ht="13.2" x14ac:dyDescent="0.25">
      <c r="B573" s="129" t="str">
        <f>IF('1. INTRO'!I$2="English","Costs to be co-funded","Kostnader att medfinansiera")</f>
        <v>Costs to be co-funded</v>
      </c>
      <c r="C573" s="634"/>
      <c r="D573" s="634"/>
      <c r="E573" s="634"/>
      <c r="F573" s="634"/>
      <c r="G573" s="634"/>
      <c r="H573" s="634"/>
      <c r="I573" s="634"/>
      <c r="J573" s="634"/>
      <c r="K573" s="634"/>
      <c r="L573" s="634"/>
      <c r="M573" s="129"/>
    </row>
    <row r="574" spans="2:15" s="234" customFormat="1" ht="13.2" x14ac:dyDescent="0.25">
      <c r="B574" s="159" t="str">
        <f>IF('1. INTRO'!I$2="English",(IF('2. START'!C$11="NO","Indirect and facility charge not accepted as OH by funding body","")),IF('2. START'!C$11="NO","Indirekt och lokalpåslag inte accepterade som OH av finansiär",""))</f>
        <v/>
      </c>
      <c r="C574" s="910">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910">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910">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910">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910">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910">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910">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910">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910">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910">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903">
        <f t="shared" ref="M574:M580" si="91">SUM(C574:L574)</f>
        <v>0</v>
      </c>
    </row>
    <row r="575" spans="2:15" s="234" customFormat="1" ht="12.75" customHeight="1" x14ac:dyDescent="0.25">
      <c r="B575" s="132" t="str">
        <f>IF('1. INTRO'!I$2="English",(IF('2. START'!C$14&gt;0,"Social costs (LKP) not accepted by funding body","")),IF('2. START'!C$14&gt;0,"LKP som inte accepteras av finansiär",""))</f>
        <v/>
      </c>
      <c r="C575" s="911">
        <f>IF('2. START'!$C$14&gt;0,SUMIF('5. PERSON'!$D$17:$D$192,$C563,'5. PERSON'!AT$17:AT$192)-SUMIF('5. PERSON'!$D$17:$D$192,$C563,'5. PERSON'!DN$17:DN$192),0)</f>
        <v>0</v>
      </c>
      <c r="D575" s="911">
        <f>IF('2. START'!$C$14&gt;0,SUMIF('5. PERSON'!$D$17:$D$192,$C563,'5. PERSON'!AU$17:AU$192)-SUMIF('5. PERSON'!$D$17:$D$192,$C563,'5. PERSON'!DO$17:DO$192),0)</f>
        <v>0</v>
      </c>
      <c r="E575" s="911">
        <f>IF('2. START'!$C$14&gt;0,SUMIF('5. PERSON'!$D$17:$D$192,$C563,'5. PERSON'!AV$17:AV$192)-SUMIF('5. PERSON'!$D$17:$D$192,$C563,'5. PERSON'!DP$17:DP$192),0)</f>
        <v>0</v>
      </c>
      <c r="F575" s="911">
        <f>IF('2. START'!$C$14&gt;0,SUMIF('5. PERSON'!$D$17:$D$192,$C563,'5. PERSON'!AW$17:AW$192)-SUMIF('5. PERSON'!$D$17:$D$192,$C563,'5. PERSON'!DQ$17:DQ$192),0)</f>
        <v>0</v>
      </c>
      <c r="G575" s="911">
        <f>IF('2. START'!$C$14&gt;0,SUMIF('5. PERSON'!$D$17:$D$192,$C563,'5. PERSON'!AX$17:AX$192)-SUMIF('5. PERSON'!$D$17:$D$192,$C563,'5. PERSON'!DR$17:DR$192),0)</f>
        <v>0</v>
      </c>
      <c r="H575" s="911">
        <f>IF('2. START'!$C$14&gt;0,SUMIF('5. PERSON'!$D$17:$D$192,$C563,'5. PERSON'!AY$17:AY$192)-SUMIF('5. PERSON'!$D$17:$D$192,$C563,'5. PERSON'!DS$17:DS$192),0)</f>
        <v>0</v>
      </c>
      <c r="I575" s="911">
        <f>IF('2. START'!$C$14&gt;0,SUMIF('5. PERSON'!$D$17:$D$192,$C563,'5. PERSON'!AZ$17:AZ$192)-SUMIF('5. PERSON'!$D$17:$D$192,$C563,'5. PERSON'!DT$17:DT$192),0)</f>
        <v>0</v>
      </c>
      <c r="J575" s="911">
        <f>IF('2. START'!$C$14&gt;0,SUMIF('5. PERSON'!$D$17:$D$192,$C563,'5. PERSON'!BA$17:BA$192)-SUMIF('5. PERSON'!$D$17:$D$192,$C563,'5. PERSON'!DU$17:DU$192),0)</f>
        <v>0</v>
      </c>
      <c r="K575" s="911">
        <f>IF('2. START'!$C$14&gt;0,SUMIF('5. PERSON'!$D$17:$D$192,$C563,'5. PERSON'!BB$17:BB$192)-SUMIF('5. PERSON'!$D$17:$D$192,$C563,'5. PERSON'!DV$17:DV$192),0)</f>
        <v>0</v>
      </c>
      <c r="L575" s="911">
        <f>IF('2. START'!$C$14&gt;0,SUMIF('5. PERSON'!$D$17:$D$192,$C563,'5. PERSON'!BC$17:BC$192)-SUMIF('5. PERSON'!$D$17:$D$192,$C563,'5. PERSON'!DW$17:DW$192),0)</f>
        <v>0</v>
      </c>
      <c r="M575" s="905">
        <f t="shared" si="91"/>
        <v>0</v>
      </c>
    </row>
    <row r="576" spans="2:15" s="234" customFormat="1" ht="12.75" customHeight="1" x14ac:dyDescent="0.25">
      <c r="B576" s="906" t="str">
        <f>IF('1. INTRO'!I$2="English",(IF('5. PERSON'!BP$193&gt;0,"Salary including social costs (LKP)","")),IF('5. PERSON'!BP$193&gt;0,"Lön inklusive LKP",""))</f>
        <v/>
      </c>
      <c r="C576" s="622">
        <f>SUMIF('5. PERSON'!$D$17:$D$192,$C563,'5. PERSON'!BF$17:BF$192)</f>
        <v>0</v>
      </c>
      <c r="D576" s="622">
        <f>SUMIF('5. PERSON'!$D$17:$D$192,$C563,'5. PERSON'!BG$17:BG$192)</f>
        <v>0</v>
      </c>
      <c r="E576" s="622">
        <f>SUMIF('5. PERSON'!$D$17:$D$192,$C563,'5. PERSON'!BH$17:BH$192)</f>
        <v>0</v>
      </c>
      <c r="F576" s="622">
        <f>SUMIF('5. PERSON'!$D$17:$D$192,$C563,'5. PERSON'!BI$17:BI$192)</f>
        <v>0</v>
      </c>
      <c r="G576" s="622">
        <f>SUMIF('5. PERSON'!$D$17:$D$192,$C563,'5. PERSON'!BJ$17:BJ$192)</f>
        <v>0</v>
      </c>
      <c r="H576" s="622">
        <f>SUMIF('5. PERSON'!$D$17:$D$192,$C563,'5. PERSON'!BK$17:BK$192)</f>
        <v>0</v>
      </c>
      <c r="I576" s="622">
        <f>SUMIF('5. PERSON'!$D$17:$D$192,$C563,'5. PERSON'!BL$17:BL$192)</f>
        <v>0</v>
      </c>
      <c r="J576" s="622">
        <f>SUMIF('5. PERSON'!$D$17:$D$192,$C563,'5. PERSON'!BM$17:BM$192)</f>
        <v>0</v>
      </c>
      <c r="K576" s="622">
        <f>SUMIF('5. PERSON'!$D$17:$D$192,$C563,'5. PERSON'!BN$17:BN$192)</f>
        <v>0</v>
      </c>
      <c r="L576" s="622">
        <f>SUMIF('5. PERSON'!$D$17:$D$192,$C563,'5. PERSON'!BO$17:BO$192)</f>
        <v>0</v>
      </c>
      <c r="M576" s="907">
        <f t="shared" si="91"/>
        <v>0</v>
      </c>
    </row>
    <row r="577" spans="2:15" s="234" customFormat="1" ht="13.2" x14ac:dyDescent="0.25">
      <c r="B577" s="377" t="str">
        <f>IF('1. INTRO'!I$2="English",(IF('6. OPERATION'!AS$150&gt;0,"Operating","")),IF('6. OPERATION'!AS$150&gt;0,"Drift",""))</f>
        <v/>
      </c>
      <c r="C577" s="617">
        <f>SUMIF('6. OPERATION'!$D$17:$D$149,$C563,'6. OPERATION'!AI$17:AI$149)</f>
        <v>0</v>
      </c>
      <c r="D577" s="617">
        <f>SUMIF('6. OPERATION'!$D$17:$D$149,$C563,'6. OPERATION'!AJ$17:AJ$149)</f>
        <v>0</v>
      </c>
      <c r="E577" s="617">
        <f>SUMIF('6. OPERATION'!$D$17:$D$149,$C563,'6. OPERATION'!AK$17:AK$149)</f>
        <v>0</v>
      </c>
      <c r="F577" s="617">
        <f>SUMIF('6. OPERATION'!$D$17:$D$149,$C563,'6. OPERATION'!AL$17:AL$149)</f>
        <v>0</v>
      </c>
      <c r="G577" s="617">
        <f>SUMIF('6. OPERATION'!$D$17:$D$149,$C563,'6. OPERATION'!AM$17:AM$149)</f>
        <v>0</v>
      </c>
      <c r="H577" s="617">
        <f>SUMIF('6. OPERATION'!$D$17:$D$149,$C563,'6. OPERATION'!AN$17:AN$149)</f>
        <v>0</v>
      </c>
      <c r="I577" s="617">
        <f>SUMIF('6. OPERATION'!$D$17:$D$149,$C563,'6. OPERATION'!AO$17:AO$149)</f>
        <v>0</v>
      </c>
      <c r="J577" s="617">
        <f>SUMIF('6. OPERATION'!$D$17:$D$149,$C563,'6. OPERATION'!AP$17:AP$149)</f>
        <v>0</v>
      </c>
      <c r="K577" s="617">
        <f>SUMIF('6. OPERATION'!$D$17:$D$149,$C563,'6. OPERATION'!AQ$17:AQ$149)</f>
        <v>0</v>
      </c>
      <c r="L577" s="617">
        <f>SUMIF('6. OPERATION'!$D$17:$D$149,$C563,'6. OPERATION'!AR$17:AR$149)</f>
        <v>0</v>
      </c>
      <c r="M577" s="905">
        <f t="shared" si="91"/>
        <v>0</v>
      </c>
    </row>
    <row r="578" spans="2:15" s="234" customFormat="1" ht="13.2" x14ac:dyDescent="0.25">
      <c r="B578" s="906" t="str">
        <f>IF('1. INTRO'!I$2="English",(IF('7. INVEST'!AS$50&gt;0,"Equipment","")),IF('7. INVEST'!AS$50&gt;0,"Utrustning",""))</f>
        <v/>
      </c>
      <c r="C578" s="622">
        <f>SUMIF('7. INVEST'!$D$17:$D$49,$C563,'7. INVEST'!AI$17:AI$49)</f>
        <v>0</v>
      </c>
      <c r="D578" s="622">
        <f>SUMIF('7. INVEST'!$D$17:$D$49,$C563,'7. INVEST'!AJ$17:AJ$49)</f>
        <v>0</v>
      </c>
      <c r="E578" s="622">
        <f>SUMIF('7. INVEST'!$D$17:$D$49,$C563,'7. INVEST'!AK$17:AK$49)</f>
        <v>0</v>
      </c>
      <c r="F578" s="622">
        <f>SUMIF('7. INVEST'!$D$17:$D$49,$C563,'7. INVEST'!AL$17:AL$49)</f>
        <v>0</v>
      </c>
      <c r="G578" s="622">
        <f>SUMIF('7. INVEST'!$D$17:$D$49,$C563,'7. INVEST'!AM$17:AM$49)</f>
        <v>0</v>
      </c>
      <c r="H578" s="622">
        <f>SUMIF('7. INVEST'!$D$17:$D$49,$C563,'7. INVEST'!AN$17:AN$49)</f>
        <v>0</v>
      </c>
      <c r="I578" s="622">
        <f>SUMIF('7. INVEST'!$D$17:$D$49,$C563,'7. INVEST'!AO$17:AO$49)</f>
        <v>0</v>
      </c>
      <c r="J578" s="622">
        <f>SUMIF('7. INVEST'!$D$17:$D$49,$C563,'7. INVEST'!AP$17:AP$49)</f>
        <v>0</v>
      </c>
      <c r="K578" s="622">
        <f>SUMIF('7. INVEST'!$D$17:$D$49,$C563,'7. INVEST'!AQ$17:AQ$49)</f>
        <v>0</v>
      </c>
      <c r="L578" s="622">
        <f>SUMIF('7. INVEST'!$D$17:$D$49,$C563,'7. INVEST'!AR$17:AR$49)</f>
        <v>0</v>
      </c>
      <c r="M578" s="907">
        <f t="shared" si="91"/>
        <v>0</v>
      </c>
    </row>
    <row r="579" spans="2:15" s="234" customFormat="1" ht="13.2" x14ac:dyDescent="0.25">
      <c r="B579" s="121" t="str">
        <f>IF('1. INTRO'!I$2="English",(IF('8. FACILIT'!AP$51&gt;0,"Facility","")),IF('8. FACILIT'!AP$51&gt;0,"Lokal",""))</f>
        <v/>
      </c>
      <c r="C579" s="617">
        <f>SUMIF('5. PERSON'!$D$17:$D$192,$C563,'5. PERSON'!DB$17:DB$192)+SUMIF('6. OPERATION'!$D$17:$D$149,$C563,'6. OPERATION'!CE$17:CE$149)+SUMIF('8. FACILIT'!$D$18:$D$50,$C563,'8. FACILIT'!AF$18:AF$50)</f>
        <v>0</v>
      </c>
      <c r="D579" s="617">
        <f>SUMIF('5. PERSON'!$D$17:$D$192,$C563,'5. PERSON'!DC$17:DC$192)+SUMIF('6. OPERATION'!$D$17:$D$149,$C563,'6. OPERATION'!CF$17:CF$149)+SUMIF('8. FACILIT'!$D$18:$D$50,$C563,'8. FACILIT'!AG$18:AG$50)</f>
        <v>0</v>
      </c>
      <c r="E579" s="617">
        <f>SUMIF('5. PERSON'!$D$17:$D$192,$C563,'5. PERSON'!DD$17:DD$192)+SUMIF('6. OPERATION'!$D$17:$D$149,$C563,'6. OPERATION'!CG$17:CG$149)+SUMIF('8. FACILIT'!$D$18:$D$50,$C563,'8. FACILIT'!AH$18:AH$50)</f>
        <v>0</v>
      </c>
      <c r="F579" s="617">
        <f>SUMIF('5. PERSON'!$D$17:$D$192,$C563,'5. PERSON'!DE$17:DE$192)+SUMIF('6. OPERATION'!$D$17:$D$149,$C563,'6. OPERATION'!CH$17:CH$149)+SUMIF('8. FACILIT'!$D$18:$D$50,$C563,'8. FACILIT'!AI$18:AI$50)</f>
        <v>0</v>
      </c>
      <c r="G579" s="617">
        <f>SUMIF('5. PERSON'!$D$17:$D$192,$C563,'5. PERSON'!DF$17:DF$192)+SUMIF('6. OPERATION'!$D$17:$D$149,$C563,'6. OPERATION'!CI$17:CI$149)+SUMIF('8. FACILIT'!$D$18:$D$50,$C563,'8. FACILIT'!AJ$18:AJ$50)</f>
        <v>0</v>
      </c>
      <c r="H579" s="617">
        <f>SUMIF('5. PERSON'!$D$17:$D$192,$C563,'5. PERSON'!DG$17:DG$192)+SUMIF('6. OPERATION'!$D$17:$D$149,$C563,'6. OPERATION'!CJ$17:CJ$149)+SUMIF('8. FACILIT'!$D$18:$D$50,$C563,'8. FACILIT'!AK$18:AK$50)</f>
        <v>0</v>
      </c>
      <c r="I579" s="617">
        <f>SUMIF('5. PERSON'!$D$17:$D$192,$C563,'5. PERSON'!DH$17:DH$192)+SUMIF('6. OPERATION'!$D$17:$D$149,$C563,'6. OPERATION'!CK$17:CK$149)+SUMIF('8. FACILIT'!$D$18:$D$50,$C563,'8. FACILIT'!AL$18:AL$50)</f>
        <v>0</v>
      </c>
      <c r="J579" s="617">
        <f>SUMIF('5. PERSON'!$D$17:$D$192,$C563,'5. PERSON'!DI$17:DI$192)+SUMIF('6. OPERATION'!$D$17:$D$149,$C563,'6. OPERATION'!CL$17:CL$149)+SUMIF('8. FACILIT'!$D$18:$D$50,$C563,'8. FACILIT'!AM$18:AM$50)</f>
        <v>0</v>
      </c>
      <c r="K579" s="617">
        <f>SUMIF('5. PERSON'!$D$17:$D$192,$C563,'5. PERSON'!DJ$17:DJ$192)+SUMIF('6. OPERATION'!$D$17:$D$149,$C563,'6. OPERATION'!CM$17:CM$149)+SUMIF('8. FACILIT'!$D$18:$D$50,$C563,'8. FACILIT'!AN$18:AN$50)</f>
        <v>0</v>
      </c>
      <c r="L579" s="617">
        <f>SUMIF('5. PERSON'!$D$17:$D$192,$C563,'5. PERSON'!DK$17:DK$192)+SUMIF('6. OPERATION'!$D$17:$D$149,$C563,'6. OPERATION'!CN$17:CN$149)+SUMIF('8. FACILIT'!$D$18:$D$50,$C563,'8. FACILIT'!AO$18:AO$50)</f>
        <v>0</v>
      </c>
      <c r="M579" s="905">
        <f t="shared" si="91"/>
        <v>0</v>
      </c>
    </row>
    <row r="580" spans="2:15" s="912" customFormat="1" ht="13.2" x14ac:dyDescent="0.25">
      <c r="B580" s="122" t="str">
        <f>IF('1. INTRO'!I$2="English",(IF(('5. PERSON'!CN$193+'6. OPERATION'!BQ$150)&gt;0,"Indirect","")),IF(('5. PERSON'!CN$193+'6. OPERATION'!BQ$150)&gt;0,"Indirekt",""))</f>
        <v/>
      </c>
      <c r="C580" s="584">
        <f>SUMIF('5. PERSON'!$D$17:$D$192,$C563,'5. PERSON'!CD$17:CD$192)+SUMIF('6. OPERATION'!$D$17:$D$149,$C563,'6. OPERATION'!BG$17:BG$149)</f>
        <v>0</v>
      </c>
      <c r="D580" s="584">
        <f>SUMIF('5. PERSON'!$D$17:$D$192,$C563,'5. PERSON'!CE$17:CE$192)+SUMIF('6. OPERATION'!$D$17:$D$149,$C563,'6. OPERATION'!BH$17:BH$149)</f>
        <v>0</v>
      </c>
      <c r="E580" s="584">
        <f>SUMIF('5. PERSON'!$D$17:$D$192,$C563,'5. PERSON'!CF$17:CF$192)+SUMIF('6. OPERATION'!$D$17:$D$149,$C563,'6. OPERATION'!BI$17:BI$149)</f>
        <v>0</v>
      </c>
      <c r="F580" s="584">
        <f>SUMIF('5. PERSON'!$D$17:$D$192,$C563,'5. PERSON'!CG$17:CG$192)+SUMIF('6. OPERATION'!$D$17:$D$149,$C563,'6. OPERATION'!BJ$17:BJ$149)</f>
        <v>0</v>
      </c>
      <c r="G580" s="584">
        <f>SUMIF('5. PERSON'!$D$17:$D$192,$C563,'5. PERSON'!CH$17:CH$192)+SUMIF('6. OPERATION'!$D$17:$D$149,$C563,'6. OPERATION'!BK$17:BK$149)</f>
        <v>0</v>
      </c>
      <c r="H580" s="584">
        <f>SUMIF('5. PERSON'!$D$17:$D$192,$C563,'5. PERSON'!CI$17:CI$192)+SUMIF('6. OPERATION'!$D$17:$D$149,$C563,'6. OPERATION'!BL$17:BL$149)</f>
        <v>0</v>
      </c>
      <c r="I580" s="584">
        <f>SUMIF('5. PERSON'!$D$17:$D$192,$C563,'5. PERSON'!CJ$17:CJ$192)+SUMIF('6. OPERATION'!$D$17:$D$149,$C563,'6. OPERATION'!BM$17:BM$149)</f>
        <v>0</v>
      </c>
      <c r="J580" s="584">
        <f>SUMIF('5. PERSON'!$D$17:$D$192,$C563,'5. PERSON'!CK$17:CK$192)+SUMIF('6. OPERATION'!$D$17:$D$149,$C563,'6. OPERATION'!BN$17:BN$149)</f>
        <v>0</v>
      </c>
      <c r="K580" s="584">
        <f>SUMIF('5. PERSON'!$D$17:$D$192,$C563,'5. PERSON'!CL$17:CL$192)+SUMIF('6. OPERATION'!$D$17:$D$149,$C563,'6. OPERATION'!BO$17:BO$149)</f>
        <v>0</v>
      </c>
      <c r="L580" s="584">
        <f>SUMIF('5. PERSON'!$D$17:$D$192,$C563,'5. PERSON'!CM$17:CM$192)+SUMIF('6. OPERATION'!$D$17:$D$149,$C563,'6. OPERATION'!BP$17:BP$149)</f>
        <v>0</v>
      </c>
      <c r="M580" s="908">
        <f t="shared" si="91"/>
        <v>0</v>
      </c>
    </row>
    <row r="581" spans="2:15" s="234" customFormat="1" ht="13.2" x14ac:dyDescent="0.25">
      <c r="B581" s="628" t="s">
        <v>113</v>
      </c>
      <c r="C581" s="443">
        <f>SUM(C574:C580)</f>
        <v>0</v>
      </c>
      <c r="D581" s="443">
        <f t="shared" ref="D581:M581" si="92">SUM(D574:D580)</f>
        <v>0</v>
      </c>
      <c r="E581" s="443">
        <f t="shared" si="92"/>
        <v>0</v>
      </c>
      <c r="F581" s="443">
        <f t="shared" si="92"/>
        <v>0</v>
      </c>
      <c r="G581" s="443">
        <f t="shared" si="92"/>
        <v>0</v>
      </c>
      <c r="H581" s="443">
        <f t="shared" si="92"/>
        <v>0</v>
      </c>
      <c r="I581" s="443">
        <f t="shared" si="92"/>
        <v>0</v>
      </c>
      <c r="J581" s="443">
        <f t="shared" si="92"/>
        <v>0</v>
      </c>
      <c r="K581" s="443">
        <f t="shared" si="92"/>
        <v>0</v>
      </c>
      <c r="L581" s="443">
        <f t="shared" si="92"/>
        <v>0</v>
      </c>
      <c r="M581" s="630">
        <f t="shared" si="92"/>
        <v>0</v>
      </c>
      <c r="N581" s="913"/>
      <c r="O581" s="913"/>
    </row>
    <row r="582" spans="2:15" s="234" customFormat="1" ht="6" customHeight="1" x14ac:dyDescent="0.25">
      <c r="B582" s="914"/>
      <c r="C582" s="127"/>
      <c r="D582" s="127"/>
      <c r="E582" s="127"/>
      <c r="F582" s="127"/>
      <c r="G582" s="127"/>
      <c r="H582" s="127"/>
      <c r="I582" s="127"/>
      <c r="J582" s="127"/>
      <c r="K582" s="127"/>
      <c r="L582" s="127"/>
      <c r="M582" s="636"/>
    </row>
    <row r="583" spans="2:15" s="234" customFormat="1" ht="13.2" x14ac:dyDescent="0.25">
      <c r="B583" s="129" t="str">
        <f>IF('1. INTRO'!I$2="English","Full cost","Full kostnad")</f>
        <v>Full cost</v>
      </c>
      <c r="C583" s="127"/>
      <c r="D583" s="127"/>
      <c r="E583" s="127"/>
      <c r="F583" s="127"/>
      <c r="G583" s="127"/>
      <c r="H583" s="127"/>
      <c r="I583" s="127"/>
      <c r="J583" s="127"/>
      <c r="K583" s="127"/>
      <c r="L583" s="127"/>
      <c r="M583" s="636"/>
    </row>
    <row r="584" spans="2:15" s="234" customFormat="1" ht="13.2" x14ac:dyDescent="0.25">
      <c r="B584" s="902" t="str">
        <f>IF('1. INTRO'!I$2="English","Salary including social costs (LKP)","Lön inklusive LKP")</f>
        <v>Salary including social costs (LKP)</v>
      </c>
      <c r="C584" s="138">
        <f>C566+C575+C576</f>
        <v>0</v>
      </c>
      <c r="D584" s="138">
        <f t="shared" ref="D584:L584" si="93">D566+D575+D576</f>
        <v>0</v>
      </c>
      <c r="E584" s="138">
        <f t="shared" si="93"/>
        <v>0</v>
      </c>
      <c r="F584" s="138">
        <f t="shared" si="93"/>
        <v>0</v>
      </c>
      <c r="G584" s="138">
        <f t="shared" si="93"/>
        <v>0</v>
      </c>
      <c r="H584" s="138">
        <f t="shared" si="93"/>
        <v>0</v>
      </c>
      <c r="I584" s="138">
        <f t="shared" si="93"/>
        <v>0</v>
      </c>
      <c r="J584" s="138">
        <f t="shared" si="93"/>
        <v>0</v>
      </c>
      <c r="K584" s="138">
        <f t="shared" si="93"/>
        <v>0</v>
      </c>
      <c r="L584" s="138">
        <f t="shared" si="93"/>
        <v>0</v>
      </c>
      <c r="M584" s="903">
        <f>SUM(C584:L584)</f>
        <v>0</v>
      </c>
    </row>
    <row r="585" spans="2:15" s="234" customFormat="1" ht="13.2" x14ac:dyDescent="0.25">
      <c r="B585" s="377" t="str">
        <f>IF('1. INTRO'!I$2="English","Operating","Drift")</f>
        <v>Operating</v>
      </c>
      <c r="C585" s="139">
        <f>C567+C577</f>
        <v>0</v>
      </c>
      <c r="D585" s="139">
        <f t="shared" ref="D585:L585" si="94">D567+D577</f>
        <v>0</v>
      </c>
      <c r="E585" s="139">
        <f t="shared" si="94"/>
        <v>0</v>
      </c>
      <c r="F585" s="139">
        <f t="shared" si="94"/>
        <v>0</v>
      </c>
      <c r="G585" s="139">
        <f t="shared" si="94"/>
        <v>0</v>
      </c>
      <c r="H585" s="139">
        <f t="shared" si="94"/>
        <v>0</v>
      </c>
      <c r="I585" s="139">
        <f t="shared" si="94"/>
        <v>0</v>
      </c>
      <c r="J585" s="139">
        <f t="shared" si="94"/>
        <v>0</v>
      </c>
      <c r="K585" s="139">
        <f t="shared" si="94"/>
        <v>0</v>
      </c>
      <c r="L585" s="139">
        <f t="shared" si="94"/>
        <v>0</v>
      </c>
      <c r="M585" s="905">
        <f>SUM(C585:L585)</f>
        <v>0</v>
      </c>
    </row>
    <row r="586" spans="2:15" s="234" customFormat="1" ht="13.2" x14ac:dyDescent="0.25">
      <c r="B586" s="906" t="str">
        <f>IF('1. INTRO'!I$2="English","Equipment","Utrustning")</f>
        <v>Equipment</v>
      </c>
      <c r="C586" s="140">
        <f>C568+C578</f>
        <v>0</v>
      </c>
      <c r="D586" s="140">
        <f t="shared" ref="D586:L586" si="95">D568+D578</f>
        <v>0</v>
      </c>
      <c r="E586" s="140">
        <f t="shared" si="95"/>
        <v>0</v>
      </c>
      <c r="F586" s="140">
        <f t="shared" si="95"/>
        <v>0</v>
      </c>
      <c r="G586" s="140">
        <f t="shared" si="95"/>
        <v>0</v>
      </c>
      <c r="H586" s="140">
        <f t="shared" si="95"/>
        <v>0</v>
      </c>
      <c r="I586" s="140">
        <f t="shared" si="95"/>
        <v>0</v>
      </c>
      <c r="J586" s="140">
        <f t="shared" si="95"/>
        <v>0</v>
      </c>
      <c r="K586" s="140">
        <f t="shared" si="95"/>
        <v>0</v>
      </c>
      <c r="L586" s="140">
        <f t="shared" si="95"/>
        <v>0</v>
      </c>
      <c r="M586" s="907">
        <f>SUM(C586:L586)</f>
        <v>0</v>
      </c>
    </row>
    <row r="587" spans="2:15" s="234" customFormat="1" ht="13.2" x14ac:dyDescent="0.25">
      <c r="B587" s="377" t="str">
        <f>IF('1. INTRO'!I$2="English","Facility","Lokal")</f>
        <v>Facility</v>
      </c>
      <c r="C587" s="139">
        <f>SUMIF('5. PERSON'!$D$17:$D$192,$C563,'5. PERSON'!CP$17:CP$192)+SUMIF('5. PERSON'!$D$17:$D$192,$C563,'5. PERSON'!DB$17:DB$192)+SUMIF('6. OPERATION'!$D$17:$D$149,$C563,'6. OPERATION'!BS$17:BS$149)+SUMIF('6. OPERATION'!$D$17:$D$149,$C563,'6. OPERATION'!CE$17:CE$149)+SUMIF('8. FACILIT'!$D$18:$D$50,$C563,'8. FACILIT'!T$18:T$50)+SUMIF('8. FACILIT'!$D$18:$D$50,$C563,'8. FACILIT'!AF$18:AF$50)</f>
        <v>0</v>
      </c>
      <c r="D587" s="139">
        <f>SUMIF('5. PERSON'!$D$17:$D$192,$C563,'5. PERSON'!CQ$17:CQ$192)+SUMIF('5. PERSON'!$D$17:$D$192,$C563,'5. PERSON'!DC$17:DC$192)+SUMIF('6. OPERATION'!$D$17:$D$149,$C563,'6. OPERATION'!BT$17:BT$149)+SUMIF('6. OPERATION'!$D$17:$D$149,$C563,'6. OPERATION'!CF$17:CF$149)+SUMIF('8. FACILIT'!$D$18:$D$50,$C563,'8. FACILIT'!U$18:U$50)+SUMIF('8. FACILIT'!$D$18:$D$50,$C563,'8. FACILIT'!AG$18:AG$50)</f>
        <v>0</v>
      </c>
      <c r="E587" s="139">
        <f>SUMIF('5. PERSON'!$D$17:$D$192,$C563,'5. PERSON'!CR$17:CR$192)+SUMIF('5. PERSON'!$D$17:$D$192,$C563,'5. PERSON'!DD$17:DD$192)+SUMIF('6. OPERATION'!$D$17:$D$149,$C563,'6. OPERATION'!BU$17:BU$149)+SUMIF('6. OPERATION'!$D$17:$D$149,$C563,'6. OPERATION'!CG$17:CG$149)+SUMIF('8. FACILIT'!$D$18:$D$50,$C563,'8. FACILIT'!V$18:V$50)+SUMIF('8. FACILIT'!$D$18:$D$50,$C563,'8. FACILIT'!AH$18:AH$50)</f>
        <v>0</v>
      </c>
      <c r="F587" s="139">
        <f>SUMIF('5. PERSON'!$D$17:$D$192,$C563,'5. PERSON'!CS$17:CS$192)+SUMIF('5. PERSON'!$D$17:$D$192,$C563,'5. PERSON'!DE$17:DE$192)+SUMIF('6. OPERATION'!$D$17:$D$149,$C563,'6. OPERATION'!BV$17:BV$149)+SUMIF('6. OPERATION'!$D$17:$D$149,$C563,'6. OPERATION'!CH$17:CH$149)+SUMIF('8. FACILIT'!$D$18:$D$50,$C563,'8. FACILIT'!W$18:W$50)+SUMIF('8. FACILIT'!$D$18:$D$50,$C563,'8. FACILIT'!AI$18:AI$50)</f>
        <v>0</v>
      </c>
      <c r="G587" s="139">
        <f>SUMIF('5. PERSON'!$D$17:$D$192,$C563,'5. PERSON'!CT$17:CT$192)+SUMIF('5. PERSON'!$D$17:$D$192,$C563,'5. PERSON'!DF$17:DF$192)+SUMIF('6. OPERATION'!$D$17:$D$149,$C563,'6. OPERATION'!BW$17:BW$149)+SUMIF('6. OPERATION'!$D$17:$D$149,$C563,'6. OPERATION'!CI$17:CI$149)+SUMIF('8. FACILIT'!$D$18:$D$50,$C563,'8. FACILIT'!X$18:X$50)+SUMIF('8. FACILIT'!$D$18:$D$50,$C563,'8. FACILIT'!AJ$18:AJ$50)</f>
        <v>0</v>
      </c>
      <c r="H587" s="139">
        <f>SUMIF('5. PERSON'!$D$17:$D$192,$C563,'5. PERSON'!CU$17:CU$192)+SUMIF('5. PERSON'!$D$17:$D$192,$C563,'5. PERSON'!DG$17:DG$192)+SUMIF('6. OPERATION'!$D$17:$D$149,$C563,'6. OPERATION'!BX$17:BX$149)+SUMIF('6. OPERATION'!$D$17:$D$149,$C563,'6. OPERATION'!CJ$17:CJ$149)+SUMIF('8. FACILIT'!$D$18:$D$50,$C563,'8. FACILIT'!Y$18:Y$50)+SUMIF('8. FACILIT'!$D$18:$D$50,$C563,'8. FACILIT'!AK$18:AK$50)</f>
        <v>0</v>
      </c>
      <c r="I587" s="139">
        <f>SUMIF('5. PERSON'!$D$17:$D$192,$C563,'5. PERSON'!CV$17:CV$192)+SUMIF('5. PERSON'!$D$17:$D$192,$C563,'5. PERSON'!DH$17:DH$192)+SUMIF('6. OPERATION'!$D$17:$D$149,$C563,'6. OPERATION'!BY$17:BY$149)+SUMIF('6. OPERATION'!$D$17:$D$149,$C563,'6. OPERATION'!CK$17:CK$149)+SUMIF('8. FACILIT'!$D$18:$D$50,$C563,'8. FACILIT'!Z$18:Z$50)+SUMIF('8. FACILIT'!$D$18:$D$50,$C563,'8. FACILIT'!AL$18:AL$50)</f>
        <v>0</v>
      </c>
      <c r="J587" s="139">
        <f>SUMIF('5. PERSON'!$D$17:$D$192,$C563,'5. PERSON'!CW$17:CW$192)+SUMIF('5. PERSON'!$D$17:$D$192,$C563,'5. PERSON'!DI$17:DI$192)+SUMIF('6. OPERATION'!$D$17:$D$149,$C563,'6. OPERATION'!BZ$17:BZ$149)+SUMIF('6. OPERATION'!$D$17:$D$149,$C563,'6. OPERATION'!CL$17:CL$149)+SUMIF('8. FACILIT'!$D$18:$D$50,$C563,'8. FACILIT'!AA$18:AA$50)+SUMIF('8. FACILIT'!$D$18:$D$50,$C563,'8. FACILIT'!AM$18:AM$50)</f>
        <v>0</v>
      </c>
      <c r="K587" s="139">
        <f>SUMIF('5. PERSON'!$D$17:$D$192,$C563,'5. PERSON'!CX$17:CX$192)+SUMIF('5. PERSON'!$D$17:$D$192,$C563,'5. PERSON'!DJ$17:DJ$192)+SUMIF('6. OPERATION'!$D$17:$D$149,$C563,'6. OPERATION'!CA$17:CA$149)+SUMIF('6. OPERATION'!$D$17:$D$149,$C563,'6. OPERATION'!CM$17:CM$149)+SUMIF('8. FACILIT'!$D$18:$D$50,$C563,'8. FACILIT'!AB$18:AB$50)+SUMIF('8. FACILIT'!$D$18:$D$50,$C563,'8. FACILIT'!AN$18:AN$50)</f>
        <v>0</v>
      </c>
      <c r="L587" s="139">
        <f>SUMIF('5. PERSON'!$D$17:$D$192,$C563,'5. PERSON'!CY$17:CY$192)+SUMIF('5. PERSON'!$D$17:$D$192,$C563,'5. PERSON'!DK$17:DK$192)+SUMIF('6. OPERATION'!$D$17:$D$149,$C563,'6. OPERATION'!CB$17:CB$149)+SUMIF('6. OPERATION'!$D$17:$D$149,$C563,'6. OPERATION'!CN$17:CN$149)+SUMIF('8. FACILIT'!$D$18:$D$50,$C563,'8. FACILIT'!AC$18:AC$50)+SUMIF('8. FACILIT'!$D$18:$D$50,$C563,'8. FACILIT'!AO$18:AO$50)</f>
        <v>0</v>
      </c>
      <c r="M587" s="905">
        <f>SUM(C587:L587)</f>
        <v>0</v>
      </c>
    </row>
    <row r="588" spans="2:15" s="234" customFormat="1" ht="13.2" x14ac:dyDescent="0.25">
      <c r="B588" s="915" t="str">
        <f>IF('1. INTRO'!I$2="English","Indirect","Indirekt")</f>
        <v>Indirect</v>
      </c>
      <c r="C588" s="141">
        <f>SUMIF('5. PERSON'!$D$17:$D$192,$C563,'5. PERSON'!BR$17:BR$192)+SUMIF('5. PERSON'!$D$17:$D$192,$C563,'5. PERSON'!CD$17:CD$192)+SUMIF('6. OPERATION'!$D$17:$D$149,$C563,'6. OPERATION'!AU$17:AU$149)+SUMIF('6. OPERATION'!$D$17:$D$149,$C563,'6. OPERATION'!BG$17:BG$149)</f>
        <v>0</v>
      </c>
      <c r="D588" s="141">
        <f>SUMIF('5. PERSON'!$D$17:$D$192,$C563,'5. PERSON'!BS$17:BS$192)+SUMIF('5. PERSON'!$D$17:$D$192,$C563,'5. PERSON'!CE$17:CE$192)+SUMIF('6. OPERATION'!$D$17:$D$149,$C563,'6. OPERATION'!AV$17:AV$149)+SUMIF('6. OPERATION'!$D$17:$D$149,$C563,'6. OPERATION'!BH$17:BH$149)</f>
        <v>0</v>
      </c>
      <c r="E588" s="141">
        <f>SUMIF('5. PERSON'!$D$17:$D$192,$C563,'5. PERSON'!BT$17:BT$192)+SUMIF('5. PERSON'!$D$17:$D$192,$C563,'5. PERSON'!CF$17:CF$192)+SUMIF('6. OPERATION'!$D$17:$D$149,$C563,'6. OPERATION'!AW$17:AW$149)+SUMIF('6. OPERATION'!$D$17:$D$149,$C563,'6. OPERATION'!BI$17:BI$149)</f>
        <v>0</v>
      </c>
      <c r="F588" s="141">
        <f>SUMIF('5. PERSON'!$D$17:$D$192,$C563,'5. PERSON'!BU$17:BU$192)+SUMIF('5. PERSON'!$D$17:$D$192,$C563,'5. PERSON'!CG$17:CG$192)+SUMIF('6. OPERATION'!$D$17:$D$149,$C563,'6. OPERATION'!AX$17:AX$149)+SUMIF('6. OPERATION'!$D$17:$D$149,$C563,'6. OPERATION'!BJ$17:BJ$149)</f>
        <v>0</v>
      </c>
      <c r="G588" s="141">
        <f>SUMIF('5. PERSON'!$D$17:$D$192,$C563,'5. PERSON'!BV$17:BV$192)+SUMIF('5. PERSON'!$D$17:$D$192,$C563,'5. PERSON'!CH$17:CH$192)+SUMIF('6. OPERATION'!$D$17:$D$149,$C563,'6. OPERATION'!AY$17:AY$149)+SUMIF('6. OPERATION'!$D$17:$D$149,$C563,'6. OPERATION'!BK$17:BK$149)</f>
        <v>0</v>
      </c>
      <c r="H588" s="141">
        <f>SUMIF('5. PERSON'!$D$17:$D$192,$C563,'5. PERSON'!BW$17:BW$192)+SUMIF('5. PERSON'!$D$17:$D$192,$C563,'5. PERSON'!CI$17:CI$192)+SUMIF('6. OPERATION'!$D$17:$D$149,$C563,'6. OPERATION'!AZ$17:AZ$149)+SUMIF('6. OPERATION'!$D$17:$D$149,$C563,'6. OPERATION'!BL$17:BL$149)</f>
        <v>0</v>
      </c>
      <c r="I588" s="141">
        <f>SUMIF('5. PERSON'!$D$17:$D$192,$C563,'5. PERSON'!BX$17:BX$192)+SUMIF('5. PERSON'!$D$17:$D$192,$C563,'5. PERSON'!CJ$17:CJ$192)+SUMIF('6. OPERATION'!$D$17:$D$149,$C563,'6. OPERATION'!BA$17:BA$149)+SUMIF('6. OPERATION'!$D$17:$D$149,$C563,'6. OPERATION'!BM$17:BM$149)</f>
        <v>0</v>
      </c>
      <c r="J588" s="141">
        <f>SUMIF('5. PERSON'!$D$17:$D$192,$C563,'5. PERSON'!BY$17:BY$192)+SUMIF('5. PERSON'!$D$17:$D$192,$C563,'5. PERSON'!CK$17:CK$192)+SUMIF('6. OPERATION'!$D$17:$D$149,$C563,'6. OPERATION'!BB$17:BB$149)+SUMIF('6. OPERATION'!$D$17:$D$149,$C563,'6. OPERATION'!BN$17:BN$149)</f>
        <v>0</v>
      </c>
      <c r="K588" s="141">
        <f>SUMIF('5. PERSON'!$D$17:$D$192,$C563,'5. PERSON'!BZ$17:BZ$192)+SUMIF('5. PERSON'!$D$17:$D$192,$C563,'5. PERSON'!CL$17:CL$192)+SUMIF('6. OPERATION'!$D$17:$D$149,$C563,'6. OPERATION'!BC$17:BC$149)+SUMIF('6. OPERATION'!$D$17:$D$149,$C563,'6. OPERATION'!BO$17:BO$149)</f>
        <v>0</v>
      </c>
      <c r="L588" s="141">
        <f>SUMIF('5. PERSON'!$D$17:$D$192,$C563,'5. PERSON'!CA$17:CA$192)+SUMIF('5. PERSON'!$D$17:$D$192,$C563,'5. PERSON'!CM$17:CM$192)+SUMIF('6. OPERATION'!$D$17:$D$149,$C563,'6. OPERATION'!BD$17:BD$149)+SUMIF('6. OPERATION'!$D$17:$D$149,$C563,'6. OPERATION'!BP$17:BP$149)</f>
        <v>0</v>
      </c>
      <c r="M588" s="908">
        <f>SUM(C588:L588)</f>
        <v>0</v>
      </c>
    </row>
    <row r="589" spans="2:15" s="234" customFormat="1" ht="13.2" x14ac:dyDescent="0.25">
      <c r="B589" s="628" t="s">
        <v>113</v>
      </c>
      <c r="C589" s="520">
        <f>SUM(C584:C588)</f>
        <v>0</v>
      </c>
      <c r="D589" s="520">
        <f t="shared" ref="D589:M589" si="96">SUM(D584:D588)</f>
        <v>0</v>
      </c>
      <c r="E589" s="520">
        <f t="shared" si="96"/>
        <v>0</v>
      </c>
      <c r="F589" s="520">
        <f t="shared" si="96"/>
        <v>0</v>
      </c>
      <c r="G589" s="520">
        <f t="shared" si="96"/>
        <v>0</v>
      </c>
      <c r="H589" s="520">
        <f t="shared" si="96"/>
        <v>0</v>
      </c>
      <c r="I589" s="520">
        <f t="shared" si="96"/>
        <v>0</v>
      </c>
      <c r="J589" s="520">
        <f t="shared" si="96"/>
        <v>0</v>
      </c>
      <c r="K589" s="520">
        <f t="shared" si="96"/>
        <v>0</v>
      </c>
      <c r="L589" s="520">
        <f t="shared" si="96"/>
        <v>0</v>
      </c>
      <c r="M589" s="916">
        <f t="shared" si="96"/>
        <v>0</v>
      </c>
    </row>
    <row r="590" spans="2:15" s="234" customFormat="1" ht="13.2" x14ac:dyDescent="0.25">
      <c r="B590" s="676"/>
      <c r="C590" s="268"/>
      <c r="D590" s="268"/>
      <c r="E590" s="268"/>
      <c r="F590" s="268"/>
      <c r="G590" s="268"/>
      <c r="H590" s="268"/>
      <c r="I590" s="268"/>
      <c r="J590" s="268"/>
      <c r="K590" s="268"/>
      <c r="L590" s="268"/>
      <c r="M590" s="268"/>
    </row>
    <row r="591" spans="2:15" s="234" customFormat="1" ht="12.75" customHeight="1" x14ac:dyDescent="0.25">
      <c r="B591" s="676" t="str">
        <f>IF('1. INTRO'!I$2="English","Co-funding share in full cost ","Medfinansieringsandel i full kostnad ")</f>
        <v xml:space="preserve">Co-funding share in full cost </v>
      </c>
      <c r="C591" s="640" t="str">
        <f t="shared" ref="C591:M591" si="97">IF(C589&gt;0,C581/C589,"")</f>
        <v/>
      </c>
      <c r="D591" s="640" t="str">
        <f t="shared" si="97"/>
        <v/>
      </c>
      <c r="E591" s="640" t="str">
        <f t="shared" si="97"/>
        <v/>
      </c>
      <c r="F591" s="640" t="str">
        <f t="shared" si="97"/>
        <v/>
      </c>
      <c r="G591" s="640" t="str">
        <f t="shared" si="97"/>
        <v/>
      </c>
      <c r="H591" s="640" t="str">
        <f t="shared" si="97"/>
        <v/>
      </c>
      <c r="I591" s="640" t="str">
        <f t="shared" si="97"/>
        <v/>
      </c>
      <c r="J591" s="640" t="str">
        <f t="shared" si="97"/>
        <v/>
      </c>
      <c r="K591" s="640" t="str">
        <f t="shared" si="97"/>
        <v/>
      </c>
      <c r="L591" s="640" t="str">
        <f t="shared" si="97"/>
        <v/>
      </c>
      <c r="M591" s="640" t="str">
        <f t="shared" si="97"/>
        <v/>
      </c>
    </row>
    <row r="592" spans="2:15" s="268" customFormat="1" ht="12.75" customHeight="1" x14ac:dyDescent="0.25"/>
    <row r="593" spans="2:13" s="268" customFormat="1" ht="12.75" customHeight="1" x14ac:dyDescent="0.25">
      <c r="B593" s="667" t="str">
        <f>IF('1. INTRO'!I$2="English","Calculation comments","Kalkylkommentarer")</f>
        <v>Calculation comments</v>
      </c>
    </row>
    <row r="594" spans="2:13" s="268" customFormat="1" ht="12.75" customHeight="1" x14ac:dyDescent="0.25">
      <c r="B594" s="1264"/>
      <c r="C594" s="1265"/>
      <c r="D594" s="1265"/>
      <c r="E594" s="1265"/>
      <c r="F594" s="1265"/>
      <c r="G594" s="1265"/>
      <c r="H594" s="1265"/>
      <c r="I594" s="1265"/>
      <c r="J594" s="1265"/>
      <c r="K594" s="1265"/>
      <c r="L594" s="1265"/>
      <c r="M594" s="1266"/>
    </row>
    <row r="595" spans="2:13" s="268" customFormat="1" ht="12.75" customHeight="1" x14ac:dyDescent="0.25">
      <c r="B595" s="1267"/>
      <c r="C595" s="1268"/>
      <c r="D595" s="1268"/>
      <c r="E595" s="1268"/>
      <c r="F595" s="1268"/>
      <c r="G595" s="1268"/>
      <c r="H595" s="1268"/>
      <c r="I595" s="1268"/>
      <c r="J595" s="1268"/>
      <c r="K595" s="1268"/>
      <c r="L595" s="1268"/>
      <c r="M595" s="1269"/>
    </row>
    <row r="596" spans="2:13" s="268" customFormat="1" ht="12.75" customHeight="1" x14ac:dyDescent="0.25">
      <c r="B596" s="1267"/>
      <c r="C596" s="1268"/>
      <c r="D596" s="1268"/>
      <c r="E596" s="1268"/>
      <c r="F596" s="1268"/>
      <c r="G596" s="1268"/>
      <c r="H596" s="1268"/>
      <c r="I596" s="1268"/>
      <c r="J596" s="1268"/>
      <c r="K596" s="1268"/>
      <c r="L596" s="1268"/>
      <c r="M596" s="1269"/>
    </row>
    <row r="597" spans="2:13" s="268" customFormat="1" ht="12.75" customHeight="1" x14ac:dyDescent="0.25">
      <c r="B597" s="1267"/>
      <c r="C597" s="1268"/>
      <c r="D597" s="1268"/>
      <c r="E597" s="1268"/>
      <c r="F597" s="1268"/>
      <c r="G597" s="1268"/>
      <c r="H597" s="1268"/>
      <c r="I597" s="1268"/>
      <c r="J597" s="1268"/>
      <c r="K597" s="1268"/>
      <c r="L597" s="1268"/>
      <c r="M597" s="1269"/>
    </row>
    <row r="598" spans="2:13" s="268" customFormat="1" ht="12.75" customHeight="1" x14ac:dyDescent="0.25">
      <c r="B598" s="1267"/>
      <c r="C598" s="1268"/>
      <c r="D598" s="1268"/>
      <c r="E598" s="1268"/>
      <c r="F598" s="1268"/>
      <c r="G598" s="1268"/>
      <c r="H598" s="1268"/>
      <c r="I598" s="1268"/>
      <c r="J598" s="1268"/>
      <c r="K598" s="1268"/>
      <c r="L598" s="1268"/>
      <c r="M598" s="1269"/>
    </row>
    <row r="599" spans="2:13" s="268" customFormat="1" ht="12.75" customHeight="1" x14ac:dyDescent="0.25">
      <c r="B599" s="1270"/>
      <c r="C599" s="1271"/>
      <c r="D599" s="1271"/>
      <c r="E599" s="1271"/>
      <c r="F599" s="1271"/>
      <c r="G599" s="1271"/>
      <c r="H599" s="1271"/>
      <c r="I599" s="1271"/>
      <c r="J599" s="1271"/>
      <c r="K599" s="1271"/>
      <c r="L599" s="1271"/>
      <c r="M599" s="1272"/>
    </row>
    <row r="600" spans="2:13" s="268" customFormat="1" x14ac:dyDescent="0.25">
      <c r="B600" s="1270"/>
      <c r="C600" s="1271"/>
      <c r="D600" s="1271"/>
      <c r="E600" s="1271"/>
      <c r="F600" s="1271"/>
      <c r="G600" s="1271"/>
      <c r="H600" s="1271"/>
      <c r="I600" s="1271"/>
      <c r="J600" s="1271"/>
      <c r="K600" s="1271"/>
      <c r="L600" s="1271"/>
      <c r="M600" s="1272"/>
    </row>
    <row r="601" spans="2:13" s="268" customFormat="1" x14ac:dyDescent="0.25">
      <c r="B601" s="1270"/>
      <c r="C601" s="1271"/>
      <c r="D601" s="1271"/>
      <c r="E601" s="1271"/>
      <c r="F601" s="1271"/>
      <c r="G601" s="1271"/>
      <c r="H601" s="1271"/>
      <c r="I601" s="1271"/>
      <c r="J601" s="1271"/>
      <c r="K601" s="1271"/>
      <c r="L601" s="1271"/>
      <c r="M601" s="1272"/>
    </row>
    <row r="602" spans="2:13" s="268" customFormat="1" x14ac:dyDescent="0.25">
      <c r="B602" s="1270"/>
      <c r="C602" s="1271"/>
      <c r="D602" s="1271"/>
      <c r="E602" s="1271"/>
      <c r="F602" s="1271"/>
      <c r="G602" s="1271"/>
      <c r="H602" s="1271"/>
      <c r="I602" s="1271"/>
      <c r="J602" s="1271"/>
      <c r="K602" s="1271"/>
      <c r="L602" s="1271"/>
      <c r="M602" s="1272"/>
    </row>
    <row r="603" spans="2:13" s="268" customFormat="1" x14ac:dyDescent="0.25">
      <c r="B603" s="1270"/>
      <c r="C603" s="1271"/>
      <c r="D603" s="1271"/>
      <c r="E603" s="1271"/>
      <c r="F603" s="1271"/>
      <c r="G603" s="1271"/>
      <c r="H603" s="1271"/>
      <c r="I603" s="1271"/>
      <c r="J603" s="1271"/>
      <c r="K603" s="1271"/>
      <c r="L603" s="1271"/>
      <c r="M603" s="1272"/>
    </row>
    <row r="604" spans="2:13" s="268" customFormat="1" x14ac:dyDescent="0.25">
      <c r="B604" s="1270"/>
      <c r="C604" s="1271"/>
      <c r="D604" s="1271"/>
      <c r="E604" s="1271"/>
      <c r="F604" s="1271"/>
      <c r="G604" s="1271"/>
      <c r="H604" s="1271"/>
      <c r="I604" s="1271"/>
      <c r="J604" s="1271"/>
      <c r="K604" s="1271"/>
      <c r="L604" s="1271"/>
      <c r="M604" s="1272"/>
    </row>
    <row r="605" spans="2:13" s="268" customFormat="1" x14ac:dyDescent="0.25">
      <c r="B605" s="1270"/>
      <c r="C605" s="1271"/>
      <c r="D605" s="1271"/>
      <c r="E605" s="1271"/>
      <c r="F605" s="1271"/>
      <c r="G605" s="1271"/>
      <c r="H605" s="1271"/>
      <c r="I605" s="1271"/>
      <c r="J605" s="1271"/>
      <c r="K605" s="1271"/>
      <c r="L605" s="1271"/>
      <c r="M605" s="1272"/>
    </row>
    <row r="606" spans="2:13" s="268" customFormat="1" x14ac:dyDescent="0.25">
      <c r="B606" s="1273"/>
      <c r="C606" s="1274"/>
      <c r="D606" s="1274"/>
      <c r="E606" s="1274"/>
      <c r="F606" s="1274"/>
      <c r="G606" s="1274"/>
      <c r="H606" s="1274"/>
      <c r="I606" s="1274"/>
      <c r="J606" s="1274"/>
      <c r="K606" s="1274"/>
      <c r="L606" s="1274"/>
      <c r="M606" s="1275"/>
    </row>
    <row r="607" spans="2:13" s="268" customFormat="1" ht="13.2" x14ac:dyDescent="0.25">
      <c r="B607" s="917"/>
      <c r="C607" s="917"/>
      <c r="D607" s="917"/>
      <c r="E607" s="917"/>
      <c r="F607" s="917"/>
      <c r="G607" s="917"/>
      <c r="H607" s="917"/>
      <c r="I607" s="917"/>
      <c r="J607" s="917"/>
      <c r="K607" s="917"/>
      <c r="L607" s="917"/>
      <c r="M607" s="917"/>
    </row>
    <row r="608" spans="2:13" s="268" customFormat="1" ht="13.2" x14ac:dyDescent="0.25">
      <c r="B608" s="917"/>
      <c r="C608" s="917"/>
      <c r="D608" s="917"/>
      <c r="E608" s="917"/>
      <c r="F608" s="917"/>
      <c r="G608" s="917"/>
      <c r="H608" s="917"/>
      <c r="I608" s="917"/>
      <c r="J608" s="917"/>
      <c r="K608" s="917"/>
      <c r="L608" s="917"/>
      <c r="M608" s="917"/>
    </row>
    <row r="609" spans="2:15" s="234" customFormat="1" ht="12.75" customHeight="1" x14ac:dyDescent="0.25">
      <c r="B609" s="313" t="str">
        <f>'3. PARTNER'!C$4</f>
        <v xml:space="preserve">Project: </v>
      </c>
      <c r="C609" s="1062" t="str">
        <f>'3. PARTNER'!D$4</f>
        <v/>
      </c>
      <c r="D609" s="1001"/>
      <c r="E609" s="1001"/>
      <c r="F609" s="1001"/>
      <c r="G609" s="1001"/>
      <c r="H609" s="1001"/>
      <c r="I609" s="1001"/>
      <c r="J609" s="1001"/>
      <c r="K609" s="1001"/>
      <c r="L609" s="1001"/>
      <c r="M609" s="1001"/>
    </row>
    <row r="610" spans="2:15" s="234" customFormat="1" ht="13.2" x14ac:dyDescent="0.25">
      <c r="B610" s="313" t="str">
        <f>'3. PARTNER'!C$5</f>
        <v xml:space="preserve">Calculation for: </v>
      </c>
      <c r="C610" s="1062" t="str">
        <f>'3. PARTNER'!D$5</f>
        <v>APPLICATION</v>
      </c>
      <c r="D610" s="1001"/>
      <c r="E610" s="268"/>
      <c r="F610" s="268"/>
      <c r="G610" s="268"/>
      <c r="H610" s="268"/>
      <c r="I610" s="268"/>
      <c r="J610" s="268"/>
      <c r="K610" s="268"/>
      <c r="L610" s="268"/>
      <c r="M610" s="268"/>
    </row>
    <row r="611" spans="2:15" s="234" customFormat="1" ht="13.2" x14ac:dyDescent="0.25">
      <c r="B611" s="35" t="str">
        <f>'3. PARTNER'!C$6</f>
        <v xml:space="preserve">Project leader: </v>
      </c>
      <c r="C611" s="1062" t="str">
        <f>'3. PARTNER'!D$6</f>
        <v/>
      </c>
      <c r="D611" s="1001"/>
      <c r="E611" s="1001"/>
      <c r="F611" s="1001"/>
      <c r="G611" s="1001"/>
      <c r="H611" s="1001"/>
      <c r="I611" s="1001"/>
      <c r="J611" s="1001"/>
      <c r="K611" s="1001"/>
      <c r="L611" s="1001"/>
      <c r="M611" s="1001"/>
    </row>
    <row r="612" spans="2:15" s="234" customFormat="1" ht="13.2" x14ac:dyDescent="0.25">
      <c r="B612" s="313" t="str">
        <f>'5. PERSON'!B$7</f>
        <v xml:space="preserve">Amounts in: </v>
      </c>
      <c r="C612" s="672" t="str">
        <f>'5. PERSON'!C$7</f>
        <v>SEK</v>
      </c>
      <c r="D612" s="268"/>
      <c r="E612" s="268"/>
      <c r="F612" s="268"/>
      <c r="I612" s="270"/>
      <c r="J612" s="270"/>
      <c r="K612" s="270"/>
      <c r="L612" s="270"/>
      <c r="M612" s="270"/>
    </row>
    <row r="613" spans="2:15" s="234" customFormat="1" ht="13.2" x14ac:dyDescent="0.25">
      <c r="B613" s="313"/>
      <c r="C613" s="1053" t="str">
        <f>'3. PARTNER'!D$7</f>
        <v>Other basic data about the project is in sheet 2.</v>
      </c>
      <c r="D613" s="1001"/>
      <c r="E613" s="1001"/>
      <c r="F613" s="1001"/>
      <c r="I613" s="270"/>
      <c r="J613" s="270"/>
      <c r="K613" s="270"/>
      <c r="L613" s="251" t="s">
        <v>4</v>
      </c>
      <c r="M613" s="270"/>
    </row>
    <row r="614" spans="2:15" s="268" customFormat="1" ht="12.75" customHeight="1" x14ac:dyDescent="0.25">
      <c r="L614" s="252" t="str">
        <f>IF('1. INTRO'!I$2="English","months","månader")</f>
        <v>months</v>
      </c>
    </row>
    <row r="615" spans="2:15" s="234" customFormat="1" ht="13.8" x14ac:dyDescent="0.25">
      <c r="B615" s="678" t="str">
        <f>IF('1. INTRO'!I$2="English","Project costs","Projektkostnader")</f>
        <v>Project costs</v>
      </c>
      <c r="C615" s="678" t="str">
        <f>B26</f>
        <v>WP 12</v>
      </c>
      <c r="D615" s="234" t="str">
        <f>E26</f>
        <v/>
      </c>
      <c r="E615" s="268"/>
      <c r="G615" s="268"/>
      <c r="H615" s="268"/>
      <c r="I615" s="268"/>
      <c r="J615" s="268"/>
      <c r="K615" s="676"/>
      <c r="L615" s="899">
        <f>SUMIF('5. PERSON'!$D$17:$D$192,$C615,'5. PERSON'!AE$17:AE$192)</f>
        <v>0</v>
      </c>
      <c r="M615" s="680" t="s">
        <v>330</v>
      </c>
    </row>
    <row r="616" spans="2:15" s="234" customFormat="1" ht="6" customHeight="1" x14ac:dyDescent="0.25">
      <c r="B616" s="602"/>
      <c r="C616" s="268"/>
      <c r="D616" s="268"/>
      <c r="E616" s="268"/>
      <c r="F616" s="268"/>
      <c r="G616" s="268"/>
      <c r="H616" s="268"/>
      <c r="I616" s="268"/>
      <c r="J616" s="268"/>
      <c r="K616" s="268"/>
      <c r="L616" s="268"/>
      <c r="M616" s="268"/>
    </row>
    <row r="617" spans="2:15" s="234" customFormat="1" ht="13.2" x14ac:dyDescent="0.25">
      <c r="B617" s="110" t="str">
        <f>IF('1. INTRO'!I$2="English","Costs to be covered by funding body","Kostnader att täckas av finansiär")</f>
        <v>Costs to be covered by funding body</v>
      </c>
      <c r="C617" s="607">
        <f>'5. PERSON'!G$15</f>
        <v>1900</v>
      </c>
      <c r="D617" s="607" t="str">
        <f>'5. PERSON'!H$15</f>
        <v/>
      </c>
      <c r="E617" s="607" t="str">
        <f>'5. PERSON'!I$15</f>
        <v/>
      </c>
      <c r="F617" s="607" t="str">
        <f>'5. PERSON'!J$15</f>
        <v/>
      </c>
      <c r="G617" s="607" t="str">
        <f>'5. PERSON'!K$15</f>
        <v/>
      </c>
      <c r="H617" s="607" t="str">
        <f>'5. PERSON'!L$15</f>
        <v/>
      </c>
      <c r="I617" s="607" t="str">
        <f>'5. PERSON'!M$15</f>
        <v/>
      </c>
      <c r="J617" s="607" t="str">
        <f>'5. PERSON'!N$15</f>
        <v/>
      </c>
      <c r="K617" s="607" t="str">
        <f>'5. PERSON'!O$15</f>
        <v/>
      </c>
      <c r="L617" s="607" t="str">
        <f>'5. PERSON'!P$15</f>
        <v/>
      </c>
      <c r="M617" s="608" t="s">
        <v>2</v>
      </c>
    </row>
    <row r="618" spans="2:15" s="234" customFormat="1" ht="12.75" customHeight="1" x14ac:dyDescent="0.25">
      <c r="B618" s="902" t="str">
        <f>IF('1. INTRO'!I$2="English","Salary including social costs (LKP)","Lön inklusive LKP")</f>
        <v>Salary including social costs (LKP)</v>
      </c>
      <c r="C618" s="610">
        <f>IF('2. START'!$C$14&gt;0,SUMIF('5. PERSON'!$D$17:$D$192,$C615,'5. PERSON'!DN$17:DN$192),SUMIF('5. PERSON'!$D$17:$D$192,$C615,'5. PERSON'!AT$17:AT$192))</f>
        <v>0</v>
      </c>
      <c r="D618" s="610">
        <f>IF('2. START'!$C$14&gt;0,SUMIF('5. PERSON'!$D$17:$D$192,$C615,'5. PERSON'!DO$17:DO$192),SUMIF('5. PERSON'!$D$17:$D$192,$C615,'5. PERSON'!AU$17:AU$192))</f>
        <v>0</v>
      </c>
      <c r="E618" s="610">
        <f>IF('2. START'!$C$14&gt;0,SUMIF('5. PERSON'!$D$17:$D$192,$C615,'5. PERSON'!DP$17:DP$192),SUMIF('5. PERSON'!$D$17:$D$192,$C615,'5. PERSON'!AV$17:AV$192))</f>
        <v>0</v>
      </c>
      <c r="F618" s="610">
        <f>IF('2. START'!$C$14&gt;0,SUMIF('5. PERSON'!$D$17:$D$192,$C615,'5. PERSON'!DQ$17:DQ$192),SUMIF('5. PERSON'!$D$17:$D$192,$C615,'5. PERSON'!AW$17:AW$192))</f>
        <v>0</v>
      </c>
      <c r="G618" s="610">
        <f>IF('2. START'!$C$14&gt;0,SUMIF('5. PERSON'!$D$17:$D$192,$C615,'5. PERSON'!DR$17:DR$192),SUMIF('5. PERSON'!$D$17:$D$192,$C615,'5. PERSON'!AX$17:AX$192))</f>
        <v>0</v>
      </c>
      <c r="H618" s="610">
        <f>IF('2. START'!$C$14&gt;0,SUMIF('5. PERSON'!$D$17:$D$192,$C615,'5. PERSON'!DS$17:DS$192),SUMIF('5. PERSON'!$D$17:$D$192,$C615,'5. PERSON'!AY$17:AY$192))</f>
        <v>0</v>
      </c>
      <c r="I618" s="610">
        <f>IF('2. START'!$C$14&gt;0,SUMIF('5. PERSON'!$D$17:$D$192,$C615,'5. PERSON'!DT$17:DT$192),SUMIF('5. PERSON'!$D$17:$D$192,$C615,'5. PERSON'!AZ$17:AZ$192))</f>
        <v>0</v>
      </c>
      <c r="J618" s="610">
        <f>IF('2. START'!$C$14&gt;0,SUMIF('5. PERSON'!$D$17:$D$192,$C615,'5. PERSON'!DU$17:DU$192),SUMIF('5. PERSON'!$D$17:$D$192,$C615,'5. PERSON'!BA$17:BA$192))</f>
        <v>0</v>
      </c>
      <c r="K618" s="610">
        <f>IF('2. START'!$C$14&gt;0,SUMIF('5. PERSON'!$D$17:$D$192,$C615,'5. PERSON'!DV$17:DV$192),SUMIF('5. PERSON'!$D$17:$D$192,$C615,'5. PERSON'!BB$17:BB$192))</f>
        <v>0</v>
      </c>
      <c r="L618" s="610">
        <f>IF('2. START'!$C$14&gt;0,SUMIF('5. PERSON'!$D$17:$D$192,$C615,'5. PERSON'!DW$17:DW$192),SUMIF('5. PERSON'!$D$17:$D$192,$C615,'5. PERSON'!BC$17:BC$192))</f>
        <v>0</v>
      </c>
      <c r="M618" s="903">
        <f t="shared" ref="M618:M623" si="98">SUM(C618:L618)</f>
        <v>0</v>
      </c>
      <c r="O618" s="904"/>
    </row>
    <row r="619" spans="2:15" s="234" customFormat="1" ht="12.75" customHeight="1" x14ac:dyDescent="0.25">
      <c r="B619" s="377" t="str">
        <f>IF('1. INTRO'!I$2="English","Operating","Drift")</f>
        <v>Operating</v>
      </c>
      <c r="C619" s="615">
        <f>SUMIF('6. OPERATION'!$D$17:$D$149,$C615,'6. OPERATION'!W$17:W$149)</f>
        <v>0</v>
      </c>
      <c r="D619" s="615">
        <f>SUMIF('6. OPERATION'!$D$17:$D$149,$C615,'6. OPERATION'!X$17:X$149)</f>
        <v>0</v>
      </c>
      <c r="E619" s="615">
        <f>SUMIF('6. OPERATION'!$D$17:$D$149,$C615,'6. OPERATION'!Y$17:Y$149)</f>
        <v>0</v>
      </c>
      <c r="F619" s="615">
        <f>SUMIF('6. OPERATION'!$D$17:$D$149,$C615,'6. OPERATION'!Z$17:Z$149)</f>
        <v>0</v>
      </c>
      <c r="G619" s="615">
        <f>SUMIF('6. OPERATION'!$D$17:$D$149,$C615,'6. OPERATION'!AA$17:AA$149)</f>
        <v>0</v>
      </c>
      <c r="H619" s="615">
        <f>SUMIF('6. OPERATION'!$D$17:$D$149,$C615,'6. OPERATION'!AB$17:AB$149)</f>
        <v>0</v>
      </c>
      <c r="I619" s="615">
        <f>SUMIF('6. OPERATION'!$D$17:$D$149,$C615,'6. OPERATION'!AC$17:AC$149)</f>
        <v>0</v>
      </c>
      <c r="J619" s="615">
        <f>SUMIF('6. OPERATION'!$D$17:$D$149,$C615,'6. OPERATION'!AD$17:AD$149)</f>
        <v>0</v>
      </c>
      <c r="K619" s="615">
        <f>SUMIF('6. OPERATION'!$D$17:$D$149,$C615,'6. OPERATION'!AE$17:AE$149)</f>
        <v>0</v>
      </c>
      <c r="L619" s="615">
        <f>SUMIF('6. OPERATION'!$D$17:$D$149,$C615,'6. OPERATION'!AF$17:AF$149)</f>
        <v>0</v>
      </c>
      <c r="M619" s="905">
        <f t="shared" si="98"/>
        <v>0</v>
      </c>
    </row>
    <row r="620" spans="2:15" s="234" customFormat="1" ht="13.2" x14ac:dyDescent="0.25">
      <c r="B620" s="906" t="str">
        <f>IF('1. INTRO'!I$2="English","Equipment","Utrustning")</f>
        <v>Equipment</v>
      </c>
      <c r="C620" s="620">
        <f>SUMIF('7. INVEST'!$D$17:$D$49,$C615,'7. INVEST'!W$17:W$49)</f>
        <v>0</v>
      </c>
      <c r="D620" s="620">
        <f>SUMIF('7. INVEST'!$D$17:$D$49,$C615,'7. INVEST'!X$17:X$49)</f>
        <v>0</v>
      </c>
      <c r="E620" s="620">
        <f>SUMIF('7. INVEST'!$D$17:$D$49,$C615,'7. INVEST'!Y$17:Y$49)</f>
        <v>0</v>
      </c>
      <c r="F620" s="620">
        <f>SUMIF('7. INVEST'!$D$17:$D$49,$C615,'7. INVEST'!Z$17:Z$49)</f>
        <v>0</v>
      </c>
      <c r="G620" s="620">
        <f>SUMIF('7. INVEST'!$D$17:$D$49,$C615,'7. INVEST'!AA$17:AA$49)</f>
        <v>0</v>
      </c>
      <c r="H620" s="620">
        <f>SUMIF('7. INVEST'!$D$17:$D$49,$C615,'7. INVEST'!AB$17:AB$49)</f>
        <v>0</v>
      </c>
      <c r="I620" s="620">
        <f>SUMIF('7. INVEST'!$D$17:$D$49,$C615,'7. INVEST'!AC$17:AC$49)</f>
        <v>0</v>
      </c>
      <c r="J620" s="620">
        <f>SUMIF('7. INVEST'!$D$17:$D$49,$C615,'7. INVEST'!AD$17:AD$49)</f>
        <v>0</v>
      </c>
      <c r="K620" s="620">
        <f>SUMIF('7. INVEST'!$D$17:$D$49,$C615,'7. INVEST'!AE$17:AE$49)</f>
        <v>0</v>
      </c>
      <c r="L620" s="620">
        <f>SUMIF('7. INVEST'!$D$17:$D$49,$C615,'7. INVEST'!AF$17:AF$49)</f>
        <v>0</v>
      </c>
      <c r="M620" s="907">
        <f t="shared" si="98"/>
        <v>0</v>
      </c>
    </row>
    <row r="621" spans="2:15" s="234" customFormat="1" ht="13.2" x14ac:dyDescent="0.25">
      <c r="B621" s="121" t="str">
        <f>IF('1. INTRO'!I$2="English",(IF('2. START'!C$11="NO","Facility accepted as direct cost by funding body","Facility")),IF('2. START'!C$11="NO","Lokal accepterad som direkt kostnad av finansiär","Lokal"))</f>
        <v>Facility</v>
      </c>
      <c r="C621" s="615">
        <f>IF('2. START'!$C$11="NO",SUMIF('8. FACILIT'!$D$18:$D$50,$C615,'8. FACILIT'!T$18:T$50),SUMIF('5. PERSON'!$D$17:$D$192,$C615,'5. PERSON'!CP$17:CP$192)+SUMIF('6. OPERATION'!$D$17:$D$149,$C615,'6. OPERATION'!BS$17:BS$149)+SUMIF('8. FACILIT'!$D$18:$D$50,$C615,'8. FACILIT'!T$18:T$50))</f>
        <v>0</v>
      </c>
      <c r="D621" s="615">
        <f>IF('2. START'!$C$11="NO",SUMIF('8. FACILIT'!$D$18:$D$50,$C615,'8. FACILIT'!U$18:U$50),SUMIF('5. PERSON'!$D$17:$D$192,$C615,'5. PERSON'!CQ$17:CQ$192)+SUMIF('6. OPERATION'!$D$17:$D$149,$C615,'6. OPERATION'!BT$17:BT$149)+SUMIF('8. FACILIT'!$D$18:$D$50,$C615,'8. FACILIT'!U$18:U$50))</f>
        <v>0</v>
      </c>
      <c r="E621" s="615">
        <f>IF('2. START'!$C$11="NO",SUMIF('8. FACILIT'!$D$18:$D$50,$C615,'8. FACILIT'!V$18:V$50),SUMIF('5. PERSON'!$D$17:$D$192,$C615,'5. PERSON'!CR$17:CR$192)+SUMIF('6. OPERATION'!$D$17:$D$149,$C615,'6. OPERATION'!BU$17:BU$149)+SUMIF('8. FACILIT'!$D$18:$D$50,$C615,'8. FACILIT'!V$18:V$50))</f>
        <v>0</v>
      </c>
      <c r="F621" s="615">
        <f>IF('2. START'!$C$11="NO",SUMIF('8. FACILIT'!$D$18:$D$50,$C615,'8. FACILIT'!W$18:W$50),SUMIF('5. PERSON'!$D$17:$D$192,$C615,'5. PERSON'!CS$17:CS$192)+SUMIF('6. OPERATION'!$D$17:$D$149,$C615,'6. OPERATION'!BV$17:BV$149)+SUMIF('8. FACILIT'!$D$18:$D$50,$C615,'8. FACILIT'!W$18:W$50))</f>
        <v>0</v>
      </c>
      <c r="G621" s="615">
        <f>IF('2. START'!$C$11="NO",SUMIF('8. FACILIT'!$D$18:$D$50,$C615,'8. FACILIT'!X$18:X$50),SUMIF('5. PERSON'!$D$17:$D$192,$C615,'5. PERSON'!CT$17:CT$192)+SUMIF('6. OPERATION'!$D$17:$D$149,$C615,'6. OPERATION'!BW$17:BW$149)+SUMIF('8. FACILIT'!$D$18:$D$50,$C615,'8. FACILIT'!X$18:X$50))</f>
        <v>0</v>
      </c>
      <c r="H621" s="615">
        <f>IF('2. START'!$C$11="NO",SUMIF('8. FACILIT'!$D$18:$D$50,$C615,'8. FACILIT'!Y$18:Y$50),SUMIF('5. PERSON'!$D$17:$D$192,$C615,'5. PERSON'!CU$17:CU$192)+SUMIF('6. OPERATION'!$D$17:$D$149,$C615,'6. OPERATION'!BX$17:BX$149)+SUMIF('8. FACILIT'!$D$18:$D$50,$C615,'8. FACILIT'!Y$18:Y$50))</f>
        <v>0</v>
      </c>
      <c r="I621" s="615">
        <f>IF('2. START'!$C$11="NO",SUMIF('8. FACILIT'!$D$18:$D$50,$C615,'8. FACILIT'!Z$18:Z$50),SUMIF('5. PERSON'!$D$17:$D$192,$C615,'5. PERSON'!CV$17:CV$192)+SUMIF('6. OPERATION'!$D$17:$D$149,$C615,'6. OPERATION'!BY$17:BY$149)+SUMIF('8. FACILIT'!$D$18:$D$50,$C615,'8. FACILIT'!Z$18:Z$50))</f>
        <v>0</v>
      </c>
      <c r="J621" s="615">
        <f>IF('2. START'!$C$11="NO",SUMIF('8. FACILIT'!$D$18:$D$50,$C615,'8. FACILIT'!AA$18:AA$50),SUMIF('5. PERSON'!$D$17:$D$192,$C615,'5. PERSON'!CW$17:CW$192)+SUMIF('6. OPERATION'!$D$17:$D$149,$C615,'6. OPERATION'!BZ$17:BZ$149)+SUMIF('8. FACILIT'!$D$18:$D$50,$C615,'8. FACILIT'!AA$18:AA$50))</f>
        <v>0</v>
      </c>
      <c r="K621" s="615">
        <f>IF('2. START'!$C$11="NO",SUMIF('8. FACILIT'!$D$18:$D$50,$C615,'8. FACILIT'!AB$18:AB$50),SUMIF('5. PERSON'!$D$17:$D$192,$C615,'5. PERSON'!CX$17:CX$192)+SUMIF('6. OPERATION'!$D$17:$D$149,$C615,'6. OPERATION'!CA$17:CA$149)+SUMIF('8. FACILIT'!$D$18:$D$50,$C615,'8. FACILIT'!AB$18:AB$50))</f>
        <v>0</v>
      </c>
      <c r="L621" s="615">
        <f>IF('2. START'!$C$11="NO",SUMIF('8. FACILIT'!$D$18:$D$50,$C615,'8. FACILIT'!AC$18:AC$50),SUMIF('5. PERSON'!$D$17:$D$192,$C615,'5. PERSON'!CY$17:CY$192)+SUMIF('6. OPERATION'!$D$17:$D$149,$C615,'6. OPERATION'!CB$17:CB$149)+SUMIF('8. FACILIT'!$D$18:$D$50,$C615,'8. FACILIT'!AC$18:AC$50))</f>
        <v>0</v>
      </c>
      <c r="M621" s="905">
        <f t="shared" si="98"/>
        <v>0</v>
      </c>
    </row>
    <row r="622" spans="2:15" s="234" customFormat="1" ht="13.2" x14ac:dyDescent="0.25">
      <c r="B622" s="122" t="str">
        <f>IF('1. INTRO'!I$2="English",(IF('2. START'!C$11="NO","Indirect and facility charge accepted as OH by funding body","Indirect")),IF('2. START'!C$11="NO","Indirekt och lokalpåslag accepterade som OH av finansiär","Indirekt"))</f>
        <v>Indirect</v>
      </c>
      <c r="C622" s="584">
        <f>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584">
        <f>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584">
        <f>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584">
        <f>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584">
        <f>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584">
        <f>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584">
        <f>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584">
        <f>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584">
        <f>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584">
        <f>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908">
        <f t="shared" si="98"/>
        <v>0</v>
      </c>
    </row>
    <row r="623" spans="2:15" s="234" customFormat="1" ht="13.2" x14ac:dyDescent="0.25">
      <c r="B623" s="628" t="s">
        <v>113</v>
      </c>
      <c r="C623" s="443">
        <f>SUM(C618:C622)</f>
        <v>0</v>
      </c>
      <c r="D623" s="443">
        <f t="shared" ref="D623:L623" si="99">SUM(D618:D622)</f>
        <v>0</v>
      </c>
      <c r="E623" s="443">
        <f t="shared" si="99"/>
        <v>0</v>
      </c>
      <c r="F623" s="443">
        <f t="shared" si="99"/>
        <v>0</v>
      </c>
      <c r="G623" s="443">
        <f t="shared" si="99"/>
        <v>0</v>
      </c>
      <c r="H623" s="443">
        <f t="shared" si="99"/>
        <v>0</v>
      </c>
      <c r="I623" s="443">
        <f t="shared" si="99"/>
        <v>0</v>
      </c>
      <c r="J623" s="443">
        <f t="shared" si="99"/>
        <v>0</v>
      </c>
      <c r="K623" s="443">
        <f t="shared" si="99"/>
        <v>0</v>
      </c>
      <c r="L623" s="443">
        <f t="shared" si="99"/>
        <v>0</v>
      </c>
      <c r="M623" s="630">
        <f t="shared" si="98"/>
        <v>0</v>
      </c>
    </row>
    <row r="624" spans="2:15" s="234" customFormat="1" ht="6" customHeight="1" x14ac:dyDescent="0.25">
      <c r="B624" s="909"/>
      <c r="C624" s="127"/>
      <c r="D624" s="127"/>
      <c r="E624" s="127"/>
      <c r="F624" s="127"/>
      <c r="G624" s="127"/>
      <c r="H624" s="127"/>
      <c r="I624" s="127"/>
      <c r="J624" s="127"/>
      <c r="K624" s="127"/>
      <c r="L624" s="127"/>
      <c r="M624" s="633"/>
    </row>
    <row r="625" spans="2:15" s="234" customFormat="1" ht="13.2" x14ac:dyDescent="0.25">
      <c r="B625" s="129" t="str">
        <f>IF('1. INTRO'!I$2="English","Costs to be co-funded","Kostnader att medfinansiera")</f>
        <v>Costs to be co-funded</v>
      </c>
      <c r="C625" s="634"/>
      <c r="D625" s="634"/>
      <c r="E625" s="634"/>
      <c r="F625" s="634"/>
      <c r="G625" s="634"/>
      <c r="H625" s="634"/>
      <c r="I625" s="634"/>
      <c r="J625" s="634"/>
      <c r="K625" s="634"/>
      <c r="L625" s="634"/>
      <c r="M625" s="129"/>
    </row>
    <row r="626" spans="2:15" s="234" customFormat="1" ht="13.2" x14ac:dyDescent="0.25">
      <c r="B626" s="159" t="str">
        <f>IF('1. INTRO'!I$2="English",(IF('2. START'!C$11="NO","Indirect and facility charge not accepted as OH by funding body","")),IF('2. START'!C$11="NO","Indirekt och lokalpåslag inte accepterade som OH av finansiär",""))</f>
        <v/>
      </c>
      <c r="C626" s="910">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910">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910">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910">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910">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910">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910">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910">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910">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910">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903">
        <f t="shared" ref="M626:M632" si="100">SUM(C626:L626)</f>
        <v>0</v>
      </c>
    </row>
    <row r="627" spans="2:15" s="234" customFormat="1" ht="12.75" customHeight="1" x14ac:dyDescent="0.25">
      <c r="B627" s="132" t="str">
        <f>IF('1. INTRO'!I$2="English",(IF('2. START'!C$14&gt;0,"Social costs (LKP) not accepted by funding body","")),IF('2. START'!C$14&gt;0,"LKP som inte accepteras av finansiär",""))</f>
        <v/>
      </c>
      <c r="C627" s="911">
        <f>IF('2. START'!$C$14&gt;0,SUMIF('5. PERSON'!$D$17:$D$192,$C615,'5. PERSON'!AT$17:AT$192)-SUMIF('5. PERSON'!$D$17:$D$192,$C615,'5. PERSON'!DN$17:DN$192),0)</f>
        <v>0</v>
      </c>
      <c r="D627" s="911">
        <f>IF('2. START'!$C$14&gt;0,SUMIF('5. PERSON'!$D$17:$D$192,$C615,'5. PERSON'!AU$17:AU$192)-SUMIF('5. PERSON'!$D$17:$D$192,$C615,'5. PERSON'!DO$17:DO$192),0)</f>
        <v>0</v>
      </c>
      <c r="E627" s="911">
        <f>IF('2. START'!$C$14&gt;0,SUMIF('5. PERSON'!$D$17:$D$192,$C615,'5. PERSON'!AV$17:AV$192)-SUMIF('5. PERSON'!$D$17:$D$192,$C615,'5. PERSON'!DP$17:DP$192),0)</f>
        <v>0</v>
      </c>
      <c r="F627" s="911">
        <f>IF('2. START'!$C$14&gt;0,SUMIF('5. PERSON'!$D$17:$D$192,$C615,'5. PERSON'!AW$17:AW$192)-SUMIF('5. PERSON'!$D$17:$D$192,$C615,'5. PERSON'!DQ$17:DQ$192),0)</f>
        <v>0</v>
      </c>
      <c r="G627" s="911">
        <f>IF('2. START'!$C$14&gt;0,SUMIF('5. PERSON'!$D$17:$D$192,$C615,'5. PERSON'!AX$17:AX$192)-SUMIF('5. PERSON'!$D$17:$D$192,$C615,'5. PERSON'!DR$17:DR$192),0)</f>
        <v>0</v>
      </c>
      <c r="H627" s="911">
        <f>IF('2. START'!$C$14&gt;0,SUMIF('5. PERSON'!$D$17:$D$192,$C615,'5. PERSON'!AY$17:AY$192)-SUMIF('5. PERSON'!$D$17:$D$192,$C615,'5. PERSON'!DS$17:DS$192),0)</f>
        <v>0</v>
      </c>
      <c r="I627" s="911">
        <f>IF('2. START'!$C$14&gt;0,SUMIF('5. PERSON'!$D$17:$D$192,$C615,'5. PERSON'!AZ$17:AZ$192)-SUMIF('5. PERSON'!$D$17:$D$192,$C615,'5. PERSON'!DT$17:DT$192),0)</f>
        <v>0</v>
      </c>
      <c r="J627" s="911">
        <f>IF('2. START'!$C$14&gt;0,SUMIF('5. PERSON'!$D$17:$D$192,$C615,'5. PERSON'!BA$17:BA$192)-SUMIF('5. PERSON'!$D$17:$D$192,$C615,'5. PERSON'!DU$17:DU$192),0)</f>
        <v>0</v>
      </c>
      <c r="K627" s="911">
        <f>IF('2. START'!$C$14&gt;0,SUMIF('5. PERSON'!$D$17:$D$192,$C615,'5. PERSON'!BB$17:BB$192)-SUMIF('5. PERSON'!$D$17:$D$192,$C615,'5. PERSON'!DV$17:DV$192),0)</f>
        <v>0</v>
      </c>
      <c r="L627" s="911">
        <f>IF('2. START'!$C$14&gt;0,SUMIF('5. PERSON'!$D$17:$D$192,$C615,'5. PERSON'!BC$17:BC$192)-SUMIF('5. PERSON'!$D$17:$D$192,$C615,'5. PERSON'!DW$17:DW$192),0)</f>
        <v>0</v>
      </c>
      <c r="M627" s="905">
        <f t="shared" si="100"/>
        <v>0</v>
      </c>
    </row>
    <row r="628" spans="2:15" s="234" customFormat="1" ht="12.75" customHeight="1" x14ac:dyDescent="0.25">
      <c r="B628" s="906" t="str">
        <f>IF('1. INTRO'!I$2="English",(IF('5. PERSON'!BP$193&gt;0,"Salary including social costs (LKP)","")),IF('5. PERSON'!BP$193&gt;0,"Lön inklusive LKP",""))</f>
        <v/>
      </c>
      <c r="C628" s="622">
        <f>SUMIF('5. PERSON'!$D$17:$D$192,$C615,'5. PERSON'!BF$17:BF$192)</f>
        <v>0</v>
      </c>
      <c r="D628" s="622">
        <f>SUMIF('5. PERSON'!$D$17:$D$192,$C615,'5. PERSON'!BG$17:BG$192)</f>
        <v>0</v>
      </c>
      <c r="E628" s="622">
        <f>SUMIF('5. PERSON'!$D$17:$D$192,$C615,'5. PERSON'!BH$17:BH$192)</f>
        <v>0</v>
      </c>
      <c r="F628" s="622">
        <f>SUMIF('5. PERSON'!$D$17:$D$192,$C615,'5. PERSON'!BI$17:BI$192)</f>
        <v>0</v>
      </c>
      <c r="G628" s="622">
        <f>SUMIF('5. PERSON'!$D$17:$D$192,$C615,'5. PERSON'!BJ$17:BJ$192)</f>
        <v>0</v>
      </c>
      <c r="H628" s="622">
        <f>SUMIF('5. PERSON'!$D$17:$D$192,$C615,'5. PERSON'!BK$17:BK$192)</f>
        <v>0</v>
      </c>
      <c r="I628" s="622">
        <f>SUMIF('5. PERSON'!$D$17:$D$192,$C615,'5. PERSON'!BL$17:BL$192)</f>
        <v>0</v>
      </c>
      <c r="J628" s="622">
        <f>SUMIF('5. PERSON'!$D$17:$D$192,$C615,'5. PERSON'!BM$17:BM$192)</f>
        <v>0</v>
      </c>
      <c r="K628" s="622">
        <f>SUMIF('5. PERSON'!$D$17:$D$192,$C615,'5. PERSON'!BN$17:BN$192)</f>
        <v>0</v>
      </c>
      <c r="L628" s="622">
        <f>SUMIF('5. PERSON'!$D$17:$D$192,$C615,'5. PERSON'!BO$17:BO$192)</f>
        <v>0</v>
      </c>
      <c r="M628" s="907">
        <f t="shared" si="100"/>
        <v>0</v>
      </c>
    </row>
    <row r="629" spans="2:15" s="234" customFormat="1" ht="13.2" x14ac:dyDescent="0.25">
      <c r="B629" s="377" t="str">
        <f>IF('1. INTRO'!I$2="English",(IF('6. OPERATION'!AS$150&gt;0,"Operating","")),IF('6. OPERATION'!AS$150&gt;0,"Drift",""))</f>
        <v/>
      </c>
      <c r="C629" s="617">
        <f>SUMIF('6. OPERATION'!$D$17:$D$149,$C615,'6. OPERATION'!AI$17:AI$149)</f>
        <v>0</v>
      </c>
      <c r="D629" s="617">
        <f>SUMIF('6. OPERATION'!$D$17:$D$149,$C615,'6. OPERATION'!AJ$17:AJ$149)</f>
        <v>0</v>
      </c>
      <c r="E629" s="617">
        <f>SUMIF('6. OPERATION'!$D$17:$D$149,$C615,'6. OPERATION'!AK$17:AK$149)</f>
        <v>0</v>
      </c>
      <c r="F629" s="617">
        <f>SUMIF('6. OPERATION'!$D$17:$D$149,$C615,'6. OPERATION'!AL$17:AL$149)</f>
        <v>0</v>
      </c>
      <c r="G629" s="617">
        <f>SUMIF('6. OPERATION'!$D$17:$D$149,$C615,'6. OPERATION'!AM$17:AM$149)</f>
        <v>0</v>
      </c>
      <c r="H629" s="617">
        <f>SUMIF('6. OPERATION'!$D$17:$D$149,$C615,'6. OPERATION'!AN$17:AN$149)</f>
        <v>0</v>
      </c>
      <c r="I629" s="617">
        <f>SUMIF('6. OPERATION'!$D$17:$D$149,$C615,'6. OPERATION'!AO$17:AO$149)</f>
        <v>0</v>
      </c>
      <c r="J629" s="617">
        <f>SUMIF('6. OPERATION'!$D$17:$D$149,$C615,'6. OPERATION'!AP$17:AP$149)</f>
        <v>0</v>
      </c>
      <c r="K629" s="617">
        <f>SUMIF('6. OPERATION'!$D$17:$D$149,$C615,'6. OPERATION'!AQ$17:AQ$149)</f>
        <v>0</v>
      </c>
      <c r="L629" s="617">
        <f>SUMIF('6. OPERATION'!$D$17:$D$149,$C615,'6. OPERATION'!AR$17:AR$149)</f>
        <v>0</v>
      </c>
      <c r="M629" s="905">
        <f t="shared" si="100"/>
        <v>0</v>
      </c>
    </row>
    <row r="630" spans="2:15" s="234" customFormat="1" ht="13.2" x14ac:dyDescent="0.25">
      <c r="B630" s="906" t="str">
        <f>IF('1. INTRO'!I$2="English",(IF('7. INVEST'!AS$50&gt;0,"Equipment","")),IF('7. INVEST'!AS$50&gt;0,"Utrustning",""))</f>
        <v/>
      </c>
      <c r="C630" s="622">
        <f>SUMIF('7. INVEST'!$D$17:$D$49,$C615,'7. INVEST'!AI$17:AI$49)</f>
        <v>0</v>
      </c>
      <c r="D630" s="622">
        <f>SUMIF('7. INVEST'!$D$17:$D$49,$C615,'7. INVEST'!AJ$17:AJ$49)</f>
        <v>0</v>
      </c>
      <c r="E630" s="622">
        <f>SUMIF('7. INVEST'!$D$17:$D$49,$C615,'7. INVEST'!AK$17:AK$49)</f>
        <v>0</v>
      </c>
      <c r="F630" s="622">
        <f>SUMIF('7. INVEST'!$D$17:$D$49,$C615,'7. INVEST'!AL$17:AL$49)</f>
        <v>0</v>
      </c>
      <c r="G630" s="622">
        <f>SUMIF('7. INVEST'!$D$17:$D$49,$C615,'7. INVEST'!AM$17:AM$49)</f>
        <v>0</v>
      </c>
      <c r="H630" s="622">
        <f>SUMIF('7. INVEST'!$D$17:$D$49,$C615,'7. INVEST'!AN$17:AN$49)</f>
        <v>0</v>
      </c>
      <c r="I630" s="622">
        <f>SUMIF('7. INVEST'!$D$17:$D$49,$C615,'7. INVEST'!AO$17:AO$49)</f>
        <v>0</v>
      </c>
      <c r="J630" s="622">
        <f>SUMIF('7. INVEST'!$D$17:$D$49,$C615,'7. INVEST'!AP$17:AP$49)</f>
        <v>0</v>
      </c>
      <c r="K630" s="622">
        <f>SUMIF('7. INVEST'!$D$17:$D$49,$C615,'7. INVEST'!AQ$17:AQ$49)</f>
        <v>0</v>
      </c>
      <c r="L630" s="622">
        <f>SUMIF('7. INVEST'!$D$17:$D$49,$C615,'7. INVEST'!AR$17:AR$49)</f>
        <v>0</v>
      </c>
      <c r="M630" s="907">
        <f t="shared" si="100"/>
        <v>0</v>
      </c>
    </row>
    <row r="631" spans="2:15" s="234" customFormat="1" ht="13.2" x14ac:dyDescent="0.25">
      <c r="B631" s="121" t="str">
        <f>IF('1. INTRO'!I$2="English",(IF('8. FACILIT'!AP$51&gt;0,"Facility","")),IF('8. FACILIT'!AP$51&gt;0,"Lokal",""))</f>
        <v/>
      </c>
      <c r="C631" s="617">
        <f>SUMIF('5. PERSON'!$D$17:$D$192,$C615,'5. PERSON'!DB$17:DB$192)+SUMIF('6. OPERATION'!$D$17:$D$149,$C615,'6. OPERATION'!CE$17:CE$149)+SUMIF('8. FACILIT'!$D$18:$D$50,$C615,'8. FACILIT'!AF$18:AF$50)</f>
        <v>0</v>
      </c>
      <c r="D631" s="617">
        <f>SUMIF('5. PERSON'!$D$17:$D$192,$C615,'5. PERSON'!DC$17:DC$192)+SUMIF('6. OPERATION'!$D$17:$D$149,$C615,'6. OPERATION'!CF$17:CF$149)+SUMIF('8. FACILIT'!$D$18:$D$50,$C615,'8. FACILIT'!AG$18:AG$50)</f>
        <v>0</v>
      </c>
      <c r="E631" s="617">
        <f>SUMIF('5. PERSON'!$D$17:$D$192,$C615,'5. PERSON'!DD$17:DD$192)+SUMIF('6. OPERATION'!$D$17:$D$149,$C615,'6. OPERATION'!CG$17:CG$149)+SUMIF('8. FACILIT'!$D$18:$D$50,$C615,'8. FACILIT'!AH$18:AH$50)</f>
        <v>0</v>
      </c>
      <c r="F631" s="617">
        <f>SUMIF('5. PERSON'!$D$17:$D$192,$C615,'5. PERSON'!DE$17:DE$192)+SUMIF('6. OPERATION'!$D$17:$D$149,$C615,'6. OPERATION'!CH$17:CH$149)+SUMIF('8. FACILIT'!$D$18:$D$50,$C615,'8. FACILIT'!AI$18:AI$50)</f>
        <v>0</v>
      </c>
      <c r="G631" s="617">
        <f>SUMIF('5. PERSON'!$D$17:$D$192,$C615,'5. PERSON'!DF$17:DF$192)+SUMIF('6. OPERATION'!$D$17:$D$149,$C615,'6. OPERATION'!CI$17:CI$149)+SUMIF('8. FACILIT'!$D$18:$D$50,$C615,'8. FACILIT'!AJ$18:AJ$50)</f>
        <v>0</v>
      </c>
      <c r="H631" s="617">
        <f>SUMIF('5. PERSON'!$D$17:$D$192,$C615,'5. PERSON'!DG$17:DG$192)+SUMIF('6. OPERATION'!$D$17:$D$149,$C615,'6. OPERATION'!CJ$17:CJ$149)+SUMIF('8. FACILIT'!$D$18:$D$50,$C615,'8. FACILIT'!AK$18:AK$50)</f>
        <v>0</v>
      </c>
      <c r="I631" s="617">
        <f>SUMIF('5. PERSON'!$D$17:$D$192,$C615,'5. PERSON'!DH$17:DH$192)+SUMIF('6. OPERATION'!$D$17:$D$149,$C615,'6. OPERATION'!CK$17:CK$149)+SUMIF('8. FACILIT'!$D$18:$D$50,$C615,'8. FACILIT'!AL$18:AL$50)</f>
        <v>0</v>
      </c>
      <c r="J631" s="617">
        <f>SUMIF('5. PERSON'!$D$17:$D$192,$C615,'5. PERSON'!DI$17:DI$192)+SUMIF('6. OPERATION'!$D$17:$D$149,$C615,'6. OPERATION'!CL$17:CL$149)+SUMIF('8. FACILIT'!$D$18:$D$50,$C615,'8. FACILIT'!AM$18:AM$50)</f>
        <v>0</v>
      </c>
      <c r="K631" s="617">
        <f>SUMIF('5. PERSON'!$D$17:$D$192,$C615,'5. PERSON'!DJ$17:DJ$192)+SUMIF('6. OPERATION'!$D$17:$D$149,$C615,'6. OPERATION'!CM$17:CM$149)+SUMIF('8. FACILIT'!$D$18:$D$50,$C615,'8. FACILIT'!AN$18:AN$50)</f>
        <v>0</v>
      </c>
      <c r="L631" s="617">
        <f>SUMIF('5. PERSON'!$D$17:$D$192,$C615,'5. PERSON'!DK$17:DK$192)+SUMIF('6. OPERATION'!$D$17:$D$149,$C615,'6. OPERATION'!CN$17:CN$149)+SUMIF('8. FACILIT'!$D$18:$D$50,$C615,'8. FACILIT'!AO$18:AO$50)</f>
        <v>0</v>
      </c>
      <c r="M631" s="905">
        <f t="shared" si="100"/>
        <v>0</v>
      </c>
    </row>
    <row r="632" spans="2:15" s="912" customFormat="1" ht="13.2" x14ac:dyDescent="0.25">
      <c r="B632" s="122" t="str">
        <f>IF('1. INTRO'!I$2="English",(IF(('5. PERSON'!CN$193+'6. OPERATION'!BQ$150)&gt;0,"Indirect","")),IF(('5. PERSON'!CN$193+'6. OPERATION'!BQ$150)&gt;0,"Indirekt",""))</f>
        <v/>
      </c>
      <c r="C632" s="584">
        <f>SUMIF('5. PERSON'!$D$17:$D$192,$C615,'5. PERSON'!CD$17:CD$192)+SUMIF('6. OPERATION'!$D$17:$D$149,$C615,'6. OPERATION'!BG$17:BG$149)</f>
        <v>0</v>
      </c>
      <c r="D632" s="584">
        <f>SUMIF('5. PERSON'!$D$17:$D$192,$C615,'5. PERSON'!CE$17:CE$192)+SUMIF('6. OPERATION'!$D$17:$D$149,$C615,'6. OPERATION'!BH$17:BH$149)</f>
        <v>0</v>
      </c>
      <c r="E632" s="584">
        <f>SUMIF('5. PERSON'!$D$17:$D$192,$C615,'5. PERSON'!CF$17:CF$192)+SUMIF('6. OPERATION'!$D$17:$D$149,$C615,'6. OPERATION'!BI$17:BI$149)</f>
        <v>0</v>
      </c>
      <c r="F632" s="584">
        <f>SUMIF('5. PERSON'!$D$17:$D$192,$C615,'5. PERSON'!CG$17:CG$192)+SUMIF('6. OPERATION'!$D$17:$D$149,$C615,'6. OPERATION'!BJ$17:BJ$149)</f>
        <v>0</v>
      </c>
      <c r="G632" s="584">
        <f>SUMIF('5. PERSON'!$D$17:$D$192,$C615,'5. PERSON'!CH$17:CH$192)+SUMIF('6. OPERATION'!$D$17:$D$149,$C615,'6. OPERATION'!BK$17:BK$149)</f>
        <v>0</v>
      </c>
      <c r="H632" s="584">
        <f>SUMIF('5. PERSON'!$D$17:$D$192,$C615,'5. PERSON'!CI$17:CI$192)+SUMIF('6. OPERATION'!$D$17:$D$149,$C615,'6. OPERATION'!BL$17:BL$149)</f>
        <v>0</v>
      </c>
      <c r="I632" s="584">
        <f>SUMIF('5. PERSON'!$D$17:$D$192,$C615,'5. PERSON'!CJ$17:CJ$192)+SUMIF('6. OPERATION'!$D$17:$D$149,$C615,'6. OPERATION'!BM$17:BM$149)</f>
        <v>0</v>
      </c>
      <c r="J632" s="584">
        <f>SUMIF('5. PERSON'!$D$17:$D$192,$C615,'5. PERSON'!CK$17:CK$192)+SUMIF('6. OPERATION'!$D$17:$D$149,$C615,'6. OPERATION'!BN$17:BN$149)</f>
        <v>0</v>
      </c>
      <c r="K632" s="584">
        <f>SUMIF('5. PERSON'!$D$17:$D$192,$C615,'5. PERSON'!CL$17:CL$192)+SUMIF('6. OPERATION'!$D$17:$D$149,$C615,'6. OPERATION'!BO$17:BO$149)</f>
        <v>0</v>
      </c>
      <c r="L632" s="584">
        <f>SUMIF('5. PERSON'!$D$17:$D$192,$C615,'5. PERSON'!CM$17:CM$192)+SUMIF('6. OPERATION'!$D$17:$D$149,$C615,'6. OPERATION'!BP$17:BP$149)</f>
        <v>0</v>
      </c>
      <c r="M632" s="908">
        <f t="shared" si="100"/>
        <v>0</v>
      </c>
    </row>
    <row r="633" spans="2:15" s="234" customFormat="1" ht="13.2" x14ac:dyDescent="0.25">
      <c r="B633" s="628" t="s">
        <v>113</v>
      </c>
      <c r="C633" s="443">
        <f>SUM(C626:C632)</f>
        <v>0</v>
      </c>
      <c r="D633" s="443">
        <f t="shared" ref="D633:M633" si="101">SUM(D626:D632)</f>
        <v>0</v>
      </c>
      <c r="E633" s="443">
        <f t="shared" si="101"/>
        <v>0</v>
      </c>
      <c r="F633" s="443">
        <f t="shared" si="101"/>
        <v>0</v>
      </c>
      <c r="G633" s="443">
        <f t="shared" si="101"/>
        <v>0</v>
      </c>
      <c r="H633" s="443">
        <f t="shared" si="101"/>
        <v>0</v>
      </c>
      <c r="I633" s="443">
        <f t="shared" si="101"/>
        <v>0</v>
      </c>
      <c r="J633" s="443">
        <f t="shared" si="101"/>
        <v>0</v>
      </c>
      <c r="K633" s="443">
        <f t="shared" si="101"/>
        <v>0</v>
      </c>
      <c r="L633" s="443">
        <f t="shared" si="101"/>
        <v>0</v>
      </c>
      <c r="M633" s="630">
        <f t="shared" si="101"/>
        <v>0</v>
      </c>
      <c r="N633" s="913"/>
      <c r="O633" s="913"/>
    </row>
    <row r="634" spans="2:15" s="234" customFormat="1" ht="6" customHeight="1" x14ac:dyDescent="0.25">
      <c r="B634" s="914"/>
      <c r="C634" s="127"/>
      <c r="D634" s="127"/>
      <c r="E634" s="127"/>
      <c r="F634" s="127"/>
      <c r="G634" s="127"/>
      <c r="H634" s="127"/>
      <c r="I634" s="127"/>
      <c r="J634" s="127"/>
      <c r="K634" s="127"/>
      <c r="L634" s="127"/>
      <c r="M634" s="636"/>
    </row>
    <row r="635" spans="2:15" s="234" customFormat="1" ht="13.2" x14ac:dyDescent="0.25">
      <c r="B635" s="129" t="str">
        <f>IF('1. INTRO'!I$2="English","Full cost","Full kostnad")</f>
        <v>Full cost</v>
      </c>
      <c r="C635" s="127"/>
      <c r="D635" s="127"/>
      <c r="E635" s="127"/>
      <c r="F635" s="127"/>
      <c r="G635" s="127"/>
      <c r="H635" s="127"/>
      <c r="I635" s="127"/>
      <c r="J635" s="127"/>
      <c r="K635" s="127"/>
      <c r="L635" s="127"/>
      <c r="M635" s="636"/>
    </row>
    <row r="636" spans="2:15" s="234" customFormat="1" ht="13.2" x14ac:dyDescent="0.25">
      <c r="B636" s="902" t="str">
        <f>IF('1. INTRO'!I$2="English","Salary including social costs (LKP)","Lön inklusive LKP")</f>
        <v>Salary including social costs (LKP)</v>
      </c>
      <c r="C636" s="138">
        <f>C618+C627+C628</f>
        <v>0</v>
      </c>
      <c r="D636" s="138">
        <f t="shared" ref="D636:L636" si="102">D618+D627+D628</f>
        <v>0</v>
      </c>
      <c r="E636" s="138">
        <f t="shared" si="102"/>
        <v>0</v>
      </c>
      <c r="F636" s="138">
        <f t="shared" si="102"/>
        <v>0</v>
      </c>
      <c r="G636" s="138">
        <f t="shared" si="102"/>
        <v>0</v>
      </c>
      <c r="H636" s="138">
        <f t="shared" si="102"/>
        <v>0</v>
      </c>
      <c r="I636" s="138">
        <f t="shared" si="102"/>
        <v>0</v>
      </c>
      <c r="J636" s="138">
        <f t="shared" si="102"/>
        <v>0</v>
      </c>
      <c r="K636" s="138">
        <f t="shared" si="102"/>
        <v>0</v>
      </c>
      <c r="L636" s="138">
        <f t="shared" si="102"/>
        <v>0</v>
      </c>
      <c r="M636" s="903">
        <f>SUM(C636:L636)</f>
        <v>0</v>
      </c>
    </row>
    <row r="637" spans="2:15" s="234" customFormat="1" ht="13.2" x14ac:dyDescent="0.25">
      <c r="B637" s="377" t="str">
        <f>IF('1. INTRO'!I$2="English","Operating","Drift")</f>
        <v>Operating</v>
      </c>
      <c r="C637" s="139">
        <f>C619+C629</f>
        <v>0</v>
      </c>
      <c r="D637" s="139">
        <f t="shared" ref="D637:L637" si="103">D619+D629</f>
        <v>0</v>
      </c>
      <c r="E637" s="139">
        <f t="shared" si="103"/>
        <v>0</v>
      </c>
      <c r="F637" s="139">
        <f t="shared" si="103"/>
        <v>0</v>
      </c>
      <c r="G637" s="139">
        <f t="shared" si="103"/>
        <v>0</v>
      </c>
      <c r="H637" s="139">
        <f t="shared" si="103"/>
        <v>0</v>
      </c>
      <c r="I637" s="139">
        <f t="shared" si="103"/>
        <v>0</v>
      </c>
      <c r="J637" s="139">
        <f t="shared" si="103"/>
        <v>0</v>
      </c>
      <c r="K637" s="139">
        <f t="shared" si="103"/>
        <v>0</v>
      </c>
      <c r="L637" s="139">
        <f t="shared" si="103"/>
        <v>0</v>
      </c>
      <c r="M637" s="905">
        <f>SUM(C637:L637)</f>
        <v>0</v>
      </c>
    </row>
    <row r="638" spans="2:15" s="234" customFormat="1" ht="13.2" x14ac:dyDescent="0.25">
      <c r="B638" s="906" t="str">
        <f>IF('1. INTRO'!I$2="English","Equipment","Utrustning")</f>
        <v>Equipment</v>
      </c>
      <c r="C638" s="140">
        <f>C620+C630</f>
        <v>0</v>
      </c>
      <c r="D638" s="140">
        <f t="shared" ref="D638:L638" si="104">D620+D630</f>
        <v>0</v>
      </c>
      <c r="E638" s="140">
        <f t="shared" si="104"/>
        <v>0</v>
      </c>
      <c r="F638" s="140">
        <f t="shared" si="104"/>
        <v>0</v>
      </c>
      <c r="G638" s="140">
        <f t="shared" si="104"/>
        <v>0</v>
      </c>
      <c r="H638" s="140">
        <f t="shared" si="104"/>
        <v>0</v>
      </c>
      <c r="I638" s="140">
        <f t="shared" si="104"/>
        <v>0</v>
      </c>
      <c r="J638" s="140">
        <f t="shared" si="104"/>
        <v>0</v>
      </c>
      <c r="K638" s="140">
        <f t="shared" si="104"/>
        <v>0</v>
      </c>
      <c r="L638" s="140">
        <f t="shared" si="104"/>
        <v>0</v>
      </c>
      <c r="M638" s="907">
        <f>SUM(C638:L638)</f>
        <v>0</v>
      </c>
    </row>
    <row r="639" spans="2:15" s="234" customFormat="1" ht="13.2" x14ac:dyDescent="0.25">
      <c r="B639" s="377" t="str">
        <f>IF('1. INTRO'!I$2="English","Facility","Lokal")</f>
        <v>Facility</v>
      </c>
      <c r="C639" s="139">
        <f>SUMIF('5. PERSON'!$D$17:$D$192,$C615,'5. PERSON'!CP$17:CP$192)+SUMIF('5. PERSON'!$D$17:$D$192,$C615,'5. PERSON'!DB$17:DB$192)+SUMIF('6. OPERATION'!$D$17:$D$149,$C615,'6. OPERATION'!BS$17:BS$149)+SUMIF('6. OPERATION'!$D$17:$D$149,$C615,'6. OPERATION'!CE$17:CE$149)+SUMIF('8. FACILIT'!$D$18:$D$50,$C615,'8. FACILIT'!T$18:T$50)+SUMIF('8. FACILIT'!$D$18:$D$50,$C615,'8. FACILIT'!AF$18:AF$50)</f>
        <v>0</v>
      </c>
      <c r="D639" s="139">
        <f>SUMIF('5. PERSON'!$D$17:$D$192,$C615,'5. PERSON'!CQ$17:CQ$192)+SUMIF('5. PERSON'!$D$17:$D$192,$C615,'5. PERSON'!DC$17:DC$192)+SUMIF('6. OPERATION'!$D$17:$D$149,$C615,'6. OPERATION'!BT$17:BT$149)+SUMIF('6. OPERATION'!$D$17:$D$149,$C615,'6. OPERATION'!CF$17:CF$149)+SUMIF('8. FACILIT'!$D$18:$D$50,$C615,'8. FACILIT'!U$18:U$50)+SUMIF('8. FACILIT'!$D$18:$D$50,$C615,'8. FACILIT'!AG$18:AG$50)</f>
        <v>0</v>
      </c>
      <c r="E639" s="139">
        <f>SUMIF('5. PERSON'!$D$17:$D$192,$C615,'5. PERSON'!CR$17:CR$192)+SUMIF('5. PERSON'!$D$17:$D$192,$C615,'5. PERSON'!DD$17:DD$192)+SUMIF('6. OPERATION'!$D$17:$D$149,$C615,'6. OPERATION'!BU$17:BU$149)+SUMIF('6. OPERATION'!$D$17:$D$149,$C615,'6. OPERATION'!CG$17:CG$149)+SUMIF('8. FACILIT'!$D$18:$D$50,$C615,'8. FACILIT'!V$18:V$50)+SUMIF('8. FACILIT'!$D$18:$D$50,$C615,'8. FACILIT'!AH$18:AH$50)</f>
        <v>0</v>
      </c>
      <c r="F639" s="139">
        <f>SUMIF('5. PERSON'!$D$17:$D$192,$C615,'5. PERSON'!CS$17:CS$192)+SUMIF('5. PERSON'!$D$17:$D$192,$C615,'5. PERSON'!DE$17:DE$192)+SUMIF('6. OPERATION'!$D$17:$D$149,$C615,'6. OPERATION'!BV$17:BV$149)+SUMIF('6. OPERATION'!$D$17:$D$149,$C615,'6. OPERATION'!CH$17:CH$149)+SUMIF('8. FACILIT'!$D$18:$D$50,$C615,'8. FACILIT'!W$18:W$50)+SUMIF('8. FACILIT'!$D$18:$D$50,$C615,'8. FACILIT'!AI$18:AI$50)</f>
        <v>0</v>
      </c>
      <c r="G639" s="139">
        <f>SUMIF('5. PERSON'!$D$17:$D$192,$C615,'5. PERSON'!CT$17:CT$192)+SUMIF('5. PERSON'!$D$17:$D$192,$C615,'5. PERSON'!DF$17:DF$192)+SUMIF('6. OPERATION'!$D$17:$D$149,$C615,'6. OPERATION'!BW$17:BW$149)+SUMIF('6. OPERATION'!$D$17:$D$149,$C615,'6. OPERATION'!CI$17:CI$149)+SUMIF('8. FACILIT'!$D$18:$D$50,$C615,'8. FACILIT'!X$18:X$50)+SUMIF('8. FACILIT'!$D$18:$D$50,$C615,'8. FACILIT'!AJ$18:AJ$50)</f>
        <v>0</v>
      </c>
      <c r="H639" s="139">
        <f>SUMIF('5. PERSON'!$D$17:$D$192,$C615,'5. PERSON'!CU$17:CU$192)+SUMIF('5. PERSON'!$D$17:$D$192,$C615,'5. PERSON'!DG$17:DG$192)+SUMIF('6. OPERATION'!$D$17:$D$149,$C615,'6. OPERATION'!BX$17:BX$149)+SUMIF('6. OPERATION'!$D$17:$D$149,$C615,'6. OPERATION'!CJ$17:CJ$149)+SUMIF('8. FACILIT'!$D$18:$D$50,$C615,'8. FACILIT'!Y$18:Y$50)+SUMIF('8. FACILIT'!$D$18:$D$50,$C615,'8. FACILIT'!AK$18:AK$50)</f>
        <v>0</v>
      </c>
      <c r="I639" s="139">
        <f>SUMIF('5. PERSON'!$D$17:$D$192,$C615,'5. PERSON'!CV$17:CV$192)+SUMIF('5. PERSON'!$D$17:$D$192,$C615,'5. PERSON'!DH$17:DH$192)+SUMIF('6. OPERATION'!$D$17:$D$149,$C615,'6. OPERATION'!BY$17:BY$149)+SUMIF('6. OPERATION'!$D$17:$D$149,$C615,'6. OPERATION'!CK$17:CK$149)+SUMIF('8. FACILIT'!$D$18:$D$50,$C615,'8. FACILIT'!Z$18:Z$50)+SUMIF('8. FACILIT'!$D$18:$D$50,$C615,'8. FACILIT'!AL$18:AL$50)</f>
        <v>0</v>
      </c>
      <c r="J639" s="139">
        <f>SUMIF('5. PERSON'!$D$17:$D$192,$C615,'5. PERSON'!CW$17:CW$192)+SUMIF('5. PERSON'!$D$17:$D$192,$C615,'5. PERSON'!DI$17:DI$192)+SUMIF('6. OPERATION'!$D$17:$D$149,$C615,'6. OPERATION'!BZ$17:BZ$149)+SUMIF('6. OPERATION'!$D$17:$D$149,$C615,'6. OPERATION'!CL$17:CL$149)+SUMIF('8. FACILIT'!$D$18:$D$50,$C615,'8. FACILIT'!AA$18:AA$50)+SUMIF('8. FACILIT'!$D$18:$D$50,$C615,'8. FACILIT'!AM$18:AM$50)</f>
        <v>0</v>
      </c>
      <c r="K639" s="139">
        <f>SUMIF('5. PERSON'!$D$17:$D$192,$C615,'5. PERSON'!CX$17:CX$192)+SUMIF('5. PERSON'!$D$17:$D$192,$C615,'5. PERSON'!DJ$17:DJ$192)+SUMIF('6. OPERATION'!$D$17:$D$149,$C615,'6. OPERATION'!CA$17:CA$149)+SUMIF('6. OPERATION'!$D$17:$D$149,$C615,'6. OPERATION'!CM$17:CM$149)+SUMIF('8. FACILIT'!$D$18:$D$50,$C615,'8. FACILIT'!AB$18:AB$50)+SUMIF('8. FACILIT'!$D$18:$D$50,$C615,'8. FACILIT'!AN$18:AN$50)</f>
        <v>0</v>
      </c>
      <c r="L639" s="139">
        <f>SUMIF('5. PERSON'!$D$17:$D$192,$C615,'5. PERSON'!CY$17:CY$192)+SUMIF('5. PERSON'!$D$17:$D$192,$C615,'5. PERSON'!DK$17:DK$192)+SUMIF('6. OPERATION'!$D$17:$D$149,$C615,'6. OPERATION'!CB$17:CB$149)+SUMIF('6. OPERATION'!$D$17:$D$149,$C615,'6. OPERATION'!CN$17:CN$149)+SUMIF('8. FACILIT'!$D$18:$D$50,$C615,'8. FACILIT'!AC$18:AC$50)+SUMIF('8. FACILIT'!$D$18:$D$50,$C615,'8. FACILIT'!AO$18:AO$50)</f>
        <v>0</v>
      </c>
      <c r="M639" s="905">
        <f>SUM(C639:L639)</f>
        <v>0</v>
      </c>
    </row>
    <row r="640" spans="2:15" s="234" customFormat="1" ht="13.2" x14ac:dyDescent="0.25">
      <c r="B640" s="915" t="str">
        <f>IF('1. INTRO'!I$2="English","Indirect","Indirekt")</f>
        <v>Indirect</v>
      </c>
      <c r="C640" s="141">
        <f>SUMIF('5. PERSON'!$D$17:$D$192,$C615,'5. PERSON'!BR$17:BR$192)+SUMIF('5. PERSON'!$D$17:$D$192,$C615,'5. PERSON'!CD$17:CD$192)+SUMIF('6. OPERATION'!$D$17:$D$149,$C615,'6. OPERATION'!AU$17:AU$149)+SUMIF('6. OPERATION'!$D$17:$D$149,$C615,'6. OPERATION'!BG$17:BG$149)</f>
        <v>0</v>
      </c>
      <c r="D640" s="141">
        <f>SUMIF('5. PERSON'!$D$17:$D$192,$C615,'5. PERSON'!BS$17:BS$192)+SUMIF('5. PERSON'!$D$17:$D$192,$C615,'5. PERSON'!CE$17:CE$192)+SUMIF('6. OPERATION'!$D$17:$D$149,$C615,'6. OPERATION'!AV$17:AV$149)+SUMIF('6. OPERATION'!$D$17:$D$149,$C615,'6. OPERATION'!BH$17:BH$149)</f>
        <v>0</v>
      </c>
      <c r="E640" s="141">
        <f>SUMIF('5. PERSON'!$D$17:$D$192,$C615,'5. PERSON'!BT$17:BT$192)+SUMIF('5. PERSON'!$D$17:$D$192,$C615,'5. PERSON'!CF$17:CF$192)+SUMIF('6. OPERATION'!$D$17:$D$149,$C615,'6. OPERATION'!AW$17:AW$149)+SUMIF('6. OPERATION'!$D$17:$D$149,$C615,'6. OPERATION'!BI$17:BI$149)</f>
        <v>0</v>
      </c>
      <c r="F640" s="141">
        <f>SUMIF('5. PERSON'!$D$17:$D$192,$C615,'5. PERSON'!BU$17:BU$192)+SUMIF('5. PERSON'!$D$17:$D$192,$C615,'5. PERSON'!CG$17:CG$192)+SUMIF('6. OPERATION'!$D$17:$D$149,$C615,'6. OPERATION'!AX$17:AX$149)+SUMIF('6. OPERATION'!$D$17:$D$149,$C615,'6. OPERATION'!BJ$17:BJ$149)</f>
        <v>0</v>
      </c>
      <c r="G640" s="141">
        <f>SUMIF('5. PERSON'!$D$17:$D$192,$C615,'5. PERSON'!BV$17:BV$192)+SUMIF('5. PERSON'!$D$17:$D$192,$C615,'5. PERSON'!CH$17:CH$192)+SUMIF('6. OPERATION'!$D$17:$D$149,$C615,'6. OPERATION'!AY$17:AY$149)+SUMIF('6. OPERATION'!$D$17:$D$149,$C615,'6. OPERATION'!BK$17:BK$149)</f>
        <v>0</v>
      </c>
      <c r="H640" s="141">
        <f>SUMIF('5. PERSON'!$D$17:$D$192,$C615,'5. PERSON'!BW$17:BW$192)+SUMIF('5. PERSON'!$D$17:$D$192,$C615,'5. PERSON'!CI$17:CI$192)+SUMIF('6. OPERATION'!$D$17:$D$149,$C615,'6. OPERATION'!AZ$17:AZ$149)+SUMIF('6. OPERATION'!$D$17:$D$149,$C615,'6. OPERATION'!BL$17:BL$149)</f>
        <v>0</v>
      </c>
      <c r="I640" s="141">
        <f>SUMIF('5. PERSON'!$D$17:$D$192,$C615,'5. PERSON'!BX$17:BX$192)+SUMIF('5. PERSON'!$D$17:$D$192,$C615,'5. PERSON'!CJ$17:CJ$192)+SUMIF('6. OPERATION'!$D$17:$D$149,$C615,'6. OPERATION'!BA$17:BA$149)+SUMIF('6. OPERATION'!$D$17:$D$149,$C615,'6. OPERATION'!BM$17:BM$149)</f>
        <v>0</v>
      </c>
      <c r="J640" s="141">
        <f>SUMIF('5. PERSON'!$D$17:$D$192,$C615,'5. PERSON'!BY$17:BY$192)+SUMIF('5. PERSON'!$D$17:$D$192,$C615,'5. PERSON'!CK$17:CK$192)+SUMIF('6. OPERATION'!$D$17:$D$149,$C615,'6. OPERATION'!BB$17:BB$149)+SUMIF('6. OPERATION'!$D$17:$D$149,$C615,'6. OPERATION'!BN$17:BN$149)</f>
        <v>0</v>
      </c>
      <c r="K640" s="141">
        <f>SUMIF('5. PERSON'!$D$17:$D$192,$C615,'5. PERSON'!BZ$17:BZ$192)+SUMIF('5. PERSON'!$D$17:$D$192,$C615,'5. PERSON'!CL$17:CL$192)+SUMIF('6. OPERATION'!$D$17:$D$149,$C615,'6. OPERATION'!BC$17:BC$149)+SUMIF('6. OPERATION'!$D$17:$D$149,$C615,'6. OPERATION'!BO$17:BO$149)</f>
        <v>0</v>
      </c>
      <c r="L640" s="141">
        <f>SUMIF('5. PERSON'!$D$17:$D$192,$C615,'5. PERSON'!CA$17:CA$192)+SUMIF('5. PERSON'!$D$17:$D$192,$C615,'5. PERSON'!CM$17:CM$192)+SUMIF('6. OPERATION'!$D$17:$D$149,$C615,'6. OPERATION'!BD$17:BD$149)+SUMIF('6. OPERATION'!$D$17:$D$149,$C615,'6. OPERATION'!BP$17:BP$149)</f>
        <v>0</v>
      </c>
      <c r="M640" s="908">
        <f>SUM(C640:L640)</f>
        <v>0</v>
      </c>
    </row>
    <row r="641" spans="2:13" s="234" customFormat="1" ht="13.2" x14ac:dyDescent="0.25">
      <c r="B641" s="628" t="s">
        <v>113</v>
      </c>
      <c r="C641" s="520">
        <f>SUM(C636:C640)</f>
        <v>0</v>
      </c>
      <c r="D641" s="520">
        <f t="shared" ref="D641:M641" si="105">SUM(D636:D640)</f>
        <v>0</v>
      </c>
      <c r="E641" s="520">
        <f t="shared" si="105"/>
        <v>0</v>
      </c>
      <c r="F641" s="520">
        <f t="shared" si="105"/>
        <v>0</v>
      </c>
      <c r="G641" s="520">
        <f t="shared" si="105"/>
        <v>0</v>
      </c>
      <c r="H641" s="520">
        <f t="shared" si="105"/>
        <v>0</v>
      </c>
      <c r="I641" s="520">
        <f t="shared" si="105"/>
        <v>0</v>
      </c>
      <c r="J641" s="520">
        <f t="shared" si="105"/>
        <v>0</v>
      </c>
      <c r="K641" s="520">
        <f t="shared" si="105"/>
        <v>0</v>
      </c>
      <c r="L641" s="520">
        <f t="shared" si="105"/>
        <v>0</v>
      </c>
      <c r="M641" s="916">
        <f t="shared" si="105"/>
        <v>0</v>
      </c>
    </row>
    <row r="642" spans="2:13" s="234" customFormat="1" ht="13.2" x14ac:dyDescent="0.25">
      <c r="B642" s="676"/>
      <c r="C642" s="268"/>
      <c r="D642" s="268"/>
      <c r="E642" s="268"/>
      <c r="F642" s="268"/>
      <c r="G642" s="268"/>
      <c r="H642" s="268"/>
      <c r="I642" s="268"/>
      <c r="J642" s="268"/>
      <c r="K642" s="268"/>
      <c r="L642" s="268"/>
      <c r="M642" s="268"/>
    </row>
    <row r="643" spans="2:13" s="234" customFormat="1" ht="12.75" customHeight="1" x14ac:dyDescent="0.25">
      <c r="B643" s="676" t="str">
        <f>IF('1. INTRO'!I$2="English","Co-funding share in full cost ","Medfinansieringsandel i full kostnad ")</f>
        <v xml:space="preserve">Co-funding share in full cost </v>
      </c>
      <c r="C643" s="640" t="str">
        <f t="shared" ref="C643:M643" si="106">IF(C641&gt;0,C633/C641,"")</f>
        <v/>
      </c>
      <c r="D643" s="640" t="str">
        <f t="shared" si="106"/>
        <v/>
      </c>
      <c r="E643" s="640" t="str">
        <f t="shared" si="106"/>
        <v/>
      </c>
      <c r="F643" s="640" t="str">
        <f t="shared" si="106"/>
        <v/>
      </c>
      <c r="G643" s="640" t="str">
        <f t="shared" si="106"/>
        <v/>
      </c>
      <c r="H643" s="640" t="str">
        <f t="shared" si="106"/>
        <v/>
      </c>
      <c r="I643" s="640" t="str">
        <f t="shared" si="106"/>
        <v/>
      </c>
      <c r="J643" s="640" t="str">
        <f t="shared" si="106"/>
        <v/>
      </c>
      <c r="K643" s="640" t="str">
        <f t="shared" si="106"/>
        <v/>
      </c>
      <c r="L643" s="640" t="str">
        <f t="shared" si="106"/>
        <v/>
      </c>
      <c r="M643" s="640" t="str">
        <f t="shared" si="106"/>
        <v/>
      </c>
    </row>
    <row r="644" spans="2:13" s="268" customFormat="1" ht="12.75" customHeight="1" x14ac:dyDescent="0.25"/>
    <row r="645" spans="2:13" s="268" customFormat="1" ht="12.75" customHeight="1" x14ac:dyDescent="0.25">
      <c r="B645" s="667" t="str">
        <f>IF('1. INTRO'!I$2="English","Calculation comments","Kalkylkommentarer")</f>
        <v>Calculation comments</v>
      </c>
    </row>
    <row r="646" spans="2:13" s="268" customFormat="1" ht="12.75" customHeight="1" x14ac:dyDescent="0.25">
      <c r="B646" s="1264"/>
      <c r="C646" s="1265"/>
      <c r="D646" s="1265"/>
      <c r="E646" s="1265"/>
      <c r="F646" s="1265"/>
      <c r="G646" s="1265"/>
      <c r="H646" s="1265"/>
      <c r="I646" s="1265"/>
      <c r="J646" s="1265"/>
      <c r="K646" s="1265"/>
      <c r="L646" s="1265"/>
      <c r="M646" s="1266"/>
    </row>
    <row r="647" spans="2:13" s="268" customFormat="1" ht="12.75" customHeight="1" x14ac:dyDescent="0.25">
      <c r="B647" s="1267"/>
      <c r="C647" s="1268"/>
      <c r="D647" s="1268"/>
      <c r="E647" s="1268"/>
      <c r="F647" s="1268"/>
      <c r="G647" s="1268"/>
      <c r="H647" s="1268"/>
      <c r="I647" s="1268"/>
      <c r="J647" s="1268"/>
      <c r="K647" s="1268"/>
      <c r="L647" s="1268"/>
      <c r="M647" s="1269"/>
    </row>
    <row r="648" spans="2:13" s="268" customFormat="1" ht="12.75" customHeight="1" x14ac:dyDescent="0.25">
      <c r="B648" s="1267"/>
      <c r="C648" s="1268"/>
      <c r="D648" s="1268"/>
      <c r="E648" s="1268"/>
      <c r="F648" s="1268"/>
      <c r="G648" s="1268"/>
      <c r="H648" s="1268"/>
      <c r="I648" s="1268"/>
      <c r="J648" s="1268"/>
      <c r="K648" s="1268"/>
      <c r="L648" s="1268"/>
      <c r="M648" s="1269"/>
    </row>
    <row r="649" spans="2:13" s="268" customFormat="1" ht="12.75" customHeight="1" x14ac:dyDescent="0.25">
      <c r="B649" s="1267"/>
      <c r="C649" s="1268"/>
      <c r="D649" s="1268"/>
      <c r="E649" s="1268"/>
      <c r="F649" s="1268"/>
      <c r="G649" s="1268"/>
      <c r="H649" s="1268"/>
      <c r="I649" s="1268"/>
      <c r="J649" s="1268"/>
      <c r="K649" s="1268"/>
      <c r="L649" s="1268"/>
      <c r="M649" s="1269"/>
    </row>
    <row r="650" spans="2:13" s="268" customFormat="1" ht="12.75" customHeight="1" x14ac:dyDescent="0.25">
      <c r="B650" s="1267"/>
      <c r="C650" s="1268"/>
      <c r="D650" s="1268"/>
      <c r="E650" s="1268"/>
      <c r="F650" s="1268"/>
      <c r="G650" s="1268"/>
      <c r="H650" s="1268"/>
      <c r="I650" s="1268"/>
      <c r="J650" s="1268"/>
      <c r="K650" s="1268"/>
      <c r="L650" s="1268"/>
      <c r="M650" s="1269"/>
    </row>
    <row r="651" spans="2:13" s="268" customFormat="1" ht="12.75" customHeight="1" x14ac:dyDescent="0.25">
      <c r="B651" s="1270"/>
      <c r="C651" s="1271"/>
      <c r="D651" s="1271"/>
      <c r="E651" s="1271"/>
      <c r="F651" s="1271"/>
      <c r="G651" s="1271"/>
      <c r="H651" s="1271"/>
      <c r="I651" s="1271"/>
      <c r="J651" s="1271"/>
      <c r="K651" s="1271"/>
      <c r="L651" s="1271"/>
      <c r="M651" s="1272"/>
    </row>
    <row r="652" spans="2:13" s="268" customFormat="1" x14ac:dyDescent="0.25">
      <c r="B652" s="1270"/>
      <c r="C652" s="1271"/>
      <c r="D652" s="1271"/>
      <c r="E652" s="1271"/>
      <c r="F652" s="1271"/>
      <c r="G652" s="1271"/>
      <c r="H652" s="1271"/>
      <c r="I652" s="1271"/>
      <c r="J652" s="1271"/>
      <c r="K652" s="1271"/>
      <c r="L652" s="1271"/>
      <c r="M652" s="1272"/>
    </row>
    <row r="653" spans="2:13" s="268" customFormat="1" x14ac:dyDescent="0.25">
      <c r="B653" s="1270"/>
      <c r="C653" s="1271"/>
      <c r="D653" s="1271"/>
      <c r="E653" s="1271"/>
      <c r="F653" s="1271"/>
      <c r="G653" s="1271"/>
      <c r="H653" s="1271"/>
      <c r="I653" s="1271"/>
      <c r="J653" s="1271"/>
      <c r="K653" s="1271"/>
      <c r="L653" s="1271"/>
      <c r="M653" s="1272"/>
    </row>
    <row r="654" spans="2:13" s="268" customFormat="1" x14ac:dyDescent="0.25">
      <c r="B654" s="1270"/>
      <c r="C654" s="1271"/>
      <c r="D654" s="1271"/>
      <c r="E654" s="1271"/>
      <c r="F654" s="1271"/>
      <c r="G654" s="1271"/>
      <c r="H654" s="1271"/>
      <c r="I654" s="1271"/>
      <c r="J654" s="1271"/>
      <c r="K654" s="1271"/>
      <c r="L654" s="1271"/>
      <c r="M654" s="1272"/>
    </row>
    <row r="655" spans="2:13" s="268" customFormat="1" x14ac:dyDescent="0.25">
      <c r="B655" s="1270"/>
      <c r="C655" s="1271"/>
      <c r="D655" s="1271"/>
      <c r="E655" s="1271"/>
      <c r="F655" s="1271"/>
      <c r="G655" s="1271"/>
      <c r="H655" s="1271"/>
      <c r="I655" s="1271"/>
      <c r="J655" s="1271"/>
      <c r="K655" s="1271"/>
      <c r="L655" s="1271"/>
      <c r="M655" s="1272"/>
    </row>
    <row r="656" spans="2:13" s="268" customFormat="1" x14ac:dyDescent="0.25">
      <c r="B656" s="1270"/>
      <c r="C656" s="1271"/>
      <c r="D656" s="1271"/>
      <c r="E656" s="1271"/>
      <c r="F656" s="1271"/>
      <c r="G656" s="1271"/>
      <c r="H656" s="1271"/>
      <c r="I656" s="1271"/>
      <c r="J656" s="1271"/>
      <c r="K656" s="1271"/>
      <c r="L656" s="1271"/>
      <c r="M656" s="1272"/>
    </row>
    <row r="657" spans="2:15" s="268" customFormat="1" x14ac:dyDescent="0.25">
      <c r="B657" s="1270"/>
      <c r="C657" s="1271"/>
      <c r="D657" s="1271"/>
      <c r="E657" s="1271"/>
      <c r="F657" s="1271"/>
      <c r="G657" s="1271"/>
      <c r="H657" s="1271"/>
      <c r="I657" s="1271"/>
      <c r="J657" s="1271"/>
      <c r="K657" s="1271"/>
      <c r="L657" s="1271"/>
      <c r="M657" s="1272"/>
    </row>
    <row r="658" spans="2:15" s="268" customFormat="1" x14ac:dyDescent="0.25">
      <c r="B658" s="1273"/>
      <c r="C658" s="1274"/>
      <c r="D658" s="1274"/>
      <c r="E658" s="1274"/>
      <c r="F658" s="1274"/>
      <c r="G658" s="1274"/>
      <c r="H658" s="1274"/>
      <c r="I658" s="1274"/>
      <c r="J658" s="1274"/>
      <c r="K658" s="1274"/>
      <c r="L658" s="1274"/>
      <c r="M658" s="1275"/>
    </row>
    <row r="659" spans="2:15" s="268" customFormat="1" x14ac:dyDescent="0.25"/>
    <row r="660" spans="2:15" s="268" customFormat="1" x14ac:dyDescent="0.25"/>
    <row r="661" spans="2:15" s="234" customFormat="1" ht="12.75" customHeight="1" x14ac:dyDescent="0.25">
      <c r="B661" s="313" t="str">
        <f>'3. PARTNER'!C$4</f>
        <v xml:space="preserve">Project: </v>
      </c>
      <c r="C661" s="1062" t="str">
        <f>'3. PARTNER'!D$4</f>
        <v/>
      </c>
      <c r="D661" s="1001"/>
      <c r="E661" s="1001"/>
      <c r="F661" s="1001"/>
      <c r="G661" s="1001"/>
      <c r="H661" s="1001"/>
      <c r="I661" s="1001"/>
      <c r="J661" s="1001"/>
      <c r="K661" s="1001"/>
      <c r="L661" s="1001"/>
      <c r="M661" s="1001"/>
    </row>
    <row r="662" spans="2:15" s="234" customFormat="1" ht="13.2" x14ac:dyDescent="0.25">
      <c r="B662" s="313" t="str">
        <f>'3. PARTNER'!C$5</f>
        <v xml:space="preserve">Calculation for: </v>
      </c>
      <c r="C662" s="1062" t="str">
        <f>'3. PARTNER'!D$5</f>
        <v>APPLICATION</v>
      </c>
      <c r="D662" s="1001"/>
      <c r="E662" s="268"/>
      <c r="F662" s="268"/>
      <c r="G662" s="268"/>
      <c r="H662" s="268"/>
      <c r="I662" s="268"/>
      <c r="J662" s="268"/>
      <c r="K662" s="268"/>
      <c r="L662" s="268"/>
      <c r="M662" s="268"/>
    </row>
    <row r="663" spans="2:15" s="234" customFormat="1" ht="13.2" x14ac:dyDescent="0.25">
      <c r="B663" s="35" t="str">
        <f>'3. PARTNER'!C$6</f>
        <v xml:space="preserve">Project leader: </v>
      </c>
      <c r="C663" s="1062" t="str">
        <f>'3. PARTNER'!D$6</f>
        <v/>
      </c>
      <c r="D663" s="1001"/>
      <c r="E663" s="1001"/>
      <c r="F663" s="1001"/>
      <c r="G663" s="1001"/>
      <c r="H663" s="1001"/>
      <c r="I663" s="1001"/>
      <c r="J663" s="1001"/>
      <c r="K663" s="1001"/>
      <c r="L663" s="1001"/>
      <c r="M663" s="1001"/>
    </row>
    <row r="664" spans="2:15" s="234" customFormat="1" ht="13.2" x14ac:dyDescent="0.25">
      <c r="B664" s="313" t="str">
        <f>'5. PERSON'!B$7</f>
        <v xml:space="preserve">Amounts in: </v>
      </c>
      <c r="C664" s="672" t="str">
        <f>'5. PERSON'!C$7</f>
        <v>SEK</v>
      </c>
      <c r="D664" s="268"/>
      <c r="E664" s="268"/>
      <c r="F664" s="268"/>
      <c r="I664" s="270"/>
      <c r="J664" s="270"/>
      <c r="K664" s="270"/>
      <c r="L664" s="270"/>
      <c r="M664" s="270"/>
    </row>
    <row r="665" spans="2:15" s="234" customFormat="1" ht="13.2" x14ac:dyDescent="0.25">
      <c r="B665" s="313"/>
      <c r="C665" s="1053" t="str">
        <f>'3. PARTNER'!D$7</f>
        <v>Other basic data about the project is in sheet 2.</v>
      </c>
      <c r="D665" s="1001"/>
      <c r="E665" s="1001"/>
      <c r="F665" s="1001"/>
      <c r="I665" s="270"/>
      <c r="J665" s="270"/>
      <c r="K665" s="270"/>
      <c r="L665" s="251" t="s">
        <v>4</v>
      </c>
      <c r="M665" s="270"/>
    </row>
    <row r="666" spans="2:15" s="268" customFormat="1" ht="12.75" customHeight="1" x14ac:dyDescent="0.25">
      <c r="L666" s="252" t="str">
        <f>IF('1. INTRO'!I$2="English","months","månader")</f>
        <v>months</v>
      </c>
    </row>
    <row r="667" spans="2:15" s="234" customFormat="1" ht="13.8" x14ac:dyDescent="0.25">
      <c r="B667" s="678" t="str">
        <f>IF('1. INTRO'!I$2="English","Project costs","Projektkostnader")</f>
        <v>Project costs</v>
      </c>
      <c r="C667" s="678" t="str">
        <f>B27</f>
        <v>WP 13</v>
      </c>
      <c r="D667" s="234" t="str">
        <f>E27</f>
        <v/>
      </c>
      <c r="E667" s="268"/>
      <c r="G667" s="268"/>
      <c r="H667" s="268"/>
      <c r="I667" s="268"/>
      <c r="J667" s="268"/>
      <c r="K667" s="676"/>
      <c r="L667" s="899">
        <f>SUMIF('5. PERSON'!$D$17:$D$192,$C667,'5. PERSON'!AE$17:AE$192)</f>
        <v>0</v>
      </c>
      <c r="M667" s="680" t="s">
        <v>330</v>
      </c>
    </row>
    <row r="668" spans="2:15" s="234" customFormat="1" ht="6" customHeight="1" x14ac:dyDescent="0.25">
      <c r="B668" s="602"/>
      <c r="C668" s="268"/>
      <c r="D668" s="268"/>
      <c r="E668" s="268"/>
      <c r="F668" s="268"/>
      <c r="G668" s="268"/>
      <c r="H668" s="268"/>
      <c r="I668" s="268"/>
      <c r="J668" s="268"/>
      <c r="K668" s="268"/>
      <c r="L668" s="268"/>
      <c r="M668" s="268"/>
    </row>
    <row r="669" spans="2:15" s="234" customFormat="1" ht="13.2" x14ac:dyDescent="0.25">
      <c r="B669" s="110" t="str">
        <f>IF('1. INTRO'!I$2="English","Costs to be covered by funding body","Kostnader att täckas av finansiär")</f>
        <v>Costs to be covered by funding body</v>
      </c>
      <c r="C669" s="607">
        <f>'5. PERSON'!G$15</f>
        <v>1900</v>
      </c>
      <c r="D669" s="607" t="str">
        <f>'5. PERSON'!H$15</f>
        <v/>
      </c>
      <c r="E669" s="607" t="str">
        <f>'5. PERSON'!I$15</f>
        <v/>
      </c>
      <c r="F669" s="607" t="str">
        <f>'5. PERSON'!J$15</f>
        <v/>
      </c>
      <c r="G669" s="607" t="str">
        <f>'5. PERSON'!K$15</f>
        <v/>
      </c>
      <c r="H669" s="607" t="str">
        <f>'5. PERSON'!L$15</f>
        <v/>
      </c>
      <c r="I669" s="607" t="str">
        <f>'5. PERSON'!M$15</f>
        <v/>
      </c>
      <c r="J669" s="607" t="str">
        <f>'5. PERSON'!N$15</f>
        <v/>
      </c>
      <c r="K669" s="607" t="str">
        <f>'5. PERSON'!O$15</f>
        <v/>
      </c>
      <c r="L669" s="607" t="str">
        <f>'5. PERSON'!P$15</f>
        <v/>
      </c>
      <c r="M669" s="608" t="s">
        <v>2</v>
      </c>
    </row>
    <row r="670" spans="2:15" s="234" customFormat="1" ht="12.75" customHeight="1" x14ac:dyDescent="0.25">
      <c r="B670" s="902" t="str">
        <f>IF('1. INTRO'!I$2="English","Salary including social costs (LKP)","Lön inklusive LKP")</f>
        <v>Salary including social costs (LKP)</v>
      </c>
      <c r="C670" s="610">
        <f>IF('2. START'!$C$14&gt;0,SUMIF('5. PERSON'!$D$17:$D$192,$C667,'5. PERSON'!DN$17:DN$192),SUMIF('5. PERSON'!$D$17:$D$192,$C667,'5. PERSON'!AT$17:AT$192))</f>
        <v>0</v>
      </c>
      <c r="D670" s="610">
        <f>IF('2. START'!$C$14&gt;0,SUMIF('5. PERSON'!$D$17:$D$192,$C667,'5. PERSON'!DO$17:DO$192),SUMIF('5. PERSON'!$D$17:$D$192,$C667,'5. PERSON'!AU$17:AU$192))</f>
        <v>0</v>
      </c>
      <c r="E670" s="610">
        <f>IF('2. START'!$C$14&gt;0,SUMIF('5. PERSON'!$D$17:$D$192,$C667,'5. PERSON'!DP$17:DP$192),SUMIF('5. PERSON'!$D$17:$D$192,$C667,'5. PERSON'!AV$17:AV$192))</f>
        <v>0</v>
      </c>
      <c r="F670" s="610">
        <f>IF('2. START'!$C$14&gt;0,SUMIF('5. PERSON'!$D$17:$D$192,$C667,'5. PERSON'!DQ$17:DQ$192),SUMIF('5. PERSON'!$D$17:$D$192,$C667,'5. PERSON'!AW$17:AW$192))</f>
        <v>0</v>
      </c>
      <c r="G670" s="610">
        <f>IF('2. START'!$C$14&gt;0,SUMIF('5. PERSON'!$D$17:$D$192,$C667,'5. PERSON'!DR$17:DR$192),SUMIF('5. PERSON'!$D$17:$D$192,$C667,'5. PERSON'!AX$17:AX$192))</f>
        <v>0</v>
      </c>
      <c r="H670" s="610">
        <f>IF('2. START'!$C$14&gt;0,SUMIF('5. PERSON'!$D$17:$D$192,$C667,'5. PERSON'!DS$17:DS$192),SUMIF('5. PERSON'!$D$17:$D$192,$C667,'5. PERSON'!AY$17:AY$192))</f>
        <v>0</v>
      </c>
      <c r="I670" s="610">
        <f>IF('2. START'!$C$14&gt;0,SUMIF('5. PERSON'!$D$17:$D$192,$C667,'5. PERSON'!DT$17:DT$192),SUMIF('5. PERSON'!$D$17:$D$192,$C667,'5. PERSON'!AZ$17:AZ$192))</f>
        <v>0</v>
      </c>
      <c r="J670" s="610">
        <f>IF('2. START'!$C$14&gt;0,SUMIF('5. PERSON'!$D$17:$D$192,$C667,'5. PERSON'!DU$17:DU$192),SUMIF('5. PERSON'!$D$17:$D$192,$C667,'5. PERSON'!BA$17:BA$192))</f>
        <v>0</v>
      </c>
      <c r="K670" s="610">
        <f>IF('2. START'!$C$14&gt;0,SUMIF('5. PERSON'!$D$17:$D$192,$C667,'5. PERSON'!DV$17:DV$192),SUMIF('5. PERSON'!$D$17:$D$192,$C667,'5. PERSON'!BB$17:BB$192))</f>
        <v>0</v>
      </c>
      <c r="L670" s="610">
        <f>IF('2. START'!$C$14&gt;0,SUMIF('5. PERSON'!$D$17:$D$192,$C667,'5. PERSON'!DW$17:DW$192),SUMIF('5. PERSON'!$D$17:$D$192,$C667,'5. PERSON'!BC$17:BC$192))</f>
        <v>0</v>
      </c>
      <c r="M670" s="903">
        <f t="shared" ref="M670:M675" si="107">SUM(C670:L670)</f>
        <v>0</v>
      </c>
      <c r="O670" s="904"/>
    </row>
    <row r="671" spans="2:15" s="234" customFormat="1" ht="12.75" customHeight="1" x14ac:dyDescent="0.25">
      <c r="B671" s="377" t="str">
        <f>IF('1. INTRO'!I$2="English","Operating","Drift")</f>
        <v>Operating</v>
      </c>
      <c r="C671" s="615">
        <f>SUMIF('6. OPERATION'!$D$17:$D$149,$C667,'6. OPERATION'!W$17:W$149)</f>
        <v>0</v>
      </c>
      <c r="D671" s="615">
        <f>SUMIF('6. OPERATION'!$D$17:$D$149,$C667,'6. OPERATION'!X$17:X$149)</f>
        <v>0</v>
      </c>
      <c r="E671" s="615">
        <f>SUMIF('6. OPERATION'!$D$17:$D$149,$C667,'6. OPERATION'!Y$17:Y$149)</f>
        <v>0</v>
      </c>
      <c r="F671" s="615">
        <f>SUMIF('6. OPERATION'!$D$17:$D$149,$C667,'6. OPERATION'!Z$17:Z$149)</f>
        <v>0</v>
      </c>
      <c r="G671" s="615">
        <f>SUMIF('6. OPERATION'!$D$17:$D$149,$C667,'6. OPERATION'!AA$17:AA$149)</f>
        <v>0</v>
      </c>
      <c r="H671" s="615">
        <f>SUMIF('6. OPERATION'!$D$17:$D$149,$C667,'6. OPERATION'!AB$17:AB$149)</f>
        <v>0</v>
      </c>
      <c r="I671" s="615">
        <f>SUMIF('6. OPERATION'!$D$17:$D$149,$C667,'6. OPERATION'!AC$17:AC$149)</f>
        <v>0</v>
      </c>
      <c r="J671" s="615">
        <f>SUMIF('6. OPERATION'!$D$17:$D$149,$C667,'6. OPERATION'!AD$17:AD$149)</f>
        <v>0</v>
      </c>
      <c r="K671" s="615">
        <f>SUMIF('6. OPERATION'!$D$17:$D$149,$C667,'6. OPERATION'!AE$17:AE$149)</f>
        <v>0</v>
      </c>
      <c r="L671" s="615">
        <f>SUMIF('6. OPERATION'!$D$17:$D$149,$C667,'6. OPERATION'!AF$17:AF$149)</f>
        <v>0</v>
      </c>
      <c r="M671" s="905">
        <f t="shared" si="107"/>
        <v>0</v>
      </c>
    </row>
    <row r="672" spans="2:15" s="234" customFormat="1" ht="13.2" x14ac:dyDescent="0.25">
      <c r="B672" s="906" t="str">
        <f>IF('1. INTRO'!I$2="English","Equipment","Utrustning")</f>
        <v>Equipment</v>
      </c>
      <c r="C672" s="620">
        <f>SUMIF('7. INVEST'!$D$17:$D$49,$C667,'7. INVEST'!W$17:W$49)</f>
        <v>0</v>
      </c>
      <c r="D672" s="620">
        <f>SUMIF('7. INVEST'!$D$17:$D$49,$C667,'7. INVEST'!X$17:X$49)</f>
        <v>0</v>
      </c>
      <c r="E672" s="620">
        <f>SUMIF('7. INVEST'!$D$17:$D$49,$C667,'7. INVEST'!Y$17:Y$49)</f>
        <v>0</v>
      </c>
      <c r="F672" s="620">
        <f>SUMIF('7. INVEST'!$D$17:$D$49,$C667,'7. INVEST'!Z$17:Z$49)</f>
        <v>0</v>
      </c>
      <c r="G672" s="620">
        <f>SUMIF('7. INVEST'!$D$17:$D$49,$C667,'7. INVEST'!AA$17:AA$49)</f>
        <v>0</v>
      </c>
      <c r="H672" s="620">
        <f>SUMIF('7. INVEST'!$D$17:$D$49,$C667,'7. INVEST'!AB$17:AB$49)</f>
        <v>0</v>
      </c>
      <c r="I672" s="620">
        <f>SUMIF('7. INVEST'!$D$17:$D$49,$C667,'7. INVEST'!AC$17:AC$49)</f>
        <v>0</v>
      </c>
      <c r="J672" s="620">
        <f>SUMIF('7. INVEST'!$D$17:$D$49,$C667,'7. INVEST'!AD$17:AD$49)</f>
        <v>0</v>
      </c>
      <c r="K672" s="620">
        <f>SUMIF('7. INVEST'!$D$17:$D$49,$C667,'7. INVEST'!AE$17:AE$49)</f>
        <v>0</v>
      </c>
      <c r="L672" s="620">
        <f>SUMIF('7. INVEST'!$D$17:$D$49,$C667,'7. INVEST'!AF$17:AF$49)</f>
        <v>0</v>
      </c>
      <c r="M672" s="907">
        <f t="shared" si="107"/>
        <v>0</v>
      </c>
    </row>
    <row r="673" spans="2:15" s="234" customFormat="1" ht="13.2" x14ac:dyDescent="0.25">
      <c r="B673" s="121" t="str">
        <f>IF('1. INTRO'!I$2="English",(IF('2. START'!C$11="NO","Facility accepted as direct cost by funding body","Facility")),IF('2. START'!C$11="NO","Lokal accepterad som direkt kostnad av finansiär","Lokal"))</f>
        <v>Facility</v>
      </c>
      <c r="C673" s="615">
        <f>IF('2. START'!$C$11="NO",SUMIF('8. FACILIT'!$D$18:$D$50,$C667,'8. FACILIT'!T$18:T$50),SUMIF('5. PERSON'!$D$17:$D$192,$C667,'5. PERSON'!CP$17:CP$192)+SUMIF('6. OPERATION'!$D$17:$D$149,$C667,'6. OPERATION'!BS$17:BS$149)+SUMIF('8. FACILIT'!$D$18:$D$50,$C667,'8. FACILIT'!T$18:T$50))</f>
        <v>0</v>
      </c>
      <c r="D673" s="615">
        <f>IF('2. START'!$C$11="NO",SUMIF('8. FACILIT'!$D$18:$D$50,$C667,'8. FACILIT'!U$18:U$50),SUMIF('5. PERSON'!$D$17:$D$192,$C667,'5. PERSON'!CQ$17:CQ$192)+SUMIF('6. OPERATION'!$D$17:$D$149,$C667,'6. OPERATION'!BT$17:BT$149)+SUMIF('8. FACILIT'!$D$18:$D$50,$C667,'8. FACILIT'!U$18:U$50))</f>
        <v>0</v>
      </c>
      <c r="E673" s="615">
        <f>IF('2. START'!$C$11="NO",SUMIF('8. FACILIT'!$D$18:$D$50,$C667,'8. FACILIT'!V$18:V$50),SUMIF('5. PERSON'!$D$17:$D$192,$C667,'5. PERSON'!CR$17:CR$192)+SUMIF('6. OPERATION'!$D$17:$D$149,$C667,'6. OPERATION'!BU$17:BU$149)+SUMIF('8. FACILIT'!$D$18:$D$50,$C667,'8. FACILIT'!V$18:V$50))</f>
        <v>0</v>
      </c>
      <c r="F673" s="615">
        <f>IF('2. START'!$C$11="NO",SUMIF('8. FACILIT'!$D$18:$D$50,$C667,'8. FACILIT'!W$18:W$50),SUMIF('5. PERSON'!$D$17:$D$192,$C667,'5. PERSON'!CS$17:CS$192)+SUMIF('6. OPERATION'!$D$17:$D$149,$C667,'6. OPERATION'!BV$17:BV$149)+SUMIF('8. FACILIT'!$D$18:$D$50,$C667,'8. FACILIT'!W$18:W$50))</f>
        <v>0</v>
      </c>
      <c r="G673" s="615">
        <f>IF('2. START'!$C$11="NO",SUMIF('8. FACILIT'!$D$18:$D$50,$C667,'8. FACILIT'!X$18:X$50),SUMIF('5. PERSON'!$D$17:$D$192,$C667,'5. PERSON'!CT$17:CT$192)+SUMIF('6. OPERATION'!$D$17:$D$149,$C667,'6. OPERATION'!BW$17:BW$149)+SUMIF('8. FACILIT'!$D$18:$D$50,$C667,'8. FACILIT'!X$18:X$50))</f>
        <v>0</v>
      </c>
      <c r="H673" s="615">
        <f>IF('2. START'!$C$11="NO",SUMIF('8. FACILIT'!$D$18:$D$50,$C667,'8. FACILIT'!Y$18:Y$50),SUMIF('5. PERSON'!$D$17:$D$192,$C667,'5. PERSON'!CU$17:CU$192)+SUMIF('6. OPERATION'!$D$17:$D$149,$C667,'6. OPERATION'!BX$17:BX$149)+SUMIF('8. FACILIT'!$D$18:$D$50,$C667,'8. FACILIT'!Y$18:Y$50))</f>
        <v>0</v>
      </c>
      <c r="I673" s="615">
        <f>IF('2. START'!$C$11="NO",SUMIF('8. FACILIT'!$D$18:$D$50,$C667,'8. FACILIT'!Z$18:Z$50),SUMIF('5. PERSON'!$D$17:$D$192,$C667,'5. PERSON'!CV$17:CV$192)+SUMIF('6. OPERATION'!$D$17:$D$149,$C667,'6. OPERATION'!BY$17:BY$149)+SUMIF('8. FACILIT'!$D$18:$D$50,$C667,'8. FACILIT'!Z$18:Z$50))</f>
        <v>0</v>
      </c>
      <c r="J673" s="615">
        <f>IF('2. START'!$C$11="NO",SUMIF('8. FACILIT'!$D$18:$D$50,$C667,'8. FACILIT'!AA$18:AA$50),SUMIF('5. PERSON'!$D$17:$D$192,$C667,'5. PERSON'!CW$17:CW$192)+SUMIF('6. OPERATION'!$D$17:$D$149,$C667,'6. OPERATION'!BZ$17:BZ$149)+SUMIF('8. FACILIT'!$D$18:$D$50,$C667,'8. FACILIT'!AA$18:AA$50))</f>
        <v>0</v>
      </c>
      <c r="K673" s="615">
        <f>IF('2. START'!$C$11="NO",SUMIF('8. FACILIT'!$D$18:$D$50,$C667,'8. FACILIT'!AB$18:AB$50),SUMIF('5. PERSON'!$D$17:$D$192,$C667,'5. PERSON'!CX$17:CX$192)+SUMIF('6. OPERATION'!$D$17:$D$149,$C667,'6. OPERATION'!CA$17:CA$149)+SUMIF('8. FACILIT'!$D$18:$D$50,$C667,'8. FACILIT'!AB$18:AB$50))</f>
        <v>0</v>
      </c>
      <c r="L673" s="615">
        <f>IF('2. START'!$C$11="NO",SUMIF('8. FACILIT'!$D$18:$D$50,$C667,'8. FACILIT'!AC$18:AC$50),SUMIF('5. PERSON'!$D$17:$D$192,$C667,'5. PERSON'!CY$17:CY$192)+SUMIF('6. OPERATION'!$D$17:$D$149,$C667,'6. OPERATION'!CB$17:CB$149)+SUMIF('8. FACILIT'!$D$18:$D$50,$C667,'8. FACILIT'!AC$18:AC$50))</f>
        <v>0</v>
      </c>
      <c r="M673" s="905">
        <f t="shared" si="107"/>
        <v>0</v>
      </c>
    </row>
    <row r="674" spans="2:15" s="234" customFormat="1" ht="13.2" x14ac:dyDescent="0.25">
      <c r="B674" s="122" t="str">
        <f>IF('1. INTRO'!I$2="English",(IF('2. START'!C$11="NO","Indirect and facility charge accepted as OH by funding body","Indirect")),IF('2. START'!C$11="NO","Indirekt och lokalpåslag accepterade som OH av finansiär","Indirekt"))</f>
        <v>Indirect</v>
      </c>
      <c r="C674" s="584">
        <f>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584">
        <f>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584">
        <f>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584">
        <f>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584">
        <f>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584">
        <f>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584">
        <f>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584">
        <f>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584">
        <f>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584">
        <f>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908">
        <f t="shared" si="107"/>
        <v>0</v>
      </c>
    </row>
    <row r="675" spans="2:15" s="234" customFormat="1" ht="13.2" x14ac:dyDescent="0.25">
      <c r="B675" s="628" t="s">
        <v>113</v>
      </c>
      <c r="C675" s="443">
        <f>SUM(C670:C674)</f>
        <v>0</v>
      </c>
      <c r="D675" s="443">
        <f t="shared" ref="D675:L675" si="108">SUM(D670:D674)</f>
        <v>0</v>
      </c>
      <c r="E675" s="443">
        <f t="shared" si="108"/>
        <v>0</v>
      </c>
      <c r="F675" s="443">
        <f t="shared" si="108"/>
        <v>0</v>
      </c>
      <c r="G675" s="443">
        <f t="shared" si="108"/>
        <v>0</v>
      </c>
      <c r="H675" s="443">
        <f t="shared" si="108"/>
        <v>0</v>
      </c>
      <c r="I675" s="443">
        <f t="shared" si="108"/>
        <v>0</v>
      </c>
      <c r="J675" s="443">
        <f t="shared" si="108"/>
        <v>0</v>
      </c>
      <c r="K675" s="443">
        <f t="shared" si="108"/>
        <v>0</v>
      </c>
      <c r="L675" s="443">
        <f t="shared" si="108"/>
        <v>0</v>
      </c>
      <c r="M675" s="630">
        <f t="shared" si="107"/>
        <v>0</v>
      </c>
    </row>
    <row r="676" spans="2:15" s="234" customFormat="1" ht="6" customHeight="1" x14ac:dyDescent="0.25">
      <c r="B676" s="909"/>
      <c r="C676" s="127"/>
      <c r="D676" s="127"/>
      <c r="E676" s="127"/>
      <c r="F676" s="127"/>
      <c r="G676" s="127"/>
      <c r="H676" s="127"/>
      <c r="I676" s="127"/>
      <c r="J676" s="127"/>
      <c r="K676" s="127"/>
      <c r="L676" s="127"/>
      <c r="M676" s="633"/>
    </row>
    <row r="677" spans="2:15" s="234" customFormat="1" ht="13.2" x14ac:dyDescent="0.25">
      <c r="B677" s="129" t="str">
        <f>IF('1. INTRO'!I$2="English","Costs to be co-funded","Kostnader att medfinansiera")</f>
        <v>Costs to be co-funded</v>
      </c>
      <c r="C677" s="634"/>
      <c r="D677" s="634"/>
      <c r="E677" s="634"/>
      <c r="F677" s="634"/>
      <c r="G677" s="634"/>
      <c r="H677" s="634"/>
      <c r="I677" s="634"/>
      <c r="J677" s="634"/>
      <c r="K677" s="634"/>
      <c r="L677" s="634"/>
      <c r="M677" s="129"/>
    </row>
    <row r="678" spans="2:15" s="234" customFormat="1" ht="13.2" x14ac:dyDescent="0.25">
      <c r="B678" s="159" t="str">
        <f>IF('1. INTRO'!I$2="English",(IF('2. START'!C$11="NO","Indirect and facility charge not accepted as OH by funding body","")),IF('2. START'!C$11="NO","Indirekt och lokalpåslag inte accepterade som OH av finansiär",""))</f>
        <v/>
      </c>
      <c r="C678" s="910">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910">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910">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910">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910">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910">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910">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910">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910">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910">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903">
        <f t="shared" ref="M678:M684" si="109">SUM(C678:L678)</f>
        <v>0</v>
      </c>
    </row>
    <row r="679" spans="2:15" s="234" customFormat="1" ht="12.75" customHeight="1" x14ac:dyDescent="0.25">
      <c r="B679" s="132" t="str">
        <f>IF('1. INTRO'!I$2="English",(IF('2. START'!C$14&gt;0,"Social costs (LKP) not accepted by funding body","")),IF('2. START'!C$14&gt;0,"LKP som inte accepteras av finansiär",""))</f>
        <v/>
      </c>
      <c r="C679" s="911">
        <f>IF('2. START'!$C$14&gt;0,SUMIF('5. PERSON'!$D$17:$D$192,$C667,'5. PERSON'!AT$17:AT$192)-SUMIF('5. PERSON'!$D$17:$D$192,$C667,'5. PERSON'!DN$17:DN$192),0)</f>
        <v>0</v>
      </c>
      <c r="D679" s="911">
        <f>IF('2. START'!$C$14&gt;0,SUMIF('5. PERSON'!$D$17:$D$192,$C667,'5. PERSON'!AU$17:AU$192)-SUMIF('5. PERSON'!$D$17:$D$192,$C667,'5. PERSON'!DO$17:DO$192),0)</f>
        <v>0</v>
      </c>
      <c r="E679" s="911">
        <f>IF('2. START'!$C$14&gt;0,SUMIF('5. PERSON'!$D$17:$D$192,$C667,'5. PERSON'!AV$17:AV$192)-SUMIF('5. PERSON'!$D$17:$D$192,$C667,'5. PERSON'!DP$17:DP$192),0)</f>
        <v>0</v>
      </c>
      <c r="F679" s="911">
        <f>IF('2. START'!$C$14&gt;0,SUMIF('5. PERSON'!$D$17:$D$192,$C667,'5. PERSON'!AW$17:AW$192)-SUMIF('5. PERSON'!$D$17:$D$192,$C667,'5. PERSON'!DQ$17:DQ$192),0)</f>
        <v>0</v>
      </c>
      <c r="G679" s="911">
        <f>IF('2. START'!$C$14&gt;0,SUMIF('5. PERSON'!$D$17:$D$192,$C667,'5. PERSON'!AX$17:AX$192)-SUMIF('5. PERSON'!$D$17:$D$192,$C667,'5. PERSON'!DR$17:DR$192),0)</f>
        <v>0</v>
      </c>
      <c r="H679" s="911">
        <f>IF('2. START'!$C$14&gt;0,SUMIF('5. PERSON'!$D$17:$D$192,$C667,'5. PERSON'!AY$17:AY$192)-SUMIF('5. PERSON'!$D$17:$D$192,$C667,'5. PERSON'!DS$17:DS$192),0)</f>
        <v>0</v>
      </c>
      <c r="I679" s="911">
        <f>IF('2. START'!$C$14&gt;0,SUMIF('5. PERSON'!$D$17:$D$192,$C667,'5. PERSON'!AZ$17:AZ$192)-SUMIF('5. PERSON'!$D$17:$D$192,$C667,'5. PERSON'!DT$17:DT$192),0)</f>
        <v>0</v>
      </c>
      <c r="J679" s="911">
        <f>IF('2. START'!$C$14&gt;0,SUMIF('5. PERSON'!$D$17:$D$192,$C667,'5. PERSON'!BA$17:BA$192)-SUMIF('5. PERSON'!$D$17:$D$192,$C667,'5. PERSON'!DU$17:DU$192),0)</f>
        <v>0</v>
      </c>
      <c r="K679" s="911">
        <f>IF('2. START'!$C$14&gt;0,SUMIF('5. PERSON'!$D$17:$D$192,$C667,'5. PERSON'!BB$17:BB$192)-SUMIF('5. PERSON'!$D$17:$D$192,$C667,'5. PERSON'!DV$17:DV$192),0)</f>
        <v>0</v>
      </c>
      <c r="L679" s="911">
        <f>IF('2. START'!$C$14&gt;0,SUMIF('5. PERSON'!$D$17:$D$192,$C667,'5. PERSON'!BC$17:BC$192)-SUMIF('5. PERSON'!$D$17:$D$192,$C667,'5. PERSON'!DW$17:DW$192),0)</f>
        <v>0</v>
      </c>
      <c r="M679" s="905">
        <f t="shared" si="109"/>
        <v>0</v>
      </c>
    </row>
    <row r="680" spans="2:15" s="234" customFormat="1" ht="12.75" customHeight="1" x14ac:dyDescent="0.25">
      <c r="B680" s="906" t="str">
        <f>IF('1. INTRO'!I$2="English",(IF('5. PERSON'!BP$193&gt;0,"Salary including social costs (LKP)","")),IF('5. PERSON'!BP$193&gt;0,"Lön inklusive LKP",""))</f>
        <v/>
      </c>
      <c r="C680" s="622">
        <f>SUMIF('5. PERSON'!$D$17:$D$192,$C667,'5. PERSON'!BF$17:BF$192)</f>
        <v>0</v>
      </c>
      <c r="D680" s="622">
        <f>SUMIF('5. PERSON'!$D$17:$D$192,$C667,'5. PERSON'!BG$17:BG$192)</f>
        <v>0</v>
      </c>
      <c r="E680" s="622">
        <f>SUMIF('5. PERSON'!$D$17:$D$192,$C667,'5. PERSON'!BH$17:BH$192)</f>
        <v>0</v>
      </c>
      <c r="F680" s="622">
        <f>SUMIF('5. PERSON'!$D$17:$D$192,$C667,'5. PERSON'!BI$17:BI$192)</f>
        <v>0</v>
      </c>
      <c r="G680" s="622">
        <f>SUMIF('5. PERSON'!$D$17:$D$192,$C667,'5. PERSON'!BJ$17:BJ$192)</f>
        <v>0</v>
      </c>
      <c r="H680" s="622">
        <f>SUMIF('5. PERSON'!$D$17:$D$192,$C667,'5. PERSON'!BK$17:BK$192)</f>
        <v>0</v>
      </c>
      <c r="I680" s="622">
        <f>SUMIF('5. PERSON'!$D$17:$D$192,$C667,'5. PERSON'!BL$17:BL$192)</f>
        <v>0</v>
      </c>
      <c r="J680" s="622">
        <f>SUMIF('5. PERSON'!$D$17:$D$192,$C667,'5. PERSON'!BM$17:BM$192)</f>
        <v>0</v>
      </c>
      <c r="K680" s="622">
        <f>SUMIF('5. PERSON'!$D$17:$D$192,$C667,'5. PERSON'!BN$17:BN$192)</f>
        <v>0</v>
      </c>
      <c r="L680" s="622">
        <f>SUMIF('5. PERSON'!$D$17:$D$192,$C667,'5. PERSON'!BO$17:BO$192)</f>
        <v>0</v>
      </c>
      <c r="M680" s="907">
        <f t="shared" si="109"/>
        <v>0</v>
      </c>
    </row>
    <row r="681" spans="2:15" s="234" customFormat="1" ht="13.2" x14ac:dyDescent="0.25">
      <c r="B681" s="377" t="str">
        <f>IF('1. INTRO'!I$2="English",(IF('6. OPERATION'!AS$150&gt;0,"Operating","")),IF('6. OPERATION'!AS$150&gt;0,"Drift",""))</f>
        <v/>
      </c>
      <c r="C681" s="617">
        <f>SUMIF('6. OPERATION'!$D$17:$D$149,$C667,'6. OPERATION'!AI$17:AI$149)</f>
        <v>0</v>
      </c>
      <c r="D681" s="617">
        <f>SUMIF('6. OPERATION'!$D$17:$D$149,$C667,'6. OPERATION'!AJ$17:AJ$149)</f>
        <v>0</v>
      </c>
      <c r="E681" s="617">
        <f>SUMIF('6. OPERATION'!$D$17:$D$149,$C667,'6. OPERATION'!AK$17:AK$149)</f>
        <v>0</v>
      </c>
      <c r="F681" s="617">
        <f>SUMIF('6. OPERATION'!$D$17:$D$149,$C667,'6. OPERATION'!AL$17:AL$149)</f>
        <v>0</v>
      </c>
      <c r="G681" s="617">
        <f>SUMIF('6. OPERATION'!$D$17:$D$149,$C667,'6. OPERATION'!AM$17:AM$149)</f>
        <v>0</v>
      </c>
      <c r="H681" s="617">
        <f>SUMIF('6. OPERATION'!$D$17:$D$149,$C667,'6. OPERATION'!AN$17:AN$149)</f>
        <v>0</v>
      </c>
      <c r="I681" s="617">
        <f>SUMIF('6. OPERATION'!$D$17:$D$149,$C667,'6. OPERATION'!AO$17:AO$149)</f>
        <v>0</v>
      </c>
      <c r="J681" s="617">
        <f>SUMIF('6. OPERATION'!$D$17:$D$149,$C667,'6. OPERATION'!AP$17:AP$149)</f>
        <v>0</v>
      </c>
      <c r="K681" s="617">
        <f>SUMIF('6. OPERATION'!$D$17:$D$149,$C667,'6. OPERATION'!AQ$17:AQ$149)</f>
        <v>0</v>
      </c>
      <c r="L681" s="617">
        <f>SUMIF('6. OPERATION'!$D$17:$D$149,$C667,'6. OPERATION'!AR$17:AR$149)</f>
        <v>0</v>
      </c>
      <c r="M681" s="905">
        <f t="shared" si="109"/>
        <v>0</v>
      </c>
    </row>
    <row r="682" spans="2:15" s="234" customFormat="1" ht="13.2" x14ac:dyDescent="0.25">
      <c r="B682" s="906" t="str">
        <f>IF('1. INTRO'!I$2="English",(IF('7. INVEST'!AS$50&gt;0,"Equipment","")),IF('7. INVEST'!AS$50&gt;0,"Utrustning",""))</f>
        <v/>
      </c>
      <c r="C682" s="622">
        <f>SUMIF('7. INVEST'!$D$17:$D$49,$C667,'7. INVEST'!AI$17:AI$49)</f>
        <v>0</v>
      </c>
      <c r="D682" s="622">
        <f>SUMIF('7. INVEST'!$D$17:$D$49,$C667,'7. INVEST'!AJ$17:AJ$49)</f>
        <v>0</v>
      </c>
      <c r="E682" s="622">
        <f>SUMIF('7. INVEST'!$D$17:$D$49,$C667,'7. INVEST'!AK$17:AK$49)</f>
        <v>0</v>
      </c>
      <c r="F682" s="622">
        <f>SUMIF('7. INVEST'!$D$17:$D$49,$C667,'7. INVEST'!AL$17:AL$49)</f>
        <v>0</v>
      </c>
      <c r="G682" s="622">
        <f>SUMIF('7. INVEST'!$D$17:$D$49,$C667,'7. INVEST'!AM$17:AM$49)</f>
        <v>0</v>
      </c>
      <c r="H682" s="622">
        <f>SUMIF('7. INVEST'!$D$17:$D$49,$C667,'7. INVEST'!AN$17:AN$49)</f>
        <v>0</v>
      </c>
      <c r="I682" s="622">
        <f>SUMIF('7. INVEST'!$D$17:$D$49,$C667,'7. INVEST'!AO$17:AO$49)</f>
        <v>0</v>
      </c>
      <c r="J682" s="622">
        <f>SUMIF('7. INVEST'!$D$17:$D$49,$C667,'7. INVEST'!AP$17:AP$49)</f>
        <v>0</v>
      </c>
      <c r="K682" s="622">
        <f>SUMIF('7. INVEST'!$D$17:$D$49,$C667,'7. INVEST'!AQ$17:AQ$49)</f>
        <v>0</v>
      </c>
      <c r="L682" s="622">
        <f>SUMIF('7. INVEST'!$D$17:$D$49,$C667,'7. INVEST'!AR$17:AR$49)</f>
        <v>0</v>
      </c>
      <c r="M682" s="907">
        <f t="shared" si="109"/>
        <v>0</v>
      </c>
    </row>
    <row r="683" spans="2:15" s="234" customFormat="1" ht="13.2" x14ac:dyDescent="0.25">
      <c r="B683" s="121" t="str">
        <f>IF('1. INTRO'!I$2="English",(IF('8. FACILIT'!AP$51&gt;0,"Facility","")),IF('8. FACILIT'!AP$51&gt;0,"Lokal",""))</f>
        <v/>
      </c>
      <c r="C683" s="617">
        <f>SUMIF('5. PERSON'!$D$17:$D$192,$C667,'5. PERSON'!DB$17:DB$192)+SUMIF('6. OPERATION'!$D$17:$D$149,$C667,'6. OPERATION'!CE$17:CE$149)+SUMIF('8. FACILIT'!$D$18:$D$50,$C667,'8. FACILIT'!AF$18:AF$50)</f>
        <v>0</v>
      </c>
      <c r="D683" s="617">
        <f>SUMIF('5. PERSON'!$D$17:$D$192,$C667,'5. PERSON'!DC$17:DC$192)+SUMIF('6. OPERATION'!$D$17:$D$149,$C667,'6. OPERATION'!CF$17:CF$149)+SUMIF('8. FACILIT'!$D$18:$D$50,$C667,'8. FACILIT'!AG$18:AG$50)</f>
        <v>0</v>
      </c>
      <c r="E683" s="617">
        <f>SUMIF('5. PERSON'!$D$17:$D$192,$C667,'5. PERSON'!DD$17:DD$192)+SUMIF('6. OPERATION'!$D$17:$D$149,$C667,'6. OPERATION'!CG$17:CG$149)+SUMIF('8. FACILIT'!$D$18:$D$50,$C667,'8. FACILIT'!AH$18:AH$50)</f>
        <v>0</v>
      </c>
      <c r="F683" s="617">
        <f>SUMIF('5. PERSON'!$D$17:$D$192,$C667,'5. PERSON'!DE$17:DE$192)+SUMIF('6. OPERATION'!$D$17:$D$149,$C667,'6. OPERATION'!CH$17:CH$149)+SUMIF('8. FACILIT'!$D$18:$D$50,$C667,'8. FACILIT'!AI$18:AI$50)</f>
        <v>0</v>
      </c>
      <c r="G683" s="617">
        <f>SUMIF('5. PERSON'!$D$17:$D$192,$C667,'5. PERSON'!DF$17:DF$192)+SUMIF('6. OPERATION'!$D$17:$D$149,$C667,'6. OPERATION'!CI$17:CI$149)+SUMIF('8. FACILIT'!$D$18:$D$50,$C667,'8. FACILIT'!AJ$18:AJ$50)</f>
        <v>0</v>
      </c>
      <c r="H683" s="617">
        <f>SUMIF('5. PERSON'!$D$17:$D$192,$C667,'5. PERSON'!DG$17:DG$192)+SUMIF('6. OPERATION'!$D$17:$D$149,$C667,'6. OPERATION'!CJ$17:CJ$149)+SUMIF('8. FACILIT'!$D$18:$D$50,$C667,'8. FACILIT'!AK$18:AK$50)</f>
        <v>0</v>
      </c>
      <c r="I683" s="617">
        <f>SUMIF('5. PERSON'!$D$17:$D$192,$C667,'5. PERSON'!DH$17:DH$192)+SUMIF('6. OPERATION'!$D$17:$D$149,$C667,'6. OPERATION'!CK$17:CK$149)+SUMIF('8. FACILIT'!$D$18:$D$50,$C667,'8. FACILIT'!AL$18:AL$50)</f>
        <v>0</v>
      </c>
      <c r="J683" s="617">
        <f>SUMIF('5. PERSON'!$D$17:$D$192,$C667,'5. PERSON'!DI$17:DI$192)+SUMIF('6. OPERATION'!$D$17:$D$149,$C667,'6. OPERATION'!CL$17:CL$149)+SUMIF('8. FACILIT'!$D$18:$D$50,$C667,'8. FACILIT'!AM$18:AM$50)</f>
        <v>0</v>
      </c>
      <c r="K683" s="617">
        <f>SUMIF('5. PERSON'!$D$17:$D$192,$C667,'5. PERSON'!DJ$17:DJ$192)+SUMIF('6. OPERATION'!$D$17:$D$149,$C667,'6. OPERATION'!CM$17:CM$149)+SUMIF('8. FACILIT'!$D$18:$D$50,$C667,'8. FACILIT'!AN$18:AN$50)</f>
        <v>0</v>
      </c>
      <c r="L683" s="617">
        <f>SUMIF('5. PERSON'!$D$17:$D$192,$C667,'5. PERSON'!DK$17:DK$192)+SUMIF('6. OPERATION'!$D$17:$D$149,$C667,'6. OPERATION'!CN$17:CN$149)+SUMIF('8. FACILIT'!$D$18:$D$50,$C667,'8. FACILIT'!AO$18:AO$50)</f>
        <v>0</v>
      </c>
      <c r="M683" s="905">
        <f t="shared" si="109"/>
        <v>0</v>
      </c>
    </row>
    <row r="684" spans="2:15" s="912" customFormat="1" ht="13.2" x14ac:dyDescent="0.25">
      <c r="B684" s="122" t="str">
        <f>IF('1. INTRO'!I$2="English",(IF(('5. PERSON'!CN$193+'6. OPERATION'!BQ$150)&gt;0,"Indirect","")),IF(('5. PERSON'!CN$193+'6. OPERATION'!BQ$150)&gt;0,"Indirekt",""))</f>
        <v/>
      </c>
      <c r="C684" s="584">
        <f>SUMIF('5. PERSON'!$D$17:$D$192,$C667,'5. PERSON'!CD$17:CD$192)+SUMIF('6. OPERATION'!$D$17:$D$149,$C667,'6. OPERATION'!BG$17:BG$149)</f>
        <v>0</v>
      </c>
      <c r="D684" s="584">
        <f>SUMIF('5. PERSON'!$D$17:$D$192,$C667,'5. PERSON'!CE$17:CE$192)+SUMIF('6. OPERATION'!$D$17:$D$149,$C667,'6. OPERATION'!BH$17:BH$149)</f>
        <v>0</v>
      </c>
      <c r="E684" s="584">
        <f>SUMIF('5. PERSON'!$D$17:$D$192,$C667,'5. PERSON'!CF$17:CF$192)+SUMIF('6. OPERATION'!$D$17:$D$149,$C667,'6. OPERATION'!BI$17:BI$149)</f>
        <v>0</v>
      </c>
      <c r="F684" s="584">
        <f>SUMIF('5. PERSON'!$D$17:$D$192,$C667,'5. PERSON'!CG$17:CG$192)+SUMIF('6. OPERATION'!$D$17:$D$149,$C667,'6. OPERATION'!BJ$17:BJ$149)</f>
        <v>0</v>
      </c>
      <c r="G684" s="584">
        <f>SUMIF('5. PERSON'!$D$17:$D$192,$C667,'5. PERSON'!CH$17:CH$192)+SUMIF('6. OPERATION'!$D$17:$D$149,$C667,'6. OPERATION'!BK$17:BK$149)</f>
        <v>0</v>
      </c>
      <c r="H684" s="584">
        <f>SUMIF('5. PERSON'!$D$17:$D$192,$C667,'5. PERSON'!CI$17:CI$192)+SUMIF('6. OPERATION'!$D$17:$D$149,$C667,'6. OPERATION'!BL$17:BL$149)</f>
        <v>0</v>
      </c>
      <c r="I684" s="584">
        <f>SUMIF('5. PERSON'!$D$17:$D$192,$C667,'5. PERSON'!CJ$17:CJ$192)+SUMIF('6. OPERATION'!$D$17:$D$149,$C667,'6. OPERATION'!BM$17:BM$149)</f>
        <v>0</v>
      </c>
      <c r="J684" s="584">
        <f>SUMIF('5. PERSON'!$D$17:$D$192,$C667,'5. PERSON'!CK$17:CK$192)+SUMIF('6. OPERATION'!$D$17:$D$149,$C667,'6. OPERATION'!BN$17:BN$149)</f>
        <v>0</v>
      </c>
      <c r="K684" s="584">
        <f>SUMIF('5. PERSON'!$D$17:$D$192,$C667,'5. PERSON'!CL$17:CL$192)+SUMIF('6. OPERATION'!$D$17:$D$149,$C667,'6. OPERATION'!BO$17:BO$149)</f>
        <v>0</v>
      </c>
      <c r="L684" s="584">
        <f>SUMIF('5. PERSON'!$D$17:$D$192,$C667,'5. PERSON'!CM$17:CM$192)+SUMIF('6. OPERATION'!$D$17:$D$149,$C667,'6. OPERATION'!BP$17:BP$149)</f>
        <v>0</v>
      </c>
      <c r="M684" s="908">
        <f t="shared" si="109"/>
        <v>0</v>
      </c>
    </row>
    <row r="685" spans="2:15" s="234" customFormat="1" ht="13.2" x14ac:dyDescent="0.25">
      <c r="B685" s="628" t="s">
        <v>113</v>
      </c>
      <c r="C685" s="443">
        <f>SUM(C678:C684)</f>
        <v>0</v>
      </c>
      <c r="D685" s="443">
        <f t="shared" ref="D685:M685" si="110">SUM(D678:D684)</f>
        <v>0</v>
      </c>
      <c r="E685" s="443">
        <f t="shared" si="110"/>
        <v>0</v>
      </c>
      <c r="F685" s="443">
        <f t="shared" si="110"/>
        <v>0</v>
      </c>
      <c r="G685" s="443">
        <f t="shared" si="110"/>
        <v>0</v>
      </c>
      <c r="H685" s="443">
        <f t="shared" si="110"/>
        <v>0</v>
      </c>
      <c r="I685" s="443">
        <f t="shared" si="110"/>
        <v>0</v>
      </c>
      <c r="J685" s="443">
        <f t="shared" si="110"/>
        <v>0</v>
      </c>
      <c r="K685" s="443">
        <f t="shared" si="110"/>
        <v>0</v>
      </c>
      <c r="L685" s="443">
        <f t="shared" si="110"/>
        <v>0</v>
      </c>
      <c r="M685" s="630">
        <f t="shared" si="110"/>
        <v>0</v>
      </c>
      <c r="N685" s="913"/>
      <c r="O685" s="913"/>
    </row>
    <row r="686" spans="2:15" s="234" customFormat="1" ht="6" customHeight="1" x14ac:dyDescent="0.25">
      <c r="B686" s="914"/>
      <c r="C686" s="127"/>
      <c r="D686" s="127"/>
      <c r="E686" s="127"/>
      <c r="F686" s="127"/>
      <c r="G686" s="127"/>
      <c r="H686" s="127"/>
      <c r="I686" s="127"/>
      <c r="J686" s="127"/>
      <c r="K686" s="127"/>
      <c r="L686" s="127"/>
      <c r="M686" s="636"/>
    </row>
    <row r="687" spans="2:15" s="234" customFormat="1" ht="13.2" x14ac:dyDescent="0.25">
      <c r="B687" s="129" t="str">
        <f>IF('1. INTRO'!I$2="English","Full cost","Full kostnad")</f>
        <v>Full cost</v>
      </c>
      <c r="C687" s="127"/>
      <c r="D687" s="127"/>
      <c r="E687" s="127"/>
      <c r="F687" s="127"/>
      <c r="G687" s="127"/>
      <c r="H687" s="127"/>
      <c r="I687" s="127"/>
      <c r="J687" s="127"/>
      <c r="K687" s="127"/>
      <c r="L687" s="127"/>
      <c r="M687" s="636"/>
    </row>
    <row r="688" spans="2:15" s="234" customFormat="1" ht="13.2" x14ac:dyDescent="0.25">
      <c r="B688" s="902" t="str">
        <f>IF('1. INTRO'!I$2="English","Salary including social costs (LKP)","Lön inklusive LKP")</f>
        <v>Salary including social costs (LKP)</v>
      </c>
      <c r="C688" s="138">
        <f>C670+C679+C680</f>
        <v>0</v>
      </c>
      <c r="D688" s="138">
        <f t="shared" ref="D688:L688" si="111">D670+D679+D680</f>
        <v>0</v>
      </c>
      <c r="E688" s="138">
        <f t="shared" si="111"/>
        <v>0</v>
      </c>
      <c r="F688" s="138">
        <f t="shared" si="111"/>
        <v>0</v>
      </c>
      <c r="G688" s="138">
        <f t="shared" si="111"/>
        <v>0</v>
      </c>
      <c r="H688" s="138">
        <f t="shared" si="111"/>
        <v>0</v>
      </c>
      <c r="I688" s="138">
        <f t="shared" si="111"/>
        <v>0</v>
      </c>
      <c r="J688" s="138">
        <f t="shared" si="111"/>
        <v>0</v>
      </c>
      <c r="K688" s="138">
        <f t="shared" si="111"/>
        <v>0</v>
      </c>
      <c r="L688" s="138">
        <f t="shared" si="111"/>
        <v>0</v>
      </c>
      <c r="M688" s="903">
        <f>SUM(C688:L688)</f>
        <v>0</v>
      </c>
    </row>
    <row r="689" spans="2:13" s="234" customFormat="1" ht="13.2" x14ac:dyDescent="0.25">
      <c r="B689" s="377" t="str">
        <f>IF('1. INTRO'!I$2="English","Operating","Drift")</f>
        <v>Operating</v>
      </c>
      <c r="C689" s="139">
        <f>C671+C681</f>
        <v>0</v>
      </c>
      <c r="D689" s="139">
        <f t="shared" ref="D689:L689" si="112">D671+D681</f>
        <v>0</v>
      </c>
      <c r="E689" s="139">
        <f t="shared" si="112"/>
        <v>0</v>
      </c>
      <c r="F689" s="139">
        <f t="shared" si="112"/>
        <v>0</v>
      </c>
      <c r="G689" s="139">
        <f t="shared" si="112"/>
        <v>0</v>
      </c>
      <c r="H689" s="139">
        <f t="shared" si="112"/>
        <v>0</v>
      </c>
      <c r="I689" s="139">
        <f t="shared" si="112"/>
        <v>0</v>
      </c>
      <c r="J689" s="139">
        <f t="shared" si="112"/>
        <v>0</v>
      </c>
      <c r="K689" s="139">
        <f t="shared" si="112"/>
        <v>0</v>
      </c>
      <c r="L689" s="139">
        <f t="shared" si="112"/>
        <v>0</v>
      </c>
      <c r="M689" s="905">
        <f>SUM(C689:L689)</f>
        <v>0</v>
      </c>
    </row>
    <row r="690" spans="2:13" s="234" customFormat="1" ht="13.2" x14ac:dyDescent="0.25">
      <c r="B690" s="906" t="str">
        <f>IF('1. INTRO'!I$2="English","Equipment","Utrustning")</f>
        <v>Equipment</v>
      </c>
      <c r="C690" s="140">
        <f>C672+C682</f>
        <v>0</v>
      </c>
      <c r="D690" s="140">
        <f t="shared" ref="D690:L690" si="113">D672+D682</f>
        <v>0</v>
      </c>
      <c r="E690" s="140">
        <f t="shared" si="113"/>
        <v>0</v>
      </c>
      <c r="F690" s="140">
        <f t="shared" si="113"/>
        <v>0</v>
      </c>
      <c r="G690" s="140">
        <f t="shared" si="113"/>
        <v>0</v>
      </c>
      <c r="H690" s="140">
        <f t="shared" si="113"/>
        <v>0</v>
      </c>
      <c r="I690" s="140">
        <f t="shared" si="113"/>
        <v>0</v>
      </c>
      <c r="J690" s="140">
        <f t="shared" si="113"/>
        <v>0</v>
      </c>
      <c r="K690" s="140">
        <f t="shared" si="113"/>
        <v>0</v>
      </c>
      <c r="L690" s="140">
        <f t="shared" si="113"/>
        <v>0</v>
      </c>
      <c r="M690" s="907">
        <f>SUM(C690:L690)</f>
        <v>0</v>
      </c>
    </row>
    <row r="691" spans="2:13" s="234" customFormat="1" ht="13.2" x14ac:dyDescent="0.25">
      <c r="B691" s="377" t="str">
        <f>IF('1. INTRO'!I$2="English","Facility","Lokal")</f>
        <v>Facility</v>
      </c>
      <c r="C691" s="139">
        <f>SUMIF('5. PERSON'!$D$17:$D$192,$C667,'5. PERSON'!CP$17:CP$192)+SUMIF('5. PERSON'!$D$17:$D$192,$C667,'5. PERSON'!DB$17:DB$192)+SUMIF('6. OPERATION'!$D$17:$D$149,$C667,'6. OPERATION'!BS$17:BS$149)+SUMIF('6. OPERATION'!$D$17:$D$149,$C667,'6. OPERATION'!CE$17:CE$149)+SUMIF('8. FACILIT'!$D$18:$D$50,$C667,'8. FACILIT'!T$18:T$50)+SUMIF('8. FACILIT'!$D$18:$D$50,$C667,'8. FACILIT'!AF$18:AF$50)</f>
        <v>0</v>
      </c>
      <c r="D691" s="139">
        <f>SUMIF('5. PERSON'!$D$17:$D$192,$C667,'5. PERSON'!CQ$17:CQ$192)+SUMIF('5. PERSON'!$D$17:$D$192,$C667,'5. PERSON'!DC$17:DC$192)+SUMIF('6. OPERATION'!$D$17:$D$149,$C667,'6. OPERATION'!BT$17:BT$149)+SUMIF('6. OPERATION'!$D$17:$D$149,$C667,'6. OPERATION'!CF$17:CF$149)+SUMIF('8. FACILIT'!$D$18:$D$50,$C667,'8. FACILIT'!U$18:U$50)+SUMIF('8. FACILIT'!$D$18:$D$50,$C667,'8. FACILIT'!AG$18:AG$50)</f>
        <v>0</v>
      </c>
      <c r="E691" s="139">
        <f>SUMIF('5. PERSON'!$D$17:$D$192,$C667,'5. PERSON'!CR$17:CR$192)+SUMIF('5. PERSON'!$D$17:$D$192,$C667,'5. PERSON'!DD$17:DD$192)+SUMIF('6. OPERATION'!$D$17:$D$149,$C667,'6. OPERATION'!BU$17:BU$149)+SUMIF('6. OPERATION'!$D$17:$D$149,$C667,'6. OPERATION'!CG$17:CG$149)+SUMIF('8. FACILIT'!$D$18:$D$50,$C667,'8. FACILIT'!V$18:V$50)+SUMIF('8. FACILIT'!$D$18:$D$50,$C667,'8. FACILIT'!AH$18:AH$50)</f>
        <v>0</v>
      </c>
      <c r="F691" s="139">
        <f>SUMIF('5. PERSON'!$D$17:$D$192,$C667,'5. PERSON'!CS$17:CS$192)+SUMIF('5. PERSON'!$D$17:$D$192,$C667,'5. PERSON'!DE$17:DE$192)+SUMIF('6. OPERATION'!$D$17:$D$149,$C667,'6. OPERATION'!BV$17:BV$149)+SUMIF('6. OPERATION'!$D$17:$D$149,$C667,'6. OPERATION'!CH$17:CH$149)+SUMIF('8. FACILIT'!$D$18:$D$50,$C667,'8. FACILIT'!W$18:W$50)+SUMIF('8. FACILIT'!$D$18:$D$50,$C667,'8. FACILIT'!AI$18:AI$50)</f>
        <v>0</v>
      </c>
      <c r="G691" s="139">
        <f>SUMIF('5. PERSON'!$D$17:$D$192,$C667,'5. PERSON'!CT$17:CT$192)+SUMIF('5. PERSON'!$D$17:$D$192,$C667,'5. PERSON'!DF$17:DF$192)+SUMIF('6. OPERATION'!$D$17:$D$149,$C667,'6. OPERATION'!BW$17:BW$149)+SUMIF('6. OPERATION'!$D$17:$D$149,$C667,'6. OPERATION'!CI$17:CI$149)+SUMIF('8. FACILIT'!$D$18:$D$50,$C667,'8. FACILIT'!X$18:X$50)+SUMIF('8. FACILIT'!$D$18:$D$50,$C667,'8. FACILIT'!AJ$18:AJ$50)</f>
        <v>0</v>
      </c>
      <c r="H691" s="139">
        <f>SUMIF('5. PERSON'!$D$17:$D$192,$C667,'5. PERSON'!CU$17:CU$192)+SUMIF('5. PERSON'!$D$17:$D$192,$C667,'5. PERSON'!DG$17:DG$192)+SUMIF('6. OPERATION'!$D$17:$D$149,$C667,'6. OPERATION'!BX$17:BX$149)+SUMIF('6. OPERATION'!$D$17:$D$149,$C667,'6. OPERATION'!CJ$17:CJ$149)+SUMIF('8. FACILIT'!$D$18:$D$50,$C667,'8. FACILIT'!Y$18:Y$50)+SUMIF('8. FACILIT'!$D$18:$D$50,$C667,'8. FACILIT'!AK$18:AK$50)</f>
        <v>0</v>
      </c>
      <c r="I691" s="139">
        <f>SUMIF('5. PERSON'!$D$17:$D$192,$C667,'5. PERSON'!CV$17:CV$192)+SUMIF('5. PERSON'!$D$17:$D$192,$C667,'5. PERSON'!DH$17:DH$192)+SUMIF('6. OPERATION'!$D$17:$D$149,$C667,'6. OPERATION'!BY$17:BY$149)+SUMIF('6. OPERATION'!$D$17:$D$149,$C667,'6. OPERATION'!CK$17:CK$149)+SUMIF('8. FACILIT'!$D$18:$D$50,$C667,'8. FACILIT'!Z$18:Z$50)+SUMIF('8. FACILIT'!$D$18:$D$50,$C667,'8. FACILIT'!AL$18:AL$50)</f>
        <v>0</v>
      </c>
      <c r="J691" s="139">
        <f>SUMIF('5. PERSON'!$D$17:$D$192,$C667,'5. PERSON'!CW$17:CW$192)+SUMIF('5. PERSON'!$D$17:$D$192,$C667,'5. PERSON'!DI$17:DI$192)+SUMIF('6. OPERATION'!$D$17:$D$149,$C667,'6. OPERATION'!BZ$17:BZ$149)+SUMIF('6. OPERATION'!$D$17:$D$149,$C667,'6. OPERATION'!CL$17:CL$149)+SUMIF('8. FACILIT'!$D$18:$D$50,$C667,'8. FACILIT'!AA$18:AA$50)+SUMIF('8. FACILIT'!$D$18:$D$50,$C667,'8. FACILIT'!AM$18:AM$50)</f>
        <v>0</v>
      </c>
      <c r="K691" s="139">
        <f>SUMIF('5. PERSON'!$D$17:$D$192,$C667,'5. PERSON'!CX$17:CX$192)+SUMIF('5. PERSON'!$D$17:$D$192,$C667,'5. PERSON'!DJ$17:DJ$192)+SUMIF('6. OPERATION'!$D$17:$D$149,$C667,'6. OPERATION'!CA$17:CA$149)+SUMIF('6. OPERATION'!$D$17:$D$149,$C667,'6. OPERATION'!CM$17:CM$149)+SUMIF('8. FACILIT'!$D$18:$D$50,$C667,'8. FACILIT'!AB$18:AB$50)+SUMIF('8. FACILIT'!$D$18:$D$50,$C667,'8. FACILIT'!AN$18:AN$50)</f>
        <v>0</v>
      </c>
      <c r="L691" s="139">
        <f>SUMIF('5. PERSON'!$D$17:$D$192,$C667,'5. PERSON'!CY$17:CY$192)+SUMIF('5. PERSON'!$D$17:$D$192,$C667,'5. PERSON'!DK$17:DK$192)+SUMIF('6. OPERATION'!$D$17:$D$149,$C667,'6. OPERATION'!CB$17:CB$149)+SUMIF('6. OPERATION'!$D$17:$D$149,$C667,'6. OPERATION'!CN$17:CN$149)+SUMIF('8. FACILIT'!$D$18:$D$50,$C667,'8. FACILIT'!AC$18:AC$50)+SUMIF('8. FACILIT'!$D$18:$D$50,$C667,'8. FACILIT'!AO$18:AO$50)</f>
        <v>0</v>
      </c>
      <c r="M691" s="905">
        <f>SUM(C691:L691)</f>
        <v>0</v>
      </c>
    </row>
    <row r="692" spans="2:13" s="234" customFormat="1" ht="13.2" x14ac:dyDescent="0.25">
      <c r="B692" s="915" t="str">
        <f>IF('1. INTRO'!I$2="English","Indirect","Indirekt")</f>
        <v>Indirect</v>
      </c>
      <c r="C692" s="141">
        <f>SUMIF('5. PERSON'!$D$17:$D$192,$C667,'5. PERSON'!BR$17:BR$192)+SUMIF('5. PERSON'!$D$17:$D$192,$C667,'5. PERSON'!CD$17:CD$192)+SUMIF('6. OPERATION'!$D$17:$D$149,$C667,'6. OPERATION'!AU$17:AU$149)+SUMIF('6. OPERATION'!$D$17:$D$149,$C667,'6. OPERATION'!BG$17:BG$149)</f>
        <v>0</v>
      </c>
      <c r="D692" s="141">
        <f>SUMIF('5. PERSON'!$D$17:$D$192,$C667,'5. PERSON'!BS$17:BS$192)+SUMIF('5. PERSON'!$D$17:$D$192,$C667,'5. PERSON'!CE$17:CE$192)+SUMIF('6. OPERATION'!$D$17:$D$149,$C667,'6. OPERATION'!AV$17:AV$149)+SUMIF('6. OPERATION'!$D$17:$D$149,$C667,'6. OPERATION'!BH$17:BH$149)</f>
        <v>0</v>
      </c>
      <c r="E692" s="141">
        <f>SUMIF('5. PERSON'!$D$17:$D$192,$C667,'5. PERSON'!BT$17:BT$192)+SUMIF('5. PERSON'!$D$17:$D$192,$C667,'5. PERSON'!CF$17:CF$192)+SUMIF('6. OPERATION'!$D$17:$D$149,$C667,'6. OPERATION'!AW$17:AW$149)+SUMIF('6. OPERATION'!$D$17:$D$149,$C667,'6. OPERATION'!BI$17:BI$149)</f>
        <v>0</v>
      </c>
      <c r="F692" s="141">
        <f>SUMIF('5. PERSON'!$D$17:$D$192,$C667,'5. PERSON'!BU$17:BU$192)+SUMIF('5. PERSON'!$D$17:$D$192,$C667,'5. PERSON'!CG$17:CG$192)+SUMIF('6. OPERATION'!$D$17:$D$149,$C667,'6. OPERATION'!AX$17:AX$149)+SUMIF('6. OPERATION'!$D$17:$D$149,$C667,'6. OPERATION'!BJ$17:BJ$149)</f>
        <v>0</v>
      </c>
      <c r="G692" s="141">
        <f>SUMIF('5. PERSON'!$D$17:$D$192,$C667,'5. PERSON'!BV$17:BV$192)+SUMIF('5. PERSON'!$D$17:$D$192,$C667,'5. PERSON'!CH$17:CH$192)+SUMIF('6. OPERATION'!$D$17:$D$149,$C667,'6. OPERATION'!AY$17:AY$149)+SUMIF('6. OPERATION'!$D$17:$D$149,$C667,'6. OPERATION'!BK$17:BK$149)</f>
        <v>0</v>
      </c>
      <c r="H692" s="141">
        <f>SUMIF('5. PERSON'!$D$17:$D$192,$C667,'5. PERSON'!BW$17:BW$192)+SUMIF('5. PERSON'!$D$17:$D$192,$C667,'5. PERSON'!CI$17:CI$192)+SUMIF('6. OPERATION'!$D$17:$D$149,$C667,'6. OPERATION'!AZ$17:AZ$149)+SUMIF('6. OPERATION'!$D$17:$D$149,$C667,'6. OPERATION'!BL$17:BL$149)</f>
        <v>0</v>
      </c>
      <c r="I692" s="141">
        <f>SUMIF('5. PERSON'!$D$17:$D$192,$C667,'5. PERSON'!BX$17:BX$192)+SUMIF('5. PERSON'!$D$17:$D$192,$C667,'5. PERSON'!CJ$17:CJ$192)+SUMIF('6. OPERATION'!$D$17:$D$149,$C667,'6. OPERATION'!BA$17:BA$149)+SUMIF('6. OPERATION'!$D$17:$D$149,$C667,'6. OPERATION'!BM$17:BM$149)</f>
        <v>0</v>
      </c>
      <c r="J692" s="141">
        <f>SUMIF('5. PERSON'!$D$17:$D$192,$C667,'5. PERSON'!BY$17:BY$192)+SUMIF('5. PERSON'!$D$17:$D$192,$C667,'5. PERSON'!CK$17:CK$192)+SUMIF('6. OPERATION'!$D$17:$D$149,$C667,'6. OPERATION'!BB$17:BB$149)+SUMIF('6. OPERATION'!$D$17:$D$149,$C667,'6. OPERATION'!BN$17:BN$149)</f>
        <v>0</v>
      </c>
      <c r="K692" s="141">
        <f>SUMIF('5. PERSON'!$D$17:$D$192,$C667,'5. PERSON'!BZ$17:BZ$192)+SUMIF('5. PERSON'!$D$17:$D$192,$C667,'5. PERSON'!CL$17:CL$192)+SUMIF('6. OPERATION'!$D$17:$D$149,$C667,'6. OPERATION'!BC$17:BC$149)+SUMIF('6. OPERATION'!$D$17:$D$149,$C667,'6. OPERATION'!BO$17:BO$149)</f>
        <v>0</v>
      </c>
      <c r="L692" s="141">
        <f>SUMIF('5. PERSON'!$D$17:$D$192,$C667,'5. PERSON'!CA$17:CA$192)+SUMIF('5. PERSON'!$D$17:$D$192,$C667,'5. PERSON'!CM$17:CM$192)+SUMIF('6. OPERATION'!$D$17:$D$149,$C667,'6. OPERATION'!BD$17:BD$149)+SUMIF('6. OPERATION'!$D$17:$D$149,$C667,'6. OPERATION'!BP$17:BP$149)</f>
        <v>0</v>
      </c>
      <c r="M692" s="908">
        <f>SUM(C692:L692)</f>
        <v>0</v>
      </c>
    </row>
    <row r="693" spans="2:13" s="234" customFormat="1" ht="13.2" x14ac:dyDescent="0.25">
      <c r="B693" s="628" t="s">
        <v>113</v>
      </c>
      <c r="C693" s="520">
        <f>SUM(C688:C692)</f>
        <v>0</v>
      </c>
      <c r="D693" s="520">
        <f t="shared" ref="D693:M693" si="114">SUM(D688:D692)</f>
        <v>0</v>
      </c>
      <c r="E693" s="520">
        <f t="shared" si="114"/>
        <v>0</v>
      </c>
      <c r="F693" s="520">
        <f t="shared" si="114"/>
        <v>0</v>
      </c>
      <c r="G693" s="520">
        <f t="shared" si="114"/>
        <v>0</v>
      </c>
      <c r="H693" s="520">
        <f t="shared" si="114"/>
        <v>0</v>
      </c>
      <c r="I693" s="520">
        <f t="shared" si="114"/>
        <v>0</v>
      </c>
      <c r="J693" s="520">
        <f t="shared" si="114"/>
        <v>0</v>
      </c>
      <c r="K693" s="520">
        <f t="shared" si="114"/>
        <v>0</v>
      </c>
      <c r="L693" s="520">
        <f t="shared" si="114"/>
        <v>0</v>
      </c>
      <c r="M693" s="916">
        <f t="shared" si="114"/>
        <v>0</v>
      </c>
    </row>
    <row r="694" spans="2:13" s="234" customFormat="1" ht="13.2" x14ac:dyDescent="0.25">
      <c r="B694" s="676"/>
      <c r="C694" s="268"/>
      <c r="D694" s="268"/>
      <c r="E694" s="268"/>
      <c r="F694" s="268"/>
      <c r="G694" s="268"/>
      <c r="H694" s="268"/>
      <c r="I694" s="268"/>
      <c r="J694" s="268"/>
      <c r="K694" s="268"/>
      <c r="L694" s="268"/>
      <c r="M694" s="268"/>
    </row>
    <row r="695" spans="2:13" s="234" customFormat="1" ht="12.75" customHeight="1" x14ac:dyDescent="0.25">
      <c r="B695" s="676" t="str">
        <f>IF('1. INTRO'!I$2="English","Co-funding share in full cost ","Medfinansieringsandel i full kostnad ")</f>
        <v xml:space="preserve">Co-funding share in full cost </v>
      </c>
      <c r="C695" s="640" t="str">
        <f t="shared" ref="C695:M695" si="115">IF(C693&gt;0,C685/C693,"")</f>
        <v/>
      </c>
      <c r="D695" s="640" t="str">
        <f t="shared" si="115"/>
        <v/>
      </c>
      <c r="E695" s="640" t="str">
        <f t="shared" si="115"/>
        <v/>
      </c>
      <c r="F695" s="640" t="str">
        <f t="shared" si="115"/>
        <v/>
      </c>
      <c r="G695" s="640" t="str">
        <f t="shared" si="115"/>
        <v/>
      </c>
      <c r="H695" s="640" t="str">
        <f t="shared" si="115"/>
        <v/>
      </c>
      <c r="I695" s="640" t="str">
        <f t="shared" si="115"/>
        <v/>
      </c>
      <c r="J695" s="640" t="str">
        <f t="shared" si="115"/>
        <v/>
      </c>
      <c r="K695" s="640" t="str">
        <f t="shared" si="115"/>
        <v/>
      </c>
      <c r="L695" s="640" t="str">
        <f t="shared" si="115"/>
        <v/>
      </c>
      <c r="M695" s="640" t="str">
        <f t="shared" si="115"/>
        <v/>
      </c>
    </row>
    <row r="696" spans="2:13" s="268" customFormat="1" ht="12.75" customHeight="1" x14ac:dyDescent="0.25"/>
    <row r="697" spans="2:13" s="268" customFormat="1" ht="12.75" customHeight="1" x14ac:dyDescent="0.25">
      <c r="B697" s="667" t="str">
        <f>IF('1. INTRO'!I$2="English","Calculation comments","Kalkylkommentarer")</f>
        <v>Calculation comments</v>
      </c>
    </row>
    <row r="698" spans="2:13" s="268" customFormat="1" ht="12.75" customHeight="1" x14ac:dyDescent="0.25">
      <c r="B698" s="1264"/>
      <c r="C698" s="1265"/>
      <c r="D698" s="1265"/>
      <c r="E698" s="1265"/>
      <c r="F698" s="1265"/>
      <c r="G698" s="1265"/>
      <c r="H698" s="1265"/>
      <c r="I698" s="1265"/>
      <c r="J698" s="1265"/>
      <c r="K698" s="1265"/>
      <c r="L698" s="1265"/>
      <c r="M698" s="1266"/>
    </row>
    <row r="699" spans="2:13" s="268" customFormat="1" ht="12.75" customHeight="1" x14ac:dyDescent="0.25">
      <c r="B699" s="1267"/>
      <c r="C699" s="1268"/>
      <c r="D699" s="1268"/>
      <c r="E699" s="1268"/>
      <c r="F699" s="1268"/>
      <c r="G699" s="1268"/>
      <c r="H699" s="1268"/>
      <c r="I699" s="1268"/>
      <c r="J699" s="1268"/>
      <c r="K699" s="1268"/>
      <c r="L699" s="1268"/>
      <c r="M699" s="1269"/>
    </row>
    <row r="700" spans="2:13" s="268" customFormat="1" ht="12.75" customHeight="1" x14ac:dyDescent="0.25">
      <c r="B700" s="1267"/>
      <c r="C700" s="1268"/>
      <c r="D700" s="1268"/>
      <c r="E700" s="1268"/>
      <c r="F700" s="1268"/>
      <c r="G700" s="1268"/>
      <c r="H700" s="1268"/>
      <c r="I700" s="1268"/>
      <c r="J700" s="1268"/>
      <c r="K700" s="1268"/>
      <c r="L700" s="1268"/>
      <c r="M700" s="1269"/>
    </row>
    <row r="701" spans="2:13" s="268" customFormat="1" ht="12.75" customHeight="1" x14ac:dyDescent="0.25">
      <c r="B701" s="1267"/>
      <c r="C701" s="1268"/>
      <c r="D701" s="1268"/>
      <c r="E701" s="1268"/>
      <c r="F701" s="1268"/>
      <c r="G701" s="1268"/>
      <c r="H701" s="1268"/>
      <c r="I701" s="1268"/>
      <c r="J701" s="1268"/>
      <c r="K701" s="1268"/>
      <c r="L701" s="1268"/>
      <c r="M701" s="1269"/>
    </row>
    <row r="702" spans="2:13" s="268" customFormat="1" ht="12.75" customHeight="1" x14ac:dyDescent="0.25">
      <c r="B702" s="1267"/>
      <c r="C702" s="1268"/>
      <c r="D702" s="1268"/>
      <c r="E702" s="1268"/>
      <c r="F702" s="1268"/>
      <c r="G702" s="1268"/>
      <c r="H702" s="1268"/>
      <c r="I702" s="1268"/>
      <c r="J702" s="1268"/>
      <c r="K702" s="1268"/>
      <c r="L702" s="1268"/>
      <c r="M702" s="1269"/>
    </row>
    <row r="703" spans="2:13" s="268" customFormat="1" ht="12.75" customHeight="1" x14ac:dyDescent="0.25">
      <c r="B703" s="1270"/>
      <c r="C703" s="1271"/>
      <c r="D703" s="1271"/>
      <c r="E703" s="1271"/>
      <c r="F703" s="1271"/>
      <c r="G703" s="1271"/>
      <c r="H703" s="1271"/>
      <c r="I703" s="1271"/>
      <c r="J703" s="1271"/>
      <c r="K703" s="1271"/>
      <c r="L703" s="1271"/>
      <c r="M703" s="1272"/>
    </row>
    <row r="704" spans="2:13" s="268" customFormat="1" x14ac:dyDescent="0.25">
      <c r="B704" s="1270"/>
      <c r="C704" s="1271"/>
      <c r="D704" s="1271"/>
      <c r="E704" s="1271"/>
      <c r="F704" s="1271"/>
      <c r="G704" s="1271"/>
      <c r="H704" s="1271"/>
      <c r="I704" s="1271"/>
      <c r="J704" s="1271"/>
      <c r="K704" s="1271"/>
      <c r="L704" s="1271"/>
      <c r="M704" s="1272"/>
    </row>
    <row r="705" spans="2:13" s="268" customFormat="1" x14ac:dyDescent="0.25">
      <c r="B705" s="1270"/>
      <c r="C705" s="1271"/>
      <c r="D705" s="1271"/>
      <c r="E705" s="1271"/>
      <c r="F705" s="1271"/>
      <c r="G705" s="1271"/>
      <c r="H705" s="1271"/>
      <c r="I705" s="1271"/>
      <c r="J705" s="1271"/>
      <c r="K705" s="1271"/>
      <c r="L705" s="1271"/>
      <c r="M705" s="1272"/>
    </row>
    <row r="706" spans="2:13" s="268" customFormat="1" x14ac:dyDescent="0.25">
      <c r="B706" s="1270"/>
      <c r="C706" s="1271"/>
      <c r="D706" s="1271"/>
      <c r="E706" s="1271"/>
      <c r="F706" s="1271"/>
      <c r="G706" s="1271"/>
      <c r="H706" s="1271"/>
      <c r="I706" s="1271"/>
      <c r="J706" s="1271"/>
      <c r="K706" s="1271"/>
      <c r="L706" s="1271"/>
      <c r="M706" s="1272"/>
    </row>
    <row r="707" spans="2:13" s="268" customFormat="1" x14ac:dyDescent="0.25">
      <c r="B707" s="1270"/>
      <c r="C707" s="1271"/>
      <c r="D707" s="1271"/>
      <c r="E707" s="1271"/>
      <c r="F707" s="1271"/>
      <c r="G707" s="1271"/>
      <c r="H707" s="1271"/>
      <c r="I707" s="1271"/>
      <c r="J707" s="1271"/>
      <c r="K707" s="1271"/>
      <c r="L707" s="1271"/>
      <c r="M707" s="1272"/>
    </row>
    <row r="708" spans="2:13" s="268" customFormat="1" x14ac:dyDescent="0.25">
      <c r="B708" s="1270"/>
      <c r="C708" s="1271"/>
      <c r="D708" s="1271"/>
      <c r="E708" s="1271"/>
      <c r="F708" s="1271"/>
      <c r="G708" s="1271"/>
      <c r="H708" s="1271"/>
      <c r="I708" s="1271"/>
      <c r="J708" s="1271"/>
      <c r="K708" s="1271"/>
      <c r="L708" s="1271"/>
      <c r="M708" s="1272"/>
    </row>
    <row r="709" spans="2:13" s="268" customFormat="1" x14ac:dyDescent="0.25">
      <c r="B709" s="1270"/>
      <c r="C709" s="1271"/>
      <c r="D709" s="1271"/>
      <c r="E709" s="1271"/>
      <c r="F709" s="1271"/>
      <c r="G709" s="1271"/>
      <c r="H709" s="1271"/>
      <c r="I709" s="1271"/>
      <c r="J709" s="1271"/>
      <c r="K709" s="1271"/>
      <c r="L709" s="1271"/>
      <c r="M709" s="1272"/>
    </row>
    <row r="710" spans="2:13" s="268" customFormat="1" x14ac:dyDescent="0.25">
      <c r="B710" s="1273"/>
      <c r="C710" s="1274"/>
      <c r="D710" s="1274"/>
      <c r="E710" s="1274"/>
      <c r="F710" s="1274"/>
      <c r="G710" s="1274"/>
      <c r="H710" s="1274"/>
      <c r="I710" s="1274"/>
      <c r="J710" s="1274"/>
      <c r="K710" s="1274"/>
      <c r="L710" s="1274"/>
      <c r="M710" s="1275"/>
    </row>
    <row r="711" spans="2:13" s="268" customFormat="1" x14ac:dyDescent="0.25"/>
    <row r="712" spans="2:13" s="268" customFormat="1" x14ac:dyDescent="0.25"/>
    <row r="713" spans="2:13" s="234" customFormat="1" ht="12.75" customHeight="1" x14ac:dyDescent="0.25">
      <c r="B713" s="313" t="str">
        <f>'3. PARTNER'!C$4</f>
        <v xml:space="preserve">Project: </v>
      </c>
      <c r="C713" s="1062" t="str">
        <f>'3. PARTNER'!D$4</f>
        <v/>
      </c>
      <c r="D713" s="1001"/>
      <c r="E713" s="1001"/>
      <c r="F713" s="1001"/>
      <c r="G713" s="1001"/>
      <c r="H713" s="1001"/>
      <c r="I713" s="1001"/>
      <c r="J713" s="1001"/>
      <c r="K713" s="1001"/>
      <c r="L713" s="1001"/>
      <c r="M713" s="1001"/>
    </row>
    <row r="714" spans="2:13" s="234" customFormat="1" ht="13.2" x14ac:dyDescent="0.25">
      <c r="B714" s="313" t="str">
        <f>'3. PARTNER'!C$5</f>
        <v xml:space="preserve">Calculation for: </v>
      </c>
      <c r="C714" s="1062" t="str">
        <f>'3. PARTNER'!D$5</f>
        <v>APPLICATION</v>
      </c>
      <c r="D714" s="1001"/>
      <c r="E714" s="268"/>
      <c r="F714" s="268"/>
      <c r="G714" s="268"/>
      <c r="H714" s="268"/>
      <c r="I714" s="268"/>
      <c r="J714" s="268"/>
      <c r="K714" s="268"/>
      <c r="L714" s="268"/>
      <c r="M714" s="268"/>
    </row>
    <row r="715" spans="2:13" s="234" customFormat="1" ht="13.2" x14ac:dyDescent="0.25">
      <c r="B715" s="35" t="str">
        <f>'3. PARTNER'!C$6</f>
        <v xml:space="preserve">Project leader: </v>
      </c>
      <c r="C715" s="1062" t="str">
        <f>'3. PARTNER'!D$6</f>
        <v/>
      </c>
      <c r="D715" s="1001"/>
      <c r="E715" s="1001"/>
      <c r="F715" s="1001"/>
      <c r="G715" s="1001"/>
      <c r="H715" s="1001"/>
      <c r="I715" s="1001"/>
      <c r="J715" s="1001"/>
      <c r="K715" s="1001"/>
      <c r="L715" s="1001"/>
      <c r="M715" s="1001"/>
    </row>
    <row r="716" spans="2:13" s="234" customFormat="1" ht="13.2" x14ac:dyDescent="0.25">
      <c r="B716" s="313" t="str">
        <f>'5. PERSON'!B$7</f>
        <v xml:space="preserve">Amounts in: </v>
      </c>
      <c r="C716" s="672" t="str">
        <f>'5. PERSON'!C$7</f>
        <v>SEK</v>
      </c>
      <c r="D716" s="268"/>
      <c r="E716" s="268"/>
      <c r="F716" s="268"/>
      <c r="I716" s="270"/>
      <c r="J716" s="270"/>
      <c r="K716" s="270"/>
      <c r="L716" s="270"/>
      <c r="M716" s="270"/>
    </row>
    <row r="717" spans="2:13" s="234" customFormat="1" ht="13.2" x14ac:dyDescent="0.25">
      <c r="B717" s="313"/>
      <c r="C717" s="1053" t="str">
        <f>'3. PARTNER'!D$7</f>
        <v>Other basic data about the project is in sheet 2.</v>
      </c>
      <c r="D717" s="1001"/>
      <c r="E717" s="1001"/>
      <c r="F717" s="1001"/>
      <c r="I717" s="270"/>
      <c r="J717" s="270"/>
      <c r="K717" s="270"/>
      <c r="L717" s="251" t="s">
        <v>4</v>
      </c>
      <c r="M717" s="270"/>
    </row>
    <row r="718" spans="2:13" s="268" customFormat="1" ht="12.75" customHeight="1" x14ac:dyDescent="0.25">
      <c r="L718" s="252" t="str">
        <f>IF('1. INTRO'!I$2="English","months","månader")</f>
        <v>months</v>
      </c>
    </row>
    <row r="719" spans="2:13" s="234" customFormat="1" ht="13.8" x14ac:dyDescent="0.25">
      <c r="B719" s="678" t="str">
        <f>IF('1. INTRO'!I$2="English","Project costs","Projektkostnader")</f>
        <v>Project costs</v>
      </c>
      <c r="C719" s="678" t="str">
        <f>B28</f>
        <v>WP 14</v>
      </c>
      <c r="D719" s="234" t="str">
        <f>E28</f>
        <v/>
      </c>
      <c r="E719" s="268"/>
      <c r="G719" s="268"/>
      <c r="H719" s="268"/>
      <c r="I719" s="268"/>
      <c r="J719" s="268"/>
      <c r="K719" s="676"/>
      <c r="L719" s="899">
        <f>SUMIF('5. PERSON'!$D$17:$D$192,$C719,'5. PERSON'!AE$17:AE$192)</f>
        <v>0</v>
      </c>
      <c r="M719" s="680" t="s">
        <v>330</v>
      </c>
    </row>
    <row r="720" spans="2:13" s="234" customFormat="1" ht="6" customHeight="1" x14ac:dyDescent="0.25">
      <c r="B720" s="602"/>
      <c r="C720" s="268"/>
      <c r="D720" s="268"/>
      <c r="E720" s="268"/>
      <c r="F720" s="268"/>
      <c r="G720" s="268"/>
      <c r="H720" s="268"/>
      <c r="I720" s="268"/>
      <c r="J720" s="268"/>
      <c r="K720" s="268"/>
      <c r="L720" s="268"/>
      <c r="M720" s="268"/>
    </row>
    <row r="721" spans="2:15" s="234" customFormat="1" ht="13.2" x14ac:dyDescent="0.25">
      <c r="B721" s="110" t="str">
        <f>IF('1. INTRO'!I$2="English","Costs to be covered by funding body","Kostnader att täckas av finansiär")</f>
        <v>Costs to be covered by funding body</v>
      </c>
      <c r="C721" s="607">
        <f>'5. PERSON'!G$15</f>
        <v>1900</v>
      </c>
      <c r="D721" s="607" t="str">
        <f>'5. PERSON'!H$15</f>
        <v/>
      </c>
      <c r="E721" s="607" t="str">
        <f>'5. PERSON'!I$15</f>
        <v/>
      </c>
      <c r="F721" s="607" t="str">
        <f>'5. PERSON'!J$15</f>
        <v/>
      </c>
      <c r="G721" s="607" t="str">
        <f>'5. PERSON'!K$15</f>
        <v/>
      </c>
      <c r="H721" s="607" t="str">
        <f>'5. PERSON'!L$15</f>
        <v/>
      </c>
      <c r="I721" s="607" t="str">
        <f>'5. PERSON'!M$15</f>
        <v/>
      </c>
      <c r="J721" s="607" t="str">
        <f>'5. PERSON'!N$15</f>
        <v/>
      </c>
      <c r="K721" s="607" t="str">
        <f>'5. PERSON'!O$15</f>
        <v/>
      </c>
      <c r="L721" s="607" t="str">
        <f>'5. PERSON'!P$15</f>
        <v/>
      </c>
      <c r="M721" s="608" t="s">
        <v>2</v>
      </c>
    </row>
    <row r="722" spans="2:15" s="234" customFormat="1" ht="12.75" customHeight="1" x14ac:dyDescent="0.25">
      <c r="B722" s="902" t="str">
        <f>IF('1. INTRO'!I$2="English","Salary including social costs (LKP)","Lön inklusive LKP")</f>
        <v>Salary including social costs (LKP)</v>
      </c>
      <c r="C722" s="610">
        <f>IF('2. START'!$C$14&gt;0,SUMIF('5. PERSON'!$D$17:$D$192,$C719,'5. PERSON'!DN$17:DN$192),SUMIF('5. PERSON'!$D$17:$D$192,$C719,'5. PERSON'!AT$17:AT$192))</f>
        <v>0</v>
      </c>
      <c r="D722" s="610">
        <f>IF('2. START'!$C$14&gt;0,SUMIF('5. PERSON'!$D$17:$D$192,$C719,'5. PERSON'!DO$17:DO$192),SUMIF('5. PERSON'!$D$17:$D$192,$C719,'5. PERSON'!AU$17:AU$192))</f>
        <v>0</v>
      </c>
      <c r="E722" s="610">
        <f>IF('2. START'!$C$14&gt;0,SUMIF('5. PERSON'!$D$17:$D$192,$C719,'5. PERSON'!DP$17:DP$192),SUMIF('5. PERSON'!$D$17:$D$192,$C719,'5. PERSON'!AV$17:AV$192))</f>
        <v>0</v>
      </c>
      <c r="F722" s="610">
        <f>IF('2. START'!$C$14&gt;0,SUMIF('5. PERSON'!$D$17:$D$192,$C719,'5. PERSON'!DQ$17:DQ$192),SUMIF('5. PERSON'!$D$17:$D$192,$C719,'5. PERSON'!AW$17:AW$192))</f>
        <v>0</v>
      </c>
      <c r="G722" s="610">
        <f>IF('2. START'!$C$14&gt;0,SUMIF('5. PERSON'!$D$17:$D$192,$C719,'5. PERSON'!DR$17:DR$192),SUMIF('5. PERSON'!$D$17:$D$192,$C719,'5. PERSON'!AX$17:AX$192))</f>
        <v>0</v>
      </c>
      <c r="H722" s="610">
        <f>IF('2. START'!$C$14&gt;0,SUMIF('5. PERSON'!$D$17:$D$192,$C719,'5. PERSON'!DS$17:DS$192),SUMIF('5. PERSON'!$D$17:$D$192,$C719,'5. PERSON'!AY$17:AY$192))</f>
        <v>0</v>
      </c>
      <c r="I722" s="610">
        <f>IF('2. START'!$C$14&gt;0,SUMIF('5. PERSON'!$D$17:$D$192,$C719,'5. PERSON'!DT$17:DT$192),SUMIF('5. PERSON'!$D$17:$D$192,$C719,'5. PERSON'!AZ$17:AZ$192))</f>
        <v>0</v>
      </c>
      <c r="J722" s="610">
        <f>IF('2. START'!$C$14&gt;0,SUMIF('5. PERSON'!$D$17:$D$192,$C719,'5. PERSON'!DU$17:DU$192),SUMIF('5. PERSON'!$D$17:$D$192,$C719,'5. PERSON'!BA$17:BA$192))</f>
        <v>0</v>
      </c>
      <c r="K722" s="610">
        <f>IF('2. START'!$C$14&gt;0,SUMIF('5. PERSON'!$D$17:$D$192,$C719,'5. PERSON'!DV$17:DV$192),SUMIF('5. PERSON'!$D$17:$D$192,$C719,'5. PERSON'!BB$17:BB$192))</f>
        <v>0</v>
      </c>
      <c r="L722" s="610">
        <f>IF('2. START'!$C$14&gt;0,SUMIF('5. PERSON'!$D$17:$D$192,$C719,'5. PERSON'!DW$17:DW$192),SUMIF('5. PERSON'!$D$17:$D$192,$C719,'5. PERSON'!BC$17:BC$192))</f>
        <v>0</v>
      </c>
      <c r="M722" s="903">
        <f t="shared" ref="M722:M727" si="116">SUM(C722:L722)</f>
        <v>0</v>
      </c>
      <c r="O722" s="904"/>
    </row>
    <row r="723" spans="2:15" s="234" customFormat="1" ht="12.75" customHeight="1" x14ac:dyDescent="0.25">
      <c r="B723" s="377" t="str">
        <f>IF('1. INTRO'!I$2="English","Operating","Drift")</f>
        <v>Operating</v>
      </c>
      <c r="C723" s="615">
        <f>SUMIF('6. OPERATION'!$D$17:$D$149,$C719,'6. OPERATION'!W$17:W$149)</f>
        <v>0</v>
      </c>
      <c r="D723" s="615">
        <f>SUMIF('6. OPERATION'!$D$17:$D$149,$C719,'6. OPERATION'!X$17:X$149)</f>
        <v>0</v>
      </c>
      <c r="E723" s="615">
        <f>SUMIF('6. OPERATION'!$D$17:$D$149,$C719,'6. OPERATION'!Y$17:Y$149)</f>
        <v>0</v>
      </c>
      <c r="F723" s="615">
        <f>SUMIF('6. OPERATION'!$D$17:$D$149,$C719,'6. OPERATION'!Z$17:Z$149)</f>
        <v>0</v>
      </c>
      <c r="G723" s="615">
        <f>SUMIF('6. OPERATION'!$D$17:$D$149,$C719,'6. OPERATION'!AA$17:AA$149)</f>
        <v>0</v>
      </c>
      <c r="H723" s="615">
        <f>SUMIF('6. OPERATION'!$D$17:$D$149,$C719,'6. OPERATION'!AB$17:AB$149)</f>
        <v>0</v>
      </c>
      <c r="I723" s="615">
        <f>SUMIF('6. OPERATION'!$D$17:$D$149,$C719,'6. OPERATION'!AC$17:AC$149)</f>
        <v>0</v>
      </c>
      <c r="J723" s="615">
        <f>SUMIF('6. OPERATION'!$D$17:$D$149,$C719,'6. OPERATION'!AD$17:AD$149)</f>
        <v>0</v>
      </c>
      <c r="K723" s="615">
        <f>SUMIF('6. OPERATION'!$D$17:$D$149,$C719,'6. OPERATION'!AE$17:AE$149)</f>
        <v>0</v>
      </c>
      <c r="L723" s="615">
        <f>SUMIF('6. OPERATION'!$D$17:$D$149,$C719,'6. OPERATION'!AF$17:AF$149)</f>
        <v>0</v>
      </c>
      <c r="M723" s="905">
        <f t="shared" si="116"/>
        <v>0</v>
      </c>
    </row>
    <row r="724" spans="2:15" s="234" customFormat="1" ht="13.2" x14ac:dyDescent="0.25">
      <c r="B724" s="906" t="str">
        <f>IF('1. INTRO'!I$2="English","Equipment","Utrustning")</f>
        <v>Equipment</v>
      </c>
      <c r="C724" s="620">
        <f>SUMIF('7. INVEST'!$D$17:$D$49,$C719,'7. INVEST'!W$17:W$49)</f>
        <v>0</v>
      </c>
      <c r="D724" s="620">
        <f>SUMIF('7. INVEST'!$D$17:$D$49,$C719,'7. INVEST'!X$17:X$49)</f>
        <v>0</v>
      </c>
      <c r="E724" s="620">
        <f>SUMIF('7. INVEST'!$D$17:$D$49,$C719,'7. INVEST'!Y$17:Y$49)</f>
        <v>0</v>
      </c>
      <c r="F724" s="620">
        <f>SUMIF('7. INVEST'!$D$17:$D$49,$C719,'7. INVEST'!Z$17:Z$49)</f>
        <v>0</v>
      </c>
      <c r="G724" s="620">
        <f>SUMIF('7. INVEST'!$D$17:$D$49,$C719,'7. INVEST'!AA$17:AA$49)</f>
        <v>0</v>
      </c>
      <c r="H724" s="620">
        <f>SUMIF('7. INVEST'!$D$17:$D$49,$C719,'7. INVEST'!AB$17:AB$49)</f>
        <v>0</v>
      </c>
      <c r="I724" s="620">
        <f>SUMIF('7. INVEST'!$D$17:$D$49,$C719,'7. INVEST'!AC$17:AC$49)</f>
        <v>0</v>
      </c>
      <c r="J724" s="620">
        <f>SUMIF('7. INVEST'!$D$17:$D$49,$C719,'7. INVEST'!AD$17:AD$49)</f>
        <v>0</v>
      </c>
      <c r="K724" s="620">
        <f>SUMIF('7. INVEST'!$D$17:$D$49,$C719,'7. INVEST'!AE$17:AE$49)</f>
        <v>0</v>
      </c>
      <c r="L724" s="620">
        <f>SUMIF('7. INVEST'!$D$17:$D$49,$C719,'7. INVEST'!AF$17:AF$49)</f>
        <v>0</v>
      </c>
      <c r="M724" s="907">
        <f t="shared" si="116"/>
        <v>0</v>
      </c>
    </row>
    <row r="725" spans="2:15" s="234" customFormat="1" ht="13.2" x14ac:dyDescent="0.25">
      <c r="B725" s="121" t="str">
        <f>IF('1. INTRO'!I$2="English",(IF('2. START'!C$11="NO","Facility accepted as direct cost by funding body","Facility")),IF('2. START'!C$11="NO","Lokal accepterad som direkt kostnad av finansiär","Lokal"))</f>
        <v>Facility</v>
      </c>
      <c r="C725" s="615">
        <f>IF('2. START'!$C$11="NO",SUMIF('8. FACILIT'!$D$18:$D$50,$C719,'8. FACILIT'!T$18:T$50),SUMIF('5. PERSON'!$D$17:$D$192,$C719,'5. PERSON'!CP$17:CP$192)+SUMIF('6. OPERATION'!$D$17:$D$149,$C719,'6. OPERATION'!BS$17:BS$149)+SUMIF('8. FACILIT'!$D$18:$D$50,$C719,'8. FACILIT'!T$18:T$50))</f>
        <v>0</v>
      </c>
      <c r="D725" s="615">
        <f>IF('2. START'!$C$11="NO",SUMIF('8. FACILIT'!$D$18:$D$50,$C719,'8. FACILIT'!U$18:U$50),SUMIF('5. PERSON'!$D$17:$D$192,$C719,'5. PERSON'!CQ$17:CQ$192)+SUMIF('6. OPERATION'!$D$17:$D$149,$C719,'6. OPERATION'!BT$17:BT$149)+SUMIF('8. FACILIT'!$D$18:$D$50,$C719,'8. FACILIT'!U$18:U$50))</f>
        <v>0</v>
      </c>
      <c r="E725" s="615">
        <f>IF('2. START'!$C$11="NO",SUMIF('8. FACILIT'!$D$18:$D$50,$C719,'8. FACILIT'!V$18:V$50),SUMIF('5. PERSON'!$D$17:$D$192,$C719,'5. PERSON'!CR$17:CR$192)+SUMIF('6. OPERATION'!$D$17:$D$149,$C719,'6. OPERATION'!BU$17:BU$149)+SUMIF('8. FACILIT'!$D$18:$D$50,$C719,'8. FACILIT'!V$18:V$50))</f>
        <v>0</v>
      </c>
      <c r="F725" s="615">
        <f>IF('2. START'!$C$11="NO",SUMIF('8. FACILIT'!$D$18:$D$50,$C719,'8. FACILIT'!W$18:W$50),SUMIF('5. PERSON'!$D$17:$D$192,$C719,'5. PERSON'!CS$17:CS$192)+SUMIF('6. OPERATION'!$D$17:$D$149,$C719,'6. OPERATION'!BV$17:BV$149)+SUMIF('8. FACILIT'!$D$18:$D$50,$C719,'8. FACILIT'!W$18:W$50))</f>
        <v>0</v>
      </c>
      <c r="G725" s="615">
        <f>IF('2. START'!$C$11="NO",SUMIF('8. FACILIT'!$D$18:$D$50,$C719,'8. FACILIT'!X$18:X$50),SUMIF('5. PERSON'!$D$17:$D$192,$C719,'5. PERSON'!CT$17:CT$192)+SUMIF('6. OPERATION'!$D$17:$D$149,$C719,'6. OPERATION'!BW$17:BW$149)+SUMIF('8. FACILIT'!$D$18:$D$50,$C719,'8. FACILIT'!X$18:X$50))</f>
        <v>0</v>
      </c>
      <c r="H725" s="615">
        <f>IF('2. START'!$C$11="NO",SUMIF('8. FACILIT'!$D$18:$D$50,$C719,'8. FACILIT'!Y$18:Y$50),SUMIF('5. PERSON'!$D$17:$D$192,$C719,'5. PERSON'!CU$17:CU$192)+SUMIF('6. OPERATION'!$D$17:$D$149,$C719,'6. OPERATION'!BX$17:BX$149)+SUMIF('8. FACILIT'!$D$18:$D$50,$C719,'8. FACILIT'!Y$18:Y$50))</f>
        <v>0</v>
      </c>
      <c r="I725" s="615">
        <f>IF('2. START'!$C$11="NO",SUMIF('8. FACILIT'!$D$18:$D$50,$C719,'8. FACILIT'!Z$18:Z$50),SUMIF('5. PERSON'!$D$17:$D$192,$C719,'5. PERSON'!CV$17:CV$192)+SUMIF('6. OPERATION'!$D$17:$D$149,$C719,'6. OPERATION'!BY$17:BY$149)+SUMIF('8. FACILIT'!$D$18:$D$50,$C719,'8. FACILIT'!Z$18:Z$50))</f>
        <v>0</v>
      </c>
      <c r="J725" s="615">
        <f>IF('2. START'!$C$11="NO",SUMIF('8. FACILIT'!$D$18:$D$50,$C719,'8. FACILIT'!AA$18:AA$50),SUMIF('5. PERSON'!$D$17:$D$192,$C719,'5. PERSON'!CW$17:CW$192)+SUMIF('6. OPERATION'!$D$17:$D$149,$C719,'6. OPERATION'!BZ$17:BZ$149)+SUMIF('8. FACILIT'!$D$18:$D$50,$C719,'8. FACILIT'!AA$18:AA$50))</f>
        <v>0</v>
      </c>
      <c r="K725" s="615">
        <f>IF('2. START'!$C$11="NO",SUMIF('8. FACILIT'!$D$18:$D$50,$C719,'8. FACILIT'!AB$18:AB$50),SUMIF('5. PERSON'!$D$17:$D$192,$C719,'5. PERSON'!CX$17:CX$192)+SUMIF('6. OPERATION'!$D$17:$D$149,$C719,'6. OPERATION'!CA$17:CA$149)+SUMIF('8. FACILIT'!$D$18:$D$50,$C719,'8. FACILIT'!AB$18:AB$50))</f>
        <v>0</v>
      </c>
      <c r="L725" s="615">
        <f>IF('2. START'!$C$11="NO",SUMIF('8. FACILIT'!$D$18:$D$50,$C719,'8. FACILIT'!AC$18:AC$50),SUMIF('5. PERSON'!$D$17:$D$192,$C719,'5. PERSON'!CY$17:CY$192)+SUMIF('6. OPERATION'!$D$17:$D$149,$C719,'6. OPERATION'!CB$17:CB$149)+SUMIF('8. FACILIT'!$D$18:$D$50,$C719,'8. FACILIT'!AC$18:AC$50))</f>
        <v>0</v>
      </c>
      <c r="M725" s="905">
        <f t="shared" si="116"/>
        <v>0</v>
      </c>
    </row>
    <row r="726" spans="2:15" s="234" customFormat="1" ht="13.2" x14ac:dyDescent="0.25">
      <c r="B726" s="122" t="str">
        <f>IF('1. INTRO'!I$2="English",(IF('2. START'!C$11="NO","Indirect and facility charge accepted as OH by funding body","Indirect")),IF('2. START'!C$11="NO","Indirekt och lokalpåslag accepterade som OH av finansiär","Indirekt"))</f>
        <v>Indirect</v>
      </c>
      <c r="C726" s="584">
        <f>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584">
        <f>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584">
        <f>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584">
        <f>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584">
        <f>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584">
        <f>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584">
        <f>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584">
        <f>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584">
        <f>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584">
        <f>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908">
        <f t="shared" si="116"/>
        <v>0</v>
      </c>
    </row>
    <row r="727" spans="2:15" s="234" customFormat="1" ht="13.2" x14ac:dyDescent="0.25">
      <c r="B727" s="628" t="s">
        <v>113</v>
      </c>
      <c r="C727" s="443">
        <f>SUM(C722:C726)</f>
        <v>0</v>
      </c>
      <c r="D727" s="443">
        <f t="shared" ref="D727:L727" si="117">SUM(D722:D726)</f>
        <v>0</v>
      </c>
      <c r="E727" s="443">
        <f t="shared" si="117"/>
        <v>0</v>
      </c>
      <c r="F727" s="443">
        <f t="shared" si="117"/>
        <v>0</v>
      </c>
      <c r="G727" s="443">
        <f t="shared" si="117"/>
        <v>0</v>
      </c>
      <c r="H727" s="443">
        <f t="shared" si="117"/>
        <v>0</v>
      </c>
      <c r="I727" s="443">
        <f t="shared" si="117"/>
        <v>0</v>
      </c>
      <c r="J727" s="443">
        <f t="shared" si="117"/>
        <v>0</v>
      </c>
      <c r="K727" s="443">
        <f t="shared" si="117"/>
        <v>0</v>
      </c>
      <c r="L727" s="443">
        <f t="shared" si="117"/>
        <v>0</v>
      </c>
      <c r="M727" s="630">
        <f t="shared" si="116"/>
        <v>0</v>
      </c>
    </row>
    <row r="728" spans="2:15" s="234" customFormat="1" ht="6" customHeight="1" x14ac:dyDescent="0.25">
      <c r="B728" s="909"/>
      <c r="C728" s="127"/>
      <c r="D728" s="127"/>
      <c r="E728" s="127"/>
      <c r="F728" s="127"/>
      <c r="G728" s="127"/>
      <c r="H728" s="127"/>
      <c r="I728" s="127"/>
      <c r="J728" s="127"/>
      <c r="K728" s="127"/>
      <c r="L728" s="127"/>
      <c r="M728" s="633"/>
    </row>
    <row r="729" spans="2:15" s="234" customFormat="1" ht="13.2" x14ac:dyDescent="0.25">
      <c r="B729" s="129" t="str">
        <f>IF('1. INTRO'!I$2="English","Costs to be co-funded","Kostnader att medfinansiera")</f>
        <v>Costs to be co-funded</v>
      </c>
      <c r="C729" s="634"/>
      <c r="D729" s="634"/>
      <c r="E729" s="634"/>
      <c r="F729" s="634"/>
      <c r="G729" s="634"/>
      <c r="H729" s="634"/>
      <c r="I729" s="634"/>
      <c r="J729" s="634"/>
      <c r="K729" s="634"/>
      <c r="L729" s="634"/>
      <c r="M729" s="129"/>
    </row>
    <row r="730" spans="2:15" s="234" customFormat="1" ht="13.2" x14ac:dyDescent="0.25">
      <c r="B730" s="159" t="str">
        <f>IF('1. INTRO'!I$2="English",(IF('2. START'!C$11="NO","Indirect and facility charge not accepted as OH by funding body","")),IF('2. START'!C$11="NO","Indirekt och lokalpåslag inte accepterade som OH av finansiär",""))</f>
        <v/>
      </c>
      <c r="C730" s="910">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910">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910">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910">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910">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910">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910">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910">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910">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910">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903">
        <f t="shared" ref="M730:M736" si="118">SUM(C730:L730)</f>
        <v>0</v>
      </c>
    </row>
    <row r="731" spans="2:15" s="234" customFormat="1" ht="12.75" customHeight="1" x14ac:dyDescent="0.25">
      <c r="B731" s="132" t="str">
        <f>IF('1. INTRO'!I$2="English",(IF('2. START'!C$14&gt;0,"Social costs (LKP) not accepted by funding body","")),IF('2. START'!C$14&gt;0,"LKP som inte accepteras av finansiär",""))</f>
        <v/>
      </c>
      <c r="C731" s="911">
        <f>IF('2. START'!$C$14&gt;0,SUMIF('5. PERSON'!$D$17:$D$192,$C719,'5. PERSON'!AT$17:AT$192)-SUMIF('5. PERSON'!$D$17:$D$192,$C719,'5. PERSON'!DN$17:DN$192),0)</f>
        <v>0</v>
      </c>
      <c r="D731" s="911">
        <f>IF('2. START'!$C$14&gt;0,SUMIF('5. PERSON'!$D$17:$D$192,$C719,'5. PERSON'!AU$17:AU$192)-SUMIF('5. PERSON'!$D$17:$D$192,$C719,'5. PERSON'!DO$17:DO$192),0)</f>
        <v>0</v>
      </c>
      <c r="E731" s="911">
        <f>IF('2. START'!$C$14&gt;0,SUMIF('5. PERSON'!$D$17:$D$192,$C719,'5. PERSON'!AV$17:AV$192)-SUMIF('5. PERSON'!$D$17:$D$192,$C719,'5. PERSON'!DP$17:DP$192),0)</f>
        <v>0</v>
      </c>
      <c r="F731" s="911">
        <f>IF('2. START'!$C$14&gt;0,SUMIF('5. PERSON'!$D$17:$D$192,$C719,'5. PERSON'!AW$17:AW$192)-SUMIF('5. PERSON'!$D$17:$D$192,$C719,'5. PERSON'!DQ$17:DQ$192),0)</f>
        <v>0</v>
      </c>
      <c r="G731" s="911">
        <f>IF('2. START'!$C$14&gt;0,SUMIF('5. PERSON'!$D$17:$D$192,$C719,'5. PERSON'!AX$17:AX$192)-SUMIF('5. PERSON'!$D$17:$D$192,$C719,'5. PERSON'!DR$17:DR$192),0)</f>
        <v>0</v>
      </c>
      <c r="H731" s="911">
        <f>IF('2. START'!$C$14&gt;0,SUMIF('5. PERSON'!$D$17:$D$192,$C719,'5. PERSON'!AY$17:AY$192)-SUMIF('5. PERSON'!$D$17:$D$192,$C719,'5. PERSON'!DS$17:DS$192),0)</f>
        <v>0</v>
      </c>
      <c r="I731" s="911">
        <f>IF('2. START'!$C$14&gt;0,SUMIF('5. PERSON'!$D$17:$D$192,$C719,'5. PERSON'!AZ$17:AZ$192)-SUMIF('5. PERSON'!$D$17:$D$192,$C719,'5. PERSON'!DT$17:DT$192),0)</f>
        <v>0</v>
      </c>
      <c r="J731" s="911">
        <f>IF('2. START'!$C$14&gt;0,SUMIF('5. PERSON'!$D$17:$D$192,$C719,'5. PERSON'!BA$17:BA$192)-SUMIF('5. PERSON'!$D$17:$D$192,$C719,'5. PERSON'!DU$17:DU$192),0)</f>
        <v>0</v>
      </c>
      <c r="K731" s="911">
        <f>IF('2. START'!$C$14&gt;0,SUMIF('5. PERSON'!$D$17:$D$192,$C719,'5. PERSON'!BB$17:BB$192)-SUMIF('5. PERSON'!$D$17:$D$192,$C719,'5. PERSON'!DV$17:DV$192),0)</f>
        <v>0</v>
      </c>
      <c r="L731" s="911">
        <f>IF('2. START'!$C$14&gt;0,SUMIF('5. PERSON'!$D$17:$D$192,$C719,'5. PERSON'!BC$17:BC$192)-SUMIF('5. PERSON'!$D$17:$D$192,$C719,'5. PERSON'!DW$17:DW$192),0)</f>
        <v>0</v>
      </c>
      <c r="M731" s="905">
        <f t="shared" si="118"/>
        <v>0</v>
      </c>
    </row>
    <row r="732" spans="2:15" s="234" customFormat="1" ht="12.75" customHeight="1" x14ac:dyDescent="0.25">
      <c r="B732" s="906" t="str">
        <f>IF('1. INTRO'!I$2="English",(IF('5. PERSON'!BP$193&gt;0,"Salary including social costs (LKP)","")),IF('5. PERSON'!BP$193&gt;0,"Lön inklusive LKP",""))</f>
        <v/>
      </c>
      <c r="C732" s="622">
        <f>SUMIF('5. PERSON'!$D$17:$D$192,$C719,'5. PERSON'!BF$17:BF$192)</f>
        <v>0</v>
      </c>
      <c r="D732" s="622">
        <f>SUMIF('5. PERSON'!$D$17:$D$192,$C719,'5. PERSON'!BG$17:BG$192)</f>
        <v>0</v>
      </c>
      <c r="E732" s="622">
        <f>SUMIF('5. PERSON'!$D$17:$D$192,$C719,'5. PERSON'!BH$17:BH$192)</f>
        <v>0</v>
      </c>
      <c r="F732" s="622">
        <f>SUMIF('5. PERSON'!$D$17:$D$192,$C719,'5. PERSON'!BI$17:BI$192)</f>
        <v>0</v>
      </c>
      <c r="G732" s="622">
        <f>SUMIF('5. PERSON'!$D$17:$D$192,$C719,'5. PERSON'!BJ$17:BJ$192)</f>
        <v>0</v>
      </c>
      <c r="H732" s="622">
        <f>SUMIF('5. PERSON'!$D$17:$D$192,$C719,'5. PERSON'!BK$17:BK$192)</f>
        <v>0</v>
      </c>
      <c r="I732" s="622">
        <f>SUMIF('5. PERSON'!$D$17:$D$192,$C719,'5. PERSON'!BL$17:BL$192)</f>
        <v>0</v>
      </c>
      <c r="J732" s="622">
        <f>SUMIF('5. PERSON'!$D$17:$D$192,$C719,'5. PERSON'!BM$17:BM$192)</f>
        <v>0</v>
      </c>
      <c r="K732" s="622">
        <f>SUMIF('5. PERSON'!$D$17:$D$192,$C719,'5. PERSON'!BN$17:BN$192)</f>
        <v>0</v>
      </c>
      <c r="L732" s="622">
        <f>SUMIF('5. PERSON'!$D$17:$D$192,$C719,'5. PERSON'!BO$17:BO$192)</f>
        <v>0</v>
      </c>
      <c r="M732" s="907">
        <f t="shared" si="118"/>
        <v>0</v>
      </c>
    </row>
    <row r="733" spans="2:15" s="234" customFormat="1" ht="13.2" x14ac:dyDescent="0.25">
      <c r="B733" s="377" t="str">
        <f>IF('1. INTRO'!I$2="English",(IF('6. OPERATION'!AS$150&gt;0,"Operating","")),IF('6. OPERATION'!AS$150&gt;0,"Drift",""))</f>
        <v/>
      </c>
      <c r="C733" s="617">
        <f>SUMIF('6. OPERATION'!$D$17:$D$149,$C719,'6. OPERATION'!AI$17:AI$149)</f>
        <v>0</v>
      </c>
      <c r="D733" s="617">
        <f>SUMIF('6. OPERATION'!$D$17:$D$149,$C719,'6. OPERATION'!AJ$17:AJ$149)</f>
        <v>0</v>
      </c>
      <c r="E733" s="617">
        <f>SUMIF('6. OPERATION'!$D$17:$D$149,$C719,'6. OPERATION'!AK$17:AK$149)</f>
        <v>0</v>
      </c>
      <c r="F733" s="617">
        <f>SUMIF('6. OPERATION'!$D$17:$D$149,$C719,'6. OPERATION'!AL$17:AL$149)</f>
        <v>0</v>
      </c>
      <c r="G733" s="617">
        <f>SUMIF('6. OPERATION'!$D$17:$D$149,$C719,'6. OPERATION'!AM$17:AM$149)</f>
        <v>0</v>
      </c>
      <c r="H733" s="617">
        <f>SUMIF('6. OPERATION'!$D$17:$D$149,$C719,'6. OPERATION'!AN$17:AN$149)</f>
        <v>0</v>
      </c>
      <c r="I733" s="617">
        <f>SUMIF('6. OPERATION'!$D$17:$D$149,$C719,'6. OPERATION'!AO$17:AO$149)</f>
        <v>0</v>
      </c>
      <c r="J733" s="617">
        <f>SUMIF('6. OPERATION'!$D$17:$D$149,$C719,'6. OPERATION'!AP$17:AP$149)</f>
        <v>0</v>
      </c>
      <c r="K733" s="617">
        <f>SUMIF('6. OPERATION'!$D$17:$D$149,$C719,'6. OPERATION'!AQ$17:AQ$149)</f>
        <v>0</v>
      </c>
      <c r="L733" s="617">
        <f>SUMIF('6. OPERATION'!$D$17:$D$149,$C719,'6. OPERATION'!AR$17:AR$149)</f>
        <v>0</v>
      </c>
      <c r="M733" s="905">
        <f t="shared" si="118"/>
        <v>0</v>
      </c>
    </row>
    <row r="734" spans="2:15" s="234" customFormat="1" ht="13.2" x14ac:dyDescent="0.25">
      <c r="B734" s="906" t="str">
        <f>IF('1. INTRO'!I$2="English",(IF('7. INVEST'!AS$50&gt;0,"Equipment","")),IF('7. INVEST'!AS$50&gt;0,"Utrustning",""))</f>
        <v/>
      </c>
      <c r="C734" s="622">
        <f>SUMIF('7. INVEST'!$D$17:$D$49,$C719,'7. INVEST'!AI$17:AI$49)</f>
        <v>0</v>
      </c>
      <c r="D734" s="622">
        <f>SUMIF('7. INVEST'!$D$17:$D$49,$C719,'7. INVEST'!AJ$17:AJ$49)</f>
        <v>0</v>
      </c>
      <c r="E734" s="622">
        <f>SUMIF('7. INVEST'!$D$17:$D$49,$C719,'7. INVEST'!AK$17:AK$49)</f>
        <v>0</v>
      </c>
      <c r="F734" s="622">
        <f>SUMIF('7. INVEST'!$D$17:$D$49,$C719,'7. INVEST'!AL$17:AL$49)</f>
        <v>0</v>
      </c>
      <c r="G734" s="622">
        <f>SUMIF('7. INVEST'!$D$17:$D$49,$C719,'7. INVEST'!AM$17:AM$49)</f>
        <v>0</v>
      </c>
      <c r="H734" s="622">
        <f>SUMIF('7. INVEST'!$D$17:$D$49,$C719,'7. INVEST'!AN$17:AN$49)</f>
        <v>0</v>
      </c>
      <c r="I734" s="622">
        <f>SUMIF('7. INVEST'!$D$17:$D$49,$C719,'7. INVEST'!AO$17:AO$49)</f>
        <v>0</v>
      </c>
      <c r="J734" s="622">
        <f>SUMIF('7. INVEST'!$D$17:$D$49,$C719,'7. INVEST'!AP$17:AP$49)</f>
        <v>0</v>
      </c>
      <c r="K734" s="622">
        <f>SUMIF('7. INVEST'!$D$17:$D$49,$C719,'7. INVEST'!AQ$17:AQ$49)</f>
        <v>0</v>
      </c>
      <c r="L734" s="622">
        <f>SUMIF('7. INVEST'!$D$17:$D$49,$C719,'7. INVEST'!AR$17:AR$49)</f>
        <v>0</v>
      </c>
      <c r="M734" s="907">
        <f t="shared" si="118"/>
        <v>0</v>
      </c>
    </row>
    <row r="735" spans="2:15" s="234" customFormat="1" ht="13.2" x14ac:dyDescent="0.25">
      <c r="B735" s="121" t="str">
        <f>IF('1. INTRO'!I$2="English",(IF('8. FACILIT'!AP$51&gt;0,"Facility","")),IF('8. FACILIT'!AP$51&gt;0,"Lokal",""))</f>
        <v/>
      </c>
      <c r="C735" s="617">
        <f>SUMIF('5. PERSON'!$D$17:$D$192,$C719,'5. PERSON'!DB$17:DB$192)+SUMIF('6. OPERATION'!$D$17:$D$149,$C719,'6. OPERATION'!CE$17:CE$149)+SUMIF('8. FACILIT'!$D$18:$D$50,$C719,'8. FACILIT'!AF$18:AF$50)</f>
        <v>0</v>
      </c>
      <c r="D735" s="617">
        <f>SUMIF('5. PERSON'!$D$17:$D$192,$C719,'5. PERSON'!DC$17:DC$192)+SUMIF('6. OPERATION'!$D$17:$D$149,$C719,'6. OPERATION'!CF$17:CF$149)+SUMIF('8. FACILIT'!$D$18:$D$50,$C719,'8. FACILIT'!AG$18:AG$50)</f>
        <v>0</v>
      </c>
      <c r="E735" s="617">
        <f>SUMIF('5. PERSON'!$D$17:$D$192,$C719,'5. PERSON'!DD$17:DD$192)+SUMIF('6. OPERATION'!$D$17:$D$149,$C719,'6. OPERATION'!CG$17:CG$149)+SUMIF('8. FACILIT'!$D$18:$D$50,$C719,'8. FACILIT'!AH$18:AH$50)</f>
        <v>0</v>
      </c>
      <c r="F735" s="617">
        <f>SUMIF('5. PERSON'!$D$17:$D$192,$C719,'5. PERSON'!DE$17:DE$192)+SUMIF('6. OPERATION'!$D$17:$D$149,$C719,'6. OPERATION'!CH$17:CH$149)+SUMIF('8. FACILIT'!$D$18:$D$50,$C719,'8. FACILIT'!AI$18:AI$50)</f>
        <v>0</v>
      </c>
      <c r="G735" s="617">
        <f>SUMIF('5. PERSON'!$D$17:$D$192,$C719,'5. PERSON'!DF$17:DF$192)+SUMIF('6. OPERATION'!$D$17:$D$149,$C719,'6. OPERATION'!CI$17:CI$149)+SUMIF('8. FACILIT'!$D$18:$D$50,$C719,'8. FACILIT'!AJ$18:AJ$50)</f>
        <v>0</v>
      </c>
      <c r="H735" s="617">
        <f>SUMIF('5. PERSON'!$D$17:$D$192,$C719,'5. PERSON'!DG$17:DG$192)+SUMIF('6. OPERATION'!$D$17:$D$149,$C719,'6. OPERATION'!CJ$17:CJ$149)+SUMIF('8. FACILIT'!$D$18:$D$50,$C719,'8. FACILIT'!AK$18:AK$50)</f>
        <v>0</v>
      </c>
      <c r="I735" s="617">
        <f>SUMIF('5. PERSON'!$D$17:$D$192,$C719,'5. PERSON'!DH$17:DH$192)+SUMIF('6. OPERATION'!$D$17:$D$149,$C719,'6. OPERATION'!CK$17:CK$149)+SUMIF('8. FACILIT'!$D$18:$D$50,$C719,'8. FACILIT'!AL$18:AL$50)</f>
        <v>0</v>
      </c>
      <c r="J735" s="617">
        <f>SUMIF('5. PERSON'!$D$17:$D$192,$C719,'5. PERSON'!DI$17:DI$192)+SUMIF('6. OPERATION'!$D$17:$D$149,$C719,'6. OPERATION'!CL$17:CL$149)+SUMIF('8. FACILIT'!$D$18:$D$50,$C719,'8. FACILIT'!AM$18:AM$50)</f>
        <v>0</v>
      </c>
      <c r="K735" s="617">
        <f>SUMIF('5. PERSON'!$D$17:$D$192,$C719,'5. PERSON'!DJ$17:DJ$192)+SUMIF('6. OPERATION'!$D$17:$D$149,$C719,'6. OPERATION'!CM$17:CM$149)+SUMIF('8. FACILIT'!$D$18:$D$50,$C719,'8. FACILIT'!AN$18:AN$50)</f>
        <v>0</v>
      </c>
      <c r="L735" s="617">
        <f>SUMIF('5. PERSON'!$D$17:$D$192,$C719,'5. PERSON'!DK$17:DK$192)+SUMIF('6. OPERATION'!$D$17:$D$149,$C719,'6. OPERATION'!CN$17:CN$149)+SUMIF('8. FACILIT'!$D$18:$D$50,$C719,'8. FACILIT'!AO$18:AO$50)</f>
        <v>0</v>
      </c>
      <c r="M735" s="905">
        <f t="shared" si="118"/>
        <v>0</v>
      </c>
    </row>
    <row r="736" spans="2:15" s="912" customFormat="1" ht="13.2" x14ac:dyDescent="0.25">
      <c r="B736" s="122" t="str">
        <f>IF('1. INTRO'!I$2="English",(IF(('5. PERSON'!CN$193+'6. OPERATION'!BQ$150)&gt;0,"Indirect","")),IF(('5. PERSON'!CN$193+'6. OPERATION'!BQ$150)&gt;0,"Indirekt",""))</f>
        <v/>
      </c>
      <c r="C736" s="584">
        <f>SUMIF('5. PERSON'!$D$17:$D$192,$C719,'5. PERSON'!CD$17:CD$192)+SUMIF('6. OPERATION'!$D$17:$D$149,$C719,'6. OPERATION'!BG$17:BG$149)</f>
        <v>0</v>
      </c>
      <c r="D736" s="584">
        <f>SUMIF('5. PERSON'!$D$17:$D$192,$C719,'5. PERSON'!CE$17:CE$192)+SUMIF('6. OPERATION'!$D$17:$D$149,$C719,'6. OPERATION'!BH$17:BH$149)</f>
        <v>0</v>
      </c>
      <c r="E736" s="584">
        <f>SUMIF('5. PERSON'!$D$17:$D$192,$C719,'5. PERSON'!CF$17:CF$192)+SUMIF('6. OPERATION'!$D$17:$D$149,$C719,'6. OPERATION'!BI$17:BI$149)</f>
        <v>0</v>
      </c>
      <c r="F736" s="584">
        <f>SUMIF('5. PERSON'!$D$17:$D$192,$C719,'5. PERSON'!CG$17:CG$192)+SUMIF('6. OPERATION'!$D$17:$D$149,$C719,'6. OPERATION'!BJ$17:BJ$149)</f>
        <v>0</v>
      </c>
      <c r="G736" s="584">
        <f>SUMIF('5. PERSON'!$D$17:$D$192,$C719,'5. PERSON'!CH$17:CH$192)+SUMIF('6. OPERATION'!$D$17:$D$149,$C719,'6. OPERATION'!BK$17:BK$149)</f>
        <v>0</v>
      </c>
      <c r="H736" s="584">
        <f>SUMIF('5. PERSON'!$D$17:$D$192,$C719,'5. PERSON'!CI$17:CI$192)+SUMIF('6. OPERATION'!$D$17:$D$149,$C719,'6. OPERATION'!BL$17:BL$149)</f>
        <v>0</v>
      </c>
      <c r="I736" s="584">
        <f>SUMIF('5. PERSON'!$D$17:$D$192,$C719,'5. PERSON'!CJ$17:CJ$192)+SUMIF('6. OPERATION'!$D$17:$D$149,$C719,'6. OPERATION'!BM$17:BM$149)</f>
        <v>0</v>
      </c>
      <c r="J736" s="584">
        <f>SUMIF('5. PERSON'!$D$17:$D$192,$C719,'5. PERSON'!CK$17:CK$192)+SUMIF('6. OPERATION'!$D$17:$D$149,$C719,'6. OPERATION'!BN$17:BN$149)</f>
        <v>0</v>
      </c>
      <c r="K736" s="584">
        <f>SUMIF('5. PERSON'!$D$17:$D$192,$C719,'5. PERSON'!CL$17:CL$192)+SUMIF('6. OPERATION'!$D$17:$D$149,$C719,'6. OPERATION'!BO$17:BO$149)</f>
        <v>0</v>
      </c>
      <c r="L736" s="584">
        <f>SUMIF('5. PERSON'!$D$17:$D$192,$C719,'5. PERSON'!CM$17:CM$192)+SUMIF('6. OPERATION'!$D$17:$D$149,$C719,'6. OPERATION'!BP$17:BP$149)</f>
        <v>0</v>
      </c>
      <c r="M736" s="908">
        <f t="shared" si="118"/>
        <v>0</v>
      </c>
    </row>
    <row r="737" spans="2:15" s="234" customFormat="1" ht="13.2" x14ac:dyDescent="0.25">
      <c r="B737" s="628" t="s">
        <v>113</v>
      </c>
      <c r="C737" s="443">
        <f>SUM(C730:C736)</f>
        <v>0</v>
      </c>
      <c r="D737" s="443">
        <f t="shared" ref="D737:M737" si="119">SUM(D730:D736)</f>
        <v>0</v>
      </c>
      <c r="E737" s="443">
        <f t="shared" si="119"/>
        <v>0</v>
      </c>
      <c r="F737" s="443">
        <f t="shared" si="119"/>
        <v>0</v>
      </c>
      <c r="G737" s="443">
        <f t="shared" si="119"/>
        <v>0</v>
      </c>
      <c r="H737" s="443">
        <f t="shared" si="119"/>
        <v>0</v>
      </c>
      <c r="I737" s="443">
        <f t="shared" si="119"/>
        <v>0</v>
      </c>
      <c r="J737" s="443">
        <f t="shared" si="119"/>
        <v>0</v>
      </c>
      <c r="K737" s="443">
        <f t="shared" si="119"/>
        <v>0</v>
      </c>
      <c r="L737" s="443">
        <f t="shared" si="119"/>
        <v>0</v>
      </c>
      <c r="M737" s="630">
        <f t="shared" si="119"/>
        <v>0</v>
      </c>
      <c r="N737" s="913"/>
      <c r="O737" s="913"/>
    </row>
    <row r="738" spans="2:15" s="234" customFormat="1" ht="6" customHeight="1" x14ac:dyDescent="0.25">
      <c r="B738" s="914"/>
      <c r="C738" s="127"/>
      <c r="D738" s="127"/>
      <c r="E738" s="127"/>
      <c r="F738" s="127"/>
      <c r="G738" s="127"/>
      <c r="H738" s="127"/>
      <c r="I738" s="127"/>
      <c r="J738" s="127"/>
      <c r="K738" s="127"/>
      <c r="L738" s="127"/>
      <c r="M738" s="636"/>
    </row>
    <row r="739" spans="2:15" s="234" customFormat="1" ht="13.2" x14ac:dyDescent="0.25">
      <c r="B739" s="129" t="str">
        <f>IF('1. INTRO'!I$2="English","Full cost","Full kostnad")</f>
        <v>Full cost</v>
      </c>
      <c r="C739" s="127"/>
      <c r="D739" s="127"/>
      <c r="E739" s="127"/>
      <c r="F739" s="127"/>
      <c r="G739" s="127"/>
      <c r="H739" s="127"/>
      <c r="I739" s="127"/>
      <c r="J739" s="127"/>
      <c r="K739" s="127"/>
      <c r="L739" s="127"/>
      <c r="M739" s="636"/>
    </row>
    <row r="740" spans="2:15" s="234" customFormat="1" ht="13.2" x14ac:dyDescent="0.25">
      <c r="B740" s="902" t="str">
        <f>IF('1. INTRO'!I$2="English","Salary including social costs (LKP)","Lön inklusive LKP")</f>
        <v>Salary including social costs (LKP)</v>
      </c>
      <c r="C740" s="138">
        <f>C722+C731+C732</f>
        <v>0</v>
      </c>
      <c r="D740" s="138">
        <f t="shared" ref="D740:L740" si="120">D722+D731+D732</f>
        <v>0</v>
      </c>
      <c r="E740" s="138">
        <f t="shared" si="120"/>
        <v>0</v>
      </c>
      <c r="F740" s="138">
        <f t="shared" si="120"/>
        <v>0</v>
      </c>
      <c r="G740" s="138">
        <f t="shared" si="120"/>
        <v>0</v>
      </c>
      <c r="H740" s="138">
        <f t="shared" si="120"/>
        <v>0</v>
      </c>
      <c r="I740" s="138">
        <f t="shared" si="120"/>
        <v>0</v>
      </c>
      <c r="J740" s="138">
        <f t="shared" si="120"/>
        <v>0</v>
      </c>
      <c r="K740" s="138">
        <f t="shared" si="120"/>
        <v>0</v>
      </c>
      <c r="L740" s="138">
        <f t="shared" si="120"/>
        <v>0</v>
      </c>
      <c r="M740" s="903">
        <f>SUM(C740:L740)</f>
        <v>0</v>
      </c>
    </row>
    <row r="741" spans="2:15" s="234" customFormat="1" ht="13.2" x14ac:dyDescent="0.25">
      <c r="B741" s="377" t="str">
        <f>IF('1. INTRO'!I$2="English","Operating","Drift")</f>
        <v>Operating</v>
      </c>
      <c r="C741" s="139">
        <f>C723+C733</f>
        <v>0</v>
      </c>
      <c r="D741" s="139">
        <f t="shared" ref="D741:L741" si="121">D723+D733</f>
        <v>0</v>
      </c>
      <c r="E741" s="139">
        <f t="shared" si="121"/>
        <v>0</v>
      </c>
      <c r="F741" s="139">
        <f t="shared" si="121"/>
        <v>0</v>
      </c>
      <c r="G741" s="139">
        <f t="shared" si="121"/>
        <v>0</v>
      </c>
      <c r="H741" s="139">
        <f t="shared" si="121"/>
        <v>0</v>
      </c>
      <c r="I741" s="139">
        <f t="shared" si="121"/>
        <v>0</v>
      </c>
      <c r="J741" s="139">
        <f t="shared" si="121"/>
        <v>0</v>
      </c>
      <c r="K741" s="139">
        <f t="shared" si="121"/>
        <v>0</v>
      </c>
      <c r="L741" s="139">
        <f t="shared" si="121"/>
        <v>0</v>
      </c>
      <c r="M741" s="905">
        <f>SUM(C741:L741)</f>
        <v>0</v>
      </c>
    </row>
    <row r="742" spans="2:15" s="234" customFormat="1" ht="13.2" x14ac:dyDescent="0.25">
      <c r="B742" s="906" t="str">
        <f>IF('1. INTRO'!I$2="English","Equipment","Utrustning")</f>
        <v>Equipment</v>
      </c>
      <c r="C742" s="140">
        <f>C724+C734</f>
        <v>0</v>
      </c>
      <c r="D742" s="140">
        <f t="shared" ref="D742:L742" si="122">D724+D734</f>
        <v>0</v>
      </c>
      <c r="E742" s="140">
        <f t="shared" si="122"/>
        <v>0</v>
      </c>
      <c r="F742" s="140">
        <f t="shared" si="122"/>
        <v>0</v>
      </c>
      <c r="G742" s="140">
        <f t="shared" si="122"/>
        <v>0</v>
      </c>
      <c r="H742" s="140">
        <f t="shared" si="122"/>
        <v>0</v>
      </c>
      <c r="I742" s="140">
        <f t="shared" si="122"/>
        <v>0</v>
      </c>
      <c r="J742" s="140">
        <f t="shared" si="122"/>
        <v>0</v>
      </c>
      <c r="K742" s="140">
        <f t="shared" si="122"/>
        <v>0</v>
      </c>
      <c r="L742" s="140">
        <f t="shared" si="122"/>
        <v>0</v>
      </c>
      <c r="M742" s="907">
        <f>SUM(C742:L742)</f>
        <v>0</v>
      </c>
    </row>
    <row r="743" spans="2:15" s="234" customFormat="1" ht="13.2" x14ac:dyDescent="0.25">
      <c r="B743" s="377" t="str">
        <f>IF('1. INTRO'!I$2="English","Facility","Lokal")</f>
        <v>Facility</v>
      </c>
      <c r="C743" s="139">
        <f>SUMIF('5. PERSON'!$D$17:$D$192,$C719,'5. PERSON'!CP$17:CP$192)+SUMIF('5. PERSON'!$D$17:$D$192,$C719,'5. PERSON'!DB$17:DB$192)+SUMIF('6. OPERATION'!$D$17:$D$149,$C719,'6. OPERATION'!BS$17:BS$149)+SUMIF('6. OPERATION'!$D$17:$D$149,$C719,'6. OPERATION'!CE$17:CE$149)+SUMIF('8. FACILIT'!$D$18:$D$50,$C719,'8. FACILIT'!T$18:T$50)+SUMIF('8. FACILIT'!$D$18:$D$50,$C719,'8. FACILIT'!AF$18:AF$50)</f>
        <v>0</v>
      </c>
      <c r="D743" s="139">
        <f>SUMIF('5. PERSON'!$D$17:$D$192,$C719,'5. PERSON'!CQ$17:CQ$192)+SUMIF('5. PERSON'!$D$17:$D$192,$C719,'5. PERSON'!DC$17:DC$192)+SUMIF('6. OPERATION'!$D$17:$D$149,$C719,'6. OPERATION'!BT$17:BT$149)+SUMIF('6. OPERATION'!$D$17:$D$149,$C719,'6. OPERATION'!CF$17:CF$149)+SUMIF('8. FACILIT'!$D$18:$D$50,$C719,'8. FACILIT'!U$18:U$50)+SUMIF('8. FACILIT'!$D$18:$D$50,$C719,'8. FACILIT'!AG$18:AG$50)</f>
        <v>0</v>
      </c>
      <c r="E743" s="139">
        <f>SUMIF('5. PERSON'!$D$17:$D$192,$C719,'5. PERSON'!CR$17:CR$192)+SUMIF('5. PERSON'!$D$17:$D$192,$C719,'5. PERSON'!DD$17:DD$192)+SUMIF('6. OPERATION'!$D$17:$D$149,$C719,'6. OPERATION'!BU$17:BU$149)+SUMIF('6. OPERATION'!$D$17:$D$149,$C719,'6. OPERATION'!CG$17:CG$149)+SUMIF('8. FACILIT'!$D$18:$D$50,$C719,'8. FACILIT'!V$18:V$50)+SUMIF('8. FACILIT'!$D$18:$D$50,$C719,'8. FACILIT'!AH$18:AH$50)</f>
        <v>0</v>
      </c>
      <c r="F743" s="139">
        <f>SUMIF('5. PERSON'!$D$17:$D$192,$C719,'5. PERSON'!CS$17:CS$192)+SUMIF('5. PERSON'!$D$17:$D$192,$C719,'5. PERSON'!DE$17:DE$192)+SUMIF('6. OPERATION'!$D$17:$D$149,$C719,'6. OPERATION'!BV$17:BV$149)+SUMIF('6. OPERATION'!$D$17:$D$149,$C719,'6. OPERATION'!CH$17:CH$149)+SUMIF('8. FACILIT'!$D$18:$D$50,$C719,'8. FACILIT'!W$18:W$50)+SUMIF('8. FACILIT'!$D$18:$D$50,$C719,'8. FACILIT'!AI$18:AI$50)</f>
        <v>0</v>
      </c>
      <c r="G743" s="139">
        <f>SUMIF('5. PERSON'!$D$17:$D$192,$C719,'5. PERSON'!CT$17:CT$192)+SUMIF('5. PERSON'!$D$17:$D$192,$C719,'5. PERSON'!DF$17:DF$192)+SUMIF('6. OPERATION'!$D$17:$D$149,$C719,'6. OPERATION'!BW$17:BW$149)+SUMIF('6. OPERATION'!$D$17:$D$149,$C719,'6. OPERATION'!CI$17:CI$149)+SUMIF('8. FACILIT'!$D$18:$D$50,$C719,'8. FACILIT'!X$18:X$50)+SUMIF('8. FACILIT'!$D$18:$D$50,$C719,'8. FACILIT'!AJ$18:AJ$50)</f>
        <v>0</v>
      </c>
      <c r="H743" s="139">
        <f>SUMIF('5. PERSON'!$D$17:$D$192,$C719,'5. PERSON'!CU$17:CU$192)+SUMIF('5. PERSON'!$D$17:$D$192,$C719,'5. PERSON'!DG$17:DG$192)+SUMIF('6. OPERATION'!$D$17:$D$149,$C719,'6. OPERATION'!BX$17:BX$149)+SUMIF('6. OPERATION'!$D$17:$D$149,$C719,'6. OPERATION'!CJ$17:CJ$149)+SUMIF('8. FACILIT'!$D$18:$D$50,$C719,'8. FACILIT'!Y$18:Y$50)+SUMIF('8. FACILIT'!$D$18:$D$50,$C719,'8. FACILIT'!AK$18:AK$50)</f>
        <v>0</v>
      </c>
      <c r="I743" s="139">
        <f>SUMIF('5. PERSON'!$D$17:$D$192,$C719,'5. PERSON'!CV$17:CV$192)+SUMIF('5. PERSON'!$D$17:$D$192,$C719,'5. PERSON'!DH$17:DH$192)+SUMIF('6. OPERATION'!$D$17:$D$149,$C719,'6. OPERATION'!BY$17:BY$149)+SUMIF('6. OPERATION'!$D$17:$D$149,$C719,'6. OPERATION'!CK$17:CK$149)+SUMIF('8. FACILIT'!$D$18:$D$50,$C719,'8. FACILIT'!Z$18:Z$50)+SUMIF('8. FACILIT'!$D$18:$D$50,$C719,'8. FACILIT'!AL$18:AL$50)</f>
        <v>0</v>
      </c>
      <c r="J743" s="139">
        <f>SUMIF('5. PERSON'!$D$17:$D$192,$C719,'5. PERSON'!CW$17:CW$192)+SUMIF('5. PERSON'!$D$17:$D$192,$C719,'5. PERSON'!DI$17:DI$192)+SUMIF('6. OPERATION'!$D$17:$D$149,$C719,'6. OPERATION'!BZ$17:BZ$149)+SUMIF('6. OPERATION'!$D$17:$D$149,$C719,'6. OPERATION'!CL$17:CL$149)+SUMIF('8. FACILIT'!$D$18:$D$50,$C719,'8. FACILIT'!AA$18:AA$50)+SUMIF('8. FACILIT'!$D$18:$D$50,$C719,'8. FACILIT'!AM$18:AM$50)</f>
        <v>0</v>
      </c>
      <c r="K743" s="139">
        <f>SUMIF('5. PERSON'!$D$17:$D$192,$C719,'5. PERSON'!CX$17:CX$192)+SUMIF('5. PERSON'!$D$17:$D$192,$C719,'5. PERSON'!DJ$17:DJ$192)+SUMIF('6. OPERATION'!$D$17:$D$149,$C719,'6. OPERATION'!CA$17:CA$149)+SUMIF('6. OPERATION'!$D$17:$D$149,$C719,'6. OPERATION'!CM$17:CM$149)+SUMIF('8. FACILIT'!$D$18:$D$50,$C719,'8. FACILIT'!AB$18:AB$50)+SUMIF('8. FACILIT'!$D$18:$D$50,$C719,'8. FACILIT'!AN$18:AN$50)</f>
        <v>0</v>
      </c>
      <c r="L743" s="139">
        <f>SUMIF('5. PERSON'!$D$17:$D$192,$C719,'5. PERSON'!CY$17:CY$192)+SUMIF('5. PERSON'!$D$17:$D$192,$C719,'5. PERSON'!DK$17:DK$192)+SUMIF('6. OPERATION'!$D$17:$D$149,$C719,'6. OPERATION'!CB$17:CB$149)+SUMIF('6. OPERATION'!$D$17:$D$149,$C719,'6. OPERATION'!CN$17:CN$149)+SUMIF('8. FACILIT'!$D$18:$D$50,$C719,'8. FACILIT'!AC$18:AC$50)+SUMIF('8. FACILIT'!$D$18:$D$50,$C719,'8. FACILIT'!AO$18:AO$50)</f>
        <v>0</v>
      </c>
      <c r="M743" s="905">
        <f>SUM(C743:L743)</f>
        <v>0</v>
      </c>
    </row>
    <row r="744" spans="2:15" s="234" customFormat="1" ht="13.2" x14ac:dyDescent="0.25">
      <c r="B744" s="915" t="str">
        <f>IF('1. INTRO'!I$2="English","Indirect","Indirekt")</f>
        <v>Indirect</v>
      </c>
      <c r="C744" s="141">
        <f>SUMIF('5. PERSON'!$D$17:$D$192,$C719,'5. PERSON'!BR$17:BR$192)+SUMIF('5. PERSON'!$D$17:$D$192,$C719,'5. PERSON'!CD$17:CD$192)+SUMIF('6. OPERATION'!$D$17:$D$149,$C719,'6. OPERATION'!AU$17:AU$149)+SUMIF('6. OPERATION'!$D$17:$D$149,$C719,'6. OPERATION'!BG$17:BG$149)</f>
        <v>0</v>
      </c>
      <c r="D744" s="141">
        <f>SUMIF('5. PERSON'!$D$17:$D$192,$C719,'5. PERSON'!BS$17:BS$192)+SUMIF('5. PERSON'!$D$17:$D$192,$C719,'5. PERSON'!CE$17:CE$192)+SUMIF('6. OPERATION'!$D$17:$D$149,$C719,'6. OPERATION'!AV$17:AV$149)+SUMIF('6. OPERATION'!$D$17:$D$149,$C719,'6. OPERATION'!BH$17:BH$149)</f>
        <v>0</v>
      </c>
      <c r="E744" s="141">
        <f>SUMIF('5. PERSON'!$D$17:$D$192,$C719,'5. PERSON'!BT$17:BT$192)+SUMIF('5. PERSON'!$D$17:$D$192,$C719,'5. PERSON'!CF$17:CF$192)+SUMIF('6. OPERATION'!$D$17:$D$149,$C719,'6. OPERATION'!AW$17:AW$149)+SUMIF('6. OPERATION'!$D$17:$D$149,$C719,'6. OPERATION'!BI$17:BI$149)</f>
        <v>0</v>
      </c>
      <c r="F744" s="141">
        <f>SUMIF('5. PERSON'!$D$17:$D$192,$C719,'5. PERSON'!BU$17:BU$192)+SUMIF('5. PERSON'!$D$17:$D$192,$C719,'5. PERSON'!CG$17:CG$192)+SUMIF('6. OPERATION'!$D$17:$D$149,$C719,'6. OPERATION'!AX$17:AX$149)+SUMIF('6. OPERATION'!$D$17:$D$149,$C719,'6. OPERATION'!BJ$17:BJ$149)</f>
        <v>0</v>
      </c>
      <c r="G744" s="141">
        <f>SUMIF('5. PERSON'!$D$17:$D$192,$C719,'5. PERSON'!BV$17:BV$192)+SUMIF('5. PERSON'!$D$17:$D$192,$C719,'5. PERSON'!CH$17:CH$192)+SUMIF('6. OPERATION'!$D$17:$D$149,$C719,'6. OPERATION'!AY$17:AY$149)+SUMIF('6. OPERATION'!$D$17:$D$149,$C719,'6. OPERATION'!BK$17:BK$149)</f>
        <v>0</v>
      </c>
      <c r="H744" s="141">
        <f>SUMIF('5. PERSON'!$D$17:$D$192,$C719,'5. PERSON'!BW$17:BW$192)+SUMIF('5. PERSON'!$D$17:$D$192,$C719,'5. PERSON'!CI$17:CI$192)+SUMIF('6. OPERATION'!$D$17:$D$149,$C719,'6. OPERATION'!AZ$17:AZ$149)+SUMIF('6. OPERATION'!$D$17:$D$149,$C719,'6. OPERATION'!BL$17:BL$149)</f>
        <v>0</v>
      </c>
      <c r="I744" s="141">
        <f>SUMIF('5. PERSON'!$D$17:$D$192,$C719,'5. PERSON'!BX$17:BX$192)+SUMIF('5. PERSON'!$D$17:$D$192,$C719,'5. PERSON'!CJ$17:CJ$192)+SUMIF('6. OPERATION'!$D$17:$D$149,$C719,'6. OPERATION'!BA$17:BA$149)+SUMIF('6. OPERATION'!$D$17:$D$149,$C719,'6. OPERATION'!BM$17:BM$149)</f>
        <v>0</v>
      </c>
      <c r="J744" s="141">
        <f>SUMIF('5. PERSON'!$D$17:$D$192,$C719,'5. PERSON'!BY$17:BY$192)+SUMIF('5. PERSON'!$D$17:$D$192,$C719,'5. PERSON'!CK$17:CK$192)+SUMIF('6. OPERATION'!$D$17:$D$149,$C719,'6. OPERATION'!BB$17:BB$149)+SUMIF('6. OPERATION'!$D$17:$D$149,$C719,'6. OPERATION'!BN$17:BN$149)</f>
        <v>0</v>
      </c>
      <c r="K744" s="141">
        <f>SUMIF('5. PERSON'!$D$17:$D$192,$C719,'5. PERSON'!BZ$17:BZ$192)+SUMIF('5. PERSON'!$D$17:$D$192,$C719,'5. PERSON'!CL$17:CL$192)+SUMIF('6. OPERATION'!$D$17:$D$149,$C719,'6. OPERATION'!BC$17:BC$149)+SUMIF('6. OPERATION'!$D$17:$D$149,$C719,'6. OPERATION'!BO$17:BO$149)</f>
        <v>0</v>
      </c>
      <c r="L744" s="141">
        <f>SUMIF('5. PERSON'!$D$17:$D$192,$C719,'5. PERSON'!CA$17:CA$192)+SUMIF('5. PERSON'!$D$17:$D$192,$C719,'5. PERSON'!CM$17:CM$192)+SUMIF('6. OPERATION'!$D$17:$D$149,$C719,'6. OPERATION'!BD$17:BD$149)+SUMIF('6. OPERATION'!$D$17:$D$149,$C719,'6. OPERATION'!BP$17:BP$149)</f>
        <v>0</v>
      </c>
      <c r="M744" s="908">
        <f>SUM(C744:L744)</f>
        <v>0</v>
      </c>
    </row>
    <row r="745" spans="2:15" s="234" customFormat="1" ht="13.2" x14ac:dyDescent="0.25">
      <c r="B745" s="628" t="s">
        <v>113</v>
      </c>
      <c r="C745" s="520">
        <f>SUM(C740:C744)</f>
        <v>0</v>
      </c>
      <c r="D745" s="520">
        <f t="shared" ref="D745:M745" si="123">SUM(D740:D744)</f>
        <v>0</v>
      </c>
      <c r="E745" s="520">
        <f t="shared" si="123"/>
        <v>0</v>
      </c>
      <c r="F745" s="520">
        <f t="shared" si="123"/>
        <v>0</v>
      </c>
      <c r="G745" s="520">
        <f t="shared" si="123"/>
        <v>0</v>
      </c>
      <c r="H745" s="520">
        <f t="shared" si="123"/>
        <v>0</v>
      </c>
      <c r="I745" s="520">
        <f t="shared" si="123"/>
        <v>0</v>
      </c>
      <c r="J745" s="520">
        <f t="shared" si="123"/>
        <v>0</v>
      </c>
      <c r="K745" s="520">
        <f t="shared" si="123"/>
        <v>0</v>
      </c>
      <c r="L745" s="520">
        <f t="shared" si="123"/>
        <v>0</v>
      </c>
      <c r="M745" s="916">
        <f t="shared" si="123"/>
        <v>0</v>
      </c>
    </row>
    <row r="746" spans="2:15" s="234" customFormat="1" ht="13.2" x14ac:dyDescent="0.25">
      <c r="B746" s="676"/>
      <c r="C746" s="268"/>
      <c r="D746" s="268"/>
      <c r="E746" s="268"/>
      <c r="F746" s="268"/>
      <c r="G746" s="268"/>
      <c r="H746" s="268"/>
      <c r="I746" s="268"/>
      <c r="J746" s="268"/>
      <c r="K746" s="268"/>
      <c r="L746" s="268"/>
      <c r="M746" s="268"/>
    </row>
    <row r="747" spans="2:15" s="234" customFormat="1" ht="12.75" customHeight="1" x14ac:dyDescent="0.25">
      <c r="B747" s="676" t="str">
        <f>IF('1. INTRO'!I$2="English","Co-funding share in full cost ","Medfinansieringsandel i full kostnad ")</f>
        <v xml:space="preserve">Co-funding share in full cost </v>
      </c>
      <c r="C747" s="640" t="str">
        <f t="shared" ref="C747:M747" si="124">IF(C745&gt;0,C737/C745,"")</f>
        <v/>
      </c>
      <c r="D747" s="640" t="str">
        <f t="shared" si="124"/>
        <v/>
      </c>
      <c r="E747" s="640" t="str">
        <f t="shared" si="124"/>
        <v/>
      </c>
      <c r="F747" s="640" t="str">
        <f t="shared" si="124"/>
        <v/>
      </c>
      <c r="G747" s="640" t="str">
        <f t="shared" si="124"/>
        <v/>
      </c>
      <c r="H747" s="640" t="str">
        <f t="shared" si="124"/>
        <v/>
      </c>
      <c r="I747" s="640" t="str">
        <f t="shared" si="124"/>
        <v/>
      </c>
      <c r="J747" s="640" t="str">
        <f t="shared" si="124"/>
        <v/>
      </c>
      <c r="K747" s="640" t="str">
        <f t="shared" si="124"/>
        <v/>
      </c>
      <c r="L747" s="640" t="str">
        <f t="shared" si="124"/>
        <v/>
      </c>
      <c r="M747" s="640" t="str">
        <f t="shared" si="124"/>
        <v/>
      </c>
    </row>
    <row r="748" spans="2:15" s="268" customFormat="1" ht="12.75" customHeight="1" x14ac:dyDescent="0.25"/>
    <row r="749" spans="2:15" s="268" customFormat="1" ht="12.75" customHeight="1" x14ac:dyDescent="0.25">
      <c r="B749" s="667" t="str">
        <f>IF('1. INTRO'!I$2="English","Calculation comments","Kalkylkommentarer")</f>
        <v>Calculation comments</v>
      </c>
    </row>
    <row r="750" spans="2:15" s="268" customFormat="1" ht="12.75" customHeight="1" x14ac:dyDescent="0.25">
      <c r="B750" s="1264"/>
      <c r="C750" s="1265"/>
      <c r="D750" s="1265"/>
      <c r="E750" s="1265"/>
      <c r="F750" s="1265"/>
      <c r="G750" s="1265"/>
      <c r="H750" s="1265"/>
      <c r="I750" s="1265"/>
      <c r="J750" s="1265"/>
      <c r="K750" s="1265"/>
      <c r="L750" s="1265"/>
      <c r="M750" s="1266"/>
    </row>
    <row r="751" spans="2:15" s="268" customFormat="1" ht="12.75" customHeight="1" x14ac:dyDescent="0.25">
      <c r="B751" s="1267"/>
      <c r="C751" s="1268"/>
      <c r="D751" s="1268"/>
      <c r="E751" s="1268"/>
      <c r="F751" s="1268"/>
      <c r="G751" s="1268"/>
      <c r="H751" s="1268"/>
      <c r="I751" s="1268"/>
      <c r="J751" s="1268"/>
      <c r="K751" s="1268"/>
      <c r="L751" s="1268"/>
      <c r="M751" s="1269"/>
    </row>
    <row r="752" spans="2:15" s="268" customFormat="1" ht="12.75" customHeight="1" x14ac:dyDescent="0.25">
      <c r="B752" s="1267"/>
      <c r="C752" s="1268"/>
      <c r="D752" s="1268"/>
      <c r="E752" s="1268"/>
      <c r="F752" s="1268"/>
      <c r="G752" s="1268"/>
      <c r="H752" s="1268"/>
      <c r="I752" s="1268"/>
      <c r="J752" s="1268"/>
      <c r="K752" s="1268"/>
      <c r="L752" s="1268"/>
      <c r="M752" s="1269"/>
    </row>
    <row r="753" spans="2:13" s="268" customFormat="1" ht="12.75" customHeight="1" x14ac:dyDescent="0.25">
      <c r="B753" s="1267"/>
      <c r="C753" s="1268"/>
      <c r="D753" s="1268"/>
      <c r="E753" s="1268"/>
      <c r="F753" s="1268"/>
      <c r="G753" s="1268"/>
      <c r="H753" s="1268"/>
      <c r="I753" s="1268"/>
      <c r="J753" s="1268"/>
      <c r="K753" s="1268"/>
      <c r="L753" s="1268"/>
      <c r="M753" s="1269"/>
    </row>
    <row r="754" spans="2:13" s="268" customFormat="1" ht="12.75" customHeight="1" x14ac:dyDescent="0.25">
      <c r="B754" s="1267"/>
      <c r="C754" s="1268"/>
      <c r="D754" s="1268"/>
      <c r="E754" s="1268"/>
      <c r="F754" s="1268"/>
      <c r="G754" s="1268"/>
      <c r="H754" s="1268"/>
      <c r="I754" s="1268"/>
      <c r="J754" s="1268"/>
      <c r="K754" s="1268"/>
      <c r="L754" s="1268"/>
      <c r="M754" s="1269"/>
    </row>
    <row r="755" spans="2:13" s="268" customFormat="1" ht="12.75" customHeight="1" x14ac:dyDescent="0.25">
      <c r="B755" s="1270"/>
      <c r="C755" s="1271"/>
      <c r="D755" s="1271"/>
      <c r="E755" s="1271"/>
      <c r="F755" s="1271"/>
      <c r="G755" s="1271"/>
      <c r="H755" s="1271"/>
      <c r="I755" s="1271"/>
      <c r="J755" s="1271"/>
      <c r="K755" s="1271"/>
      <c r="L755" s="1271"/>
      <c r="M755" s="1272"/>
    </row>
    <row r="756" spans="2:13" s="268" customFormat="1" x14ac:dyDescent="0.25">
      <c r="B756" s="1270"/>
      <c r="C756" s="1271"/>
      <c r="D756" s="1271"/>
      <c r="E756" s="1271"/>
      <c r="F756" s="1271"/>
      <c r="G756" s="1271"/>
      <c r="H756" s="1271"/>
      <c r="I756" s="1271"/>
      <c r="J756" s="1271"/>
      <c r="K756" s="1271"/>
      <c r="L756" s="1271"/>
      <c r="M756" s="1272"/>
    </row>
    <row r="757" spans="2:13" s="268" customFormat="1" x14ac:dyDescent="0.25">
      <c r="B757" s="1270"/>
      <c r="C757" s="1271"/>
      <c r="D757" s="1271"/>
      <c r="E757" s="1271"/>
      <c r="F757" s="1271"/>
      <c r="G757" s="1271"/>
      <c r="H757" s="1271"/>
      <c r="I757" s="1271"/>
      <c r="J757" s="1271"/>
      <c r="K757" s="1271"/>
      <c r="L757" s="1271"/>
      <c r="M757" s="1272"/>
    </row>
    <row r="758" spans="2:13" s="268" customFormat="1" x14ac:dyDescent="0.25">
      <c r="B758" s="1270"/>
      <c r="C758" s="1271"/>
      <c r="D758" s="1271"/>
      <c r="E758" s="1271"/>
      <c r="F758" s="1271"/>
      <c r="G758" s="1271"/>
      <c r="H758" s="1271"/>
      <c r="I758" s="1271"/>
      <c r="J758" s="1271"/>
      <c r="K758" s="1271"/>
      <c r="L758" s="1271"/>
      <c r="M758" s="1272"/>
    </row>
    <row r="759" spans="2:13" s="268" customFormat="1" x14ac:dyDescent="0.25">
      <c r="B759" s="1270"/>
      <c r="C759" s="1271"/>
      <c r="D759" s="1271"/>
      <c r="E759" s="1271"/>
      <c r="F759" s="1271"/>
      <c r="G759" s="1271"/>
      <c r="H759" s="1271"/>
      <c r="I759" s="1271"/>
      <c r="J759" s="1271"/>
      <c r="K759" s="1271"/>
      <c r="L759" s="1271"/>
      <c r="M759" s="1272"/>
    </row>
    <row r="760" spans="2:13" s="268" customFormat="1" x14ac:dyDescent="0.25">
      <c r="B760" s="1270"/>
      <c r="C760" s="1271"/>
      <c r="D760" s="1271"/>
      <c r="E760" s="1271"/>
      <c r="F760" s="1271"/>
      <c r="G760" s="1271"/>
      <c r="H760" s="1271"/>
      <c r="I760" s="1271"/>
      <c r="J760" s="1271"/>
      <c r="K760" s="1271"/>
      <c r="L760" s="1271"/>
      <c r="M760" s="1272"/>
    </row>
    <row r="761" spans="2:13" s="268" customFormat="1" x14ac:dyDescent="0.25">
      <c r="B761" s="1270"/>
      <c r="C761" s="1271"/>
      <c r="D761" s="1271"/>
      <c r="E761" s="1271"/>
      <c r="F761" s="1271"/>
      <c r="G761" s="1271"/>
      <c r="H761" s="1271"/>
      <c r="I761" s="1271"/>
      <c r="J761" s="1271"/>
      <c r="K761" s="1271"/>
      <c r="L761" s="1271"/>
      <c r="M761" s="1272"/>
    </row>
    <row r="762" spans="2:13" s="268" customFormat="1" x14ac:dyDescent="0.25">
      <c r="B762" s="1273"/>
      <c r="C762" s="1274"/>
      <c r="D762" s="1274"/>
      <c r="E762" s="1274"/>
      <c r="F762" s="1274"/>
      <c r="G762" s="1274"/>
      <c r="H762" s="1274"/>
      <c r="I762" s="1274"/>
      <c r="J762" s="1274"/>
      <c r="K762" s="1274"/>
      <c r="L762" s="1274"/>
      <c r="M762" s="1275"/>
    </row>
    <row r="763" spans="2:13" s="268" customFormat="1" x14ac:dyDescent="0.25"/>
    <row r="764" spans="2:13" s="268" customFormat="1" x14ac:dyDescent="0.25"/>
    <row r="765" spans="2:13" s="234" customFormat="1" ht="12.75" customHeight="1" x14ac:dyDescent="0.25">
      <c r="B765" s="313" t="str">
        <f>'3. PARTNER'!C$4</f>
        <v xml:space="preserve">Project: </v>
      </c>
      <c r="C765" s="1062" t="str">
        <f>'3. PARTNER'!D$4</f>
        <v/>
      </c>
      <c r="D765" s="1001"/>
      <c r="E765" s="1001"/>
      <c r="F765" s="1001"/>
      <c r="G765" s="1001"/>
      <c r="H765" s="1001"/>
      <c r="I765" s="1001"/>
      <c r="J765" s="1001"/>
      <c r="K765" s="1001"/>
      <c r="L765" s="1001"/>
      <c r="M765" s="1001"/>
    </row>
    <row r="766" spans="2:13" s="234" customFormat="1" ht="13.2" x14ac:dyDescent="0.25">
      <c r="B766" s="313" t="str">
        <f>'3. PARTNER'!C$5</f>
        <v xml:space="preserve">Calculation for: </v>
      </c>
      <c r="C766" s="1062" t="str">
        <f>'3. PARTNER'!D$5</f>
        <v>APPLICATION</v>
      </c>
      <c r="D766" s="1001"/>
      <c r="E766" s="268"/>
      <c r="F766" s="268"/>
      <c r="G766" s="268"/>
      <c r="H766" s="268"/>
      <c r="I766" s="268"/>
      <c r="J766" s="268"/>
      <c r="K766" s="268"/>
      <c r="L766" s="268"/>
      <c r="M766" s="268"/>
    </row>
    <row r="767" spans="2:13" s="234" customFormat="1" ht="13.2" x14ac:dyDescent="0.25">
      <c r="B767" s="35" t="str">
        <f>'3. PARTNER'!C$6</f>
        <v xml:space="preserve">Project leader: </v>
      </c>
      <c r="C767" s="1062" t="str">
        <f>'3. PARTNER'!D$6</f>
        <v/>
      </c>
      <c r="D767" s="1001"/>
      <c r="E767" s="1001"/>
      <c r="F767" s="1001"/>
      <c r="G767" s="1001"/>
      <c r="H767" s="1001"/>
      <c r="I767" s="1001"/>
      <c r="J767" s="1001"/>
      <c r="K767" s="1001"/>
      <c r="L767" s="1001"/>
      <c r="M767" s="1001"/>
    </row>
    <row r="768" spans="2:13" s="234" customFormat="1" ht="13.2" x14ac:dyDescent="0.25">
      <c r="B768" s="313" t="str">
        <f>'5. PERSON'!B$7</f>
        <v xml:space="preserve">Amounts in: </v>
      </c>
      <c r="C768" s="672" t="str">
        <f>'5. PERSON'!C$7</f>
        <v>SEK</v>
      </c>
      <c r="D768" s="268"/>
      <c r="E768" s="268"/>
      <c r="F768" s="268"/>
      <c r="I768" s="270"/>
      <c r="J768" s="270"/>
      <c r="K768" s="270"/>
      <c r="L768" s="270"/>
      <c r="M768" s="270"/>
    </row>
    <row r="769" spans="2:15" s="234" customFormat="1" ht="13.2" x14ac:dyDescent="0.25">
      <c r="B769" s="313"/>
      <c r="C769" s="1053" t="str">
        <f>'3. PARTNER'!D$7</f>
        <v>Other basic data about the project is in sheet 2.</v>
      </c>
      <c r="D769" s="1001"/>
      <c r="E769" s="1001"/>
      <c r="F769" s="1001"/>
      <c r="I769" s="270"/>
      <c r="J769" s="270"/>
      <c r="K769" s="270"/>
      <c r="L769" s="251" t="s">
        <v>4</v>
      </c>
      <c r="M769" s="270"/>
    </row>
    <row r="770" spans="2:15" s="268" customFormat="1" ht="12.75" customHeight="1" x14ac:dyDescent="0.25">
      <c r="L770" s="252" t="str">
        <f>IF('1. INTRO'!I$2="English","months","månader")</f>
        <v>months</v>
      </c>
    </row>
    <row r="771" spans="2:15" s="234" customFormat="1" ht="13.8" x14ac:dyDescent="0.25">
      <c r="B771" s="678" t="str">
        <f>IF('1. INTRO'!I$2="English","Project costs","Projektkostnader")</f>
        <v>Project costs</v>
      </c>
      <c r="C771" s="678" t="str">
        <f>B29</f>
        <v>WP 15</v>
      </c>
      <c r="D771" s="234" t="str">
        <f>E29</f>
        <v/>
      </c>
      <c r="E771" s="268"/>
      <c r="G771" s="268"/>
      <c r="H771" s="268"/>
      <c r="I771" s="268"/>
      <c r="J771" s="268"/>
      <c r="K771" s="676"/>
      <c r="L771" s="899">
        <f>SUMIF('5. PERSON'!$D$17:$D$192,$C771,'5. PERSON'!AE$17:AE$192)</f>
        <v>0</v>
      </c>
      <c r="M771" s="680" t="s">
        <v>330</v>
      </c>
    </row>
    <row r="772" spans="2:15" s="234" customFormat="1" ht="6" customHeight="1" x14ac:dyDescent="0.25">
      <c r="B772" s="602"/>
      <c r="C772" s="268"/>
      <c r="D772" s="268"/>
      <c r="E772" s="268"/>
      <c r="F772" s="268"/>
      <c r="G772" s="268"/>
      <c r="H772" s="268"/>
      <c r="I772" s="268"/>
      <c r="J772" s="268"/>
      <c r="K772" s="268"/>
      <c r="L772" s="268"/>
      <c r="M772" s="268"/>
    </row>
    <row r="773" spans="2:15" s="234" customFormat="1" ht="13.2" x14ac:dyDescent="0.25">
      <c r="B773" s="110" t="str">
        <f>IF('1. INTRO'!I$2="English","Costs to be covered by funding body","Kostnader att täckas av finansiär")</f>
        <v>Costs to be covered by funding body</v>
      </c>
      <c r="C773" s="607">
        <f>'5. PERSON'!G$15</f>
        <v>1900</v>
      </c>
      <c r="D773" s="607" t="str">
        <f>'5. PERSON'!H$15</f>
        <v/>
      </c>
      <c r="E773" s="607" t="str">
        <f>'5. PERSON'!I$15</f>
        <v/>
      </c>
      <c r="F773" s="607" t="str">
        <f>'5. PERSON'!J$15</f>
        <v/>
      </c>
      <c r="G773" s="607" t="str">
        <f>'5. PERSON'!K$15</f>
        <v/>
      </c>
      <c r="H773" s="607" t="str">
        <f>'5. PERSON'!L$15</f>
        <v/>
      </c>
      <c r="I773" s="607" t="str">
        <f>'5. PERSON'!M$15</f>
        <v/>
      </c>
      <c r="J773" s="607" t="str">
        <f>'5. PERSON'!N$15</f>
        <v/>
      </c>
      <c r="K773" s="607" t="str">
        <f>'5. PERSON'!O$15</f>
        <v/>
      </c>
      <c r="L773" s="607" t="str">
        <f>'5. PERSON'!P$15</f>
        <v/>
      </c>
      <c r="M773" s="608" t="s">
        <v>2</v>
      </c>
    </row>
    <row r="774" spans="2:15" s="234" customFormat="1" ht="12.75" customHeight="1" x14ac:dyDescent="0.25">
      <c r="B774" s="902" t="str">
        <f>IF('1. INTRO'!I$2="English","Salary including social costs (LKP)","Lön inklusive LKP")</f>
        <v>Salary including social costs (LKP)</v>
      </c>
      <c r="C774" s="610">
        <f>IF('2. START'!$C$14&gt;0,SUMIF('5. PERSON'!$D$17:$D$192,$C771,'5. PERSON'!DN$17:DN$192),SUMIF('5. PERSON'!$D$17:$D$192,$C771,'5. PERSON'!AT$17:AT$192))</f>
        <v>0</v>
      </c>
      <c r="D774" s="610">
        <f>IF('2. START'!$C$14&gt;0,SUMIF('5. PERSON'!$D$17:$D$192,$C771,'5. PERSON'!DO$17:DO$192),SUMIF('5. PERSON'!$D$17:$D$192,$C771,'5. PERSON'!AU$17:AU$192))</f>
        <v>0</v>
      </c>
      <c r="E774" s="610">
        <f>IF('2. START'!$C$14&gt;0,SUMIF('5. PERSON'!$D$17:$D$192,$C771,'5. PERSON'!DP$17:DP$192),SUMIF('5. PERSON'!$D$17:$D$192,$C771,'5. PERSON'!AV$17:AV$192))</f>
        <v>0</v>
      </c>
      <c r="F774" s="610">
        <f>IF('2. START'!$C$14&gt;0,SUMIF('5. PERSON'!$D$17:$D$192,$C771,'5. PERSON'!DQ$17:DQ$192),SUMIF('5. PERSON'!$D$17:$D$192,$C771,'5. PERSON'!AW$17:AW$192))</f>
        <v>0</v>
      </c>
      <c r="G774" s="610">
        <f>IF('2. START'!$C$14&gt;0,SUMIF('5. PERSON'!$D$17:$D$192,$C771,'5. PERSON'!DR$17:DR$192),SUMIF('5. PERSON'!$D$17:$D$192,$C771,'5. PERSON'!AX$17:AX$192))</f>
        <v>0</v>
      </c>
      <c r="H774" s="610">
        <f>IF('2. START'!$C$14&gt;0,SUMIF('5. PERSON'!$D$17:$D$192,$C771,'5. PERSON'!DS$17:DS$192),SUMIF('5. PERSON'!$D$17:$D$192,$C771,'5. PERSON'!AY$17:AY$192))</f>
        <v>0</v>
      </c>
      <c r="I774" s="610">
        <f>IF('2. START'!$C$14&gt;0,SUMIF('5. PERSON'!$D$17:$D$192,$C771,'5. PERSON'!DT$17:DT$192),SUMIF('5. PERSON'!$D$17:$D$192,$C771,'5. PERSON'!AZ$17:AZ$192))</f>
        <v>0</v>
      </c>
      <c r="J774" s="610">
        <f>IF('2. START'!$C$14&gt;0,SUMIF('5. PERSON'!$D$17:$D$192,$C771,'5. PERSON'!DU$17:DU$192),SUMIF('5. PERSON'!$D$17:$D$192,$C771,'5. PERSON'!BA$17:BA$192))</f>
        <v>0</v>
      </c>
      <c r="K774" s="610">
        <f>IF('2. START'!$C$14&gt;0,SUMIF('5. PERSON'!$D$17:$D$192,$C771,'5. PERSON'!DV$17:DV$192),SUMIF('5. PERSON'!$D$17:$D$192,$C771,'5. PERSON'!BB$17:BB$192))</f>
        <v>0</v>
      </c>
      <c r="L774" s="610">
        <f>IF('2. START'!$C$14&gt;0,SUMIF('5. PERSON'!$D$17:$D$192,$C771,'5. PERSON'!DW$17:DW$192),SUMIF('5. PERSON'!$D$17:$D$192,$C771,'5. PERSON'!BC$17:BC$192))</f>
        <v>0</v>
      </c>
      <c r="M774" s="903">
        <f t="shared" ref="M774:M779" si="125">SUM(C774:L774)</f>
        <v>0</v>
      </c>
      <c r="O774" s="904"/>
    </row>
    <row r="775" spans="2:15" s="234" customFormat="1" ht="12.75" customHeight="1" x14ac:dyDescent="0.25">
      <c r="B775" s="377" t="str">
        <f>IF('1. INTRO'!I$2="English","Operating","Drift")</f>
        <v>Operating</v>
      </c>
      <c r="C775" s="615">
        <f>SUMIF('6. OPERATION'!$D$17:$D$149,$C771,'6. OPERATION'!W$17:W$149)</f>
        <v>0</v>
      </c>
      <c r="D775" s="615">
        <f>SUMIF('6. OPERATION'!$D$17:$D$149,$C771,'6. OPERATION'!X$17:X$149)</f>
        <v>0</v>
      </c>
      <c r="E775" s="615">
        <f>SUMIF('6. OPERATION'!$D$17:$D$149,$C771,'6. OPERATION'!Y$17:Y$149)</f>
        <v>0</v>
      </c>
      <c r="F775" s="615">
        <f>SUMIF('6. OPERATION'!$D$17:$D$149,$C771,'6. OPERATION'!Z$17:Z$149)</f>
        <v>0</v>
      </c>
      <c r="G775" s="615">
        <f>SUMIF('6. OPERATION'!$D$17:$D$149,$C771,'6. OPERATION'!AA$17:AA$149)</f>
        <v>0</v>
      </c>
      <c r="H775" s="615">
        <f>SUMIF('6. OPERATION'!$D$17:$D$149,$C771,'6. OPERATION'!AB$17:AB$149)</f>
        <v>0</v>
      </c>
      <c r="I775" s="615">
        <f>SUMIF('6. OPERATION'!$D$17:$D$149,$C771,'6. OPERATION'!AC$17:AC$149)</f>
        <v>0</v>
      </c>
      <c r="J775" s="615">
        <f>SUMIF('6. OPERATION'!$D$17:$D$149,$C771,'6. OPERATION'!AD$17:AD$149)</f>
        <v>0</v>
      </c>
      <c r="K775" s="615">
        <f>SUMIF('6. OPERATION'!$D$17:$D$149,$C771,'6. OPERATION'!AE$17:AE$149)</f>
        <v>0</v>
      </c>
      <c r="L775" s="615">
        <f>SUMIF('6. OPERATION'!$D$17:$D$149,$C771,'6. OPERATION'!AF$17:AF$149)</f>
        <v>0</v>
      </c>
      <c r="M775" s="905">
        <f t="shared" si="125"/>
        <v>0</v>
      </c>
    </row>
    <row r="776" spans="2:15" s="234" customFormat="1" ht="13.2" x14ac:dyDescent="0.25">
      <c r="B776" s="906" t="str">
        <f>IF('1. INTRO'!I$2="English","Equipment","Utrustning")</f>
        <v>Equipment</v>
      </c>
      <c r="C776" s="620">
        <f>SUMIF('7. INVEST'!$D$17:$D$49,$C771,'7. INVEST'!W$17:W$49)</f>
        <v>0</v>
      </c>
      <c r="D776" s="620">
        <f>SUMIF('7. INVEST'!$D$17:$D$49,$C771,'7. INVEST'!X$17:X$49)</f>
        <v>0</v>
      </c>
      <c r="E776" s="620">
        <f>SUMIF('7. INVEST'!$D$17:$D$49,$C771,'7. INVEST'!Y$17:Y$49)</f>
        <v>0</v>
      </c>
      <c r="F776" s="620">
        <f>SUMIF('7. INVEST'!$D$17:$D$49,$C771,'7. INVEST'!Z$17:Z$49)</f>
        <v>0</v>
      </c>
      <c r="G776" s="620">
        <f>SUMIF('7. INVEST'!$D$17:$D$49,$C771,'7. INVEST'!AA$17:AA$49)</f>
        <v>0</v>
      </c>
      <c r="H776" s="620">
        <f>SUMIF('7. INVEST'!$D$17:$D$49,$C771,'7. INVEST'!AB$17:AB$49)</f>
        <v>0</v>
      </c>
      <c r="I776" s="620">
        <f>SUMIF('7. INVEST'!$D$17:$D$49,$C771,'7. INVEST'!AC$17:AC$49)</f>
        <v>0</v>
      </c>
      <c r="J776" s="620">
        <f>SUMIF('7. INVEST'!$D$17:$D$49,$C771,'7. INVEST'!AD$17:AD$49)</f>
        <v>0</v>
      </c>
      <c r="K776" s="620">
        <f>SUMIF('7. INVEST'!$D$17:$D$49,$C771,'7. INVEST'!AE$17:AE$49)</f>
        <v>0</v>
      </c>
      <c r="L776" s="620">
        <f>SUMIF('7. INVEST'!$D$17:$D$49,$C771,'7. INVEST'!AF$17:AF$49)</f>
        <v>0</v>
      </c>
      <c r="M776" s="907">
        <f t="shared" si="125"/>
        <v>0</v>
      </c>
    </row>
    <row r="777" spans="2:15" s="234" customFormat="1" ht="13.2" x14ac:dyDescent="0.25">
      <c r="B777" s="121" t="str">
        <f>IF('1. INTRO'!I$2="English",(IF('2. START'!C$11="NO","Facility accepted as direct cost by funding body","Facility")),IF('2. START'!C$11="NO","Lokal accepterad som direkt kostnad av finansiär","Lokal"))</f>
        <v>Facility</v>
      </c>
      <c r="C777" s="615">
        <f>IF('2. START'!$C$11="NO",SUMIF('8. FACILIT'!$D$18:$D$50,$C771,'8. FACILIT'!T$18:T$50),SUMIF('5. PERSON'!$D$17:$D$192,$C771,'5. PERSON'!CP$17:CP$192)+SUMIF('6. OPERATION'!$D$17:$D$149,$C771,'6. OPERATION'!BS$17:BS$149)+SUMIF('8. FACILIT'!$D$18:$D$50,$C771,'8. FACILIT'!T$18:T$50))</f>
        <v>0</v>
      </c>
      <c r="D777" s="615">
        <f>IF('2. START'!$C$11="NO",SUMIF('8. FACILIT'!$D$18:$D$50,$C771,'8. FACILIT'!U$18:U$50),SUMIF('5. PERSON'!$D$17:$D$192,$C771,'5. PERSON'!CQ$17:CQ$192)+SUMIF('6. OPERATION'!$D$17:$D$149,$C771,'6. OPERATION'!BT$17:BT$149)+SUMIF('8. FACILIT'!$D$18:$D$50,$C771,'8. FACILIT'!U$18:U$50))</f>
        <v>0</v>
      </c>
      <c r="E777" s="615">
        <f>IF('2. START'!$C$11="NO",SUMIF('8. FACILIT'!$D$18:$D$50,$C771,'8. FACILIT'!V$18:V$50),SUMIF('5. PERSON'!$D$17:$D$192,$C771,'5. PERSON'!CR$17:CR$192)+SUMIF('6. OPERATION'!$D$17:$D$149,$C771,'6. OPERATION'!BU$17:BU$149)+SUMIF('8. FACILIT'!$D$18:$D$50,$C771,'8. FACILIT'!V$18:V$50))</f>
        <v>0</v>
      </c>
      <c r="F777" s="615">
        <f>IF('2. START'!$C$11="NO",SUMIF('8. FACILIT'!$D$18:$D$50,$C771,'8. FACILIT'!W$18:W$50),SUMIF('5. PERSON'!$D$17:$D$192,$C771,'5. PERSON'!CS$17:CS$192)+SUMIF('6. OPERATION'!$D$17:$D$149,$C771,'6. OPERATION'!BV$17:BV$149)+SUMIF('8. FACILIT'!$D$18:$D$50,$C771,'8. FACILIT'!W$18:W$50))</f>
        <v>0</v>
      </c>
      <c r="G777" s="615">
        <f>IF('2. START'!$C$11="NO",SUMIF('8. FACILIT'!$D$18:$D$50,$C771,'8. FACILIT'!X$18:X$50),SUMIF('5. PERSON'!$D$17:$D$192,$C771,'5. PERSON'!CT$17:CT$192)+SUMIF('6. OPERATION'!$D$17:$D$149,$C771,'6. OPERATION'!BW$17:BW$149)+SUMIF('8. FACILIT'!$D$18:$D$50,$C771,'8. FACILIT'!X$18:X$50))</f>
        <v>0</v>
      </c>
      <c r="H777" s="615">
        <f>IF('2. START'!$C$11="NO",SUMIF('8. FACILIT'!$D$18:$D$50,$C771,'8. FACILIT'!Y$18:Y$50),SUMIF('5. PERSON'!$D$17:$D$192,$C771,'5. PERSON'!CU$17:CU$192)+SUMIF('6. OPERATION'!$D$17:$D$149,$C771,'6. OPERATION'!BX$17:BX$149)+SUMIF('8. FACILIT'!$D$18:$D$50,$C771,'8. FACILIT'!Y$18:Y$50))</f>
        <v>0</v>
      </c>
      <c r="I777" s="615">
        <f>IF('2. START'!$C$11="NO",SUMIF('8. FACILIT'!$D$18:$D$50,$C771,'8. FACILIT'!Z$18:Z$50),SUMIF('5. PERSON'!$D$17:$D$192,$C771,'5. PERSON'!CV$17:CV$192)+SUMIF('6. OPERATION'!$D$17:$D$149,$C771,'6. OPERATION'!BY$17:BY$149)+SUMIF('8. FACILIT'!$D$18:$D$50,$C771,'8. FACILIT'!Z$18:Z$50))</f>
        <v>0</v>
      </c>
      <c r="J777" s="615">
        <f>IF('2. START'!$C$11="NO",SUMIF('8. FACILIT'!$D$18:$D$50,$C771,'8. FACILIT'!AA$18:AA$50),SUMIF('5. PERSON'!$D$17:$D$192,$C771,'5. PERSON'!CW$17:CW$192)+SUMIF('6. OPERATION'!$D$17:$D$149,$C771,'6. OPERATION'!BZ$17:BZ$149)+SUMIF('8. FACILIT'!$D$18:$D$50,$C771,'8. FACILIT'!AA$18:AA$50))</f>
        <v>0</v>
      </c>
      <c r="K777" s="615">
        <f>IF('2. START'!$C$11="NO",SUMIF('8. FACILIT'!$D$18:$D$50,$C771,'8. FACILIT'!AB$18:AB$50),SUMIF('5. PERSON'!$D$17:$D$192,$C771,'5. PERSON'!CX$17:CX$192)+SUMIF('6. OPERATION'!$D$17:$D$149,$C771,'6. OPERATION'!CA$17:CA$149)+SUMIF('8. FACILIT'!$D$18:$D$50,$C771,'8. FACILIT'!AB$18:AB$50))</f>
        <v>0</v>
      </c>
      <c r="L777" s="615">
        <f>IF('2. START'!$C$11="NO",SUMIF('8. FACILIT'!$D$18:$D$50,$C771,'8. FACILIT'!AC$18:AC$50),SUMIF('5. PERSON'!$D$17:$D$192,$C771,'5. PERSON'!CY$17:CY$192)+SUMIF('6. OPERATION'!$D$17:$D$149,$C771,'6. OPERATION'!CB$17:CB$149)+SUMIF('8. FACILIT'!$D$18:$D$50,$C771,'8. FACILIT'!AC$18:AC$50))</f>
        <v>0</v>
      </c>
      <c r="M777" s="905">
        <f t="shared" si="125"/>
        <v>0</v>
      </c>
    </row>
    <row r="778" spans="2:15" s="234" customFormat="1" ht="13.2" x14ac:dyDescent="0.25">
      <c r="B778" s="122" t="str">
        <f>IF('1. INTRO'!I$2="English",(IF('2. START'!C$11="NO","Indirect and facility charge accepted as OH by funding body","Indirect")),IF('2. START'!C$11="NO","Indirekt och lokalpåslag accepterade som OH av finansiär","Indirekt"))</f>
        <v>Indirect</v>
      </c>
      <c r="C778" s="584">
        <f>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584">
        <f>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584">
        <f>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584">
        <f>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584">
        <f>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584">
        <f>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584">
        <f>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584">
        <f>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584">
        <f>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584">
        <f>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908">
        <f t="shared" si="125"/>
        <v>0</v>
      </c>
    </row>
    <row r="779" spans="2:15" s="234" customFormat="1" ht="13.2" x14ac:dyDescent="0.25">
      <c r="B779" s="628" t="s">
        <v>113</v>
      </c>
      <c r="C779" s="443">
        <f>SUM(C774:C778)</f>
        <v>0</v>
      </c>
      <c r="D779" s="443">
        <f t="shared" ref="D779:L779" si="126">SUM(D774:D778)</f>
        <v>0</v>
      </c>
      <c r="E779" s="443">
        <f t="shared" si="126"/>
        <v>0</v>
      </c>
      <c r="F779" s="443">
        <f t="shared" si="126"/>
        <v>0</v>
      </c>
      <c r="G779" s="443">
        <f t="shared" si="126"/>
        <v>0</v>
      </c>
      <c r="H779" s="443">
        <f t="shared" si="126"/>
        <v>0</v>
      </c>
      <c r="I779" s="443">
        <f t="shared" si="126"/>
        <v>0</v>
      </c>
      <c r="J779" s="443">
        <f t="shared" si="126"/>
        <v>0</v>
      </c>
      <c r="K779" s="443">
        <f t="shared" si="126"/>
        <v>0</v>
      </c>
      <c r="L779" s="443">
        <f t="shared" si="126"/>
        <v>0</v>
      </c>
      <c r="M779" s="630">
        <f t="shared" si="125"/>
        <v>0</v>
      </c>
    </row>
    <row r="780" spans="2:15" s="234" customFormat="1" ht="6" customHeight="1" x14ac:dyDescent="0.25">
      <c r="B780" s="909"/>
      <c r="C780" s="127"/>
      <c r="D780" s="127"/>
      <c r="E780" s="127"/>
      <c r="F780" s="127"/>
      <c r="G780" s="127"/>
      <c r="H780" s="127"/>
      <c r="I780" s="127"/>
      <c r="J780" s="127"/>
      <c r="K780" s="127"/>
      <c r="L780" s="127"/>
      <c r="M780" s="633"/>
    </row>
    <row r="781" spans="2:15" s="234" customFormat="1" ht="13.2" x14ac:dyDescent="0.25">
      <c r="B781" s="129" t="str">
        <f>IF('1. INTRO'!I$2="English","Costs to be co-funded","Kostnader att medfinansiera")</f>
        <v>Costs to be co-funded</v>
      </c>
      <c r="C781" s="634"/>
      <c r="D781" s="634"/>
      <c r="E781" s="634"/>
      <c r="F781" s="634"/>
      <c r="G781" s="634"/>
      <c r="H781" s="634"/>
      <c r="I781" s="634"/>
      <c r="J781" s="634"/>
      <c r="K781" s="634"/>
      <c r="L781" s="634"/>
      <c r="M781" s="129"/>
    </row>
    <row r="782" spans="2:15" s="234" customFormat="1" ht="13.2" x14ac:dyDescent="0.25">
      <c r="B782" s="159" t="str">
        <f>IF('1. INTRO'!I$2="English",(IF('2. START'!C$11="NO","Indirect and facility charge not accepted as OH by funding body","")),IF('2. START'!C$11="NO","Indirekt och lokalpåslag inte accepterade som OH av finansiär",""))</f>
        <v/>
      </c>
      <c r="C782" s="910">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910">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910">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910">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910">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910">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910">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910">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910">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910">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903">
        <f t="shared" ref="M782:M788" si="127">SUM(C782:L782)</f>
        <v>0</v>
      </c>
    </row>
    <row r="783" spans="2:15" s="234" customFormat="1" ht="12.75" customHeight="1" x14ac:dyDescent="0.25">
      <c r="B783" s="132" t="str">
        <f>IF('1. INTRO'!I$2="English",(IF('2. START'!C$14&gt;0,"Social costs (LKP) not accepted by funding body","")),IF('2. START'!C$14&gt;0,"LKP som inte accepteras av finansiär",""))</f>
        <v/>
      </c>
      <c r="C783" s="911">
        <f>IF('2. START'!$C$14&gt;0,SUMIF('5. PERSON'!$D$17:$D$192,$C771,'5. PERSON'!AT$17:AT$192)-SUMIF('5. PERSON'!$D$17:$D$192,$C771,'5. PERSON'!DN$17:DN$192),0)</f>
        <v>0</v>
      </c>
      <c r="D783" s="911">
        <f>IF('2. START'!$C$14&gt;0,SUMIF('5. PERSON'!$D$17:$D$192,$C771,'5. PERSON'!AU$17:AU$192)-SUMIF('5. PERSON'!$D$17:$D$192,$C771,'5. PERSON'!DO$17:DO$192),0)</f>
        <v>0</v>
      </c>
      <c r="E783" s="911">
        <f>IF('2. START'!$C$14&gt;0,SUMIF('5. PERSON'!$D$17:$D$192,$C771,'5. PERSON'!AV$17:AV$192)-SUMIF('5. PERSON'!$D$17:$D$192,$C771,'5. PERSON'!DP$17:DP$192),0)</f>
        <v>0</v>
      </c>
      <c r="F783" s="911">
        <f>IF('2. START'!$C$14&gt;0,SUMIF('5. PERSON'!$D$17:$D$192,$C771,'5. PERSON'!AW$17:AW$192)-SUMIF('5. PERSON'!$D$17:$D$192,$C771,'5. PERSON'!DQ$17:DQ$192),0)</f>
        <v>0</v>
      </c>
      <c r="G783" s="911">
        <f>IF('2. START'!$C$14&gt;0,SUMIF('5. PERSON'!$D$17:$D$192,$C771,'5. PERSON'!AX$17:AX$192)-SUMIF('5. PERSON'!$D$17:$D$192,$C771,'5. PERSON'!DR$17:DR$192),0)</f>
        <v>0</v>
      </c>
      <c r="H783" s="911">
        <f>IF('2. START'!$C$14&gt;0,SUMIF('5. PERSON'!$D$17:$D$192,$C771,'5. PERSON'!AY$17:AY$192)-SUMIF('5. PERSON'!$D$17:$D$192,$C771,'5. PERSON'!DS$17:DS$192),0)</f>
        <v>0</v>
      </c>
      <c r="I783" s="911">
        <f>IF('2. START'!$C$14&gt;0,SUMIF('5. PERSON'!$D$17:$D$192,$C771,'5. PERSON'!AZ$17:AZ$192)-SUMIF('5. PERSON'!$D$17:$D$192,$C771,'5. PERSON'!DT$17:DT$192),0)</f>
        <v>0</v>
      </c>
      <c r="J783" s="911">
        <f>IF('2. START'!$C$14&gt;0,SUMIF('5. PERSON'!$D$17:$D$192,$C771,'5. PERSON'!BA$17:BA$192)-SUMIF('5. PERSON'!$D$17:$D$192,$C771,'5. PERSON'!DU$17:DU$192),0)</f>
        <v>0</v>
      </c>
      <c r="K783" s="911">
        <f>IF('2. START'!$C$14&gt;0,SUMIF('5. PERSON'!$D$17:$D$192,$C771,'5. PERSON'!BB$17:BB$192)-SUMIF('5. PERSON'!$D$17:$D$192,$C771,'5. PERSON'!DV$17:DV$192),0)</f>
        <v>0</v>
      </c>
      <c r="L783" s="911">
        <f>IF('2. START'!$C$14&gt;0,SUMIF('5. PERSON'!$D$17:$D$192,$C771,'5. PERSON'!BC$17:BC$192)-SUMIF('5. PERSON'!$D$17:$D$192,$C771,'5. PERSON'!DW$17:DW$192),0)</f>
        <v>0</v>
      </c>
      <c r="M783" s="905">
        <f t="shared" si="127"/>
        <v>0</v>
      </c>
    </row>
    <row r="784" spans="2:15" s="234" customFormat="1" ht="12.75" customHeight="1" x14ac:dyDescent="0.25">
      <c r="B784" s="906" t="str">
        <f>IF('1. INTRO'!I$2="English",(IF('5. PERSON'!BP$193&gt;0,"Salary including social costs (LKP)","")),IF('5. PERSON'!BP$193&gt;0,"Lön inklusive LKP",""))</f>
        <v/>
      </c>
      <c r="C784" s="622">
        <f>SUMIF('5. PERSON'!$D$17:$D$192,$C771,'5. PERSON'!BF$17:BF$192)</f>
        <v>0</v>
      </c>
      <c r="D784" s="622">
        <f>SUMIF('5. PERSON'!$D$17:$D$192,$C771,'5. PERSON'!BG$17:BG$192)</f>
        <v>0</v>
      </c>
      <c r="E784" s="622">
        <f>SUMIF('5. PERSON'!$D$17:$D$192,$C771,'5. PERSON'!BH$17:BH$192)</f>
        <v>0</v>
      </c>
      <c r="F784" s="622">
        <f>SUMIF('5. PERSON'!$D$17:$D$192,$C771,'5. PERSON'!BI$17:BI$192)</f>
        <v>0</v>
      </c>
      <c r="G784" s="622">
        <f>SUMIF('5. PERSON'!$D$17:$D$192,$C771,'5. PERSON'!BJ$17:BJ$192)</f>
        <v>0</v>
      </c>
      <c r="H784" s="622">
        <f>SUMIF('5. PERSON'!$D$17:$D$192,$C771,'5. PERSON'!BK$17:BK$192)</f>
        <v>0</v>
      </c>
      <c r="I784" s="622">
        <f>SUMIF('5. PERSON'!$D$17:$D$192,$C771,'5. PERSON'!BL$17:BL$192)</f>
        <v>0</v>
      </c>
      <c r="J784" s="622">
        <f>SUMIF('5. PERSON'!$D$17:$D$192,$C771,'5. PERSON'!BM$17:BM$192)</f>
        <v>0</v>
      </c>
      <c r="K784" s="622">
        <f>SUMIF('5. PERSON'!$D$17:$D$192,$C771,'5. PERSON'!BN$17:BN$192)</f>
        <v>0</v>
      </c>
      <c r="L784" s="622">
        <f>SUMIF('5. PERSON'!$D$17:$D$192,$C771,'5. PERSON'!BO$17:BO$192)</f>
        <v>0</v>
      </c>
      <c r="M784" s="907">
        <f t="shared" si="127"/>
        <v>0</v>
      </c>
    </row>
    <row r="785" spans="2:15" s="234" customFormat="1" ht="13.2" x14ac:dyDescent="0.25">
      <c r="B785" s="377" t="str">
        <f>IF('1. INTRO'!I$2="English",(IF('6. OPERATION'!AS$150&gt;0,"Operating","")),IF('6. OPERATION'!AS$150&gt;0,"Drift",""))</f>
        <v/>
      </c>
      <c r="C785" s="617">
        <f>SUMIF('6. OPERATION'!$D$17:$D$149,$C771,'6. OPERATION'!AI$17:AI$149)</f>
        <v>0</v>
      </c>
      <c r="D785" s="617">
        <f>SUMIF('6. OPERATION'!$D$17:$D$149,$C771,'6. OPERATION'!AJ$17:AJ$149)</f>
        <v>0</v>
      </c>
      <c r="E785" s="617">
        <f>SUMIF('6. OPERATION'!$D$17:$D$149,$C771,'6. OPERATION'!AK$17:AK$149)</f>
        <v>0</v>
      </c>
      <c r="F785" s="617">
        <f>SUMIF('6. OPERATION'!$D$17:$D$149,$C771,'6. OPERATION'!AL$17:AL$149)</f>
        <v>0</v>
      </c>
      <c r="G785" s="617">
        <f>SUMIF('6. OPERATION'!$D$17:$D$149,$C771,'6. OPERATION'!AM$17:AM$149)</f>
        <v>0</v>
      </c>
      <c r="H785" s="617">
        <f>SUMIF('6. OPERATION'!$D$17:$D$149,$C771,'6. OPERATION'!AN$17:AN$149)</f>
        <v>0</v>
      </c>
      <c r="I785" s="617">
        <f>SUMIF('6. OPERATION'!$D$17:$D$149,$C771,'6. OPERATION'!AO$17:AO$149)</f>
        <v>0</v>
      </c>
      <c r="J785" s="617">
        <f>SUMIF('6. OPERATION'!$D$17:$D$149,$C771,'6. OPERATION'!AP$17:AP$149)</f>
        <v>0</v>
      </c>
      <c r="K785" s="617">
        <f>SUMIF('6. OPERATION'!$D$17:$D$149,$C771,'6. OPERATION'!AQ$17:AQ$149)</f>
        <v>0</v>
      </c>
      <c r="L785" s="617">
        <f>SUMIF('6. OPERATION'!$D$17:$D$149,$C771,'6. OPERATION'!AR$17:AR$149)</f>
        <v>0</v>
      </c>
      <c r="M785" s="905">
        <f t="shared" si="127"/>
        <v>0</v>
      </c>
    </row>
    <row r="786" spans="2:15" s="234" customFormat="1" ht="13.2" x14ac:dyDescent="0.25">
      <c r="B786" s="906" t="str">
        <f>IF('1. INTRO'!I$2="English",(IF('7. INVEST'!AS$50&gt;0,"Equipment","")),IF('7. INVEST'!AS$50&gt;0,"Utrustning",""))</f>
        <v/>
      </c>
      <c r="C786" s="622">
        <f>SUMIF('7. INVEST'!$D$17:$D$49,$C771,'7. INVEST'!AI$17:AI$49)</f>
        <v>0</v>
      </c>
      <c r="D786" s="622">
        <f>SUMIF('7. INVEST'!$D$17:$D$49,$C771,'7. INVEST'!AJ$17:AJ$49)</f>
        <v>0</v>
      </c>
      <c r="E786" s="622">
        <f>SUMIF('7. INVEST'!$D$17:$D$49,$C771,'7. INVEST'!AK$17:AK$49)</f>
        <v>0</v>
      </c>
      <c r="F786" s="622">
        <f>SUMIF('7. INVEST'!$D$17:$D$49,$C771,'7. INVEST'!AL$17:AL$49)</f>
        <v>0</v>
      </c>
      <c r="G786" s="622">
        <f>SUMIF('7. INVEST'!$D$17:$D$49,$C771,'7. INVEST'!AM$17:AM$49)</f>
        <v>0</v>
      </c>
      <c r="H786" s="622">
        <f>SUMIF('7. INVEST'!$D$17:$D$49,$C771,'7. INVEST'!AN$17:AN$49)</f>
        <v>0</v>
      </c>
      <c r="I786" s="622">
        <f>SUMIF('7. INVEST'!$D$17:$D$49,$C771,'7. INVEST'!AO$17:AO$49)</f>
        <v>0</v>
      </c>
      <c r="J786" s="622">
        <f>SUMIF('7. INVEST'!$D$17:$D$49,$C771,'7. INVEST'!AP$17:AP$49)</f>
        <v>0</v>
      </c>
      <c r="K786" s="622">
        <f>SUMIF('7. INVEST'!$D$17:$D$49,$C771,'7. INVEST'!AQ$17:AQ$49)</f>
        <v>0</v>
      </c>
      <c r="L786" s="622">
        <f>SUMIF('7. INVEST'!$D$17:$D$49,$C771,'7. INVEST'!AR$17:AR$49)</f>
        <v>0</v>
      </c>
      <c r="M786" s="907">
        <f t="shared" si="127"/>
        <v>0</v>
      </c>
    </row>
    <row r="787" spans="2:15" s="234" customFormat="1" ht="13.2" x14ac:dyDescent="0.25">
      <c r="B787" s="121" t="str">
        <f>IF('1. INTRO'!I$2="English",(IF('8. FACILIT'!AP$51&gt;0,"Facility","")),IF('8. FACILIT'!AP$51&gt;0,"Lokal",""))</f>
        <v/>
      </c>
      <c r="C787" s="617">
        <f>SUMIF('5. PERSON'!$D$17:$D$192,$C771,'5. PERSON'!DB$17:DB$192)+SUMIF('6. OPERATION'!$D$17:$D$149,$C771,'6. OPERATION'!CE$17:CE$149)+SUMIF('8. FACILIT'!$D$18:$D$50,$C771,'8. FACILIT'!AF$18:AF$50)</f>
        <v>0</v>
      </c>
      <c r="D787" s="617">
        <f>SUMIF('5. PERSON'!$D$17:$D$192,$C771,'5. PERSON'!DC$17:DC$192)+SUMIF('6. OPERATION'!$D$17:$D$149,$C771,'6. OPERATION'!CF$17:CF$149)+SUMIF('8. FACILIT'!$D$18:$D$50,$C771,'8. FACILIT'!AG$18:AG$50)</f>
        <v>0</v>
      </c>
      <c r="E787" s="617">
        <f>SUMIF('5. PERSON'!$D$17:$D$192,$C771,'5. PERSON'!DD$17:DD$192)+SUMIF('6. OPERATION'!$D$17:$D$149,$C771,'6. OPERATION'!CG$17:CG$149)+SUMIF('8. FACILIT'!$D$18:$D$50,$C771,'8. FACILIT'!AH$18:AH$50)</f>
        <v>0</v>
      </c>
      <c r="F787" s="617">
        <f>SUMIF('5. PERSON'!$D$17:$D$192,$C771,'5. PERSON'!DE$17:DE$192)+SUMIF('6. OPERATION'!$D$17:$D$149,$C771,'6. OPERATION'!CH$17:CH$149)+SUMIF('8. FACILIT'!$D$18:$D$50,$C771,'8. FACILIT'!AI$18:AI$50)</f>
        <v>0</v>
      </c>
      <c r="G787" s="617">
        <f>SUMIF('5. PERSON'!$D$17:$D$192,$C771,'5. PERSON'!DF$17:DF$192)+SUMIF('6. OPERATION'!$D$17:$D$149,$C771,'6. OPERATION'!CI$17:CI$149)+SUMIF('8. FACILIT'!$D$18:$D$50,$C771,'8. FACILIT'!AJ$18:AJ$50)</f>
        <v>0</v>
      </c>
      <c r="H787" s="617">
        <f>SUMIF('5. PERSON'!$D$17:$D$192,$C771,'5. PERSON'!DG$17:DG$192)+SUMIF('6. OPERATION'!$D$17:$D$149,$C771,'6. OPERATION'!CJ$17:CJ$149)+SUMIF('8. FACILIT'!$D$18:$D$50,$C771,'8. FACILIT'!AK$18:AK$50)</f>
        <v>0</v>
      </c>
      <c r="I787" s="617">
        <f>SUMIF('5. PERSON'!$D$17:$D$192,$C771,'5. PERSON'!DH$17:DH$192)+SUMIF('6. OPERATION'!$D$17:$D$149,$C771,'6. OPERATION'!CK$17:CK$149)+SUMIF('8. FACILIT'!$D$18:$D$50,$C771,'8. FACILIT'!AL$18:AL$50)</f>
        <v>0</v>
      </c>
      <c r="J787" s="617">
        <f>SUMIF('5. PERSON'!$D$17:$D$192,$C771,'5. PERSON'!DI$17:DI$192)+SUMIF('6. OPERATION'!$D$17:$D$149,$C771,'6. OPERATION'!CL$17:CL$149)+SUMIF('8. FACILIT'!$D$18:$D$50,$C771,'8. FACILIT'!AM$18:AM$50)</f>
        <v>0</v>
      </c>
      <c r="K787" s="617">
        <f>SUMIF('5. PERSON'!$D$17:$D$192,$C771,'5. PERSON'!DJ$17:DJ$192)+SUMIF('6. OPERATION'!$D$17:$D$149,$C771,'6. OPERATION'!CM$17:CM$149)+SUMIF('8. FACILIT'!$D$18:$D$50,$C771,'8. FACILIT'!AN$18:AN$50)</f>
        <v>0</v>
      </c>
      <c r="L787" s="617">
        <f>SUMIF('5. PERSON'!$D$17:$D$192,$C771,'5. PERSON'!DK$17:DK$192)+SUMIF('6. OPERATION'!$D$17:$D$149,$C771,'6. OPERATION'!CN$17:CN$149)+SUMIF('8. FACILIT'!$D$18:$D$50,$C771,'8. FACILIT'!AO$18:AO$50)</f>
        <v>0</v>
      </c>
      <c r="M787" s="905">
        <f t="shared" si="127"/>
        <v>0</v>
      </c>
    </row>
    <row r="788" spans="2:15" s="912" customFormat="1" ht="13.2" x14ac:dyDescent="0.25">
      <c r="B788" s="122" t="str">
        <f>IF('1. INTRO'!I$2="English",(IF(('5. PERSON'!CN$193+'6. OPERATION'!BQ$150)&gt;0,"Indirect","")),IF(('5. PERSON'!CN$193+'6. OPERATION'!BQ$150)&gt;0,"Indirekt",""))</f>
        <v/>
      </c>
      <c r="C788" s="584">
        <f>SUMIF('5. PERSON'!$D$17:$D$192,$C771,'5. PERSON'!CD$17:CD$192)+SUMIF('6. OPERATION'!$D$17:$D$149,$C771,'6. OPERATION'!BG$17:BG$149)</f>
        <v>0</v>
      </c>
      <c r="D788" s="584">
        <f>SUMIF('5. PERSON'!$D$17:$D$192,$C771,'5. PERSON'!CE$17:CE$192)+SUMIF('6. OPERATION'!$D$17:$D$149,$C771,'6. OPERATION'!BH$17:BH$149)</f>
        <v>0</v>
      </c>
      <c r="E788" s="584">
        <f>SUMIF('5. PERSON'!$D$17:$D$192,$C771,'5. PERSON'!CF$17:CF$192)+SUMIF('6. OPERATION'!$D$17:$D$149,$C771,'6. OPERATION'!BI$17:BI$149)</f>
        <v>0</v>
      </c>
      <c r="F788" s="584">
        <f>SUMIF('5. PERSON'!$D$17:$D$192,$C771,'5. PERSON'!CG$17:CG$192)+SUMIF('6. OPERATION'!$D$17:$D$149,$C771,'6. OPERATION'!BJ$17:BJ$149)</f>
        <v>0</v>
      </c>
      <c r="G788" s="584">
        <f>SUMIF('5. PERSON'!$D$17:$D$192,$C771,'5. PERSON'!CH$17:CH$192)+SUMIF('6. OPERATION'!$D$17:$D$149,$C771,'6. OPERATION'!BK$17:BK$149)</f>
        <v>0</v>
      </c>
      <c r="H788" s="584">
        <f>SUMIF('5. PERSON'!$D$17:$D$192,$C771,'5. PERSON'!CI$17:CI$192)+SUMIF('6. OPERATION'!$D$17:$D$149,$C771,'6. OPERATION'!BL$17:BL$149)</f>
        <v>0</v>
      </c>
      <c r="I788" s="584">
        <f>SUMIF('5. PERSON'!$D$17:$D$192,$C771,'5. PERSON'!CJ$17:CJ$192)+SUMIF('6. OPERATION'!$D$17:$D$149,$C771,'6. OPERATION'!BM$17:BM$149)</f>
        <v>0</v>
      </c>
      <c r="J788" s="584">
        <f>SUMIF('5. PERSON'!$D$17:$D$192,$C771,'5. PERSON'!CK$17:CK$192)+SUMIF('6. OPERATION'!$D$17:$D$149,$C771,'6. OPERATION'!BN$17:BN$149)</f>
        <v>0</v>
      </c>
      <c r="K788" s="584">
        <f>SUMIF('5. PERSON'!$D$17:$D$192,$C771,'5. PERSON'!CL$17:CL$192)+SUMIF('6. OPERATION'!$D$17:$D$149,$C771,'6. OPERATION'!BO$17:BO$149)</f>
        <v>0</v>
      </c>
      <c r="L788" s="584">
        <f>SUMIF('5. PERSON'!$D$17:$D$192,$C771,'5. PERSON'!CM$17:CM$192)+SUMIF('6. OPERATION'!$D$17:$D$149,$C771,'6. OPERATION'!BP$17:BP$149)</f>
        <v>0</v>
      </c>
      <c r="M788" s="908">
        <f t="shared" si="127"/>
        <v>0</v>
      </c>
    </row>
    <row r="789" spans="2:15" s="234" customFormat="1" ht="13.2" x14ac:dyDescent="0.25">
      <c r="B789" s="628" t="s">
        <v>113</v>
      </c>
      <c r="C789" s="443">
        <f>SUM(C782:C788)</f>
        <v>0</v>
      </c>
      <c r="D789" s="443">
        <f t="shared" ref="D789:M789" si="128">SUM(D782:D788)</f>
        <v>0</v>
      </c>
      <c r="E789" s="443">
        <f t="shared" si="128"/>
        <v>0</v>
      </c>
      <c r="F789" s="443">
        <f t="shared" si="128"/>
        <v>0</v>
      </c>
      <c r="G789" s="443">
        <f t="shared" si="128"/>
        <v>0</v>
      </c>
      <c r="H789" s="443">
        <f t="shared" si="128"/>
        <v>0</v>
      </c>
      <c r="I789" s="443">
        <f t="shared" si="128"/>
        <v>0</v>
      </c>
      <c r="J789" s="443">
        <f t="shared" si="128"/>
        <v>0</v>
      </c>
      <c r="K789" s="443">
        <f t="shared" si="128"/>
        <v>0</v>
      </c>
      <c r="L789" s="443">
        <f t="shared" si="128"/>
        <v>0</v>
      </c>
      <c r="M789" s="630">
        <f t="shared" si="128"/>
        <v>0</v>
      </c>
      <c r="N789" s="913"/>
      <c r="O789" s="913"/>
    </row>
    <row r="790" spans="2:15" s="234" customFormat="1" ht="6" customHeight="1" x14ac:dyDescent="0.25">
      <c r="B790" s="914"/>
      <c r="C790" s="127"/>
      <c r="D790" s="127"/>
      <c r="E790" s="127"/>
      <c r="F790" s="127"/>
      <c r="G790" s="127"/>
      <c r="H790" s="127"/>
      <c r="I790" s="127"/>
      <c r="J790" s="127"/>
      <c r="K790" s="127"/>
      <c r="L790" s="127"/>
      <c r="M790" s="636"/>
    </row>
    <row r="791" spans="2:15" s="234" customFormat="1" ht="13.2" x14ac:dyDescent="0.25">
      <c r="B791" s="129" t="str">
        <f>IF('1. INTRO'!I$2="English","Full cost","Full kostnad")</f>
        <v>Full cost</v>
      </c>
      <c r="C791" s="127"/>
      <c r="D791" s="127"/>
      <c r="E791" s="127"/>
      <c r="F791" s="127"/>
      <c r="G791" s="127"/>
      <c r="H791" s="127"/>
      <c r="I791" s="127"/>
      <c r="J791" s="127"/>
      <c r="K791" s="127"/>
      <c r="L791" s="127"/>
      <c r="M791" s="636"/>
    </row>
    <row r="792" spans="2:15" s="234" customFormat="1" ht="13.2" x14ac:dyDescent="0.25">
      <c r="B792" s="902" t="str">
        <f>IF('1. INTRO'!I$2="English","Salary including social costs (LKP)","Lön inklusive LKP")</f>
        <v>Salary including social costs (LKP)</v>
      </c>
      <c r="C792" s="138">
        <f>C774+C783+C784</f>
        <v>0</v>
      </c>
      <c r="D792" s="138">
        <f t="shared" ref="D792:L792" si="129">D774+D783+D784</f>
        <v>0</v>
      </c>
      <c r="E792" s="138">
        <f t="shared" si="129"/>
        <v>0</v>
      </c>
      <c r="F792" s="138">
        <f t="shared" si="129"/>
        <v>0</v>
      </c>
      <c r="G792" s="138">
        <f t="shared" si="129"/>
        <v>0</v>
      </c>
      <c r="H792" s="138">
        <f t="shared" si="129"/>
        <v>0</v>
      </c>
      <c r="I792" s="138">
        <f t="shared" si="129"/>
        <v>0</v>
      </c>
      <c r="J792" s="138">
        <f t="shared" si="129"/>
        <v>0</v>
      </c>
      <c r="K792" s="138">
        <f t="shared" si="129"/>
        <v>0</v>
      </c>
      <c r="L792" s="138">
        <f t="shared" si="129"/>
        <v>0</v>
      </c>
      <c r="M792" s="903">
        <f>SUM(C792:L792)</f>
        <v>0</v>
      </c>
    </row>
    <row r="793" spans="2:15" s="234" customFormat="1" ht="13.2" x14ac:dyDescent="0.25">
      <c r="B793" s="377" t="str">
        <f>IF('1. INTRO'!I$2="English","Operating","Drift")</f>
        <v>Operating</v>
      </c>
      <c r="C793" s="139">
        <f>C775+C785</f>
        <v>0</v>
      </c>
      <c r="D793" s="139">
        <f t="shared" ref="D793:L793" si="130">D775+D785</f>
        <v>0</v>
      </c>
      <c r="E793" s="139">
        <f t="shared" si="130"/>
        <v>0</v>
      </c>
      <c r="F793" s="139">
        <f t="shared" si="130"/>
        <v>0</v>
      </c>
      <c r="G793" s="139">
        <f t="shared" si="130"/>
        <v>0</v>
      </c>
      <c r="H793" s="139">
        <f t="shared" si="130"/>
        <v>0</v>
      </c>
      <c r="I793" s="139">
        <f t="shared" si="130"/>
        <v>0</v>
      </c>
      <c r="J793" s="139">
        <f t="shared" si="130"/>
        <v>0</v>
      </c>
      <c r="K793" s="139">
        <f t="shared" si="130"/>
        <v>0</v>
      </c>
      <c r="L793" s="139">
        <f t="shared" si="130"/>
        <v>0</v>
      </c>
      <c r="M793" s="905">
        <f>SUM(C793:L793)</f>
        <v>0</v>
      </c>
    </row>
    <row r="794" spans="2:15" s="234" customFormat="1" ht="13.2" x14ac:dyDescent="0.25">
      <c r="B794" s="906" t="str">
        <f>IF('1. INTRO'!I$2="English","Equipment","Utrustning")</f>
        <v>Equipment</v>
      </c>
      <c r="C794" s="140">
        <f>C776+C786</f>
        <v>0</v>
      </c>
      <c r="D794" s="140">
        <f t="shared" ref="D794:L794" si="131">D776+D786</f>
        <v>0</v>
      </c>
      <c r="E794" s="140">
        <f t="shared" si="131"/>
        <v>0</v>
      </c>
      <c r="F794" s="140">
        <f t="shared" si="131"/>
        <v>0</v>
      </c>
      <c r="G794" s="140">
        <f t="shared" si="131"/>
        <v>0</v>
      </c>
      <c r="H794" s="140">
        <f t="shared" si="131"/>
        <v>0</v>
      </c>
      <c r="I794" s="140">
        <f t="shared" si="131"/>
        <v>0</v>
      </c>
      <c r="J794" s="140">
        <f t="shared" si="131"/>
        <v>0</v>
      </c>
      <c r="K794" s="140">
        <f t="shared" si="131"/>
        <v>0</v>
      </c>
      <c r="L794" s="140">
        <f t="shared" si="131"/>
        <v>0</v>
      </c>
      <c r="M794" s="907">
        <f>SUM(C794:L794)</f>
        <v>0</v>
      </c>
    </row>
    <row r="795" spans="2:15" s="234" customFormat="1" ht="13.2" x14ac:dyDescent="0.25">
      <c r="B795" s="377" t="str">
        <f>IF('1. INTRO'!I$2="English","Facility","Lokal")</f>
        <v>Facility</v>
      </c>
      <c r="C795" s="139">
        <f>SUMIF('5. PERSON'!$D$17:$D$192,$C771,'5. PERSON'!CP$17:CP$192)+SUMIF('5. PERSON'!$D$17:$D$192,$C771,'5. PERSON'!DB$17:DB$192)+SUMIF('6. OPERATION'!$D$17:$D$149,$C771,'6. OPERATION'!BS$17:BS$149)+SUMIF('6. OPERATION'!$D$17:$D$149,$C771,'6. OPERATION'!CE$17:CE$149)+SUMIF('8. FACILIT'!$D$18:$D$50,$C771,'8. FACILIT'!T$18:T$50)+SUMIF('8. FACILIT'!$D$18:$D$50,$C771,'8. FACILIT'!AF$18:AF$50)</f>
        <v>0</v>
      </c>
      <c r="D795" s="139">
        <f>SUMIF('5. PERSON'!$D$17:$D$192,$C771,'5. PERSON'!CQ$17:CQ$192)+SUMIF('5. PERSON'!$D$17:$D$192,$C771,'5. PERSON'!DC$17:DC$192)+SUMIF('6. OPERATION'!$D$17:$D$149,$C771,'6. OPERATION'!BT$17:BT$149)+SUMIF('6. OPERATION'!$D$17:$D$149,$C771,'6. OPERATION'!CF$17:CF$149)+SUMIF('8. FACILIT'!$D$18:$D$50,$C771,'8. FACILIT'!U$18:U$50)+SUMIF('8. FACILIT'!$D$18:$D$50,$C771,'8. FACILIT'!AG$18:AG$50)</f>
        <v>0</v>
      </c>
      <c r="E795" s="139">
        <f>SUMIF('5. PERSON'!$D$17:$D$192,$C771,'5. PERSON'!CR$17:CR$192)+SUMIF('5. PERSON'!$D$17:$D$192,$C771,'5. PERSON'!DD$17:DD$192)+SUMIF('6. OPERATION'!$D$17:$D$149,$C771,'6. OPERATION'!BU$17:BU$149)+SUMIF('6. OPERATION'!$D$17:$D$149,$C771,'6. OPERATION'!CG$17:CG$149)+SUMIF('8. FACILIT'!$D$18:$D$50,$C771,'8. FACILIT'!V$18:V$50)+SUMIF('8. FACILIT'!$D$18:$D$50,$C771,'8. FACILIT'!AH$18:AH$50)</f>
        <v>0</v>
      </c>
      <c r="F795" s="139">
        <f>SUMIF('5. PERSON'!$D$17:$D$192,$C771,'5. PERSON'!CS$17:CS$192)+SUMIF('5. PERSON'!$D$17:$D$192,$C771,'5. PERSON'!DE$17:DE$192)+SUMIF('6. OPERATION'!$D$17:$D$149,$C771,'6. OPERATION'!BV$17:BV$149)+SUMIF('6. OPERATION'!$D$17:$D$149,$C771,'6. OPERATION'!CH$17:CH$149)+SUMIF('8. FACILIT'!$D$18:$D$50,$C771,'8. FACILIT'!W$18:W$50)+SUMIF('8. FACILIT'!$D$18:$D$50,$C771,'8. FACILIT'!AI$18:AI$50)</f>
        <v>0</v>
      </c>
      <c r="G795" s="139">
        <f>SUMIF('5. PERSON'!$D$17:$D$192,$C771,'5. PERSON'!CT$17:CT$192)+SUMIF('5. PERSON'!$D$17:$D$192,$C771,'5. PERSON'!DF$17:DF$192)+SUMIF('6. OPERATION'!$D$17:$D$149,$C771,'6. OPERATION'!BW$17:BW$149)+SUMIF('6. OPERATION'!$D$17:$D$149,$C771,'6. OPERATION'!CI$17:CI$149)+SUMIF('8. FACILIT'!$D$18:$D$50,$C771,'8. FACILIT'!X$18:X$50)+SUMIF('8. FACILIT'!$D$18:$D$50,$C771,'8. FACILIT'!AJ$18:AJ$50)</f>
        <v>0</v>
      </c>
      <c r="H795" s="139">
        <f>SUMIF('5. PERSON'!$D$17:$D$192,$C771,'5. PERSON'!CU$17:CU$192)+SUMIF('5. PERSON'!$D$17:$D$192,$C771,'5. PERSON'!DG$17:DG$192)+SUMIF('6. OPERATION'!$D$17:$D$149,$C771,'6. OPERATION'!BX$17:BX$149)+SUMIF('6. OPERATION'!$D$17:$D$149,$C771,'6. OPERATION'!CJ$17:CJ$149)+SUMIF('8. FACILIT'!$D$18:$D$50,$C771,'8. FACILIT'!Y$18:Y$50)+SUMIF('8. FACILIT'!$D$18:$D$50,$C771,'8. FACILIT'!AK$18:AK$50)</f>
        <v>0</v>
      </c>
      <c r="I795" s="139">
        <f>SUMIF('5. PERSON'!$D$17:$D$192,$C771,'5. PERSON'!CV$17:CV$192)+SUMIF('5. PERSON'!$D$17:$D$192,$C771,'5. PERSON'!DH$17:DH$192)+SUMIF('6. OPERATION'!$D$17:$D$149,$C771,'6. OPERATION'!BY$17:BY$149)+SUMIF('6. OPERATION'!$D$17:$D$149,$C771,'6. OPERATION'!CK$17:CK$149)+SUMIF('8. FACILIT'!$D$18:$D$50,$C771,'8. FACILIT'!Z$18:Z$50)+SUMIF('8. FACILIT'!$D$18:$D$50,$C771,'8. FACILIT'!AL$18:AL$50)</f>
        <v>0</v>
      </c>
      <c r="J795" s="139">
        <f>SUMIF('5. PERSON'!$D$17:$D$192,$C771,'5. PERSON'!CW$17:CW$192)+SUMIF('5. PERSON'!$D$17:$D$192,$C771,'5. PERSON'!DI$17:DI$192)+SUMIF('6. OPERATION'!$D$17:$D$149,$C771,'6. OPERATION'!BZ$17:BZ$149)+SUMIF('6. OPERATION'!$D$17:$D$149,$C771,'6. OPERATION'!CL$17:CL$149)+SUMIF('8. FACILIT'!$D$18:$D$50,$C771,'8. FACILIT'!AA$18:AA$50)+SUMIF('8. FACILIT'!$D$18:$D$50,$C771,'8. FACILIT'!AM$18:AM$50)</f>
        <v>0</v>
      </c>
      <c r="K795" s="139">
        <f>SUMIF('5. PERSON'!$D$17:$D$192,$C771,'5. PERSON'!CX$17:CX$192)+SUMIF('5. PERSON'!$D$17:$D$192,$C771,'5. PERSON'!DJ$17:DJ$192)+SUMIF('6. OPERATION'!$D$17:$D$149,$C771,'6. OPERATION'!CA$17:CA$149)+SUMIF('6. OPERATION'!$D$17:$D$149,$C771,'6. OPERATION'!CM$17:CM$149)+SUMIF('8. FACILIT'!$D$18:$D$50,$C771,'8. FACILIT'!AB$18:AB$50)+SUMIF('8. FACILIT'!$D$18:$D$50,$C771,'8. FACILIT'!AN$18:AN$50)</f>
        <v>0</v>
      </c>
      <c r="L795" s="139">
        <f>SUMIF('5. PERSON'!$D$17:$D$192,$C771,'5. PERSON'!CY$17:CY$192)+SUMIF('5. PERSON'!$D$17:$D$192,$C771,'5. PERSON'!DK$17:DK$192)+SUMIF('6. OPERATION'!$D$17:$D$149,$C771,'6. OPERATION'!CB$17:CB$149)+SUMIF('6. OPERATION'!$D$17:$D$149,$C771,'6. OPERATION'!CN$17:CN$149)+SUMIF('8. FACILIT'!$D$18:$D$50,$C771,'8. FACILIT'!AC$18:AC$50)+SUMIF('8. FACILIT'!$D$18:$D$50,$C771,'8. FACILIT'!AO$18:AO$50)</f>
        <v>0</v>
      </c>
      <c r="M795" s="905">
        <f>SUM(C795:L795)</f>
        <v>0</v>
      </c>
    </row>
    <row r="796" spans="2:15" s="234" customFormat="1" ht="13.2" x14ac:dyDescent="0.25">
      <c r="B796" s="915" t="str">
        <f>IF('1. INTRO'!I$2="English","Indirect","Indirekt")</f>
        <v>Indirect</v>
      </c>
      <c r="C796" s="141">
        <f>SUMIF('5. PERSON'!$D$17:$D$192,$C771,'5. PERSON'!BR$17:BR$192)+SUMIF('5. PERSON'!$D$17:$D$192,$C771,'5. PERSON'!CD$17:CD$192)+SUMIF('6. OPERATION'!$D$17:$D$149,$C771,'6. OPERATION'!AU$17:AU$149)+SUMIF('6. OPERATION'!$D$17:$D$149,$C771,'6. OPERATION'!BG$17:BG$149)</f>
        <v>0</v>
      </c>
      <c r="D796" s="141">
        <f>SUMIF('5. PERSON'!$D$17:$D$192,$C771,'5. PERSON'!BS$17:BS$192)+SUMIF('5. PERSON'!$D$17:$D$192,$C771,'5. PERSON'!CE$17:CE$192)+SUMIF('6. OPERATION'!$D$17:$D$149,$C771,'6. OPERATION'!AV$17:AV$149)+SUMIF('6. OPERATION'!$D$17:$D$149,$C771,'6. OPERATION'!BH$17:BH$149)</f>
        <v>0</v>
      </c>
      <c r="E796" s="141">
        <f>SUMIF('5. PERSON'!$D$17:$D$192,$C771,'5. PERSON'!BT$17:BT$192)+SUMIF('5. PERSON'!$D$17:$D$192,$C771,'5. PERSON'!CF$17:CF$192)+SUMIF('6. OPERATION'!$D$17:$D$149,$C771,'6. OPERATION'!AW$17:AW$149)+SUMIF('6. OPERATION'!$D$17:$D$149,$C771,'6. OPERATION'!BI$17:BI$149)</f>
        <v>0</v>
      </c>
      <c r="F796" s="141">
        <f>SUMIF('5. PERSON'!$D$17:$D$192,$C771,'5. PERSON'!BU$17:BU$192)+SUMIF('5. PERSON'!$D$17:$D$192,$C771,'5. PERSON'!CG$17:CG$192)+SUMIF('6. OPERATION'!$D$17:$D$149,$C771,'6. OPERATION'!AX$17:AX$149)+SUMIF('6. OPERATION'!$D$17:$D$149,$C771,'6. OPERATION'!BJ$17:BJ$149)</f>
        <v>0</v>
      </c>
      <c r="G796" s="141">
        <f>SUMIF('5. PERSON'!$D$17:$D$192,$C771,'5. PERSON'!BV$17:BV$192)+SUMIF('5. PERSON'!$D$17:$D$192,$C771,'5. PERSON'!CH$17:CH$192)+SUMIF('6. OPERATION'!$D$17:$D$149,$C771,'6. OPERATION'!AY$17:AY$149)+SUMIF('6. OPERATION'!$D$17:$D$149,$C771,'6. OPERATION'!BK$17:BK$149)</f>
        <v>0</v>
      </c>
      <c r="H796" s="141">
        <f>SUMIF('5. PERSON'!$D$17:$D$192,$C771,'5. PERSON'!BW$17:BW$192)+SUMIF('5. PERSON'!$D$17:$D$192,$C771,'5. PERSON'!CI$17:CI$192)+SUMIF('6. OPERATION'!$D$17:$D$149,$C771,'6. OPERATION'!AZ$17:AZ$149)+SUMIF('6. OPERATION'!$D$17:$D$149,$C771,'6. OPERATION'!BL$17:BL$149)</f>
        <v>0</v>
      </c>
      <c r="I796" s="141">
        <f>SUMIF('5. PERSON'!$D$17:$D$192,$C771,'5. PERSON'!BX$17:BX$192)+SUMIF('5. PERSON'!$D$17:$D$192,$C771,'5. PERSON'!CJ$17:CJ$192)+SUMIF('6. OPERATION'!$D$17:$D$149,$C771,'6. OPERATION'!BA$17:BA$149)+SUMIF('6. OPERATION'!$D$17:$D$149,$C771,'6. OPERATION'!BM$17:BM$149)</f>
        <v>0</v>
      </c>
      <c r="J796" s="141">
        <f>SUMIF('5. PERSON'!$D$17:$D$192,$C771,'5. PERSON'!BY$17:BY$192)+SUMIF('5. PERSON'!$D$17:$D$192,$C771,'5. PERSON'!CK$17:CK$192)+SUMIF('6. OPERATION'!$D$17:$D$149,$C771,'6. OPERATION'!BB$17:BB$149)+SUMIF('6. OPERATION'!$D$17:$D$149,$C771,'6. OPERATION'!BN$17:BN$149)</f>
        <v>0</v>
      </c>
      <c r="K796" s="141">
        <f>SUMIF('5. PERSON'!$D$17:$D$192,$C771,'5. PERSON'!BZ$17:BZ$192)+SUMIF('5. PERSON'!$D$17:$D$192,$C771,'5. PERSON'!CL$17:CL$192)+SUMIF('6. OPERATION'!$D$17:$D$149,$C771,'6. OPERATION'!BC$17:BC$149)+SUMIF('6. OPERATION'!$D$17:$D$149,$C771,'6. OPERATION'!BO$17:BO$149)</f>
        <v>0</v>
      </c>
      <c r="L796" s="141">
        <f>SUMIF('5. PERSON'!$D$17:$D$192,$C771,'5. PERSON'!CA$17:CA$192)+SUMIF('5. PERSON'!$D$17:$D$192,$C771,'5. PERSON'!CM$17:CM$192)+SUMIF('6. OPERATION'!$D$17:$D$149,$C771,'6. OPERATION'!BD$17:BD$149)+SUMIF('6. OPERATION'!$D$17:$D$149,$C771,'6. OPERATION'!BP$17:BP$149)</f>
        <v>0</v>
      </c>
      <c r="M796" s="908">
        <f>SUM(C796:L796)</f>
        <v>0</v>
      </c>
    </row>
    <row r="797" spans="2:15" s="234" customFormat="1" ht="13.2" x14ac:dyDescent="0.25">
      <c r="B797" s="628" t="s">
        <v>113</v>
      </c>
      <c r="C797" s="520">
        <f>SUM(C792:C796)</f>
        <v>0</v>
      </c>
      <c r="D797" s="520">
        <f t="shared" ref="D797:M797" si="132">SUM(D792:D796)</f>
        <v>0</v>
      </c>
      <c r="E797" s="520">
        <f t="shared" si="132"/>
        <v>0</v>
      </c>
      <c r="F797" s="520">
        <f t="shared" si="132"/>
        <v>0</v>
      </c>
      <c r="G797" s="520">
        <f t="shared" si="132"/>
        <v>0</v>
      </c>
      <c r="H797" s="520">
        <f t="shared" si="132"/>
        <v>0</v>
      </c>
      <c r="I797" s="520">
        <f t="shared" si="132"/>
        <v>0</v>
      </c>
      <c r="J797" s="520">
        <f t="shared" si="132"/>
        <v>0</v>
      </c>
      <c r="K797" s="520">
        <f t="shared" si="132"/>
        <v>0</v>
      </c>
      <c r="L797" s="520">
        <f t="shared" si="132"/>
        <v>0</v>
      </c>
      <c r="M797" s="916">
        <f t="shared" si="132"/>
        <v>0</v>
      </c>
    </row>
    <row r="798" spans="2:15" s="234" customFormat="1" ht="13.2" x14ac:dyDescent="0.25">
      <c r="B798" s="676"/>
      <c r="C798" s="268"/>
      <c r="D798" s="268"/>
      <c r="E798" s="268"/>
      <c r="F798" s="268"/>
      <c r="G798" s="268"/>
      <c r="H798" s="268"/>
      <c r="I798" s="268"/>
      <c r="J798" s="268"/>
      <c r="K798" s="268"/>
      <c r="L798" s="268"/>
      <c r="M798" s="268"/>
    </row>
    <row r="799" spans="2:15" s="234" customFormat="1" ht="12.75" customHeight="1" x14ac:dyDescent="0.25">
      <c r="B799" s="676" t="str">
        <f>IF('1. INTRO'!I$2="English","Co-funding share in full cost ","Medfinansieringsandel i full kostnad ")</f>
        <v xml:space="preserve">Co-funding share in full cost </v>
      </c>
      <c r="C799" s="640" t="str">
        <f t="shared" ref="C799:M799" si="133">IF(C797&gt;0,C789/C797,"")</f>
        <v/>
      </c>
      <c r="D799" s="640" t="str">
        <f t="shared" si="133"/>
        <v/>
      </c>
      <c r="E799" s="640" t="str">
        <f t="shared" si="133"/>
        <v/>
      </c>
      <c r="F799" s="640" t="str">
        <f t="shared" si="133"/>
        <v/>
      </c>
      <c r="G799" s="640" t="str">
        <f t="shared" si="133"/>
        <v/>
      </c>
      <c r="H799" s="640" t="str">
        <f t="shared" si="133"/>
        <v/>
      </c>
      <c r="I799" s="640" t="str">
        <f t="shared" si="133"/>
        <v/>
      </c>
      <c r="J799" s="640" t="str">
        <f t="shared" si="133"/>
        <v/>
      </c>
      <c r="K799" s="640" t="str">
        <f t="shared" si="133"/>
        <v/>
      </c>
      <c r="L799" s="640" t="str">
        <f t="shared" si="133"/>
        <v/>
      </c>
      <c r="M799" s="640" t="str">
        <f t="shared" si="133"/>
        <v/>
      </c>
    </row>
    <row r="800" spans="2:15" s="268" customFormat="1" ht="12.75" customHeight="1" x14ac:dyDescent="0.25"/>
    <row r="801" spans="2:13" s="268" customFormat="1" ht="12.75" customHeight="1" x14ac:dyDescent="0.25">
      <c r="B801" s="667" t="str">
        <f>IF('1. INTRO'!I$2="English","Calculation comments","Kalkylkommentarer")</f>
        <v>Calculation comments</v>
      </c>
    </row>
    <row r="802" spans="2:13" s="268" customFormat="1" ht="12.75" customHeight="1" x14ac:dyDescent="0.25">
      <c r="B802" s="1264"/>
      <c r="C802" s="1265"/>
      <c r="D802" s="1265"/>
      <c r="E802" s="1265"/>
      <c r="F802" s="1265"/>
      <c r="G802" s="1265"/>
      <c r="H802" s="1265"/>
      <c r="I802" s="1265"/>
      <c r="J802" s="1265"/>
      <c r="K802" s="1265"/>
      <c r="L802" s="1265"/>
      <c r="M802" s="1266"/>
    </row>
    <row r="803" spans="2:13" s="268" customFormat="1" ht="12.75" customHeight="1" x14ac:dyDescent="0.25">
      <c r="B803" s="1267"/>
      <c r="C803" s="1268"/>
      <c r="D803" s="1268"/>
      <c r="E803" s="1268"/>
      <c r="F803" s="1268"/>
      <c r="G803" s="1268"/>
      <c r="H803" s="1268"/>
      <c r="I803" s="1268"/>
      <c r="J803" s="1268"/>
      <c r="K803" s="1268"/>
      <c r="L803" s="1268"/>
      <c r="M803" s="1269"/>
    </row>
    <row r="804" spans="2:13" s="268" customFormat="1" ht="12.75" customHeight="1" x14ac:dyDescent="0.25">
      <c r="B804" s="1267"/>
      <c r="C804" s="1268"/>
      <c r="D804" s="1268"/>
      <c r="E804" s="1268"/>
      <c r="F804" s="1268"/>
      <c r="G804" s="1268"/>
      <c r="H804" s="1268"/>
      <c r="I804" s="1268"/>
      <c r="J804" s="1268"/>
      <c r="K804" s="1268"/>
      <c r="L804" s="1268"/>
      <c r="M804" s="1269"/>
    </row>
    <row r="805" spans="2:13" s="268" customFormat="1" ht="12.75" customHeight="1" x14ac:dyDescent="0.25">
      <c r="B805" s="1267"/>
      <c r="C805" s="1268"/>
      <c r="D805" s="1268"/>
      <c r="E805" s="1268"/>
      <c r="F805" s="1268"/>
      <c r="G805" s="1268"/>
      <c r="H805" s="1268"/>
      <c r="I805" s="1268"/>
      <c r="J805" s="1268"/>
      <c r="K805" s="1268"/>
      <c r="L805" s="1268"/>
      <c r="M805" s="1269"/>
    </row>
    <row r="806" spans="2:13" s="268" customFormat="1" ht="12.75" customHeight="1" x14ac:dyDescent="0.25">
      <c r="B806" s="1267"/>
      <c r="C806" s="1268"/>
      <c r="D806" s="1268"/>
      <c r="E806" s="1268"/>
      <c r="F806" s="1268"/>
      <c r="G806" s="1268"/>
      <c r="H806" s="1268"/>
      <c r="I806" s="1268"/>
      <c r="J806" s="1268"/>
      <c r="K806" s="1268"/>
      <c r="L806" s="1268"/>
      <c r="M806" s="1269"/>
    </row>
    <row r="807" spans="2:13" s="268" customFormat="1" ht="12.75" customHeight="1" x14ac:dyDescent="0.25">
      <c r="B807" s="1270"/>
      <c r="C807" s="1271"/>
      <c r="D807" s="1271"/>
      <c r="E807" s="1271"/>
      <c r="F807" s="1271"/>
      <c r="G807" s="1271"/>
      <c r="H807" s="1271"/>
      <c r="I807" s="1271"/>
      <c r="J807" s="1271"/>
      <c r="K807" s="1271"/>
      <c r="L807" s="1271"/>
      <c r="M807" s="1272"/>
    </row>
    <row r="808" spans="2:13" s="268" customFormat="1" x14ac:dyDescent="0.25">
      <c r="B808" s="1270"/>
      <c r="C808" s="1271"/>
      <c r="D808" s="1271"/>
      <c r="E808" s="1271"/>
      <c r="F808" s="1271"/>
      <c r="G808" s="1271"/>
      <c r="H808" s="1271"/>
      <c r="I808" s="1271"/>
      <c r="J808" s="1271"/>
      <c r="K808" s="1271"/>
      <c r="L808" s="1271"/>
      <c r="M808" s="1272"/>
    </row>
    <row r="809" spans="2:13" s="268" customFormat="1" x14ac:dyDescent="0.25">
      <c r="B809" s="1270"/>
      <c r="C809" s="1271"/>
      <c r="D809" s="1271"/>
      <c r="E809" s="1271"/>
      <c r="F809" s="1271"/>
      <c r="G809" s="1271"/>
      <c r="H809" s="1271"/>
      <c r="I809" s="1271"/>
      <c r="J809" s="1271"/>
      <c r="K809" s="1271"/>
      <c r="L809" s="1271"/>
      <c r="M809" s="1272"/>
    </row>
    <row r="810" spans="2:13" s="268" customFormat="1" x14ac:dyDescent="0.25">
      <c r="B810" s="1270"/>
      <c r="C810" s="1271"/>
      <c r="D810" s="1271"/>
      <c r="E810" s="1271"/>
      <c r="F810" s="1271"/>
      <c r="G810" s="1271"/>
      <c r="H810" s="1271"/>
      <c r="I810" s="1271"/>
      <c r="J810" s="1271"/>
      <c r="K810" s="1271"/>
      <c r="L810" s="1271"/>
      <c r="M810" s="1272"/>
    </row>
    <row r="811" spans="2:13" s="268" customFormat="1" x14ac:dyDescent="0.25">
      <c r="B811" s="1270"/>
      <c r="C811" s="1271"/>
      <c r="D811" s="1271"/>
      <c r="E811" s="1271"/>
      <c r="F811" s="1271"/>
      <c r="G811" s="1271"/>
      <c r="H811" s="1271"/>
      <c r="I811" s="1271"/>
      <c r="J811" s="1271"/>
      <c r="K811" s="1271"/>
      <c r="L811" s="1271"/>
      <c r="M811" s="1272"/>
    </row>
    <row r="812" spans="2:13" s="268" customFormat="1" x14ac:dyDescent="0.25">
      <c r="B812" s="1270"/>
      <c r="C812" s="1271"/>
      <c r="D812" s="1271"/>
      <c r="E812" s="1271"/>
      <c r="F812" s="1271"/>
      <c r="G812" s="1271"/>
      <c r="H812" s="1271"/>
      <c r="I812" s="1271"/>
      <c r="J812" s="1271"/>
      <c r="K812" s="1271"/>
      <c r="L812" s="1271"/>
      <c r="M812" s="1272"/>
    </row>
    <row r="813" spans="2:13" s="268" customFormat="1" x14ac:dyDescent="0.25">
      <c r="B813" s="1270"/>
      <c r="C813" s="1271"/>
      <c r="D813" s="1271"/>
      <c r="E813" s="1271"/>
      <c r="F813" s="1271"/>
      <c r="G813" s="1271"/>
      <c r="H813" s="1271"/>
      <c r="I813" s="1271"/>
      <c r="J813" s="1271"/>
      <c r="K813" s="1271"/>
      <c r="L813" s="1271"/>
      <c r="M813" s="1272"/>
    </row>
    <row r="814" spans="2:13" s="268" customFormat="1" x14ac:dyDescent="0.25">
      <c r="B814" s="1273"/>
      <c r="C814" s="1274"/>
      <c r="D814" s="1274"/>
      <c r="E814" s="1274"/>
      <c r="F814" s="1274"/>
      <c r="G814" s="1274"/>
      <c r="H814" s="1274"/>
      <c r="I814" s="1274"/>
      <c r="J814" s="1274"/>
      <c r="K814" s="1274"/>
      <c r="L814" s="1274"/>
      <c r="M814" s="1275"/>
    </row>
    <row r="815" spans="2:13" s="268" customFormat="1" x14ac:dyDescent="0.25"/>
    <row r="816" spans="2:13" s="268" customFormat="1" x14ac:dyDescent="0.25"/>
    <row r="817" spans="2:15" s="234" customFormat="1" ht="12.75" customHeight="1" x14ac:dyDescent="0.25">
      <c r="B817" s="313" t="str">
        <f>'3. PARTNER'!C$4</f>
        <v xml:space="preserve">Project: </v>
      </c>
      <c r="C817" s="1062" t="str">
        <f>'3. PARTNER'!D$4</f>
        <v/>
      </c>
      <c r="D817" s="1001"/>
      <c r="E817" s="1001"/>
      <c r="F817" s="1001"/>
      <c r="G817" s="1001"/>
      <c r="H817" s="1001"/>
      <c r="I817" s="1001"/>
      <c r="J817" s="1001"/>
      <c r="K817" s="1001"/>
      <c r="L817" s="1001"/>
      <c r="M817" s="1001"/>
    </row>
    <row r="818" spans="2:15" s="234" customFormat="1" ht="13.2" x14ac:dyDescent="0.25">
      <c r="B818" s="313" t="str">
        <f>'3. PARTNER'!C$5</f>
        <v xml:space="preserve">Calculation for: </v>
      </c>
      <c r="C818" s="1062" t="str">
        <f>'3. PARTNER'!D$5</f>
        <v>APPLICATION</v>
      </c>
      <c r="D818" s="1001"/>
      <c r="E818" s="268"/>
      <c r="F818" s="268"/>
      <c r="G818" s="268"/>
      <c r="H818" s="268"/>
      <c r="I818" s="268"/>
      <c r="J818" s="268"/>
      <c r="K818" s="268"/>
      <c r="L818" s="268"/>
      <c r="M818" s="268"/>
    </row>
    <row r="819" spans="2:15" s="234" customFormat="1" ht="13.2" x14ac:dyDescent="0.25">
      <c r="B819" s="35" t="str">
        <f>'3. PARTNER'!C$6</f>
        <v xml:space="preserve">Project leader: </v>
      </c>
      <c r="C819" s="1062" t="str">
        <f>'3. PARTNER'!D$6</f>
        <v/>
      </c>
      <c r="D819" s="1001"/>
      <c r="E819" s="1001"/>
      <c r="F819" s="1001"/>
      <c r="G819" s="1001"/>
      <c r="H819" s="1001"/>
      <c r="I819" s="1001"/>
      <c r="J819" s="1001"/>
      <c r="K819" s="1001"/>
      <c r="L819" s="1001"/>
      <c r="M819" s="1001"/>
    </row>
    <row r="820" spans="2:15" s="234" customFormat="1" ht="13.2" x14ac:dyDescent="0.25">
      <c r="B820" s="313" t="str">
        <f>'5. PERSON'!B$7</f>
        <v xml:space="preserve">Amounts in: </v>
      </c>
      <c r="C820" s="672" t="str">
        <f>'5. PERSON'!C$7</f>
        <v>SEK</v>
      </c>
      <c r="D820" s="268"/>
      <c r="E820" s="268"/>
      <c r="F820" s="268"/>
      <c r="I820" s="270"/>
      <c r="J820" s="270"/>
      <c r="K820" s="270"/>
      <c r="L820" s="270"/>
      <c r="M820" s="270"/>
    </row>
    <row r="821" spans="2:15" s="234" customFormat="1" ht="13.2" x14ac:dyDescent="0.25">
      <c r="B821" s="313"/>
      <c r="C821" s="1053" t="str">
        <f>'3. PARTNER'!D$7</f>
        <v>Other basic data about the project is in sheet 2.</v>
      </c>
      <c r="D821" s="1001"/>
      <c r="E821" s="1001"/>
      <c r="F821" s="1001"/>
      <c r="I821" s="270"/>
      <c r="J821" s="270"/>
      <c r="K821" s="270"/>
      <c r="L821" s="251" t="s">
        <v>4</v>
      </c>
      <c r="M821" s="270"/>
    </row>
    <row r="822" spans="2:15" s="268" customFormat="1" ht="12.75" customHeight="1" x14ac:dyDescent="0.25">
      <c r="L822" s="252" t="str">
        <f>IF('1. INTRO'!I$2="English","months","månader")</f>
        <v>months</v>
      </c>
    </row>
    <row r="823" spans="2:15" s="234" customFormat="1" ht="13.8" x14ac:dyDescent="0.25">
      <c r="B823" s="678" t="str">
        <f>IF('1. INTRO'!I$2="English","Project costs","Projektkostnader")</f>
        <v>Project costs</v>
      </c>
      <c r="C823" s="678" t="str">
        <f>B30</f>
        <v>WP 16</v>
      </c>
      <c r="D823" s="234" t="str">
        <f>E30</f>
        <v/>
      </c>
      <c r="E823" s="268"/>
      <c r="G823" s="268"/>
      <c r="H823" s="268"/>
      <c r="I823" s="268"/>
      <c r="J823" s="268"/>
      <c r="K823" s="676"/>
      <c r="L823" s="899">
        <f>SUMIF('5. PERSON'!$D$17:$D$192,$C823,'5. PERSON'!AE$17:AE$192)</f>
        <v>0</v>
      </c>
      <c r="M823" s="680" t="s">
        <v>330</v>
      </c>
    </row>
    <row r="824" spans="2:15" s="234" customFormat="1" ht="6" customHeight="1" x14ac:dyDescent="0.25">
      <c r="B824" s="602"/>
      <c r="C824" s="268"/>
      <c r="D824" s="268"/>
      <c r="E824" s="268"/>
      <c r="F824" s="268"/>
      <c r="G824" s="268"/>
      <c r="H824" s="268"/>
      <c r="I824" s="268"/>
      <c r="J824" s="268"/>
      <c r="K824" s="268"/>
      <c r="L824" s="268"/>
      <c r="M824" s="268"/>
    </row>
    <row r="825" spans="2:15" s="234" customFormat="1" ht="13.2" x14ac:dyDescent="0.25">
      <c r="B825" s="110" t="str">
        <f>IF('1. INTRO'!I$2="English","Costs to be covered by funding body","Kostnader att täckas av finansiär")</f>
        <v>Costs to be covered by funding body</v>
      </c>
      <c r="C825" s="607">
        <f>'5. PERSON'!G$15</f>
        <v>1900</v>
      </c>
      <c r="D825" s="607" t="str">
        <f>'5. PERSON'!H$15</f>
        <v/>
      </c>
      <c r="E825" s="607" t="str">
        <f>'5. PERSON'!I$15</f>
        <v/>
      </c>
      <c r="F825" s="607" t="str">
        <f>'5. PERSON'!J$15</f>
        <v/>
      </c>
      <c r="G825" s="607" t="str">
        <f>'5. PERSON'!K$15</f>
        <v/>
      </c>
      <c r="H825" s="607" t="str">
        <f>'5. PERSON'!L$15</f>
        <v/>
      </c>
      <c r="I825" s="607" t="str">
        <f>'5. PERSON'!M$15</f>
        <v/>
      </c>
      <c r="J825" s="607" t="str">
        <f>'5. PERSON'!N$15</f>
        <v/>
      </c>
      <c r="K825" s="607" t="str">
        <f>'5. PERSON'!O$15</f>
        <v/>
      </c>
      <c r="L825" s="607" t="str">
        <f>'5. PERSON'!P$15</f>
        <v/>
      </c>
      <c r="M825" s="608" t="s">
        <v>2</v>
      </c>
    </row>
    <row r="826" spans="2:15" s="234" customFormat="1" ht="12.75" customHeight="1" x14ac:dyDescent="0.25">
      <c r="B826" s="902" t="str">
        <f>IF('1. INTRO'!I$2="English","Salary including social costs (LKP)","Lön inklusive LKP")</f>
        <v>Salary including social costs (LKP)</v>
      </c>
      <c r="C826" s="610">
        <f>IF('2. START'!$C$14&gt;0,SUMIF('5. PERSON'!$D$17:$D$192,$C823,'5. PERSON'!DN$17:DN$192),SUMIF('5. PERSON'!$D$17:$D$192,$C823,'5. PERSON'!AT$17:AT$192))</f>
        <v>0</v>
      </c>
      <c r="D826" s="610">
        <f>IF('2. START'!$C$14&gt;0,SUMIF('5. PERSON'!$D$17:$D$192,$C823,'5. PERSON'!DO$17:DO$192),SUMIF('5. PERSON'!$D$17:$D$192,$C823,'5. PERSON'!AU$17:AU$192))</f>
        <v>0</v>
      </c>
      <c r="E826" s="610">
        <f>IF('2. START'!$C$14&gt;0,SUMIF('5. PERSON'!$D$17:$D$192,$C823,'5. PERSON'!DP$17:DP$192),SUMIF('5. PERSON'!$D$17:$D$192,$C823,'5. PERSON'!AV$17:AV$192))</f>
        <v>0</v>
      </c>
      <c r="F826" s="610">
        <f>IF('2. START'!$C$14&gt;0,SUMIF('5. PERSON'!$D$17:$D$192,$C823,'5. PERSON'!DQ$17:DQ$192),SUMIF('5. PERSON'!$D$17:$D$192,$C823,'5. PERSON'!AW$17:AW$192))</f>
        <v>0</v>
      </c>
      <c r="G826" s="610">
        <f>IF('2. START'!$C$14&gt;0,SUMIF('5. PERSON'!$D$17:$D$192,$C823,'5. PERSON'!DR$17:DR$192),SUMIF('5. PERSON'!$D$17:$D$192,$C823,'5. PERSON'!AX$17:AX$192))</f>
        <v>0</v>
      </c>
      <c r="H826" s="610">
        <f>IF('2. START'!$C$14&gt;0,SUMIF('5. PERSON'!$D$17:$D$192,$C823,'5. PERSON'!DS$17:DS$192),SUMIF('5. PERSON'!$D$17:$D$192,$C823,'5. PERSON'!AY$17:AY$192))</f>
        <v>0</v>
      </c>
      <c r="I826" s="610">
        <f>IF('2. START'!$C$14&gt;0,SUMIF('5. PERSON'!$D$17:$D$192,$C823,'5. PERSON'!DT$17:DT$192),SUMIF('5. PERSON'!$D$17:$D$192,$C823,'5. PERSON'!AZ$17:AZ$192))</f>
        <v>0</v>
      </c>
      <c r="J826" s="610">
        <f>IF('2. START'!$C$14&gt;0,SUMIF('5. PERSON'!$D$17:$D$192,$C823,'5. PERSON'!DU$17:DU$192),SUMIF('5. PERSON'!$D$17:$D$192,$C823,'5. PERSON'!BA$17:BA$192))</f>
        <v>0</v>
      </c>
      <c r="K826" s="610">
        <f>IF('2. START'!$C$14&gt;0,SUMIF('5. PERSON'!$D$17:$D$192,$C823,'5. PERSON'!DV$17:DV$192),SUMIF('5. PERSON'!$D$17:$D$192,$C823,'5. PERSON'!BB$17:BB$192))</f>
        <v>0</v>
      </c>
      <c r="L826" s="610">
        <f>IF('2. START'!$C$14&gt;0,SUMIF('5. PERSON'!$D$17:$D$192,$C823,'5. PERSON'!DW$17:DW$192),SUMIF('5. PERSON'!$D$17:$D$192,$C823,'5. PERSON'!BC$17:BC$192))</f>
        <v>0</v>
      </c>
      <c r="M826" s="903">
        <f t="shared" ref="M826:M831" si="134">SUM(C826:L826)</f>
        <v>0</v>
      </c>
      <c r="O826" s="904"/>
    </row>
    <row r="827" spans="2:15" s="234" customFormat="1" ht="12.75" customHeight="1" x14ac:dyDescent="0.25">
      <c r="B827" s="377" t="str">
        <f>IF('1. INTRO'!I$2="English","Operating","Drift")</f>
        <v>Operating</v>
      </c>
      <c r="C827" s="615">
        <f>SUMIF('6. OPERATION'!$D$17:$D$149,$C823,'6. OPERATION'!W$17:W$149)</f>
        <v>0</v>
      </c>
      <c r="D827" s="615">
        <f>SUMIF('6. OPERATION'!$D$17:$D$149,$C823,'6. OPERATION'!X$17:X$149)</f>
        <v>0</v>
      </c>
      <c r="E827" s="615">
        <f>SUMIF('6. OPERATION'!$D$17:$D$149,$C823,'6. OPERATION'!Y$17:Y$149)</f>
        <v>0</v>
      </c>
      <c r="F827" s="615">
        <f>SUMIF('6. OPERATION'!$D$17:$D$149,$C823,'6. OPERATION'!Z$17:Z$149)</f>
        <v>0</v>
      </c>
      <c r="G827" s="615">
        <f>SUMIF('6. OPERATION'!$D$17:$D$149,$C823,'6. OPERATION'!AA$17:AA$149)</f>
        <v>0</v>
      </c>
      <c r="H827" s="615">
        <f>SUMIF('6. OPERATION'!$D$17:$D$149,$C823,'6. OPERATION'!AB$17:AB$149)</f>
        <v>0</v>
      </c>
      <c r="I827" s="615">
        <f>SUMIF('6. OPERATION'!$D$17:$D$149,$C823,'6. OPERATION'!AC$17:AC$149)</f>
        <v>0</v>
      </c>
      <c r="J827" s="615">
        <f>SUMIF('6. OPERATION'!$D$17:$D$149,$C823,'6. OPERATION'!AD$17:AD$149)</f>
        <v>0</v>
      </c>
      <c r="K827" s="615">
        <f>SUMIF('6. OPERATION'!$D$17:$D$149,$C823,'6. OPERATION'!AE$17:AE$149)</f>
        <v>0</v>
      </c>
      <c r="L827" s="615">
        <f>SUMIF('6. OPERATION'!$D$17:$D$149,$C823,'6. OPERATION'!AF$17:AF$149)</f>
        <v>0</v>
      </c>
      <c r="M827" s="905">
        <f t="shared" si="134"/>
        <v>0</v>
      </c>
    </row>
    <row r="828" spans="2:15" s="234" customFormat="1" ht="13.2" x14ac:dyDescent="0.25">
      <c r="B828" s="906" t="str">
        <f>IF('1. INTRO'!I$2="English","Equipment","Utrustning")</f>
        <v>Equipment</v>
      </c>
      <c r="C828" s="620">
        <f>SUMIF('7. INVEST'!$D$17:$D$49,$C823,'7. INVEST'!W$17:W$49)</f>
        <v>0</v>
      </c>
      <c r="D828" s="620">
        <f>SUMIF('7. INVEST'!$D$17:$D$49,$C823,'7. INVEST'!X$17:X$49)</f>
        <v>0</v>
      </c>
      <c r="E828" s="620">
        <f>SUMIF('7. INVEST'!$D$17:$D$49,$C823,'7. INVEST'!Y$17:Y$49)</f>
        <v>0</v>
      </c>
      <c r="F828" s="620">
        <f>SUMIF('7. INVEST'!$D$17:$D$49,$C823,'7. INVEST'!Z$17:Z$49)</f>
        <v>0</v>
      </c>
      <c r="G828" s="620">
        <f>SUMIF('7. INVEST'!$D$17:$D$49,$C823,'7. INVEST'!AA$17:AA$49)</f>
        <v>0</v>
      </c>
      <c r="H828" s="620">
        <f>SUMIF('7. INVEST'!$D$17:$D$49,$C823,'7. INVEST'!AB$17:AB$49)</f>
        <v>0</v>
      </c>
      <c r="I828" s="620">
        <f>SUMIF('7. INVEST'!$D$17:$D$49,$C823,'7. INVEST'!AC$17:AC$49)</f>
        <v>0</v>
      </c>
      <c r="J828" s="620">
        <f>SUMIF('7. INVEST'!$D$17:$D$49,$C823,'7. INVEST'!AD$17:AD$49)</f>
        <v>0</v>
      </c>
      <c r="K828" s="620">
        <f>SUMIF('7. INVEST'!$D$17:$D$49,$C823,'7. INVEST'!AE$17:AE$49)</f>
        <v>0</v>
      </c>
      <c r="L828" s="620">
        <f>SUMIF('7. INVEST'!$D$17:$D$49,$C823,'7. INVEST'!AF$17:AF$49)</f>
        <v>0</v>
      </c>
      <c r="M828" s="907">
        <f t="shared" si="134"/>
        <v>0</v>
      </c>
    </row>
    <row r="829" spans="2:15" s="234" customFormat="1" ht="13.2" x14ac:dyDescent="0.25">
      <c r="B829" s="121" t="str">
        <f>IF('1. INTRO'!I$2="English",(IF('2. START'!C$11="NO","Facility accepted as direct cost by funding body","Facility")),IF('2. START'!C$11="NO","Lokal accepterad som direkt kostnad av finansiär","Lokal"))</f>
        <v>Facility</v>
      </c>
      <c r="C829" s="615">
        <f>IF('2. START'!$C$11="NO",SUMIF('8. FACILIT'!$D$18:$D$50,$C823,'8. FACILIT'!T$18:T$50),SUMIF('5. PERSON'!$D$17:$D$192,$C823,'5. PERSON'!CP$17:CP$192)+SUMIF('6. OPERATION'!$D$17:$D$149,$C823,'6. OPERATION'!BS$17:BS$149)+SUMIF('8. FACILIT'!$D$18:$D$50,$C823,'8. FACILIT'!T$18:T$50))</f>
        <v>0</v>
      </c>
      <c r="D829" s="615">
        <f>IF('2. START'!$C$11="NO",SUMIF('8. FACILIT'!$D$18:$D$50,$C823,'8. FACILIT'!U$18:U$50),SUMIF('5. PERSON'!$D$17:$D$192,$C823,'5. PERSON'!CQ$17:CQ$192)+SUMIF('6. OPERATION'!$D$17:$D$149,$C823,'6. OPERATION'!BT$17:BT$149)+SUMIF('8. FACILIT'!$D$18:$D$50,$C823,'8. FACILIT'!U$18:U$50))</f>
        <v>0</v>
      </c>
      <c r="E829" s="615">
        <f>IF('2. START'!$C$11="NO",SUMIF('8. FACILIT'!$D$18:$D$50,$C823,'8. FACILIT'!V$18:V$50),SUMIF('5. PERSON'!$D$17:$D$192,$C823,'5. PERSON'!CR$17:CR$192)+SUMIF('6. OPERATION'!$D$17:$D$149,$C823,'6. OPERATION'!BU$17:BU$149)+SUMIF('8. FACILIT'!$D$18:$D$50,$C823,'8. FACILIT'!V$18:V$50))</f>
        <v>0</v>
      </c>
      <c r="F829" s="615">
        <f>IF('2. START'!$C$11="NO",SUMIF('8. FACILIT'!$D$18:$D$50,$C823,'8. FACILIT'!W$18:W$50),SUMIF('5. PERSON'!$D$17:$D$192,$C823,'5. PERSON'!CS$17:CS$192)+SUMIF('6. OPERATION'!$D$17:$D$149,$C823,'6. OPERATION'!BV$17:BV$149)+SUMIF('8. FACILIT'!$D$18:$D$50,$C823,'8. FACILIT'!W$18:W$50))</f>
        <v>0</v>
      </c>
      <c r="G829" s="615">
        <f>IF('2. START'!$C$11="NO",SUMIF('8. FACILIT'!$D$18:$D$50,$C823,'8. FACILIT'!X$18:X$50),SUMIF('5. PERSON'!$D$17:$D$192,$C823,'5. PERSON'!CT$17:CT$192)+SUMIF('6. OPERATION'!$D$17:$D$149,$C823,'6. OPERATION'!BW$17:BW$149)+SUMIF('8. FACILIT'!$D$18:$D$50,$C823,'8. FACILIT'!X$18:X$50))</f>
        <v>0</v>
      </c>
      <c r="H829" s="615">
        <f>IF('2. START'!$C$11="NO",SUMIF('8. FACILIT'!$D$18:$D$50,$C823,'8. FACILIT'!Y$18:Y$50),SUMIF('5. PERSON'!$D$17:$D$192,$C823,'5. PERSON'!CU$17:CU$192)+SUMIF('6. OPERATION'!$D$17:$D$149,$C823,'6. OPERATION'!BX$17:BX$149)+SUMIF('8. FACILIT'!$D$18:$D$50,$C823,'8. FACILIT'!Y$18:Y$50))</f>
        <v>0</v>
      </c>
      <c r="I829" s="615">
        <f>IF('2. START'!$C$11="NO",SUMIF('8. FACILIT'!$D$18:$D$50,$C823,'8. FACILIT'!Z$18:Z$50),SUMIF('5. PERSON'!$D$17:$D$192,$C823,'5. PERSON'!CV$17:CV$192)+SUMIF('6. OPERATION'!$D$17:$D$149,$C823,'6. OPERATION'!BY$17:BY$149)+SUMIF('8. FACILIT'!$D$18:$D$50,$C823,'8. FACILIT'!Z$18:Z$50))</f>
        <v>0</v>
      </c>
      <c r="J829" s="615">
        <f>IF('2. START'!$C$11="NO",SUMIF('8. FACILIT'!$D$18:$D$50,$C823,'8. FACILIT'!AA$18:AA$50),SUMIF('5. PERSON'!$D$17:$D$192,$C823,'5. PERSON'!CW$17:CW$192)+SUMIF('6. OPERATION'!$D$17:$D$149,$C823,'6. OPERATION'!BZ$17:BZ$149)+SUMIF('8. FACILIT'!$D$18:$D$50,$C823,'8. FACILIT'!AA$18:AA$50))</f>
        <v>0</v>
      </c>
      <c r="K829" s="615">
        <f>IF('2. START'!$C$11="NO",SUMIF('8. FACILIT'!$D$18:$D$50,$C823,'8. FACILIT'!AB$18:AB$50),SUMIF('5. PERSON'!$D$17:$D$192,$C823,'5. PERSON'!CX$17:CX$192)+SUMIF('6. OPERATION'!$D$17:$D$149,$C823,'6. OPERATION'!CA$17:CA$149)+SUMIF('8. FACILIT'!$D$18:$D$50,$C823,'8. FACILIT'!AB$18:AB$50))</f>
        <v>0</v>
      </c>
      <c r="L829" s="615">
        <f>IF('2. START'!$C$11="NO",SUMIF('8. FACILIT'!$D$18:$D$50,$C823,'8. FACILIT'!AC$18:AC$50),SUMIF('5. PERSON'!$D$17:$D$192,$C823,'5. PERSON'!CY$17:CY$192)+SUMIF('6. OPERATION'!$D$17:$D$149,$C823,'6. OPERATION'!CB$17:CB$149)+SUMIF('8. FACILIT'!$D$18:$D$50,$C823,'8. FACILIT'!AC$18:AC$50))</f>
        <v>0</v>
      </c>
      <c r="M829" s="905">
        <f t="shared" si="134"/>
        <v>0</v>
      </c>
    </row>
    <row r="830" spans="2:15" s="234" customFormat="1" ht="13.2" x14ac:dyDescent="0.25">
      <c r="B830" s="122" t="str">
        <f>IF('1. INTRO'!I$2="English",(IF('2. START'!C$11="NO","Indirect and facility charge accepted as OH by funding body","Indirect")),IF('2. START'!C$11="NO","Indirekt och lokalpåslag accepterade som OH av finansiär","Indirekt"))</f>
        <v>Indirect</v>
      </c>
      <c r="C830" s="584">
        <f>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584">
        <f>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584">
        <f>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584">
        <f>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584">
        <f>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584">
        <f>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584">
        <f>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584">
        <f>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584">
        <f>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584">
        <f>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908">
        <f t="shared" si="134"/>
        <v>0</v>
      </c>
    </row>
    <row r="831" spans="2:15" s="234" customFormat="1" ht="13.2" x14ac:dyDescent="0.25">
      <c r="B831" s="628" t="s">
        <v>113</v>
      </c>
      <c r="C831" s="443">
        <f>SUM(C826:C830)</f>
        <v>0</v>
      </c>
      <c r="D831" s="443">
        <f t="shared" ref="D831:L831" si="135">SUM(D826:D830)</f>
        <v>0</v>
      </c>
      <c r="E831" s="443">
        <f t="shared" si="135"/>
        <v>0</v>
      </c>
      <c r="F831" s="443">
        <f t="shared" si="135"/>
        <v>0</v>
      </c>
      <c r="G831" s="443">
        <f t="shared" si="135"/>
        <v>0</v>
      </c>
      <c r="H831" s="443">
        <f t="shared" si="135"/>
        <v>0</v>
      </c>
      <c r="I831" s="443">
        <f t="shared" si="135"/>
        <v>0</v>
      </c>
      <c r="J831" s="443">
        <f t="shared" si="135"/>
        <v>0</v>
      </c>
      <c r="K831" s="443">
        <f t="shared" si="135"/>
        <v>0</v>
      </c>
      <c r="L831" s="443">
        <f t="shared" si="135"/>
        <v>0</v>
      </c>
      <c r="M831" s="630">
        <f t="shared" si="134"/>
        <v>0</v>
      </c>
    </row>
    <row r="832" spans="2:15" s="234" customFormat="1" ht="6" customHeight="1" x14ac:dyDescent="0.25">
      <c r="B832" s="909"/>
      <c r="C832" s="127"/>
      <c r="D832" s="127"/>
      <c r="E832" s="127"/>
      <c r="F832" s="127"/>
      <c r="G832" s="127"/>
      <c r="H832" s="127"/>
      <c r="I832" s="127"/>
      <c r="J832" s="127"/>
      <c r="K832" s="127"/>
      <c r="L832" s="127"/>
      <c r="M832" s="633"/>
    </row>
    <row r="833" spans="2:15" s="234" customFormat="1" ht="13.2" x14ac:dyDescent="0.25">
      <c r="B833" s="129" t="str">
        <f>IF('1. INTRO'!I$2="English","Costs to be co-funded","Kostnader att medfinansiera")</f>
        <v>Costs to be co-funded</v>
      </c>
      <c r="C833" s="634"/>
      <c r="D833" s="634"/>
      <c r="E833" s="634"/>
      <c r="F833" s="634"/>
      <c r="G833" s="634"/>
      <c r="H833" s="634"/>
      <c r="I833" s="634"/>
      <c r="J833" s="634"/>
      <c r="K833" s="634"/>
      <c r="L833" s="634"/>
      <c r="M833" s="129"/>
    </row>
    <row r="834" spans="2:15" s="234" customFormat="1" ht="13.2" x14ac:dyDescent="0.25">
      <c r="B834" s="159" t="str">
        <f>IF('1. INTRO'!I$2="English",(IF('2. START'!C$11="NO","Indirect and facility charge not accepted as OH by funding body","")),IF('2. START'!C$11="NO","Indirekt och lokalpåslag inte accepterade som OH av finansiär",""))</f>
        <v/>
      </c>
      <c r="C834" s="910">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910">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910">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910">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910">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910">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910">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910">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910">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910">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903">
        <f t="shared" ref="M834:M840" si="136">SUM(C834:L834)</f>
        <v>0</v>
      </c>
    </row>
    <row r="835" spans="2:15" s="234" customFormat="1" ht="12.75" customHeight="1" x14ac:dyDescent="0.25">
      <c r="B835" s="132" t="str">
        <f>IF('1. INTRO'!I$2="English",(IF('2. START'!C$14&gt;0,"Social costs (LKP) not accepted by funding body","")),IF('2. START'!C$14&gt;0,"LKP som inte accepteras av finansiär",""))</f>
        <v/>
      </c>
      <c r="C835" s="911">
        <f>IF('2. START'!$C$14&gt;0,SUMIF('5. PERSON'!$D$17:$D$192,$C823,'5. PERSON'!AT$17:AT$192)-SUMIF('5. PERSON'!$D$17:$D$192,$C823,'5. PERSON'!DN$17:DN$192),0)</f>
        <v>0</v>
      </c>
      <c r="D835" s="911">
        <f>IF('2. START'!$C$14&gt;0,SUMIF('5. PERSON'!$D$17:$D$192,$C823,'5. PERSON'!AU$17:AU$192)-SUMIF('5. PERSON'!$D$17:$D$192,$C823,'5. PERSON'!DO$17:DO$192),0)</f>
        <v>0</v>
      </c>
      <c r="E835" s="911">
        <f>IF('2. START'!$C$14&gt;0,SUMIF('5. PERSON'!$D$17:$D$192,$C823,'5. PERSON'!AV$17:AV$192)-SUMIF('5. PERSON'!$D$17:$D$192,$C823,'5. PERSON'!DP$17:DP$192),0)</f>
        <v>0</v>
      </c>
      <c r="F835" s="911">
        <f>IF('2. START'!$C$14&gt;0,SUMIF('5. PERSON'!$D$17:$D$192,$C823,'5. PERSON'!AW$17:AW$192)-SUMIF('5. PERSON'!$D$17:$D$192,$C823,'5. PERSON'!DQ$17:DQ$192),0)</f>
        <v>0</v>
      </c>
      <c r="G835" s="911">
        <f>IF('2. START'!$C$14&gt;0,SUMIF('5. PERSON'!$D$17:$D$192,$C823,'5. PERSON'!AX$17:AX$192)-SUMIF('5. PERSON'!$D$17:$D$192,$C823,'5. PERSON'!DR$17:DR$192),0)</f>
        <v>0</v>
      </c>
      <c r="H835" s="911">
        <f>IF('2. START'!$C$14&gt;0,SUMIF('5. PERSON'!$D$17:$D$192,$C823,'5. PERSON'!AY$17:AY$192)-SUMIF('5. PERSON'!$D$17:$D$192,$C823,'5. PERSON'!DS$17:DS$192),0)</f>
        <v>0</v>
      </c>
      <c r="I835" s="911">
        <f>IF('2. START'!$C$14&gt;0,SUMIF('5. PERSON'!$D$17:$D$192,$C823,'5. PERSON'!AZ$17:AZ$192)-SUMIF('5. PERSON'!$D$17:$D$192,$C823,'5. PERSON'!DT$17:DT$192),0)</f>
        <v>0</v>
      </c>
      <c r="J835" s="911">
        <f>IF('2. START'!$C$14&gt;0,SUMIF('5. PERSON'!$D$17:$D$192,$C823,'5. PERSON'!BA$17:BA$192)-SUMIF('5. PERSON'!$D$17:$D$192,$C823,'5. PERSON'!DU$17:DU$192),0)</f>
        <v>0</v>
      </c>
      <c r="K835" s="911">
        <f>IF('2. START'!$C$14&gt;0,SUMIF('5. PERSON'!$D$17:$D$192,$C823,'5. PERSON'!BB$17:BB$192)-SUMIF('5. PERSON'!$D$17:$D$192,$C823,'5. PERSON'!DV$17:DV$192),0)</f>
        <v>0</v>
      </c>
      <c r="L835" s="911">
        <f>IF('2. START'!$C$14&gt;0,SUMIF('5. PERSON'!$D$17:$D$192,$C823,'5. PERSON'!BC$17:BC$192)-SUMIF('5. PERSON'!$D$17:$D$192,$C823,'5. PERSON'!DW$17:DW$192),0)</f>
        <v>0</v>
      </c>
      <c r="M835" s="905">
        <f t="shared" si="136"/>
        <v>0</v>
      </c>
    </row>
    <row r="836" spans="2:15" s="234" customFormat="1" ht="12.75" customHeight="1" x14ac:dyDescent="0.25">
      <c r="B836" s="906" t="str">
        <f>IF('1. INTRO'!I$2="English",(IF('5. PERSON'!BP$193&gt;0,"Salary including social costs (LKP)","")),IF('5. PERSON'!BP$193&gt;0,"Lön inklusive LKP",""))</f>
        <v/>
      </c>
      <c r="C836" s="622">
        <f>SUMIF('5. PERSON'!$D$17:$D$192,$C823,'5. PERSON'!BF$17:BF$192)</f>
        <v>0</v>
      </c>
      <c r="D836" s="622">
        <f>SUMIF('5. PERSON'!$D$17:$D$192,$C823,'5. PERSON'!BG$17:BG$192)</f>
        <v>0</v>
      </c>
      <c r="E836" s="622">
        <f>SUMIF('5. PERSON'!$D$17:$D$192,$C823,'5. PERSON'!BH$17:BH$192)</f>
        <v>0</v>
      </c>
      <c r="F836" s="622">
        <f>SUMIF('5. PERSON'!$D$17:$D$192,$C823,'5. PERSON'!BI$17:BI$192)</f>
        <v>0</v>
      </c>
      <c r="G836" s="622">
        <f>SUMIF('5. PERSON'!$D$17:$D$192,$C823,'5. PERSON'!BJ$17:BJ$192)</f>
        <v>0</v>
      </c>
      <c r="H836" s="622">
        <f>SUMIF('5. PERSON'!$D$17:$D$192,$C823,'5. PERSON'!BK$17:BK$192)</f>
        <v>0</v>
      </c>
      <c r="I836" s="622">
        <f>SUMIF('5. PERSON'!$D$17:$D$192,$C823,'5. PERSON'!BL$17:BL$192)</f>
        <v>0</v>
      </c>
      <c r="J836" s="622">
        <f>SUMIF('5. PERSON'!$D$17:$D$192,$C823,'5. PERSON'!BM$17:BM$192)</f>
        <v>0</v>
      </c>
      <c r="K836" s="622">
        <f>SUMIF('5. PERSON'!$D$17:$D$192,$C823,'5. PERSON'!BN$17:BN$192)</f>
        <v>0</v>
      </c>
      <c r="L836" s="622">
        <f>SUMIF('5. PERSON'!$D$17:$D$192,$C823,'5. PERSON'!BO$17:BO$192)</f>
        <v>0</v>
      </c>
      <c r="M836" s="907">
        <f t="shared" si="136"/>
        <v>0</v>
      </c>
    </row>
    <row r="837" spans="2:15" s="234" customFormat="1" ht="13.2" x14ac:dyDescent="0.25">
      <c r="B837" s="377" t="str">
        <f>IF('1. INTRO'!I$2="English",(IF('6. OPERATION'!AS$150&gt;0,"Operating","")),IF('6. OPERATION'!AS$150&gt;0,"Drift",""))</f>
        <v/>
      </c>
      <c r="C837" s="617">
        <f>SUMIF('6. OPERATION'!$D$17:$D$149,$C823,'6. OPERATION'!AI$17:AI$149)</f>
        <v>0</v>
      </c>
      <c r="D837" s="617">
        <f>SUMIF('6. OPERATION'!$D$17:$D$149,$C823,'6. OPERATION'!AJ$17:AJ$149)</f>
        <v>0</v>
      </c>
      <c r="E837" s="617">
        <f>SUMIF('6. OPERATION'!$D$17:$D$149,$C823,'6. OPERATION'!AK$17:AK$149)</f>
        <v>0</v>
      </c>
      <c r="F837" s="617">
        <f>SUMIF('6. OPERATION'!$D$17:$D$149,$C823,'6. OPERATION'!AL$17:AL$149)</f>
        <v>0</v>
      </c>
      <c r="G837" s="617">
        <f>SUMIF('6. OPERATION'!$D$17:$D$149,$C823,'6. OPERATION'!AM$17:AM$149)</f>
        <v>0</v>
      </c>
      <c r="H837" s="617">
        <f>SUMIF('6. OPERATION'!$D$17:$D$149,$C823,'6. OPERATION'!AN$17:AN$149)</f>
        <v>0</v>
      </c>
      <c r="I837" s="617">
        <f>SUMIF('6. OPERATION'!$D$17:$D$149,$C823,'6. OPERATION'!AO$17:AO$149)</f>
        <v>0</v>
      </c>
      <c r="J837" s="617">
        <f>SUMIF('6. OPERATION'!$D$17:$D$149,$C823,'6. OPERATION'!AP$17:AP$149)</f>
        <v>0</v>
      </c>
      <c r="K837" s="617">
        <f>SUMIF('6. OPERATION'!$D$17:$D$149,$C823,'6. OPERATION'!AQ$17:AQ$149)</f>
        <v>0</v>
      </c>
      <c r="L837" s="617">
        <f>SUMIF('6. OPERATION'!$D$17:$D$149,$C823,'6. OPERATION'!AR$17:AR$149)</f>
        <v>0</v>
      </c>
      <c r="M837" s="905">
        <f t="shared" si="136"/>
        <v>0</v>
      </c>
    </row>
    <row r="838" spans="2:15" s="234" customFormat="1" ht="13.2" x14ac:dyDescent="0.25">
      <c r="B838" s="906" t="str">
        <f>IF('1. INTRO'!I$2="English",(IF('7. INVEST'!AS$50&gt;0,"Equipment","")),IF('7. INVEST'!AS$50&gt;0,"Utrustning",""))</f>
        <v/>
      </c>
      <c r="C838" s="622">
        <f>SUMIF('7. INVEST'!$D$17:$D$49,$C823,'7. INVEST'!AI$17:AI$49)</f>
        <v>0</v>
      </c>
      <c r="D838" s="622">
        <f>SUMIF('7. INVEST'!$D$17:$D$49,$C823,'7. INVEST'!AJ$17:AJ$49)</f>
        <v>0</v>
      </c>
      <c r="E838" s="622">
        <f>SUMIF('7. INVEST'!$D$17:$D$49,$C823,'7. INVEST'!AK$17:AK$49)</f>
        <v>0</v>
      </c>
      <c r="F838" s="622">
        <f>SUMIF('7. INVEST'!$D$17:$D$49,$C823,'7. INVEST'!AL$17:AL$49)</f>
        <v>0</v>
      </c>
      <c r="G838" s="622">
        <f>SUMIF('7. INVEST'!$D$17:$D$49,$C823,'7. INVEST'!AM$17:AM$49)</f>
        <v>0</v>
      </c>
      <c r="H838" s="622">
        <f>SUMIF('7. INVEST'!$D$17:$D$49,$C823,'7. INVEST'!AN$17:AN$49)</f>
        <v>0</v>
      </c>
      <c r="I838" s="622">
        <f>SUMIF('7. INVEST'!$D$17:$D$49,$C823,'7. INVEST'!AO$17:AO$49)</f>
        <v>0</v>
      </c>
      <c r="J838" s="622">
        <f>SUMIF('7. INVEST'!$D$17:$D$49,$C823,'7. INVEST'!AP$17:AP$49)</f>
        <v>0</v>
      </c>
      <c r="K838" s="622">
        <f>SUMIF('7. INVEST'!$D$17:$D$49,$C823,'7. INVEST'!AQ$17:AQ$49)</f>
        <v>0</v>
      </c>
      <c r="L838" s="622">
        <f>SUMIF('7. INVEST'!$D$17:$D$49,$C823,'7. INVEST'!AR$17:AR$49)</f>
        <v>0</v>
      </c>
      <c r="M838" s="907">
        <f t="shared" si="136"/>
        <v>0</v>
      </c>
    </row>
    <row r="839" spans="2:15" s="234" customFormat="1" ht="13.2" x14ac:dyDescent="0.25">
      <c r="B839" s="121" t="str">
        <f>IF('1. INTRO'!I$2="English",(IF('8. FACILIT'!AP$51&gt;0,"Facility","")),IF('8. FACILIT'!AP$51&gt;0,"Lokal",""))</f>
        <v/>
      </c>
      <c r="C839" s="617">
        <f>SUMIF('5. PERSON'!$D$17:$D$192,$C823,'5. PERSON'!DB$17:DB$192)+SUMIF('6. OPERATION'!$D$17:$D$149,$C823,'6. OPERATION'!CE$17:CE$149)+SUMIF('8. FACILIT'!$D$18:$D$50,$C823,'8. FACILIT'!AF$18:AF$50)</f>
        <v>0</v>
      </c>
      <c r="D839" s="617">
        <f>SUMIF('5. PERSON'!$D$17:$D$192,$C823,'5. PERSON'!DC$17:DC$192)+SUMIF('6. OPERATION'!$D$17:$D$149,$C823,'6. OPERATION'!CF$17:CF$149)+SUMIF('8. FACILIT'!$D$18:$D$50,$C823,'8. FACILIT'!AG$18:AG$50)</f>
        <v>0</v>
      </c>
      <c r="E839" s="617">
        <f>SUMIF('5. PERSON'!$D$17:$D$192,$C823,'5. PERSON'!DD$17:DD$192)+SUMIF('6. OPERATION'!$D$17:$D$149,$C823,'6. OPERATION'!CG$17:CG$149)+SUMIF('8. FACILIT'!$D$18:$D$50,$C823,'8. FACILIT'!AH$18:AH$50)</f>
        <v>0</v>
      </c>
      <c r="F839" s="617">
        <f>SUMIF('5. PERSON'!$D$17:$D$192,$C823,'5. PERSON'!DE$17:DE$192)+SUMIF('6. OPERATION'!$D$17:$D$149,$C823,'6. OPERATION'!CH$17:CH$149)+SUMIF('8. FACILIT'!$D$18:$D$50,$C823,'8. FACILIT'!AI$18:AI$50)</f>
        <v>0</v>
      </c>
      <c r="G839" s="617">
        <f>SUMIF('5. PERSON'!$D$17:$D$192,$C823,'5. PERSON'!DF$17:DF$192)+SUMIF('6. OPERATION'!$D$17:$D$149,$C823,'6. OPERATION'!CI$17:CI$149)+SUMIF('8. FACILIT'!$D$18:$D$50,$C823,'8. FACILIT'!AJ$18:AJ$50)</f>
        <v>0</v>
      </c>
      <c r="H839" s="617">
        <f>SUMIF('5. PERSON'!$D$17:$D$192,$C823,'5. PERSON'!DG$17:DG$192)+SUMIF('6. OPERATION'!$D$17:$D$149,$C823,'6. OPERATION'!CJ$17:CJ$149)+SUMIF('8. FACILIT'!$D$18:$D$50,$C823,'8. FACILIT'!AK$18:AK$50)</f>
        <v>0</v>
      </c>
      <c r="I839" s="617">
        <f>SUMIF('5. PERSON'!$D$17:$D$192,$C823,'5. PERSON'!DH$17:DH$192)+SUMIF('6. OPERATION'!$D$17:$D$149,$C823,'6. OPERATION'!CK$17:CK$149)+SUMIF('8. FACILIT'!$D$18:$D$50,$C823,'8. FACILIT'!AL$18:AL$50)</f>
        <v>0</v>
      </c>
      <c r="J839" s="617">
        <f>SUMIF('5. PERSON'!$D$17:$D$192,$C823,'5. PERSON'!DI$17:DI$192)+SUMIF('6. OPERATION'!$D$17:$D$149,$C823,'6. OPERATION'!CL$17:CL$149)+SUMIF('8. FACILIT'!$D$18:$D$50,$C823,'8. FACILIT'!AM$18:AM$50)</f>
        <v>0</v>
      </c>
      <c r="K839" s="617">
        <f>SUMIF('5. PERSON'!$D$17:$D$192,$C823,'5. PERSON'!DJ$17:DJ$192)+SUMIF('6. OPERATION'!$D$17:$D$149,$C823,'6. OPERATION'!CM$17:CM$149)+SUMIF('8. FACILIT'!$D$18:$D$50,$C823,'8. FACILIT'!AN$18:AN$50)</f>
        <v>0</v>
      </c>
      <c r="L839" s="617">
        <f>SUMIF('5. PERSON'!$D$17:$D$192,$C823,'5. PERSON'!DK$17:DK$192)+SUMIF('6. OPERATION'!$D$17:$D$149,$C823,'6. OPERATION'!CN$17:CN$149)+SUMIF('8. FACILIT'!$D$18:$D$50,$C823,'8. FACILIT'!AO$18:AO$50)</f>
        <v>0</v>
      </c>
      <c r="M839" s="905">
        <f t="shared" si="136"/>
        <v>0</v>
      </c>
    </row>
    <row r="840" spans="2:15" s="912" customFormat="1" ht="13.2" x14ac:dyDescent="0.25">
      <c r="B840" s="122" t="str">
        <f>IF('1. INTRO'!I$2="English",(IF(('5. PERSON'!CN$193+'6. OPERATION'!BQ$150)&gt;0,"Indirect","")),IF(('5. PERSON'!CN$193+'6. OPERATION'!BQ$150)&gt;0,"Indirekt",""))</f>
        <v/>
      </c>
      <c r="C840" s="584">
        <f>SUMIF('5. PERSON'!$D$17:$D$192,$C823,'5. PERSON'!CD$17:CD$192)+SUMIF('6. OPERATION'!$D$17:$D$149,$C823,'6. OPERATION'!BG$17:BG$149)</f>
        <v>0</v>
      </c>
      <c r="D840" s="584">
        <f>SUMIF('5. PERSON'!$D$17:$D$192,$C823,'5. PERSON'!CE$17:CE$192)+SUMIF('6. OPERATION'!$D$17:$D$149,$C823,'6. OPERATION'!BH$17:BH$149)</f>
        <v>0</v>
      </c>
      <c r="E840" s="584">
        <f>SUMIF('5. PERSON'!$D$17:$D$192,$C823,'5. PERSON'!CF$17:CF$192)+SUMIF('6. OPERATION'!$D$17:$D$149,$C823,'6. OPERATION'!BI$17:BI$149)</f>
        <v>0</v>
      </c>
      <c r="F840" s="584">
        <f>SUMIF('5. PERSON'!$D$17:$D$192,$C823,'5. PERSON'!CG$17:CG$192)+SUMIF('6. OPERATION'!$D$17:$D$149,$C823,'6. OPERATION'!BJ$17:BJ$149)</f>
        <v>0</v>
      </c>
      <c r="G840" s="584">
        <f>SUMIF('5. PERSON'!$D$17:$D$192,$C823,'5. PERSON'!CH$17:CH$192)+SUMIF('6. OPERATION'!$D$17:$D$149,$C823,'6. OPERATION'!BK$17:BK$149)</f>
        <v>0</v>
      </c>
      <c r="H840" s="584">
        <f>SUMIF('5. PERSON'!$D$17:$D$192,$C823,'5. PERSON'!CI$17:CI$192)+SUMIF('6. OPERATION'!$D$17:$D$149,$C823,'6. OPERATION'!BL$17:BL$149)</f>
        <v>0</v>
      </c>
      <c r="I840" s="584">
        <f>SUMIF('5. PERSON'!$D$17:$D$192,$C823,'5. PERSON'!CJ$17:CJ$192)+SUMIF('6. OPERATION'!$D$17:$D$149,$C823,'6. OPERATION'!BM$17:BM$149)</f>
        <v>0</v>
      </c>
      <c r="J840" s="584">
        <f>SUMIF('5. PERSON'!$D$17:$D$192,$C823,'5. PERSON'!CK$17:CK$192)+SUMIF('6. OPERATION'!$D$17:$D$149,$C823,'6. OPERATION'!BN$17:BN$149)</f>
        <v>0</v>
      </c>
      <c r="K840" s="584">
        <f>SUMIF('5. PERSON'!$D$17:$D$192,$C823,'5. PERSON'!CL$17:CL$192)+SUMIF('6. OPERATION'!$D$17:$D$149,$C823,'6. OPERATION'!BO$17:BO$149)</f>
        <v>0</v>
      </c>
      <c r="L840" s="584">
        <f>SUMIF('5. PERSON'!$D$17:$D$192,$C823,'5. PERSON'!CM$17:CM$192)+SUMIF('6. OPERATION'!$D$17:$D$149,$C823,'6. OPERATION'!BP$17:BP$149)</f>
        <v>0</v>
      </c>
      <c r="M840" s="908">
        <f t="shared" si="136"/>
        <v>0</v>
      </c>
    </row>
    <row r="841" spans="2:15" s="234" customFormat="1" ht="13.2" x14ac:dyDescent="0.25">
      <c r="B841" s="628" t="s">
        <v>113</v>
      </c>
      <c r="C841" s="443">
        <f>SUM(C834:C840)</f>
        <v>0</v>
      </c>
      <c r="D841" s="443">
        <f t="shared" ref="D841:M841" si="137">SUM(D834:D840)</f>
        <v>0</v>
      </c>
      <c r="E841" s="443">
        <f t="shared" si="137"/>
        <v>0</v>
      </c>
      <c r="F841" s="443">
        <f t="shared" si="137"/>
        <v>0</v>
      </c>
      <c r="G841" s="443">
        <f t="shared" si="137"/>
        <v>0</v>
      </c>
      <c r="H841" s="443">
        <f t="shared" si="137"/>
        <v>0</v>
      </c>
      <c r="I841" s="443">
        <f t="shared" si="137"/>
        <v>0</v>
      </c>
      <c r="J841" s="443">
        <f t="shared" si="137"/>
        <v>0</v>
      </c>
      <c r="K841" s="443">
        <f t="shared" si="137"/>
        <v>0</v>
      </c>
      <c r="L841" s="443">
        <f t="shared" si="137"/>
        <v>0</v>
      </c>
      <c r="M841" s="630">
        <f t="shared" si="137"/>
        <v>0</v>
      </c>
      <c r="N841" s="913"/>
      <c r="O841" s="913"/>
    </row>
    <row r="842" spans="2:15" s="234" customFormat="1" ht="6" customHeight="1" x14ac:dyDescent="0.25">
      <c r="B842" s="914"/>
      <c r="C842" s="127"/>
      <c r="D842" s="127"/>
      <c r="E842" s="127"/>
      <c r="F842" s="127"/>
      <c r="G842" s="127"/>
      <c r="H842" s="127"/>
      <c r="I842" s="127"/>
      <c r="J842" s="127"/>
      <c r="K842" s="127"/>
      <c r="L842" s="127"/>
      <c r="M842" s="636"/>
    </row>
    <row r="843" spans="2:15" s="234" customFormat="1" ht="13.2" x14ac:dyDescent="0.25">
      <c r="B843" s="129" t="str">
        <f>IF('1. INTRO'!I$2="English","Full cost","Full kostnad")</f>
        <v>Full cost</v>
      </c>
      <c r="C843" s="127"/>
      <c r="D843" s="127"/>
      <c r="E843" s="127"/>
      <c r="F843" s="127"/>
      <c r="G843" s="127"/>
      <c r="H843" s="127"/>
      <c r="I843" s="127"/>
      <c r="J843" s="127"/>
      <c r="K843" s="127"/>
      <c r="L843" s="127"/>
      <c r="M843" s="636"/>
    </row>
    <row r="844" spans="2:15" s="234" customFormat="1" ht="13.2" x14ac:dyDescent="0.25">
      <c r="B844" s="902" t="str">
        <f>IF('1. INTRO'!I$2="English","Salary including social costs (LKP)","Lön inklusive LKP")</f>
        <v>Salary including social costs (LKP)</v>
      </c>
      <c r="C844" s="138">
        <f>C826+C835+C836</f>
        <v>0</v>
      </c>
      <c r="D844" s="138">
        <f t="shared" ref="D844:L844" si="138">D826+D835+D836</f>
        <v>0</v>
      </c>
      <c r="E844" s="138">
        <f t="shared" si="138"/>
        <v>0</v>
      </c>
      <c r="F844" s="138">
        <f t="shared" si="138"/>
        <v>0</v>
      </c>
      <c r="G844" s="138">
        <f t="shared" si="138"/>
        <v>0</v>
      </c>
      <c r="H844" s="138">
        <f t="shared" si="138"/>
        <v>0</v>
      </c>
      <c r="I844" s="138">
        <f t="shared" si="138"/>
        <v>0</v>
      </c>
      <c r="J844" s="138">
        <f t="shared" si="138"/>
        <v>0</v>
      </c>
      <c r="K844" s="138">
        <f t="shared" si="138"/>
        <v>0</v>
      </c>
      <c r="L844" s="138">
        <f t="shared" si="138"/>
        <v>0</v>
      </c>
      <c r="M844" s="903">
        <f>SUM(C844:L844)</f>
        <v>0</v>
      </c>
    </row>
    <row r="845" spans="2:15" s="234" customFormat="1" ht="13.2" x14ac:dyDescent="0.25">
      <c r="B845" s="377" t="str">
        <f>IF('1. INTRO'!I$2="English","Operating","Drift")</f>
        <v>Operating</v>
      </c>
      <c r="C845" s="139">
        <f>C827+C837</f>
        <v>0</v>
      </c>
      <c r="D845" s="139">
        <f t="shared" ref="D845:L845" si="139">D827+D837</f>
        <v>0</v>
      </c>
      <c r="E845" s="139">
        <f t="shared" si="139"/>
        <v>0</v>
      </c>
      <c r="F845" s="139">
        <f t="shared" si="139"/>
        <v>0</v>
      </c>
      <c r="G845" s="139">
        <f t="shared" si="139"/>
        <v>0</v>
      </c>
      <c r="H845" s="139">
        <f t="shared" si="139"/>
        <v>0</v>
      </c>
      <c r="I845" s="139">
        <f t="shared" si="139"/>
        <v>0</v>
      </c>
      <c r="J845" s="139">
        <f t="shared" si="139"/>
        <v>0</v>
      </c>
      <c r="K845" s="139">
        <f t="shared" si="139"/>
        <v>0</v>
      </c>
      <c r="L845" s="139">
        <f t="shared" si="139"/>
        <v>0</v>
      </c>
      <c r="M845" s="905">
        <f>SUM(C845:L845)</f>
        <v>0</v>
      </c>
    </row>
    <row r="846" spans="2:15" s="234" customFormat="1" ht="13.2" x14ac:dyDescent="0.25">
      <c r="B846" s="906" t="str">
        <f>IF('1. INTRO'!I$2="English","Equipment","Utrustning")</f>
        <v>Equipment</v>
      </c>
      <c r="C846" s="140">
        <f>C828+C838</f>
        <v>0</v>
      </c>
      <c r="D846" s="140">
        <f t="shared" ref="D846:L846" si="140">D828+D838</f>
        <v>0</v>
      </c>
      <c r="E846" s="140">
        <f t="shared" si="140"/>
        <v>0</v>
      </c>
      <c r="F846" s="140">
        <f t="shared" si="140"/>
        <v>0</v>
      </c>
      <c r="G846" s="140">
        <f t="shared" si="140"/>
        <v>0</v>
      </c>
      <c r="H846" s="140">
        <f t="shared" si="140"/>
        <v>0</v>
      </c>
      <c r="I846" s="140">
        <f t="shared" si="140"/>
        <v>0</v>
      </c>
      <c r="J846" s="140">
        <f t="shared" si="140"/>
        <v>0</v>
      </c>
      <c r="K846" s="140">
        <f t="shared" si="140"/>
        <v>0</v>
      </c>
      <c r="L846" s="140">
        <f t="shared" si="140"/>
        <v>0</v>
      </c>
      <c r="M846" s="907">
        <f>SUM(C846:L846)</f>
        <v>0</v>
      </c>
    </row>
    <row r="847" spans="2:15" s="234" customFormat="1" ht="13.2" x14ac:dyDescent="0.25">
      <c r="B847" s="377" t="str">
        <f>IF('1. INTRO'!I$2="English","Facility","Lokal")</f>
        <v>Facility</v>
      </c>
      <c r="C847" s="139">
        <f>SUMIF('5. PERSON'!$D$17:$D$192,$C823,'5. PERSON'!CP$17:CP$192)+SUMIF('5. PERSON'!$D$17:$D$192,$C823,'5. PERSON'!DB$17:DB$192)+SUMIF('6. OPERATION'!$D$17:$D$149,$C823,'6. OPERATION'!BS$17:BS$149)+SUMIF('6. OPERATION'!$D$17:$D$149,$C823,'6. OPERATION'!CE$17:CE$149)+SUMIF('8. FACILIT'!$D$18:$D$50,$C823,'8. FACILIT'!T$18:T$50)+SUMIF('8. FACILIT'!$D$18:$D$50,$C823,'8. FACILIT'!AF$18:AF$50)</f>
        <v>0</v>
      </c>
      <c r="D847" s="139">
        <f>SUMIF('5. PERSON'!$D$17:$D$192,$C823,'5. PERSON'!CQ$17:CQ$192)+SUMIF('5. PERSON'!$D$17:$D$192,$C823,'5. PERSON'!DC$17:DC$192)+SUMIF('6. OPERATION'!$D$17:$D$149,$C823,'6. OPERATION'!BT$17:BT$149)+SUMIF('6. OPERATION'!$D$17:$D$149,$C823,'6. OPERATION'!CF$17:CF$149)+SUMIF('8. FACILIT'!$D$18:$D$50,$C823,'8. FACILIT'!U$18:U$50)+SUMIF('8. FACILIT'!$D$18:$D$50,$C823,'8. FACILIT'!AG$18:AG$50)</f>
        <v>0</v>
      </c>
      <c r="E847" s="139">
        <f>SUMIF('5. PERSON'!$D$17:$D$192,$C823,'5. PERSON'!CR$17:CR$192)+SUMIF('5. PERSON'!$D$17:$D$192,$C823,'5. PERSON'!DD$17:DD$192)+SUMIF('6. OPERATION'!$D$17:$D$149,$C823,'6. OPERATION'!BU$17:BU$149)+SUMIF('6. OPERATION'!$D$17:$D$149,$C823,'6. OPERATION'!CG$17:CG$149)+SUMIF('8. FACILIT'!$D$18:$D$50,$C823,'8. FACILIT'!V$18:V$50)+SUMIF('8. FACILIT'!$D$18:$D$50,$C823,'8. FACILIT'!AH$18:AH$50)</f>
        <v>0</v>
      </c>
      <c r="F847" s="139">
        <f>SUMIF('5. PERSON'!$D$17:$D$192,$C823,'5. PERSON'!CS$17:CS$192)+SUMIF('5. PERSON'!$D$17:$D$192,$C823,'5. PERSON'!DE$17:DE$192)+SUMIF('6. OPERATION'!$D$17:$D$149,$C823,'6. OPERATION'!BV$17:BV$149)+SUMIF('6. OPERATION'!$D$17:$D$149,$C823,'6. OPERATION'!CH$17:CH$149)+SUMIF('8. FACILIT'!$D$18:$D$50,$C823,'8. FACILIT'!W$18:W$50)+SUMIF('8. FACILIT'!$D$18:$D$50,$C823,'8. FACILIT'!AI$18:AI$50)</f>
        <v>0</v>
      </c>
      <c r="G847" s="139">
        <f>SUMIF('5. PERSON'!$D$17:$D$192,$C823,'5. PERSON'!CT$17:CT$192)+SUMIF('5. PERSON'!$D$17:$D$192,$C823,'5. PERSON'!DF$17:DF$192)+SUMIF('6. OPERATION'!$D$17:$D$149,$C823,'6. OPERATION'!BW$17:BW$149)+SUMIF('6. OPERATION'!$D$17:$D$149,$C823,'6. OPERATION'!CI$17:CI$149)+SUMIF('8. FACILIT'!$D$18:$D$50,$C823,'8. FACILIT'!X$18:X$50)+SUMIF('8. FACILIT'!$D$18:$D$50,$C823,'8. FACILIT'!AJ$18:AJ$50)</f>
        <v>0</v>
      </c>
      <c r="H847" s="139">
        <f>SUMIF('5. PERSON'!$D$17:$D$192,$C823,'5. PERSON'!CU$17:CU$192)+SUMIF('5. PERSON'!$D$17:$D$192,$C823,'5. PERSON'!DG$17:DG$192)+SUMIF('6. OPERATION'!$D$17:$D$149,$C823,'6. OPERATION'!BX$17:BX$149)+SUMIF('6. OPERATION'!$D$17:$D$149,$C823,'6. OPERATION'!CJ$17:CJ$149)+SUMIF('8. FACILIT'!$D$18:$D$50,$C823,'8. FACILIT'!Y$18:Y$50)+SUMIF('8. FACILIT'!$D$18:$D$50,$C823,'8. FACILIT'!AK$18:AK$50)</f>
        <v>0</v>
      </c>
      <c r="I847" s="139">
        <f>SUMIF('5. PERSON'!$D$17:$D$192,$C823,'5. PERSON'!CV$17:CV$192)+SUMIF('5. PERSON'!$D$17:$D$192,$C823,'5. PERSON'!DH$17:DH$192)+SUMIF('6. OPERATION'!$D$17:$D$149,$C823,'6. OPERATION'!BY$17:BY$149)+SUMIF('6. OPERATION'!$D$17:$D$149,$C823,'6. OPERATION'!CK$17:CK$149)+SUMIF('8. FACILIT'!$D$18:$D$50,$C823,'8. FACILIT'!Z$18:Z$50)+SUMIF('8. FACILIT'!$D$18:$D$50,$C823,'8. FACILIT'!AL$18:AL$50)</f>
        <v>0</v>
      </c>
      <c r="J847" s="139">
        <f>SUMIF('5. PERSON'!$D$17:$D$192,$C823,'5. PERSON'!CW$17:CW$192)+SUMIF('5. PERSON'!$D$17:$D$192,$C823,'5. PERSON'!DI$17:DI$192)+SUMIF('6. OPERATION'!$D$17:$D$149,$C823,'6. OPERATION'!BZ$17:BZ$149)+SUMIF('6. OPERATION'!$D$17:$D$149,$C823,'6. OPERATION'!CL$17:CL$149)+SUMIF('8. FACILIT'!$D$18:$D$50,$C823,'8. FACILIT'!AA$18:AA$50)+SUMIF('8. FACILIT'!$D$18:$D$50,$C823,'8. FACILIT'!AM$18:AM$50)</f>
        <v>0</v>
      </c>
      <c r="K847" s="139">
        <f>SUMIF('5. PERSON'!$D$17:$D$192,$C823,'5. PERSON'!CX$17:CX$192)+SUMIF('5. PERSON'!$D$17:$D$192,$C823,'5. PERSON'!DJ$17:DJ$192)+SUMIF('6. OPERATION'!$D$17:$D$149,$C823,'6. OPERATION'!CA$17:CA$149)+SUMIF('6. OPERATION'!$D$17:$D$149,$C823,'6. OPERATION'!CM$17:CM$149)+SUMIF('8. FACILIT'!$D$18:$D$50,$C823,'8. FACILIT'!AB$18:AB$50)+SUMIF('8. FACILIT'!$D$18:$D$50,$C823,'8. FACILIT'!AN$18:AN$50)</f>
        <v>0</v>
      </c>
      <c r="L847" s="139">
        <f>SUMIF('5. PERSON'!$D$17:$D$192,$C823,'5. PERSON'!CY$17:CY$192)+SUMIF('5. PERSON'!$D$17:$D$192,$C823,'5. PERSON'!DK$17:DK$192)+SUMIF('6. OPERATION'!$D$17:$D$149,$C823,'6. OPERATION'!CB$17:CB$149)+SUMIF('6. OPERATION'!$D$17:$D$149,$C823,'6. OPERATION'!CN$17:CN$149)+SUMIF('8. FACILIT'!$D$18:$D$50,$C823,'8. FACILIT'!AC$18:AC$50)+SUMIF('8. FACILIT'!$D$18:$D$50,$C823,'8. FACILIT'!AO$18:AO$50)</f>
        <v>0</v>
      </c>
      <c r="M847" s="905">
        <f>SUM(C847:L847)</f>
        <v>0</v>
      </c>
    </row>
    <row r="848" spans="2:15" s="234" customFormat="1" ht="13.2" x14ac:dyDescent="0.25">
      <c r="B848" s="915" t="str">
        <f>IF('1. INTRO'!I$2="English","Indirect","Indirekt")</f>
        <v>Indirect</v>
      </c>
      <c r="C848" s="141">
        <f>SUMIF('5. PERSON'!$D$17:$D$192,$C823,'5. PERSON'!BR$17:BR$192)+SUMIF('5. PERSON'!$D$17:$D$192,$C823,'5. PERSON'!CD$17:CD$192)+SUMIF('6. OPERATION'!$D$17:$D$149,$C823,'6. OPERATION'!AU$17:AU$149)+SUMIF('6. OPERATION'!$D$17:$D$149,$C823,'6. OPERATION'!BG$17:BG$149)</f>
        <v>0</v>
      </c>
      <c r="D848" s="141">
        <f>SUMIF('5. PERSON'!$D$17:$D$192,$C823,'5. PERSON'!BS$17:BS$192)+SUMIF('5. PERSON'!$D$17:$D$192,$C823,'5. PERSON'!CE$17:CE$192)+SUMIF('6. OPERATION'!$D$17:$D$149,$C823,'6. OPERATION'!AV$17:AV$149)+SUMIF('6. OPERATION'!$D$17:$D$149,$C823,'6. OPERATION'!BH$17:BH$149)</f>
        <v>0</v>
      </c>
      <c r="E848" s="141">
        <f>SUMIF('5. PERSON'!$D$17:$D$192,$C823,'5. PERSON'!BT$17:BT$192)+SUMIF('5. PERSON'!$D$17:$D$192,$C823,'5. PERSON'!CF$17:CF$192)+SUMIF('6. OPERATION'!$D$17:$D$149,$C823,'6. OPERATION'!AW$17:AW$149)+SUMIF('6. OPERATION'!$D$17:$D$149,$C823,'6. OPERATION'!BI$17:BI$149)</f>
        <v>0</v>
      </c>
      <c r="F848" s="141">
        <f>SUMIF('5. PERSON'!$D$17:$D$192,$C823,'5. PERSON'!BU$17:BU$192)+SUMIF('5. PERSON'!$D$17:$D$192,$C823,'5. PERSON'!CG$17:CG$192)+SUMIF('6. OPERATION'!$D$17:$D$149,$C823,'6. OPERATION'!AX$17:AX$149)+SUMIF('6. OPERATION'!$D$17:$D$149,$C823,'6. OPERATION'!BJ$17:BJ$149)</f>
        <v>0</v>
      </c>
      <c r="G848" s="141">
        <f>SUMIF('5. PERSON'!$D$17:$D$192,$C823,'5. PERSON'!BV$17:BV$192)+SUMIF('5. PERSON'!$D$17:$D$192,$C823,'5. PERSON'!CH$17:CH$192)+SUMIF('6. OPERATION'!$D$17:$D$149,$C823,'6. OPERATION'!AY$17:AY$149)+SUMIF('6. OPERATION'!$D$17:$D$149,$C823,'6. OPERATION'!BK$17:BK$149)</f>
        <v>0</v>
      </c>
      <c r="H848" s="141">
        <f>SUMIF('5. PERSON'!$D$17:$D$192,$C823,'5. PERSON'!BW$17:BW$192)+SUMIF('5. PERSON'!$D$17:$D$192,$C823,'5. PERSON'!CI$17:CI$192)+SUMIF('6. OPERATION'!$D$17:$D$149,$C823,'6. OPERATION'!AZ$17:AZ$149)+SUMIF('6. OPERATION'!$D$17:$D$149,$C823,'6. OPERATION'!BL$17:BL$149)</f>
        <v>0</v>
      </c>
      <c r="I848" s="141">
        <f>SUMIF('5. PERSON'!$D$17:$D$192,$C823,'5. PERSON'!BX$17:BX$192)+SUMIF('5. PERSON'!$D$17:$D$192,$C823,'5. PERSON'!CJ$17:CJ$192)+SUMIF('6. OPERATION'!$D$17:$D$149,$C823,'6. OPERATION'!BA$17:BA$149)+SUMIF('6. OPERATION'!$D$17:$D$149,$C823,'6. OPERATION'!BM$17:BM$149)</f>
        <v>0</v>
      </c>
      <c r="J848" s="141">
        <f>SUMIF('5. PERSON'!$D$17:$D$192,$C823,'5. PERSON'!BY$17:BY$192)+SUMIF('5. PERSON'!$D$17:$D$192,$C823,'5. PERSON'!CK$17:CK$192)+SUMIF('6. OPERATION'!$D$17:$D$149,$C823,'6. OPERATION'!BB$17:BB$149)+SUMIF('6. OPERATION'!$D$17:$D$149,$C823,'6. OPERATION'!BN$17:BN$149)</f>
        <v>0</v>
      </c>
      <c r="K848" s="141">
        <f>SUMIF('5. PERSON'!$D$17:$D$192,$C823,'5. PERSON'!BZ$17:BZ$192)+SUMIF('5. PERSON'!$D$17:$D$192,$C823,'5. PERSON'!CL$17:CL$192)+SUMIF('6. OPERATION'!$D$17:$D$149,$C823,'6. OPERATION'!BC$17:BC$149)+SUMIF('6. OPERATION'!$D$17:$D$149,$C823,'6. OPERATION'!BO$17:BO$149)</f>
        <v>0</v>
      </c>
      <c r="L848" s="141">
        <f>SUMIF('5. PERSON'!$D$17:$D$192,$C823,'5. PERSON'!CA$17:CA$192)+SUMIF('5. PERSON'!$D$17:$D$192,$C823,'5. PERSON'!CM$17:CM$192)+SUMIF('6. OPERATION'!$D$17:$D$149,$C823,'6. OPERATION'!BD$17:BD$149)+SUMIF('6. OPERATION'!$D$17:$D$149,$C823,'6. OPERATION'!BP$17:BP$149)</f>
        <v>0</v>
      </c>
      <c r="M848" s="908">
        <f>SUM(C848:L848)</f>
        <v>0</v>
      </c>
    </row>
    <row r="849" spans="2:13" s="234" customFormat="1" ht="13.2" x14ac:dyDescent="0.25">
      <c r="B849" s="628" t="s">
        <v>113</v>
      </c>
      <c r="C849" s="520">
        <f>SUM(C844:C848)</f>
        <v>0</v>
      </c>
      <c r="D849" s="520">
        <f t="shared" ref="D849:M849" si="141">SUM(D844:D848)</f>
        <v>0</v>
      </c>
      <c r="E849" s="520">
        <f t="shared" si="141"/>
        <v>0</v>
      </c>
      <c r="F849" s="520">
        <f t="shared" si="141"/>
        <v>0</v>
      </c>
      <c r="G849" s="520">
        <f t="shared" si="141"/>
        <v>0</v>
      </c>
      <c r="H849" s="520">
        <f t="shared" si="141"/>
        <v>0</v>
      </c>
      <c r="I849" s="520">
        <f t="shared" si="141"/>
        <v>0</v>
      </c>
      <c r="J849" s="520">
        <f t="shared" si="141"/>
        <v>0</v>
      </c>
      <c r="K849" s="520">
        <f t="shared" si="141"/>
        <v>0</v>
      </c>
      <c r="L849" s="520">
        <f t="shared" si="141"/>
        <v>0</v>
      </c>
      <c r="M849" s="916">
        <f t="shared" si="141"/>
        <v>0</v>
      </c>
    </row>
    <row r="850" spans="2:13" s="234" customFormat="1" ht="13.2" x14ac:dyDescent="0.25">
      <c r="B850" s="676"/>
      <c r="C850" s="268"/>
      <c r="D850" s="268"/>
      <c r="E850" s="268"/>
      <c r="F850" s="268"/>
      <c r="G850" s="268"/>
      <c r="H850" s="268"/>
      <c r="I850" s="268"/>
      <c r="J850" s="268"/>
      <c r="K850" s="268"/>
      <c r="L850" s="268"/>
      <c r="M850" s="268"/>
    </row>
    <row r="851" spans="2:13" s="234" customFormat="1" ht="12.75" customHeight="1" x14ac:dyDescent="0.25">
      <c r="B851" s="676" t="str">
        <f>IF('1. INTRO'!I$2="English","Co-funding share in full cost ","Medfinansieringsandel i full kostnad ")</f>
        <v xml:space="preserve">Co-funding share in full cost </v>
      </c>
      <c r="C851" s="640" t="str">
        <f t="shared" ref="C851:M851" si="142">IF(C849&gt;0,C841/C849,"")</f>
        <v/>
      </c>
      <c r="D851" s="640" t="str">
        <f t="shared" si="142"/>
        <v/>
      </c>
      <c r="E851" s="640" t="str">
        <f t="shared" si="142"/>
        <v/>
      </c>
      <c r="F851" s="640" t="str">
        <f t="shared" si="142"/>
        <v/>
      </c>
      <c r="G851" s="640" t="str">
        <f t="shared" si="142"/>
        <v/>
      </c>
      <c r="H851" s="640" t="str">
        <f t="shared" si="142"/>
        <v/>
      </c>
      <c r="I851" s="640" t="str">
        <f t="shared" si="142"/>
        <v/>
      </c>
      <c r="J851" s="640" t="str">
        <f t="shared" si="142"/>
        <v/>
      </c>
      <c r="K851" s="640" t="str">
        <f t="shared" si="142"/>
        <v/>
      </c>
      <c r="L851" s="640" t="str">
        <f t="shared" si="142"/>
        <v/>
      </c>
      <c r="M851" s="640" t="str">
        <f t="shared" si="142"/>
        <v/>
      </c>
    </row>
    <row r="852" spans="2:13" s="268" customFormat="1" ht="12.75" customHeight="1" x14ac:dyDescent="0.25"/>
    <row r="853" spans="2:13" s="268" customFormat="1" ht="12.75" customHeight="1" x14ac:dyDescent="0.25">
      <c r="B853" s="667" t="str">
        <f>IF('1. INTRO'!I$2="English","Calculation comments","Kalkylkommentarer")</f>
        <v>Calculation comments</v>
      </c>
    </row>
    <row r="854" spans="2:13" s="268" customFormat="1" ht="12.75" customHeight="1" x14ac:dyDescent="0.25">
      <c r="B854" s="1264"/>
      <c r="C854" s="1265"/>
      <c r="D854" s="1265"/>
      <c r="E854" s="1265"/>
      <c r="F854" s="1265"/>
      <c r="G854" s="1265"/>
      <c r="H854" s="1265"/>
      <c r="I854" s="1265"/>
      <c r="J854" s="1265"/>
      <c r="K854" s="1265"/>
      <c r="L854" s="1265"/>
      <c r="M854" s="1266"/>
    </row>
    <row r="855" spans="2:13" s="268" customFormat="1" ht="12.75" customHeight="1" x14ac:dyDescent="0.25">
      <c r="B855" s="1267"/>
      <c r="C855" s="1268"/>
      <c r="D855" s="1268"/>
      <c r="E855" s="1268"/>
      <c r="F855" s="1268"/>
      <c r="G855" s="1268"/>
      <c r="H855" s="1268"/>
      <c r="I855" s="1268"/>
      <c r="J855" s="1268"/>
      <c r="K855" s="1268"/>
      <c r="L855" s="1268"/>
      <c r="M855" s="1269"/>
    </row>
    <row r="856" spans="2:13" s="268" customFormat="1" ht="12.75" customHeight="1" x14ac:dyDescent="0.25">
      <c r="B856" s="1267"/>
      <c r="C856" s="1268"/>
      <c r="D856" s="1268"/>
      <c r="E856" s="1268"/>
      <c r="F856" s="1268"/>
      <c r="G856" s="1268"/>
      <c r="H856" s="1268"/>
      <c r="I856" s="1268"/>
      <c r="J856" s="1268"/>
      <c r="K856" s="1268"/>
      <c r="L856" s="1268"/>
      <c r="M856" s="1269"/>
    </row>
    <row r="857" spans="2:13" s="268" customFormat="1" ht="12.75" customHeight="1" x14ac:dyDescent="0.25">
      <c r="B857" s="1267"/>
      <c r="C857" s="1268"/>
      <c r="D857" s="1268"/>
      <c r="E857" s="1268"/>
      <c r="F857" s="1268"/>
      <c r="G857" s="1268"/>
      <c r="H857" s="1268"/>
      <c r="I857" s="1268"/>
      <c r="J857" s="1268"/>
      <c r="K857" s="1268"/>
      <c r="L857" s="1268"/>
      <c r="M857" s="1269"/>
    </row>
    <row r="858" spans="2:13" s="268" customFormat="1" ht="12.75" customHeight="1" x14ac:dyDescent="0.25">
      <c r="B858" s="1267"/>
      <c r="C858" s="1268"/>
      <c r="D858" s="1268"/>
      <c r="E858" s="1268"/>
      <c r="F858" s="1268"/>
      <c r="G858" s="1268"/>
      <c r="H858" s="1268"/>
      <c r="I858" s="1268"/>
      <c r="J858" s="1268"/>
      <c r="K858" s="1268"/>
      <c r="L858" s="1268"/>
      <c r="M858" s="1269"/>
    </row>
    <row r="859" spans="2:13" s="268" customFormat="1" ht="12.75" customHeight="1" x14ac:dyDescent="0.25">
      <c r="B859" s="1270"/>
      <c r="C859" s="1271"/>
      <c r="D859" s="1271"/>
      <c r="E859" s="1271"/>
      <c r="F859" s="1271"/>
      <c r="G859" s="1271"/>
      <c r="H859" s="1271"/>
      <c r="I859" s="1271"/>
      <c r="J859" s="1271"/>
      <c r="K859" s="1271"/>
      <c r="L859" s="1271"/>
      <c r="M859" s="1272"/>
    </row>
    <row r="860" spans="2:13" s="268" customFormat="1" x14ac:dyDescent="0.25">
      <c r="B860" s="1270"/>
      <c r="C860" s="1271"/>
      <c r="D860" s="1271"/>
      <c r="E860" s="1271"/>
      <c r="F860" s="1271"/>
      <c r="G860" s="1271"/>
      <c r="H860" s="1271"/>
      <c r="I860" s="1271"/>
      <c r="J860" s="1271"/>
      <c r="K860" s="1271"/>
      <c r="L860" s="1271"/>
      <c r="M860" s="1272"/>
    </row>
    <row r="861" spans="2:13" s="268" customFormat="1" x14ac:dyDescent="0.25">
      <c r="B861" s="1270"/>
      <c r="C861" s="1271"/>
      <c r="D861" s="1271"/>
      <c r="E861" s="1271"/>
      <c r="F861" s="1271"/>
      <c r="G861" s="1271"/>
      <c r="H861" s="1271"/>
      <c r="I861" s="1271"/>
      <c r="J861" s="1271"/>
      <c r="K861" s="1271"/>
      <c r="L861" s="1271"/>
      <c r="M861" s="1272"/>
    </row>
    <row r="862" spans="2:13" s="268" customFormat="1" x14ac:dyDescent="0.25">
      <c r="B862" s="1270"/>
      <c r="C862" s="1271"/>
      <c r="D862" s="1271"/>
      <c r="E862" s="1271"/>
      <c r="F862" s="1271"/>
      <c r="G862" s="1271"/>
      <c r="H862" s="1271"/>
      <c r="I862" s="1271"/>
      <c r="J862" s="1271"/>
      <c r="K862" s="1271"/>
      <c r="L862" s="1271"/>
      <c r="M862" s="1272"/>
    </row>
    <row r="863" spans="2:13" s="268" customFormat="1" x14ac:dyDescent="0.25">
      <c r="B863" s="1270"/>
      <c r="C863" s="1271"/>
      <c r="D863" s="1271"/>
      <c r="E863" s="1271"/>
      <c r="F863" s="1271"/>
      <c r="G863" s="1271"/>
      <c r="H863" s="1271"/>
      <c r="I863" s="1271"/>
      <c r="J863" s="1271"/>
      <c r="K863" s="1271"/>
      <c r="L863" s="1271"/>
      <c r="M863" s="1272"/>
    </row>
    <row r="864" spans="2:13" s="268" customFormat="1" x14ac:dyDescent="0.25">
      <c r="B864" s="1270"/>
      <c r="C864" s="1271"/>
      <c r="D864" s="1271"/>
      <c r="E864" s="1271"/>
      <c r="F864" s="1271"/>
      <c r="G864" s="1271"/>
      <c r="H864" s="1271"/>
      <c r="I864" s="1271"/>
      <c r="J864" s="1271"/>
      <c r="K864" s="1271"/>
      <c r="L864" s="1271"/>
      <c r="M864" s="1272"/>
    </row>
    <row r="865" spans="2:15" s="268" customFormat="1" x14ac:dyDescent="0.25">
      <c r="B865" s="1270"/>
      <c r="C865" s="1271"/>
      <c r="D865" s="1271"/>
      <c r="E865" s="1271"/>
      <c r="F865" s="1271"/>
      <c r="G865" s="1271"/>
      <c r="H865" s="1271"/>
      <c r="I865" s="1271"/>
      <c r="J865" s="1271"/>
      <c r="K865" s="1271"/>
      <c r="L865" s="1271"/>
      <c r="M865" s="1272"/>
    </row>
    <row r="866" spans="2:15" s="268" customFormat="1" x14ac:dyDescent="0.25">
      <c r="B866" s="1273"/>
      <c r="C866" s="1274"/>
      <c r="D866" s="1274"/>
      <c r="E866" s="1274"/>
      <c r="F866" s="1274"/>
      <c r="G866" s="1274"/>
      <c r="H866" s="1274"/>
      <c r="I866" s="1274"/>
      <c r="J866" s="1274"/>
      <c r="K866" s="1274"/>
      <c r="L866" s="1274"/>
      <c r="M866" s="1275"/>
    </row>
    <row r="867" spans="2:15" s="268" customFormat="1" x14ac:dyDescent="0.25"/>
    <row r="868" spans="2:15" s="268" customFormat="1" x14ac:dyDescent="0.25"/>
    <row r="869" spans="2:15" s="234" customFormat="1" ht="12.75" customHeight="1" x14ac:dyDescent="0.25">
      <c r="B869" s="313" t="str">
        <f>'3. PARTNER'!C$4</f>
        <v xml:space="preserve">Project: </v>
      </c>
      <c r="C869" s="1062" t="str">
        <f>'3. PARTNER'!D$4</f>
        <v/>
      </c>
      <c r="D869" s="1001"/>
      <c r="E869" s="1001"/>
      <c r="F869" s="1001"/>
      <c r="G869" s="1001"/>
      <c r="H869" s="1001"/>
      <c r="I869" s="1001"/>
      <c r="J869" s="1001"/>
      <c r="K869" s="1001"/>
      <c r="L869" s="1001"/>
      <c r="M869" s="1001"/>
    </row>
    <row r="870" spans="2:15" s="234" customFormat="1" ht="13.2" x14ac:dyDescent="0.25">
      <c r="B870" s="313" t="str">
        <f>'3. PARTNER'!C$5</f>
        <v xml:space="preserve">Calculation for: </v>
      </c>
      <c r="C870" s="1062" t="str">
        <f>'3. PARTNER'!D$5</f>
        <v>APPLICATION</v>
      </c>
      <c r="D870" s="1001"/>
      <c r="E870" s="268"/>
      <c r="F870" s="268"/>
      <c r="G870" s="268"/>
      <c r="H870" s="268"/>
      <c r="I870" s="268"/>
      <c r="J870" s="268"/>
      <c r="K870" s="268"/>
      <c r="L870" s="268"/>
      <c r="M870" s="268"/>
    </row>
    <row r="871" spans="2:15" s="234" customFormat="1" ht="13.2" x14ac:dyDescent="0.25">
      <c r="B871" s="35" t="str">
        <f>'3. PARTNER'!C$6</f>
        <v xml:space="preserve">Project leader: </v>
      </c>
      <c r="C871" s="1062" t="str">
        <f>'3. PARTNER'!D$6</f>
        <v/>
      </c>
      <c r="D871" s="1001"/>
      <c r="E871" s="1001"/>
      <c r="F871" s="1001"/>
      <c r="G871" s="1001"/>
      <c r="H871" s="1001"/>
      <c r="I871" s="1001"/>
      <c r="J871" s="1001"/>
      <c r="K871" s="1001"/>
      <c r="L871" s="1001"/>
      <c r="M871" s="1001"/>
    </row>
    <row r="872" spans="2:15" s="234" customFormat="1" ht="13.2" x14ac:dyDescent="0.25">
      <c r="B872" s="313" t="str">
        <f>'5. PERSON'!B$7</f>
        <v xml:space="preserve">Amounts in: </v>
      </c>
      <c r="C872" s="672" t="str">
        <f>'5. PERSON'!C$7</f>
        <v>SEK</v>
      </c>
      <c r="D872" s="268"/>
      <c r="E872" s="268"/>
      <c r="F872" s="268"/>
      <c r="I872" s="270"/>
      <c r="J872" s="270"/>
      <c r="K872" s="270"/>
      <c r="L872" s="270"/>
      <c r="M872" s="270"/>
    </row>
    <row r="873" spans="2:15" s="234" customFormat="1" ht="13.2" x14ac:dyDescent="0.25">
      <c r="B873" s="313"/>
      <c r="C873" s="1053" t="str">
        <f>'3. PARTNER'!D$7</f>
        <v>Other basic data about the project is in sheet 2.</v>
      </c>
      <c r="D873" s="1001"/>
      <c r="E873" s="1001"/>
      <c r="F873" s="1001"/>
      <c r="I873" s="270"/>
      <c r="J873" s="270"/>
      <c r="K873" s="270"/>
      <c r="L873" s="251" t="s">
        <v>4</v>
      </c>
      <c r="M873" s="270"/>
    </row>
    <row r="874" spans="2:15" s="268" customFormat="1" ht="12.75" customHeight="1" x14ac:dyDescent="0.25">
      <c r="L874" s="252" t="str">
        <f>IF('1. INTRO'!I$2="English","months","månader")</f>
        <v>months</v>
      </c>
    </row>
    <row r="875" spans="2:15" s="234" customFormat="1" ht="13.8" x14ac:dyDescent="0.25">
      <c r="B875" s="678" t="str">
        <f>IF('1. INTRO'!I$2="English","Project costs","Projektkostnader")</f>
        <v>Project costs</v>
      </c>
      <c r="C875" s="678" t="str">
        <f>B31</f>
        <v>WP 17</v>
      </c>
      <c r="D875" s="234" t="str">
        <f>E31</f>
        <v/>
      </c>
      <c r="E875" s="268"/>
      <c r="G875" s="268"/>
      <c r="H875" s="268"/>
      <c r="I875" s="268"/>
      <c r="J875" s="268"/>
      <c r="K875" s="676"/>
      <c r="L875" s="899">
        <f>SUMIF('5. PERSON'!$D$17:$D$192,$C875,'5. PERSON'!AE$17:AE$192)</f>
        <v>0</v>
      </c>
      <c r="M875" s="680" t="s">
        <v>330</v>
      </c>
    </row>
    <row r="876" spans="2:15" s="234" customFormat="1" ht="6" customHeight="1" x14ac:dyDescent="0.25">
      <c r="B876" s="602"/>
      <c r="C876" s="268"/>
      <c r="D876" s="268"/>
      <c r="E876" s="268"/>
      <c r="F876" s="268"/>
      <c r="G876" s="268"/>
      <c r="H876" s="268"/>
      <c r="I876" s="268"/>
      <c r="J876" s="268"/>
      <c r="K876" s="268"/>
      <c r="L876" s="268"/>
      <c r="M876" s="268"/>
    </row>
    <row r="877" spans="2:15" s="234" customFormat="1" ht="13.2" x14ac:dyDescent="0.25">
      <c r="B877" s="110" t="str">
        <f>IF('1. INTRO'!I$2="English","Costs to be covered by funding body","Kostnader att täckas av finansiär")</f>
        <v>Costs to be covered by funding body</v>
      </c>
      <c r="C877" s="607">
        <f>'5. PERSON'!G$15</f>
        <v>1900</v>
      </c>
      <c r="D877" s="607" t="str">
        <f>'5. PERSON'!H$15</f>
        <v/>
      </c>
      <c r="E877" s="607" t="str">
        <f>'5. PERSON'!I$15</f>
        <v/>
      </c>
      <c r="F877" s="607" t="str">
        <f>'5. PERSON'!J$15</f>
        <v/>
      </c>
      <c r="G877" s="607" t="str">
        <f>'5. PERSON'!K$15</f>
        <v/>
      </c>
      <c r="H877" s="607" t="str">
        <f>'5. PERSON'!L$15</f>
        <v/>
      </c>
      <c r="I877" s="607" t="str">
        <f>'5. PERSON'!M$15</f>
        <v/>
      </c>
      <c r="J877" s="607" t="str">
        <f>'5. PERSON'!N$15</f>
        <v/>
      </c>
      <c r="K877" s="607" t="str">
        <f>'5. PERSON'!O$15</f>
        <v/>
      </c>
      <c r="L877" s="607" t="str">
        <f>'5. PERSON'!P$15</f>
        <v/>
      </c>
      <c r="M877" s="608" t="s">
        <v>2</v>
      </c>
    </row>
    <row r="878" spans="2:15" s="234" customFormat="1" ht="12.75" customHeight="1" x14ac:dyDescent="0.25">
      <c r="B878" s="902" t="str">
        <f>IF('1. INTRO'!I$2="English","Salary including social costs (LKP)","Lön inklusive LKP")</f>
        <v>Salary including social costs (LKP)</v>
      </c>
      <c r="C878" s="610">
        <f>IF('2. START'!$C$14&gt;0,SUMIF('5. PERSON'!$D$17:$D$192,$C875,'5. PERSON'!DN$17:DN$192),SUMIF('5. PERSON'!$D$17:$D$192,$C875,'5. PERSON'!AT$17:AT$192))</f>
        <v>0</v>
      </c>
      <c r="D878" s="610">
        <f>IF('2. START'!$C$14&gt;0,SUMIF('5. PERSON'!$D$17:$D$192,$C875,'5. PERSON'!DO$17:DO$192),SUMIF('5. PERSON'!$D$17:$D$192,$C875,'5. PERSON'!AU$17:AU$192))</f>
        <v>0</v>
      </c>
      <c r="E878" s="610">
        <f>IF('2. START'!$C$14&gt;0,SUMIF('5. PERSON'!$D$17:$D$192,$C875,'5. PERSON'!DP$17:DP$192),SUMIF('5. PERSON'!$D$17:$D$192,$C875,'5. PERSON'!AV$17:AV$192))</f>
        <v>0</v>
      </c>
      <c r="F878" s="610">
        <f>IF('2. START'!$C$14&gt;0,SUMIF('5. PERSON'!$D$17:$D$192,$C875,'5. PERSON'!DQ$17:DQ$192),SUMIF('5. PERSON'!$D$17:$D$192,$C875,'5. PERSON'!AW$17:AW$192))</f>
        <v>0</v>
      </c>
      <c r="G878" s="610">
        <f>IF('2. START'!$C$14&gt;0,SUMIF('5. PERSON'!$D$17:$D$192,$C875,'5. PERSON'!DR$17:DR$192),SUMIF('5. PERSON'!$D$17:$D$192,$C875,'5. PERSON'!AX$17:AX$192))</f>
        <v>0</v>
      </c>
      <c r="H878" s="610">
        <f>IF('2. START'!$C$14&gt;0,SUMIF('5. PERSON'!$D$17:$D$192,$C875,'5. PERSON'!DS$17:DS$192),SUMIF('5. PERSON'!$D$17:$D$192,$C875,'5. PERSON'!AY$17:AY$192))</f>
        <v>0</v>
      </c>
      <c r="I878" s="610">
        <f>IF('2. START'!$C$14&gt;0,SUMIF('5. PERSON'!$D$17:$D$192,$C875,'5. PERSON'!DT$17:DT$192),SUMIF('5. PERSON'!$D$17:$D$192,$C875,'5. PERSON'!AZ$17:AZ$192))</f>
        <v>0</v>
      </c>
      <c r="J878" s="610">
        <f>IF('2. START'!$C$14&gt;0,SUMIF('5. PERSON'!$D$17:$D$192,$C875,'5. PERSON'!DU$17:DU$192),SUMIF('5. PERSON'!$D$17:$D$192,$C875,'5. PERSON'!BA$17:BA$192))</f>
        <v>0</v>
      </c>
      <c r="K878" s="610">
        <f>IF('2. START'!$C$14&gt;0,SUMIF('5. PERSON'!$D$17:$D$192,$C875,'5. PERSON'!DV$17:DV$192),SUMIF('5. PERSON'!$D$17:$D$192,$C875,'5. PERSON'!BB$17:BB$192))</f>
        <v>0</v>
      </c>
      <c r="L878" s="610">
        <f>IF('2. START'!$C$14&gt;0,SUMIF('5. PERSON'!$D$17:$D$192,$C875,'5. PERSON'!DW$17:DW$192),SUMIF('5. PERSON'!$D$17:$D$192,$C875,'5. PERSON'!BC$17:BC$192))</f>
        <v>0</v>
      </c>
      <c r="M878" s="903">
        <f t="shared" ref="M878:M883" si="143">SUM(C878:L878)</f>
        <v>0</v>
      </c>
      <c r="O878" s="904"/>
    </row>
    <row r="879" spans="2:15" s="234" customFormat="1" ht="12.75" customHeight="1" x14ac:dyDescent="0.25">
      <c r="B879" s="377" t="str">
        <f>IF('1. INTRO'!I$2="English","Operating","Drift")</f>
        <v>Operating</v>
      </c>
      <c r="C879" s="615">
        <f>SUMIF('6. OPERATION'!$D$17:$D$149,$C875,'6. OPERATION'!W$17:W$149)</f>
        <v>0</v>
      </c>
      <c r="D879" s="615">
        <f>SUMIF('6. OPERATION'!$D$17:$D$149,$C875,'6. OPERATION'!X$17:X$149)</f>
        <v>0</v>
      </c>
      <c r="E879" s="615">
        <f>SUMIF('6. OPERATION'!$D$17:$D$149,$C875,'6. OPERATION'!Y$17:Y$149)</f>
        <v>0</v>
      </c>
      <c r="F879" s="615">
        <f>SUMIF('6. OPERATION'!$D$17:$D$149,$C875,'6. OPERATION'!Z$17:Z$149)</f>
        <v>0</v>
      </c>
      <c r="G879" s="615">
        <f>SUMIF('6. OPERATION'!$D$17:$D$149,$C875,'6. OPERATION'!AA$17:AA$149)</f>
        <v>0</v>
      </c>
      <c r="H879" s="615">
        <f>SUMIF('6. OPERATION'!$D$17:$D$149,$C875,'6. OPERATION'!AB$17:AB$149)</f>
        <v>0</v>
      </c>
      <c r="I879" s="615">
        <f>SUMIF('6. OPERATION'!$D$17:$D$149,$C875,'6. OPERATION'!AC$17:AC$149)</f>
        <v>0</v>
      </c>
      <c r="J879" s="615">
        <f>SUMIF('6. OPERATION'!$D$17:$D$149,$C875,'6. OPERATION'!AD$17:AD$149)</f>
        <v>0</v>
      </c>
      <c r="K879" s="615">
        <f>SUMIF('6. OPERATION'!$D$17:$D$149,$C875,'6. OPERATION'!AE$17:AE$149)</f>
        <v>0</v>
      </c>
      <c r="L879" s="615">
        <f>SUMIF('6. OPERATION'!$D$17:$D$149,$C875,'6. OPERATION'!AF$17:AF$149)</f>
        <v>0</v>
      </c>
      <c r="M879" s="905">
        <f t="shared" si="143"/>
        <v>0</v>
      </c>
    </row>
    <row r="880" spans="2:15" s="234" customFormat="1" ht="13.2" x14ac:dyDescent="0.25">
      <c r="B880" s="906" t="str">
        <f>IF('1. INTRO'!I$2="English","Equipment","Utrustning")</f>
        <v>Equipment</v>
      </c>
      <c r="C880" s="620">
        <f>SUMIF('7. INVEST'!$D$17:$D$49,$C875,'7. INVEST'!W$17:W$49)</f>
        <v>0</v>
      </c>
      <c r="D880" s="620">
        <f>SUMIF('7. INVEST'!$D$17:$D$49,$C875,'7. INVEST'!X$17:X$49)</f>
        <v>0</v>
      </c>
      <c r="E880" s="620">
        <f>SUMIF('7. INVEST'!$D$17:$D$49,$C875,'7. INVEST'!Y$17:Y$49)</f>
        <v>0</v>
      </c>
      <c r="F880" s="620">
        <f>SUMIF('7. INVEST'!$D$17:$D$49,$C875,'7. INVEST'!Z$17:Z$49)</f>
        <v>0</v>
      </c>
      <c r="G880" s="620">
        <f>SUMIF('7. INVEST'!$D$17:$D$49,$C875,'7. INVEST'!AA$17:AA$49)</f>
        <v>0</v>
      </c>
      <c r="H880" s="620">
        <f>SUMIF('7. INVEST'!$D$17:$D$49,$C875,'7. INVEST'!AB$17:AB$49)</f>
        <v>0</v>
      </c>
      <c r="I880" s="620">
        <f>SUMIF('7. INVEST'!$D$17:$D$49,$C875,'7. INVEST'!AC$17:AC$49)</f>
        <v>0</v>
      </c>
      <c r="J880" s="620">
        <f>SUMIF('7. INVEST'!$D$17:$D$49,$C875,'7. INVEST'!AD$17:AD$49)</f>
        <v>0</v>
      </c>
      <c r="K880" s="620">
        <f>SUMIF('7. INVEST'!$D$17:$D$49,$C875,'7. INVEST'!AE$17:AE$49)</f>
        <v>0</v>
      </c>
      <c r="L880" s="620">
        <f>SUMIF('7. INVEST'!$D$17:$D$49,$C875,'7. INVEST'!AF$17:AF$49)</f>
        <v>0</v>
      </c>
      <c r="M880" s="907">
        <f t="shared" si="143"/>
        <v>0</v>
      </c>
    </row>
    <row r="881" spans="2:15" s="234" customFormat="1" ht="13.2" x14ac:dyDescent="0.25">
      <c r="B881" s="121" t="str">
        <f>IF('1. INTRO'!I$2="English",(IF('2. START'!C$11="NO","Facility accepted as direct cost by funding body","Facility")),IF('2. START'!C$11="NO","Lokal accepterad som direkt kostnad av finansiär","Lokal"))</f>
        <v>Facility</v>
      </c>
      <c r="C881" s="615">
        <f>IF('2. START'!$C$11="NO",SUMIF('8. FACILIT'!$D$18:$D$50,$C875,'8. FACILIT'!T$18:T$50),SUMIF('5. PERSON'!$D$17:$D$192,$C875,'5. PERSON'!CP$17:CP$192)+SUMIF('6. OPERATION'!$D$17:$D$149,$C875,'6. OPERATION'!BS$17:BS$149)+SUMIF('8. FACILIT'!$D$18:$D$50,$C875,'8. FACILIT'!T$18:T$50))</f>
        <v>0</v>
      </c>
      <c r="D881" s="615">
        <f>IF('2. START'!$C$11="NO",SUMIF('8. FACILIT'!$D$18:$D$50,$C875,'8. FACILIT'!U$18:U$50),SUMIF('5. PERSON'!$D$17:$D$192,$C875,'5. PERSON'!CQ$17:CQ$192)+SUMIF('6. OPERATION'!$D$17:$D$149,$C875,'6. OPERATION'!BT$17:BT$149)+SUMIF('8. FACILIT'!$D$18:$D$50,$C875,'8. FACILIT'!U$18:U$50))</f>
        <v>0</v>
      </c>
      <c r="E881" s="615">
        <f>IF('2. START'!$C$11="NO",SUMIF('8. FACILIT'!$D$18:$D$50,$C875,'8. FACILIT'!V$18:V$50),SUMIF('5. PERSON'!$D$17:$D$192,$C875,'5. PERSON'!CR$17:CR$192)+SUMIF('6. OPERATION'!$D$17:$D$149,$C875,'6. OPERATION'!BU$17:BU$149)+SUMIF('8. FACILIT'!$D$18:$D$50,$C875,'8. FACILIT'!V$18:V$50))</f>
        <v>0</v>
      </c>
      <c r="F881" s="615">
        <f>IF('2. START'!$C$11="NO",SUMIF('8. FACILIT'!$D$18:$D$50,$C875,'8. FACILIT'!W$18:W$50),SUMIF('5. PERSON'!$D$17:$D$192,$C875,'5. PERSON'!CS$17:CS$192)+SUMIF('6. OPERATION'!$D$17:$D$149,$C875,'6. OPERATION'!BV$17:BV$149)+SUMIF('8. FACILIT'!$D$18:$D$50,$C875,'8. FACILIT'!W$18:W$50))</f>
        <v>0</v>
      </c>
      <c r="G881" s="615">
        <f>IF('2. START'!$C$11="NO",SUMIF('8. FACILIT'!$D$18:$D$50,$C875,'8. FACILIT'!X$18:X$50),SUMIF('5. PERSON'!$D$17:$D$192,$C875,'5. PERSON'!CT$17:CT$192)+SUMIF('6. OPERATION'!$D$17:$D$149,$C875,'6. OPERATION'!BW$17:BW$149)+SUMIF('8. FACILIT'!$D$18:$D$50,$C875,'8. FACILIT'!X$18:X$50))</f>
        <v>0</v>
      </c>
      <c r="H881" s="615">
        <f>IF('2. START'!$C$11="NO",SUMIF('8. FACILIT'!$D$18:$D$50,$C875,'8. FACILIT'!Y$18:Y$50),SUMIF('5. PERSON'!$D$17:$D$192,$C875,'5. PERSON'!CU$17:CU$192)+SUMIF('6. OPERATION'!$D$17:$D$149,$C875,'6. OPERATION'!BX$17:BX$149)+SUMIF('8. FACILIT'!$D$18:$D$50,$C875,'8. FACILIT'!Y$18:Y$50))</f>
        <v>0</v>
      </c>
      <c r="I881" s="615">
        <f>IF('2. START'!$C$11="NO",SUMIF('8. FACILIT'!$D$18:$D$50,$C875,'8. FACILIT'!Z$18:Z$50),SUMIF('5. PERSON'!$D$17:$D$192,$C875,'5. PERSON'!CV$17:CV$192)+SUMIF('6. OPERATION'!$D$17:$D$149,$C875,'6. OPERATION'!BY$17:BY$149)+SUMIF('8. FACILIT'!$D$18:$D$50,$C875,'8. FACILIT'!Z$18:Z$50))</f>
        <v>0</v>
      </c>
      <c r="J881" s="615">
        <f>IF('2. START'!$C$11="NO",SUMIF('8. FACILIT'!$D$18:$D$50,$C875,'8. FACILIT'!AA$18:AA$50),SUMIF('5. PERSON'!$D$17:$D$192,$C875,'5. PERSON'!CW$17:CW$192)+SUMIF('6. OPERATION'!$D$17:$D$149,$C875,'6. OPERATION'!BZ$17:BZ$149)+SUMIF('8. FACILIT'!$D$18:$D$50,$C875,'8. FACILIT'!AA$18:AA$50))</f>
        <v>0</v>
      </c>
      <c r="K881" s="615">
        <f>IF('2. START'!$C$11="NO",SUMIF('8. FACILIT'!$D$18:$D$50,$C875,'8. FACILIT'!AB$18:AB$50),SUMIF('5. PERSON'!$D$17:$D$192,$C875,'5. PERSON'!CX$17:CX$192)+SUMIF('6. OPERATION'!$D$17:$D$149,$C875,'6. OPERATION'!CA$17:CA$149)+SUMIF('8. FACILIT'!$D$18:$D$50,$C875,'8. FACILIT'!AB$18:AB$50))</f>
        <v>0</v>
      </c>
      <c r="L881" s="615">
        <f>IF('2. START'!$C$11="NO",SUMIF('8. FACILIT'!$D$18:$D$50,$C875,'8. FACILIT'!AC$18:AC$50),SUMIF('5. PERSON'!$D$17:$D$192,$C875,'5. PERSON'!CY$17:CY$192)+SUMIF('6. OPERATION'!$D$17:$D$149,$C875,'6. OPERATION'!CB$17:CB$149)+SUMIF('8. FACILIT'!$D$18:$D$50,$C875,'8. FACILIT'!AC$18:AC$50))</f>
        <v>0</v>
      </c>
      <c r="M881" s="905">
        <f t="shared" si="143"/>
        <v>0</v>
      </c>
    </row>
    <row r="882" spans="2:15" s="234" customFormat="1" ht="13.2" x14ac:dyDescent="0.25">
      <c r="B882" s="122" t="str">
        <f>IF('1. INTRO'!I$2="English",(IF('2. START'!C$11="NO","Indirect and facility charge accepted as OH by funding body","Indirect")),IF('2. START'!C$11="NO","Indirekt och lokalpåslag accepterade som OH av finansiär","Indirekt"))</f>
        <v>Indirect</v>
      </c>
      <c r="C882" s="584">
        <f>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584">
        <f>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584">
        <f>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584">
        <f>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584">
        <f>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584">
        <f>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584">
        <f>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584">
        <f>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584">
        <f>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584">
        <f>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908">
        <f t="shared" si="143"/>
        <v>0</v>
      </c>
    </row>
    <row r="883" spans="2:15" s="234" customFormat="1" ht="13.2" x14ac:dyDescent="0.25">
      <c r="B883" s="628" t="s">
        <v>113</v>
      </c>
      <c r="C883" s="443">
        <f>SUM(C878:C882)</f>
        <v>0</v>
      </c>
      <c r="D883" s="443">
        <f t="shared" ref="D883:L883" si="144">SUM(D878:D882)</f>
        <v>0</v>
      </c>
      <c r="E883" s="443">
        <f t="shared" si="144"/>
        <v>0</v>
      </c>
      <c r="F883" s="443">
        <f t="shared" si="144"/>
        <v>0</v>
      </c>
      <c r="G883" s="443">
        <f t="shared" si="144"/>
        <v>0</v>
      </c>
      <c r="H883" s="443">
        <f t="shared" si="144"/>
        <v>0</v>
      </c>
      <c r="I883" s="443">
        <f t="shared" si="144"/>
        <v>0</v>
      </c>
      <c r="J883" s="443">
        <f t="shared" si="144"/>
        <v>0</v>
      </c>
      <c r="K883" s="443">
        <f t="shared" si="144"/>
        <v>0</v>
      </c>
      <c r="L883" s="443">
        <f t="shared" si="144"/>
        <v>0</v>
      </c>
      <c r="M883" s="630">
        <f t="shared" si="143"/>
        <v>0</v>
      </c>
    </row>
    <row r="884" spans="2:15" s="234" customFormat="1" ht="6" customHeight="1" x14ac:dyDescent="0.25">
      <c r="B884" s="909"/>
      <c r="C884" s="127"/>
      <c r="D884" s="127"/>
      <c r="E884" s="127"/>
      <c r="F884" s="127"/>
      <c r="G884" s="127"/>
      <c r="H884" s="127"/>
      <c r="I884" s="127"/>
      <c r="J884" s="127"/>
      <c r="K884" s="127"/>
      <c r="L884" s="127"/>
      <c r="M884" s="633"/>
    </row>
    <row r="885" spans="2:15" s="234" customFormat="1" ht="13.2" x14ac:dyDescent="0.25">
      <c r="B885" s="129" t="str">
        <f>IF('1. INTRO'!I$2="English","Costs to be co-funded","Kostnader att medfinansiera")</f>
        <v>Costs to be co-funded</v>
      </c>
      <c r="C885" s="634"/>
      <c r="D885" s="634"/>
      <c r="E885" s="634"/>
      <c r="F885" s="634"/>
      <c r="G885" s="634"/>
      <c r="H885" s="634"/>
      <c r="I885" s="634"/>
      <c r="J885" s="634"/>
      <c r="K885" s="634"/>
      <c r="L885" s="634"/>
      <c r="M885" s="129"/>
    </row>
    <row r="886" spans="2:15" s="234" customFormat="1" ht="13.2" x14ac:dyDescent="0.25">
      <c r="B886" s="159" t="str">
        <f>IF('1. INTRO'!I$2="English",(IF('2. START'!C$11="NO","Indirect and facility charge not accepted as OH by funding body","")),IF('2. START'!C$11="NO","Indirekt och lokalpåslag inte accepterade som OH av finansiär",""))</f>
        <v/>
      </c>
      <c r="C886" s="910">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910">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910">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910">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910">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910">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910">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910">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910">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910">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903">
        <f t="shared" ref="M886:M892" si="145">SUM(C886:L886)</f>
        <v>0</v>
      </c>
    </row>
    <row r="887" spans="2:15" s="234" customFormat="1" ht="12.75" customHeight="1" x14ac:dyDescent="0.25">
      <c r="B887" s="132" t="str">
        <f>IF('1. INTRO'!I$2="English",(IF('2. START'!C$14&gt;0,"Social costs (LKP) not accepted by funding body","")),IF('2. START'!C$14&gt;0,"LKP som inte accepteras av finansiär",""))</f>
        <v/>
      </c>
      <c r="C887" s="911">
        <f>IF('2. START'!$C$14&gt;0,SUMIF('5. PERSON'!$D$17:$D$192,$C875,'5. PERSON'!AT$17:AT$192)-SUMIF('5. PERSON'!$D$17:$D$192,$C875,'5. PERSON'!DN$17:DN$192),0)</f>
        <v>0</v>
      </c>
      <c r="D887" s="911">
        <f>IF('2. START'!$C$14&gt;0,SUMIF('5. PERSON'!$D$17:$D$192,$C875,'5. PERSON'!AU$17:AU$192)-SUMIF('5. PERSON'!$D$17:$D$192,$C875,'5. PERSON'!DO$17:DO$192),0)</f>
        <v>0</v>
      </c>
      <c r="E887" s="911">
        <f>IF('2. START'!$C$14&gt;0,SUMIF('5. PERSON'!$D$17:$D$192,$C875,'5. PERSON'!AV$17:AV$192)-SUMIF('5. PERSON'!$D$17:$D$192,$C875,'5. PERSON'!DP$17:DP$192),0)</f>
        <v>0</v>
      </c>
      <c r="F887" s="911">
        <f>IF('2. START'!$C$14&gt;0,SUMIF('5. PERSON'!$D$17:$D$192,$C875,'5. PERSON'!AW$17:AW$192)-SUMIF('5. PERSON'!$D$17:$D$192,$C875,'5. PERSON'!DQ$17:DQ$192),0)</f>
        <v>0</v>
      </c>
      <c r="G887" s="911">
        <f>IF('2. START'!$C$14&gt;0,SUMIF('5. PERSON'!$D$17:$D$192,$C875,'5. PERSON'!AX$17:AX$192)-SUMIF('5. PERSON'!$D$17:$D$192,$C875,'5. PERSON'!DR$17:DR$192),0)</f>
        <v>0</v>
      </c>
      <c r="H887" s="911">
        <f>IF('2. START'!$C$14&gt;0,SUMIF('5. PERSON'!$D$17:$D$192,$C875,'5. PERSON'!AY$17:AY$192)-SUMIF('5. PERSON'!$D$17:$D$192,$C875,'5. PERSON'!DS$17:DS$192),0)</f>
        <v>0</v>
      </c>
      <c r="I887" s="911">
        <f>IF('2. START'!$C$14&gt;0,SUMIF('5. PERSON'!$D$17:$D$192,$C875,'5. PERSON'!AZ$17:AZ$192)-SUMIF('5. PERSON'!$D$17:$D$192,$C875,'5. PERSON'!DT$17:DT$192),0)</f>
        <v>0</v>
      </c>
      <c r="J887" s="911">
        <f>IF('2. START'!$C$14&gt;0,SUMIF('5. PERSON'!$D$17:$D$192,$C875,'5. PERSON'!BA$17:BA$192)-SUMIF('5. PERSON'!$D$17:$D$192,$C875,'5. PERSON'!DU$17:DU$192),0)</f>
        <v>0</v>
      </c>
      <c r="K887" s="911">
        <f>IF('2. START'!$C$14&gt;0,SUMIF('5. PERSON'!$D$17:$D$192,$C875,'5. PERSON'!BB$17:BB$192)-SUMIF('5. PERSON'!$D$17:$D$192,$C875,'5. PERSON'!DV$17:DV$192),0)</f>
        <v>0</v>
      </c>
      <c r="L887" s="911">
        <f>IF('2. START'!$C$14&gt;0,SUMIF('5. PERSON'!$D$17:$D$192,$C875,'5. PERSON'!BC$17:BC$192)-SUMIF('5. PERSON'!$D$17:$D$192,$C875,'5. PERSON'!DW$17:DW$192),0)</f>
        <v>0</v>
      </c>
      <c r="M887" s="905">
        <f t="shared" si="145"/>
        <v>0</v>
      </c>
    </row>
    <row r="888" spans="2:15" s="234" customFormat="1" ht="12.75" customHeight="1" x14ac:dyDescent="0.25">
      <c r="B888" s="906" t="str">
        <f>IF('1. INTRO'!I$2="English",(IF('5. PERSON'!BP$193&gt;0,"Salary including social costs (LKP)","")),IF('5. PERSON'!BP$193&gt;0,"Lön inklusive LKP",""))</f>
        <v/>
      </c>
      <c r="C888" s="622">
        <f>SUMIF('5. PERSON'!$D$17:$D$192,$C875,'5. PERSON'!BF$17:BF$192)</f>
        <v>0</v>
      </c>
      <c r="D888" s="622">
        <f>SUMIF('5. PERSON'!$D$17:$D$192,$C875,'5. PERSON'!BG$17:BG$192)</f>
        <v>0</v>
      </c>
      <c r="E888" s="622">
        <f>SUMIF('5. PERSON'!$D$17:$D$192,$C875,'5. PERSON'!BH$17:BH$192)</f>
        <v>0</v>
      </c>
      <c r="F888" s="622">
        <f>SUMIF('5. PERSON'!$D$17:$D$192,$C875,'5. PERSON'!BI$17:BI$192)</f>
        <v>0</v>
      </c>
      <c r="G888" s="622">
        <f>SUMIF('5. PERSON'!$D$17:$D$192,$C875,'5. PERSON'!BJ$17:BJ$192)</f>
        <v>0</v>
      </c>
      <c r="H888" s="622">
        <f>SUMIF('5. PERSON'!$D$17:$D$192,$C875,'5. PERSON'!BK$17:BK$192)</f>
        <v>0</v>
      </c>
      <c r="I888" s="622">
        <f>SUMIF('5. PERSON'!$D$17:$D$192,$C875,'5. PERSON'!BL$17:BL$192)</f>
        <v>0</v>
      </c>
      <c r="J888" s="622">
        <f>SUMIF('5. PERSON'!$D$17:$D$192,$C875,'5. PERSON'!BM$17:BM$192)</f>
        <v>0</v>
      </c>
      <c r="K888" s="622">
        <f>SUMIF('5. PERSON'!$D$17:$D$192,$C875,'5. PERSON'!BN$17:BN$192)</f>
        <v>0</v>
      </c>
      <c r="L888" s="622">
        <f>SUMIF('5. PERSON'!$D$17:$D$192,$C875,'5. PERSON'!BO$17:BO$192)</f>
        <v>0</v>
      </c>
      <c r="M888" s="907">
        <f t="shared" si="145"/>
        <v>0</v>
      </c>
    </row>
    <row r="889" spans="2:15" s="234" customFormat="1" ht="13.2" x14ac:dyDescent="0.25">
      <c r="B889" s="377" t="str">
        <f>IF('1. INTRO'!I$2="English",(IF('6. OPERATION'!AS$150&gt;0,"Operating","")),IF('6. OPERATION'!AS$150&gt;0,"Drift",""))</f>
        <v/>
      </c>
      <c r="C889" s="617">
        <f>SUMIF('6. OPERATION'!$D$17:$D$149,$C875,'6. OPERATION'!AI$17:AI$149)</f>
        <v>0</v>
      </c>
      <c r="D889" s="617">
        <f>SUMIF('6. OPERATION'!$D$17:$D$149,$C875,'6. OPERATION'!AJ$17:AJ$149)</f>
        <v>0</v>
      </c>
      <c r="E889" s="617">
        <f>SUMIF('6. OPERATION'!$D$17:$D$149,$C875,'6. OPERATION'!AK$17:AK$149)</f>
        <v>0</v>
      </c>
      <c r="F889" s="617">
        <f>SUMIF('6. OPERATION'!$D$17:$D$149,$C875,'6. OPERATION'!AL$17:AL$149)</f>
        <v>0</v>
      </c>
      <c r="G889" s="617">
        <f>SUMIF('6. OPERATION'!$D$17:$D$149,$C875,'6. OPERATION'!AM$17:AM$149)</f>
        <v>0</v>
      </c>
      <c r="H889" s="617">
        <f>SUMIF('6. OPERATION'!$D$17:$D$149,$C875,'6. OPERATION'!AN$17:AN$149)</f>
        <v>0</v>
      </c>
      <c r="I889" s="617">
        <f>SUMIF('6. OPERATION'!$D$17:$D$149,$C875,'6. OPERATION'!AO$17:AO$149)</f>
        <v>0</v>
      </c>
      <c r="J889" s="617">
        <f>SUMIF('6. OPERATION'!$D$17:$D$149,$C875,'6. OPERATION'!AP$17:AP$149)</f>
        <v>0</v>
      </c>
      <c r="K889" s="617">
        <f>SUMIF('6. OPERATION'!$D$17:$D$149,$C875,'6. OPERATION'!AQ$17:AQ$149)</f>
        <v>0</v>
      </c>
      <c r="L889" s="617">
        <f>SUMIF('6. OPERATION'!$D$17:$D$149,$C875,'6. OPERATION'!AR$17:AR$149)</f>
        <v>0</v>
      </c>
      <c r="M889" s="905">
        <f t="shared" si="145"/>
        <v>0</v>
      </c>
    </row>
    <row r="890" spans="2:15" s="234" customFormat="1" ht="13.2" x14ac:dyDescent="0.25">
      <c r="B890" s="906" t="str">
        <f>IF('1. INTRO'!I$2="English",(IF('7. INVEST'!AS$50&gt;0,"Equipment","")),IF('7. INVEST'!AS$50&gt;0,"Utrustning",""))</f>
        <v/>
      </c>
      <c r="C890" s="622">
        <f>SUMIF('7. INVEST'!$D$17:$D$49,$C875,'7. INVEST'!AI$17:AI$49)</f>
        <v>0</v>
      </c>
      <c r="D890" s="622">
        <f>SUMIF('7. INVEST'!$D$17:$D$49,$C875,'7. INVEST'!AJ$17:AJ$49)</f>
        <v>0</v>
      </c>
      <c r="E890" s="622">
        <f>SUMIF('7. INVEST'!$D$17:$D$49,$C875,'7. INVEST'!AK$17:AK$49)</f>
        <v>0</v>
      </c>
      <c r="F890" s="622">
        <f>SUMIF('7. INVEST'!$D$17:$D$49,$C875,'7. INVEST'!AL$17:AL$49)</f>
        <v>0</v>
      </c>
      <c r="G890" s="622">
        <f>SUMIF('7. INVEST'!$D$17:$D$49,$C875,'7. INVEST'!AM$17:AM$49)</f>
        <v>0</v>
      </c>
      <c r="H890" s="622">
        <f>SUMIF('7. INVEST'!$D$17:$D$49,$C875,'7. INVEST'!AN$17:AN$49)</f>
        <v>0</v>
      </c>
      <c r="I890" s="622">
        <f>SUMIF('7. INVEST'!$D$17:$D$49,$C875,'7. INVEST'!AO$17:AO$49)</f>
        <v>0</v>
      </c>
      <c r="J890" s="622">
        <f>SUMIF('7. INVEST'!$D$17:$D$49,$C875,'7. INVEST'!AP$17:AP$49)</f>
        <v>0</v>
      </c>
      <c r="K890" s="622">
        <f>SUMIF('7. INVEST'!$D$17:$D$49,$C875,'7. INVEST'!AQ$17:AQ$49)</f>
        <v>0</v>
      </c>
      <c r="L890" s="622">
        <f>SUMIF('7. INVEST'!$D$17:$D$49,$C875,'7. INVEST'!AR$17:AR$49)</f>
        <v>0</v>
      </c>
      <c r="M890" s="907">
        <f t="shared" si="145"/>
        <v>0</v>
      </c>
    </row>
    <row r="891" spans="2:15" s="234" customFormat="1" ht="13.2" x14ac:dyDescent="0.25">
      <c r="B891" s="121" t="str">
        <f>IF('1. INTRO'!I$2="English",(IF('8. FACILIT'!AP$51&gt;0,"Facility","")),IF('8. FACILIT'!AP$51&gt;0,"Lokal",""))</f>
        <v/>
      </c>
      <c r="C891" s="617">
        <f>SUMIF('5. PERSON'!$D$17:$D$192,$C875,'5. PERSON'!DB$17:DB$192)+SUMIF('6. OPERATION'!$D$17:$D$149,$C875,'6. OPERATION'!CE$17:CE$149)+SUMIF('8. FACILIT'!$D$18:$D$50,$C875,'8. FACILIT'!AF$18:AF$50)</f>
        <v>0</v>
      </c>
      <c r="D891" s="617">
        <f>SUMIF('5. PERSON'!$D$17:$D$192,$C875,'5. PERSON'!DC$17:DC$192)+SUMIF('6. OPERATION'!$D$17:$D$149,$C875,'6. OPERATION'!CF$17:CF$149)+SUMIF('8. FACILIT'!$D$18:$D$50,$C875,'8. FACILIT'!AG$18:AG$50)</f>
        <v>0</v>
      </c>
      <c r="E891" s="617">
        <f>SUMIF('5. PERSON'!$D$17:$D$192,$C875,'5. PERSON'!DD$17:DD$192)+SUMIF('6. OPERATION'!$D$17:$D$149,$C875,'6. OPERATION'!CG$17:CG$149)+SUMIF('8. FACILIT'!$D$18:$D$50,$C875,'8. FACILIT'!AH$18:AH$50)</f>
        <v>0</v>
      </c>
      <c r="F891" s="617">
        <f>SUMIF('5. PERSON'!$D$17:$D$192,$C875,'5. PERSON'!DE$17:DE$192)+SUMIF('6. OPERATION'!$D$17:$D$149,$C875,'6. OPERATION'!CH$17:CH$149)+SUMIF('8. FACILIT'!$D$18:$D$50,$C875,'8. FACILIT'!AI$18:AI$50)</f>
        <v>0</v>
      </c>
      <c r="G891" s="617">
        <f>SUMIF('5. PERSON'!$D$17:$D$192,$C875,'5. PERSON'!DF$17:DF$192)+SUMIF('6. OPERATION'!$D$17:$D$149,$C875,'6. OPERATION'!CI$17:CI$149)+SUMIF('8. FACILIT'!$D$18:$D$50,$C875,'8. FACILIT'!AJ$18:AJ$50)</f>
        <v>0</v>
      </c>
      <c r="H891" s="617">
        <f>SUMIF('5. PERSON'!$D$17:$D$192,$C875,'5. PERSON'!DG$17:DG$192)+SUMIF('6. OPERATION'!$D$17:$D$149,$C875,'6. OPERATION'!CJ$17:CJ$149)+SUMIF('8. FACILIT'!$D$18:$D$50,$C875,'8. FACILIT'!AK$18:AK$50)</f>
        <v>0</v>
      </c>
      <c r="I891" s="617">
        <f>SUMIF('5. PERSON'!$D$17:$D$192,$C875,'5. PERSON'!DH$17:DH$192)+SUMIF('6. OPERATION'!$D$17:$D$149,$C875,'6. OPERATION'!CK$17:CK$149)+SUMIF('8. FACILIT'!$D$18:$D$50,$C875,'8. FACILIT'!AL$18:AL$50)</f>
        <v>0</v>
      </c>
      <c r="J891" s="617">
        <f>SUMIF('5. PERSON'!$D$17:$D$192,$C875,'5. PERSON'!DI$17:DI$192)+SUMIF('6. OPERATION'!$D$17:$D$149,$C875,'6. OPERATION'!CL$17:CL$149)+SUMIF('8. FACILIT'!$D$18:$D$50,$C875,'8. FACILIT'!AM$18:AM$50)</f>
        <v>0</v>
      </c>
      <c r="K891" s="617">
        <f>SUMIF('5. PERSON'!$D$17:$D$192,$C875,'5. PERSON'!DJ$17:DJ$192)+SUMIF('6. OPERATION'!$D$17:$D$149,$C875,'6. OPERATION'!CM$17:CM$149)+SUMIF('8. FACILIT'!$D$18:$D$50,$C875,'8. FACILIT'!AN$18:AN$50)</f>
        <v>0</v>
      </c>
      <c r="L891" s="617">
        <f>SUMIF('5. PERSON'!$D$17:$D$192,$C875,'5. PERSON'!DK$17:DK$192)+SUMIF('6. OPERATION'!$D$17:$D$149,$C875,'6. OPERATION'!CN$17:CN$149)+SUMIF('8. FACILIT'!$D$18:$D$50,$C875,'8. FACILIT'!AO$18:AO$50)</f>
        <v>0</v>
      </c>
      <c r="M891" s="905">
        <f t="shared" si="145"/>
        <v>0</v>
      </c>
    </row>
    <row r="892" spans="2:15" s="912" customFormat="1" ht="13.2" x14ac:dyDescent="0.25">
      <c r="B892" s="122" t="str">
        <f>IF('1. INTRO'!I$2="English",(IF(('5. PERSON'!CN$193+'6. OPERATION'!BQ$150)&gt;0,"Indirect","")),IF(('5. PERSON'!CN$193+'6. OPERATION'!BQ$150)&gt;0,"Indirekt",""))</f>
        <v/>
      </c>
      <c r="C892" s="584">
        <f>SUMIF('5. PERSON'!$D$17:$D$192,$C875,'5. PERSON'!CD$17:CD$192)+SUMIF('6. OPERATION'!$D$17:$D$149,$C875,'6. OPERATION'!BG$17:BG$149)</f>
        <v>0</v>
      </c>
      <c r="D892" s="584">
        <f>SUMIF('5. PERSON'!$D$17:$D$192,$C875,'5. PERSON'!CE$17:CE$192)+SUMIF('6. OPERATION'!$D$17:$D$149,$C875,'6. OPERATION'!BH$17:BH$149)</f>
        <v>0</v>
      </c>
      <c r="E892" s="584">
        <f>SUMIF('5. PERSON'!$D$17:$D$192,$C875,'5. PERSON'!CF$17:CF$192)+SUMIF('6. OPERATION'!$D$17:$D$149,$C875,'6. OPERATION'!BI$17:BI$149)</f>
        <v>0</v>
      </c>
      <c r="F892" s="584">
        <f>SUMIF('5. PERSON'!$D$17:$D$192,$C875,'5. PERSON'!CG$17:CG$192)+SUMIF('6. OPERATION'!$D$17:$D$149,$C875,'6. OPERATION'!BJ$17:BJ$149)</f>
        <v>0</v>
      </c>
      <c r="G892" s="584">
        <f>SUMIF('5. PERSON'!$D$17:$D$192,$C875,'5. PERSON'!CH$17:CH$192)+SUMIF('6. OPERATION'!$D$17:$D$149,$C875,'6. OPERATION'!BK$17:BK$149)</f>
        <v>0</v>
      </c>
      <c r="H892" s="584">
        <f>SUMIF('5. PERSON'!$D$17:$D$192,$C875,'5. PERSON'!CI$17:CI$192)+SUMIF('6. OPERATION'!$D$17:$D$149,$C875,'6. OPERATION'!BL$17:BL$149)</f>
        <v>0</v>
      </c>
      <c r="I892" s="584">
        <f>SUMIF('5. PERSON'!$D$17:$D$192,$C875,'5. PERSON'!CJ$17:CJ$192)+SUMIF('6. OPERATION'!$D$17:$D$149,$C875,'6. OPERATION'!BM$17:BM$149)</f>
        <v>0</v>
      </c>
      <c r="J892" s="584">
        <f>SUMIF('5. PERSON'!$D$17:$D$192,$C875,'5. PERSON'!CK$17:CK$192)+SUMIF('6. OPERATION'!$D$17:$D$149,$C875,'6. OPERATION'!BN$17:BN$149)</f>
        <v>0</v>
      </c>
      <c r="K892" s="584">
        <f>SUMIF('5. PERSON'!$D$17:$D$192,$C875,'5. PERSON'!CL$17:CL$192)+SUMIF('6. OPERATION'!$D$17:$D$149,$C875,'6. OPERATION'!BO$17:BO$149)</f>
        <v>0</v>
      </c>
      <c r="L892" s="584">
        <f>SUMIF('5. PERSON'!$D$17:$D$192,$C875,'5. PERSON'!CM$17:CM$192)+SUMIF('6. OPERATION'!$D$17:$D$149,$C875,'6. OPERATION'!BP$17:BP$149)</f>
        <v>0</v>
      </c>
      <c r="M892" s="908">
        <f t="shared" si="145"/>
        <v>0</v>
      </c>
    </row>
    <row r="893" spans="2:15" s="234" customFormat="1" ht="13.2" x14ac:dyDescent="0.25">
      <c r="B893" s="628" t="s">
        <v>113</v>
      </c>
      <c r="C893" s="443">
        <f>SUM(C886:C892)</f>
        <v>0</v>
      </c>
      <c r="D893" s="443">
        <f t="shared" ref="D893:M893" si="146">SUM(D886:D892)</f>
        <v>0</v>
      </c>
      <c r="E893" s="443">
        <f t="shared" si="146"/>
        <v>0</v>
      </c>
      <c r="F893" s="443">
        <f t="shared" si="146"/>
        <v>0</v>
      </c>
      <c r="G893" s="443">
        <f t="shared" si="146"/>
        <v>0</v>
      </c>
      <c r="H893" s="443">
        <f t="shared" si="146"/>
        <v>0</v>
      </c>
      <c r="I893" s="443">
        <f t="shared" si="146"/>
        <v>0</v>
      </c>
      <c r="J893" s="443">
        <f t="shared" si="146"/>
        <v>0</v>
      </c>
      <c r="K893" s="443">
        <f t="shared" si="146"/>
        <v>0</v>
      </c>
      <c r="L893" s="443">
        <f t="shared" si="146"/>
        <v>0</v>
      </c>
      <c r="M893" s="630">
        <f t="shared" si="146"/>
        <v>0</v>
      </c>
      <c r="N893" s="913"/>
      <c r="O893" s="913"/>
    </row>
    <row r="894" spans="2:15" s="234" customFormat="1" ht="6" customHeight="1" x14ac:dyDescent="0.25">
      <c r="B894" s="914"/>
      <c r="C894" s="127"/>
      <c r="D894" s="127"/>
      <c r="E894" s="127"/>
      <c r="F894" s="127"/>
      <c r="G894" s="127"/>
      <c r="H894" s="127"/>
      <c r="I894" s="127"/>
      <c r="J894" s="127"/>
      <c r="K894" s="127"/>
      <c r="L894" s="127"/>
      <c r="M894" s="636"/>
    </row>
    <row r="895" spans="2:15" s="234" customFormat="1" ht="13.2" x14ac:dyDescent="0.25">
      <c r="B895" s="129" t="str">
        <f>IF('1. INTRO'!I$2="English","Full cost","Full kostnad")</f>
        <v>Full cost</v>
      </c>
      <c r="C895" s="127"/>
      <c r="D895" s="127"/>
      <c r="E895" s="127"/>
      <c r="F895" s="127"/>
      <c r="G895" s="127"/>
      <c r="H895" s="127"/>
      <c r="I895" s="127"/>
      <c r="J895" s="127"/>
      <c r="K895" s="127"/>
      <c r="L895" s="127"/>
      <c r="M895" s="636"/>
    </row>
    <row r="896" spans="2:15" s="234" customFormat="1" ht="13.2" x14ac:dyDescent="0.25">
      <c r="B896" s="902" t="str">
        <f>IF('1. INTRO'!I$2="English","Salary including social costs (LKP)","Lön inklusive LKP")</f>
        <v>Salary including social costs (LKP)</v>
      </c>
      <c r="C896" s="138">
        <f>C878+C887+C888</f>
        <v>0</v>
      </c>
      <c r="D896" s="138">
        <f t="shared" ref="D896:L896" si="147">D878+D887+D888</f>
        <v>0</v>
      </c>
      <c r="E896" s="138">
        <f t="shared" si="147"/>
        <v>0</v>
      </c>
      <c r="F896" s="138">
        <f t="shared" si="147"/>
        <v>0</v>
      </c>
      <c r="G896" s="138">
        <f t="shared" si="147"/>
        <v>0</v>
      </c>
      <c r="H896" s="138">
        <f t="shared" si="147"/>
        <v>0</v>
      </c>
      <c r="I896" s="138">
        <f t="shared" si="147"/>
        <v>0</v>
      </c>
      <c r="J896" s="138">
        <f t="shared" si="147"/>
        <v>0</v>
      </c>
      <c r="K896" s="138">
        <f t="shared" si="147"/>
        <v>0</v>
      </c>
      <c r="L896" s="138">
        <f t="shared" si="147"/>
        <v>0</v>
      </c>
      <c r="M896" s="903">
        <f>SUM(C896:L896)</f>
        <v>0</v>
      </c>
    </row>
    <row r="897" spans="2:13" s="234" customFormat="1" ht="13.2" x14ac:dyDescent="0.25">
      <c r="B897" s="377" t="str">
        <f>IF('1. INTRO'!I$2="English","Operating","Drift")</f>
        <v>Operating</v>
      </c>
      <c r="C897" s="139">
        <f>C879+C889</f>
        <v>0</v>
      </c>
      <c r="D897" s="139">
        <f t="shared" ref="D897:L897" si="148">D879+D889</f>
        <v>0</v>
      </c>
      <c r="E897" s="139">
        <f t="shared" si="148"/>
        <v>0</v>
      </c>
      <c r="F897" s="139">
        <f t="shared" si="148"/>
        <v>0</v>
      </c>
      <c r="G897" s="139">
        <f t="shared" si="148"/>
        <v>0</v>
      </c>
      <c r="H897" s="139">
        <f t="shared" si="148"/>
        <v>0</v>
      </c>
      <c r="I897" s="139">
        <f t="shared" si="148"/>
        <v>0</v>
      </c>
      <c r="J897" s="139">
        <f t="shared" si="148"/>
        <v>0</v>
      </c>
      <c r="K897" s="139">
        <f t="shared" si="148"/>
        <v>0</v>
      </c>
      <c r="L897" s="139">
        <f t="shared" si="148"/>
        <v>0</v>
      </c>
      <c r="M897" s="905">
        <f>SUM(C897:L897)</f>
        <v>0</v>
      </c>
    </row>
    <row r="898" spans="2:13" s="234" customFormat="1" ht="13.2" x14ac:dyDescent="0.25">
      <c r="B898" s="906" t="str">
        <f>IF('1. INTRO'!I$2="English","Equipment","Utrustning")</f>
        <v>Equipment</v>
      </c>
      <c r="C898" s="140">
        <f>C880+C890</f>
        <v>0</v>
      </c>
      <c r="D898" s="140">
        <f t="shared" ref="D898:L898" si="149">D880+D890</f>
        <v>0</v>
      </c>
      <c r="E898" s="140">
        <f t="shared" si="149"/>
        <v>0</v>
      </c>
      <c r="F898" s="140">
        <f t="shared" si="149"/>
        <v>0</v>
      </c>
      <c r="G898" s="140">
        <f t="shared" si="149"/>
        <v>0</v>
      </c>
      <c r="H898" s="140">
        <f t="shared" si="149"/>
        <v>0</v>
      </c>
      <c r="I898" s="140">
        <f t="shared" si="149"/>
        <v>0</v>
      </c>
      <c r="J898" s="140">
        <f t="shared" si="149"/>
        <v>0</v>
      </c>
      <c r="K898" s="140">
        <f t="shared" si="149"/>
        <v>0</v>
      </c>
      <c r="L898" s="140">
        <f t="shared" si="149"/>
        <v>0</v>
      </c>
      <c r="M898" s="907">
        <f>SUM(C898:L898)</f>
        <v>0</v>
      </c>
    </row>
    <row r="899" spans="2:13" s="234" customFormat="1" ht="13.2" x14ac:dyDescent="0.25">
      <c r="B899" s="377" t="str">
        <f>IF('1. INTRO'!I$2="English","Facility","Lokal")</f>
        <v>Facility</v>
      </c>
      <c r="C899" s="139">
        <f>SUMIF('5. PERSON'!$D$17:$D$192,$C875,'5. PERSON'!CP$17:CP$192)+SUMIF('5. PERSON'!$D$17:$D$192,$C875,'5. PERSON'!DB$17:DB$192)+SUMIF('6. OPERATION'!$D$17:$D$149,$C875,'6. OPERATION'!BS$17:BS$149)+SUMIF('6. OPERATION'!$D$17:$D$149,$C875,'6. OPERATION'!CE$17:CE$149)+SUMIF('8. FACILIT'!$D$18:$D$50,$C875,'8. FACILIT'!T$18:T$50)+SUMIF('8. FACILIT'!$D$18:$D$50,$C875,'8. FACILIT'!AF$18:AF$50)</f>
        <v>0</v>
      </c>
      <c r="D899" s="139">
        <f>SUMIF('5. PERSON'!$D$17:$D$192,$C875,'5. PERSON'!CQ$17:CQ$192)+SUMIF('5. PERSON'!$D$17:$D$192,$C875,'5. PERSON'!DC$17:DC$192)+SUMIF('6. OPERATION'!$D$17:$D$149,$C875,'6. OPERATION'!BT$17:BT$149)+SUMIF('6. OPERATION'!$D$17:$D$149,$C875,'6. OPERATION'!CF$17:CF$149)+SUMIF('8. FACILIT'!$D$18:$D$50,$C875,'8. FACILIT'!U$18:U$50)+SUMIF('8. FACILIT'!$D$18:$D$50,$C875,'8. FACILIT'!AG$18:AG$50)</f>
        <v>0</v>
      </c>
      <c r="E899" s="139">
        <f>SUMIF('5. PERSON'!$D$17:$D$192,$C875,'5. PERSON'!CR$17:CR$192)+SUMIF('5. PERSON'!$D$17:$D$192,$C875,'5. PERSON'!DD$17:DD$192)+SUMIF('6. OPERATION'!$D$17:$D$149,$C875,'6. OPERATION'!BU$17:BU$149)+SUMIF('6. OPERATION'!$D$17:$D$149,$C875,'6. OPERATION'!CG$17:CG$149)+SUMIF('8. FACILIT'!$D$18:$D$50,$C875,'8. FACILIT'!V$18:V$50)+SUMIF('8. FACILIT'!$D$18:$D$50,$C875,'8. FACILIT'!AH$18:AH$50)</f>
        <v>0</v>
      </c>
      <c r="F899" s="139">
        <f>SUMIF('5. PERSON'!$D$17:$D$192,$C875,'5. PERSON'!CS$17:CS$192)+SUMIF('5. PERSON'!$D$17:$D$192,$C875,'5. PERSON'!DE$17:DE$192)+SUMIF('6. OPERATION'!$D$17:$D$149,$C875,'6. OPERATION'!BV$17:BV$149)+SUMIF('6. OPERATION'!$D$17:$D$149,$C875,'6. OPERATION'!CH$17:CH$149)+SUMIF('8. FACILIT'!$D$18:$D$50,$C875,'8. FACILIT'!W$18:W$50)+SUMIF('8. FACILIT'!$D$18:$D$50,$C875,'8. FACILIT'!AI$18:AI$50)</f>
        <v>0</v>
      </c>
      <c r="G899" s="139">
        <f>SUMIF('5. PERSON'!$D$17:$D$192,$C875,'5. PERSON'!CT$17:CT$192)+SUMIF('5. PERSON'!$D$17:$D$192,$C875,'5. PERSON'!DF$17:DF$192)+SUMIF('6. OPERATION'!$D$17:$D$149,$C875,'6. OPERATION'!BW$17:BW$149)+SUMIF('6. OPERATION'!$D$17:$D$149,$C875,'6. OPERATION'!CI$17:CI$149)+SUMIF('8. FACILIT'!$D$18:$D$50,$C875,'8. FACILIT'!X$18:X$50)+SUMIF('8. FACILIT'!$D$18:$D$50,$C875,'8. FACILIT'!AJ$18:AJ$50)</f>
        <v>0</v>
      </c>
      <c r="H899" s="139">
        <f>SUMIF('5. PERSON'!$D$17:$D$192,$C875,'5. PERSON'!CU$17:CU$192)+SUMIF('5. PERSON'!$D$17:$D$192,$C875,'5. PERSON'!DG$17:DG$192)+SUMIF('6. OPERATION'!$D$17:$D$149,$C875,'6. OPERATION'!BX$17:BX$149)+SUMIF('6. OPERATION'!$D$17:$D$149,$C875,'6. OPERATION'!CJ$17:CJ$149)+SUMIF('8. FACILIT'!$D$18:$D$50,$C875,'8. FACILIT'!Y$18:Y$50)+SUMIF('8. FACILIT'!$D$18:$D$50,$C875,'8. FACILIT'!AK$18:AK$50)</f>
        <v>0</v>
      </c>
      <c r="I899" s="139">
        <f>SUMIF('5. PERSON'!$D$17:$D$192,$C875,'5. PERSON'!CV$17:CV$192)+SUMIF('5. PERSON'!$D$17:$D$192,$C875,'5. PERSON'!DH$17:DH$192)+SUMIF('6. OPERATION'!$D$17:$D$149,$C875,'6. OPERATION'!BY$17:BY$149)+SUMIF('6. OPERATION'!$D$17:$D$149,$C875,'6. OPERATION'!CK$17:CK$149)+SUMIF('8. FACILIT'!$D$18:$D$50,$C875,'8. FACILIT'!Z$18:Z$50)+SUMIF('8. FACILIT'!$D$18:$D$50,$C875,'8. FACILIT'!AL$18:AL$50)</f>
        <v>0</v>
      </c>
      <c r="J899" s="139">
        <f>SUMIF('5. PERSON'!$D$17:$D$192,$C875,'5. PERSON'!CW$17:CW$192)+SUMIF('5. PERSON'!$D$17:$D$192,$C875,'5. PERSON'!DI$17:DI$192)+SUMIF('6. OPERATION'!$D$17:$D$149,$C875,'6. OPERATION'!BZ$17:BZ$149)+SUMIF('6. OPERATION'!$D$17:$D$149,$C875,'6. OPERATION'!CL$17:CL$149)+SUMIF('8. FACILIT'!$D$18:$D$50,$C875,'8. FACILIT'!AA$18:AA$50)+SUMIF('8. FACILIT'!$D$18:$D$50,$C875,'8. FACILIT'!AM$18:AM$50)</f>
        <v>0</v>
      </c>
      <c r="K899" s="139">
        <f>SUMIF('5. PERSON'!$D$17:$D$192,$C875,'5. PERSON'!CX$17:CX$192)+SUMIF('5. PERSON'!$D$17:$D$192,$C875,'5. PERSON'!DJ$17:DJ$192)+SUMIF('6. OPERATION'!$D$17:$D$149,$C875,'6. OPERATION'!CA$17:CA$149)+SUMIF('6. OPERATION'!$D$17:$D$149,$C875,'6. OPERATION'!CM$17:CM$149)+SUMIF('8. FACILIT'!$D$18:$D$50,$C875,'8. FACILIT'!AB$18:AB$50)+SUMIF('8. FACILIT'!$D$18:$D$50,$C875,'8. FACILIT'!AN$18:AN$50)</f>
        <v>0</v>
      </c>
      <c r="L899" s="139">
        <f>SUMIF('5. PERSON'!$D$17:$D$192,$C875,'5. PERSON'!CY$17:CY$192)+SUMIF('5. PERSON'!$D$17:$D$192,$C875,'5. PERSON'!DK$17:DK$192)+SUMIF('6. OPERATION'!$D$17:$D$149,$C875,'6. OPERATION'!CB$17:CB$149)+SUMIF('6. OPERATION'!$D$17:$D$149,$C875,'6. OPERATION'!CN$17:CN$149)+SUMIF('8. FACILIT'!$D$18:$D$50,$C875,'8. FACILIT'!AC$18:AC$50)+SUMIF('8. FACILIT'!$D$18:$D$50,$C875,'8. FACILIT'!AO$18:AO$50)</f>
        <v>0</v>
      </c>
      <c r="M899" s="905">
        <f>SUM(C899:L899)</f>
        <v>0</v>
      </c>
    </row>
    <row r="900" spans="2:13" s="234" customFormat="1" ht="13.2" x14ac:dyDescent="0.25">
      <c r="B900" s="915" t="str">
        <f>IF('1. INTRO'!I$2="English","Indirect","Indirekt")</f>
        <v>Indirect</v>
      </c>
      <c r="C900" s="141">
        <f>SUMIF('5. PERSON'!$D$17:$D$192,$C875,'5. PERSON'!BR$17:BR$192)+SUMIF('5. PERSON'!$D$17:$D$192,$C875,'5. PERSON'!CD$17:CD$192)+SUMIF('6. OPERATION'!$D$17:$D$149,$C875,'6. OPERATION'!AU$17:AU$149)+SUMIF('6. OPERATION'!$D$17:$D$149,$C875,'6. OPERATION'!BG$17:BG$149)</f>
        <v>0</v>
      </c>
      <c r="D900" s="141">
        <f>SUMIF('5. PERSON'!$D$17:$D$192,$C875,'5. PERSON'!BS$17:BS$192)+SUMIF('5. PERSON'!$D$17:$D$192,$C875,'5. PERSON'!CE$17:CE$192)+SUMIF('6. OPERATION'!$D$17:$D$149,$C875,'6. OPERATION'!AV$17:AV$149)+SUMIF('6. OPERATION'!$D$17:$D$149,$C875,'6. OPERATION'!BH$17:BH$149)</f>
        <v>0</v>
      </c>
      <c r="E900" s="141">
        <f>SUMIF('5. PERSON'!$D$17:$D$192,$C875,'5. PERSON'!BT$17:BT$192)+SUMIF('5. PERSON'!$D$17:$D$192,$C875,'5. PERSON'!CF$17:CF$192)+SUMIF('6. OPERATION'!$D$17:$D$149,$C875,'6. OPERATION'!AW$17:AW$149)+SUMIF('6. OPERATION'!$D$17:$D$149,$C875,'6. OPERATION'!BI$17:BI$149)</f>
        <v>0</v>
      </c>
      <c r="F900" s="141">
        <f>SUMIF('5. PERSON'!$D$17:$D$192,$C875,'5. PERSON'!BU$17:BU$192)+SUMIF('5. PERSON'!$D$17:$D$192,$C875,'5. PERSON'!CG$17:CG$192)+SUMIF('6. OPERATION'!$D$17:$D$149,$C875,'6. OPERATION'!AX$17:AX$149)+SUMIF('6. OPERATION'!$D$17:$D$149,$C875,'6. OPERATION'!BJ$17:BJ$149)</f>
        <v>0</v>
      </c>
      <c r="G900" s="141">
        <f>SUMIF('5. PERSON'!$D$17:$D$192,$C875,'5. PERSON'!BV$17:BV$192)+SUMIF('5. PERSON'!$D$17:$D$192,$C875,'5. PERSON'!CH$17:CH$192)+SUMIF('6. OPERATION'!$D$17:$D$149,$C875,'6. OPERATION'!AY$17:AY$149)+SUMIF('6. OPERATION'!$D$17:$D$149,$C875,'6. OPERATION'!BK$17:BK$149)</f>
        <v>0</v>
      </c>
      <c r="H900" s="141">
        <f>SUMIF('5. PERSON'!$D$17:$D$192,$C875,'5. PERSON'!BW$17:BW$192)+SUMIF('5. PERSON'!$D$17:$D$192,$C875,'5. PERSON'!CI$17:CI$192)+SUMIF('6. OPERATION'!$D$17:$D$149,$C875,'6. OPERATION'!AZ$17:AZ$149)+SUMIF('6. OPERATION'!$D$17:$D$149,$C875,'6. OPERATION'!BL$17:BL$149)</f>
        <v>0</v>
      </c>
      <c r="I900" s="141">
        <f>SUMIF('5. PERSON'!$D$17:$D$192,$C875,'5. PERSON'!BX$17:BX$192)+SUMIF('5. PERSON'!$D$17:$D$192,$C875,'5. PERSON'!CJ$17:CJ$192)+SUMIF('6. OPERATION'!$D$17:$D$149,$C875,'6. OPERATION'!BA$17:BA$149)+SUMIF('6. OPERATION'!$D$17:$D$149,$C875,'6. OPERATION'!BM$17:BM$149)</f>
        <v>0</v>
      </c>
      <c r="J900" s="141">
        <f>SUMIF('5. PERSON'!$D$17:$D$192,$C875,'5. PERSON'!BY$17:BY$192)+SUMIF('5. PERSON'!$D$17:$D$192,$C875,'5. PERSON'!CK$17:CK$192)+SUMIF('6. OPERATION'!$D$17:$D$149,$C875,'6. OPERATION'!BB$17:BB$149)+SUMIF('6. OPERATION'!$D$17:$D$149,$C875,'6. OPERATION'!BN$17:BN$149)</f>
        <v>0</v>
      </c>
      <c r="K900" s="141">
        <f>SUMIF('5. PERSON'!$D$17:$D$192,$C875,'5. PERSON'!BZ$17:BZ$192)+SUMIF('5. PERSON'!$D$17:$D$192,$C875,'5. PERSON'!CL$17:CL$192)+SUMIF('6. OPERATION'!$D$17:$D$149,$C875,'6. OPERATION'!BC$17:BC$149)+SUMIF('6. OPERATION'!$D$17:$D$149,$C875,'6. OPERATION'!BO$17:BO$149)</f>
        <v>0</v>
      </c>
      <c r="L900" s="141">
        <f>SUMIF('5. PERSON'!$D$17:$D$192,$C875,'5. PERSON'!CA$17:CA$192)+SUMIF('5. PERSON'!$D$17:$D$192,$C875,'5. PERSON'!CM$17:CM$192)+SUMIF('6. OPERATION'!$D$17:$D$149,$C875,'6. OPERATION'!BD$17:BD$149)+SUMIF('6. OPERATION'!$D$17:$D$149,$C875,'6. OPERATION'!BP$17:BP$149)</f>
        <v>0</v>
      </c>
      <c r="M900" s="908">
        <f>SUM(C900:L900)</f>
        <v>0</v>
      </c>
    </row>
    <row r="901" spans="2:13" s="234" customFormat="1" ht="13.2" x14ac:dyDescent="0.25">
      <c r="B901" s="628" t="s">
        <v>113</v>
      </c>
      <c r="C901" s="520">
        <f>SUM(C896:C900)</f>
        <v>0</v>
      </c>
      <c r="D901" s="520">
        <f t="shared" ref="D901:M901" si="150">SUM(D896:D900)</f>
        <v>0</v>
      </c>
      <c r="E901" s="520">
        <f t="shared" si="150"/>
        <v>0</v>
      </c>
      <c r="F901" s="520">
        <f t="shared" si="150"/>
        <v>0</v>
      </c>
      <c r="G901" s="520">
        <f t="shared" si="150"/>
        <v>0</v>
      </c>
      <c r="H901" s="520">
        <f t="shared" si="150"/>
        <v>0</v>
      </c>
      <c r="I901" s="520">
        <f t="shared" si="150"/>
        <v>0</v>
      </c>
      <c r="J901" s="520">
        <f t="shared" si="150"/>
        <v>0</v>
      </c>
      <c r="K901" s="520">
        <f t="shared" si="150"/>
        <v>0</v>
      </c>
      <c r="L901" s="520">
        <f t="shared" si="150"/>
        <v>0</v>
      </c>
      <c r="M901" s="916">
        <f t="shared" si="150"/>
        <v>0</v>
      </c>
    </row>
    <row r="902" spans="2:13" s="234" customFormat="1" ht="13.2" x14ac:dyDescent="0.25">
      <c r="B902" s="676"/>
      <c r="C902" s="268"/>
      <c r="D902" s="268"/>
      <c r="E902" s="268"/>
      <c r="F902" s="268"/>
      <c r="G902" s="268"/>
      <c r="H902" s="268"/>
      <c r="I902" s="268"/>
      <c r="J902" s="268"/>
      <c r="K902" s="268"/>
      <c r="L902" s="268"/>
      <c r="M902" s="268"/>
    </row>
    <row r="903" spans="2:13" s="234" customFormat="1" ht="12.75" customHeight="1" x14ac:dyDescent="0.25">
      <c r="B903" s="676" t="str">
        <f>IF('1. INTRO'!I$2="English","Co-funding share in full cost ","Medfinansieringsandel i full kostnad ")</f>
        <v xml:space="preserve">Co-funding share in full cost </v>
      </c>
      <c r="C903" s="640" t="str">
        <f t="shared" ref="C903:M903" si="151">IF(C901&gt;0,C893/C901,"")</f>
        <v/>
      </c>
      <c r="D903" s="640" t="str">
        <f t="shared" si="151"/>
        <v/>
      </c>
      <c r="E903" s="640" t="str">
        <f t="shared" si="151"/>
        <v/>
      </c>
      <c r="F903" s="640" t="str">
        <f t="shared" si="151"/>
        <v/>
      </c>
      <c r="G903" s="640" t="str">
        <f t="shared" si="151"/>
        <v/>
      </c>
      <c r="H903" s="640" t="str">
        <f t="shared" si="151"/>
        <v/>
      </c>
      <c r="I903" s="640" t="str">
        <f t="shared" si="151"/>
        <v/>
      </c>
      <c r="J903" s="640" t="str">
        <f t="shared" si="151"/>
        <v/>
      </c>
      <c r="K903" s="640" t="str">
        <f t="shared" si="151"/>
        <v/>
      </c>
      <c r="L903" s="640" t="str">
        <f t="shared" si="151"/>
        <v/>
      </c>
      <c r="M903" s="640" t="str">
        <f t="shared" si="151"/>
        <v/>
      </c>
    </row>
    <row r="904" spans="2:13" s="268" customFormat="1" ht="12.75" customHeight="1" x14ac:dyDescent="0.25"/>
    <row r="905" spans="2:13" s="268" customFormat="1" ht="12.75" customHeight="1" x14ac:dyDescent="0.25">
      <c r="B905" s="667" t="str">
        <f>IF('1. INTRO'!I$2="English","Calculation comments","Kalkylkommentarer")</f>
        <v>Calculation comments</v>
      </c>
    </row>
    <row r="906" spans="2:13" s="268" customFormat="1" ht="12.75" customHeight="1" x14ac:dyDescent="0.25">
      <c r="B906" s="1264"/>
      <c r="C906" s="1265"/>
      <c r="D906" s="1265"/>
      <c r="E906" s="1265"/>
      <c r="F906" s="1265"/>
      <c r="G906" s="1265"/>
      <c r="H906" s="1265"/>
      <c r="I906" s="1265"/>
      <c r="J906" s="1265"/>
      <c r="K906" s="1265"/>
      <c r="L906" s="1265"/>
      <c r="M906" s="1266"/>
    </row>
    <row r="907" spans="2:13" s="268" customFormat="1" ht="12.75" customHeight="1" x14ac:dyDescent="0.25">
      <c r="B907" s="1267"/>
      <c r="C907" s="1268"/>
      <c r="D907" s="1268"/>
      <c r="E907" s="1268"/>
      <c r="F907" s="1268"/>
      <c r="G907" s="1268"/>
      <c r="H907" s="1268"/>
      <c r="I907" s="1268"/>
      <c r="J907" s="1268"/>
      <c r="K907" s="1268"/>
      <c r="L907" s="1268"/>
      <c r="M907" s="1269"/>
    </row>
    <row r="908" spans="2:13" s="268" customFormat="1" ht="12.75" customHeight="1" x14ac:dyDescent="0.25">
      <c r="B908" s="1267"/>
      <c r="C908" s="1268"/>
      <c r="D908" s="1268"/>
      <c r="E908" s="1268"/>
      <c r="F908" s="1268"/>
      <c r="G908" s="1268"/>
      <c r="H908" s="1268"/>
      <c r="I908" s="1268"/>
      <c r="J908" s="1268"/>
      <c r="K908" s="1268"/>
      <c r="L908" s="1268"/>
      <c r="M908" s="1269"/>
    </row>
    <row r="909" spans="2:13" s="268" customFormat="1" ht="12.75" customHeight="1" x14ac:dyDescent="0.25">
      <c r="B909" s="1267"/>
      <c r="C909" s="1268"/>
      <c r="D909" s="1268"/>
      <c r="E909" s="1268"/>
      <c r="F909" s="1268"/>
      <c r="G909" s="1268"/>
      <c r="H909" s="1268"/>
      <c r="I909" s="1268"/>
      <c r="J909" s="1268"/>
      <c r="K909" s="1268"/>
      <c r="L909" s="1268"/>
      <c r="M909" s="1269"/>
    </row>
    <row r="910" spans="2:13" s="268" customFormat="1" ht="12.75" customHeight="1" x14ac:dyDescent="0.25">
      <c r="B910" s="1267"/>
      <c r="C910" s="1268"/>
      <c r="D910" s="1268"/>
      <c r="E910" s="1268"/>
      <c r="F910" s="1268"/>
      <c r="G910" s="1268"/>
      <c r="H910" s="1268"/>
      <c r="I910" s="1268"/>
      <c r="J910" s="1268"/>
      <c r="K910" s="1268"/>
      <c r="L910" s="1268"/>
      <c r="M910" s="1269"/>
    </row>
    <row r="911" spans="2:13" s="268" customFormat="1" ht="12.75" customHeight="1" x14ac:dyDescent="0.25">
      <c r="B911" s="1270"/>
      <c r="C911" s="1271"/>
      <c r="D911" s="1271"/>
      <c r="E911" s="1271"/>
      <c r="F911" s="1271"/>
      <c r="G911" s="1271"/>
      <c r="H911" s="1271"/>
      <c r="I911" s="1271"/>
      <c r="J911" s="1271"/>
      <c r="K911" s="1271"/>
      <c r="L911" s="1271"/>
      <c r="M911" s="1272"/>
    </row>
    <row r="912" spans="2:13" s="268" customFormat="1" x14ac:dyDescent="0.25">
      <c r="B912" s="1270"/>
      <c r="C912" s="1271"/>
      <c r="D912" s="1271"/>
      <c r="E912" s="1271"/>
      <c r="F912" s="1271"/>
      <c r="G912" s="1271"/>
      <c r="H912" s="1271"/>
      <c r="I912" s="1271"/>
      <c r="J912" s="1271"/>
      <c r="K912" s="1271"/>
      <c r="L912" s="1271"/>
      <c r="M912" s="1272"/>
    </row>
    <row r="913" spans="2:13" s="268" customFormat="1" x14ac:dyDescent="0.25">
      <c r="B913" s="1270"/>
      <c r="C913" s="1271"/>
      <c r="D913" s="1271"/>
      <c r="E913" s="1271"/>
      <c r="F913" s="1271"/>
      <c r="G913" s="1271"/>
      <c r="H913" s="1271"/>
      <c r="I913" s="1271"/>
      <c r="J913" s="1271"/>
      <c r="K913" s="1271"/>
      <c r="L913" s="1271"/>
      <c r="M913" s="1272"/>
    </row>
    <row r="914" spans="2:13" s="268" customFormat="1" x14ac:dyDescent="0.25">
      <c r="B914" s="1270"/>
      <c r="C914" s="1271"/>
      <c r="D914" s="1271"/>
      <c r="E914" s="1271"/>
      <c r="F914" s="1271"/>
      <c r="G914" s="1271"/>
      <c r="H914" s="1271"/>
      <c r="I914" s="1271"/>
      <c r="J914" s="1271"/>
      <c r="K914" s="1271"/>
      <c r="L914" s="1271"/>
      <c r="M914" s="1272"/>
    </row>
    <row r="915" spans="2:13" s="268" customFormat="1" x14ac:dyDescent="0.25">
      <c r="B915" s="1270"/>
      <c r="C915" s="1271"/>
      <c r="D915" s="1271"/>
      <c r="E915" s="1271"/>
      <c r="F915" s="1271"/>
      <c r="G915" s="1271"/>
      <c r="H915" s="1271"/>
      <c r="I915" s="1271"/>
      <c r="J915" s="1271"/>
      <c r="K915" s="1271"/>
      <c r="L915" s="1271"/>
      <c r="M915" s="1272"/>
    </row>
    <row r="916" spans="2:13" s="268" customFormat="1" x14ac:dyDescent="0.25">
      <c r="B916" s="1270"/>
      <c r="C916" s="1271"/>
      <c r="D916" s="1271"/>
      <c r="E916" s="1271"/>
      <c r="F916" s="1271"/>
      <c r="G916" s="1271"/>
      <c r="H916" s="1271"/>
      <c r="I916" s="1271"/>
      <c r="J916" s="1271"/>
      <c r="K916" s="1271"/>
      <c r="L916" s="1271"/>
      <c r="M916" s="1272"/>
    </row>
    <row r="917" spans="2:13" s="268" customFormat="1" x14ac:dyDescent="0.25">
      <c r="B917" s="1270"/>
      <c r="C917" s="1271"/>
      <c r="D917" s="1271"/>
      <c r="E917" s="1271"/>
      <c r="F917" s="1271"/>
      <c r="G917" s="1271"/>
      <c r="H917" s="1271"/>
      <c r="I917" s="1271"/>
      <c r="J917" s="1271"/>
      <c r="K917" s="1271"/>
      <c r="L917" s="1271"/>
      <c r="M917" s="1272"/>
    </row>
    <row r="918" spans="2:13" s="268" customFormat="1" x14ac:dyDescent="0.25">
      <c r="B918" s="1273"/>
      <c r="C918" s="1274"/>
      <c r="D918" s="1274"/>
      <c r="E918" s="1274"/>
      <c r="F918" s="1274"/>
      <c r="G918" s="1274"/>
      <c r="H918" s="1274"/>
      <c r="I918" s="1274"/>
      <c r="J918" s="1274"/>
      <c r="K918" s="1274"/>
      <c r="L918" s="1274"/>
      <c r="M918" s="1275"/>
    </row>
    <row r="919" spans="2:13" s="268" customFormat="1" x14ac:dyDescent="0.25"/>
    <row r="920" spans="2:13" s="268" customFormat="1" x14ac:dyDescent="0.25"/>
    <row r="921" spans="2:13" s="234" customFormat="1" ht="12.75" customHeight="1" x14ac:dyDescent="0.25">
      <c r="B921" s="313" t="str">
        <f>'3. PARTNER'!C$4</f>
        <v xml:space="preserve">Project: </v>
      </c>
      <c r="C921" s="1062" t="str">
        <f>'3. PARTNER'!D$4</f>
        <v/>
      </c>
      <c r="D921" s="1001"/>
      <c r="E921" s="1001"/>
      <c r="F921" s="1001"/>
      <c r="G921" s="1001"/>
      <c r="H921" s="1001"/>
      <c r="I921" s="1001"/>
      <c r="J921" s="1001"/>
      <c r="K921" s="1001"/>
      <c r="L921" s="1001"/>
      <c r="M921" s="1001"/>
    </row>
    <row r="922" spans="2:13" s="234" customFormat="1" ht="13.2" x14ac:dyDescent="0.25">
      <c r="B922" s="313" t="str">
        <f>'3. PARTNER'!C$5</f>
        <v xml:space="preserve">Calculation for: </v>
      </c>
      <c r="C922" s="1062" t="str">
        <f>'3. PARTNER'!D$5</f>
        <v>APPLICATION</v>
      </c>
      <c r="D922" s="1001"/>
      <c r="E922" s="268"/>
      <c r="F922" s="268"/>
      <c r="G922" s="268"/>
      <c r="H922" s="268"/>
      <c r="I922" s="268"/>
      <c r="J922" s="268"/>
      <c r="K922" s="268"/>
      <c r="L922" s="268"/>
      <c r="M922" s="268"/>
    </row>
    <row r="923" spans="2:13" s="234" customFormat="1" ht="13.2" x14ac:dyDescent="0.25">
      <c r="B923" s="35" t="str">
        <f>'3. PARTNER'!C$6</f>
        <v xml:space="preserve">Project leader: </v>
      </c>
      <c r="C923" s="1062" t="str">
        <f>'3. PARTNER'!D$6</f>
        <v/>
      </c>
      <c r="D923" s="1001"/>
      <c r="E923" s="1001"/>
      <c r="F923" s="1001"/>
      <c r="G923" s="1001"/>
      <c r="H923" s="1001"/>
      <c r="I923" s="1001"/>
      <c r="J923" s="1001"/>
      <c r="K923" s="1001"/>
      <c r="L923" s="1001"/>
      <c r="M923" s="1001"/>
    </row>
    <row r="924" spans="2:13" s="234" customFormat="1" ht="13.2" x14ac:dyDescent="0.25">
      <c r="B924" s="313" t="str">
        <f>'5. PERSON'!B$7</f>
        <v xml:space="preserve">Amounts in: </v>
      </c>
      <c r="C924" s="672" t="str">
        <f>'5. PERSON'!C$7</f>
        <v>SEK</v>
      </c>
      <c r="D924" s="268"/>
      <c r="E924" s="268"/>
      <c r="F924" s="268"/>
      <c r="I924" s="270"/>
      <c r="J924" s="270"/>
      <c r="K924" s="270"/>
      <c r="L924" s="270"/>
      <c r="M924" s="270"/>
    </row>
    <row r="925" spans="2:13" s="234" customFormat="1" ht="13.2" x14ac:dyDescent="0.25">
      <c r="B925" s="313"/>
      <c r="C925" s="1053" t="str">
        <f>'3. PARTNER'!D$7</f>
        <v>Other basic data about the project is in sheet 2.</v>
      </c>
      <c r="D925" s="1001"/>
      <c r="E925" s="1001"/>
      <c r="F925" s="1001"/>
      <c r="I925" s="270"/>
      <c r="J925" s="270"/>
      <c r="K925" s="270"/>
      <c r="L925" s="251" t="s">
        <v>4</v>
      </c>
      <c r="M925" s="270"/>
    </row>
    <row r="926" spans="2:13" s="268" customFormat="1" ht="12.75" customHeight="1" x14ac:dyDescent="0.25">
      <c r="L926" s="252" t="str">
        <f>IF('1. INTRO'!I$2="English","months","månader")</f>
        <v>months</v>
      </c>
    </row>
    <row r="927" spans="2:13" s="234" customFormat="1" ht="13.8" x14ac:dyDescent="0.25">
      <c r="B927" s="678" t="str">
        <f>IF('1. INTRO'!I$2="English","Project costs","Projektkostnader")</f>
        <v>Project costs</v>
      </c>
      <c r="C927" s="678" t="str">
        <f>B32</f>
        <v>WP 18</v>
      </c>
      <c r="D927" s="234" t="str">
        <f>E32</f>
        <v/>
      </c>
      <c r="E927" s="268"/>
      <c r="G927" s="268"/>
      <c r="H927" s="268"/>
      <c r="I927" s="268"/>
      <c r="J927" s="268"/>
      <c r="K927" s="676"/>
      <c r="L927" s="899">
        <f>SUMIF('5. PERSON'!$D$17:$D$192,$C927,'5. PERSON'!AE$17:AE$192)</f>
        <v>0</v>
      </c>
      <c r="M927" s="680" t="s">
        <v>330</v>
      </c>
    </row>
    <row r="928" spans="2:13" s="234" customFormat="1" ht="6" customHeight="1" x14ac:dyDescent="0.25">
      <c r="B928" s="602"/>
      <c r="C928" s="268"/>
      <c r="D928" s="268"/>
      <c r="E928" s="268"/>
      <c r="F928" s="268"/>
      <c r="G928" s="268"/>
      <c r="H928" s="268"/>
      <c r="I928" s="268"/>
      <c r="J928" s="268"/>
      <c r="K928" s="268"/>
      <c r="L928" s="268"/>
      <c r="M928" s="268"/>
    </row>
    <row r="929" spans="2:15" s="234" customFormat="1" ht="13.2" x14ac:dyDescent="0.25">
      <c r="B929" s="110" t="str">
        <f>IF('1. INTRO'!I$2="English","Costs to be covered by funding body","Kostnader att täckas av finansiär")</f>
        <v>Costs to be covered by funding body</v>
      </c>
      <c r="C929" s="607">
        <f>'5. PERSON'!G$15</f>
        <v>1900</v>
      </c>
      <c r="D929" s="607" t="str">
        <f>'5. PERSON'!H$15</f>
        <v/>
      </c>
      <c r="E929" s="607" t="str">
        <f>'5. PERSON'!I$15</f>
        <v/>
      </c>
      <c r="F929" s="607" t="str">
        <f>'5. PERSON'!J$15</f>
        <v/>
      </c>
      <c r="G929" s="607" t="str">
        <f>'5. PERSON'!K$15</f>
        <v/>
      </c>
      <c r="H929" s="607" t="str">
        <f>'5. PERSON'!L$15</f>
        <v/>
      </c>
      <c r="I929" s="607" t="str">
        <f>'5. PERSON'!M$15</f>
        <v/>
      </c>
      <c r="J929" s="607" t="str">
        <f>'5. PERSON'!N$15</f>
        <v/>
      </c>
      <c r="K929" s="607" t="str">
        <f>'5. PERSON'!O$15</f>
        <v/>
      </c>
      <c r="L929" s="607" t="str">
        <f>'5. PERSON'!P$15</f>
        <v/>
      </c>
      <c r="M929" s="608" t="s">
        <v>2</v>
      </c>
    </row>
    <row r="930" spans="2:15" s="234" customFormat="1" ht="12.75" customHeight="1" x14ac:dyDescent="0.25">
      <c r="B930" s="902" t="str">
        <f>IF('1. INTRO'!I$2="English","Salary including social costs (LKP)","Lön inklusive LKP")</f>
        <v>Salary including social costs (LKP)</v>
      </c>
      <c r="C930" s="610">
        <f>IF('2. START'!$C$14&gt;0,SUMIF('5. PERSON'!$D$17:$D$192,$C927,'5. PERSON'!DN$17:DN$192),SUMIF('5. PERSON'!$D$17:$D$192,$C927,'5. PERSON'!AT$17:AT$192))</f>
        <v>0</v>
      </c>
      <c r="D930" s="610">
        <f>IF('2. START'!$C$14&gt;0,SUMIF('5. PERSON'!$D$17:$D$192,$C927,'5. PERSON'!DO$17:DO$192),SUMIF('5. PERSON'!$D$17:$D$192,$C927,'5. PERSON'!AU$17:AU$192))</f>
        <v>0</v>
      </c>
      <c r="E930" s="610">
        <f>IF('2. START'!$C$14&gt;0,SUMIF('5. PERSON'!$D$17:$D$192,$C927,'5. PERSON'!DP$17:DP$192),SUMIF('5. PERSON'!$D$17:$D$192,$C927,'5. PERSON'!AV$17:AV$192))</f>
        <v>0</v>
      </c>
      <c r="F930" s="610">
        <f>IF('2. START'!$C$14&gt;0,SUMIF('5. PERSON'!$D$17:$D$192,$C927,'5. PERSON'!DQ$17:DQ$192),SUMIF('5. PERSON'!$D$17:$D$192,$C927,'5. PERSON'!AW$17:AW$192))</f>
        <v>0</v>
      </c>
      <c r="G930" s="610">
        <f>IF('2. START'!$C$14&gt;0,SUMIF('5. PERSON'!$D$17:$D$192,$C927,'5. PERSON'!DR$17:DR$192),SUMIF('5. PERSON'!$D$17:$D$192,$C927,'5. PERSON'!AX$17:AX$192))</f>
        <v>0</v>
      </c>
      <c r="H930" s="610">
        <f>IF('2. START'!$C$14&gt;0,SUMIF('5. PERSON'!$D$17:$D$192,$C927,'5. PERSON'!DS$17:DS$192),SUMIF('5. PERSON'!$D$17:$D$192,$C927,'5. PERSON'!AY$17:AY$192))</f>
        <v>0</v>
      </c>
      <c r="I930" s="610">
        <f>IF('2. START'!$C$14&gt;0,SUMIF('5. PERSON'!$D$17:$D$192,$C927,'5. PERSON'!DT$17:DT$192),SUMIF('5. PERSON'!$D$17:$D$192,$C927,'5. PERSON'!AZ$17:AZ$192))</f>
        <v>0</v>
      </c>
      <c r="J930" s="610">
        <f>IF('2. START'!$C$14&gt;0,SUMIF('5. PERSON'!$D$17:$D$192,$C927,'5. PERSON'!DU$17:DU$192),SUMIF('5. PERSON'!$D$17:$D$192,$C927,'5. PERSON'!BA$17:BA$192))</f>
        <v>0</v>
      </c>
      <c r="K930" s="610">
        <f>IF('2. START'!$C$14&gt;0,SUMIF('5. PERSON'!$D$17:$D$192,$C927,'5. PERSON'!DV$17:DV$192),SUMIF('5. PERSON'!$D$17:$D$192,$C927,'5. PERSON'!BB$17:BB$192))</f>
        <v>0</v>
      </c>
      <c r="L930" s="610">
        <f>IF('2. START'!$C$14&gt;0,SUMIF('5. PERSON'!$D$17:$D$192,$C927,'5. PERSON'!DW$17:DW$192),SUMIF('5. PERSON'!$D$17:$D$192,$C927,'5. PERSON'!BC$17:BC$192))</f>
        <v>0</v>
      </c>
      <c r="M930" s="903">
        <f t="shared" ref="M930:M935" si="152">SUM(C930:L930)</f>
        <v>0</v>
      </c>
      <c r="O930" s="904"/>
    </row>
    <row r="931" spans="2:15" s="234" customFormat="1" ht="12.75" customHeight="1" x14ac:dyDescent="0.25">
      <c r="B931" s="377" t="str">
        <f>IF('1. INTRO'!I$2="English","Operating","Drift")</f>
        <v>Operating</v>
      </c>
      <c r="C931" s="615">
        <f>SUMIF('6. OPERATION'!$D$17:$D$149,$C927,'6. OPERATION'!W$17:W$149)</f>
        <v>0</v>
      </c>
      <c r="D931" s="615">
        <f>SUMIF('6. OPERATION'!$D$17:$D$149,$C927,'6. OPERATION'!X$17:X$149)</f>
        <v>0</v>
      </c>
      <c r="E931" s="615">
        <f>SUMIF('6. OPERATION'!$D$17:$D$149,$C927,'6. OPERATION'!Y$17:Y$149)</f>
        <v>0</v>
      </c>
      <c r="F931" s="615">
        <f>SUMIF('6. OPERATION'!$D$17:$D$149,$C927,'6. OPERATION'!Z$17:Z$149)</f>
        <v>0</v>
      </c>
      <c r="G931" s="615">
        <f>SUMIF('6. OPERATION'!$D$17:$D$149,$C927,'6. OPERATION'!AA$17:AA$149)</f>
        <v>0</v>
      </c>
      <c r="H931" s="615">
        <f>SUMIF('6. OPERATION'!$D$17:$D$149,$C927,'6. OPERATION'!AB$17:AB$149)</f>
        <v>0</v>
      </c>
      <c r="I931" s="615">
        <f>SUMIF('6. OPERATION'!$D$17:$D$149,$C927,'6. OPERATION'!AC$17:AC$149)</f>
        <v>0</v>
      </c>
      <c r="J931" s="615">
        <f>SUMIF('6. OPERATION'!$D$17:$D$149,$C927,'6. OPERATION'!AD$17:AD$149)</f>
        <v>0</v>
      </c>
      <c r="K931" s="615">
        <f>SUMIF('6. OPERATION'!$D$17:$D$149,$C927,'6. OPERATION'!AE$17:AE$149)</f>
        <v>0</v>
      </c>
      <c r="L931" s="615">
        <f>SUMIF('6. OPERATION'!$D$17:$D$149,$C927,'6. OPERATION'!AF$17:AF$149)</f>
        <v>0</v>
      </c>
      <c r="M931" s="905">
        <f t="shared" si="152"/>
        <v>0</v>
      </c>
    </row>
    <row r="932" spans="2:15" s="234" customFormat="1" ht="13.2" x14ac:dyDescent="0.25">
      <c r="B932" s="906" t="str">
        <f>IF('1. INTRO'!I$2="English","Equipment","Utrustning")</f>
        <v>Equipment</v>
      </c>
      <c r="C932" s="620">
        <f>SUMIF('7. INVEST'!$D$17:$D$49,$C927,'7. INVEST'!W$17:W$49)</f>
        <v>0</v>
      </c>
      <c r="D932" s="620">
        <f>SUMIF('7. INVEST'!$D$17:$D$49,$C927,'7. INVEST'!X$17:X$49)</f>
        <v>0</v>
      </c>
      <c r="E932" s="620">
        <f>SUMIF('7. INVEST'!$D$17:$D$49,$C927,'7. INVEST'!Y$17:Y$49)</f>
        <v>0</v>
      </c>
      <c r="F932" s="620">
        <f>SUMIF('7. INVEST'!$D$17:$D$49,$C927,'7. INVEST'!Z$17:Z$49)</f>
        <v>0</v>
      </c>
      <c r="G932" s="620">
        <f>SUMIF('7. INVEST'!$D$17:$D$49,$C927,'7. INVEST'!AA$17:AA$49)</f>
        <v>0</v>
      </c>
      <c r="H932" s="620">
        <f>SUMIF('7. INVEST'!$D$17:$D$49,$C927,'7. INVEST'!AB$17:AB$49)</f>
        <v>0</v>
      </c>
      <c r="I932" s="620">
        <f>SUMIF('7. INVEST'!$D$17:$D$49,$C927,'7. INVEST'!AC$17:AC$49)</f>
        <v>0</v>
      </c>
      <c r="J932" s="620">
        <f>SUMIF('7. INVEST'!$D$17:$D$49,$C927,'7. INVEST'!AD$17:AD$49)</f>
        <v>0</v>
      </c>
      <c r="K932" s="620">
        <f>SUMIF('7. INVEST'!$D$17:$D$49,$C927,'7. INVEST'!AE$17:AE$49)</f>
        <v>0</v>
      </c>
      <c r="L932" s="620">
        <f>SUMIF('7. INVEST'!$D$17:$D$49,$C927,'7. INVEST'!AF$17:AF$49)</f>
        <v>0</v>
      </c>
      <c r="M932" s="907">
        <f t="shared" si="152"/>
        <v>0</v>
      </c>
    </row>
    <row r="933" spans="2:15" s="234" customFormat="1" ht="13.2" x14ac:dyDescent="0.25">
      <c r="B933" s="121" t="str">
        <f>IF('1. INTRO'!I$2="English",(IF('2. START'!C$11="NO","Facility accepted as direct cost by funding body","Facility")),IF('2. START'!C$11="NO","Lokal accepterad som direkt kostnad av finansiär","Lokal"))</f>
        <v>Facility</v>
      </c>
      <c r="C933" s="615">
        <f>IF('2. START'!$C$11="NO",SUMIF('8. FACILIT'!$D$18:$D$50,$C927,'8. FACILIT'!T$18:T$50),SUMIF('5. PERSON'!$D$17:$D$192,$C927,'5. PERSON'!CP$17:CP$192)+SUMIF('6. OPERATION'!$D$17:$D$149,$C927,'6. OPERATION'!BS$17:BS$149)+SUMIF('8. FACILIT'!$D$18:$D$50,$C927,'8. FACILIT'!T$18:T$50))</f>
        <v>0</v>
      </c>
      <c r="D933" s="615">
        <f>IF('2. START'!$C$11="NO",SUMIF('8. FACILIT'!$D$18:$D$50,$C927,'8. FACILIT'!U$18:U$50),SUMIF('5. PERSON'!$D$17:$D$192,$C927,'5. PERSON'!CQ$17:CQ$192)+SUMIF('6. OPERATION'!$D$17:$D$149,$C927,'6. OPERATION'!BT$17:BT$149)+SUMIF('8. FACILIT'!$D$18:$D$50,$C927,'8. FACILIT'!U$18:U$50))</f>
        <v>0</v>
      </c>
      <c r="E933" s="615">
        <f>IF('2. START'!$C$11="NO",SUMIF('8. FACILIT'!$D$18:$D$50,$C927,'8. FACILIT'!V$18:V$50),SUMIF('5. PERSON'!$D$17:$D$192,$C927,'5. PERSON'!CR$17:CR$192)+SUMIF('6. OPERATION'!$D$17:$D$149,$C927,'6. OPERATION'!BU$17:BU$149)+SUMIF('8. FACILIT'!$D$18:$D$50,$C927,'8. FACILIT'!V$18:V$50))</f>
        <v>0</v>
      </c>
      <c r="F933" s="615">
        <f>IF('2. START'!$C$11="NO",SUMIF('8. FACILIT'!$D$18:$D$50,$C927,'8. FACILIT'!W$18:W$50),SUMIF('5. PERSON'!$D$17:$D$192,$C927,'5. PERSON'!CS$17:CS$192)+SUMIF('6. OPERATION'!$D$17:$D$149,$C927,'6. OPERATION'!BV$17:BV$149)+SUMIF('8. FACILIT'!$D$18:$D$50,$C927,'8. FACILIT'!W$18:W$50))</f>
        <v>0</v>
      </c>
      <c r="G933" s="615">
        <f>IF('2. START'!$C$11="NO",SUMIF('8. FACILIT'!$D$18:$D$50,$C927,'8. FACILIT'!X$18:X$50),SUMIF('5. PERSON'!$D$17:$D$192,$C927,'5. PERSON'!CT$17:CT$192)+SUMIF('6. OPERATION'!$D$17:$D$149,$C927,'6. OPERATION'!BW$17:BW$149)+SUMIF('8. FACILIT'!$D$18:$D$50,$C927,'8. FACILIT'!X$18:X$50))</f>
        <v>0</v>
      </c>
      <c r="H933" s="615">
        <f>IF('2. START'!$C$11="NO",SUMIF('8. FACILIT'!$D$18:$D$50,$C927,'8. FACILIT'!Y$18:Y$50),SUMIF('5. PERSON'!$D$17:$D$192,$C927,'5. PERSON'!CU$17:CU$192)+SUMIF('6. OPERATION'!$D$17:$D$149,$C927,'6. OPERATION'!BX$17:BX$149)+SUMIF('8. FACILIT'!$D$18:$D$50,$C927,'8. FACILIT'!Y$18:Y$50))</f>
        <v>0</v>
      </c>
      <c r="I933" s="615">
        <f>IF('2. START'!$C$11="NO",SUMIF('8. FACILIT'!$D$18:$D$50,$C927,'8. FACILIT'!Z$18:Z$50),SUMIF('5. PERSON'!$D$17:$D$192,$C927,'5. PERSON'!CV$17:CV$192)+SUMIF('6. OPERATION'!$D$17:$D$149,$C927,'6. OPERATION'!BY$17:BY$149)+SUMIF('8. FACILIT'!$D$18:$D$50,$C927,'8. FACILIT'!Z$18:Z$50))</f>
        <v>0</v>
      </c>
      <c r="J933" s="615">
        <f>IF('2. START'!$C$11="NO",SUMIF('8. FACILIT'!$D$18:$D$50,$C927,'8. FACILIT'!AA$18:AA$50),SUMIF('5. PERSON'!$D$17:$D$192,$C927,'5. PERSON'!CW$17:CW$192)+SUMIF('6. OPERATION'!$D$17:$D$149,$C927,'6. OPERATION'!BZ$17:BZ$149)+SUMIF('8. FACILIT'!$D$18:$D$50,$C927,'8. FACILIT'!AA$18:AA$50))</f>
        <v>0</v>
      </c>
      <c r="K933" s="615">
        <f>IF('2. START'!$C$11="NO",SUMIF('8. FACILIT'!$D$18:$D$50,$C927,'8. FACILIT'!AB$18:AB$50),SUMIF('5. PERSON'!$D$17:$D$192,$C927,'5. PERSON'!CX$17:CX$192)+SUMIF('6. OPERATION'!$D$17:$D$149,$C927,'6. OPERATION'!CA$17:CA$149)+SUMIF('8. FACILIT'!$D$18:$D$50,$C927,'8. FACILIT'!AB$18:AB$50))</f>
        <v>0</v>
      </c>
      <c r="L933" s="615">
        <f>IF('2. START'!$C$11="NO",SUMIF('8. FACILIT'!$D$18:$D$50,$C927,'8. FACILIT'!AC$18:AC$50),SUMIF('5. PERSON'!$D$17:$D$192,$C927,'5. PERSON'!CY$17:CY$192)+SUMIF('6. OPERATION'!$D$17:$D$149,$C927,'6. OPERATION'!CB$17:CB$149)+SUMIF('8. FACILIT'!$D$18:$D$50,$C927,'8. FACILIT'!AC$18:AC$50))</f>
        <v>0</v>
      </c>
      <c r="M933" s="905">
        <f t="shared" si="152"/>
        <v>0</v>
      </c>
    </row>
    <row r="934" spans="2:15" s="234" customFormat="1" ht="13.2" x14ac:dyDescent="0.25">
      <c r="B934" s="122" t="str">
        <f>IF('1. INTRO'!I$2="English",(IF('2. START'!C$11="NO","Indirect and facility charge accepted as OH by funding body","Indirect")),IF('2. START'!C$11="NO","Indirekt och lokalpåslag accepterade som OH av finansiär","Indirekt"))</f>
        <v>Indirect</v>
      </c>
      <c r="C934" s="584">
        <f>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584">
        <f>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584">
        <f>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584">
        <f>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584">
        <f>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584">
        <f>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584">
        <f>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584">
        <f>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584">
        <f>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584">
        <f>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908">
        <f t="shared" si="152"/>
        <v>0</v>
      </c>
    </row>
    <row r="935" spans="2:15" s="234" customFormat="1" ht="13.2" x14ac:dyDescent="0.25">
      <c r="B935" s="628" t="s">
        <v>113</v>
      </c>
      <c r="C935" s="443">
        <f>SUM(C930:C934)</f>
        <v>0</v>
      </c>
      <c r="D935" s="443">
        <f t="shared" ref="D935:L935" si="153">SUM(D930:D934)</f>
        <v>0</v>
      </c>
      <c r="E935" s="443">
        <f t="shared" si="153"/>
        <v>0</v>
      </c>
      <c r="F935" s="443">
        <f t="shared" si="153"/>
        <v>0</v>
      </c>
      <c r="G935" s="443">
        <f t="shared" si="153"/>
        <v>0</v>
      </c>
      <c r="H935" s="443">
        <f t="shared" si="153"/>
        <v>0</v>
      </c>
      <c r="I935" s="443">
        <f t="shared" si="153"/>
        <v>0</v>
      </c>
      <c r="J935" s="443">
        <f t="shared" si="153"/>
        <v>0</v>
      </c>
      <c r="K935" s="443">
        <f t="shared" si="153"/>
        <v>0</v>
      </c>
      <c r="L935" s="443">
        <f t="shared" si="153"/>
        <v>0</v>
      </c>
      <c r="M935" s="630">
        <f t="shared" si="152"/>
        <v>0</v>
      </c>
    </row>
    <row r="936" spans="2:15" s="234" customFormat="1" ht="6" customHeight="1" x14ac:dyDescent="0.25">
      <c r="B936" s="909"/>
      <c r="C936" s="127"/>
      <c r="D936" s="127"/>
      <c r="E936" s="127"/>
      <c r="F936" s="127"/>
      <c r="G936" s="127"/>
      <c r="H936" s="127"/>
      <c r="I936" s="127"/>
      <c r="J936" s="127"/>
      <c r="K936" s="127"/>
      <c r="L936" s="127"/>
      <c r="M936" s="633"/>
    </row>
    <row r="937" spans="2:15" s="234" customFormat="1" ht="13.2" x14ac:dyDescent="0.25">
      <c r="B937" s="129" t="str">
        <f>IF('1. INTRO'!I$2="English","Costs to be co-funded","Kostnader att medfinansiera")</f>
        <v>Costs to be co-funded</v>
      </c>
      <c r="C937" s="634"/>
      <c r="D937" s="634"/>
      <c r="E937" s="634"/>
      <c r="F937" s="634"/>
      <c r="G937" s="634"/>
      <c r="H937" s="634"/>
      <c r="I937" s="634"/>
      <c r="J937" s="634"/>
      <c r="K937" s="634"/>
      <c r="L937" s="634"/>
      <c r="M937" s="129"/>
    </row>
    <row r="938" spans="2:15" s="234" customFormat="1" ht="13.2" x14ac:dyDescent="0.25">
      <c r="B938" s="159" t="str">
        <f>IF('1. INTRO'!I$2="English",(IF('2. START'!C$11="NO","Indirect and facility charge not accepted as OH by funding body","")),IF('2. START'!C$11="NO","Indirekt och lokalpåslag inte accepterade som OH av finansiär",""))</f>
        <v/>
      </c>
      <c r="C938" s="910">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910">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910">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910">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910">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910">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910">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910">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910">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910">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903">
        <f t="shared" ref="M938:M944" si="154">SUM(C938:L938)</f>
        <v>0</v>
      </c>
    </row>
    <row r="939" spans="2:15" s="234" customFormat="1" ht="12.75" customHeight="1" x14ac:dyDescent="0.25">
      <c r="B939" s="132" t="str">
        <f>IF('1. INTRO'!I$2="English",(IF('2. START'!C$14&gt;0,"Social costs (LKP) not accepted by funding body","")),IF('2. START'!C$14&gt;0,"LKP som inte accepteras av finansiär",""))</f>
        <v/>
      </c>
      <c r="C939" s="911">
        <f>IF('2. START'!$C$14&gt;0,SUMIF('5. PERSON'!$D$17:$D$192,$C927,'5. PERSON'!AT$17:AT$192)-SUMIF('5. PERSON'!$D$17:$D$192,$C927,'5. PERSON'!DN$17:DN$192),0)</f>
        <v>0</v>
      </c>
      <c r="D939" s="911">
        <f>IF('2. START'!$C$14&gt;0,SUMIF('5. PERSON'!$D$17:$D$192,$C927,'5. PERSON'!AU$17:AU$192)-SUMIF('5. PERSON'!$D$17:$D$192,$C927,'5. PERSON'!DO$17:DO$192),0)</f>
        <v>0</v>
      </c>
      <c r="E939" s="911">
        <f>IF('2. START'!$C$14&gt;0,SUMIF('5. PERSON'!$D$17:$D$192,$C927,'5. PERSON'!AV$17:AV$192)-SUMIF('5. PERSON'!$D$17:$D$192,$C927,'5. PERSON'!DP$17:DP$192),0)</f>
        <v>0</v>
      </c>
      <c r="F939" s="911">
        <f>IF('2. START'!$C$14&gt;0,SUMIF('5. PERSON'!$D$17:$D$192,$C927,'5. PERSON'!AW$17:AW$192)-SUMIF('5. PERSON'!$D$17:$D$192,$C927,'5. PERSON'!DQ$17:DQ$192),0)</f>
        <v>0</v>
      </c>
      <c r="G939" s="911">
        <f>IF('2. START'!$C$14&gt;0,SUMIF('5. PERSON'!$D$17:$D$192,$C927,'5. PERSON'!AX$17:AX$192)-SUMIF('5. PERSON'!$D$17:$D$192,$C927,'5. PERSON'!DR$17:DR$192),0)</f>
        <v>0</v>
      </c>
      <c r="H939" s="911">
        <f>IF('2. START'!$C$14&gt;0,SUMIF('5. PERSON'!$D$17:$D$192,$C927,'5. PERSON'!AY$17:AY$192)-SUMIF('5. PERSON'!$D$17:$D$192,$C927,'5. PERSON'!DS$17:DS$192),0)</f>
        <v>0</v>
      </c>
      <c r="I939" s="911">
        <f>IF('2. START'!$C$14&gt;0,SUMIF('5. PERSON'!$D$17:$D$192,$C927,'5. PERSON'!AZ$17:AZ$192)-SUMIF('5. PERSON'!$D$17:$D$192,$C927,'5. PERSON'!DT$17:DT$192),0)</f>
        <v>0</v>
      </c>
      <c r="J939" s="911">
        <f>IF('2. START'!$C$14&gt;0,SUMIF('5. PERSON'!$D$17:$D$192,$C927,'5. PERSON'!BA$17:BA$192)-SUMIF('5. PERSON'!$D$17:$D$192,$C927,'5. PERSON'!DU$17:DU$192),0)</f>
        <v>0</v>
      </c>
      <c r="K939" s="911">
        <f>IF('2. START'!$C$14&gt;0,SUMIF('5. PERSON'!$D$17:$D$192,$C927,'5. PERSON'!BB$17:BB$192)-SUMIF('5. PERSON'!$D$17:$D$192,$C927,'5. PERSON'!DV$17:DV$192),0)</f>
        <v>0</v>
      </c>
      <c r="L939" s="911">
        <f>IF('2. START'!$C$14&gt;0,SUMIF('5. PERSON'!$D$17:$D$192,$C927,'5. PERSON'!BC$17:BC$192)-SUMIF('5. PERSON'!$D$17:$D$192,$C927,'5. PERSON'!DW$17:DW$192),0)</f>
        <v>0</v>
      </c>
      <c r="M939" s="905">
        <f t="shared" si="154"/>
        <v>0</v>
      </c>
    </row>
    <row r="940" spans="2:15" s="234" customFormat="1" ht="12.75" customHeight="1" x14ac:dyDescent="0.25">
      <c r="B940" s="906" t="str">
        <f>IF('1. INTRO'!I$2="English",(IF('5. PERSON'!BP$193&gt;0,"Salary including social costs (LKP)","")),IF('5. PERSON'!BP$193&gt;0,"Lön inklusive LKP",""))</f>
        <v/>
      </c>
      <c r="C940" s="622">
        <f>SUMIF('5. PERSON'!$D$17:$D$192,$C927,'5. PERSON'!BF$17:BF$192)</f>
        <v>0</v>
      </c>
      <c r="D940" s="622">
        <f>SUMIF('5. PERSON'!$D$17:$D$192,$C927,'5. PERSON'!BG$17:BG$192)</f>
        <v>0</v>
      </c>
      <c r="E940" s="622">
        <f>SUMIF('5. PERSON'!$D$17:$D$192,$C927,'5. PERSON'!BH$17:BH$192)</f>
        <v>0</v>
      </c>
      <c r="F940" s="622">
        <f>SUMIF('5. PERSON'!$D$17:$D$192,$C927,'5. PERSON'!BI$17:BI$192)</f>
        <v>0</v>
      </c>
      <c r="G940" s="622">
        <f>SUMIF('5. PERSON'!$D$17:$D$192,$C927,'5. PERSON'!BJ$17:BJ$192)</f>
        <v>0</v>
      </c>
      <c r="H940" s="622">
        <f>SUMIF('5. PERSON'!$D$17:$D$192,$C927,'5. PERSON'!BK$17:BK$192)</f>
        <v>0</v>
      </c>
      <c r="I940" s="622">
        <f>SUMIF('5. PERSON'!$D$17:$D$192,$C927,'5. PERSON'!BL$17:BL$192)</f>
        <v>0</v>
      </c>
      <c r="J940" s="622">
        <f>SUMIF('5. PERSON'!$D$17:$D$192,$C927,'5. PERSON'!BM$17:BM$192)</f>
        <v>0</v>
      </c>
      <c r="K940" s="622">
        <f>SUMIF('5. PERSON'!$D$17:$D$192,$C927,'5. PERSON'!BN$17:BN$192)</f>
        <v>0</v>
      </c>
      <c r="L940" s="622">
        <f>SUMIF('5. PERSON'!$D$17:$D$192,$C927,'5. PERSON'!BO$17:BO$192)</f>
        <v>0</v>
      </c>
      <c r="M940" s="907">
        <f t="shared" si="154"/>
        <v>0</v>
      </c>
    </row>
    <row r="941" spans="2:15" s="234" customFormat="1" ht="13.2" x14ac:dyDescent="0.25">
      <c r="B941" s="377" t="str">
        <f>IF('1. INTRO'!I$2="English",(IF('6. OPERATION'!AS$150&gt;0,"Operating","")),IF('6. OPERATION'!AS$150&gt;0,"Drift",""))</f>
        <v/>
      </c>
      <c r="C941" s="617">
        <f>SUMIF('6. OPERATION'!$D$17:$D$149,$C927,'6. OPERATION'!AI$17:AI$149)</f>
        <v>0</v>
      </c>
      <c r="D941" s="617">
        <f>SUMIF('6. OPERATION'!$D$17:$D$149,$C927,'6. OPERATION'!AJ$17:AJ$149)</f>
        <v>0</v>
      </c>
      <c r="E941" s="617">
        <f>SUMIF('6. OPERATION'!$D$17:$D$149,$C927,'6. OPERATION'!AK$17:AK$149)</f>
        <v>0</v>
      </c>
      <c r="F941" s="617">
        <f>SUMIF('6. OPERATION'!$D$17:$D$149,$C927,'6. OPERATION'!AL$17:AL$149)</f>
        <v>0</v>
      </c>
      <c r="G941" s="617">
        <f>SUMIF('6. OPERATION'!$D$17:$D$149,$C927,'6. OPERATION'!AM$17:AM$149)</f>
        <v>0</v>
      </c>
      <c r="H941" s="617">
        <f>SUMIF('6. OPERATION'!$D$17:$D$149,$C927,'6. OPERATION'!AN$17:AN$149)</f>
        <v>0</v>
      </c>
      <c r="I941" s="617">
        <f>SUMIF('6. OPERATION'!$D$17:$D$149,$C927,'6. OPERATION'!AO$17:AO$149)</f>
        <v>0</v>
      </c>
      <c r="J941" s="617">
        <f>SUMIF('6. OPERATION'!$D$17:$D$149,$C927,'6. OPERATION'!AP$17:AP$149)</f>
        <v>0</v>
      </c>
      <c r="K941" s="617">
        <f>SUMIF('6. OPERATION'!$D$17:$D$149,$C927,'6. OPERATION'!AQ$17:AQ$149)</f>
        <v>0</v>
      </c>
      <c r="L941" s="617">
        <f>SUMIF('6. OPERATION'!$D$17:$D$149,$C927,'6. OPERATION'!AR$17:AR$149)</f>
        <v>0</v>
      </c>
      <c r="M941" s="905">
        <f t="shared" si="154"/>
        <v>0</v>
      </c>
    </row>
    <row r="942" spans="2:15" s="234" customFormat="1" ht="13.2" x14ac:dyDescent="0.25">
      <c r="B942" s="906" t="str">
        <f>IF('1. INTRO'!I$2="English",(IF('7. INVEST'!AS$50&gt;0,"Equipment","")),IF('7. INVEST'!AS$50&gt;0,"Utrustning",""))</f>
        <v/>
      </c>
      <c r="C942" s="622">
        <f>SUMIF('7. INVEST'!$D$17:$D$49,$C927,'7. INVEST'!AI$17:AI$49)</f>
        <v>0</v>
      </c>
      <c r="D942" s="622">
        <f>SUMIF('7. INVEST'!$D$17:$D$49,$C927,'7. INVEST'!AJ$17:AJ$49)</f>
        <v>0</v>
      </c>
      <c r="E942" s="622">
        <f>SUMIF('7. INVEST'!$D$17:$D$49,$C927,'7. INVEST'!AK$17:AK$49)</f>
        <v>0</v>
      </c>
      <c r="F942" s="622">
        <f>SUMIF('7. INVEST'!$D$17:$D$49,$C927,'7. INVEST'!AL$17:AL$49)</f>
        <v>0</v>
      </c>
      <c r="G942" s="622">
        <f>SUMIF('7. INVEST'!$D$17:$D$49,$C927,'7. INVEST'!AM$17:AM$49)</f>
        <v>0</v>
      </c>
      <c r="H942" s="622">
        <f>SUMIF('7. INVEST'!$D$17:$D$49,$C927,'7. INVEST'!AN$17:AN$49)</f>
        <v>0</v>
      </c>
      <c r="I942" s="622">
        <f>SUMIF('7. INVEST'!$D$17:$D$49,$C927,'7. INVEST'!AO$17:AO$49)</f>
        <v>0</v>
      </c>
      <c r="J942" s="622">
        <f>SUMIF('7. INVEST'!$D$17:$D$49,$C927,'7. INVEST'!AP$17:AP$49)</f>
        <v>0</v>
      </c>
      <c r="K942" s="622">
        <f>SUMIF('7. INVEST'!$D$17:$D$49,$C927,'7. INVEST'!AQ$17:AQ$49)</f>
        <v>0</v>
      </c>
      <c r="L942" s="622">
        <f>SUMIF('7. INVEST'!$D$17:$D$49,$C927,'7. INVEST'!AR$17:AR$49)</f>
        <v>0</v>
      </c>
      <c r="M942" s="907">
        <f t="shared" si="154"/>
        <v>0</v>
      </c>
    </row>
    <row r="943" spans="2:15" s="234" customFormat="1" ht="13.2" x14ac:dyDescent="0.25">
      <c r="B943" s="121" t="str">
        <f>IF('1. INTRO'!I$2="English",(IF('8. FACILIT'!AP$51&gt;0,"Facility","")),IF('8. FACILIT'!AP$51&gt;0,"Lokal",""))</f>
        <v/>
      </c>
      <c r="C943" s="617">
        <f>SUMIF('5. PERSON'!$D$17:$D$192,$C927,'5. PERSON'!DB$17:DB$192)+SUMIF('6. OPERATION'!$D$17:$D$149,$C927,'6. OPERATION'!CE$17:CE$149)+SUMIF('8. FACILIT'!$D$18:$D$50,$C927,'8. FACILIT'!AF$18:AF$50)</f>
        <v>0</v>
      </c>
      <c r="D943" s="617">
        <f>SUMIF('5. PERSON'!$D$17:$D$192,$C927,'5. PERSON'!DC$17:DC$192)+SUMIF('6. OPERATION'!$D$17:$D$149,$C927,'6. OPERATION'!CF$17:CF$149)+SUMIF('8. FACILIT'!$D$18:$D$50,$C927,'8. FACILIT'!AG$18:AG$50)</f>
        <v>0</v>
      </c>
      <c r="E943" s="617">
        <f>SUMIF('5. PERSON'!$D$17:$D$192,$C927,'5. PERSON'!DD$17:DD$192)+SUMIF('6. OPERATION'!$D$17:$D$149,$C927,'6. OPERATION'!CG$17:CG$149)+SUMIF('8. FACILIT'!$D$18:$D$50,$C927,'8. FACILIT'!AH$18:AH$50)</f>
        <v>0</v>
      </c>
      <c r="F943" s="617">
        <f>SUMIF('5. PERSON'!$D$17:$D$192,$C927,'5. PERSON'!DE$17:DE$192)+SUMIF('6. OPERATION'!$D$17:$D$149,$C927,'6. OPERATION'!CH$17:CH$149)+SUMIF('8. FACILIT'!$D$18:$D$50,$C927,'8. FACILIT'!AI$18:AI$50)</f>
        <v>0</v>
      </c>
      <c r="G943" s="617">
        <f>SUMIF('5. PERSON'!$D$17:$D$192,$C927,'5. PERSON'!DF$17:DF$192)+SUMIF('6. OPERATION'!$D$17:$D$149,$C927,'6. OPERATION'!CI$17:CI$149)+SUMIF('8. FACILIT'!$D$18:$D$50,$C927,'8. FACILIT'!AJ$18:AJ$50)</f>
        <v>0</v>
      </c>
      <c r="H943" s="617">
        <f>SUMIF('5. PERSON'!$D$17:$D$192,$C927,'5. PERSON'!DG$17:DG$192)+SUMIF('6. OPERATION'!$D$17:$D$149,$C927,'6. OPERATION'!CJ$17:CJ$149)+SUMIF('8. FACILIT'!$D$18:$D$50,$C927,'8. FACILIT'!AK$18:AK$50)</f>
        <v>0</v>
      </c>
      <c r="I943" s="617">
        <f>SUMIF('5. PERSON'!$D$17:$D$192,$C927,'5. PERSON'!DH$17:DH$192)+SUMIF('6. OPERATION'!$D$17:$D$149,$C927,'6. OPERATION'!CK$17:CK$149)+SUMIF('8. FACILIT'!$D$18:$D$50,$C927,'8. FACILIT'!AL$18:AL$50)</f>
        <v>0</v>
      </c>
      <c r="J943" s="617">
        <f>SUMIF('5. PERSON'!$D$17:$D$192,$C927,'5. PERSON'!DI$17:DI$192)+SUMIF('6. OPERATION'!$D$17:$D$149,$C927,'6. OPERATION'!CL$17:CL$149)+SUMIF('8. FACILIT'!$D$18:$D$50,$C927,'8. FACILIT'!AM$18:AM$50)</f>
        <v>0</v>
      </c>
      <c r="K943" s="617">
        <f>SUMIF('5. PERSON'!$D$17:$D$192,$C927,'5. PERSON'!DJ$17:DJ$192)+SUMIF('6. OPERATION'!$D$17:$D$149,$C927,'6. OPERATION'!CM$17:CM$149)+SUMIF('8. FACILIT'!$D$18:$D$50,$C927,'8. FACILIT'!AN$18:AN$50)</f>
        <v>0</v>
      </c>
      <c r="L943" s="617">
        <f>SUMIF('5. PERSON'!$D$17:$D$192,$C927,'5. PERSON'!DK$17:DK$192)+SUMIF('6. OPERATION'!$D$17:$D$149,$C927,'6. OPERATION'!CN$17:CN$149)+SUMIF('8. FACILIT'!$D$18:$D$50,$C927,'8. FACILIT'!AO$18:AO$50)</f>
        <v>0</v>
      </c>
      <c r="M943" s="905">
        <f t="shared" si="154"/>
        <v>0</v>
      </c>
    </row>
    <row r="944" spans="2:15" s="912" customFormat="1" ht="13.2" x14ac:dyDescent="0.25">
      <c r="B944" s="122" t="str">
        <f>IF('1. INTRO'!I$2="English",(IF(('5. PERSON'!CN$193+'6. OPERATION'!BQ$150)&gt;0,"Indirect","")),IF(('5. PERSON'!CN$193+'6. OPERATION'!BQ$150)&gt;0,"Indirekt",""))</f>
        <v/>
      </c>
      <c r="C944" s="584">
        <f>SUMIF('5. PERSON'!$D$17:$D$192,$C927,'5. PERSON'!CD$17:CD$192)+SUMIF('6. OPERATION'!$D$17:$D$149,$C927,'6. OPERATION'!BG$17:BG$149)</f>
        <v>0</v>
      </c>
      <c r="D944" s="584">
        <f>SUMIF('5. PERSON'!$D$17:$D$192,$C927,'5. PERSON'!CE$17:CE$192)+SUMIF('6. OPERATION'!$D$17:$D$149,$C927,'6. OPERATION'!BH$17:BH$149)</f>
        <v>0</v>
      </c>
      <c r="E944" s="584">
        <f>SUMIF('5. PERSON'!$D$17:$D$192,$C927,'5. PERSON'!CF$17:CF$192)+SUMIF('6. OPERATION'!$D$17:$D$149,$C927,'6. OPERATION'!BI$17:BI$149)</f>
        <v>0</v>
      </c>
      <c r="F944" s="584">
        <f>SUMIF('5. PERSON'!$D$17:$D$192,$C927,'5. PERSON'!CG$17:CG$192)+SUMIF('6. OPERATION'!$D$17:$D$149,$C927,'6. OPERATION'!BJ$17:BJ$149)</f>
        <v>0</v>
      </c>
      <c r="G944" s="584">
        <f>SUMIF('5. PERSON'!$D$17:$D$192,$C927,'5. PERSON'!CH$17:CH$192)+SUMIF('6. OPERATION'!$D$17:$D$149,$C927,'6. OPERATION'!BK$17:BK$149)</f>
        <v>0</v>
      </c>
      <c r="H944" s="584">
        <f>SUMIF('5. PERSON'!$D$17:$D$192,$C927,'5. PERSON'!CI$17:CI$192)+SUMIF('6. OPERATION'!$D$17:$D$149,$C927,'6. OPERATION'!BL$17:BL$149)</f>
        <v>0</v>
      </c>
      <c r="I944" s="584">
        <f>SUMIF('5. PERSON'!$D$17:$D$192,$C927,'5. PERSON'!CJ$17:CJ$192)+SUMIF('6. OPERATION'!$D$17:$D$149,$C927,'6. OPERATION'!BM$17:BM$149)</f>
        <v>0</v>
      </c>
      <c r="J944" s="584">
        <f>SUMIF('5. PERSON'!$D$17:$D$192,$C927,'5. PERSON'!CK$17:CK$192)+SUMIF('6. OPERATION'!$D$17:$D$149,$C927,'6. OPERATION'!BN$17:BN$149)</f>
        <v>0</v>
      </c>
      <c r="K944" s="584">
        <f>SUMIF('5. PERSON'!$D$17:$D$192,$C927,'5. PERSON'!CL$17:CL$192)+SUMIF('6. OPERATION'!$D$17:$D$149,$C927,'6. OPERATION'!BO$17:BO$149)</f>
        <v>0</v>
      </c>
      <c r="L944" s="584">
        <f>SUMIF('5. PERSON'!$D$17:$D$192,$C927,'5. PERSON'!CM$17:CM$192)+SUMIF('6. OPERATION'!$D$17:$D$149,$C927,'6. OPERATION'!BP$17:BP$149)</f>
        <v>0</v>
      </c>
      <c r="M944" s="908">
        <f t="shared" si="154"/>
        <v>0</v>
      </c>
    </row>
    <row r="945" spans="2:15" s="234" customFormat="1" ht="13.2" x14ac:dyDescent="0.25">
      <c r="B945" s="628" t="s">
        <v>113</v>
      </c>
      <c r="C945" s="443">
        <f>SUM(C938:C944)</f>
        <v>0</v>
      </c>
      <c r="D945" s="443">
        <f t="shared" ref="D945:M945" si="155">SUM(D938:D944)</f>
        <v>0</v>
      </c>
      <c r="E945" s="443">
        <f t="shared" si="155"/>
        <v>0</v>
      </c>
      <c r="F945" s="443">
        <f t="shared" si="155"/>
        <v>0</v>
      </c>
      <c r="G945" s="443">
        <f t="shared" si="155"/>
        <v>0</v>
      </c>
      <c r="H945" s="443">
        <f t="shared" si="155"/>
        <v>0</v>
      </c>
      <c r="I945" s="443">
        <f t="shared" si="155"/>
        <v>0</v>
      </c>
      <c r="J945" s="443">
        <f t="shared" si="155"/>
        <v>0</v>
      </c>
      <c r="K945" s="443">
        <f t="shared" si="155"/>
        <v>0</v>
      </c>
      <c r="L945" s="443">
        <f t="shared" si="155"/>
        <v>0</v>
      </c>
      <c r="M945" s="630">
        <f t="shared" si="155"/>
        <v>0</v>
      </c>
      <c r="N945" s="913"/>
      <c r="O945" s="913"/>
    </row>
    <row r="946" spans="2:15" s="234" customFormat="1" ht="6" customHeight="1" x14ac:dyDescent="0.25">
      <c r="B946" s="914"/>
      <c r="C946" s="127"/>
      <c r="D946" s="127"/>
      <c r="E946" s="127"/>
      <c r="F946" s="127"/>
      <c r="G946" s="127"/>
      <c r="H946" s="127"/>
      <c r="I946" s="127"/>
      <c r="J946" s="127"/>
      <c r="K946" s="127"/>
      <c r="L946" s="127"/>
      <c r="M946" s="636"/>
    </row>
    <row r="947" spans="2:15" s="234" customFormat="1" ht="13.2" x14ac:dyDescent="0.25">
      <c r="B947" s="129" t="str">
        <f>IF('1. INTRO'!I$2="English","Full cost","Full kostnad")</f>
        <v>Full cost</v>
      </c>
      <c r="C947" s="127"/>
      <c r="D947" s="127"/>
      <c r="E947" s="127"/>
      <c r="F947" s="127"/>
      <c r="G947" s="127"/>
      <c r="H947" s="127"/>
      <c r="I947" s="127"/>
      <c r="J947" s="127"/>
      <c r="K947" s="127"/>
      <c r="L947" s="127"/>
      <c r="M947" s="636"/>
    </row>
    <row r="948" spans="2:15" s="234" customFormat="1" ht="13.2" x14ac:dyDescent="0.25">
      <c r="B948" s="902" t="str">
        <f>IF('1. INTRO'!I$2="English","Salary including social costs (LKP)","Lön inklusive LKP")</f>
        <v>Salary including social costs (LKP)</v>
      </c>
      <c r="C948" s="138">
        <f>C930+C939+C940</f>
        <v>0</v>
      </c>
      <c r="D948" s="138">
        <f t="shared" ref="D948:L948" si="156">D930+D939+D940</f>
        <v>0</v>
      </c>
      <c r="E948" s="138">
        <f t="shared" si="156"/>
        <v>0</v>
      </c>
      <c r="F948" s="138">
        <f t="shared" si="156"/>
        <v>0</v>
      </c>
      <c r="G948" s="138">
        <f t="shared" si="156"/>
        <v>0</v>
      </c>
      <c r="H948" s="138">
        <f t="shared" si="156"/>
        <v>0</v>
      </c>
      <c r="I948" s="138">
        <f t="shared" si="156"/>
        <v>0</v>
      </c>
      <c r="J948" s="138">
        <f t="shared" si="156"/>
        <v>0</v>
      </c>
      <c r="K948" s="138">
        <f t="shared" si="156"/>
        <v>0</v>
      </c>
      <c r="L948" s="138">
        <f t="shared" si="156"/>
        <v>0</v>
      </c>
      <c r="M948" s="903">
        <f>SUM(C948:L948)</f>
        <v>0</v>
      </c>
    </row>
    <row r="949" spans="2:15" s="234" customFormat="1" ht="13.2" x14ac:dyDescent="0.25">
      <c r="B949" s="377" t="str">
        <f>IF('1. INTRO'!I$2="English","Operating","Drift")</f>
        <v>Operating</v>
      </c>
      <c r="C949" s="139">
        <f>C931+C941</f>
        <v>0</v>
      </c>
      <c r="D949" s="139">
        <f t="shared" ref="D949:L949" si="157">D931+D941</f>
        <v>0</v>
      </c>
      <c r="E949" s="139">
        <f t="shared" si="157"/>
        <v>0</v>
      </c>
      <c r="F949" s="139">
        <f t="shared" si="157"/>
        <v>0</v>
      </c>
      <c r="G949" s="139">
        <f t="shared" si="157"/>
        <v>0</v>
      </c>
      <c r="H949" s="139">
        <f t="shared" si="157"/>
        <v>0</v>
      </c>
      <c r="I949" s="139">
        <f t="shared" si="157"/>
        <v>0</v>
      </c>
      <c r="J949" s="139">
        <f t="shared" si="157"/>
        <v>0</v>
      </c>
      <c r="K949" s="139">
        <f t="shared" si="157"/>
        <v>0</v>
      </c>
      <c r="L949" s="139">
        <f t="shared" si="157"/>
        <v>0</v>
      </c>
      <c r="M949" s="905">
        <f>SUM(C949:L949)</f>
        <v>0</v>
      </c>
    </row>
    <row r="950" spans="2:15" s="234" customFormat="1" ht="13.2" x14ac:dyDescent="0.25">
      <c r="B950" s="906" t="str">
        <f>IF('1. INTRO'!I$2="English","Equipment","Utrustning")</f>
        <v>Equipment</v>
      </c>
      <c r="C950" s="140">
        <f>C932+C942</f>
        <v>0</v>
      </c>
      <c r="D950" s="140">
        <f t="shared" ref="D950:L950" si="158">D932+D942</f>
        <v>0</v>
      </c>
      <c r="E950" s="140">
        <f t="shared" si="158"/>
        <v>0</v>
      </c>
      <c r="F950" s="140">
        <f t="shared" si="158"/>
        <v>0</v>
      </c>
      <c r="G950" s="140">
        <f t="shared" si="158"/>
        <v>0</v>
      </c>
      <c r="H950" s="140">
        <f t="shared" si="158"/>
        <v>0</v>
      </c>
      <c r="I950" s="140">
        <f t="shared" si="158"/>
        <v>0</v>
      </c>
      <c r="J950" s="140">
        <f t="shared" si="158"/>
        <v>0</v>
      </c>
      <c r="K950" s="140">
        <f t="shared" si="158"/>
        <v>0</v>
      </c>
      <c r="L950" s="140">
        <f t="shared" si="158"/>
        <v>0</v>
      </c>
      <c r="M950" s="907">
        <f>SUM(C950:L950)</f>
        <v>0</v>
      </c>
    </row>
    <row r="951" spans="2:15" s="234" customFormat="1" ht="13.2" x14ac:dyDescent="0.25">
      <c r="B951" s="377" t="str">
        <f>IF('1. INTRO'!I$2="English","Facility","Lokal")</f>
        <v>Facility</v>
      </c>
      <c r="C951" s="139">
        <f>SUMIF('5. PERSON'!$D$17:$D$192,$C927,'5. PERSON'!CP$17:CP$192)+SUMIF('5. PERSON'!$D$17:$D$192,$C927,'5. PERSON'!DB$17:DB$192)+SUMIF('6. OPERATION'!$D$17:$D$149,$C927,'6. OPERATION'!BS$17:BS$149)+SUMIF('6. OPERATION'!$D$17:$D$149,$C927,'6. OPERATION'!CE$17:CE$149)+SUMIF('8. FACILIT'!$D$18:$D$50,$C927,'8. FACILIT'!T$18:T$50)+SUMIF('8. FACILIT'!$D$18:$D$50,$C927,'8. FACILIT'!AF$18:AF$50)</f>
        <v>0</v>
      </c>
      <c r="D951" s="139">
        <f>SUMIF('5. PERSON'!$D$17:$D$192,$C927,'5. PERSON'!CQ$17:CQ$192)+SUMIF('5. PERSON'!$D$17:$D$192,$C927,'5. PERSON'!DC$17:DC$192)+SUMIF('6. OPERATION'!$D$17:$D$149,$C927,'6. OPERATION'!BT$17:BT$149)+SUMIF('6. OPERATION'!$D$17:$D$149,$C927,'6. OPERATION'!CF$17:CF$149)+SUMIF('8. FACILIT'!$D$18:$D$50,$C927,'8. FACILIT'!U$18:U$50)+SUMIF('8. FACILIT'!$D$18:$D$50,$C927,'8. FACILIT'!AG$18:AG$50)</f>
        <v>0</v>
      </c>
      <c r="E951" s="139">
        <f>SUMIF('5. PERSON'!$D$17:$D$192,$C927,'5. PERSON'!CR$17:CR$192)+SUMIF('5. PERSON'!$D$17:$D$192,$C927,'5. PERSON'!DD$17:DD$192)+SUMIF('6. OPERATION'!$D$17:$D$149,$C927,'6. OPERATION'!BU$17:BU$149)+SUMIF('6. OPERATION'!$D$17:$D$149,$C927,'6. OPERATION'!CG$17:CG$149)+SUMIF('8. FACILIT'!$D$18:$D$50,$C927,'8. FACILIT'!V$18:V$50)+SUMIF('8. FACILIT'!$D$18:$D$50,$C927,'8. FACILIT'!AH$18:AH$50)</f>
        <v>0</v>
      </c>
      <c r="F951" s="139">
        <f>SUMIF('5. PERSON'!$D$17:$D$192,$C927,'5. PERSON'!CS$17:CS$192)+SUMIF('5. PERSON'!$D$17:$D$192,$C927,'5. PERSON'!DE$17:DE$192)+SUMIF('6. OPERATION'!$D$17:$D$149,$C927,'6. OPERATION'!BV$17:BV$149)+SUMIF('6. OPERATION'!$D$17:$D$149,$C927,'6. OPERATION'!CH$17:CH$149)+SUMIF('8. FACILIT'!$D$18:$D$50,$C927,'8. FACILIT'!W$18:W$50)+SUMIF('8. FACILIT'!$D$18:$D$50,$C927,'8. FACILIT'!AI$18:AI$50)</f>
        <v>0</v>
      </c>
      <c r="G951" s="139">
        <f>SUMIF('5. PERSON'!$D$17:$D$192,$C927,'5. PERSON'!CT$17:CT$192)+SUMIF('5. PERSON'!$D$17:$D$192,$C927,'5. PERSON'!DF$17:DF$192)+SUMIF('6. OPERATION'!$D$17:$D$149,$C927,'6. OPERATION'!BW$17:BW$149)+SUMIF('6. OPERATION'!$D$17:$D$149,$C927,'6. OPERATION'!CI$17:CI$149)+SUMIF('8. FACILIT'!$D$18:$D$50,$C927,'8. FACILIT'!X$18:X$50)+SUMIF('8. FACILIT'!$D$18:$D$50,$C927,'8. FACILIT'!AJ$18:AJ$50)</f>
        <v>0</v>
      </c>
      <c r="H951" s="139">
        <f>SUMIF('5. PERSON'!$D$17:$D$192,$C927,'5. PERSON'!CU$17:CU$192)+SUMIF('5. PERSON'!$D$17:$D$192,$C927,'5. PERSON'!DG$17:DG$192)+SUMIF('6. OPERATION'!$D$17:$D$149,$C927,'6. OPERATION'!BX$17:BX$149)+SUMIF('6. OPERATION'!$D$17:$D$149,$C927,'6. OPERATION'!CJ$17:CJ$149)+SUMIF('8. FACILIT'!$D$18:$D$50,$C927,'8. FACILIT'!Y$18:Y$50)+SUMIF('8. FACILIT'!$D$18:$D$50,$C927,'8. FACILIT'!AK$18:AK$50)</f>
        <v>0</v>
      </c>
      <c r="I951" s="139">
        <f>SUMIF('5. PERSON'!$D$17:$D$192,$C927,'5. PERSON'!CV$17:CV$192)+SUMIF('5. PERSON'!$D$17:$D$192,$C927,'5. PERSON'!DH$17:DH$192)+SUMIF('6. OPERATION'!$D$17:$D$149,$C927,'6. OPERATION'!BY$17:BY$149)+SUMIF('6. OPERATION'!$D$17:$D$149,$C927,'6. OPERATION'!CK$17:CK$149)+SUMIF('8. FACILIT'!$D$18:$D$50,$C927,'8. FACILIT'!Z$18:Z$50)+SUMIF('8. FACILIT'!$D$18:$D$50,$C927,'8. FACILIT'!AL$18:AL$50)</f>
        <v>0</v>
      </c>
      <c r="J951" s="139">
        <f>SUMIF('5. PERSON'!$D$17:$D$192,$C927,'5. PERSON'!CW$17:CW$192)+SUMIF('5. PERSON'!$D$17:$D$192,$C927,'5. PERSON'!DI$17:DI$192)+SUMIF('6. OPERATION'!$D$17:$D$149,$C927,'6. OPERATION'!BZ$17:BZ$149)+SUMIF('6. OPERATION'!$D$17:$D$149,$C927,'6. OPERATION'!CL$17:CL$149)+SUMIF('8. FACILIT'!$D$18:$D$50,$C927,'8. FACILIT'!AA$18:AA$50)+SUMIF('8. FACILIT'!$D$18:$D$50,$C927,'8. FACILIT'!AM$18:AM$50)</f>
        <v>0</v>
      </c>
      <c r="K951" s="139">
        <f>SUMIF('5. PERSON'!$D$17:$D$192,$C927,'5. PERSON'!CX$17:CX$192)+SUMIF('5. PERSON'!$D$17:$D$192,$C927,'5. PERSON'!DJ$17:DJ$192)+SUMIF('6. OPERATION'!$D$17:$D$149,$C927,'6. OPERATION'!CA$17:CA$149)+SUMIF('6. OPERATION'!$D$17:$D$149,$C927,'6. OPERATION'!CM$17:CM$149)+SUMIF('8. FACILIT'!$D$18:$D$50,$C927,'8. FACILIT'!AB$18:AB$50)+SUMIF('8. FACILIT'!$D$18:$D$50,$C927,'8. FACILIT'!AN$18:AN$50)</f>
        <v>0</v>
      </c>
      <c r="L951" s="139">
        <f>SUMIF('5. PERSON'!$D$17:$D$192,$C927,'5. PERSON'!CY$17:CY$192)+SUMIF('5. PERSON'!$D$17:$D$192,$C927,'5. PERSON'!DK$17:DK$192)+SUMIF('6. OPERATION'!$D$17:$D$149,$C927,'6. OPERATION'!CB$17:CB$149)+SUMIF('6. OPERATION'!$D$17:$D$149,$C927,'6. OPERATION'!CN$17:CN$149)+SUMIF('8. FACILIT'!$D$18:$D$50,$C927,'8. FACILIT'!AC$18:AC$50)+SUMIF('8. FACILIT'!$D$18:$D$50,$C927,'8. FACILIT'!AO$18:AO$50)</f>
        <v>0</v>
      </c>
      <c r="M951" s="905">
        <f>SUM(C951:L951)</f>
        <v>0</v>
      </c>
    </row>
    <row r="952" spans="2:15" s="234" customFormat="1" ht="13.2" x14ac:dyDescent="0.25">
      <c r="B952" s="915" t="str">
        <f>IF('1. INTRO'!I$2="English","Indirect","Indirekt")</f>
        <v>Indirect</v>
      </c>
      <c r="C952" s="141">
        <f>SUMIF('5. PERSON'!$D$17:$D$192,$C927,'5. PERSON'!BR$17:BR$192)+SUMIF('5. PERSON'!$D$17:$D$192,$C927,'5. PERSON'!CD$17:CD$192)+SUMIF('6. OPERATION'!$D$17:$D$149,$C927,'6. OPERATION'!AU$17:AU$149)+SUMIF('6. OPERATION'!$D$17:$D$149,$C927,'6. OPERATION'!BG$17:BG$149)</f>
        <v>0</v>
      </c>
      <c r="D952" s="141">
        <f>SUMIF('5. PERSON'!$D$17:$D$192,$C927,'5. PERSON'!BS$17:BS$192)+SUMIF('5. PERSON'!$D$17:$D$192,$C927,'5. PERSON'!CE$17:CE$192)+SUMIF('6. OPERATION'!$D$17:$D$149,$C927,'6. OPERATION'!AV$17:AV$149)+SUMIF('6. OPERATION'!$D$17:$D$149,$C927,'6. OPERATION'!BH$17:BH$149)</f>
        <v>0</v>
      </c>
      <c r="E952" s="141">
        <f>SUMIF('5. PERSON'!$D$17:$D$192,$C927,'5. PERSON'!BT$17:BT$192)+SUMIF('5. PERSON'!$D$17:$D$192,$C927,'5. PERSON'!CF$17:CF$192)+SUMIF('6. OPERATION'!$D$17:$D$149,$C927,'6. OPERATION'!AW$17:AW$149)+SUMIF('6. OPERATION'!$D$17:$D$149,$C927,'6. OPERATION'!BI$17:BI$149)</f>
        <v>0</v>
      </c>
      <c r="F952" s="141">
        <f>SUMIF('5. PERSON'!$D$17:$D$192,$C927,'5. PERSON'!BU$17:BU$192)+SUMIF('5. PERSON'!$D$17:$D$192,$C927,'5. PERSON'!CG$17:CG$192)+SUMIF('6. OPERATION'!$D$17:$D$149,$C927,'6. OPERATION'!AX$17:AX$149)+SUMIF('6. OPERATION'!$D$17:$D$149,$C927,'6. OPERATION'!BJ$17:BJ$149)</f>
        <v>0</v>
      </c>
      <c r="G952" s="141">
        <f>SUMIF('5. PERSON'!$D$17:$D$192,$C927,'5. PERSON'!BV$17:BV$192)+SUMIF('5. PERSON'!$D$17:$D$192,$C927,'5. PERSON'!CH$17:CH$192)+SUMIF('6. OPERATION'!$D$17:$D$149,$C927,'6. OPERATION'!AY$17:AY$149)+SUMIF('6. OPERATION'!$D$17:$D$149,$C927,'6. OPERATION'!BK$17:BK$149)</f>
        <v>0</v>
      </c>
      <c r="H952" s="141">
        <f>SUMIF('5. PERSON'!$D$17:$D$192,$C927,'5. PERSON'!BW$17:BW$192)+SUMIF('5. PERSON'!$D$17:$D$192,$C927,'5. PERSON'!CI$17:CI$192)+SUMIF('6. OPERATION'!$D$17:$D$149,$C927,'6. OPERATION'!AZ$17:AZ$149)+SUMIF('6. OPERATION'!$D$17:$D$149,$C927,'6. OPERATION'!BL$17:BL$149)</f>
        <v>0</v>
      </c>
      <c r="I952" s="141">
        <f>SUMIF('5. PERSON'!$D$17:$D$192,$C927,'5. PERSON'!BX$17:BX$192)+SUMIF('5. PERSON'!$D$17:$D$192,$C927,'5. PERSON'!CJ$17:CJ$192)+SUMIF('6. OPERATION'!$D$17:$D$149,$C927,'6. OPERATION'!BA$17:BA$149)+SUMIF('6. OPERATION'!$D$17:$D$149,$C927,'6. OPERATION'!BM$17:BM$149)</f>
        <v>0</v>
      </c>
      <c r="J952" s="141">
        <f>SUMIF('5. PERSON'!$D$17:$D$192,$C927,'5. PERSON'!BY$17:BY$192)+SUMIF('5. PERSON'!$D$17:$D$192,$C927,'5. PERSON'!CK$17:CK$192)+SUMIF('6. OPERATION'!$D$17:$D$149,$C927,'6. OPERATION'!BB$17:BB$149)+SUMIF('6. OPERATION'!$D$17:$D$149,$C927,'6. OPERATION'!BN$17:BN$149)</f>
        <v>0</v>
      </c>
      <c r="K952" s="141">
        <f>SUMIF('5. PERSON'!$D$17:$D$192,$C927,'5. PERSON'!BZ$17:BZ$192)+SUMIF('5. PERSON'!$D$17:$D$192,$C927,'5. PERSON'!CL$17:CL$192)+SUMIF('6. OPERATION'!$D$17:$D$149,$C927,'6. OPERATION'!BC$17:BC$149)+SUMIF('6. OPERATION'!$D$17:$D$149,$C927,'6. OPERATION'!BO$17:BO$149)</f>
        <v>0</v>
      </c>
      <c r="L952" s="141">
        <f>SUMIF('5. PERSON'!$D$17:$D$192,$C927,'5. PERSON'!CA$17:CA$192)+SUMIF('5. PERSON'!$D$17:$D$192,$C927,'5. PERSON'!CM$17:CM$192)+SUMIF('6. OPERATION'!$D$17:$D$149,$C927,'6. OPERATION'!BD$17:BD$149)+SUMIF('6. OPERATION'!$D$17:$D$149,$C927,'6. OPERATION'!BP$17:BP$149)</f>
        <v>0</v>
      </c>
      <c r="M952" s="908">
        <f>SUM(C952:L952)</f>
        <v>0</v>
      </c>
    </row>
    <row r="953" spans="2:15" s="234" customFormat="1" ht="13.2" x14ac:dyDescent="0.25">
      <c r="B953" s="628" t="s">
        <v>113</v>
      </c>
      <c r="C953" s="520">
        <f>SUM(C948:C952)</f>
        <v>0</v>
      </c>
      <c r="D953" s="520">
        <f t="shared" ref="D953:M953" si="159">SUM(D948:D952)</f>
        <v>0</v>
      </c>
      <c r="E953" s="520">
        <f t="shared" si="159"/>
        <v>0</v>
      </c>
      <c r="F953" s="520">
        <f t="shared" si="159"/>
        <v>0</v>
      </c>
      <c r="G953" s="520">
        <f t="shared" si="159"/>
        <v>0</v>
      </c>
      <c r="H953" s="520">
        <f t="shared" si="159"/>
        <v>0</v>
      </c>
      <c r="I953" s="520">
        <f t="shared" si="159"/>
        <v>0</v>
      </c>
      <c r="J953" s="520">
        <f t="shared" si="159"/>
        <v>0</v>
      </c>
      <c r="K953" s="520">
        <f t="shared" si="159"/>
        <v>0</v>
      </c>
      <c r="L953" s="520">
        <f t="shared" si="159"/>
        <v>0</v>
      </c>
      <c r="M953" s="916">
        <f t="shared" si="159"/>
        <v>0</v>
      </c>
    </row>
    <row r="954" spans="2:15" s="234" customFormat="1" ht="13.2" x14ac:dyDescent="0.25">
      <c r="B954" s="676"/>
      <c r="C954" s="268"/>
      <c r="D954" s="268"/>
      <c r="E954" s="268"/>
      <c r="F954" s="268"/>
      <c r="G954" s="268"/>
      <c r="H954" s="268"/>
      <c r="I954" s="268"/>
      <c r="J954" s="268"/>
      <c r="K954" s="268"/>
      <c r="L954" s="268"/>
      <c r="M954" s="268"/>
    </row>
    <row r="955" spans="2:15" s="234" customFormat="1" ht="12.75" customHeight="1" x14ac:dyDescent="0.25">
      <c r="B955" s="676" t="str">
        <f>IF('1. INTRO'!I$2="English","Co-funding share in full cost ","Medfinansieringsandel i full kostnad ")</f>
        <v xml:space="preserve">Co-funding share in full cost </v>
      </c>
      <c r="C955" s="640" t="str">
        <f t="shared" ref="C955:M955" si="160">IF(C953&gt;0,C945/C953,"")</f>
        <v/>
      </c>
      <c r="D955" s="640" t="str">
        <f t="shared" si="160"/>
        <v/>
      </c>
      <c r="E955" s="640" t="str">
        <f t="shared" si="160"/>
        <v/>
      </c>
      <c r="F955" s="640" t="str">
        <f t="shared" si="160"/>
        <v/>
      </c>
      <c r="G955" s="640" t="str">
        <f t="shared" si="160"/>
        <v/>
      </c>
      <c r="H955" s="640" t="str">
        <f t="shared" si="160"/>
        <v/>
      </c>
      <c r="I955" s="640" t="str">
        <f t="shared" si="160"/>
        <v/>
      </c>
      <c r="J955" s="640" t="str">
        <f t="shared" si="160"/>
        <v/>
      </c>
      <c r="K955" s="640" t="str">
        <f t="shared" si="160"/>
        <v/>
      </c>
      <c r="L955" s="640" t="str">
        <f t="shared" si="160"/>
        <v/>
      </c>
      <c r="M955" s="640" t="str">
        <f t="shared" si="160"/>
        <v/>
      </c>
    </row>
    <row r="956" spans="2:15" s="268" customFormat="1" ht="12.75" customHeight="1" x14ac:dyDescent="0.25"/>
    <row r="957" spans="2:15" s="268" customFormat="1" ht="12.75" customHeight="1" x14ac:dyDescent="0.25">
      <c r="B957" s="667" t="str">
        <f>IF('1. INTRO'!I$2="English","Calculation comments","Kalkylkommentarer")</f>
        <v>Calculation comments</v>
      </c>
    </row>
    <row r="958" spans="2:15" s="268" customFormat="1" ht="12.75" customHeight="1" x14ac:dyDescent="0.25">
      <c r="B958" s="1264"/>
      <c r="C958" s="1265"/>
      <c r="D958" s="1265"/>
      <c r="E958" s="1265"/>
      <c r="F958" s="1265"/>
      <c r="G958" s="1265"/>
      <c r="H958" s="1265"/>
      <c r="I958" s="1265"/>
      <c r="J958" s="1265"/>
      <c r="K958" s="1265"/>
      <c r="L958" s="1265"/>
      <c r="M958" s="1266"/>
    </row>
    <row r="959" spans="2:15" s="268" customFormat="1" ht="12.75" customHeight="1" x14ac:dyDescent="0.25">
      <c r="B959" s="1267"/>
      <c r="C959" s="1268"/>
      <c r="D959" s="1268"/>
      <c r="E959" s="1268"/>
      <c r="F959" s="1268"/>
      <c r="G959" s="1268"/>
      <c r="H959" s="1268"/>
      <c r="I959" s="1268"/>
      <c r="J959" s="1268"/>
      <c r="K959" s="1268"/>
      <c r="L959" s="1268"/>
      <c r="M959" s="1269"/>
    </row>
    <row r="960" spans="2:15" s="268" customFormat="1" ht="12.75" customHeight="1" x14ac:dyDescent="0.25">
      <c r="B960" s="1267"/>
      <c r="C960" s="1268"/>
      <c r="D960" s="1268"/>
      <c r="E960" s="1268"/>
      <c r="F960" s="1268"/>
      <c r="G960" s="1268"/>
      <c r="H960" s="1268"/>
      <c r="I960" s="1268"/>
      <c r="J960" s="1268"/>
      <c r="K960" s="1268"/>
      <c r="L960" s="1268"/>
      <c r="M960" s="1269"/>
    </row>
    <row r="961" spans="2:13" s="268" customFormat="1" ht="12.75" customHeight="1" x14ac:dyDescent="0.25">
      <c r="B961" s="1267"/>
      <c r="C961" s="1268"/>
      <c r="D961" s="1268"/>
      <c r="E961" s="1268"/>
      <c r="F961" s="1268"/>
      <c r="G961" s="1268"/>
      <c r="H961" s="1268"/>
      <c r="I961" s="1268"/>
      <c r="J961" s="1268"/>
      <c r="K961" s="1268"/>
      <c r="L961" s="1268"/>
      <c r="M961" s="1269"/>
    </row>
    <row r="962" spans="2:13" s="268" customFormat="1" ht="12.75" customHeight="1" x14ac:dyDescent="0.25">
      <c r="B962" s="1267"/>
      <c r="C962" s="1268"/>
      <c r="D962" s="1268"/>
      <c r="E962" s="1268"/>
      <c r="F962" s="1268"/>
      <c r="G962" s="1268"/>
      <c r="H962" s="1268"/>
      <c r="I962" s="1268"/>
      <c r="J962" s="1268"/>
      <c r="K962" s="1268"/>
      <c r="L962" s="1268"/>
      <c r="M962" s="1269"/>
    </row>
    <row r="963" spans="2:13" s="268" customFormat="1" ht="12.75" customHeight="1" x14ac:dyDescent="0.25">
      <c r="B963" s="1270"/>
      <c r="C963" s="1271"/>
      <c r="D963" s="1271"/>
      <c r="E963" s="1271"/>
      <c r="F963" s="1271"/>
      <c r="G963" s="1271"/>
      <c r="H963" s="1271"/>
      <c r="I963" s="1271"/>
      <c r="J963" s="1271"/>
      <c r="K963" s="1271"/>
      <c r="L963" s="1271"/>
      <c r="M963" s="1272"/>
    </row>
    <row r="964" spans="2:13" s="268" customFormat="1" x14ac:dyDescent="0.25">
      <c r="B964" s="1270"/>
      <c r="C964" s="1271"/>
      <c r="D964" s="1271"/>
      <c r="E964" s="1271"/>
      <c r="F964" s="1271"/>
      <c r="G964" s="1271"/>
      <c r="H964" s="1271"/>
      <c r="I964" s="1271"/>
      <c r="J964" s="1271"/>
      <c r="K964" s="1271"/>
      <c r="L964" s="1271"/>
      <c r="M964" s="1272"/>
    </row>
    <row r="965" spans="2:13" s="268" customFormat="1" x14ac:dyDescent="0.25">
      <c r="B965" s="1270"/>
      <c r="C965" s="1271"/>
      <c r="D965" s="1271"/>
      <c r="E965" s="1271"/>
      <c r="F965" s="1271"/>
      <c r="G965" s="1271"/>
      <c r="H965" s="1271"/>
      <c r="I965" s="1271"/>
      <c r="J965" s="1271"/>
      <c r="K965" s="1271"/>
      <c r="L965" s="1271"/>
      <c r="M965" s="1272"/>
    </row>
    <row r="966" spans="2:13" s="268" customFormat="1" x14ac:dyDescent="0.25">
      <c r="B966" s="1270"/>
      <c r="C966" s="1271"/>
      <c r="D966" s="1271"/>
      <c r="E966" s="1271"/>
      <c r="F966" s="1271"/>
      <c r="G966" s="1271"/>
      <c r="H966" s="1271"/>
      <c r="I966" s="1271"/>
      <c r="J966" s="1271"/>
      <c r="K966" s="1271"/>
      <c r="L966" s="1271"/>
      <c r="M966" s="1272"/>
    </row>
    <row r="967" spans="2:13" s="268" customFormat="1" x14ac:dyDescent="0.25">
      <c r="B967" s="1270"/>
      <c r="C967" s="1271"/>
      <c r="D967" s="1271"/>
      <c r="E967" s="1271"/>
      <c r="F967" s="1271"/>
      <c r="G967" s="1271"/>
      <c r="H967" s="1271"/>
      <c r="I967" s="1271"/>
      <c r="J967" s="1271"/>
      <c r="K967" s="1271"/>
      <c r="L967" s="1271"/>
      <c r="M967" s="1272"/>
    </row>
    <row r="968" spans="2:13" s="268" customFormat="1" x14ac:dyDescent="0.25">
      <c r="B968" s="1270"/>
      <c r="C968" s="1271"/>
      <c r="D968" s="1271"/>
      <c r="E968" s="1271"/>
      <c r="F968" s="1271"/>
      <c r="G968" s="1271"/>
      <c r="H968" s="1271"/>
      <c r="I968" s="1271"/>
      <c r="J968" s="1271"/>
      <c r="K968" s="1271"/>
      <c r="L968" s="1271"/>
      <c r="M968" s="1272"/>
    </row>
    <row r="969" spans="2:13" s="268" customFormat="1" x14ac:dyDescent="0.25">
      <c r="B969" s="1270"/>
      <c r="C969" s="1271"/>
      <c r="D969" s="1271"/>
      <c r="E969" s="1271"/>
      <c r="F969" s="1271"/>
      <c r="G969" s="1271"/>
      <c r="H969" s="1271"/>
      <c r="I969" s="1271"/>
      <c r="J969" s="1271"/>
      <c r="K969" s="1271"/>
      <c r="L969" s="1271"/>
      <c r="M969" s="1272"/>
    </row>
    <row r="970" spans="2:13" s="268" customFormat="1" x14ac:dyDescent="0.25">
      <c r="B970" s="1273"/>
      <c r="C970" s="1274"/>
      <c r="D970" s="1274"/>
      <c r="E970" s="1274"/>
      <c r="F970" s="1274"/>
      <c r="G970" s="1274"/>
      <c r="H970" s="1274"/>
      <c r="I970" s="1274"/>
      <c r="J970" s="1274"/>
      <c r="K970" s="1274"/>
      <c r="L970" s="1274"/>
      <c r="M970" s="1275"/>
    </row>
    <row r="971" spans="2:13" s="268" customFormat="1" x14ac:dyDescent="0.25"/>
    <row r="972" spans="2:13" s="268" customFormat="1" x14ac:dyDescent="0.25"/>
    <row r="973" spans="2:13" s="234" customFormat="1" ht="12.75" customHeight="1" x14ac:dyDescent="0.25">
      <c r="B973" s="313" t="str">
        <f>'3. PARTNER'!C$4</f>
        <v xml:space="preserve">Project: </v>
      </c>
      <c r="C973" s="1062" t="str">
        <f>'3. PARTNER'!D$4</f>
        <v/>
      </c>
      <c r="D973" s="1001"/>
      <c r="E973" s="1001"/>
      <c r="F973" s="1001"/>
      <c r="G973" s="1001"/>
      <c r="H973" s="1001"/>
      <c r="I973" s="1001"/>
      <c r="J973" s="1001"/>
      <c r="K973" s="1001"/>
      <c r="L973" s="1001"/>
      <c r="M973" s="1001"/>
    </row>
    <row r="974" spans="2:13" s="234" customFormat="1" ht="13.2" x14ac:dyDescent="0.25">
      <c r="B974" s="313" t="str">
        <f>'3. PARTNER'!C$5</f>
        <v xml:space="preserve">Calculation for: </v>
      </c>
      <c r="C974" s="1062" t="str">
        <f>'3. PARTNER'!D$5</f>
        <v>APPLICATION</v>
      </c>
      <c r="D974" s="1001"/>
      <c r="E974" s="268"/>
      <c r="F974" s="268"/>
      <c r="G974" s="268"/>
      <c r="H974" s="268"/>
      <c r="I974" s="268"/>
      <c r="J974" s="268"/>
      <c r="K974" s="268"/>
      <c r="L974" s="268"/>
      <c r="M974" s="268"/>
    </row>
    <row r="975" spans="2:13" s="234" customFormat="1" ht="13.2" x14ac:dyDescent="0.25">
      <c r="B975" s="35" t="str">
        <f>'3. PARTNER'!C$6</f>
        <v xml:space="preserve">Project leader: </v>
      </c>
      <c r="C975" s="1062" t="str">
        <f>'3. PARTNER'!D$6</f>
        <v/>
      </c>
      <c r="D975" s="1001"/>
      <c r="E975" s="1001"/>
      <c r="F975" s="1001"/>
      <c r="G975" s="1001"/>
      <c r="H975" s="1001"/>
      <c r="I975" s="1001"/>
      <c r="J975" s="1001"/>
      <c r="K975" s="1001"/>
      <c r="L975" s="1001"/>
      <c r="M975" s="1001"/>
    </row>
    <row r="976" spans="2:13" s="234" customFormat="1" ht="13.2" x14ac:dyDescent="0.25">
      <c r="B976" s="313" t="str">
        <f>'5. PERSON'!B$7</f>
        <v xml:space="preserve">Amounts in: </v>
      </c>
      <c r="C976" s="672" t="str">
        <f>'5. PERSON'!C$7</f>
        <v>SEK</v>
      </c>
      <c r="D976" s="268"/>
      <c r="E976" s="268"/>
      <c r="F976" s="268"/>
      <c r="I976" s="270"/>
      <c r="J976" s="270"/>
      <c r="K976" s="270"/>
      <c r="L976" s="270"/>
      <c r="M976" s="270"/>
    </row>
    <row r="977" spans="2:15" s="234" customFormat="1" ht="13.2" x14ac:dyDescent="0.25">
      <c r="B977" s="313"/>
      <c r="C977" s="1053" t="str">
        <f>'3. PARTNER'!D$7</f>
        <v>Other basic data about the project is in sheet 2.</v>
      </c>
      <c r="D977" s="1001"/>
      <c r="E977" s="1001"/>
      <c r="F977" s="1001"/>
      <c r="I977" s="270"/>
      <c r="J977" s="270"/>
      <c r="K977" s="270"/>
      <c r="L977" s="251" t="s">
        <v>4</v>
      </c>
      <c r="M977" s="270"/>
    </row>
    <row r="978" spans="2:15" s="268" customFormat="1" ht="12.75" customHeight="1" x14ac:dyDescent="0.25">
      <c r="L978" s="252" t="str">
        <f>IF('1. INTRO'!I$2="English","months","månader")</f>
        <v>months</v>
      </c>
    </row>
    <row r="979" spans="2:15" s="234" customFormat="1" ht="13.8" x14ac:dyDescent="0.25">
      <c r="B979" s="678" t="str">
        <f>IF('1. INTRO'!I$2="English","Project costs","Projektkostnader")</f>
        <v>Project costs</v>
      </c>
      <c r="C979" s="678" t="str">
        <f>B33</f>
        <v>WP 19</v>
      </c>
      <c r="D979" s="234" t="str">
        <f>E33</f>
        <v/>
      </c>
      <c r="E979" s="268"/>
      <c r="G979" s="268"/>
      <c r="H979" s="268"/>
      <c r="I979" s="268"/>
      <c r="J979" s="268"/>
      <c r="K979" s="676"/>
      <c r="L979" s="899">
        <f>SUMIF('5. PERSON'!$D$17:$D$192,$C979,'5. PERSON'!AE$17:AE$192)</f>
        <v>0</v>
      </c>
      <c r="M979" s="680" t="s">
        <v>330</v>
      </c>
    </row>
    <row r="980" spans="2:15" s="234" customFormat="1" ht="6" customHeight="1" x14ac:dyDescent="0.25">
      <c r="B980" s="602"/>
      <c r="C980" s="268"/>
      <c r="D980" s="268"/>
      <c r="E980" s="268"/>
      <c r="F980" s="268"/>
      <c r="G980" s="268"/>
      <c r="H980" s="268"/>
      <c r="I980" s="268"/>
      <c r="J980" s="268"/>
      <c r="K980" s="268"/>
      <c r="L980" s="268"/>
      <c r="M980" s="268"/>
    </row>
    <row r="981" spans="2:15" s="234" customFormat="1" ht="13.2" x14ac:dyDescent="0.25">
      <c r="B981" s="110" t="str">
        <f>IF('1. INTRO'!I$2="English","Costs to be covered by funding body","Kostnader att täckas av finansiär")</f>
        <v>Costs to be covered by funding body</v>
      </c>
      <c r="C981" s="607">
        <f>'5. PERSON'!G$15</f>
        <v>1900</v>
      </c>
      <c r="D981" s="607" t="str">
        <f>'5. PERSON'!H$15</f>
        <v/>
      </c>
      <c r="E981" s="607" t="str">
        <f>'5. PERSON'!I$15</f>
        <v/>
      </c>
      <c r="F981" s="607" t="str">
        <f>'5. PERSON'!J$15</f>
        <v/>
      </c>
      <c r="G981" s="607" t="str">
        <f>'5. PERSON'!K$15</f>
        <v/>
      </c>
      <c r="H981" s="607" t="str">
        <f>'5. PERSON'!L$15</f>
        <v/>
      </c>
      <c r="I981" s="607" t="str">
        <f>'5. PERSON'!M$15</f>
        <v/>
      </c>
      <c r="J981" s="607" t="str">
        <f>'5. PERSON'!N$15</f>
        <v/>
      </c>
      <c r="K981" s="607" t="str">
        <f>'5. PERSON'!O$15</f>
        <v/>
      </c>
      <c r="L981" s="607" t="str">
        <f>'5. PERSON'!P$15</f>
        <v/>
      </c>
      <c r="M981" s="608" t="s">
        <v>2</v>
      </c>
    </row>
    <row r="982" spans="2:15" s="234" customFormat="1" ht="12.75" customHeight="1" x14ac:dyDescent="0.25">
      <c r="B982" s="902" t="str">
        <f>IF('1. INTRO'!I$2="English","Salary including social costs (LKP)","Lön inklusive LKP")</f>
        <v>Salary including social costs (LKP)</v>
      </c>
      <c r="C982" s="610">
        <f>IF('2. START'!$C$14&gt;0,SUMIF('5. PERSON'!$D$17:$D$192,$C979,'5. PERSON'!DN$17:DN$192),SUMIF('5. PERSON'!$D$17:$D$192,$C979,'5. PERSON'!AT$17:AT$192))</f>
        <v>0</v>
      </c>
      <c r="D982" s="610">
        <f>IF('2. START'!$C$14&gt;0,SUMIF('5. PERSON'!$D$17:$D$192,$C979,'5. PERSON'!DO$17:DO$192),SUMIF('5. PERSON'!$D$17:$D$192,$C979,'5. PERSON'!AU$17:AU$192))</f>
        <v>0</v>
      </c>
      <c r="E982" s="610">
        <f>IF('2. START'!$C$14&gt;0,SUMIF('5. PERSON'!$D$17:$D$192,$C979,'5. PERSON'!DP$17:DP$192),SUMIF('5. PERSON'!$D$17:$D$192,$C979,'5. PERSON'!AV$17:AV$192))</f>
        <v>0</v>
      </c>
      <c r="F982" s="610">
        <f>IF('2. START'!$C$14&gt;0,SUMIF('5. PERSON'!$D$17:$D$192,$C979,'5. PERSON'!DQ$17:DQ$192),SUMIF('5. PERSON'!$D$17:$D$192,$C979,'5. PERSON'!AW$17:AW$192))</f>
        <v>0</v>
      </c>
      <c r="G982" s="610">
        <f>IF('2. START'!$C$14&gt;0,SUMIF('5. PERSON'!$D$17:$D$192,$C979,'5. PERSON'!DR$17:DR$192),SUMIF('5. PERSON'!$D$17:$D$192,$C979,'5. PERSON'!AX$17:AX$192))</f>
        <v>0</v>
      </c>
      <c r="H982" s="610">
        <f>IF('2. START'!$C$14&gt;0,SUMIF('5. PERSON'!$D$17:$D$192,$C979,'5. PERSON'!DS$17:DS$192),SUMIF('5. PERSON'!$D$17:$D$192,$C979,'5. PERSON'!AY$17:AY$192))</f>
        <v>0</v>
      </c>
      <c r="I982" s="610">
        <f>IF('2. START'!$C$14&gt;0,SUMIF('5. PERSON'!$D$17:$D$192,$C979,'5. PERSON'!DT$17:DT$192),SUMIF('5. PERSON'!$D$17:$D$192,$C979,'5. PERSON'!AZ$17:AZ$192))</f>
        <v>0</v>
      </c>
      <c r="J982" s="610">
        <f>IF('2. START'!$C$14&gt;0,SUMIF('5. PERSON'!$D$17:$D$192,$C979,'5. PERSON'!DU$17:DU$192),SUMIF('5. PERSON'!$D$17:$D$192,$C979,'5. PERSON'!BA$17:BA$192))</f>
        <v>0</v>
      </c>
      <c r="K982" s="610">
        <f>IF('2. START'!$C$14&gt;0,SUMIF('5. PERSON'!$D$17:$D$192,$C979,'5. PERSON'!DV$17:DV$192),SUMIF('5. PERSON'!$D$17:$D$192,$C979,'5. PERSON'!BB$17:BB$192))</f>
        <v>0</v>
      </c>
      <c r="L982" s="610">
        <f>IF('2. START'!$C$14&gt;0,SUMIF('5. PERSON'!$D$17:$D$192,$C979,'5. PERSON'!DW$17:DW$192),SUMIF('5. PERSON'!$D$17:$D$192,$C979,'5. PERSON'!BC$17:BC$192))</f>
        <v>0</v>
      </c>
      <c r="M982" s="903">
        <f t="shared" ref="M982:M987" si="161">SUM(C982:L982)</f>
        <v>0</v>
      </c>
      <c r="O982" s="904"/>
    </row>
    <row r="983" spans="2:15" s="234" customFormat="1" ht="12.75" customHeight="1" x14ac:dyDescent="0.25">
      <c r="B983" s="377" t="str">
        <f>IF('1. INTRO'!I$2="English","Operating","Drift")</f>
        <v>Operating</v>
      </c>
      <c r="C983" s="615">
        <f>SUMIF('6. OPERATION'!$D$17:$D$149,$C979,'6. OPERATION'!W$17:W$149)</f>
        <v>0</v>
      </c>
      <c r="D983" s="615">
        <f>SUMIF('6. OPERATION'!$D$17:$D$149,$C979,'6. OPERATION'!X$17:X$149)</f>
        <v>0</v>
      </c>
      <c r="E983" s="615">
        <f>SUMIF('6. OPERATION'!$D$17:$D$149,$C979,'6. OPERATION'!Y$17:Y$149)</f>
        <v>0</v>
      </c>
      <c r="F983" s="615">
        <f>SUMIF('6. OPERATION'!$D$17:$D$149,$C979,'6. OPERATION'!Z$17:Z$149)</f>
        <v>0</v>
      </c>
      <c r="G983" s="615">
        <f>SUMIF('6. OPERATION'!$D$17:$D$149,$C979,'6. OPERATION'!AA$17:AA$149)</f>
        <v>0</v>
      </c>
      <c r="H983" s="615">
        <f>SUMIF('6. OPERATION'!$D$17:$D$149,$C979,'6. OPERATION'!AB$17:AB$149)</f>
        <v>0</v>
      </c>
      <c r="I983" s="615">
        <f>SUMIF('6. OPERATION'!$D$17:$D$149,$C979,'6. OPERATION'!AC$17:AC$149)</f>
        <v>0</v>
      </c>
      <c r="J983" s="615">
        <f>SUMIF('6. OPERATION'!$D$17:$D$149,$C979,'6. OPERATION'!AD$17:AD$149)</f>
        <v>0</v>
      </c>
      <c r="K983" s="615">
        <f>SUMIF('6. OPERATION'!$D$17:$D$149,$C979,'6. OPERATION'!AE$17:AE$149)</f>
        <v>0</v>
      </c>
      <c r="L983" s="615">
        <f>SUMIF('6. OPERATION'!$D$17:$D$149,$C979,'6. OPERATION'!AF$17:AF$149)</f>
        <v>0</v>
      </c>
      <c r="M983" s="905">
        <f t="shared" si="161"/>
        <v>0</v>
      </c>
    </row>
    <row r="984" spans="2:15" s="234" customFormat="1" ht="13.2" x14ac:dyDescent="0.25">
      <c r="B984" s="906" t="str">
        <f>IF('1. INTRO'!I$2="English","Equipment","Utrustning")</f>
        <v>Equipment</v>
      </c>
      <c r="C984" s="620">
        <f>SUMIF('7. INVEST'!$D$17:$D$49,$C979,'7. INVEST'!W$17:W$49)</f>
        <v>0</v>
      </c>
      <c r="D984" s="620">
        <f>SUMIF('7. INVEST'!$D$17:$D$49,$C979,'7. INVEST'!X$17:X$49)</f>
        <v>0</v>
      </c>
      <c r="E984" s="620">
        <f>SUMIF('7. INVEST'!$D$17:$D$49,$C979,'7. INVEST'!Y$17:Y$49)</f>
        <v>0</v>
      </c>
      <c r="F984" s="620">
        <f>SUMIF('7. INVEST'!$D$17:$D$49,$C979,'7. INVEST'!Z$17:Z$49)</f>
        <v>0</v>
      </c>
      <c r="G984" s="620">
        <f>SUMIF('7. INVEST'!$D$17:$D$49,$C979,'7. INVEST'!AA$17:AA$49)</f>
        <v>0</v>
      </c>
      <c r="H984" s="620">
        <f>SUMIF('7. INVEST'!$D$17:$D$49,$C979,'7. INVEST'!AB$17:AB$49)</f>
        <v>0</v>
      </c>
      <c r="I984" s="620">
        <f>SUMIF('7. INVEST'!$D$17:$D$49,$C979,'7. INVEST'!AC$17:AC$49)</f>
        <v>0</v>
      </c>
      <c r="J984" s="620">
        <f>SUMIF('7. INVEST'!$D$17:$D$49,$C979,'7. INVEST'!AD$17:AD$49)</f>
        <v>0</v>
      </c>
      <c r="K984" s="620">
        <f>SUMIF('7. INVEST'!$D$17:$D$49,$C979,'7. INVEST'!AE$17:AE$49)</f>
        <v>0</v>
      </c>
      <c r="L984" s="620">
        <f>SUMIF('7. INVEST'!$D$17:$D$49,$C979,'7. INVEST'!AF$17:AF$49)</f>
        <v>0</v>
      </c>
      <c r="M984" s="907">
        <f t="shared" si="161"/>
        <v>0</v>
      </c>
    </row>
    <row r="985" spans="2:15" s="234" customFormat="1" ht="13.2" x14ac:dyDescent="0.25">
      <c r="B985" s="121" t="str">
        <f>IF('1. INTRO'!I$2="English",(IF('2. START'!C$11="NO","Facility accepted as direct cost by funding body","Facility")),IF('2. START'!C$11="NO","Lokal accepterad som direkt kostnad av finansiär","Lokal"))</f>
        <v>Facility</v>
      </c>
      <c r="C985" s="615">
        <f>IF('2. START'!$C$11="NO",SUMIF('8. FACILIT'!$D$18:$D$50,$C979,'8. FACILIT'!T$18:T$50),SUMIF('5. PERSON'!$D$17:$D$192,$C979,'5. PERSON'!CP$17:CP$192)+SUMIF('6. OPERATION'!$D$17:$D$149,$C979,'6. OPERATION'!BS$17:BS$149)+SUMIF('8. FACILIT'!$D$18:$D$50,$C979,'8. FACILIT'!T$18:T$50))</f>
        <v>0</v>
      </c>
      <c r="D985" s="615">
        <f>IF('2. START'!$C$11="NO",SUMIF('8. FACILIT'!$D$18:$D$50,$C979,'8. FACILIT'!U$18:U$50),SUMIF('5. PERSON'!$D$17:$D$192,$C979,'5. PERSON'!CQ$17:CQ$192)+SUMIF('6. OPERATION'!$D$17:$D$149,$C979,'6. OPERATION'!BT$17:BT$149)+SUMIF('8. FACILIT'!$D$18:$D$50,$C979,'8. FACILIT'!U$18:U$50))</f>
        <v>0</v>
      </c>
      <c r="E985" s="615">
        <f>IF('2. START'!$C$11="NO",SUMIF('8. FACILIT'!$D$18:$D$50,$C979,'8. FACILIT'!V$18:V$50),SUMIF('5. PERSON'!$D$17:$D$192,$C979,'5. PERSON'!CR$17:CR$192)+SUMIF('6. OPERATION'!$D$17:$D$149,$C979,'6. OPERATION'!BU$17:BU$149)+SUMIF('8. FACILIT'!$D$18:$D$50,$C979,'8. FACILIT'!V$18:V$50))</f>
        <v>0</v>
      </c>
      <c r="F985" s="615">
        <f>IF('2. START'!$C$11="NO",SUMIF('8. FACILIT'!$D$18:$D$50,$C979,'8. FACILIT'!W$18:W$50),SUMIF('5. PERSON'!$D$17:$D$192,$C979,'5. PERSON'!CS$17:CS$192)+SUMIF('6. OPERATION'!$D$17:$D$149,$C979,'6. OPERATION'!BV$17:BV$149)+SUMIF('8. FACILIT'!$D$18:$D$50,$C979,'8. FACILIT'!W$18:W$50))</f>
        <v>0</v>
      </c>
      <c r="G985" s="615">
        <f>IF('2. START'!$C$11="NO",SUMIF('8. FACILIT'!$D$18:$D$50,$C979,'8. FACILIT'!X$18:X$50),SUMIF('5. PERSON'!$D$17:$D$192,$C979,'5. PERSON'!CT$17:CT$192)+SUMIF('6. OPERATION'!$D$17:$D$149,$C979,'6. OPERATION'!BW$17:BW$149)+SUMIF('8. FACILIT'!$D$18:$D$50,$C979,'8. FACILIT'!X$18:X$50))</f>
        <v>0</v>
      </c>
      <c r="H985" s="615">
        <f>IF('2. START'!$C$11="NO",SUMIF('8. FACILIT'!$D$18:$D$50,$C979,'8. FACILIT'!Y$18:Y$50),SUMIF('5. PERSON'!$D$17:$D$192,$C979,'5. PERSON'!CU$17:CU$192)+SUMIF('6. OPERATION'!$D$17:$D$149,$C979,'6. OPERATION'!BX$17:BX$149)+SUMIF('8. FACILIT'!$D$18:$D$50,$C979,'8. FACILIT'!Y$18:Y$50))</f>
        <v>0</v>
      </c>
      <c r="I985" s="615">
        <f>IF('2. START'!$C$11="NO",SUMIF('8. FACILIT'!$D$18:$D$50,$C979,'8. FACILIT'!Z$18:Z$50),SUMIF('5. PERSON'!$D$17:$D$192,$C979,'5. PERSON'!CV$17:CV$192)+SUMIF('6. OPERATION'!$D$17:$D$149,$C979,'6. OPERATION'!BY$17:BY$149)+SUMIF('8. FACILIT'!$D$18:$D$50,$C979,'8. FACILIT'!Z$18:Z$50))</f>
        <v>0</v>
      </c>
      <c r="J985" s="615">
        <f>IF('2. START'!$C$11="NO",SUMIF('8. FACILIT'!$D$18:$D$50,$C979,'8. FACILIT'!AA$18:AA$50),SUMIF('5. PERSON'!$D$17:$D$192,$C979,'5. PERSON'!CW$17:CW$192)+SUMIF('6. OPERATION'!$D$17:$D$149,$C979,'6. OPERATION'!BZ$17:BZ$149)+SUMIF('8. FACILIT'!$D$18:$D$50,$C979,'8. FACILIT'!AA$18:AA$50))</f>
        <v>0</v>
      </c>
      <c r="K985" s="615">
        <f>IF('2. START'!$C$11="NO",SUMIF('8. FACILIT'!$D$18:$D$50,$C979,'8. FACILIT'!AB$18:AB$50),SUMIF('5. PERSON'!$D$17:$D$192,$C979,'5. PERSON'!CX$17:CX$192)+SUMIF('6. OPERATION'!$D$17:$D$149,$C979,'6. OPERATION'!CA$17:CA$149)+SUMIF('8. FACILIT'!$D$18:$D$50,$C979,'8. FACILIT'!AB$18:AB$50))</f>
        <v>0</v>
      </c>
      <c r="L985" s="615">
        <f>IF('2. START'!$C$11="NO",SUMIF('8. FACILIT'!$D$18:$D$50,$C979,'8. FACILIT'!AC$18:AC$50),SUMIF('5. PERSON'!$D$17:$D$192,$C979,'5. PERSON'!CY$17:CY$192)+SUMIF('6. OPERATION'!$D$17:$D$149,$C979,'6. OPERATION'!CB$17:CB$149)+SUMIF('8. FACILIT'!$D$18:$D$50,$C979,'8. FACILIT'!AC$18:AC$50))</f>
        <v>0</v>
      </c>
      <c r="M985" s="905">
        <f t="shared" si="161"/>
        <v>0</v>
      </c>
    </row>
    <row r="986" spans="2:15" s="234" customFormat="1" ht="13.2" x14ac:dyDescent="0.25">
      <c r="B986" s="122" t="str">
        <f>IF('1. INTRO'!I$2="English",(IF('2. START'!C$11="NO","Indirect and facility charge accepted as OH by funding body","Indirect")),IF('2. START'!C$11="NO","Indirekt och lokalpåslag accepterade som OH av finansiär","Indirekt"))</f>
        <v>Indirect</v>
      </c>
      <c r="C986" s="584">
        <f>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584">
        <f>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584">
        <f>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584">
        <f>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584">
        <f>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584">
        <f>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584">
        <f>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584">
        <f>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584">
        <f>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584">
        <f>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908">
        <f t="shared" si="161"/>
        <v>0</v>
      </c>
    </row>
    <row r="987" spans="2:15" s="234" customFormat="1" ht="13.2" x14ac:dyDescent="0.25">
      <c r="B987" s="628" t="s">
        <v>113</v>
      </c>
      <c r="C987" s="443">
        <f>SUM(C982:C986)</f>
        <v>0</v>
      </c>
      <c r="D987" s="443">
        <f t="shared" ref="D987:L987" si="162">SUM(D982:D986)</f>
        <v>0</v>
      </c>
      <c r="E987" s="443">
        <f t="shared" si="162"/>
        <v>0</v>
      </c>
      <c r="F987" s="443">
        <f t="shared" si="162"/>
        <v>0</v>
      </c>
      <c r="G987" s="443">
        <f t="shared" si="162"/>
        <v>0</v>
      </c>
      <c r="H987" s="443">
        <f t="shared" si="162"/>
        <v>0</v>
      </c>
      <c r="I987" s="443">
        <f t="shared" si="162"/>
        <v>0</v>
      </c>
      <c r="J987" s="443">
        <f t="shared" si="162"/>
        <v>0</v>
      </c>
      <c r="K987" s="443">
        <f t="shared" si="162"/>
        <v>0</v>
      </c>
      <c r="L987" s="443">
        <f t="shared" si="162"/>
        <v>0</v>
      </c>
      <c r="M987" s="630">
        <f t="shared" si="161"/>
        <v>0</v>
      </c>
    </row>
    <row r="988" spans="2:15" s="234" customFormat="1" ht="6" customHeight="1" x14ac:dyDescent="0.25">
      <c r="B988" s="909"/>
      <c r="C988" s="127"/>
      <c r="D988" s="127"/>
      <c r="E988" s="127"/>
      <c r="F988" s="127"/>
      <c r="G988" s="127"/>
      <c r="H988" s="127"/>
      <c r="I988" s="127"/>
      <c r="J988" s="127"/>
      <c r="K988" s="127"/>
      <c r="L988" s="127"/>
      <c r="M988" s="633"/>
    </row>
    <row r="989" spans="2:15" s="234" customFormat="1" ht="13.2" x14ac:dyDescent="0.25">
      <c r="B989" s="129" t="str">
        <f>IF('1. INTRO'!I$2="English","Costs to be co-funded","Kostnader att medfinansiera")</f>
        <v>Costs to be co-funded</v>
      </c>
      <c r="C989" s="634"/>
      <c r="D989" s="634"/>
      <c r="E989" s="634"/>
      <c r="F989" s="634"/>
      <c r="G989" s="634"/>
      <c r="H989" s="634"/>
      <c r="I989" s="634"/>
      <c r="J989" s="634"/>
      <c r="K989" s="634"/>
      <c r="L989" s="634"/>
      <c r="M989" s="129"/>
    </row>
    <row r="990" spans="2:15" s="234" customFormat="1" ht="13.2" x14ac:dyDescent="0.25">
      <c r="B990" s="159" t="str">
        <f>IF('1. INTRO'!I$2="English",(IF('2. START'!C$11="NO","Indirect and facility charge not accepted as OH by funding body","")),IF('2. START'!C$11="NO","Indirekt och lokalpåslag inte accepterade som OH av finansiär",""))</f>
        <v/>
      </c>
      <c r="C990" s="910">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910">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910">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910">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910">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910">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910">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910">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910">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910">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903">
        <f t="shared" ref="M990:M996" si="163">SUM(C990:L990)</f>
        <v>0</v>
      </c>
    </row>
    <row r="991" spans="2:15" s="234" customFormat="1" ht="12.75" customHeight="1" x14ac:dyDescent="0.25">
      <c r="B991" s="132" t="str">
        <f>IF('1. INTRO'!I$2="English",(IF('2. START'!C$14&gt;0,"Social costs (LKP) not accepted by funding body","")),IF('2. START'!C$14&gt;0,"LKP som inte accepteras av finansiär",""))</f>
        <v/>
      </c>
      <c r="C991" s="911">
        <f>IF('2. START'!$C$14&gt;0,SUMIF('5. PERSON'!$D$17:$D$192,$C979,'5. PERSON'!AT$17:AT$192)-SUMIF('5. PERSON'!$D$17:$D$192,$C979,'5. PERSON'!DN$17:DN$192),0)</f>
        <v>0</v>
      </c>
      <c r="D991" s="911">
        <f>IF('2. START'!$C$14&gt;0,SUMIF('5. PERSON'!$D$17:$D$192,$C979,'5. PERSON'!AU$17:AU$192)-SUMIF('5. PERSON'!$D$17:$D$192,$C979,'5. PERSON'!DO$17:DO$192),0)</f>
        <v>0</v>
      </c>
      <c r="E991" s="911">
        <f>IF('2. START'!$C$14&gt;0,SUMIF('5. PERSON'!$D$17:$D$192,$C979,'5. PERSON'!AV$17:AV$192)-SUMIF('5. PERSON'!$D$17:$D$192,$C979,'5. PERSON'!DP$17:DP$192),0)</f>
        <v>0</v>
      </c>
      <c r="F991" s="911">
        <f>IF('2. START'!$C$14&gt;0,SUMIF('5. PERSON'!$D$17:$D$192,$C979,'5. PERSON'!AW$17:AW$192)-SUMIF('5. PERSON'!$D$17:$D$192,$C979,'5. PERSON'!DQ$17:DQ$192),0)</f>
        <v>0</v>
      </c>
      <c r="G991" s="911">
        <f>IF('2. START'!$C$14&gt;0,SUMIF('5. PERSON'!$D$17:$D$192,$C979,'5. PERSON'!AX$17:AX$192)-SUMIF('5. PERSON'!$D$17:$D$192,$C979,'5. PERSON'!DR$17:DR$192),0)</f>
        <v>0</v>
      </c>
      <c r="H991" s="911">
        <f>IF('2. START'!$C$14&gt;0,SUMIF('5. PERSON'!$D$17:$D$192,$C979,'5. PERSON'!AY$17:AY$192)-SUMIF('5. PERSON'!$D$17:$D$192,$C979,'5. PERSON'!DS$17:DS$192),0)</f>
        <v>0</v>
      </c>
      <c r="I991" s="911">
        <f>IF('2. START'!$C$14&gt;0,SUMIF('5. PERSON'!$D$17:$D$192,$C979,'5. PERSON'!AZ$17:AZ$192)-SUMIF('5. PERSON'!$D$17:$D$192,$C979,'5. PERSON'!DT$17:DT$192),0)</f>
        <v>0</v>
      </c>
      <c r="J991" s="911">
        <f>IF('2. START'!$C$14&gt;0,SUMIF('5. PERSON'!$D$17:$D$192,$C979,'5. PERSON'!BA$17:BA$192)-SUMIF('5. PERSON'!$D$17:$D$192,$C979,'5. PERSON'!DU$17:DU$192),0)</f>
        <v>0</v>
      </c>
      <c r="K991" s="911">
        <f>IF('2. START'!$C$14&gt;0,SUMIF('5. PERSON'!$D$17:$D$192,$C979,'5. PERSON'!BB$17:BB$192)-SUMIF('5. PERSON'!$D$17:$D$192,$C979,'5. PERSON'!DV$17:DV$192),0)</f>
        <v>0</v>
      </c>
      <c r="L991" s="911">
        <f>IF('2. START'!$C$14&gt;0,SUMIF('5. PERSON'!$D$17:$D$192,$C979,'5. PERSON'!BC$17:BC$192)-SUMIF('5. PERSON'!$D$17:$D$192,$C979,'5. PERSON'!DW$17:DW$192),0)</f>
        <v>0</v>
      </c>
      <c r="M991" s="905">
        <f t="shared" si="163"/>
        <v>0</v>
      </c>
    </row>
    <row r="992" spans="2:15" s="234" customFormat="1" ht="12.75" customHeight="1" x14ac:dyDescent="0.25">
      <c r="B992" s="906" t="str">
        <f>IF('1. INTRO'!I$2="English",(IF('5. PERSON'!BP$193&gt;0,"Salary including social costs (LKP)","")),IF('5. PERSON'!BP$193&gt;0,"Lön inklusive LKP",""))</f>
        <v/>
      </c>
      <c r="C992" s="622">
        <f>SUMIF('5. PERSON'!$D$17:$D$192,$C979,'5. PERSON'!BF$17:BF$192)</f>
        <v>0</v>
      </c>
      <c r="D992" s="622">
        <f>SUMIF('5. PERSON'!$D$17:$D$192,$C979,'5. PERSON'!BG$17:BG$192)</f>
        <v>0</v>
      </c>
      <c r="E992" s="622">
        <f>SUMIF('5. PERSON'!$D$17:$D$192,$C979,'5. PERSON'!BH$17:BH$192)</f>
        <v>0</v>
      </c>
      <c r="F992" s="622">
        <f>SUMIF('5. PERSON'!$D$17:$D$192,$C979,'5. PERSON'!BI$17:BI$192)</f>
        <v>0</v>
      </c>
      <c r="G992" s="622">
        <f>SUMIF('5. PERSON'!$D$17:$D$192,$C979,'5. PERSON'!BJ$17:BJ$192)</f>
        <v>0</v>
      </c>
      <c r="H992" s="622">
        <f>SUMIF('5. PERSON'!$D$17:$D$192,$C979,'5. PERSON'!BK$17:BK$192)</f>
        <v>0</v>
      </c>
      <c r="I992" s="622">
        <f>SUMIF('5. PERSON'!$D$17:$D$192,$C979,'5. PERSON'!BL$17:BL$192)</f>
        <v>0</v>
      </c>
      <c r="J992" s="622">
        <f>SUMIF('5. PERSON'!$D$17:$D$192,$C979,'5. PERSON'!BM$17:BM$192)</f>
        <v>0</v>
      </c>
      <c r="K992" s="622">
        <f>SUMIF('5. PERSON'!$D$17:$D$192,$C979,'5. PERSON'!BN$17:BN$192)</f>
        <v>0</v>
      </c>
      <c r="L992" s="622">
        <f>SUMIF('5. PERSON'!$D$17:$D$192,$C979,'5. PERSON'!BO$17:BO$192)</f>
        <v>0</v>
      </c>
      <c r="M992" s="907">
        <f t="shared" si="163"/>
        <v>0</v>
      </c>
    </row>
    <row r="993" spans="2:15" s="234" customFormat="1" ht="13.2" x14ac:dyDescent="0.25">
      <c r="B993" s="377" t="str">
        <f>IF('1. INTRO'!I$2="English",(IF('6. OPERATION'!AS$150&gt;0,"Operating","")),IF('6. OPERATION'!AS$150&gt;0,"Drift",""))</f>
        <v/>
      </c>
      <c r="C993" s="617">
        <f>SUMIF('6. OPERATION'!$D$17:$D$149,$C979,'6. OPERATION'!AI$17:AI$149)</f>
        <v>0</v>
      </c>
      <c r="D993" s="617">
        <f>SUMIF('6. OPERATION'!$D$17:$D$149,$C979,'6. OPERATION'!AJ$17:AJ$149)</f>
        <v>0</v>
      </c>
      <c r="E993" s="617">
        <f>SUMIF('6. OPERATION'!$D$17:$D$149,$C979,'6. OPERATION'!AK$17:AK$149)</f>
        <v>0</v>
      </c>
      <c r="F993" s="617">
        <f>SUMIF('6. OPERATION'!$D$17:$D$149,$C979,'6. OPERATION'!AL$17:AL$149)</f>
        <v>0</v>
      </c>
      <c r="G993" s="617">
        <f>SUMIF('6. OPERATION'!$D$17:$D$149,$C979,'6. OPERATION'!AM$17:AM$149)</f>
        <v>0</v>
      </c>
      <c r="H993" s="617">
        <f>SUMIF('6. OPERATION'!$D$17:$D$149,$C979,'6. OPERATION'!AN$17:AN$149)</f>
        <v>0</v>
      </c>
      <c r="I993" s="617">
        <f>SUMIF('6. OPERATION'!$D$17:$D$149,$C979,'6. OPERATION'!AO$17:AO$149)</f>
        <v>0</v>
      </c>
      <c r="J993" s="617">
        <f>SUMIF('6. OPERATION'!$D$17:$D$149,$C979,'6. OPERATION'!AP$17:AP$149)</f>
        <v>0</v>
      </c>
      <c r="K993" s="617">
        <f>SUMIF('6. OPERATION'!$D$17:$D$149,$C979,'6. OPERATION'!AQ$17:AQ$149)</f>
        <v>0</v>
      </c>
      <c r="L993" s="617">
        <f>SUMIF('6. OPERATION'!$D$17:$D$149,$C979,'6. OPERATION'!AR$17:AR$149)</f>
        <v>0</v>
      </c>
      <c r="M993" s="905">
        <f t="shared" si="163"/>
        <v>0</v>
      </c>
    </row>
    <row r="994" spans="2:15" s="234" customFormat="1" ht="13.2" x14ac:dyDescent="0.25">
      <c r="B994" s="906" t="str">
        <f>IF('1. INTRO'!I$2="English",(IF('7. INVEST'!AS$50&gt;0,"Equipment","")),IF('7. INVEST'!AS$50&gt;0,"Utrustning",""))</f>
        <v/>
      </c>
      <c r="C994" s="622">
        <f>SUMIF('7. INVEST'!$D$17:$D$49,$C979,'7. INVEST'!AI$17:AI$49)</f>
        <v>0</v>
      </c>
      <c r="D994" s="622">
        <f>SUMIF('7. INVEST'!$D$17:$D$49,$C979,'7. INVEST'!AJ$17:AJ$49)</f>
        <v>0</v>
      </c>
      <c r="E994" s="622">
        <f>SUMIF('7. INVEST'!$D$17:$D$49,$C979,'7. INVEST'!AK$17:AK$49)</f>
        <v>0</v>
      </c>
      <c r="F994" s="622">
        <f>SUMIF('7. INVEST'!$D$17:$D$49,$C979,'7. INVEST'!AL$17:AL$49)</f>
        <v>0</v>
      </c>
      <c r="G994" s="622">
        <f>SUMIF('7. INVEST'!$D$17:$D$49,$C979,'7. INVEST'!AM$17:AM$49)</f>
        <v>0</v>
      </c>
      <c r="H994" s="622">
        <f>SUMIF('7. INVEST'!$D$17:$D$49,$C979,'7. INVEST'!AN$17:AN$49)</f>
        <v>0</v>
      </c>
      <c r="I994" s="622">
        <f>SUMIF('7. INVEST'!$D$17:$D$49,$C979,'7. INVEST'!AO$17:AO$49)</f>
        <v>0</v>
      </c>
      <c r="J994" s="622">
        <f>SUMIF('7. INVEST'!$D$17:$D$49,$C979,'7. INVEST'!AP$17:AP$49)</f>
        <v>0</v>
      </c>
      <c r="K994" s="622">
        <f>SUMIF('7. INVEST'!$D$17:$D$49,$C979,'7. INVEST'!AQ$17:AQ$49)</f>
        <v>0</v>
      </c>
      <c r="L994" s="622">
        <f>SUMIF('7. INVEST'!$D$17:$D$49,$C979,'7. INVEST'!AR$17:AR$49)</f>
        <v>0</v>
      </c>
      <c r="M994" s="907">
        <f t="shared" si="163"/>
        <v>0</v>
      </c>
    </row>
    <row r="995" spans="2:15" s="234" customFormat="1" ht="13.2" x14ac:dyDescent="0.25">
      <c r="B995" s="121" t="str">
        <f>IF('1. INTRO'!I$2="English",(IF('8. FACILIT'!AP$51&gt;0,"Facility","")),IF('8. FACILIT'!AP$51&gt;0,"Lokal",""))</f>
        <v/>
      </c>
      <c r="C995" s="617">
        <f>SUMIF('5. PERSON'!$D$17:$D$192,$C979,'5. PERSON'!DB$17:DB$192)+SUMIF('6. OPERATION'!$D$17:$D$149,$C979,'6. OPERATION'!CE$17:CE$149)+SUMIF('8. FACILIT'!$D$18:$D$50,$C979,'8. FACILIT'!AF$18:AF$50)</f>
        <v>0</v>
      </c>
      <c r="D995" s="617">
        <f>SUMIF('5. PERSON'!$D$17:$D$192,$C979,'5. PERSON'!DC$17:DC$192)+SUMIF('6. OPERATION'!$D$17:$D$149,$C979,'6. OPERATION'!CF$17:CF$149)+SUMIF('8. FACILIT'!$D$18:$D$50,$C979,'8. FACILIT'!AG$18:AG$50)</f>
        <v>0</v>
      </c>
      <c r="E995" s="617">
        <f>SUMIF('5. PERSON'!$D$17:$D$192,$C979,'5. PERSON'!DD$17:DD$192)+SUMIF('6. OPERATION'!$D$17:$D$149,$C979,'6. OPERATION'!CG$17:CG$149)+SUMIF('8. FACILIT'!$D$18:$D$50,$C979,'8. FACILIT'!AH$18:AH$50)</f>
        <v>0</v>
      </c>
      <c r="F995" s="617">
        <f>SUMIF('5. PERSON'!$D$17:$D$192,$C979,'5. PERSON'!DE$17:DE$192)+SUMIF('6. OPERATION'!$D$17:$D$149,$C979,'6. OPERATION'!CH$17:CH$149)+SUMIF('8. FACILIT'!$D$18:$D$50,$C979,'8. FACILIT'!AI$18:AI$50)</f>
        <v>0</v>
      </c>
      <c r="G995" s="617">
        <f>SUMIF('5. PERSON'!$D$17:$D$192,$C979,'5. PERSON'!DF$17:DF$192)+SUMIF('6. OPERATION'!$D$17:$D$149,$C979,'6. OPERATION'!CI$17:CI$149)+SUMIF('8. FACILIT'!$D$18:$D$50,$C979,'8. FACILIT'!AJ$18:AJ$50)</f>
        <v>0</v>
      </c>
      <c r="H995" s="617">
        <f>SUMIF('5. PERSON'!$D$17:$D$192,$C979,'5. PERSON'!DG$17:DG$192)+SUMIF('6. OPERATION'!$D$17:$D$149,$C979,'6. OPERATION'!CJ$17:CJ$149)+SUMIF('8. FACILIT'!$D$18:$D$50,$C979,'8. FACILIT'!AK$18:AK$50)</f>
        <v>0</v>
      </c>
      <c r="I995" s="617">
        <f>SUMIF('5. PERSON'!$D$17:$D$192,$C979,'5. PERSON'!DH$17:DH$192)+SUMIF('6. OPERATION'!$D$17:$D$149,$C979,'6. OPERATION'!CK$17:CK$149)+SUMIF('8. FACILIT'!$D$18:$D$50,$C979,'8. FACILIT'!AL$18:AL$50)</f>
        <v>0</v>
      </c>
      <c r="J995" s="617">
        <f>SUMIF('5. PERSON'!$D$17:$D$192,$C979,'5. PERSON'!DI$17:DI$192)+SUMIF('6. OPERATION'!$D$17:$D$149,$C979,'6. OPERATION'!CL$17:CL$149)+SUMIF('8. FACILIT'!$D$18:$D$50,$C979,'8. FACILIT'!AM$18:AM$50)</f>
        <v>0</v>
      </c>
      <c r="K995" s="617">
        <f>SUMIF('5. PERSON'!$D$17:$D$192,$C979,'5. PERSON'!DJ$17:DJ$192)+SUMIF('6. OPERATION'!$D$17:$D$149,$C979,'6. OPERATION'!CM$17:CM$149)+SUMIF('8. FACILIT'!$D$18:$D$50,$C979,'8. FACILIT'!AN$18:AN$50)</f>
        <v>0</v>
      </c>
      <c r="L995" s="617">
        <f>SUMIF('5. PERSON'!$D$17:$D$192,$C979,'5. PERSON'!DK$17:DK$192)+SUMIF('6. OPERATION'!$D$17:$D$149,$C979,'6. OPERATION'!CN$17:CN$149)+SUMIF('8. FACILIT'!$D$18:$D$50,$C979,'8. FACILIT'!AO$18:AO$50)</f>
        <v>0</v>
      </c>
      <c r="M995" s="905">
        <f t="shared" si="163"/>
        <v>0</v>
      </c>
    </row>
    <row r="996" spans="2:15" s="912" customFormat="1" ht="13.2" x14ac:dyDescent="0.25">
      <c r="B996" s="122" t="str">
        <f>IF('1. INTRO'!I$2="English",(IF(('5. PERSON'!CN$193+'6. OPERATION'!BQ$150)&gt;0,"Indirect","")),IF(('5. PERSON'!CN$193+'6. OPERATION'!BQ$150)&gt;0,"Indirekt",""))</f>
        <v/>
      </c>
      <c r="C996" s="584">
        <f>SUMIF('5. PERSON'!$D$17:$D$192,$C979,'5. PERSON'!CD$17:CD$192)+SUMIF('6. OPERATION'!$D$17:$D$149,$C979,'6. OPERATION'!BG$17:BG$149)</f>
        <v>0</v>
      </c>
      <c r="D996" s="584">
        <f>SUMIF('5. PERSON'!$D$17:$D$192,$C979,'5. PERSON'!CE$17:CE$192)+SUMIF('6. OPERATION'!$D$17:$D$149,$C979,'6. OPERATION'!BH$17:BH$149)</f>
        <v>0</v>
      </c>
      <c r="E996" s="584">
        <f>SUMIF('5. PERSON'!$D$17:$D$192,$C979,'5. PERSON'!CF$17:CF$192)+SUMIF('6. OPERATION'!$D$17:$D$149,$C979,'6. OPERATION'!BI$17:BI$149)</f>
        <v>0</v>
      </c>
      <c r="F996" s="584">
        <f>SUMIF('5. PERSON'!$D$17:$D$192,$C979,'5. PERSON'!CG$17:CG$192)+SUMIF('6. OPERATION'!$D$17:$D$149,$C979,'6. OPERATION'!BJ$17:BJ$149)</f>
        <v>0</v>
      </c>
      <c r="G996" s="584">
        <f>SUMIF('5. PERSON'!$D$17:$D$192,$C979,'5. PERSON'!CH$17:CH$192)+SUMIF('6. OPERATION'!$D$17:$D$149,$C979,'6. OPERATION'!BK$17:BK$149)</f>
        <v>0</v>
      </c>
      <c r="H996" s="584">
        <f>SUMIF('5. PERSON'!$D$17:$D$192,$C979,'5. PERSON'!CI$17:CI$192)+SUMIF('6. OPERATION'!$D$17:$D$149,$C979,'6. OPERATION'!BL$17:BL$149)</f>
        <v>0</v>
      </c>
      <c r="I996" s="584">
        <f>SUMIF('5. PERSON'!$D$17:$D$192,$C979,'5. PERSON'!CJ$17:CJ$192)+SUMIF('6. OPERATION'!$D$17:$D$149,$C979,'6. OPERATION'!BM$17:BM$149)</f>
        <v>0</v>
      </c>
      <c r="J996" s="584">
        <f>SUMIF('5. PERSON'!$D$17:$D$192,$C979,'5. PERSON'!CK$17:CK$192)+SUMIF('6. OPERATION'!$D$17:$D$149,$C979,'6. OPERATION'!BN$17:BN$149)</f>
        <v>0</v>
      </c>
      <c r="K996" s="584">
        <f>SUMIF('5. PERSON'!$D$17:$D$192,$C979,'5. PERSON'!CL$17:CL$192)+SUMIF('6. OPERATION'!$D$17:$D$149,$C979,'6. OPERATION'!BO$17:BO$149)</f>
        <v>0</v>
      </c>
      <c r="L996" s="584">
        <f>SUMIF('5. PERSON'!$D$17:$D$192,$C979,'5. PERSON'!CM$17:CM$192)+SUMIF('6. OPERATION'!$D$17:$D$149,$C979,'6. OPERATION'!BP$17:BP$149)</f>
        <v>0</v>
      </c>
      <c r="M996" s="908">
        <f t="shared" si="163"/>
        <v>0</v>
      </c>
    </row>
    <row r="997" spans="2:15" s="234" customFormat="1" ht="13.2" x14ac:dyDescent="0.25">
      <c r="B997" s="628" t="s">
        <v>113</v>
      </c>
      <c r="C997" s="443">
        <f>SUM(C990:C996)</f>
        <v>0</v>
      </c>
      <c r="D997" s="443">
        <f t="shared" ref="D997:M997" si="164">SUM(D990:D996)</f>
        <v>0</v>
      </c>
      <c r="E997" s="443">
        <f t="shared" si="164"/>
        <v>0</v>
      </c>
      <c r="F997" s="443">
        <f t="shared" si="164"/>
        <v>0</v>
      </c>
      <c r="G997" s="443">
        <f t="shared" si="164"/>
        <v>0</v>
      </c>
      <c r="H997" s="443">
        <f t="shared" si="164"/>
        <v>0</v>
      </c>
      <c r="I997" s="443">
        <f t="shared" si="164"/>
        <v>0</v>
      </c>
      <c r="J997" s="443">
        <f t="shared" si="164"/>
        <v>0</v>
      </c>
      <c r="K997" s="443">
        <f t="shared" si="164"/>
        <v>0</v>
      </c>
      <c r="L997" s="443">
        <f t="shared" si="164"/>
        <v>0</v>
      </c>
      <c r="M997" s="630">
        <f t="shared" si="164"/>
        <v>0</v>
      </c>
      <c r="N997" s="913"/>
      <c r="O997" s="913"/>
    </row>
    <row r="998" spans="2:15" s="234" customFormat="1" ht="6" customHeight="1" x14ac:dyDescent="0.25">
      <c r="B998" s="914"/>
      <c r="C998" s="127"/>
      <c r="D998" s="127"/>
      <c r="E998" s="127"/>
      <c r="F998" s="127"/>
      <c r="G998" s="127"/>
      <c r="H998" s="127"/>
      <c r="I998" s="127"/>
      <c r="J998" s="127"/>
      <c r="K998" s="127"/>
      <c r="L998" s="127"/>
      <c r="M998" s="636"/>
    </row>
    <row r="999" spans="2:15" s="234" customFormat="1" ht="13.2" x14ac:dyDescent="0.25">
      <c r="B999" s="129" t="str">
        <f>IF('1. INTRO'!I$2="English","Full cost","Full kostnad")</f>
        <v>Full cost</v>
      </c>
      <c r="C999" s="127"/>
      <c r="D999" s="127"/>
      <c r="E999" s="127"/>
      <c r="F999" s="127"/>
      <c r="G999" s="127"/>
      <c r="H999" s="127"/>
      <c r="I999" s="127"/>
      <c r="J999" s="127"/>
      <c r="K999" s="127"/>
      <c r="L999" s="127"/>
      <c r="M999" s="636"/>
    </row>
    <row r="1000" spans="2:15" s="234" customFormat="1" ht="13.2" x14ac:dyDescent="0.25">
      <c r="B1000" s="902" t="str">
        <f>IF('1. INTRO'!I$2="English","Salary including social costs (LKP)","Lön inklusive LKP")</f>
        <v>Salary including social costs (LKP)</v>
      </c>
      <c r="C1000" s="138">
        <f>C982+C991+C992</f>
        <v>0</v>
      </c>
      <c r="D1000" s="138">
        <f t="shared" ref="D1000:L1000" si="165">D982+D991+D992</f>
        <v>0</v>
      </c>
      <c r="E1000" s="138">
        <f t="shared" si="165"/>
        <v>0</v>
      </c>
      <c r="F1000" s="138">
        <f t="shared" si="165"/>
        <v>0</v>
      </c>
      <c r="G1000" s="138">
        <f t="shared" si="165"/>
        <v>0</v>
      </c>
      <c r="H1000" s="138">
        <f t="shared" si="165"/>
        <v>0</v>
      </c>
      <c r="I1000" s="138">
        <f t="shared" si="165"/>
        <v>0</v>
      </c>
      <c r="J1000" s="138">
        <f t="shared" si="165"/>
        <v>0</v>
      </c>
      <c r="K1000" s="138">
        <f t="shared" si="165"/>
        <v>0</v>
      </c>
      <c r="L1000" s="138">
        <f t="shared" si="165"/>
        <v>0</v>
      </c>
      <c r="M1000" s="903">
        <f>SUM(C1000:L1000)</f>
        <v>0</v>
      </c>
    </row>
    <row r="1001" spans="2:15" s="234" customFormat="1" ht="13.2" x14ac:dyDescent="0.25">
      <c r="B1001" s="377" t="str">
        <f>IF('1. INTRO'!I$2="English","Operating","Drift")</f>
        <v>Operating</v>
      </c>
      <c r="C1001" s="139">
        <f>C983+C993</f>
        <v>0</v>
      </c>
      <c r="D1001" s="139">
        <f t="shared" ref="D1001:L1001" si="166">D983+D993</f>
        <v>0</v>
      </c>
      <c r="E1001" s="139">
        <f t="shared" si="166"/>
        <v>0</v>
      </c>
      <c r="F1001" s="139">
        <f t="shared" si="166"/>
        <v>0</v>
      </c>
      <c r="G1001" s="139">
        <f t="shared" si="166"/>
        <v>0</v>
      </c>
      <c r="H1001" s="139">
        <f t="shared" si="166"/>
        <v>0</v>
      </c>
      <c r="I1001" s="139">
        <f t="shared" si="166"/>
        <v>0</v>
      </c>
      <c r="J1001" s="139">
        <f t="shared" si="166"/>
        <v>0</v>
      </c>
      <c r="K1001" s="139">
        <f t="shared" si="166"/>
        <v>0</v>
      </c>
      <c r="L1001" s="139">
        <f t="shared" si="166"/>
        <v>0</v>
      </c>
      <c r="M1001" s="905">
        <f>SUM(C1001:L1001)</f>
        <v>0</v>
      </c>
    </row>
    <row r="1002" spans="2:15" s="234" customFormat="1" ht="13.2" x14ac:dyDescent="0.25">
      <c r="B1002" s="906" t="str">
        <f>IF('1. INTRO'!I$2="English","Equipment","Utrustning")</f>
        <v>Equipment</v>
      </c>
      <c r="C1002" s="140">
        <f>C984+C994</f>
        <v>0</v>
      </c>
      <c r="D1002" s="140">
        <f t="shared" ref="D1002:L1002" si="167">D984+D994</f>
        <v>0</v>
      </c>
      <c r="E1002" s="140">
        <f t="shared" si="167"/>
        <v>0</v>
      </c>
      <c r="F1002" s="140">
        <f t="shared" si="167"/>
        <v>0</v>
      </c>
      <c r="G1002" s="140">
        <f t="shared" si="167"/>
        <v>0</v>
      </c>
      <c r="H1002" s="140">
        <f t="shared" si="167"/>
        <v>0</v>
      </c>
      <c r="I1002" s="140">
        <f t="shared" si="167"/>
        <v>0</v>
      </c>
      <c r="J1002" s="140">
        <f t="shared" si="167"/>
        <v>0</v>
      </c>
      <c r="K1002" s="140">
        <f t="shared" si="167"/>
        <v>0</v>
      </c>
      <c r="L1002" s="140">
        <f t="shared" si="167"/>
        <v>0</v>
      </c>
      <c r="M1002" s="907">
        <f>SUM(C1002:L1002)</f>
        <v>0</v>
      </c>
    </row>
    <row r="1003" spans="2:15" s="234" customFormat="1" ht="13.2" x14ac:dyDescent="0.25">
      <c r="B1003" s="377" t="str">
        <f>IF('1. INTRO'!I$2="English","Facility","Lokal")</f>
        <v>Facility</v>
      </c>
      <c r="C1003" s="139">
        <f>SUMIF('5. PERSON'!$D$17:$D$192,$C979,'5. PERSON'!CP$17:CP$192)+SUMIF('5. PERSON'!$D$17:$D$192,$C979,'5. PERSON'!DB$17:DB$192)+SUMIF('6. OPERATION'!$D$17:$D$149,$C979,'6. OPERATION'!BS$17:BS$149)+SUMIF('6. OPERATION'!$D$17:$D$149,$C979,'6. OPERATION'!CE$17:CE$149)+SUMIF('8. FACILIT'!$D$18:$D$50,$C979,'8. FACILIT'!T$18:T$50)+SUMIF('8. FACILIT'!$D$18:$D$50,$C979,'8. FACILIT'!AF$18:AF$50)</f>
        <v>0</v>
      </c>
      <c r="D1003" s="139">
        <f>SUMIF('5. PERSON'!$D$17:$D$192,$C979,'5. PERSON'!CQ$17:CQ$192)+SUMIF('5. PERSON'!$D$17:$D$192,$C979,'5. PERSON'!DC$17:DC$192)+SUMIF('6. OPERATION'!$D$17:$D$149,$C979,'6. OPERATION'!BT$17:BT$149)+SUMIF('6. OPERATION'!$D$17:$D$149,$C979,'6. OPERATION'!CF$17:CF$149)+SUMIF('8. FACILIT'!$D$18:$D$50,$C979,'8. FACILIT'!U$18:U$50)+SUMIF('8. FACILIT'!$D$18:$D$50,$C979,'8. FACILIT'!AG$18:AG$50)</f>
        <v>0</v>
      </c>
      <c r="E1003" s="139">
        <f>SUMIF('5. PERSON'!$D$17:$D$192,$C979,'5. PERSON'!CR$17:CR$192)+SUMIF('5. PERSON'!$D$17:$D$192,$C979,'5. PERSON'!DD$17:DD$192)+SUMIF('6. OPERATION'!$D$17:$D$149,$C979,'6. OPERATION'!BU$17:BU$149)+SUMIF('6. OPERATION'!$D$17:$D$149,$C979,'6. OPERATION'!CG$17:CG$149)+SUMIF('8. FACILIT'!$D$18:$D$50,$C979,'8. FACILIT'!V$18:V$50)+SUMIF('8. FACILIT'!$D$18:$D$50,$C979,'8. FACILIT'!AH$18:AH$50)</f>
        <v>0</v>
      </c>
      <c r="F1003" s="139">
        <f>SUMIF('5. PERSON'!$D$17:$D$192,$C979,'5. PERSON'!CS$17:CS$192)+SUMIF('5. PERSON'!$D$17:$D$192,$C979,'5. PERSON'!DE$17:DE$192)+SUMIF('6. OPERATION'!$D$17:$D$149,$C979,'6. OPERATION'!BV$17:BV$149)+SUMIF('6. OPERATION'!$D$17:$D$149,$C979,'6. OPERATION'!CH$17:CH$149)+SUMIF('8. FACILIT'!$D$18:$D$50,$C979,'8. FACILIT'!W$18:W$50)+SUMIF('8. FACILIT'!$D$18:$D$50,$C979,'8. FACILIT'!AI$18:AI$50)</f>
        <v>0</v>
      </c>
      <c r="G1003" s="139">
        <f>SUMIF('5. PERSON'!$D$17:$D$192,$C979,'5. PERSON'!CT$17:CT$192)+SUMIF('5. PERSON'!$D$17:$D$192,$C979,'5. PERSON'!DF$17:DF$192)+SUMIF('6. OPERATION'!$D$17:$D$149,$C979,'6. OPERATION'!BW$17:BW$149)+SUMIF('6. OPERATION'!$D$17:$D$149,$C979,'6. OPERATION'!CI$17:CI$149)+SUMIF('8. FACILIT'!$D$18:$D$50,$C979,'8. FACILIT'!X$18:X$50)+SUMIF('8. FACILIT'!$D$18:$D$50,$C979,'8. FACILIT'!AJ$18:AJ$50)</f>
        <v>0</v>
      </c>
      <c r="H1003" s="139">
        <f>SUMIF('5. PERSON'!$D$17:$D$192,$C979,'5. PERSON'!CU$17:CU$192)+SUMIF('5. PERSON'!$D$17:$D$192,$C979,'5. PERSON'!DG$17:DG$192)+SUMIF('6. OPERATION'!$D$17:$D$149,$C979,'6. OPERATION'!BX$17:BX$149)+SUMIF('6. OPERATION'!$D$17:$D$149,$C979,'6. OPERATION'!CJ$17:CJ$149)+SUMIF('8. FACILIT'!$D$18:$D$50,$C979,'8. FACILIT'!Y$18:Y$50)+SUMIF('8. FACILIT'!$D$18:$D$50,$C979,'8. FACILIT'!AK$18:AK$50)</f>
        <v>0</v>
      </c>
      <c r="I1003" s="139">
        <f>SUMIF('5. PERSON'!$D$17:$D$192,$C979,'5. PERSON'!CV$17:CV$192)+SUMIF('5. PERSON'!$D$17:$D$192,$C979,'5. PERSON'!DH$17:DH$192)+SUMIF('6. OPERATION'!$D$17:$D$149,$C979,'6. OPERATION'!BY$17:BY$149)+SUMIF('6. OPERATION'!$D$17:$D$149,$C979,'6. OPERATION'!CK$17:CK$149)+SUMIF('8. FACILIT'!$D$18:$D$50,$C979,'8. FACILIT'!Z$18:Z$50)+SUMIF('8. FACILIT'!$D$18:$D$50,$C979,'8. FACILIT'!AL$18:AL$50)</f>
        <v>0</v>
      </c>
      <c r="J1003" s="139">
        <f>SUMIF('5. PERSON'!$D$17:$D$192,$C979,'5. PERSON'!CW$17:CW$192)+SUMIF('5. PERSON'!$D$17:$D$192,$C979,'5. PERSON'!DI$17:DI$192)+SUMIF('6. OPERATION'!$D$17:$D$149,$C979,'6. OPERATION'!BZ$17:BZ$149)+SUMIF('6. OPERATION'!$D$17:$D$149,$C979,'6. OPERATION'!CL$17:CL$149)+SUMIF('8. FACILIT'!$D$18:$D$50,$C979,'8. FACILIT'!AA$18:AA$50)+SUMIF('8. FACILIT'!$D$18:$D$50,$C979,'8. FACILIT'!AM$18:AM$50)</f>
        <v>0</v>
      </c>
      <c r="K1003" s="139">
        <f>SUMIF('5. PERSON'!$D$17:$D$192,$C979,'5. PERSON'!CX$17:CX$192)+SUMIF('5. PERSON'!$D$17:$D$192,$C979,'5. PERSON'!DJ$17:DJ$192)+SUMIF('6. OPERATION'!$D$17:$D$149,$C979,'6. OPERATION'!CA$17:CA$149)+SUMIF('6. OPERATION'!$D$17:$D$149,$C979,'6. OPERATION'!CM$17:CM$149)+SUMIF('8. FACILIT'!$D$18:$D$50,$C979,'8. FACILIT'!AB$18:AB$50)+SUMIF('8. FACILIT'!$D$18:$D$50,$C979,'8. FACILIT'!AN$18:AN$50)</f>
        <v>0</v>
      </c>
      <c r="L1003" s="139">
        <f>SUMIF('5. PERSON'!$D$17:$D$192,$C979,'5. PERSON'!CY$17:CY$192)+SUMIF('5. PERSON'!$D$17:$D$192,$C979,'5. PERSON'!DK$17:DK$192)+SUMIF('6. OPERATION'!$D$17:$D$149,$C979,'6. OPERATION'!CB$17:CB$149)+SUMIF('6. OPERATION'!$D$17:$D$149,$C979,'6. OPERATION'!CN$17:CN$149)+SUMIF('8. FACILIT'!$D$18:$D$50,$C979,'8. FACILIT'!AC$18:AC$50)+SUMIF('8. FACILIT'!$D$18:$D$50,$C979,'8. FACILIT'!AO$18:AO$50)</f>
        <v>0</v>
      </c>
      <c r="M1003" s="905">
        <f>SUM(C1003:L1003)</f>
        <v>0</v>
      </c>
    </row>
    <row r="1004" spans="2:15" s="234" customFormat="1" ht="13.2" x14ac:dyDescent="0.25">
      <c r="B1004" s="915" t="str">
        <f>IF('1. INTRO'!I$2="English","Indirect","Indirekt")</f>
        <v>Indirect</v>
      </c>
      <c r="C1004" s="141">
        <f>SUMIF('5. PERSON'!$D$17:$D$192,$C979,'5. PERSON'!BR$17:BR$192)+SUMIF('5. PERSON'!$D$17:$D$192,$C979,'5. PERSON'!CD$17:CD$192)+SUMIF('6. OPERATION'!$D$17:$D$149,$C979,'6. OPERATION'!AU$17:AU$149)+SUMIF('6. OPERATION'!$D$17:$D$149,$C979,'6. OPERATION'!BG$17:BG$149)</f>
        <v>0</v>
      </c>
      <c r="D1004" s="141">
        <f>SUMIF('5. PERSON'!$D$17:$D$192,$C979,'5. PERSON'!BS$17:BS$192)+SUMIF('5. PERSON'!$D$17:$D$192,$C979,'5. PERSON'!CE$17:CE$192)+SUMIF('6. OPERATION'!$D$17:$D$149,$C979,'6. OPERATION'!AV$17:AV$149)+SUMIF('6. OPERATION'!$D$17:$D$149,$C979,'6. OPERATION'!BH$17:BH$149)</f>
        <v>0</v>
      </c>
      <c r="E1004" s="141">
        <f>SUMIF('5. PERSON'!$D$17:$D$192,$C979,'5. PERSON'!BT$17:BT$192)+SUMIF('5. PERSON'!$D$17:$D$192,$C979,'5. PERSON'!CF$17:CF$192)+SUMIF('6. OPERATION'!$D$17:$D$149,$C979,'6. OPERATION'!AW$17:AW$149)+SUMIF('6. OPERATION'!$D$17:$D$149,$C979,'6. OPERATION'!BI$17:BI$149)</f>
        <v>0</v>
      </c>
      <c r="F1004" s="141">
        <f>SUMIF('5. PERSON'!$D$17:$D$192,$C979,'5. PERSON'!BU$17:BU$192)+SUMIF('5. PERSON'!$D$17:$D$192,$C979,'5. PERSON'!CG$17:CG$192)+SUMIF('6. OPERATION'!$D$17:$D$149,$C979,'6. OPERATION'!AX$17:AX$149)+SUMIF('6. OPERATION'!$D$17:$D$149,$C979,'6. OPERATION'!BJ$17:BJ$149)</f>
        <v>0</v>
      </c>
      <c r="G1004" s="141">
        <f>SUMIF('5. PERSON'!$D$17:$D$192,$C979,'5. PERSON'!BV$17:BV$192)+SUMIF('5. PERSON'!$D$17:$D$192,$C979,'5. PERSON'!CH$17:CH$192)+SUMIF('6. OPERATION'!$D$17:$D$149,$C979,'6. OPERATION'!AY$17:AY$149)+SUMIF('6. OPERATION'!$D$17:$D$149,$C979,'6. OPERATION'!BK$17:BK$149)</f>
        <v>0</v>
      </c>
      <c r="H1004" s="141">
        <f>SUMIF('5. PERSON'!$D$17:$D$192,$C979,'5. PERSON'!BW$17:BW$192)+SUMIF('5. PERSON'!$D$17:$D$192,$C979,'5. PERSON'!CI$17:CI$192)+SUMIF('6. OPERATION'!$D$17:$D$149,$C979,'6. OPERATION'!AZ$17:AZ$149)+SUMIF('6. OPERATION'!$D$17:$D$149,$C979,'6. OPERATION'!BL$17:BL$149)</f>
        <v>0</v>
      </c>
      <c r="I1004" s="141">
        <f>SUMIF('5. PERSON'!$D$17:$D$192,$C979,'5. PERSON'!BX$17:BX$192)+SUMIF('5. PERSON'!$D$17:$D$192,$C979,'5. PERSON'!CJ$17:CJ$192)+SUMIF('6. OPERATION'!$D$17:$D$149,$C979,'6. OPERATION'!BA$17:BA$149)+SUMIF('6. OPERATION'!$D$17:$D$149,$C979,'6. OPERATION'!BM$17:BM$149)</f>
        <v>0</v>
      </c>
      <c r="J1004" s="141">
        <f>SUMIF('5. PERSON'!$D$17:$D$192,$C979,'5. PERSON'!BY$17:BY$192)+SUMIF('5. PERSON'!$D$17:$D$192,$C979,'5. PERSON'!CK$17:CK$192)+SUMIF('6. OPERATION'!$D$17:$D$149,$C979,'6. OPERATION'!BB$17:BB$149)+SUMIF('6. OPERATION'!$D$17:$D$149,$C979,'6. OPERATION'!BN$17:BN$149)</f>
        <v>0</v>
      </c>
      <c r="K1004" s="141">
        <f>SUMIF('5. PERSON'!$D$17:$D$192,$C979,'5. PERSON'!BZ$17:BZ$192)+SUMIF('5. PERSON'!$D$17:$D$192,$C979,'5. PERSON'!CL$17:CL$192)+SUMIF('6. OPERATION'!$D$17:$D$149,$C979,'6. OPERATION'!BC$17:BC$149)+SUMIF('6. OPERATION'!$D$17:$D$149,$C979,'6. OPERATION'!BO$17:BO$149)</f>
        <v>0</v>
      </c>
      <c r="L1004" s="141">
        <f>SUMIF('5. PERSON'!$D$17:$D$192,$C979,'5. PERSON'!CA$17:CA$192)+SUMIF('5. PERSON'!$D$17:$D$192,$C979,'5. PERSON'!CM$17:CM$192)+SUMIF('6. OPERATION'!$D$17:$D$149,$C979,'6. OPERATION'!BD$17:BD$149)+SUMIF('6. OPERATION'!$D$17:$D$149,$C979,'6. OPERATION'!BP$17:BP$149)</f>
        <v>0</v>
      </c>
      <c r="M1004" s="908">
        <f>SUM(C1004:L1004)</f>
        <v>0</v>
      </c>
    </row>
    <row r="1005" spans="2:15" s="234" customFormat="1" ht="13.2" x14ac:dyDescent="0.25">
      <c r="B1005" s="628" t="s">
        <v>113</v>
      </c>
      <c r="C1005" s="520">
        <f>SUM(C1000:C1004)</f>
        <v>0</v>
      </c>
      <c r="D1005" s="520">
        <f t="shared" ref="D1005:M1005" si="168">SUM(D1000:D1004)</f>
        <v>0</v>
      </c>
      <c r="E1005" s="520">
        <f t="shared" si="168"/>
        <v>0</v>
      </c>
      <c r="F1005" s="520">
        <f t="shared" si="168"/>
        <v>0</v>
      </c>
      <c r="G1005" s="520">
        <f t="shared" si="168"/>
        <v>0</v>
      </c>
      <c r="H1005" s="520">
        <f t="shared" si="168"/>
        <v>0</v>
      </c>
      <c r="I1005" s="520">
        <f t="shared" si="168"/>
        <v>0</v>
      </c>
      <c r="J1005" s="520">
        <f t="shared" si="168"/>
        <v>0</v>
      </c>
      <c r="K1005" s="520">
        <f t="shared" si="168"/>
        <v>0</v>
      </c>
      <c r="L1005" s="520">
        <f t="shared" si="168"/>
        <v>0</v>
      </c>
      <c r="M1005" s="916">
        <f t="shared" si="168"/>
        <v>0</v>
      </c>
    </row>
    <row r="1006" spans="2:15" s="234" customFormat="1" ht="13.2" x14ac:dyDescent="0.25">
      <c r="B1006" s="676"/>
      <c r="C1006" s="268"/>
      <c r="D1006" s="268"/>
      <c r="E1006" s="268"/>
      <c r="F1006" s="268"/>
      <c r="G1006" s="268"/>
      <c r="H1006" s="268"/>
      <c r="I1006" s="268"/>
      <c r="J1006" s="268"/>
      <c r="K1006" s="268"/>
      <c r="L1006" s="268"/>
      <c r="M1006" s="268"/>
    </row>
    <row r="1007" spans="2:15" s="234" customFormat="1" ht="12.75" customHeight="1" x14ac:dyDescent="0.25">
      <c r="B1007" s="676" t="str">
        <f>IF('1. INTRO'!I$2="English","Co-funding share in full cost ","Medfinansieringsandel i full kostnad ")</f>
        <v xml:space="preserve">Co-funding share in full cost </v>
      </c>
      <c r="C1007" s="640" t="str">
        <f t="shared" ref="C1007:M1007" si="169">IF(C1005&gt;0,C997/C1005,"")</f>
        <v/>
      </c>
      <c r="D1007" s="640" t="str">
        <f t="shared" si="169"/>
        <v/>
      </c>
      <c r="E1007" s="640" t="str">
        <f t="shared" si="169"/>
        <v/>
      </c>
      <c r="F1007" s="640" t="str">
        <f t="shared" si="169"/>
        <v/>
      </c>
      <c r="G1007" s="640" t="str">
        <f t="shared" si="169"/>
        <v/>
      </c>
      <c r="H1007" s="640" t="str">
        <f t="shared" si="169"/>
        <v/>
      </c>
      <c r="I1007" s="640" t="str">
        <f t="shared" si="169"/>
        <v/>
      </c>
      <c r="J1007" s="640" t="str">
        <f t="shared" si="169"/>
        <v/>
      </c>
      <c r="K1007" s="640" t="str">
        <f t="shared" si="169"/>
        <v/>
      </c>
      <c r="L1007" s="640" t="str">
        <f t="shared" si="169"/>
        <v/>
      </c>
      <c r="M1007" s="640" t="str">
        <f t="shared" si="169"/>
        <v/>
      </c>
    </row>
    <row r="1008" spans="2:15" s="268" customFormat="1" ht="12.75" customHeight="1" x14ac:dyDescent="0.25"/>
    <row r="1009" spans="2:13" s="268" customFormat="1" ht="12.75" customHeight="1" x14ac:dyDescent="0.25">
      <c r="B1009" s="667" t="str">
        <f>IF('1. INTRO'!I$2="English","Calculation comments","Kalkylkommentarer")</f>
        <v>Calculation comments</v>
      </c>
    </row>
    <row r="1010" spans="2:13" s="268" customFormat="1" ht="12.75" customHeight="1" x14ac:dyDescent="0.25">
      <c r="B1010" s="1264"/>
      <c r="C1010" s="1265"/>
      <c r="D1010" s="1265"/>
      <c r="E1010" s="1265"/>
      <c r="F1010" s="1265"/>
      <c r="G1010" s="1265"/>
      <c r="H1010" s="1265"/>
      <c r="I1010" s="1265"/>
      <c r="J1010" s="1265"/>
      <c r="K1010" s="1265"/>
      <c r="L1010" s="1265"/>
      <c r="M1010" s="1266"/>
    </row>
    <row r="1011" spans="2:13" s="268" customFormat="1" ht="12.75" customHeight="1" x14ac:dyDescent="0.25">
      <c r="B1011" s="1267"/>
      <c r="C1011" s="1268"/>
      <c r="D1011" s="1268"/>
      <c r="E1011" s="1268"/>
      <c r="F1011" s="1268"/>
      <c r="G1011" s="1268"/>
      <c r="H1011" s="1268"/>
      <c r="I1011" s="1268"/>
      <c r="J1011" s="1268"/>
      <c r="K1011" s="1268"/>
      <c r="L1011" s="1268"/>
      <c r="M1011" s="1269"/>
    </row>
    <row r="1012" spans="2:13" s="268" customFormat="1" ht="12.75" customHeight="1" x14ac:dyDescent="0.25">
      <c r="B1012" s="1267"/>
      <c r="C1012" s="1268"/>
      <c r="D1012" s="1268"/>
      <c r="E1012" s="1268"/>
      <c r="F1012" s="1268"/>
      <c r="G1012" s="1268"/>
      <c r="H1012" s="1268"/>
      <c r="I1012" s="1268"/>
      <c r="J1012" s="1268"/>
      <c r="K1012" s="1268"/>
      <c r="L1012" s="1268"/>
      <c r="M1012" s="1269"/>
    </row>
    <row r="1013" spans="2:13" s="268" customFormat="1" ht="12.75" customHeight="1" x14ac:dyDescent="0.25">
      <c r="B1013" s="1267"/>
      <c r="C1013" s="1268"/>
      <c r="D1013" s="1268"/>
      <c r="E1013" s="1268"/>
      <c r="F1013" s="1268"/>
      <c r="G1013" s="1268"/>
      <c r="H1013" s="1268"/>
      <c r="I1013" s="1268"/>
      <c r="J1013" s="1268"/>
      <c r="K1013" s="1268"/>
      <c r="L1013" s="1268"/>
      <c r="M1013" s="1269"/>
    </row>
    <row r="1014" spans="2:13" s="268" customFormat="1" ht="12.75" customHeight="1" x14ac:dyDescent="0.25">
      <c r="B1014" s="1267"/>
      <c r="C1014" s="1268"/>
      <c r="D1014" s="1268"/>
      <c r="E1014" s="1268"/>
      <c r="F1014" s="1268"/>
      <c r="G1014" s="1268"/>
      <c r="H1014" s="1268"/>
      <c r="I1014" s="1268"/>
      <c r="J1014" s="1268"/>
      <c r="K1014" s="1268"/>
      <c r="L1014" s="1268"/>
      <c r="M1014" s="1269"/>
    </row>
    <row r="1015" spans="2:13" s="268" customFormat="1" ht="12.75" customHeight="1" x14ac:dyDescent="0.25">
      <c r="B1015" s="1270"/>
      <c r="C1015" s="1271"/>
      <c r="D1015" s="1271"/>
      <c r="E1015" s="1271"/>
      <c r="F1015" s="1271"/>
      <c r="G1015" s="1271"/>
      <c r="H1015" s="1271"/>
      <c r="I1015" s="1271"/>
      <c r="J1015" s="1271"/>
      <c r="K1015" s="1271"/>
      <c r="L1015" s="1271"/>
      <c r="M1015" s="1272"/>
    </row>
    <row r="1016" spans="2:13" s="268" customFormat="1" x14ac:dyDescent="0.25">
      <c r="B1016" s="1270"/>
      <c r="C1016" s="1271"/>
      <c r="D1016" s="1271"/>
      <c r="E1016" s="1271"/>
      <c r="F1016" s="1271"/>
      <c r="G1016" s="1271"/>
      <c r="H1016" s="1271"/>
      <c r="I1016" s="1271"/>
      <c r="J1016" s="1271"/>
      <c r="K1016" s="1271"/>
      <c r="L1016" s="1271"/>
      <c r="M1016" s="1272"/>
    </row>
    <row r="1017" spans="2:13" s="268" customFormat="1" x14ac:dyDescent="0.25">
      <c r="B1017" s="1270"/>
      <c r="C1017" s="1271"/>
      <c r="D1017" s="1271"/>
      <c r="E1017" s="1271"/>
      <c r="F1017" s="1271"/>
      <c r="G1017" s="1271"/>
      <c r="H1017" s="1271"/>
      <c r="I1017" s="1271"/>
      <c r="J1017" s="1271"/>
      <c r="K1017" s="1271"/>
      <c r="L1017" s="1271"/>
      <c r="M1017" s="1272"/>
    </row>
    <row r="1018" spans="2:13" s="268" customFormat="1" x14ac:dyDescent="0.25">
      <c r="B1018" s="1270"/>
      <c r="C1018" s="1271"/>
      <c r="D1018" s="1271"/>
      <c r="E1018" s="1271"/>
      <c r="F1018" s="1271"/>
      <c r="G1018" s="1271"/>
      <c r="H1018" s="1271"/>
      <c r="I1018" s="1271"/>
      <c r="J1018" s="1271"/>
      <c r="K1018" s="1271"/>
      <c r="L1018" s="1271"/>
      <c r="M1018" s="1272"/>
    </row>
    <row r="1019" spans="2:13" s="268" customFormat="1" x14ac:dyDescent="0.25">
      <c r="B1019" s="1270"/>
      <c r="C1019" s="1271"/>
      <c r="D1019" s="1271"/>
      <c r="E1019" s="1271"/>
      <c r="F1019" s="1271"/>
      <c r="G1019" s="1271"/>
      <c r="H1019" s="1271"/>
      <c r="I1019" s="1271"/>
      <c r="J1019" s="1271"/>
      <c r="K1019" s="1271"/>
      <c r="L1019" s="1271"/>
      <c r="M1019" s="1272"/>
    </row>
    <row r="1020" spans="2:13" s="268" customFormat="1" x14ac:dyDescent="0.25">
      <c r="B1020" s="1270"/>
      <c r="C1020" s="1271"/>
      <c r="D1020" s="1271"/>
      <c r="E1020" s="1271"/>
      <c r="F1020" s="1271"/>
      <c r="G1020" s="1271"/>
      <c r="H1020" s="1271"/>
      <c r="I1020" s="1271"/>
      <c r="J1020" s="1271"/>
      <c r="K1020" s="1271"/>
      <c r="L1020" s="1271"/>
      <c r="M1020" s="1272"/>
    </row>
    <row r="1021" spans="2:13" s="268" customFormat="1" x14ac:dyDescent="0.25">
      <c r="B1021" s="1270"/>
      <c r="C1021" s="1271"/>
      <c r="D1021" s="1271"/>
      <c r="E1021" s="1271"/>
      <c r="F1021" s="1271"/>
      <c r="G1021" s="1271"/>
      <c r="H1021" s="1271"/>
      <c r="I1021" s="1271"/>
      <c r="J1021" s="1271"/>
      <c r="K1021" s="1271"/>
      <c r="L1021" s="1271"/>
      <c r="M1021" s="1272"/>
    </row>
    <row r="1022" spans="2:13" s="268" customFormat="1" x14ac:dyDescent="0.25">
      <c r="B1022" s="1273"/>
      <c r="C1022" s="1274"/>
      <c r="D1022" s="1274"/>
      <c r="E1022" s="1274"/>
      <c r="F1022" s="1274"/>
      <c r="G1022" s="1274"/>
      <c r="H1022" s="1274"/>
      <c r="I1022" s="1274"/>
      <c r="J1022" s="1274"/>
      <c r="K1022" s="1274"/>
      <c r="L1022" s="1274"/>
      <c r="M1022" s="1275"/>
    </row>
    <row r="1023" spans="2:13" s="268" customFormat="1" x14ac:dyDescent="0.25"/>
    <row r="1024" spans="2:13" s="268" customFormat="1" x14ac:dyDescent="0.25"/>
    <row r="1025" spans="2:15" s="234" customFormat="1" ht="12.75" customHeight="1" x14ac:dyDescent="0.25">
      <c r="B1025" s="313" t="str">
        <f>'3. PARTNER'!C$4</f>
        <v xml:space="preserve">Project: </v>
      </c>
      <c r="C1025" s="1062" t="str">
        <f>'3. PARTNER'!D$4</f>
        <v/>
      </c>
      <c r="D1025" s="1001"/>
      <c r="E1025" s="1001"/>
      <c r="F1025" s="1001"/>
      <c r="G1025" s="1001"/>
      <c r="H1025" s="1001"/>
      <c r="I1025" s="1001"/>
      <c r="J1025" s="1001"/>
      <c r="K1025" s="1001"/>
      <c r="L1025" s="1001"/>
      <c r="M1025" s="1001"/>
    </row>
    <row r="1026" spans="2:15" s="234" customFormat="1" ht="13.2" x14ac:dyDescent="0.25">
      <c r="B1026" s="313" t="str">
        <f>'3. PARTNER'!C$5</f>
        <v xml:space="preserve">Calculation for: </v>
      </c>
      <c r="C1026" s="1062" t="str">
        <f>'3. PARTNER'!D$5</f>
        <v>APPLICATION</v>
      </c>
      <c r="D1026" s="1001"/>
      <c r="E1026" s="268"/>
      <c r="F1026" s="268"/>
      <c r="G1026" s="268"/>
      <c r="H1026" s="268"/>
      <c r="I1026" s="268"/>
      <c r="J1026" s="268"/>
      <c r="K1026" s="268"/>
      <c r="L1026" s="268"/>
      <c r="M1026" s="268"/>
    </row>
    <row r="1027" spans="2:15" s="234" customFormat="1" ht="13.2" x14ac:dyDescent="0.25">
      <c r="B1027" s="35" t="str">
        <f>'3. PARTNER'!C$6</f>
        <v xml:space="preserve">Project leader: </v>
      </c>
      <c r="C1027" s="1062" t="str">
        <f>'3. PARTNER'!D$6</f>
        <v/>
      </c>
      <c r="D1027" s="1001"/>
      <c r="E1027" s="1001"/>
      <c r="F1027" s="1001"/>
      <c r="G1027" s="1001"/>
      <c r="H1027" s="1001"/>
      <c r="I1027" s="1001"/>
      <c r="J1027" s="1001"/>
      <c r="K1027" s="1001"/>
      <c r="L1027" s="1001"/>
      <c r="M1027" s="1001"/>
    </row>
    <row r="1028" spans="2:15" s="234" customFormat="1" ht="13.2" x14ac:dyDescent="0.25">
      <c r="B1028" s="313" t="str">
        <f>'5. PERSON'!B$7</f>
        <v xml:space="preserve">Amounts in: </v>
      </c>
      <c r="C1028" s="672" t="str">
        <f>'5. PERSON'!C$7</f>
        <v>SEK</v>
      </c>
      <c r="D1028" s="268"/>
      <c r="E1028" s="268"/>
      <c r="F1028" s="268"/>
      <c r="I1028" s="270"/>
      <c r="J1028" s="270"/>
      <c r="K1028" s="270"/>
      <c r="L1028" s="270"/>
      <c r="M1028" s="270"/>
    </row>
    <row r="1029" spans="2:15" s="234" customFormat="1" ht="13.2" x14ac:dyDescent="0.25">
      <c r="B1029" s="313"/>
      <c r="C1029" s="1053" t="str">
        <f>'3. PARTNER'!D$7</f>
        <v>Other basic data about the project is in sheet 2.</v>
      </c>
      <c r="D1029" s="1001"/>
      <c r="E1029" s="1001"/>
      <c r="F1029" s="1001"/>
      <c r="I1029" s="270"/>
      <c r="J1029" s="270"/>
      <c r="K1029" s="270"/>
      <c r="L1029" s="251" t="s">
        <v>4</v>
      </c>
      <c r="M1029" s="270"/>
    </row>
    <row r="1030" spans="2:15" s="268" customFormat="1" ht="12.75" customHeight="1" x14ac:dyDescent="0.25">
      <c r="L1030" s="252" t="str">
        <f>IF('1. INTRO'!I$2="English","months","månader")</f>
        <v>months</v>
      </c>
    </row>
    <row r="1031" spans="2:15" s="234" customFormat="1" ht="13.8" x14ac:dyDescent="0.25">
      <c r="B1031" s="678" t="str">
        <f>IF('1. INTRO'!I$2="English","Project costs","Projektkostnader")</f>
        <v>Project costs</v>
      </c>
      <c r="C1031" s="678" t="str">
        <f>B34</f>
        <v>WP 20</v>
      </c>
      <c r="D1031" s="234" t="str">
        <f>E34</f>
        <v/>
      </c>
      <c r="E1031" s="268"/>
      <c r="G1031" s="268"/>
      <c r="H1031" s="268"/>
      <c r="I1031" s="268"/>
      <c r="J1031" s="268"/>
      <c r="K1031" s="676"/>
      <c r="L1031" s="899">
        <f>SUMIF('5. PERSON'!$D$17:$D$192,$C1031,'5. PERSON'!AE$17:AE$192)</f>
        <v>0</v>
      </c>
      <c r="M1031" s="680" t="s">
        <v>330</v>
      </c>
    </row>
    <row r="1032" spans="2:15" s="234" customFormat="1" ht="6" customHeight="1" x14ac:dyDescent="0.25">
      <c r="B1032" s="602"/>
      <c r="C1032" s="268"/>
      <c r="D1032" s="268"/>
      <c r="E1032" s="268"/>
      <c r="F1032" s="268"/>
      <c r="G1032" s="268"/>
      <c r="H1032" s="268"/>
      <c r="I1032" s="268"/>
      <c r="J1032" s="268"/>
      <c r="K1032" s="268"/>
      <c r="L1032" s="268"/>
      <c r="M1032" s="268"/>
    </row>
    <row r="1033" spans="2:15" s="234" customFormat="1" ht="13.2" x14ac:dyDescent="0.25">
      <c r="B1033" s="110" t="str">
        <f>IF('1. INTRO'!I$2="English","Costs to be covered by funding body","Kostnader att täckas av finansiär")</f>
        <v>Costs to be covered by funding body</v>
      </c>
      <c r="C1033" s="607">
        <f>'5. PERSON'!G$15</f>
        <v>1900</v>
      </c>
      <c r="D1033" s="607" t="str">
        <f>'5. PERSON'!H$15</f>
        <v/>
      </c>
      <c r="E1033" s="607" t="str">
        <f>'5. PERSON'!I$15</f>
        <v/>
      </c>
      <c r="F1033" s="607" t="str">
        <f>'5. PERSON'!J$15</f>
        <v/>
      </c>
      <c r="G1033" s="607" t="str">
        <f>'5. PERSON'!K$15</f>
        <v/>
      </c>
      <c r="H1033" s="607" t="str">
        <f>'5. PERSON'!L$15</f>
        <v/>
      </c>
      <c r="I1033" s="607" t="str">
        <f>'5. PERSON'!M$15</f>
        <v/>
      </c>
      <c r="J1033" s="607" t="str">
        <f>'5. PERSON'!N$15</f>
        <v/>
      </c>
      <c r="K1033" s="607" t="str">
        <f>'5. PERSON'!O$15</f>
        <v/>
      </c>
      <c r="L1033" s="607" t="str">
        <f>'5. PERSON'!P$15</f>
        <v/>
      </c>
      <c r="M1033" s="608" t="s">
        <v>2</v>
      </c>
    </row>
    <row r="1034" spans="2:15" s="234" customFormat="1" ht="12.75" customHeight="1" x14ac:dyDescent="0.25">
      <c r="B1034" s="902" t="str">
        <f>IF('1. INTRO'!I$2="English","Salary including social costs (LKP)","Lön inklusive LKP")</f>
        <v>Salary including social costs (LKP)</v>
      </c>
      <c r="C1034" s="610">
        <f>IF('2. START'!$C$14&gt;0,SUMIF('5. PERSON'!$D$17:$D$192,$C1031,'5. PERSON'!DN$17:DN$192),SUMIF('5. PERSON'!$D$17:$D$192,$C1031,'5. PERSON'!AT$17:AT$192))</f>
        <v>0</v>
      </c>
      <c r="D1034" s="610">
        <f>IF('2. START'!$C$14&gt;0,SUMIF('5. PERSON'!$D$17:$D$192,$C1031,'5. PERSON'!DO$17:DO$192),SUMIF('5. PERSON'!$D$17:$D$192,$C1031,'5. PERSON'!AU$17:AU$192))</f>
        <v>0</v>
      </c>
      <c r="E1034" s="610">
        <f>IF('2. START'!$C$14&gt;0,SUMIF('5. PERSON'!$D$17:$D$192,$C1031,'5. PERSON'!DP$17:DP$192),SUMIF('5. PERSON'!$D$17:$D$192,$C1031,'5. PERSON'!AV$17:AV$192))</f>
        <v>0</v>
      </c>
      <c r="F1034" s="610">
        <f>IF('2. START'!$C$14&gt;0,SUMIF('5. PERSON'!$D$17:$D$192,$C1031,'5. PERSON'!DQ$17:DQ$192),SUMIF('5. PERSON'!$D$17:$D$192,$C1031,'5. PERSON'!AW$17:AW$192))</f>
        <v>0</v>
      </c>
      <c r="G1034" s="610">
        <f>IF('2. START'!$C$14&gt;0,SUMIF('5. PERSON'!$D$17:$D$192,$C1031,'5. PERSON'!DR$17:DR$192),SUMIF('5. PERSON'!$D$17:$D$192,$C1031,'5. PERSON'!AX$17:AX$192))</f>
        <v>0</v>
      </c>
      <c r="H1034" s="610">
        <f>IF('2. START'!$C$14&gt;0,SUMIF('5. PERSON'!$D$17:$D$192,$C1031,'5. PERSON'!DS$17:DS$192),SUMIF('5. PERSON'!$D$17:$D$192,$C1031,'5. PERSON'!AY$17:AY$192))</f>
        <v>0</v>
      </c>
      <c r="I1034" s="610">
        <f>IF('2. START'!$C$14&gt;0,SUMIF('5. PERSON'!$D$17:$D$192,$C1031,'5. PERSON'!DT$17:DT$192),SUMIF('5. PERSON'!$D$17:$D$192,$C1031,'5. PERSON'!AZ$17:AZ$192))</f>
        <v>0</v>
      </c>
      <c r="J1034" s="610">
        <f>IF('2. START'!$C$14&gt;0,SUMIF('5. PERSON'!$D$17:$D$192,$C1031,'5. PERSON'!DU$17:DU$192),SUMIF('5. PERSON'!$D$17:$D$192,$C1031,'5. PERSON'!BA$17:BA$192))</f>
        <v>0</v>
      </c>
      <c r="K1034" s="610">
        <f>IF('2. START'!$C$14&gt;0,SUMIF('5. PERSON'!$D$17:$D$192,$C1031,'5. PERSON'!DV$17:DV$192),SUMIF('5. PERSON'!$D$17:$D$192,$C1031,'5. PERSON'!BB$17:BB$192))</f>
        <v>0</v>
      </c>
      <c r="L1034" s="610">
        <f>IF('2. START'!$C$14&gt;0,SUMIF('5. PERSON'!$D$17:$D$192,$C1031,'5. PERSON'!DW$17:DW$192),SUMIF('5. PERSON'!$D$17:$D$192,$C1031,'5. PERSON'!BC$17:BC$192))</f>
        <v>0</v>
      </c>
      <c r="M1034" s="903">
        <f t="shared" ref="M1034:M1039" si="170">SUM(C1034:L1034)</f>
        <v>0</v>
      </c>
      <c r="O1034" s="904"/>
    </row>
    <row r="1035" spans="2:15" s="234" customFormat="1" ht="12.75" customHeight="1" x14ac:dyDescent="0.25">
      <c r="B1035" s="377" t="str">
        <f>IF('1. INTRO'!I$2="English","Operating","Drift")</f>
        <v>Operating</v>
      </c>
      <c r="C1035" s="615">
        <f>SUMIF('6. OPERATION'!$D$17:$D$149,$C1031,'6. OPERATION'!W$17:W$149)</f>
        <v>0</v>
      </c>
      <c r="D1035" s="615">
        <f>SUMIF('6. OPERATION'!$D$17:$D$149,$C1031,'6. OPERATION'!X$17:X$149)</f>
        <v>0</v>
      </c>
      <c r="E1035" s="615">
        <f>SUMIF('6. OPERATION'!$D$17:$D$149,$C1031,'6. OPERATION'!Y$17:Y$149)</f>
        <v>0</v>
      </c>
      <c r="F1035" s="615">
        <f>SUMIF('6. OPERATION'!$D$17:$D$149,$C1031,'6. OPERATION'!Z$17:Z$149)</f>
        <v>0</v>
      </c>
      <c r="G1035" s="615">
        <f>SUMIF('6. OPERATION'!$D$17:$D$149,$C1031,'6. OPERATION'!AA$17:AA$149)</f>
        <v>0</v>
      </c>
      <c r="H1035" s="615">
        <f>SUMIF('6. OPERATION'!$D$17:$D$149,$C1031,'6. OPERATION'!AB$17:AB$149)</f>
        <v>0</v>
      </c>
      <c r="I1035" s="615">
        <f>SUMIF('6. OPERATION'!$D$17:$D$149,$C1031,'6. OPERATION'!AC$17:AC$149)</f>
        <v>0</v>
      </c>
      <c r="J1035" s="615">
        <f>SUMIF('6. OPERATION'!$D$17:$D$149,$C1031,'6. OPERATION'!AD$17:AD$149)</f>
        <v>0</v>
      </c>
      <c r="K1035" s="615">
        <f>SUMIF('6. OPERATION'!$D$17:$D$149,$C1031,'6. OPERATION'!AE$17:AE$149)</f>
        <v>0</v>
      </c>
      <c r="L1035" s="615">
        <f>SUMIF('6. OPERATION'!$D$17:$D$149,$C1031,'6. OPERATION'!AF$17:AF$149)</f>
        <v>0</v>
      </c>
      <c r="M1035" s="905">
        <f t="shared" si="170"/>
        <v>0</v>
      </c>
    </row>
    <row r="1036" spans="2:15" s="234" customFormat="1" ht="13.2" x14ac:dyDescent="0.25">
      <c r="B1036" s="906" t="str">
        <f>IF('1. INTRO'!I$2="English","Equipment","Utrustning")</f>
        <v>Equipment</v>
      </c>
      <c r="C1036" s="620">
        <f>SUMIF('7. INVEST'!$D$17:$D$49,$C1031,'7. INVEST'!W$17:W$49)</f>
        <v>0</v>
      </c>
      <c r="D1036" s="620">
        <f>SUMIF('7. INVEST'!$D$17:$D$49,$C1031,'7. INVEST'!X$17:X$49)</f>
        <v>0</v>
      </c>
      <c r="E1036" s="620">
        <f>SUMIF('7. INVEST'!$D$17:$D$49,$C1031,'7. INVEST'!Y$17:Y$49)</f>
        <v>0</v>
      </c>
      <c r="F1036" s="620">
        <f>SUMIF('7. INVEST'!$D$17:$D$49,$C1031,'7. INVEST'!Z$17:Z$49)</f>
        <v>0</v>
      </c>
      <c r="G1036" s="620">
        <f>SUMIF('7. INVEST'!$D$17:$D$49,$C1031,'7. INVEST'!AA$17:AA$49)</f>
        <v>0</v>
      </c>
      <c r="H1036" s="620">
        <f>SUMIF('7. INVEST'!$D$17:$D$49,$C1031,'7. INVEST'!AB$17:AB$49)</f>
        <v>0</v>
      </c>
      <c r="I1036" s="620">
        <f>SUMIF('7. INVEST'!$D$17:$D$49,$C1031,'7. INVEST'!AC$17:AC$49)</f>
        <v>0</v>
      </c>
      <c r="J1036" s="620">
        <f>SUMIF('7. INVEST'!$D$17:$D$49,$C1031,'7. INVEST'!AD$17:AD$49)</f>
        <v>0</v>
      </c>
      <c r="K1036" s="620">
        <f>SUMIF('7. INVEST'!$D$17:$D$49,$C1031,'7. INVEST'!AE$17:AE$49)</f>
        <v>0</v>
      </c>
      <c r="L1036" s="620">
        <f>SUMIF('7. INVEST'!$D$17:$D$49,$C1031,'7. INVEST'!AF$17:AF$49)</f>
        <v>0</v>
      </c>
      <c r="M1036" s="907">
        <f t="shared" si="170"/>
        <v>0</v>
      </c>
    </row>
    <row r="1037" spans="2:15" s="234" customFormat="1" ht="13.2" x14ac:dyDescent="0.25">
      <c r="B1037" s="121" t="str">
        <f>IF('1. INTRO'!I$2="English",(IF('2. START'!C$11="NO","Facility accepted as direct cost by funding body","Facility")),IF('2. START'!C$11="NO","Lokal accepterad som direkt kostnad av finansiär","Lokal"))</f>
        <v>Facility</v>
      </c>
      <c r="C1037" s="615">
        <f>IF('2. START'!$C$11="NO",SUMIF('8. FACILIT'!$D$18:$D$50,$C1031,'8. FACILIT'!T$18:T$50),SUMIF('5. PERSON'!$D$17:$D$192,$C1031,'5. PERSON'!CP$17:CP$192)+SUMIF('6. OPERATION'!$D$17:$D$149,$C1031,'6. OPERATION'!BS$17:BS$149)+SUMIF('8. FACILIT'!$D$18:$D$50,$C1031,'8. FACILIT'!T$18:T$50))</f>
        <v>0</v>
      </c>
      <c r="D1037" s="615">
        <f>IF('2. START'!$C$11="NO",SUMIF('8. FACILIT'!$D$18:$D$50,$C1031,'8. FACILIT'!U$18:U$50),SUMIF('5. PERSON'!$D$17:$D$192,$C1031,'5. PERSON'!CQ$17:CQ$192)+SUMIF('6. OPERATION'!$D$17:$D$149,$C1031,'6. OPERATION'!BT$17:BT$149)+SUMIF('8. FACILIT'!$D$18:$D$50,$C1031,'8. FACILIT'!U$18:U$50))</f>
        <v>0</v>
      </c>
      <c r="E1037" s="615">
        <f>IF('2. START'!$C$11="NO",SUMIF('8. FACILIT'!$D$18:$D$50,$C1031,'8. FACILIT'!V$18:V$50),SUMIF('5. PERSON'!$D$17:$D$192,$C1031,'5. PERSON'!CR$17:CR$192)+SUMIF('6. OPERATION'!$D$17:$D$149,$C1031,'6. OPERATION'!BU$17:BU$149)+SUMIF('8. FACILIT'!$D$18:$D$50,$C1031,'8. FACILIT'!V$18:V$50))</f>
        <v>0</v>
      </c>
      <c r="F1037" s="615">
        <f>IF('2. START'!$C$11="NO",SUMIF('8. FACILIT'!$D$18:$D$50,$C1031,'8. FACILIT'!W$18:W$50),SUMIF('5. PERSON'!$D$17:$D$192,$C1031,'5. PERSON'!CS$17:CS$192)+SUMIF('6. OPERATION'!$D$17:$D$149,$C1031,'6. OPERATION'!BV$17:BV$149)+SUMIF('8. FACILIT'!$D$18:$D$50,$C1031,'8. FACILIT'!W$18:W$50))</f>
        <v>0</v>
      </c>
      <c r="G1037" s="615">
        <f>IF('2. START'!$C$11="NO",SUMIF('8. FACILIT'!$D$18:$D$50,$C1031,'8. FACILIT'!X$18:X$50),SUMIF('5. PERSON'!$D$17:$D$192,$C1031,'5. PERSON'!CT$17:CT$192)+SUMIF('6. OPERATION'!$D$17:$D$149,$C1031,'6. OPERATION'!BW$17:BW$149)+SUMIF('8. FACILIT'!$D$18:$D$50,$C1031,'8. FACILIT'!X$18:X$50))</f>
        <v>0</v>
      </c>
      <c r="H1037" s="615">
        <f>IF('2. START'!$C$11="NO",SUMIF('8. FACILIT'!$D$18:$D$50,$C1031,'8. FACILIT'!Y$18:Y$50),SUMIF('5. PERSON'!$D$17:$D$192,$C1031,'5. PERSON'!CU$17:CU$192)+SUMIF('6. OPERATION'!$D$17:$D$149,$C1031,'6. OPERATION'!BX$17:BX$149)+SUMIF('8. FACILIT'!$D$18:$D$50,$C1031,'8. FACILIT'!Y$18:Y$50))</f>
        <v>0</v>
      </c>
      <c r="I1037" s="615">
        <f>IF('2. START'!$C$11="NO",SUMIF('8. FACILIT'!$D$18:$D$50,$C1031,'8. FACILIT'!Z$18:Z$50),SUMIF('5. PERSON'!$D$17:$D$192,$C1031,'5. PERSON'!CV$17:CV$192)+SUMIF('6. OPERATION'!$D$17:$D$149,$C1031,'6. OPERATION'!BY$17:BY$149)+SUMIF('8. FACILIT'!$D$18:$D$50,$C1031,'8. FACILIT'!Z$18:Z$50))</f>
        <v>0</v>
      </c>
      <c r="J1037" s="615">
        <f>IF('2. START'!$C$11="NO",SUMIF('8. FACILIT'!$D$18:$D$50,$C1031,'8. FACILIT'!AA$18:AA$50),SUMIF('5. PERSON'!$D$17:$D$192,$C1031,'5. PERSON'!CW$17:CW$192)+SUMIF('6. OPERATION'!$D$17:$D$149,$C1031,'6. OPERATION'!BZ$17:BZ$149)+SUMIF('8. FACILIT'!$D$18:$D$50,$C1031,'8. FACILIT'!AA$18:AA$50))</f>
        <v>0</v>
      </c>
      <c r="K1037" s="615">
        <f>IF('2. START'!$C$11="NO",SUMIF('8. FACILIT'!$D$18:$D$50,$C1031,'8. FACILIT'!AB$18:AB$50),SUMIF('5. PERSON'!$D$17:$D$192,$C1031,'5. PERSON'!CX$17:CX$192)+SUMIF('6. OPERATION'!$D$17:$D$149,$C1031,'6. OPERATION'!CA$17:CA$149)+SUMIF('8. FACILIT'!$D$18:$D$50,$C1031,'8. FACILIT'!AB$18:AB$50))</f>
        <v>0</v>
      </c>
      <c r="L1037" s="615">
        <f>IF('2. START'!$C$11="NO",SUMIF('8. FACILIT'!$D$18:$D$50,$C1031,'8. FACILIT'!AC$18:AC$50),SUMIF('5. PERSON'!$D$17:$D$192,$C1031,'5. PERSON'!CY$17:CY$192)+SUMIF('6. OPERATION'!$D$17:$D$149,$C1031,'6. OPERATION'!CB$17:CB$149)+SUMIF('8. FACILIT'!$D$18:$D$50,$C1031,'8. FACILIT'!AC$18:AC$50))</f>
        <v>0</v>
      </c>
      <c r="M1037" s="905">
        <f t="shared" si="170"/>
        <v>0</v>
      </c>
    </row>
    <row r="1038" spans="2:15" s="234" customFormat="1" ht="13.2" x14ac:dyDescent="0.25">
      <c r="B1038" s="122" t="str">
        <f>IF('1. INTRO'!I$2="English",(IF('2. START'!C$11="NO","Indirect and facility charge accepted as OH by funding body","Indirect")),IF('2. START'!C$11="NO","Indirekt och lokalpåslag accepterade som OH av finansiär","Indirekt"))</f>
        <v>Indirect</v>
      </c>
      <c r="C1038" s="584">
        <f>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584">
        <f>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584">
        <f>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584">
        <f>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584">
        <f>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584">
        <f>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584">
        <f>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584">
        <f>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584">
        <f>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584">
        <f>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908">
        <f t="shared" si="170"/>
        <v>0</v>
      </c>
    </row>
    <row r="1039" spans="2:15" s="234" customFormat="1" ht="13.2" x14ac:dyDescent="0.25">
      <c r="B1039" s="628" t="s">
        <v>113</v>
      </c>
      <c r="C1039" s="443">
        <f>SUM(C1034:C1038)</f>
        <v>0</v>
      </c>
      <c r="D1039" s="443">
        <f t="shared" ref="D1039:L1039" si="171">SUM(D1034:D1038)</f>
        <v>0</v>
      </c>
      <c r="E1039" s="443">
        <f t="shared" si="171"/>
        <v>0</v>
      </c>
      <c r="F1039" s="443">
        <f t="shared" si="171"/>
        <v>0</v>
      </c>
      <c r="G1039" s="443">
        <f t="shared" si="171"/>
        <v>0</v>
      </c>
      <c r="H1039" s="443">
        <f t="shared" si="171"/>
        <v>0</v>
      </c>
      <c r="I1039" s="443">
        <f t="shared" si="171"/>
        <v>0</v>
      </c>
      <c r="J1039" s="443">
        <f t="shared" si="171"/>
        <v>0</v>
      </c>
      <c r="K1039" s="443">
        <f t="shared" si="171"/>
        <v>0</v>
      </c>
      <c r="L1039" s="443">
        <f t="shared" si="171"/>
        <v>0</v>
      </c>
      <c r="M1039" s="630">
        <f t="shared" si="170"/>
        <v>0</v>
      </c>
    </row>
    <row r="1040" spans="2:15" s="234" customFormat="1" ht="6" customHeight="1" x14ac:dyDescent="0.25">
      <c r="B1040" s="909"/>
      <c r="C1040" s="127"/>
      <c r="D1040" s="127"/>
      <c r="E1040" s="127"/>
      <c r="F1040" s="127"/>
      <c r="G1040" s="127"/>
      <c r="H1040" s="127"/>
      <c r="I1040" s="127"/>
      <c r="J1040" s="127"/>
      <c r="K1040" s="127"/>
      <c r="L1040" s="127"/>
      <c r="M1040" s="633"/>
    </row>
    <row r="1041" spans="2:15" s="234" customFormat="1" ht="13.2" x14ac:dyDescent="0.25">
      <c r="B1041" s="129" t="str">
        <f>IF('1. INTRO'!I$2="English","Costs to be co-funded","Kostnader att medfinansiera")</f>
        <v>Costs to be co-funded</v>
      </c>
      <c r="C1041" s="634"/>
      <c r="D1041" s="634"/>
      <c r="E1041" s="634"/>
      <c r="F1041" s="634"/>
      <c r="G1041" s="634"/>
      <c r="H1041" s="634"/>
      <c r="I1041" s="634"/>
      <c r="J1041" s="634"/>
      <c r="K1041" s="634"/>
      <c r="L1041" s="634"/>
      <c r="M1041" s="129"/>
    </row>
    <row r="1042" spans="2:15" s="234" customFormat="1" ht="13.2" x14ac:dyDescent="0.25">
      <c r="B1042" s="159" t="str">
        <f>IF('1. INTRO'!I$2="English",(IF('2. START'!C$11="NO","Indirect and facility charge not accepted as OH by funding body","")),IF('2. START'!C$11="NO","Indirekt och lokalpåslag inte accepterade som OH av finansiär",""))</f>
        <v/>
      </c>
      <c r="C1042" s="910">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910">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910">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910">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910">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910">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910">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910">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910">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910">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903">
        <f t="shared" ref="M1042:M1048" si="172">SUM(C1042:L1042)</f>
        <v>0</v>
      </c>
    </row>
    <row r="1043" spans="2:15" s="234" customFormat="1" ht="12.75" customHeight="1" x14ac:dyDescent="0.25">
      <c r="B1043" s="132" t="str">
        <f>IF('1. INTRO'!I$2="English",(IF('2. START'!C$14&gt;0,"Social costs (LKP) not accepted by funding body","")),IF('2. START'!C$14&gt;0,"LKP som inte accepteras av finansiär",""))</f>
        <v/>
      </c>
      <c r="C1043" s="911">
        <f>IF('2. START'!$C$14&gt;0,SUMIF('5. PERSON'!$D$17:$D$192,$C1031,'5. PERSON'!AT$17:AT$192)-SUMIF('5. PERSON'!$D$17:$D$192,$C1031,'5. PERSON'!DN$17:DN$192),0)</f>
        <v>0</v>
      </c>
      <c r="D1043" s="911">
        <f>IF('2. START'!$C$14&gt;0,SUMIF('5. PERSON'!$D$17:$D$192,$C1031,'5. PERSON'!AU$17:AU$192)-SUMIF('5. PERSON'!$D$17:$D$192,$C1031,'5. PERSON'!DO$17:DO$192),0)</f>
        <v>0</v>
      </c>
      <c r="E1043" s="911">
        <f>IF('2. START'!$C$14&gt;0,SUMIF('5. PERSON'!$D$17:$D$192,$C1031,'5. PERSON'!AV$17:AV$192)-SUMIF('5. PERSON'!$D$17:$D$192,$C1031,'5. PERSON'!DP$17:DP$192),0)</f>
        <v>0</v>
      </c>
      <c r="F1043" s="911">
        <f>IF('2. START'!$C$14&gt;0,SUMIF('5. PERSON'!$D$17:$D$192,$C1031,'5. PERSON'!AW$17:AW$192)-SUMIF('5. PERSON'!$D$17:$D$192,$C1031,'5. PERSON'!DQ$17:DQ$192),0)</f>
        <v>0</v>
      </c>
      <c r="G1043" s="911">
        <f>IF('2. START'!$C$14&gt;0,SUMIF('5. PERSON'!$D$17:$D$192,$C1031,'5. PERSON'!AX$17:AX$192)-SUMIF('5. PERSON'!$D$17:$D$192,$C1031,'5. PERSON'!DR$17:DR$192),0)</f>
        <v>0</v>
      </c>
      <c r="H1043" s="911">
        <f>IF('2. START'!$C$14&gt;0,SUMIF('5. PERSON'!$D$17:$D$192,$C1031,'5. PERSON'!AY$17:AY$192)-SUMIF('5. PERSON'!$D$17:$D$192,$C1031,'5. PERSON'!DS$17:DS$192),0)</f>
        <v>0</v>
      </c>
      <c r="I1043" s="911">
        <f>IF('2. START'!$C$14&gt;0,SUMIF('5. PERSON'!$D$17:$D$192,$C1031,'5. PERSON'!AZ$17:AZ$192)-SUMIF('5. PERSON'!$D$17:$D$192,$C1031,'5. PERSON'!DT$17:DT$192),0)</f>
        <v>0</v>
      </c>
      <c r="J1043" s="911">
        <f>IF('2. START'!$C$14&gt;0,SUMIF('5. PERSON'!$D$17:$D$192,$C1031,'5. PERSON'!BA$17:BA$192)-SUMIF('5. PERSON'!$D$17:$D$192,$C1031,'5. PERSON'!DU$17:DU$192),0)</f>
        <v>0</v>
      </c>
      <c r="K1043" s="911">
        <f>IF('2. START'!$C$14&gt;0,SUMIF('5. PERSON'!$D$17:$D$192,$C1031,'5. PERSON'!BB$17:BB$192)-SUMIF('5. PERSON'!$D$17:$D$192,$C1031,'5. PERSON'!DV$17:DV$192),0)</f>
        <v>0</v>
      </c>
      <c r="L1043" s="911">
        <f>IF('2. START'!$C$14&gt;0,SUMIF('5. PERSON'!$D$17:$D$192,$C1031,'5. PERSON'!BC$17:BC$192)-SUMIF('5. PERSON'!$D$17:$D$192,$C1031,'5. PERSON'!DW$17:DW$192),0)</f>
        <v>0</v>
      </c>
      <c r="M1043" s="905">
        <f t="shared" si="172"/>
        <v>0</v>
      </c>
    </row>
    <row r="1044" spans="2:15" s="234" customFormat="1" ht="12.75" customHeight="1" x14ac:dyDescent="0.25">
      <c r="B1044" s="906" t="str">
        <f>IF('1. INTRO'!I$2="English",(IF('5. PERSON'!BP$193&gt;0,"Salary including social costs (LKP)","")),IF('5. PERSON'!BP$193&gt;0,"Lön inklusive LKP",""))</f>
        <v/>
      </c>
      <c r="C1044" s="622">
        <f>SUMIF('5. PERSON'!$D$17:$D$192,$C1031,'5. PERSON'!BF$17:BF$192)</f>
        <v>0</v>
      </c>
      <c r="D1044" s="622">
        <f>SUMIF('5. PERSON'!$D$17:$D$192,$C1031,'5. PERSON'!BG$17:BG$192)</f>
        <v>0</v>
      </c>
      <c r="E1044" s="622">
        <f>SUMIF('5. PERSON'!$D$17:$D$192,$C1031,'5. PERSON'!BH$17:BH$192)</f>
        <v>0</v>
      </c>
      <c r="F1044" s="622">
        <f>SUMIF('5. PERSON'!$D$17:$D$192,$C1031,'5. PERSON'!BI$17:BI$192)</f>
        <v>0</v>
      </c>
      <c r="G1044" s="622">
        <f>SUMIF('5. PERSON'!$D$17:$D$192,$C1031,'5. PERSON'!BJ$17:BJ$192)</f>
        <v>0</v>
      </c>
      <c r="H1044" s="622">
        <f>SUMIF('5. PERSON'!$D$17:$D$192,$C1031,'5. PERSON'!BK$17:BK$192)</f>
        <v>0</v>
      </c>
      <c r="I1044" s="622">
        <f>SUMIF('5. PERSON'!$D$17:$D$192,$C1031,'5. PERSON'!BL$17:BL$192)</f>
        <v>0</v>
      </c>
      <c r="J1044" s="622">
        <f>SUMIF('5. PERSON'!$D$17:$D$192,$C1031,'5. PERSON'!BM$17:BM$192)</f>
        <v>0</v>
      </c>
      <c r="K1044" s="622">
        <f>SUMIF('5. PERSON'!$D$17:$D$192,$C1031,'5. PERSON'!BN$17:BN$192)</f>
        <v>0</v>
      </c>
      <c r="L1044" s="622">
        <f>SUMIF('5. PERSON'!$D$17:$D$192,$C1031,'5. PERSON'!BO$17:BO$192)</f>
        <v>0</v>
      </c>
      <c r="M1044" s="907">
        <f t="shared" si="172"/>
        <v>0</v>
      </c>
    </row>
    <row r="1045" spans="2:15" s="234" customFormat="1" ht="13.2" x14ac:dyDescent="0.25">
      <c r="B1045" s="377" t="str">
        <f>IF('1. INTRO'!I$2="English",(IF('6. OPERATION'!AS$150&gt;0,"Operating","")),IF('6. OPERATION'!AS$150&gt;0,"Drift",""))</f>
        <v/>
      </c>
      <c r="C1045" s="617">
        <f>SUMIF('6. OPERATION'!$D$17:$D$149,$C1031,'6. OPERATION'!AI$17:AI$149)</f>
        <v>0</v>
      </c>
      <c r="D1045" s="617">
        <f>SUMIF('6. OPERATION'!$D$17:$D$149,$C1031,'6. OPERATION'!AJ$17:AJ$149)</f>
        <v>0</v>
      </c>
      <c r="E1045" s="617">
        <f>SUMIF('6. OPERATION'!$D$17:$D$149,$C1031,'6. OPERATION'!AK$17:AK$149)</f>
        <v>0</v>
      </c>
      <c r="F1045" s="617">
        <f>SUMIF('6. OPERATION'!$D$17:$D$149,$C1031,'6. OPERATION'!AL$17:AL$149)</f>
        <v>0</v>
      </c>
      <c r="G1045" s="617">
        <f>SUMIF('6. OPERATION'!$D$17:$D$149,$C1031,'6. OPERATION'!AM$17:AM$149)</f>
        <v>0</v>
      </c>
      <c r="H1045" s="617">
        <f>SUMIF('6. OPERATION'!$D$17:$D$149,$C1031,'6. OPERATION'!AN$17:AN$149)</f>
        <v>0</v>
      </c>
      <c r="I1045" s="617">
        <f>SUMIF('6. OPERATION'!$D$17:$D$149,$C1031,'6. OPERATION'!AO$17:AO$149)</f>
        <v>0</v>
      </c>
      <c r="J1045" s="617">
        <f>SUMIF('6. OPERATION'!$D$17:$D$149,$C1031,'6. OPERATION'!AP$17:AP$149)</f>
        <v>0</v>
      </c>
      <c r="K1045" s="617">
        <f>SUMIF('6. OPERATION'!$D$17:$D$149,$C1031,'6. OPERATION'!AQ$17:AQ$149)</f>
        <v>0</v>
      </c>
      <c r="L1045" s="617">
        <f>SUMIF('6. OPERATION'!$D$17:$D$149,$C1031,'6. OPERATION'!AR$17:AR$149)</f>
        <v>0</v>
      </c>
      <c r="M1045" s="905">
        <f t="shared" si="172"/>
        <v>0</v>
      </c>
    </row>
    <row r="1046" spans="2:15" s="234" customFormat="1" ht="13.2" x14ac:dyDescent="0.25">
      <c r="B1046" s="906" t="str">
        <f>IF('1. INTRO'!I$2="English",(IF('7. INVEST'!AS$50&gt;0,"Equipment","")),IF('7. INVEST'!AS$50&gt;0,"Utrustning",""))</f>
        <v/>
      </c>
      <c r="C1046" s="622">
        <f>SUMIF('7. INVEST'!$D$17:$D$49,$C1031,'7. INVEST'!AI$17:AI$49)</f>
        <v>0</v>
      </c>
      <c r="D1046" s="622">
        <f>SUMIF('7. INVEST'!$D$17:$D$49,$C1031,'7. INVEST'!AJ$17:AJ$49)</f>
        <v>0</v>
      </c>
      <c r="E1046" s="622">
        <f>SUMIF('7. INVEST'!$D$17:$D$49,$C1031,'7. INVEST'!AK$17:AK$49)</f>
        <v>0</v>
      </c>
      <c r="F1046" s="622">
        <f>SUMIF('7. INVEST'!$D$17:$D$49,$C1031,'7. INVEST'!AL$17:AL$49)</f>
        <v>0</v>
      </c>
      <c r="G1046" s="622">
        <f>SUMIF('7. INVEST'!$D$17:$D$49,$C1031,'7. INVEST'!AM$17:AM$49)</f>
        <v>0</v>
      </c>
      <c r="H1046" s="622">
        <f>SUMIF('7. INVEST'!$D$17:$D$49,$C1031,'7. INVEST'!AN$17:AN$49)</f>
        <v>0</v>
      </c>
      <c r="I1046" s="622">
        <f>SUMIF('7. INVEST'!$D$17:$D$49,$C1031,'7. INVEST'!AO$17:AO$49)</f>
        <v>0</v>
      </c>
      <c r="J1046" s="622">
        <f>SUMIF('7. INVEST'!$D$17:$D$49,$C1031,'7. INVEST'!AP$17:AP$49)</f>
        <v>0</v>
      </c>
      <c r="K1046" s="622">
        <f>SUMIF('7. INVEST'!$D$17:$D$49,$C1031,'7. INVEST'!AQ$17:AQ$49)</f>
        <v>0</v>
      </c>
      <c r="L1046" s="622">
        <f>SUMIF('7. INVEST'!$D$17:$D$49,$C1031,'7. INVEST'!AR$17:AR$49)</f>
        <v>0</v>
      </c>
      <c r="M1046" s="907">
        <f t="shared" si="172"/>
        <v>0</v>
      </c>
    </row>
    <row r="1047" spans="2:15" s="234" customFormat="1" ht="13.2" x14ac:dyDescent="0.25">
      <c r="B1047" s="121" t="str">
        <f>IF('1. INTRO'!I$2="English",(IF('8. FACILIT'!AP$51&gt;0,"Facility","")),IF('8. FACILIT'!AP$51&gt;0,"Lokal",""))</f>
        <v/>
      </c>
      <c r="C1047" s="617">
        <f>SUMIF('5. PERSON'!$D$17:$D$192,$C1031,'5. PERSON'!DB$17:DB$192)+SUMIF('6. OPERATION'!$D$17:$D$149,$C1031,'6. OPERATION'!CE$17:CE$149)+SUMIF('8. FACILIT'!$D$18:$D$50,$C1031,'8. FACILIT'!AF$18:AF$50)</f>
        <v>0</v>
      </c>
      <c r="D1047" s="617">
        <f>SUMIF('5. PERSON'!$D$17:$D$192,$C1031,'5. PERSON'!DC$17:DC$192)+SUMIF('6. OPERATION'!$D$17:$D$149,$C1031,'6. OPERATION'!CF$17:CF$149)+SUMIF('8. FACILIT'!$D$18:$D$50,$C1031,'8. FACILIT'!AG$18:AG$50)</f>
        <v>0</v>
      </c>
      <c r="E1047" s="617">
        <f>SUMIF('5. PERSON'!$D$17:$D$192,$C1031,'5. PERSON'!DD$17:DD$192)+SUMIF('6. OPERATION'!$D$17:$D$149,$C1031,'6. OPERATION'!CG$17:CG$149)+SUMIF('8. FACILIT'!$D$18:$D$50,$C1031,'8. FACILIT'!AH$18:AH$50)</f>
        <v>0</v>
      </c>
      <c r="F1047" s="617">
        <f>SUMIF('5. PERSON'!$D$17:$D$192,$C1031,'5. PERSON'!DE$17:DE$192)+SUMIF('6. OPERATION'!$D$17:$D$149,$C1031,'6. OPERATION'!CH$17:CH$149)+SUMIF('8. FACILIT'!$D$18:$D$50,$C1031,'8. FACILIT'!AI$18:AI$50)</f>
        <v>0</v>
      </c>
      <c r="G1047" s="617">
        <f>SUMIF('5. PERSON'!$D$17:$D$192,$C1031,'5. PERSON'!DF$17:DF$192)+SUMIF('6. OPERATION'!$D$17:$D$149,$C1031,'6. OPERATION'!CI$17:CI$149)+SUMIF('8. FACILIT'!$D$18:$D$50,$C1031,'8. FACILIT'!AJ$18:AJ$50)</f>
        <v>0</v>
      </c>
      <c r="H1047" s="617">
        <f>SUMIF('5. PERSON'!$D$17:$D$192,$C1031,'5. PERSON'!DG$17:DG$192)+SUMIF('6. OPERATION'!$D$17:$D$149,$C1031,'6. OPERATION'!CJ$17:CJ$149)+SUMIF('8. FACILIT'!$D$18:$D$50,$C1031,'8. FACILIT'!AK$18:AK$50)</f>
        <v>0</v>
      </c>
      <c r="I1047" s="617">
        <f>SUMIF('5. PERSON'!$D$17:$D$192,$C1031,'5. PERSON'!DH$17:DH$192)+SUMIF('6. OPERATION'!$D$17:$D$149,$C1031,'6. OPERATION'!CK$17:CK$149)+SUMIF('8. FACILIT'!$D$18:$D$50,$C1031,'8. FACILIT'!AL$18:AL$50)</f>
        <v>0</v>
      </c>
      <c r="J1047" s="617">
        <f>SUMIF('5. PERSON'!$D$17:$D$192,$C1031,'5. PERSON'!DI$17:DI$192)+SUMIF('6. OPERATION'!$D$17:$D$149,$C1031,'6. OPERATION'!CL$17:CL$149)+SUMIF('8. FACILIT'!$D$18:$D$50,$C1031,'8. FACILIT'!AM$18:AM$50)</f>
        <v>0</v>
      </c>
      <c r="K1047" s="617">
        <f>SUMIF('5. PERSON'!$D$17:$D$192,$C1031,'5. PERSON'!DJ$17:DJ$192)+SUMIF('6. OPERATION'!$D$17:$D$149,$C1031,'6. OPERATION'!CM$17:CM$149)+SUMIF('8. FACILIT'!$D$18:$D$50,$C1031,'8. FACILIT'!AN$18:AN$50)</f>
        <v>0</v>
      </c>
      <c r="L1047" s="617">
        <f>SUMIF('5. PERSON'!$D$17:$D$192,$C1031,'5. PERSON'!DK$17:DK$192)+SUMIF('6. OPERATION'!$D$17:$D$149,$C1031,'6. OPERATION'!CN$17:CN$149)+SUMIF('8. FACILIT'!$D$18:$D$50,$C1031,'8. FACILIT'!AO$18:AO$50)</f>
        <v>0</v>
      </c>
      <c r="M1047" s="905">
        <f t="shared" si="172"/>
        <v>0</v>
      </c>
    </row>
    <row r="1048" spans="2:15" s="912" customFormat="1" ht="13.2" x14ac:dyDescent="0.25">
      <c r="B1048" s="122" t="str">
        <f>IF('1. INTRO'!I$2="English",(IF(('5. PERSON'!CN$193+'6. OPERATION'!BQ$150)&gt;0,"Indirect","")),IF(('5. PERSON'!CN$193+'6. OPERATION'!BQ$150)&gt;0,"Indirekt",""))</f>
        <v/>
      </c>
      <c r="C1048" s="584">
        <f>SUMIF('5. PERSON'!$D$17:$D$192,$C1031,'5. PERSON'!CD$17:CD$192)+SUMIF('6. OPERATION'!$D$17:$D$149,$C1031,'6. OPERATION'!BG$17:BG$149)</f>
        <v>0</v>
      </c>
      <c r="D1048" s="584">
        <f>SUMIF('5. PERSON'!$D$17:$D$192,$C1031,'5. PERSON'!CE$17:CE$192)+SUMIF('6. OPERATION'!$D$17:$D$149,$C1031,'6. OPERATION'!BH$17:BH$149)</f>
        <v>0</v>
      </c>
      <c r="E1048" s="584">
        <f>SUMIF('5. PERSON'!$D$17:$D$192,$C1031,'5. PERSON'!CF$17:CF$192)+SUMIF('6. OPERATION'!$D$17:$D$149,$C1031,'6. OPERATION'!BI$17:BI$149)</f>
        <v>0</v>
      </c>
      <c r="F1048" s="584">
        <f>SUMIF('5. PERSON'!$D$17:$D$192,$C1031,'5. PERSON'!CG$17:CG$192)+SUMIF('6. OPERATION'!$D$17:$D$149,$C1031,'6. OPERATION'!BJ$17:BJ$149)</f>
        <v>0</v>
      </c>
      <c r="G1048" s="584">
        <f>SUMIF('5. PERSON'!$D$17:$D$192,$C1031,'5. PERSON'!CH$17:CH$192)+SUMIF('6. OPERATION'!$D$17:$D$149,$C1031,'6. OPERATION'!BK$17:BK$149)</f>
        <v>0</v>
      </c>
      <c r="H1048" s="584">
        <f>SUMIF('5. PERSON'!$D$17:$D$192,$C1031,'5. PERSON'!CI$17:CI$192)+SUMIF('6. OPERATION'!$D$17:$D$149,$C1031,'6. OPERATION'!BL$17:BL$149)</f>
        <v>0</v>
      </c>
      <c r="I1048" s="584">
        <f>SUMIF('5. PERSON'!$D$17:$D$192,$C1031,'5. PERSON'!CJ$17:CJ$192)+SUMIF('6. OPERATION'!$D$17:$D$149,$C1031,'6. OPERATION'!BM$17:BM$149)</f>
        <v>0</v>
      </c>
      <c r="J1048" s="584">
        <f>SUMIF('5. PERSON'!$D$17:$D$192,$C1031,'5. PERSON'!CK$17:CK$192)+SUMIF('6. OPERATION'!$D$17:$D$149,$C1031,'6. OPERATION'!BN$17:BN$149)</f>
        <v>0</v>
      </c>
      <c r="K1048" s="584">
        <f>SUMIF('5. PERSON'!$D$17:$D$192,$C1031,'5. PERSON'!CL$17:CL$192)+SUMIF('6. OPERATION'!$D$17:$D$149,$C1031,'6. OPERATION'!BO$17:BO$149)</f>
        <v>0</v>
      </c>
      <c r="L1048" s="584">
        <f>SUMIF('5. PERSON'!$D$17:$D$192,$C1031,'5. PERSON'!CM$17:CM$192)+SUMIF('6. OPERATION'!$D$17:$D$149,$C1031,'6. OPERATION'!BP$17:BP$149)</f>
        <v>0</v>
      </c>
      <c r="M1048" s="908">
        <f t="shared" si="172"/>
        <v>0</v>
      </c>
    </row>
    <row r="1049" spans="2:15" s="234" customFormat="1" ht="13.2" x14ac:dyDescent="0.25">
      <c r="B1049" s="628" t="s">
        <v>113</v>
      </c>
      <c r="C1049" s="443">
        <f>SUM(C1042:C1048)</f>
        <v>0</v>
      </c>
      <c r="D1049" s="443">
        <f t="shared" ref="D1049:M1049" si="173">SUM(D1042:D1048)</f>
        <v>0</v>
      </c>
      <c r="E1049" s="443">
        <f t="shared" si="173"/>
        <v>0</v>
      </c>
      <c r="F1049" s="443">
        <f t="shared" si="173"/>
        <v>0</v>
      </c>
      <c r="G1049" s="443">
        <f t="shared" si="173"/>
        <v>0</v>
      </c>
      <c r="H1049" s="443">
        <f t="shared" si="173"/>
        <v>0</v>
      </c>
      <c r="I1049" s="443">
        <f t="shared" si="173"/>
        <v>0</v>
      </c>
      <c r="J1049" s="443">
        <f t="shared" si="173"/>
        <v>0</v>
      </c>
      <c r="K1049" s="443">
        <f t="shared" si="173"/>
        <v>0</v>
      </c>
      <c r="L1049" s="443">
        <f t="shared" si="173"/>
        <v>0</v>
      </c>
      <c r="M1049" s="630">
        <f t="shared" si="173"/>
        <v>0</v>
      </c>
      <c r="N1049" s="913"/>
      <c r="O1049" s="913"/>
    </row>
    <row r="1050" spans="2:15" s="234" customFormat="1" ht="6" customHeight="1" x14ac:dyDescent="0.25">
      <c r="B1050" s="914"/>
      <c r="C1050" s="127"/>
      <c r="D1050" s="127"/>
      <c r="E1050" s="127"/>
      <c r="F1050" s="127"/>
      <c r="G1050" s="127"/>
      <c r="H1050" s="127"/>
      <c r="I1050" s="127"/>
      <c r="J1050" s="127"/>
      <c r="K1050" s="127"/>
      <c r="L1050" s="127"/>
      <c r="M1050" s="636"/>
    </row>
    <row r="1051" spans="2:15" s="234" customFormat="1" ht="13.2" x14ac:dyDescent="0.25">
      <c r="B1051" s="129" t="str">
        <f>IF('1. INTRO'!I$2="English","Full cost","Full kostnad")</f>
        <v>Full cost</v>
      </c>
      <c r="C1051" s="127"/>
      <c r="D1051" s="127"/>
      <c r="E1051" s="127"/>
      <c r="F1051" s="127"/>
      <c r="G1051" s="127"/>
      <c r="H1051" s="127"/>
      <c r="I1051" s="127"/>
      <c r="J1051" s="127"/>
      <c r="K1051" s="127"/>
      <c r="L1051" s="127"/>
      <c r="M1051" s="636"/>
    </row>
    <row r="1052" spans="2:15" s="234" customFormat="1" ht="13.2" x14ac:dyDescent="0.25">
      <c r="B1052" s="902" t="str">
        <f>IF('1. INTRO'!I$2="English","Salary including social costs (LKP)","Lön inklusive LKP")</f>
        <v>Salary including social costs (LKP)</v>
      </c>
      <c r="C1052" s="138">
        <f>C1034+C1043+C1044</f>
        <v>0</v>
      </c>
      <c r="D1052" s="138">
        <f t="shared" ref="D1052:L1052" si="174">D1034+D1043+D1044</f>
        <v>0</v>
      </c>
      <c r="E1052" s="138">
        <f t="shared" si="174"/>
        <v>0</v>
      </c>
      <c r="F1052" s="138">
        <f t="shared" si="174"/>
        <v>0</v>
      </c>
      <c r="G1052" s="138">
        <f t="shared" si="174"/>
        <v>0</v>
      </c>
      <c r="H1052" s="138">
        <f t="shared" si="174"/>
        <v>0</v>
      </c>
      <c r="I1052" s="138">
        <f t="shared" si="174"/>
        <v>0</v>
      </c>
      <c r="J1052" s="138">
        <f t="shared" si="174"/>
        <v>0</v>
      </c>
      <c r="K1052" s="138">
        <f t="shared" si="174"/>
        <v>0</v>
      </c>
      <c r="L1052" s="138">
        <f t="shared" si="174"/>
        <v>0</v>
      </c>
      <c r="M1052" s="903">
        <f>SUM(C1052:L1052)</f>
        <v>0</v>
      </c>
    </row>
    <row r="1053" spans="2:15" s="234" customFormat="1" ht="13.2" x14ac:dyDescent="0.25">
      <c r="B1053" s="377" t="str">
        <f>IF('1. INTRO'!I$2="English","Operating","Drift")</f>
        <v>Operating</v>
      </c>
      <c r="C1053" s="139">
        <f>C1035+C1045</f>
        <v>0</v>
      </c>
      <c r="D1053" s="139">
        <f t="shared" ref="D1053:L1053" si="175">D1035+D1045</f>
        <v>0</v>
      </c>
      <c r="E1053" s="139">
        <f t="shared" si="175"/>
        <v>0</v>
      </c>
      <c r="F1053" s="139">
        <f t="shared" si="175"/>
        <v>0</v>
      </c>
      <c r="G1053" s="139">
        <f t="shared" si="175"/>
        <v>0</v>
      </c>
      <c r="H1053" s="139">
        <f t="shared" si="175"/>
        <v>0</v>
      </c>
      <c r="I1053" s="139">
        <f t="shared" si="175"/>
        <v>0</v>
      </c>
      <c r="J1053" s="139">
        <f t="shared" si="175"/>
        <v>0</v>
      </c>
      <c r="K1053" s="139">
        <f t="shared" si="175"/>
        <v>0</v>
      </c>
      <c r="L1053" s="139">
        <f t="shared" si="175"/>
        <v>0</v>
      </c>
      <c r="M1053" s="905">
        <f>SUM(C1053:L1053)</f>
        <v>0</v>
      </c>
    </row>
    <row r="1054" spans="2:15" s="234" customFormat="1" ht="13.2" x14ac:dyDescent="0.25">
      <c r="B1054" s="906" t="str">
        <f>IF('1. INTRO'!I$2="English","Equipment","Utrustning")</f>
        <v>Equipment</v>
      </c>
      <c r="C1054" s="140">
        <f>C1036+C1046</f>
        <v>0</v>
      </c>
      <c r="D1054" s="140">
        <f t="shared" ref="D1054:L1054" si="176">D1036+D1046</f>
        <v>0</v>
      </c>
      <c r="E1054" s="140">
        <f t="shared" si="176"/>
        <v>0</v>
      </c>
      <c r="F1054" s="140">
        <f t="shared" si="176"/>
        <v>0</v>
      </c>
      <c r="G1054" s="140">
        <f t="shared" si="176"/>
        <v>0</v>
      </c>
      <c r="H1054" s="140">
        <f t="shared" si="176"/>
        <v>0</v>
      </c>
      <c r="I1054" s="140">
        <f t="shared" si="176"/>
        <v>0</v>
      </c>
      <c r="J1054" s="140">
        <f t="shared" si="176"/>
        <v>0</v>
      </c>
      <c r="K1054" s="140">
        <f t="shared" si="176"/>
        <v>0</v>
      </c>
      <c r="L1054" s="140">
        <f t="shared" si="176"/>
        <v>0</v>
      </c>
      <c r="M1054" s="907">
        <f>SUM(C1054:L1054)</f>
        <v>0</v>
      </c>
    </row>
    <row r="1055" spans="2:15" s="234" customFormat="1" ht="13.2" x14ac:dyDescent="0.25">
      <c r="B1055" s="377" t="str">
        <f>IF('1. INTRO'!I$2="English","Facility","Lokal")</f>
        <v>Facility</v>
      </c>
      <c r="C1055" s="139">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39">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39">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39">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39">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39">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39">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39">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39">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39">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905">
        <f>SUM(C1055:L1055)</f>
        <v>0</v>
      </c>
    </row>
    <row r="1056" spans="2:15" s="234" customFormat="1" ht="13.2" x14ac:dyDescent="0.25">
      <c r="B1056" s="915" t="str">
        <f>IF('1. INTRO'!I$2="English","Indirect","Indirekt")</f>
        <v>Indirect</v>
      </c>
      <c r="C1056" s="141">
        <f>SUMIF('5. PERSON'!$D$17:$D$192,$C1031,'5. PERSON'!BR$17:BR$192)+SUMIF('5. PERSON'!$D$17:$D$192,$C1031,'5. PERSON'!CD$17:CD$192)+SUMIF('6. OPERATION'!$D$17:$D$149,$C1031,'6. OPERATION'!AU$17:AU$149)+SUMIF('6. OPERATION'!$D$17:$D$149,$C1031,'6. OPERATION'!BG$17:BG$149)</f>
        <v>0</v>
      </c>
      <c r="D1056" s="141">
        <f>SUMIF('5. PERSON'!$D$17:$D$192,$C1031,'5. PERSON'!BS$17:BS$192)+SUMIF('5. PERSON'!$D$17:$D$192,$C1031,'5. PERSON'!CE$17:CE$192)+SUMIF('6. OPERATION'!$D$17:$D$149,$C1031,'6. OPERATION'!AV$17:AV$149)+SUMIF('6. OPERATION'!$D$17:$D$149,$C1031,'6. OPERATION'!BH$17:BH$149)</f>
        <v>0</v>
      </c>
      <c r="E1056" s="141">
        <f>SUMIF('5. PERSON'!$D$17:$D$192,$C1031,'5. PERSON'!BT$17:BT$192)+SUMIF('5. PERSON'!$D$17:$D$192,$C1031,'5. PERSON'!CF$17:CF$192)+SUMIF('6. OPERATION'!$D$17:$D$149,$C1031,'6. OPERATION'!AW$17:AW$149)+SUMIF('6. OPERATION'!$D$17:$D$149,$C1031,'6. OPERATION'!BI$17:BI$149)</f>
        <v>0</v>
      </c>
      <c r="F1056" s="141">
        <f>SUMIF('5. PERSON'!$D$17:$D$192,$C1031,'5. PERSON'!BU$17:BU$192)+SUMIF('5. PERSON'!$D$17:$D$192,$C1031,'5. PERSON'!CG$17:CG$192)+SUMIF('6. OPERATION'!$D$17:$D$149,$C1031,'6. OPERATION'!AX$17:AX$149)+SUMIF('6. OPERATION'!$D$17:$D$149,$C1031,'6. OPERATION'!BJ$17:BJ$149)</f>
        <v>0</v>
      </c>
      <c r="G1056" s="141">
        <f>SUMIF('5. PERSON'!$D$17:$D$192,$C1031,'5. PERSON'!BV$17:BV$192)+SUMIF('5. PERSON'!$D$17:$D$192,$C1031,'5. PERSON'!CH$17:CH$192)+SUMIF('6. OPERATION'!$D$17:$D$149,$C1031,'6. OPERATION'!AY$17:AY$149)+SUMIF('6. OPERATION'!$D$17:$D$149,$C1031,'6. OPERATION'!BK$17:BK$149)</f>
        <v>0</v>
      </c>
      <c r="H1056" s="141">
        <f>SUMIF('5. PERSON'!$D$17:$D$192,$C1031,'5. PERSON'!BW$17:BW$192)+SUMIF('5. PERSON'!$D$17:$D$192,$C1031,'5. PERSON'!CI$17:CI$192)+SUMIF('6. OPERATION'!$D$17:$D$149,$C1031,'6. OPERATION'!AZ$17:AZ$149)+SUMIF('6. OPERATION'!$D$17:$D$149,$C1031,'6. OPERATION'!BL$17:BL$149)</f>
        <v>0</v>
      </c>
      <c r="I1056" s="141">
        <f>SUMIF('5. PERSON'!$D$17:$D$192,$C1031,'5. PERSON'!BX$17:BX$192)+SUMIF('5. PERSON'!$D$17:$D$192,$C1031,'5. PERSON'!CJ$17:CJ$192)+SUMIF('6. OPERATION'!$D$17:$D$149,$C1031,'6. OPERATION'!BA$17:BA$149)+SUMIF('6. OPERATION'!$D$17:$D$149,$C1031,'6. OPERATION'!BM$17:BM$149)</f>
        <v>0</v>
      </c>
      <c r="J1056" s="141">
        <f>SUMIF('5. PERSON'!$D$17:$D$192,$C1031,'5. PERSON'!BY$17:BY$192)+SUMIF('5. PERSON'!$D$17:$D$192,$C1031,'5. PERSON'!CK$17:CK$192)+SUMIF('6. OPERATION'!$D$17:$D$149,$C1031,'6. OPERATION'!BB$17:BB$149)+SUMIF('6. OPERATION'!$D$17:$D$149,$C1031,'6. OPERATION'!BN$17:BN$149)</f>
        <v>0</v>
      </c>
      <c r="K1056" s="141">
        <f>SUMIF('5. PERSON'!$D$17:$D$192,$C1031,'5. PERSON'!BZ$17:BZ$192)+SUMIF('5. PERSON'!$D$17:$D$192,$C1031,'5. PERSON'!CL$17:CL$192)+SUMIF('6. OPERATION'!$D$17:$D$149,$C1031,'6. OPERATION'!BC$17:BC$149)+SUMIF('6. OPERATION'!$D$17:$D$149,$C1031,'6. OPERATION'!BO$17:BO$149)</f>
        <v>0</v>
      </c>
      <c r="L1056" s="141">
        <f>SUMIF('5. PERSON'!$D$17:$D$192,$C1031,'5. PERSON'!CA$17:CA$192)+SUMIF('5. PERSON'!$D$17:$D$192,$C1031,'5. PERSON'!CM$17:CM$192)+SUMIF('6. OPERATION'!$D$17:$D$149,$C1031,'6. OPERATION'!BD$17:BD$149)+SUMIF('6. OPERATION'!$D$17:$D$149,$C1031,'6. OPERATION'!BP$17:BP$149)</f>
        <v>0</v>
      </c>
      <c r="M1056" s="908">
        <f>SUM(C1056:L1056)</f>
        <v>0</v>
      </c>
    </row>
    <row r="1057" spans="2:13" s="234" customFormat="1" ht="13.2" x14ac:dyDescent="0.25">
      <c r="B1057" s="628" t="s">
        <v>113</v>
      </c>
      <c r="C1057" s="520">
        <f>SUM(C1052:C1056)</f>
        <v>0</v>
      </c>
      <c r="D1057" s="520">
        <f t="shared" ref="D1057:M1057" si="177">SUM(D1052:D1056)</f>
        <v>0</v>
      </c>
      <c r="E1057" s="520">
        <f t="shared" si="177"/>
        <v>0</v>
      </c>
      <c r="F1057" s="520">
        <f t="shared" si="177"/>
        <v>0</v>
      </c>
      <c r="G1057" s="520">
        <f t="shared" si="177"/>
        <v>0</v>
      </c>
      <c r="H1057" s="520">
        <f t="shared" si="177"/>
        <v>0</v>
      </c>
      <c r="I1057" s="520">
        <f t="shared" si="177"/>
        <v>0</v>
      </c>
      <c r="J1057" s="520">
        <f t="shared" si="177"/>
        <v>0</v>
      </c>
      <c r="K1057" s="520">
        <f t="shared" si="177"/>
        <v>0</v>
      </c>
      <c r="L1057" s="520">
        <f t="shared" si="177"/>
        <v>0</v>
      </c>
      <c r="M1057" s="916">
        <f t="shared" si="177"/>
        <v>0</v>
      </c>
    </row>
    <row r="1058" spans="2:13" s="234" customFormat="1" ht="13.2" x14ac:dyDescent="0.25">
      <c r="B1058" s="676"/>
      <c r="C1058" s="268"/>
      <c r="D1058" s="268"/>
      <c r="E1058" s="268"/>
      <c r="F1058" s="268"/>
      <c r="G1058" s="268"/>
      <c r="H1058" s="268"/>
      <c r="I1058" s="268"/>
      <c r="J1058" s="268"/>
      <c r="K1058" s="268"/>
      <c r="L1058" s="268"/>
      <c r="M1058" s="268"/>
    </row>
    <row r="1059" spans="2:13" s="234" customFormat="1" ht="12.75" customHeight="1" x14ac:dyDescent="0.25">
      <c r="B1059" s="676" t="str">
        <f>IF('1. INTRO'!I$2="English","Co-funding share in full cost ","Medfinansieringsandel i full kostnad ")</f>
        <v xml:space="preserve">Co-funding share in full cost </v>
      </c>
      <c r="C1059" s="640" t="str">
        <f t="shared" ref="C1059:M1059" si="178">IF(C1057&gt;0,C1049/C1057,"")</f>
        <v/>
      </c>
      <c r="D1059" s="640" t="str">
        <f t="shared" si="178"/>
        <v/>
      </c>
      <c r="E1059" s="640" t="str">
        <f t="shared" si="178"/>
        <v/>
      </c>
      <c r="F1059" s="640" t="str">
        <f t="shared" si="178"/>
        <v/>
      </c>
      <c r="G1059" s="640" t="str">
        <f t="shared" si="178"/>
        <v/>
      </c>
      <c r="H1059" s="640" t="str">
        <f t="shared" si="178"/>
        <v/>
      </c>
      <c r="I1059" s="640" t="str">
        <f t="shared" si="178"/>
        <v/>
      </c>
      <c r="J1059" s="640" t="str">
        <f t="shared" si="178"/>
        <v/>
      </c>
      <c r="K1059" s="640" t="str">
        <f t="shared" si="178"/>
        <v/>
      </c>
      <c r="L1059" s="640" t="str">
        <f t="shared" si="178"/>
        <v/>
      </c>
      <c r="M1059" s="640" t="str">
        <f t="shared" si="178"/>
        <v/>
      </c>
    </row>
    <row r="1060" spans="2:13" s="268" customFormat="1" ht="12.75" customHeight="1" x14ac:dyDescent="0.25"/>
    <row r="1061" spans="2:13" s="268" customFormat="1" ht="12.75" customHeight="1" x14ac:dyDescent="0.25">
      <c r="B1061" s="667" t="str">
        <f>IF('1. INTRO'!I$2="English","Calculation comments","Kalkylkommentarer")</f>
        <v>Calculation comments</v>
      </c>
    </row>
    <row r="1062" spans="2:13" s="268" customFormat="1" ht="12.75" customHeight="1" x14ac:dyDescent="0.25">
      <c r="B1062" s="1264"/>
      <c r="C1062" s="1265"/>
      <c r="D1062" s="1265"/>
      <c r="E1062" s="1265"/>
      <c r="F1062" s="1265"/>
      <c r="G1062" s="1265"/>
      <c r="H1062" s="1265"/>
      <c r="I1062" s="1265"/>
      <c r="J1062" s="1265"/>
      <c r="K1062" s="1265"/>
      <c r="L1062" s="1265"/>
      <c r="M1062" s="1266"/>
    </row>
    <row r="1063" spans="2:13" s="268" customFormat="1" ht="12.75" customHeight="1" x14ac:dyDescent="0.25">
      <c r="B1063" s="1267"/>
      <c r="C1063" s="1268"/>
      <c r="D1063" s="1268"/>
      <c r="E1063" s="1268"/>
      <c r="F1063" s="1268"/>
      <c r="G1063" s="1268"/>
      <c r="H1063" s="1268"/>
      <c r="I1063" s="1268"/>
      <c r="J1063" s="1268"/>
      <c r="K1063" s="1268"/>
      <c r="L1063" s="1268"/>
      <c r="M1063" s="1269"/>
    </row>
    <row r="1064" spans="2:13" s="268" customFormat="1" ht="12.75" customHeight="1" x14ac:dyDescent="0.25">
      <c r="B1064" s="1267"/>
      <c r="C1064" s="1268"/>
      <c r="D1064" s="1268"/>
      <c r="E1064" s="1268"/>
      <c r="F1064" s="1268"/>
      <c r="G1064" s="1268"/>
      <c r="H1064" s="1268"/>
      <c r="I1064" s="1268"/>
      <c r="J1064" s="1268"/>
      <c r="K1064" s="1268"/>
      <c r="L1064" s="1268"/>
      <c r="M1064" s="1269"/>
    </row>
    <row r="1065" spans="2:13" s="268" customFormat="1" ht="12.75" customHeight="1" x14ac:dyDescent="0.25">
      <c r="B1065" s="1267"/>
      <c r="C1065" s="1268"/>
      <c r="D1065" s="1268"/>
      <c r="E1065" s="1268"/>
      <c r="F1065" s="1268"/>
      <c r="G1065" s="1268"/>
      <c r="H1065" s="1268"/>
      <c r="I1065" s="1268"/>
      <c r="J1065" s="1268"/>
      <c r="K1065" s="1268"/>
      <c r="L1065" s="1268"/>
      <c r="M1065" s="1269"/>
    </row>
    <row r="1066" spans="2:13" s="268" customFormat="1" ht="12.75" customHeight="1" x14ac:dyDescent="0.25">
      <c r="B1066" s="1267"/>
      <c r="C1066" s="1268"/>
      <c r="D1066" s="1268"/>
      <c r="E1066" s="1268"/>
      <c r="F1066" s="1268"/>
      <c r="G1066" s="1268"/>
      <c r="H1066" s="1268"/>
      <c r="I1066" s="1268"/>
      <c r="J1066" s="1268"/>
      <c r="K1066" s="1268"/>
      <c r="L1066" s="1268"/>
      <c r="M1066" s="1269"/>
    </row>
    <row r="1067" spans="2:13" s="268" customFormat="1" ht="12.75" customHeight="1" x14ac:dyDescent="0.25">
      <c r="B1067" s="1270"/>
      <c r="C1067" s="1271"/>
      <c r="D1067" s="1271"/>
      <c r="E1067" s="1271"/>
      <c r="F1067" s="1271"/>
      <c r="G1067" s="1271"/>
      <c r="H1067" s="1271"/>
      <c r="I1067" s="1271"/>
      <c r="J1067" s="1271"/>
      <c r="K1067" s="1271"/>
      <c r="L1067" s="1271"/>
      <c r="M1067" s="1272"/>
    </row>
    <row r="1068" spans="2:13" s="268" customFormat="1" x14ac:dyDescent="0.25">
      <c r="B1068" s="1270"/>
      <c r="C1068" s="1271"/>
      <c r="D1068" s="1271"/>
      <c r="E1068" s="1271"/>
      <c r="F1068" s="1271"/>
      <c r="G1068" s="1271"/>
      <c r="H1068" s="1271"/>
      <c r="I1068" s="1271"/>
      <c r="J1068" s="1271"/>
      <c r="K1068" s="1271"/>
      <c r="L1068" s="1271"/>
      <c r="M1068" s="1272"/>
    </row>
    <row r="1069" spans="2:13" s="268" customFormat="1" x14ac:dyDescent="0.25">
      <c r="B1069" s="1270"/>
      <c r="C1069" s="1271"/>
      <c r="D1069" s="1271"/>
      <c r="E1069" s="1271"/>
      <c r="F1069" s="1271"/>
      <c r="G1069" s="1271"/>
      <c r="H1069" s="1271"/>
      <c r="I1069" s="1271"/>
      <c r="J1069" s="1271"/>
      <c r="K1069" s="1271"/>
      <c r="L1069" s="1271"/>
      <c r="M1069" s="1272"/>
    </row>
    <row r="1070" spans="2:13" s="268" customFormat="1" x14ac:dyDescent="0.25">
      <c r="B1070" s="1270"/>
      <c r="C1070" s="1271"/>
      <c r="D1070" s="1271"/>
      <c r="E1070" s="1271"/>
      <c r="F1070" s="1271"/>
      <c r="G1070" s="1271"/>
      <c r="H1070" s="1271"/>
      <c r="I1070" s="1271"/>
      <c r="J1070" s="1271"/>
      <c r="K1070" s="1271"/>
      <c r="L1070" s="1271"/>
      <c r="M1070" s="1272"/>
    </row>
    <row r="1071" spans="2:13" s="268" customFormat="1" x14ac:dyDescent="0.25">
      <c r="B1071" s="1270"/>
      <c r="C1071" s="1271"/>
      <c r="D1071" s="1271"/>
      <c r="E1071" s="1271"/>
      <c r="F1071" s="1271"/>
      <c r="G1071" s="1271"/>
      <c r="H1071" s="1271"/>
      <c r="I1071" s="1271"/>
      <c r="J1071" s="1271"/>
      <c r="K1071" s="1271"/>
      <c r="L1071" s="1271"/>
      <c r="M1071" s="1272"/>
    </row>
    <row r="1072" spans="2:13" s="268" customFormat="1" x14ac:dyDescent="0.25">
      <c r="B1072" s="1270"/>
      <c r="C1072" s="1271"/>
      <c r="D1072" s="1271"/>
      <c r="E1072" s="1271"/>
      <c r="F1072" s="1271"/>
      <c r="G1072" s="1271"/>
      <c r="H1072" s="1271"/>
      <c r="I1072" s="1271"/>
      <c r="J1072" s="1271"/>
      <c r="K1072" s="1271"/>
      <c r="L1072" s="1271"/>
      <c r="M1072" s="1272"/>
    </row>
    <row r="1073" spans="2:15" s="268" customFormat="1" x14ac:dyDescent="0.25">
      <c r="B1073" s="1270"/>
      <c r="C1073" s="1271"/>
      <c r="D1073" s="1271"/>
      <c r="E1073" s="1271"/>
      <c r="F1073" s="1271"/>
      <c r="G1073" s="1271"/>
      <c r="H1073" s="1271"/>
      <c r="I1073" s="1271"/>
      <c r="J1073" s="1271"/>
      <c r="K1073" s="1271"/>
      <c r="L1073" s="1271"/>
      <c r="M1073" s="1272"/>
    </row>
    <row r="1074" spans="2:15" s="268" customFormat="1" x14ac:dyDescent="0.25">
      <c r="B1074" s="1273"/>
      <c r="C1074" s="1274"/>
      <c r="D1074" s="1274"/>
      <c r="E1074" s="1274"/>
      <c r="F1074" s="1274"/>
      <c r="G1074" s="1274"/>
      <c r="H1074" s="1274"/>
      <c r="I1074" s="1274"/>
      <c r="J1074" s="1274"/>
      <c r="K1074" s="1274"/>
      <c r="L1074" s="1274"/>
      <c r="M1074" s="1275"/>
    </row>
    <row r="1075" spans="2:15" s="268" customFormat="1" x14ac:dyDescent="0.25"/>
    <row r="1076" spans="2:15" s="268" customFormat="1" x14ac:dyDescent="0.25"/>
    <row r="1077" spans="2:15" s="234" customFormat="1" ht="12.75" customHeight="1" x14ac:dyDescent="0.25">
      <c r="B1077" s="313" t="str">
        <f>'3. PARTNER'!C$4</f>
        <v xml:space="preserve">Project: </v>
      </c>
      <c r="C1077" s="1062" t="str">
        <f>'3. PARTNER'!D$4</f>
        <v/>
      </c>
      <c r="D1077" s="1001"/>
      <c r="E1077" s="1001"/>
      <c r="F1077" s="1001"/>
      <c r="G1077" s="1001"/>
      <c r="H1077" s="1001"/>
      <c r="I1077" s="1001"/>
      <c r="J1077" s="1001"/>
      <c r="K1077" s="1001"/>
      <c r="L1077" s="1001"/>
      <c r="M1077" s="1001"/>
    </row>
    <row r="1078" spans="2:15" s="234" customFormat="1" ht="13.2" x14ac:dyDescent="0.25">
      <c r="B1078" s="313" t="str">
        <f>'3. PARTNER'!C$5</f>
        <v xml:space="preserve">Calculation for: </v>
      </c>
      <c r="C1078" s="1062" t="str">
        <f>'3. PARTNER'!D$5</f>
        <v>APPLICATION</v>
      </c>
      <c r="D1078" s="1001"/>
      <c r="E1078" s="268"/>
      <c r="F1078" s="268"/>
      <c r="G1078" s="268"/>
      <c r="H1078" s="268"/>
      <c r="I1078" s="268"/>
      <c r="J1078" s="268"/>
      <c r="K1078" s="268"/>
      <c r="L1078" s="268"/>
      <c r="M1078" s="268"/>
    </row>
    <row r="1079" spans="2:15" s="234" customFormat="1" ht="13.2" x14ac:dyDescent="0.25">
      <c r="B1079" s="35" t="str">
        <f>'3. PARTNER'!C$6</f>
        <v xml:space="preserve">Project leader: </v>
      </c>
      <c r="C1079" s="1062" t="str">
        <f>'3. PARTNER'!D$6</f>
        <v/>
      </c>
      <c r="D1079" s="1001"/>
      <c r="E1079" s="1001"/>
      <c r="F1079" s="1001"/>
      <c r="G1079" s="1001"/>
      <c r="H1079" s="1001"/>
      <c r="I1079" s="1001"/>
      <c r="J1079" s="1001"/>
      <c r="K1079" s="1001"/>
      <c r="L1079" s="1001"/>
      <c r="M1079" s="1001"/>
    </row>
    <row r="1080" spans="2:15" s="234" customFormat="1" ht="13.2" x14ac:dyDescent="0.25">
      <c r="B1080" s="313" t="str">
        <f>'5. PERSON'!B$7</f>
        <v xml:space="preserve">Amounts in: </v>
      </c>
      <c r="C1080" s="672" t="str">
        <f>'5. PERSON'!C$7</f>
        <v>SEK</v>
      </c>
      <c r="D1080" s="268"/>
      <c r="E1080" s="268"/>
      <c r="F1080" s="268"/>
      <c r="I1080" s="270"/>
      <c r="J1080" s="270"/>
      <c r="K1080" s="270"/>
      <c r="L1080" s="270"/>
      <c r="M1080" s="270"/>
    </row>
    <row r="1081" spans="2:15" s="234" customFormat="1" ht="13.2" x14ac:dyDescent="0.25">
      <c r="B1081" s="313"/>
      <c r="C1081" s="1053" t="str">
        <f>'3. PARTNER'!D$7</f>
        <v>Other basic data about the project is in sheet 2.</v>
      </c>
      <c r="D1081" s="1001"/>
      <c r="E1081" s="1001"/>
      <c r="F1081" s="1001"/>
      <c r="I1081" s="270"/>
      <c r="J1081" s="270"/>
      <c r="K1081" s="270"/>
      <c r="L1081" s="251" t="s">
        <v>4</v>
      </c>
      <c r="M1081" s="270"/>
    </row>
    <row r="1082" spans="2:15" s="268" customFormat="1" ht="12.75" customHeight="1" x14ac:dyDescent="0.25">
      <c r="L1082" s="252" t="str">
        <f>IF('1. INTRO'!I$2="English","months","månader")</f>
        <v>months</v>
      </c>
    </row>
    <row r="1083" spans="2:15" s="234" customFormat="1" ht="13.8" x14ac:dyDescent="0.25">
      <c r="B1083" s="678" t="str">
        <f>IF('1. INTRO'!I$2="English","Project costs","Projektkostnader")</f>
        <v>Project costs</v>
      </c>
      <c r="C1083" s="678" t="str">
        <f>B35</f>
        <v xml:space="preserve">Project total (see sheet 9) </v>
      </c>
      <c r="E1083" s="268"/>
      <c r="G1083" s="268"/>
      <c r="H1083" s="268"/>
      <c r="I1083" s="268"/>
      <c r="J1083" s="268"/>
      <c r="K1083" s="676"/>
      <c r="L1083" s="899">
        <f>L511+L459+L407+L355+L303+L251+L199+L147+L95+L43+L563+L615+L667+L719+L771+L823+L875+L927+L979+L1031</f>
        <v>0</v>
      </c>
      <c r="M1083" s="680" t="s">
        <v>330</v>
      </c>
    </row>
    <row r="1084" spans="2:15" s="234" customFormat="1" ht="6" customHeight="1" x14ac:dyDescent="0.25">
      <c r="B1084" s="602"/>
      <c r="C1084" s="268"/>
      <c r="D1084" s="268"/>
      <c r="E1084" s="268"/>
      <c r="F1084" s="268"/>
      <c r="G1084" s="268"/>
      <c r="H1084" s="268"/>
      <c r="I1084" s="268"/>
      <c r="J1084" s="268"/>
      <c r="K1084" s="268"/>
      <c r="L1084" s="268"/>
      <c r="M1084" s="268"/>
    </row>
    <row r="1085" spans="2:15" s="234" customFormat="1" ht="13.2" x14ac:dyDescent="0.25">
      <c r="B1085" s="110" t="str">
        <f>IF('1. INTRO'!I$2="English","Costs to be covered by funding body","Kostnader att täckas av finansiär")</f>
        <v>Costs to be covered by funding body</v>
      </c>
      <c r="C1085" s="607">
        <f>'5. PERSON'!G$15</f>
        <v>1900</v>
      </c>
      <c r="D1085" s="607" t="str">
        <f>'5. PERSON'!H$15</f>
        <v/>
      </c>
      <c r="E1085" s="607" t="str">
        <f>'5. PERSON'!I$15</f>
        <v/>
      </c>
      <c r="F1085" s="607" t="str">
        <f>'5. PERSON'!J$15</f>
        <v/>
      </c>
      <c r="G1085" s="607" t="str">
        <f>'5. PERSON'!K$15</f>
        <v/>
      </c>
      <c r="H1085" s="607" t="str">
        <f>'5. PERSON'!L$15</f>
        <v/>
      </c>
      <c r="I1085" s="607" t="str">
        <f>'5. PERSON'!M$15</f>
        <v/>
      </c>
      <c r="J1085" s="607" t="str">
        <f>'5. PERSON'!N$15</f>
        <v/>
      </c>
      <c r="K1085" s="607" t="str">
        <f>'5. PERSON'!O$15</f>
        <v/>
      </c>
      <c r="L1085" s="607" t="str">
        <f>'5. PERSON'!P$15</f>
        <v/>
      </c>
      <c r="M1085" s="608" t="s">
        <v>2</v>
      </c>
    </row>
    <row r="1086" spans="2:15" s="234" customFormat="1" ht="12.75" customHeight="1" x14ac:dyDescent="0.25">
      <c r="B1086" s="902" t="str">
        <f>IF('1. INTRO'!I$2="English","Salary including social costs (LKP)","Lön inklusive LKP")</f>
        <v>Salary including social costs (LKP)</v>
      </c>
      <c r="C1086" s="610">
        <f>C46+C98+C150+C202+C254+C306+C358+C410+C462+C514+C566+C618+C670+C722+C774+C826+C878+C930+C982+C1034</f>
        <v>0</v>
      </c>
      <c r="D1086" s="610">
        <f t="shared" ref="D1086:L1086" si="179">D46+D98+D150+D202+D254+D306+D358+D410+D462+D514+D566+D618+D670+D722+D774+D826+D878+D930+D982+D1034</f>
        <v>0</v>
      </c>
      <c r="E1086" s="610">
        <f t="shared" si="179"/>
        <v>0</v>
      </c>
      <c r="F1086" s="610">
        <f t="shared" si="179"/>
        <v>0</v>
      </c>
      <c r="G1086" s="610">
        <f t="shared" si="179"/>
        <v>0</v>
      </c>
      <c r="H1086" s="610">
        <f t="shared" si="179"/>
        <v>0</v>
      </c>
      <c r="I1086" s="610">
        <f t="shared" si="179"/>
        <v>0</v>
      </c>
      <c r="J1086" s="610">
        <f t="shared" si="179"/>
        <v>0</v>
      </c>
      <c r="K1086" s="610">
        <f t="shared" si="179"/>
        <v>0</v>
      </c>
      <c r="L1086" s="612">
        <f t="shared" si="179"/>
        <v>0</v>
      </c>
      <c r="M1086" s="613">
        <f t="shared" ref="M1086:M1091" si="180">SUM(C1086:L1086)</f>
        <v>0</v>
      </c>
      <c r="O1086" s="904"/>
    </row>
    <row r="1087" spans="2:15" s="234" customFormat="1" ht="12.75" customHeight="1" x14ac:dyDescent="0.25">
      <c r="B1087" s="377" t="str">
        <f>IF('1. INTRO'!I$2="English","Operating","Drift")</f>
        <v>Operating</v>
      </c>
      <c r="C1087" s="615">
        <f t="shared" ref="C1087:L1087" si="181">C47+C99+C151+C203+C255+C307+C359+C411+C463+C515+C567+C619+C671+C723+C775+C827+C879+C931+C983+C1035</f>
        <v>0</v>
      </c>
      <c r="D1087" s="615">
        <f t="shared" si="181"/>
        <v>0</v>
      </c>
      <c r="E1087" s="615">
        <f t="shared" si="181"/>
        <v>0</v>
      </c>
      <c r="F1087" s="615">
        <f t="shared" si="181"/>
        <v>0</v>
      </c>
      <c r="G1087" s="615">
        <f t="shared" si="181"/>
        <v>0</v>
      </c>
      <c r="H1087" s="615">
        <f t="shared" si="181"/>
        <v>0</v>
      </c>
      <c r="I1087" s="615">
        <f t="shared" si="181"/>
        <v>0</v>
      </c>
      <c r="J1087" s="615">
        <f t="shared" si="181"/>
        <v>0</v>
      </c>
      <c r="K1087" s="615">
        <f t="shared" si="181"/>
        <v>0</v>
      </c>
      <c r="L1087" s="617">
        <f t="shared" si="181"/>
        <v>0</v>
      </c>
      <c r="M1087" s="618">
        <f t="shared" si="180"/>
        <v>0</v>
      </c>
    </row>
    <row r="1088" spans="2:15" s="234" customFormat="1" ht="13.2" x14ac:dyDescent="0.25">
      <c r="B1088" s="906" t="str">
        <f>IF('1. INTRO'!I$2="English","Equipment","Utrustning")</f>
        <v>Equipment</v>
      </c>
      <c r="C1088" s="620">
        <f t="shared" ref="C1088:L1088" si="182">C48+C100+C152+C204+C256+C308+C360+C412+C464+C516+C568+C620+C672+C724+C776+C828+C880+C932+C984+C1036</f>
        <v>0</v>
      </c>
      <c r="D1088" s="620">
        <f t="shared" si="182"/>
        <v>0</v>
      </c>
      <c r="E1088" s="620">
        <f t="shared" si="182"/>
        <v>0</v>
      </c>
      <c r="F1088" s="620">
        <f t="shared" si="182"/>
        <v>0</v>
      </c>
      <c r="G1088" s="620">
        <f t="shared" si="182"/>
        <v>0</v>
      </c>
      <c r="H1088" s="620">
        <f t="shared" si="182"/>
        <v>0</v>
      </c>
      <c r="I1088" s="620">
        <f t="shared" si="182"/>
        <v>0</v>
      </c>
      <c r="J1088" s="620">
        <f t="shared" si="182"/>
        <v>0</v>
      </c>
      <c r="K1088" s="620">
        <f t="shared" si="182"/>
        <v>0</v>
      </c>
      <c r="L1088" s="622">
        <f t="shared" si="182"/>
        <v>0</v>
      </c>
      <c r="M1088" s="623">
        <f t="shared" si="180"/>
        <v>0</v>
      </c>
    </row>
    <row r="1089" spans="2:15" s="234" customFormat="1" ht="13.2" x14ac:dyDescent="0.25">
      <c r="B1089" s="121" t="str">
        <f>IF('1. INTRO'!I$2="English",(IF('2. START'!C$11="NO","Facility accepted as direct cost by funding body","Facility")),IF('2. START'!C$11="NO","Lokal accepterad som direkt kostnad av finansiär","Lokal"))</f>
        <v>Facility</v>
      </c>
      <c r="C1089" s="615">
        <f t="shared" ref="C1089:L1089" si="183">C49+C101+C153+C205+C257+C309+C361+C413+C465+C517+C569+C621+C673+C725+C777+C829+C881+C933+C985+C1037</f>
        <v>0</v>
      </c>
      <c r="D1089" s="615">
        <f t="shared" si="183"/>
        <v>0</v>
      </c>
      <c r="E1089" s="615">
        <f t="shared" si="183"/>
        <v>0</v>
      </c>
      <c r="F1089" s="615">
        <f t="shared" si="183"/>
        <v>0</v>
      </c>
      <c r="G1089" s="615">
        <f t="shared" si="183"/>
        <v>0</v>
      </c>
      <c r="H1089" s="615">
        <f t="shared" si="183"/>
        <v>0</v>
      </c>
      <c r="I1089" s="615">
        <f t="shared" si="183"/>
        <v>0</v>
      </c>
      <c r="J1089" s="615">
        <f t="shared" si="183"/>
        <v>0</v>
      </c>
      <c r="K1089" s="615">
        <f t="shared" si="183"/>
        <v>0</v>
      </c>
      <c r="L1089" s="617">
        <f t="shared" si="183"/>
        <v>0</v>
      </c>
      <c r="M1089" s="618">
        <f t="shared" si="180"/>
        <v>0</v>
      </c>
    </row>
    <row r="1090" spans="2:15" s="234" customFormat="1" ht="13.2" x14ac:dyDescent="0.25">
      <c r="B1090" s="122" t="str">
        <f>IF('1. INTRO'!I$2="English",(IF('2. START'!C$11="NO","Indirect and facility charge accepted as OH by funding body","Indirect")),IF('2. START'!C$11="NO","Indirekt och lokalpåslag accepterade som OH av finansiär","Indirekt"))</f>
        <v>Indirect</v>
      </c>
      <c r="C1090" s="584">
        <f t="shared" ref="C1090:L1090" si="184">C50+C102+C154+C206+C258+C310+C362+C414+C466+C518+C570+C622+C674+C726+C778+C830+C882+C934+C986+C1038</f>
        <v>0</v>
      </c>
      <c r="D1090" s="584">
        <f t="shared" si="184"/>
        <v>0</v>
      </c>
      <c r="E1090" s="584">
        <f t="shared" si="184"/>
        <v>0</v>
      </c>
      <c r="F1090" s="584">
        <f t="shared" si="184"/>
        <v>0</v>
      </c>
      <c r="G1090" s="584">
        <f t="shared" si="184"/>
        <v>0</v>
      </c>
      <c r="H1090" s="584">
        <f t="shared" si="184"/>
        <v>0</v>
      </c>
      <c r="I1090" s="584">
        <f t="shared" si="184"/>
        <v>0</v>
      </c>
      <c r="J1090" s="584">
        <f t="shared" si="184"/>
        <v>0</v>
      </c>
      <c r="K1090" s="584">
        <f t="shared" si="184"/>
        <v>0</v>
      </c>
      <c r="L1090" s="626">
        <f t="shared" si="184"/>
        <v>0</v>
      </c>
      <c r="M1090" s="627">
        <f t="shared" si="180"/>
        <v>0</v>
      </c>
    </row>
    <row r="1091" spans="2:15" s="234" customFormat="1" ht="13.2" x14ac:dyDescent="0.25">
      <c r="B1091" s="628" t="s">
        <v>113</v>
      </c>
      <c r="C1091" s="629">
        <f>SUM(C1086:C1090)</f>
        <v>0</v>
      </c>
      <c r="D1091" s="629">
        <f t="shared" ref="D1091:L1091" si="185">SUM(D1086:D1090)</f>
        <v>0</v>
      </c>
      <c r="E1091" s="629">
        <f t="shared" si="185"/>
        <v>0</v>
      </c>
      <c r="F1091" s="629">
        <f t="shared" si="185"/>
        <v>0</v>
      </c>
      <c r="G1091" s="629">
        <f t="shared" si="185"/>
        <v>0</v>
      </c>
      <c r="H1091" s="629">
        <f t="shared" si="185"/>
        <v>0</v>
      </c>
      <c r="I1091" s="629">
        <f t="shared" si="185"/>
        <v>0</v>
      </c>
      <c r="J1091" s="629">
        <f t="shared" si="185"/>
        <v>0</v>
      </c>
      <c r="K1091" s="629">
        <f t="shared" si="185"/>
        <v>0</v>
      </c>
      <c r="L1091" s="629">
        <f t="shared" si="185"/>
        <v>0</v>
      </c>
      <c r="M1091" s="630">
        <f t="shared" si="180"/>
        <v>0</v>
      </c>
    </row>
    <row r="1092" spans="2:15" s="234" customFormat="1" ht="6" customHeight="1" x14ac:dyDescent="0.25">
      <c r="B1092" s="909"/>
      <c r="C1092" s="127"/>
      <c r="D1092" s="127"/>
      <c r="E1092" s="127"/>
      <c r="F1092" s="127"/>
      <c r="G1092" s="127"/>
      <c r="H1092" s="127"/>
      <c r="I1092" s="127"/>
      <c r="J1092" s="127"/>
      <c r="K1092" s="127"/>
      <c r="L1092" s="127"/>
      <c r="M1092" s="633"/>
    </row>
    <row r="1093" spans="2:15" s="234" customFormat="1" ht="13.2" x14ac:dyDescent="0.25">
      <c r="B1093" s="129" t="str">
        <f>IF('1. INTRO'!I$2="English","Costs to be co-funded","Kostnader att medfinansiera")</f>
        <v>Costs to be co-funded</v>
      </c>
      <c r="C1093" s="634"/>
      <c r="D1093" s="634"/>
      <c r="E1093" s="634"/>
      <c r="F1093" s="634"/>
      <c r="G1093" s="634"/>
      <c r="H1093" s="634"/>
      <c r="I1093" s="634"/>
      <c r="J1093" s="634"/>
      <c r="K1093" s="634"/>
      <c r="L1093" s="634"/>
      <c r="M1093" s="129"/>
    </row>
    <row r="1094" spans="2:15" s="234" customFormat="1" ht="13.2" x14ac:dyDescent="0.25">
      <c r="B1094" s="159" t="str">
        <f>IF('1. INTRO'!I$2="English",(IF('2. START'!C$11="NO","Indirect and facility charge not accepted as OH by funding body","")),IF('2. START'!C$11="NO","Indirekt och lokalpåslag inte accepterade som OH av finansiär",""))</f>
        <v/>
      </c>
      <c r="C1094" s="918">
        <f>C54+C106+C158+C210+C262+C314+C366+C418+C470+C522+C574+C626+C678+C730+C782+C834+C886+C938+C990+C1042</f>
        <v>0</v>
      </c>
      <c r="D1094" s="918">
        <f t="shared" ref="D1094:L1094" si="186">D54+D106+D158+D210+D262+D314+D366+D418+D470+D522+D574+D626+D678+D730+D782+D834+D886+D938+D990+D1042</f>
        <v>0</v>
      </c>
      <c r="E1094" s="918">
        <f t="shared" si="186"/>
        <v>0</v>
      </c>
      <c r="F1094" s="918">
        <f t="shared" si="186"/>
        <v>0</v>
      </c>
      <c r="G1094" s="918">
        <f t="shared" si="186"/>
        <v>0</v>
      </c>
      <c r="H1094" s="918">
        <f t="shared" si="186"/>
        <v>0</v>
      </c>
      <c r="I1094" s="918">
        <f t="shared" si="186"/>
        <v>0</v>
      </c>
      <c r="J1094" s="918">
        <f t="shared" si="186"/>
        <v>0</v>
      </c>
      <c r="K1094" s="918">
        <f t="shared" si="186"/>
        <v>0</v>
      </c>
      <c r="L1094" s="918">
        <f t="shared" si="186"/>
        <v>0</v>
      </c>
      <c r="M1094" s="613">
        <f t="shared" ref="M1094:M1100" si="187">SUM(C1094:L1094)</f>
        <v>0</v>
      </c>
    </row>
    <row r="1095" spans="2:15" s="234" customFormat="1" ht="12.75" customHeight="1" x14ac:dyDescent="0.25">
      <c r="B1095" s="132" t="str">
        <f>IF('1. INTRO'!I$2="English",(IF('2. START'!C$14&gt;0,"Social costs (LKP) not accepted by funding body","")),IF('2. START'!C$14&gt;0,"LKP som inte accepteras av finansiär",""))</f>
        <v/>
      </c>
      <c r="C1095" s="919">
        <f t="shared" ref="C1095:L1095" si="188">C55+C107+C159+C211+C263+C315+C367+C419+C471+C523+C575+C627+C679+C731+C783+C835+C887+C939+C991+C1043</f>
        <v>0</v>
      </c>
      <c r="D1095" s="919">
        <f t="shared" si="188"/>
        <v>0</v>
      </c>
      <c r="E1095" s="919">
        <f t="shared" si="188"/>
        <v>0</v>
      </c>
      <c r="F1095" s="919">
        <f t="shared" si="188"/>
        <v>0</v>
      </c>
      <c r="G1095" s="919">
        <f t="shared" si="188"/>
        <v>0</v>
      </c>
      <c r="H1095" s="919">
        <f t="shared" si="188"/>
        <v>0</v>
      </c>
      <c r="I1095" s="919">
        <f t="shared" si="188"/>
        <v>0</v>
      </c>
      <c r="J1095" s="919">
        <f t="shared" si="188"/>
        <v>0</v>
      </c>
      <c r="K1095" s="919">
        <f t="shared" si="188"/>
        <v>0</v>
      </c>
      <c r="L1095" s="919">
        <f t="shared" si="188"/>
        <v>0</v>
      </c>
      <c r="M1095" s="618">
        <f t="shared" si="187"/>
        <v>0</v>
      </c>
    </row>
    <row r="1096" spans="2:15" s="234" customFormat="1" ht="12.75" customHeight="1" x14ac:dyDescent="0.25">
      <c r="B1096" s="906" t="str">
        <f>IF('1. INTRO'!I$2="English",(IF('5. PERSON'!BP$193&gt;0,"Salary including social costs (LKP)","")),IF('5. PERSON'!BP$193&gt;0,"Lön inklusive LKP",""))</f>
        <v/>
      </c>
      <c r="C1096" s="920">
        <f t="shared" ref="C1096:L1096" si="189">C56+C108+C160+C212+C264+C316+C368+C420+C472+C524+C576+C628+C680+C732+C784+C836+C888+C940+C992+C1044</f>
        <v>0</v>
      </c>
      <c r="D1096" s="920">
        <f t="shared" si="189"/>
        <v>0</v>
      </c>
      <c r="E1096" s="920">
        <f t="shared" si="189"/>
        <v>0</v>
      </c>
      <c r="F1096" s="920">
        <f t="shared" si="189"/>
        <v>0</v>
      </c>
      <c r="G1096" s="920">
        <f t="shared" si="189"/>
        <v>0</v>
      </c>
      <c r="H1096" s="920">
        <f t="shared" si="189"/>
        <v>0</v>
      </c>
      <c r="I1096" s="920">
        <f t="shared" si="189"/>
        <v>0</v>
      </c>
      <c r="J1096" s="920">
        <f t="shared" si="189"/>
        <v>0</v>
      </c>
      <c r="K1096" s="920">
        <f t="shared" si="189"/>
        <v>0</v>
      </c>
      <c r="L1096" s="920">
        <f t="shared" si="189"/>
        <v>0</v>
      </c>
      <c r="M1096" s="623">
        <f t="shared" si="187"/>
        <v>0</v>
      </c>
    </row>
    <row r="1097" spans="2:15" s="234" customFormat="1" ht="13.2" x14ac:dyDescent="0.25">
      <c r="B1097" s="377" t="str">
        <f>IF('1. INTRO'!I$2="English",(IF('6. OPERATION'!AS$150&gt;0,"Operating","")),IF('6. OPERATION'!AS$150&gt;0,"Drift",""))</f>
        <v/>
      </c>
      <c r="C1097" s="919">
        <f t="shared" ref="C1097:L1097" si="190">C57+C109+C161+C213+C265+C317+C369+C421+C473+C525+C577+C629+C681+C733+C785+C837+C889+C941+C993+C1045</f>
        <v>0</v>
      </c>
      <c r="D1097" s="919">
        <f t="shared" si="190"/>
        <v>0</v>
      </c>
      <c r="E1097" s="919">
        <f t="shared" si="190"/>
        <v>0</v>
      </c>
      <c r="F1097" s="919">
        <f t="shared" si="190"/>
        <v>0</v>
      </c>
      <c r="G1097" s="919">
        <f t="shared" si="190"/>
        <v>0</v>
      </c>
      <c r="H1097" s="919">
        <f t="shared" si="190"/>
        <v>0</v>
      </c>
      <c r="I1097" s="919">
        <f t="shared" si="190"/>
        <v>0</v>
      </c>
      <c r="J1097" s="919">
        <f t="shared" si="190"/>
        <v>0</v>
      </c>
      <c r="K1097" s="919">
        <f t="shared" si="190"/>
        <v>0</v>
      </c>
      <c r="L1097" s="919">
        <f t="shared" si="190"/>
        <v>0</v>
      </c>
      <c r="M1097" s="618">
        <f t="shared" si="187"/>
        <v>0</v>
      </c>
    </row>
    <row r="1098" spans="2:15" s="234" customFormat="1" ht="13.2" x14ac:dyDescent="0.25">
      <c r="B1098" s="906" t="str">
        <f>IF('1. INTRO'!I$2="English",(IF('7. INVEST'!AS$50&gt;0,"Equipment","")),IF('7. INVEST'!AS$50&gt;0,"Utrustning",""))</f>
        <v/>
      </c>
      <c r="C1098" s="920">
        <f t="shared" ref="C1098:L1098" si="191">C58+C110+C162+C214+C266+C318+C370+C422+C474+C526+C578+C630+C682+C734+C786+C838+C890+C942+C994+C1046</f>
        <v>0</v>
      </c>
      <c r="D1098" s="920">
        <f t="shared" si="191"/>
        <v>0</v>
      </c>
      <c r="E1098" s="920">
        <f t="shared" si="191"/>
        <v>0</v>
      </c>
      <c r="F1098" s="920">
        <f t="shared" si="191"/>
        <v>0</v>
      </c>
      <c r="G1098" s="920">
        <f t="shared" si="191"/>
        <v>0</v>
      </c>
      <c r="H1098" s="920">
        <f t="shared" si="191"/>
        <v>0</v>
      </c>
      <c r="I1098" s="920">
        <f t="shared" si="191"/>
        <v>0</v>
      </c>
      <c r="J1098" s="920">
        <f t="shared" si="191"/>
        <v>0</v>
      </c>
      <c r="K1098" s="920">
        <f t="shared" si="191"/>
        <v>0</v>
      </c>
      <c r="L1098" s="920">
        <f t="shared" si="191"/>
        <v>0</v>
      </c>
      <c r="M1098" s="623">
        <f t="shared" si="187"/>
        <v>0</v>
      </c>
    </row>
    <row r="1099" spans="2:15" s="234" customFormat="1" ht="13.2" x14ac:dyDescent="0.25">
      <c r="B1099" s="121" t="str">
        <f>IF('1. INTRO'!I$2="English",(IF('8. FACILIT'!AP$51&gt;0,"Facility","")),IF('8. FACILIT'!AP$51&gt;0,"Lokal",""))</f>
        <v/>
      </c>
      <c r="C1099" s="919">
        <f t="shared" ref="C1099:L1099" si="192">C59+C111+C163+C215+C267+C319+C371+C423+C475+C527+C579+C631+C683+C735+C787+C839+C891+C943+C995+C1047</f>
        <v>0</v>
      </c>
      <c r="D1099" s="919">
        <f t="shared" si="192"/>
        <v>0</v>
      </c>
      <c r="E1099" s="919">
        <f t="shared" si="192"/>
        <v>0</v>
      </c>
      <c r="F1099" s="919">
        <f t="shared" si="192"/>
        <v>0</v>
      </c>
      <c r="G1099" s="919">
        <f t="shared" si="192"/>
        <v>0</v>
      </c>
      <c r="H1099" s="919">
        <f t="shared" si="192"/>
        <v>0</v>
      </c>
      <c r="I1099" s="919">
        <f t="shared" si="192"/>
        <v>0</v>
      </c>
      <c r="J1099" s="919">
        <f t="shared" si="192"/>
        <v>0</v>
      </c>
      <c r="K1099" s="919">
        <f t="shared" si="192"/>
        <v>0</v>
      </c>
      <c r="L1099" s="919">
        <f t="shared" si="192"/>
        <v>0</v>
      </c>
      <c r="M1099" s="618">
        <f t="shared" si="187"/>
        <v>0</v>
      </c>
    </row>
    <row r="1100" spans="2:15" s="912" customFormat="1" ht="13.2" x14ac:dyDescent="0.25">
      <c r="B1100" s="122" t="str">
        <f>IF('1. INTRO'!I$2="English",(IF(('5. PERSON'!CN$193+'6. OPERATION'!BQ$150)&gt;0,"Indirect","")),IF(('5. PERSON'!CN$193+'6. OPERATION'!BQ$150)&gt;0,"Indirekt",""))</f>
        <v/>
      </c>
      <c r="C1100" s="921">
        <f t="shared" ref="C1100:L1100" si="193">C60+C112+C164+C216+C268+C320+C372+C424+C476+C528+C580+C632+C684+C736+C788+C840+C892+C944+C996+C1048</f>
        <v>0</v>
      </c>
      <c r="D1100" s="921">
        <f t="shared" si="193"/>
        <v>0</v>
      </c>
      <c r="E1100" s="921">
        <f t="shared" si="193"/>
        <v>0</v>
      </c>
      <c r="F1100" s="921">
        <f t="shared" si="193"/>
        <v>0</v>
      </c>
      <c r="G1100" s="921">
        <f t="shared" si="193"/>
        <v>0</v>
      </c>
      <c r="H1100" s="921">
        <f t="shared" si="193"/>
        <v>0</v>
      </c>
      <c r="I1100" s="921">
        <f t="shared" si="193"/>
        <v>0</v>
      </c>
      <c r="J1100" s="921">
        <f t="shared" si="193"/>
        <v>0</v>
      </c>
      <c r="K1100" s="921">
        <f t="shared" si="193"/>
        <v>0</v>
      </c>
      <c r="L1100" s="921">
        <f t="shared" si="193"/>
        <v>0</v>
      </c>
      <c r="M1100" s="627">
        <f t="shared" si="187"/>
        <v>0</v>
      </c>
    </row>
    <row r="1101" spans="2:15" s="234" customFormat="1" ht="13.2" x14ac:dyDescent="0.25">
      <c r="B1101" s="628" t="s">
        <v>113</v>
      </c>
      <c r="C1101" s="629">
        <f>SUM(C1094:C1100)</f>
        <v>0</v>
      </c>
      <c r="D1101" s="629">
        <f t="shared" ref="D1101:M1101" si="194">SUM(D1094:D1100)</f>
        <v>0</v>
      </c>
      <c r="E1101" s="629">
        <f t="shared" si="194"/>
        <v>0</v>
      </c>
      <c r="F1101" s="629">
        <f t="shared" si="194"/>
        <v>0</v>
      </c>
      <c r="G1101" s="629">
        <f t="shared" si="194"/>
        <v>0</v>
      </c>
      <c r="H1101" s="629">
        <f t="shared" si="194"/>
        <v>0</v>
      </c>
      <c r="I1101" s="629">
        <f t="shared" si="194"/>
        <v>0</v>
      </c>
      <c r="J1101" s="629">
        <f t="shared" si="194"/>
        <v>0</v>
      </c>
      <c r="K1101" s="629">
        <f t="shared" si="194"/>
        <v>0</v>
      </c>
      <c r="L1101" s="629">
        <f t="shared" si="194"/>
        <v>0</v>
      </c>
      <c r="M1101" s="630">
        <f t="shared" si="194"/>
        <v>0</v>
      </c>
      <c r="N1101" s="913"/>
      <c r="O1101" s="913"/>
    </row>
    <row r="1102" spans="2:15" s="234" customFormat="1" ht="6" customHeight="1" x14ac:dyDescent="0.25">
      <c r="B1102" s="914"/>
      <c r="C1102" s="127"/>
      <c r="D1102" s="127"/>
      <c r="E1102" s="127"/>
      <c r="F1102" s="127"/>
      <c r="G1102" s="127"/>
      <c r="H1102" s="127"/>
      <c r="I1102" s="127"/>
      <c r="J1102" s="127"/>
      <c r="K1102" s="127"/>
      <c r="L1102" s="127"/>
      <c r="M1102" s="636"/>
    </row>
    <row r="1103" spans="2:15" s="234" customFormat="1" ht="13.2" x14ac:dyDescent="0.25">
      <c r="B1103" s="129" t="str">
        <f>IF('1. INTRO'!I$2="English","Full cost","Full kostnad")</f>
        <v>Full cost</v>
      </c>
      <c r="C1103" s="127"/>
      <c r="D1103" s="127"/>
      <c r="E1103" s="127"/>
      <c r="F1103" s="127"/>
      <c r="G1103" s="127"/>
      <c r="H1103" s="127"/>
      <c r="I1103" s="127"/>
      <c r="J1103" s="127"/>
      <c r="K1103" s="127"/>
      <c r="L1103" s="127"/>
      <c r="M1103" s="636"/>
    </row>
    <row r="1104" spans="2:15" s="234" customFormat="1" ht="13.2" x14ac:dyDescent="0.25">
      <c r="B1104" s="902" t="str">
        <f>IF('1. INTRO'!I$2="English","Salary including social costs (LKP)","Lön inklusive LKP")</f>
        <v>Salary including social costs (LKP)</v>
      </c>
      <c r="C1104" s="138">
        <f>C64+C116+C168+C220+C272+C324+C376+C428+C480+C532+C584+C636+C688+C740+C792+C844+C896+C948+C1000+C1052</f>
        <v>0</v>
      </c>
      <c r="D1104" s="138">
        <f t="shared" ref="D1104:L1104" si="195">D64+D116+D168+D220+D272+D324+D376+D428+D480+D532+D584+D636+D688+D740+D792+D844+D896+D948+D1000+D1052</f>
        <v>0</v>
      </c>
      <c r="E1104" s="138">
        <f t="shared" si="195"/>
        <v>0</v>
      </c>
      <c r="F1104" s="138">
        <f t="shared" si="195"/>
        <v>0</v>
      </c>
      <c r="G1104" s="138">
        <f t="shared" si="195"/>
        <v>0</v>
      </c>
      <c r="H1104" s="138">
        <f t="shared" si="195"/>
        <v>0</v>
      </c>
      <c r="I1104" s="138">
        <f t="shared" si="195"/>
        <v>0</v>
      </c>
      <c r="J1104" s="138">
        <f t="shared" si="195"/>
        <v>0</v>
      </c>
      <c r="K1104" s="138">
        <f t="shared" si="195"/>
        <v>0</v>
      </c>
      <c r="L1104" s="138">
        <f t="shared" si="195"/>
        <v>0</v>
      </c>
      <c r="M1104" s="613">
        <f>SUM(C1104:L1104)</f>
        <v>0</v>
      </c>
    </row>
    <row r="1105" spans="2:13" s="234" customFormat="1" ht="13.2" x14ac:dyDescent="0.25">
      <c r="B1105" s="377" t="str">
        <f>IF('1. INTRO'!I$2="English","Operating","Drift")</f>
        <v>Operating</v>
      </c>
      <c r="C1105" s="190">
        <f t="shared" ref="C1105:L1105" si="196">C65+C117+C169+C221+C273+C325+C377+C429+C481+C533+C585+C637+C689+C741+C793+C845+C897+C949+C1001+C1053</f>
        <v>0</v>
      </c>
      <c r="D1105" s="190">
        <f t="shared" si="196"/>
        <v>0</v>
      </c>
      <c r="E1105" s="190">
        <f t="shared" si="196"/>
        <v>0</v>
      </c>
      <c r="F1105" s="190">
        <f t="shared" si="196"/>
        <v>0</v>
      </c>
      <c r="G1105" s="190">
        <f t="shared" si="196"/>
        <v>0</v>
      </c>
      <c r="H1105" s="190">
        <f t="shared" si="196"/>
        <v>0</v>
      </c>
      <c r="I1105" s="190">
        <f t="shared" si="196"/>
        <v>0</v>
      </c>
      <c r="J1105" s="190">
        <f t="shared" si="196"/>
        <v>0</v>
      </c>
      <c r="K1105" s="190">
        <f t="shared" si="196"/>
        <v>0</v>
      </c>
      <c r="L1105" s="190">
        <f t="shared" si="196"/>
        <v>0</v>
      </c>
      <c r="M1105" s="618">
        <f>SUM(C1105:L1105)</f>
        <v>0</v>
      </c>
    </row>
    <row r="1106" spans="2:13" s="234" customFormat="1" ht="13.2" x14ac:dyDescent="0.25">
      <c r="B1106" s="906" t="str">
        <f>IF('1. INTRO'!I$2="English","Equipment","Utrustning")</f>
        <v>Equipment</v>
      </c>
      <c r="C1106" s="140">
        <f t="shared" ref="C1106:L1106" si="197">C66+C118+C170+C222+C274+C326+C378+C430+C482+C534+C586+C638+C690+C742+C794+C846+C898+C950+C1002+C1054</f>
        <v>0</v>
      </c>
      <c r="D1106" s="140">
        <f t="shared" si="197"/>
        <v>0</v>
      </c>
      <c r="E1106" s="140">
        <f t="shared" si="197"/>
        <v>0</v>
      </c>
      <c r="F1106" s="140">
        <f t="shared" si="197"/>
        <v>0</v>
      </c>
      <c r="G1106" s="140">
        <f t="shared" si="197"/>
        <v>0</v>
      </c>
      <c r="H1106" s="140">
        <f t="shared" si="197"/>
        <v>0</v>
      </c>
      <c r="I1106" s="140">
        <f t="shared" si="197"/>
        <v>0</v>
      </c>
      <c r="J1106" s="140">
        <f t="shared" si="197"/>
        <v>0</v>
      </c>
      <c r="K1106" s="140">
        <f t="shared" si="197"/>
        <v>0</v>
      </c>
      <c r="L1106" s="140">
        <f t="shared" si="197"/>
        <v>0</v>
      </c>
      <c r="M1106" s="623">
        <f>SUM(C1106:L1106)</f>
        <v>0</v>
      </c>
    </row>
    <row r="1107" spans="2:13" s="234" customFormat="1" ht="13.2" x14ac:dyDescent="0.25">
      <c r="B1107" s="377" t="str">
        <f>IF('1. INTRO'!I$2="English","Facility","Lokal")</f>
        <v>Facility</v>
      </c>
      <c r="C1107" s="190">
        <f t="shared" ref="C1107:L1107" si="198">C67+C119+C171+C223+C275+C327+C379+C431+C483+C535+C587+C639+C691+C743+C795+C847+C899+C951+C1003+C1055</f>
        <v>0</v>
      </c>
      <c r="D1107" s="190">
        <f t="shared" si="198"/>
        <v>0</v>
      </c>
      <c r="E1107" s="190">
        <f t="shared" si="198"/>
        <v>0</v>
      </c>
      <c r="F1107" s="190">
        <f t="shared" si="198"/>
        <v>0</v>
      </c>
      <c r="G1107" s="190">
        <f t="shared" si="198"/>
        <v>0</v>
      </c>
      <c r="H1107" s="190">
        <f t="shared" si="198"/>
        <v>0</v>
      </c>
      <c r="I1107" s="190">
        <f t="shared" si="198"/>
        <v>0</v>
      </c>
      <c r="J1107" s="190">
        <f t="shared" si="198"/>
        <v>0</v>
      </c>
      <c r="K1107" s="190">
        <f t="shared" si="198"/>
        <v>0</v>
      </c>
      <c r="L1107" s="190">
        <f t="shared" si="198"/>
        <v>0</v>
      </c>
      <c r="M1107" s="618">
        <f>SUM(C1107:L1107)</f>
        <v>0</v>
      </c>
    </row>
    <row r="1108" spans="2:13" s="234" customFormat="1" ht="13.2" x14ac:dyDescent="0.25">
      <c r="B1108" s="915" t="str">
        <f>IF('1. INTRO'!I$2="English","Indirect","Indirekt")</f>
        <v>Indirect</v>
      </c>
      <c r="C1108" s="141">
        <f t="shared" ref="C1108:L1108" si="199">C68+C120+C172+C224+C276+C328+C380+C432+C484+C536+C588+C640+C692+C744+C796+C848+C900+C952+C1004+C1056</f>
        <v>0</v>
      </c>
      <c r="D1108" s="141">
        <f t="shared" si="199"/>
        <v>0</v>
      </c>
      <c r="E1108" s="141">
        <f t="shared" si="199"/>
        <v>0</v>
      </c>
      <c r="F1108" s="141">
        <f t="shared" si="199"/>
        <v>0</v>
      </c>
      <c r="G1108" s="141">
        <f t="shared" si="199"/>
        <v>0</v>
      </c>
      <c r="H1108" s="141">
        <f t="shared" si="199"/>
        <v>0</v>
      </c>
      <c r="I1108" s="141">
        <f t="shared" si="199"/>
        <v>0</v>
      </c>
      <c r="J1108" s="141">
        <f t="shared" si="199"/>
        <v>0</v>
      </c>
      <c r="K1108" s="141">
        <f t="shared" si="199"/>
        <v>0</v>
      </c>
      <c r="L1108" s="141">
        <f t="shared" si="199"/>
        <v>0</v>
      </c>
      <c r="M1108" s="627">
        <f>SUM(C1108:L1108)</f>
        <v>0</v>
      </c>
    </row>
    <row r="1109" spans="2:13" s="234" customFormat="1" ht="13.2" x14ac:dyDescent="0.25">
      <c r="B1109" s="628" t="s">
        <v>113</v>
      </c>
      <c r="C1109" s="583">
        <f>SUM(C1104:C1108)</f>
        <v>0</v>
      </c>
      <c r="D1109" s="583">
        <f t="shared" ref="D1109:M1109" si="200">SUM(D1104:D1108)</f>
        <v>0</v>
      </c>
      <c r="E1109" s="583">
        <f t="shared" si="200"/>
        <v>0</v>
      </c>
      <c r="F1109" s="583">
        <f t="shared" si="200"/>
        <v>0</v>
      </c>
      <c r="G1109" s="583">
        <f t="shared" si="200"/>
        <v>0</v>
      </c>
      <c r="H1109" s="583">
        <f t="shared" si="200"/>
        <v>0</v>
      </c>
      <c r="I1109" s="583">
        <f t="shared" si="200"/>
        <v>0</v>
      </c>
      <c r="J1109" s="583">
        <f t="shared" si="200"/>
        <v>0</v>
      </c>
      <c r="K1109" s="583">
        <f t="shared" si="200"/>
        <v>0</v>
      </c>
      <c r="L1109" s="583">
        <f t="shared" si="200"/>
        <v>0</v>
      </c>
      <c r="M1109" s="916">
        <f t="shared" si="200"/>
        <v>0</v>
      </c>
    </row>
    <row r="1110" spans="2:13" s="234" customFormat="1" ht="13.2" x14ac:dyDescent="0.25">
      <c r="B1110" s="676"/>
      <c r="C1110" s="268"/>
      <c r="D1110" s="268"/>
      <c r="E1110" s="268"/>
      <c r="F1110" s="268"/>
      <c r="G1110" s="268"/>
      <c r="H1110" s="268"/>
      <c r="I1110" s="268"/>
      <c r="J1110" s="268"/>
      <c r="K1110" s="268"/>
      <c r="L1110" s="268"/>
      <c r="M1110" s="268"/>
    </row>
    <row r="1111" spans="2:13" s="234" customFormat="1" ht="12.75" customHeight="1" x14ac:dyDescent="0.25">
      <c r="B1111" s="676" t="str">
        <f>IF('1. INTRO'!I$2="English","Co-funding share in full cost ","Medfinansieringsandel i full kostnad ")</f>
        <v xml:space="preserve">Co-funding share in full cost </v>
      </c>
      <c r="C1111" s="640" t="str">
        <f t="shared" ref="C1111:M1111" si="201">IF(C1109&gt;0,C1101/C1109,"")</f>
        <v/>
      </c>
      <c r="D1111" s="640" t="str">
        <f t="shared" si="201"/>
        <v/>
      </c>
      <c r="E1111" s="640" t="str">
        <f t="shared" si="201"/>
        <v/>
      </c>
      <c r="F1111" s="640" t="str">
        <f t="shared" si="201"/>
        <v/>
      </c>
      <c r="G1111" s="640" t="str">
        <f t="shared" si="201"/>
        <v/>
      </c>
      <c r="H1111" s="640" t="str">
        <f t="shared" si="201"/>
        <v/>
      </c>
      <c r="I1111" s="640" t="str">
        <f t="shared" si="201"/>
        <v/>
      </c>
      <c r="J1111" s="640" t="str">
        <f t="shared" si="201"/>
        <v/>
      </c>
      <c r="K1111" s="640" t="str">
        <f t="shared" si="201"/>
        <v/>
      </c>
      <c r="L1111" s="640" t="str">
        <f t="shared" si="201"/>
        <v/>
      </c>
      <c r="M1111" s="640" t="str">
        <f t="shared" si="201"/>
        <v/>
      </c>
    </row>
  </sheetData>
  <sheetProtection formatCells="0"/>
  <mergeCells count="156">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 ref="C871:M871"/>
    <mergeCell ref="C873:F873"/>
    <mergeCell ref="C921:M921"/>
    <mergeCell ref="C922:D922"/>
    <mergeCell ref="C923:M923"/>
    <mergeCell ref="C818:D818"/>
    <mergeCell ref="C819:M819"/>
    <mergeCell ref="C821:F821"/>
    <mergeCell ref="C869:M869"/>
    <mergeCell ref="C870:D870"/>
    <mergeCell ref="B906:M918"/>
    <mergeCell ref="C765:M765"/>
    <mergeCell ref="C766:D766"/>
    <mergeCell ref="C767:M767"/>
    <mergeCell ref="C769:F769"/>
    <mergeCell ref="C817:M817"/>
    <mergeCell ref="C665:F665"/>
    <mergeCell ref="C713:M713"/>
    <mergeCell ref="C714:D714"/>
    <mergeCell ref="C715:M715"/>
    <mergeCell ref="C717:F717"/>
    <mergeCell ref="B698:M710"/>
    <mergeCell ref="C611:M611"/>
    <mergeCell ref="C613:F613"/>
    <mergeCell ref="C661:M661"/>
    <mergeCell ref="C662:D662"/>
    <mergeCell ref="C663:M663"/>
    <mergeCell ref="C558:D558"/>
    <mergeCell ref="C559:M559"/>
    <mergeCell ref="C561:F561"/>
    <mergeCell ref="C609:M609"/>
    <mergeCell ref="C610:D610"/>
    <mergeCell ref="B646:M658"/>
    <mergeCell ref="C505:M505"/>
    <mergeCell ref="C506:D506"/>
    <mergeCell ref="C507:M507"/>
    <mergeCell ref="C509:F509"/>
    <mergeCell ref="C557:M557"/>
    <mergeCell ref="C405:F405"/>
    <mergeCell ref="C453:M453"/>
    <mergeCell ref="C454:D454"/>
    <mergeCell ref="C455:M455"/>
    <mergeCell ref="C457:F457"/>
    <mergeCell ref="C351:M351"/>
    <mergeCell ref="C353:F353"/>
    <mergeCell ref="C401:M401"/>
    <mergeCell ref="C402:D402"/>
    <mergeCell ref="C403:M403"/>
    <mergeCell ref="C298:D298"/>
    <mergeCell ref="C299:M299"/>
    <mergeCell ref="C301:F301"/>
    <mergeCell ref="C349:M349"/>
    <mergeCell ref="C350:D350"/>
    <mergeCell ref="C245:M245"/>
    <mergeCell ref="C246:D246"/>
    <mergeCell ref="C247:M247"/>
    <mergeCell ref="C249:F249"/>
    <mergeCell ref="C297:M297"/>
    <mergeCell ref="C145:F145"/>
    <mergeCell ref="C193:M193"/>
    <mergeCell ref="C194:D194"/>
    <mergeCell ref="C195:M195"/>
    <mergeCell ref="C197:F197"/>
    <mergeCell ref="B178:M1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41:F41"/>
    <mergeCell ref="C91:M91"/>
    <mergeCell ref="C93:F93"/>
    <mergeCell ref="C141:M141"/>
    <mergeCell ref="C142:D142"/>
    <mergeCell ref="C143:M143"/>
    <mergeCell ref="B74:M86"/>
    <mergeCell ref="B126:M138"/>
    <mergeCell ref="C89:M89"/>
    <mergeCell ref="C90:D90"/>
    <mergeCell ref="B13:B14"/>
    <mergeCell ref="C13:D14"/>
    <mergeCell ref="E13:I14"/>
    <mergeCell ref="E15:I15"/>
    <mergeCell ref="E16:I16"/>
    <mergeCell ref="E17:I17"/>
    <mergeCell ref="C15:D15"/>
    <mergeCell ref="C16:D16"/>
    <mergeCell ref="C17:D17"/>
    <mergeCell ref="C31:D31"/>
    <mergeCell ref="C32:D32"/>
    <mergeCell ref="C33:D33"/>
    <mergeCell ref="C34:D34"/>
    <mergeCell ref="E23:I23"/>
    <mergeCell ref="E26:I26"/>
    <mergeCell ref="E27:I27"/>
    <mergeCell ref="E28:I28"/>
    <mergeCell ref="C22:D22"/>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B35" location="WPTOT" display="Project total (see sheet 9) "/>
    <hyperlink ref="M1083"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 ref="M1031" location="TOPP" display="To top of sheet"/>
    <hyperlink ref="M979" location="TOPP" display="To top of sheet"/>
    <hyperlink ref="M927" location="TOPP" display="To top of sheet"/>
    <hyperlink ref="M875" location="TOPP" display="To top of sheet"/>
    <hyperlink ref="M823" location="TOPP" display="To top of sheet"/>
    <hyperlink ref="M771" location="TOPP" display="To top of sheet"/>
    <hyperlink ref="M719" location="TOPP" display="To top of sheet"/>
    <hyperlink ref="M667" location="TOPP" display="To top of sheet"/>
    <hyperlink ref="M615" location="TOPP" display="To top of sheet"/>
    <hyperlink ref="M563" location="TOPP" display="To top of sheet"/>
    <hyperlink ref="M511" location="TOPP" display="To top of sheet"/>
    <hyperlink ref="M459" location="TOPP" display="To top of sheet"/>
    <hyperlink ref="M407" location="TOPP" display="To top of sheet"/>
    <hyperlink ref="M355" location="TOPP" display="To top of sheet"/>
    <hyperlink ref="M303" location="TOPP" display="To top of sheet"/>
    <hyperlink ref="M251" location="TOPP" display="To top of sheet"/>
    <hyperlink ref="M199" location="TOPP" display="To top of sheet"/>
    <hyperlink ref="M147" location="TOPP" display="To top of sheet"/>
    <hyperlink ref="M95" location="TOPP" display="To top of sheet"/>
    <hyperlink ref="M43" location="TOPP" display="To top of sheet"/>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R309"/>
  <sheetViews>
    <sheetView showGridLines="0" zoomScaleNormal="100" workbookViewId="0">
      <pane ySplit="27" topLeftCell="A28" activePane="bottomLeft" state="frozen"/>
      <selection pane="bottomLeft" activeCell="B2" sqref="B2"/>
    </sheetView>
  </sheetViews>
  <sheetFormatPr defaultColWidth="9.109375" defaultRowHeight="11.4" x14ac:dyDescent="0.2"/>
  <cols>
    <col min="1" max="1" width="3.5546875" style="32" customWidth="1"/>
    <col min="2" max="2" width="30.5546875" style="32" customWidth="1"/>
    <col min="3" max="13" width="10.88671875" style="32" customWidth="1"/>
    <col min="14" max="14" width="12.88671875" style="32" customWidth="1"/>
    <col min="15" max="15" width="10.6640625" style="32" hidden="1" customWidth="1"/>
    <col min="16" max="18" width="9.109375" style="32" hidden="1" customWidth="1"/>
    <col min="19" max="16384" width="9.109375" style="32"/>
  </cols>
  <sheetData>
    <row r="1" spans="2:18" ht="15" customHeight="1" x14ac:dyDescent="0.25">
      <c r="L1" s="951"/>
      <c r="M1" s="1307" t="str">
        <f>'1. INTRO'!J1</f>
        <v>projectcalculator@slu.se</v>
      </c>
      <c r="N1" s="1121"/>
    </row>
    <row r="2" spans="2:18" s="3" customFormat="1" ht="15.6" x14ac:dyDescent="0.3">
      <c r="B2" s="156" t="str">
        <f>'1. INTRO'!B2</f>
        <v>SLU project calculator</v>
      </c>
      <c r="C2" s="1304" t="s">
        <v>355</v>
      </c>
      <c r="D2" s="1004"/>
      <c r="E2" s="950"/>
      <c r="G2" s="1122" t="s">
        <v>308</v>
      </c>
      <c r="H2" s="1310"/>
      <c r="I2" s="1310"/>
      <c r="J2" s="1310"/>
      <c r="K2" s="679"/>
      <c r="L2" s="671"/>
      <c r="M2" s="476"/>
      <c r="N2" s="963">
        <f>'1. INTRO'!J2</f>
        <v>45677</v>
      </c>
    </row>
    <row r="3" spans="2:18" s="3" customFormat="1" ht="12.75" customHeight="1" x14ac:dyDescent="0.3">
      <c r="B3" s="158"/>
      <c r="C3" s="108"/>
      <c r="K3" s="37"/>
      <c r="L3" s="37"/>
      <c r="M3" s="37"/>
    </row>
    <row r="4" spans="2:18" s="3" customFormat="1" ht="12.75" customHeight="1" x14ac:dyDescent="0.25">
      <c r="B4" s="70" t="s">
        <v>24</v>
      </c>
      <c r="C4" s="1260" t="str">
        <f>IF('1. INTRO'!$I$2="English",O4,P4)</f>
        <v>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v>
      </c>
      <c r="D4" s="1070"/>
      <c r="E4" s="1070"/>
      <c r="F4" s="1070"/>
      <c r="G4" s="1070"/>
      <c r="H4" s="1070"/>
      <c r="I4" s="1070"/>
      <c r="J4" s="1070"/>
      <c r="K4" s="1070"/>
      <c r="L4" s="1070"/>
      <c r="M4" s="1070"/>
      <c r="O4" s="268" t="s">
        <v>362</v>
      </c>
      <c r="P4" s="268" t="s">
        <v>361</v>
      </c>
    </row>
    <row r="5" spans="2:18" s="3" customFormat="1" ht="12.75" customHeight="1" x14ac:dyDescent="0.25">
      <c r="B5" s="70"/>
      <c r="C5" s="1070"/>
      <c r="D5" s="1070"/>
      <c r="E5" s="1070"/>
      <c r="F5" s="1070"/>
      <c r="G5" s="1070"/>
      <c r="H5" s="1070"/>
      <c r="I5" s="1070"/>
      <c r="J5" s="1070"/>
      <c r="K5" s="1070"/>
      <c r="L5" s="1070"/>
      <c r="M5" s="1070"/>
    </row>
    <row r="6" spans="2:18" s="3" customFormat="1" ht="6" customHeight="1" x14ac:dyDescent="0.3">
      <c r="B6" s="42"/>
      <c r="C6" s="6"/>
      <c r="D6" s="37"/>
      <c r="E6" s="37"/>
      <c r="F6" s="71"/>
      <c r="G6" s="37"/>
      <c r="H6" s="37"/>
      <c r="I6" s="37"/>
      <c r="J6" s="37"/>
      <c r="K6" s="37"/>
      <c r="L6" s="37"/>
      <c r="M6" s="37"/>
    </row>
    <row r="7" spans="2:18" s="3" customFormat="1" ht="13.5" customHeight="1" x14ac:dyDescent="0.25">
      <c r="B7" s="313" t="str">
        <f>'3. PARTNER'!C$4</f>
        <v xml:space="preserve">Project: </v>
      </c>
      <c r="C7" s="1062" t="str">
        <f>'3. PARTNER'!D$4</f>
        <v/>
      </c>
      <c r="D7" s="1001"/>
      <c r="E7" s="1001"/>
      <c r="F7" s="1001"/>
      <c r="G7" s="1001"/>
      <c r="H7" s="1001"/>
      <c r="I7" s="1001"/>
      <c r="J7" s="1001"/>
      <c r="K7" s="1001"/>
      <c r="L7" s="1001"/>
      <c r="M7" s="1001"/>
    </row>
    <row r="8" spans="2:18" s="3" customFormat="1" ht="13.5" customHeight="1" x14ac:dyDescent="0.25">
      <c r="B8" s="313" t="str">
        <f>'3. PARTNER'!C$5</f>
        <v xml:space="preserve">Calculation for: </v>
      </c>
      <c r="C8" s="1062" t="str">
        <f>'3. PARTNER'!D$5</f>
        <v>APPLICATION</v>
      </c>
      <c r="D8" s="1001"/>
      <c r="E8" s="268"/>
      <c r="F8" s="268"/>
      <c r="G8" s="268"/>
      <c r="H8" s="268"/>
      <c r="I8" s="268"/>
      <c r="J8" s="268"/>
      <c r="K8" s="268"/>
      <c r="L8" s="268"/>
      <c r="M8" s="268"/>
    </row>
    <row r="9" spans="2:18" s="3" customFormat="1" ht="13.5" customHeight="1" x14ac:dyDescent="0.25">
      <c r="B9" s="35" t="str">
        <f>'3. PARTNER'!C$6</f>
        <v xml:space="preserve">Project leader: </v>
      </c>
      <c r="C9" s="1062" t="str">
        <f>'3. PARTNER'!D$6</f>
        <v/>
      </c>
      <c r="D9" s="1001"/>
      <c r="E9" s="1001"/>
      <c r="F9" s="1001"/>
      <c r="G9" s="1001"/>
      <c r="H9" s="1001"/>
      <c r="I9" s="1001"/>
      <c r="J9" s="1001"/>
      <c r="K9" s="1001"/>
      <c r="L9" s="1001"/>
      <c r="M9" s="1001"/>
    </row>
    <row r="10" spans="2:18" s="3" customFormat="1" ht="13.5" customHeight="1" x14ac:dyDescent="0.25">
      <c r="B10" s="313" t="str">
        <f>'5. PERSON'!B$7</f>
        <v xml:space="preserve">Amounts in: </v>
      </c>
      <c r="C10" s="672" t="str">
        <f>'5. PERSON'!C$7</f>
        <v>SEK</v>
      </c>
      <c r="D10" s="268"/>
      <c r="E10" s="268"/>
      <c r="F10" s="268"/>
      <c r="G10" s="234"/>
      <c r="H10" s="234"/>
      <c r="I10" s="270"/>
      <c r="J10" s="270"/>
      <c r="K10" s="270"/>
      <c r="L10" s="270"/>
      <c r="M10" s="270"/>
    </row>
    <row r="11" spans="2:18" s="3" customFormat="1" ht="13.5" customHeight="1" x14ac:dyDescent="0.25">
      <c r="B11" s="313"/>
      <c r="C11" s="1053" t="str">
        <f>'3. PARTNER'!D$7</f>
        <v>Other basic data about the project is in sheet 2.</v>
      </c>
      <c r="D11" s="1001"/>
      <c r="E11" s="1001"/>
      <c r="F11" s="1001"/>
      <c r="G11" s="234"/>
      <c r="H11" s="234"/>
      <c r="I11" s="270"/>
      <c r="J11" s="270"/>
      <c r="K11" s="270"/>
      <c r="L11" s="270"/>
      <c r="M11" s="270"/>
    </row>
    <row r="12" spans="2:18" s="3" customFormat="1" ht="13.5" customHeight="1" x14ac:dyDescent="0.25">
      <c r="B12" s="959" t="str">
        <f>IF('1. INTRO'!I2="English","INDIRECT COSTS","INDIREKTA KOSTNADER")</f>
        <v>INDIRECT COSTS</v>
      </c>
      <c r="C12" s="953"/>
      <c r="D12" s="949"/>
      <c r="E12" s="949"/>
      <c r="F12" s="949"/>
      <c r="G12" s="234"/>
      <c r="H12" s="234"/>
      <c r="I12" s="270"/>
      <c r="J12" s="270"/>
      <c r="K12" s="270"/>
      <c r="L12" s="270"/>
      <c r="M12" s="270"/>
    </row>
    <row r="13" spans="2:18" ht="6" customHeight="1" x14ac:dyDescent="0.2">
      <c r="B13" s="669"/>
      <c r="C13" s="669"/>
      <c r="D13" s="669"/>
      <c r="E13" s="669"/>
      <c r="F13" s="669"/>
      <c r="G13" s="669"/>
      <c r="H13" s="669"/>
      <c r="I13" s="669"/>
      <c r="J13" s="669"/>
      <c r="K13" s="669"/>
      <c r="L13" s="669"/>
      <c r="M13" s="669"/>
    </row>
    <row r="14" spans="2:18" ht="13.5" customHeight="1" x14ac:dyDescent="0.2">
      <c r="B14" s="1308" t="str">
        <f>IF('1. INTRO'!I2="English","Function","Funktion")</f>
        <v>Function</v>
      </c>
      <c r="C14" s="1309"/>
      <c r="D14" s="922">
        <f>'5. PERSON'!G15</f>
        <v>1900</v>
      </c>
      <c r="E14" s="922" t="str">
        <f>'5. PERSON'!H15</f>
        <v/>
      </c>
      <c r="F14" s="922" t="str">
        <f>'5. PERSON'!I15</f>
        <v/>
      </c>
      <c r="G14" s="922" t="str">
        <f>'5. PERSON'!J15</f>
        <v/>
      </c>
      <c r="H14" s="922" t="str">
        <f>'5. PERSON'!K15</f>
        <v/>
      </c>
      <c r="I14" s="922" t="str">
        <f>'5. PERSON'!L15</f>
        <v/>
      </c>
      <c r="J14" s="922" t="str">
        <f>'5. PERSON'!M15</f>
        <v/>
      </c>
      <c r="K14" s="922" t="str">
        <f>'5. PERSON'!N15</f>
        <v/>
      </c>
      <c r="L14" s="922" t="str">
        <f>'5. PERSON'!O15</f>
        <v/>
      </c>
      <c r="M14" s="922" t="str">
        <f>'5. PERSON'!P15</f>
        <v/>
      </c>
      <c r="N14" s="923" t="s">
        <v>2</v>
      </c>
      <c r="O14" s="1305" t="s">
        <v>374</v>
      </c>
      <c r="P14" s="1119"/>
      <c r="Q14" s="1306" t="s">
        <v>375</v>
      </c>
      <c r="R14" s="1119"/>
    </row>
    <row r="15" spans="2:18" ht="13.5" customHeight="1" x14ac:dyDescent="0.25">
      <c r="B15" s="1299" t="str">
        <f>IF('1. INTRO'!I$2="English","Management","Ledning")</f>
        <v>Management</v>
      </c>
      <c r="C15" s="1077"/>
      <c r="D15" s="924">
        <f>IF('2. START'!$C$20="UTB",($R15*D$21),($P15*D$21))</f>
        <v>0</v>
      </c>
      <c r="E15" s="924">
        <f>IF('2. START'!$C$20="UTB",($R15*E$21),($P15*E$21))</f>
        <v>0</v>
      </c>
      <c r="F15" s="924">
        <f>IF('2. START'!$C$20="UTB",($R15*F$21),($P15*F$21))</f>
        <v>0</v>
      </c>
      <c r="G15" s="924">
        <f>IF('2. START'!$C$20="UTB",($R15*G$21),($P15*G$21))</f>
        <v>0</v>
      </c>
      <c r="H15" s="924">
        <f>IF('2. START'!$C$20="UTB",($R15*H$21),($P15*H$21))</f>
        <v>0</v>
      </c>
      <c r="I15" s="924">
        <f>IF('2. START'!$C$20="UTB",($R15*I$21),($P15*I$21))</f>
        <v>0</v>
      </c>
      <c r="J15" s="924">
        <f>IF('2. START'!$C$20="UTB",($R15*J$21),($P15*J$21))</f>
        <v>0</v>
      </c>
      <c r="K15" s="924">
        <f>IF('2. START'!$C$20="UTB",($R15*K$21),($P15*K$21))</f>
        <v>0</v>
      </c>
      <c r="L15" s="924">
        <f>IF('2. START'!$C$20="UTB",($R15*L$21),($P15*L$21))</f>
        <v>0</v>
      </c>
      <c r="M15" s="924">
        <f>IF('2. START'!$C$20="UTB",($R15*M$21),($P15*M$21))</f>
        <v>0</v>
      </c>
      <c r="N15" s="976">
        <f t="shared" ref="N15:N20" si="0">SUM(D15:M15)</f>
        <v>0</v>
      </c>
      <c r="O15" s="196">
        <v>30176</v>
      </c>
      <c r="P15" s="958">
        <f t="shared" ref="P15:P20" si="1">O15/O$21</f>
        <v>7.9114245990847862E-2</v>
      </c>
      <c r="Q15" s="196">
        <v>5326</v>
      </c>
      <c r="R15" s="958">
        <f>Q15/Q$21</f>
        <v>4.7008773323447897E-2</v>
      </c>
    </row>
    <row r="16" spans="2:18" ht="13.5" customHeight="1" x14ac:dyDescent="0.25">
      <c r="B16" s="1300" t="str">
        <f>IF('1. INTRO'!I$2="English","Research/education administration","Forskning/utbildning administration")</f>
        <v>Research/education administration</v>
      </c>
      <c r="C16" s="1087"/>
      <c r="D16" s="974">
        <f>IF('2. START'!$C$20="UTB",($R16*D$21),($P16*D$21))</f>
        <v>0</v>
      </c>
      <c r="E16" s="974">
        <f>IF('2. START'!$C$20="UTB",($R16*E$21),($P16*E$21))</f>
        <v>0</v>
      </c>
      <c r="F16" s="974">
        <f>IF('2. START'!$C$20="UTB",($R16*F$21),($P16*F$21))</f>
        <v>0</v>
      </c>
      <c r="G16" s="974">
        <f>IF('2. START'!$C$20="UTB",($R16*G$21),($P16*G$21))</f>
        <v>0</v>
      </c>
      <c r="H16" s="974">
        <f>IF('2. START'!$C$20="UTB",($R16*H$21),($P16*H$21))</f>
        <v>0</v>
      </c>
      <c r="I16" s="974">
        <f>IF('2. START'!$C$20="UTB",($R16*I$21),($P16*I$21))</f>
        <v>0</v>
      </c>
      <c r="J16" s="974">
        <f>IF('2. START'!$C$20="UTB",($R16*J$21),($P16*J$21))</f>
        <v>0</v>
      </c>
      <c r="K16" s="974">
        <f>IF('2. START'!$C$20="UTB",($R16*K$21),($P16*K$21))</f>
        <v>0</v>
      </c>
      <c r="L16" s="974">
        <f>IF('2. START'!$C$20="UTB",($R16*L$21),($P16*L$21))</f>
        <v>0</v>
      </c>
      <c r="M16" s="974">
        <f>IF('2. START'!$C$20="UTB",($R16*M$21),($P16*M$21))</f>
        <v>0</v>
      </c>
      <c r="N16" s="977">
        <f t="shared" si="0"/>
        <v>0</v>
      </c>
      <c r="O16" s="196">
        <v>90215</v>
      </c>
      <c r="P16" s="958">
        <f t="shared" si="1"/>
        <v>0.23652212692418942</v>
      </c>
      <c r="Q16" s="196">
        <v>54823</v>
      </c>
      <c r="R16" s="958">
        <f t="shared" ref="R16:R20" si="2">Q16/Q$21</f>
        <v>0.48388321064802559</v>
      </c>
    </row>
    <row r="17" spans="2:18" ht="13.5" customHeight="1" x14ac:dyDescent="0.25">
      <c r="B17" s="1301" t="str">
        <f>IF('1. INTRO'!I$2="English","Financial &amp; personnel administration","Ekonomi- och personaladministration")</f>
        <v>Financial &amp; personnel administration</v>
      </c>
      <c r="C17" s="1087"/>
      <c r="D17" s="925">
        <f>IF('2. START'!$C$20="UTB",($R17*D$21),($P17*D$21))</f>
        <v>0</v>
      </c>
      <c r="E17" s="925">
        <f>IF('2. START'!$C$20="UTB",($R17*E$21),($P17*E$21))</f>
        <v>0</v>
      </c>
      <c r="F17" s="925">
        <f>IF('2. START'!$C$20="UTB",($R17*F$21),($P17*F$21))</f>
        <v>0</v>
      </c>
      <c r="G17" s="925">
        <f>IF('2. START'!$C$20="UTB",($R17*G$21),($P17*G$21))</f>
        <v>0</v>
      </c>
      <c r="H17" s="925">
        <f>IF('2. START'!$C$20="UTB",($R17*H$21),($P17*H$21))</f>
        <v>0</v>
      </c>
      <c r="I17" s="925">
        <f>IF('2. START'!$C$20="UTB",($R17*I$21),($P17*I$21))</f>
        <v>0</v>
      </c>
      <c r="J17" s="925">
        <f>IF('2. START'!$C$20="UTB",($R17*J$21),($P17*J$21))</f>
        <v>0</v>
      </c>
      <c r="K17" s="925">
        <f>IF('2. START'!$C$20="UTB",($R17*K$21),($P17*K$21))</f>
        <v>0</v>
      </c>
      <c r="L17" s="925">
        <f>IF('2. START'!$C$20="UTB",($R17*L$21),($P17*L$21))</f>
        <v>0</v>
      </c>
      <c r="M17" s="925">
        <f>IF('2. START'!$C$20="UTB",($R17*M$21),($P17*M$21))</f>
        <v>0</v>
      </c>
      <c r="N17" s="978">
        <f t="shared" si="0"/>
        <v>0</v>
      </c>
      <c r="O17" s="196">
        <v>71048</v>
      </c>
      <c r="P17" s="958">
        <f t="shared" si="1"/>
        <v>0.18627084269478256</v>
      </c>
      <c r="Q17" s="196">
        <v>12538</v>
      </c>
      <c r="R17" s="958">
        <f t="shared" si="2"/>
        <v>0.11066391286695264</v>
      </c>
    </row>
    <row r="18" spans="2:18" ht="13.5" customHeight="1" x14ac:dyDescent="0.25">
      <c r="B18" s="1300" t="str">
        <f>IF('1. INTRO'!I$2="English","Infrastructure and services","Infrastruktur och service")</f>
        <v>Infrastructure and services</v>
      </c>
      <c r="C18" s="1087"/>
      <c r="D18" s="974">
        <f>IF('2. START'!$C$20="UTB",($R18*D$21),($P18*D$21))</f>
        <v>0</v>
      </c>
      <c r="E18" s="974">
        <f>IF('2. START'!$C$20="UTB",($R18*E$21),($P18*E$21))</f>
        <v>0</v>
      </c>
      <c r="F18" s="974">
        <f>IF('2. START'!$C$20="UTB",($R18*F$21),($P18*F$21))</f>
        <v>0</v>
      </c>
      <c r="G18" s="974">
        <f>IF('2. START'!$C$20="UTB",($R18*G$21),($P18*G$21))</f>
        <v>0</v>
      </c>
      <c r="H18" s="974">
        <f>IF('2. START'!$C$20="UTB",($R18*H$21),($P18*H$21))</f>
        <v>0</v>
      </c>
      <c r="I18" s="974">
        <f>IF('2. START'!$C$20="UTB",($R18*I$21),($P18*I$21))</f>
        <v>0</v>
      </c>
      <c r="J18" s="974">
        <f>IF('2. START'!$C$20="UTB",($R18*J$21),($P18*J$21))</f>
        <v>0</v>
      </c>
      <c r="K18" s="974">
        <f>IF('2. START'!$C$20="UTB",($R18*K$21),($P18*K$21))</f>
        <v>0</v>
      </c>
      <c r="L18" s="974">
        <f>IF('2. START'!$C$20="UTB",($R18*L$21),($P18*L$21))</f>
        <v>0</v>
      </c>
      <c r="M18" s="974">
        <f>IF('2. START'!$C$20="UTB",($R18*M$21),($P18*M$21))</f>
        <v>0</v>
      </c>
      <c r="N18" s="977">
        <f t="shared" si="0"/>
        <v>0</v>
      </c>
      <c r="O18" s="196">
        <v>132399</v>
      </c>
      <c r="P18" s="958">
        <f t="shared" si="1"/>
        <v>0.34711847345381314</v>
      </c>
      <c r="Q18" s="196">
        <v>40611</v>
      </c>
      <c r="R18" s="958">
        <f t="shared" si="2"/>
        <v>0.35844410316157388</v>
      </c>
    </row>
    <row r="19" spans="2:18" ht="13.5" customHeight="1" x14ac:dyDescent="0.25">
      <c r="B19" s="1301" t="str">
        <f>IF('1. INTRO'!I$2="English","Library","Bibliotek")</f>
        <v>Library</v>
      </c>
      <c r="C19" s="1087"/>
      <c r="D19" s="925">
        <f>IF('2. START'!$C$20="UTB",($R19*D$21),($P19*D$21))</f>
        <v>0</v>
      </c>
      <c r="E19" s="925">
        <f>IF('2. START'!$C$20="UTB",($R19*E$21),($P19*E$21))</f>
        <v>0</v>
      </c>
      <c r="F19" s="925">
        <f>IF('2. START'!$C$20="UTB",($R19*F$21),($P19*F$21))</f>
        <v>0</v>
      </c>
      <c r="G19" s="925">
        <f>IF('2. START'!$C$20="UTB",($R19*G$21),($P19*G$21))</f>
        <v>0</v>
      </c>
      <c r="H19" s="925">
        <f>IF('2. START'!$C$20="UTB",($R19*H$21),($P19*H$21))</f>
        <v>0</v>
      </c>
      <c r="I19" s="925">
        <f>IF('2. START'!$C$20="UTB",($R19*I$21),($P19*I$21))</f>
        <v>0</v>
      </c>
      <c r="J19" s="925">
        <f>IF('2. START'!$C$20="UTB",($R19*J$21),($P19*J$21))</f>
        <v>0</v>
      </c>
      <c r="K19" s="925">
        <f>IF('2. START'!$C$20="UTB",($R19*K$21),($P19*K$21))</f>
        <v>0</v>
      </c>
      <c r="L19" s="925">
        <f>IF('2. START'!$C$20="UTB",($R19*L$21),($P19*L$21))</f>
        <v>0</v>
      </c>
      <c r="M19" s="925">
        <f>IF('2. START'!$C$20="UTB",($R19*M$21),($P19*M$21))</f>
        <v>0</v>
      </c>
      <c r="N19" s="978">
        <f t="shared" si="0"/>
        <v>0</v>
      </c>
      <c r="O19" s="989">
        <v>57585.087865753514</v>
      </c>
      <c r="P19" s="958">
        <f t="shared" si="1"/>
        <v>0.15097431093636704</v>
      </c>
      <c r="Q19" s="196">
        <v>0</v>
      </c>
      <c r="R19" s="958">
        <f t="shared" si="2"/>
        <v>0</v>
      </c>
    </row>
    <row r="20" spans="2:18" ht="13.5" customHeight="1" x14ac:dyDescent="0.25">
      <c r="B20" s="1302" t="str">
        <f>IF('1. INTRO'!I$2="English","Specific functions","Nivåspecifikt")</f>
        <v>Specific functions</v>
      </c>
      <c r="C20" s="1303"/>
      <c r="D20" s="975">
        <f>IF('2. START'!$C$20="UTB",($R20*D$21),($P20*D$21))</f>
        <v>0</v>
      </c>
      <c r="E20" s="975">
        <f>IF('2. START'!$C$20="UTB",($R20*E$21),($P20*E$21))</f>
        <v>0</v>
      </c>
      <c r="F20" s="975">
        <f>IF('2. START'!$C$20="UTB",($R20*F$21),($P20*F$21))</f>
        <v>0</v>
      </c>
      <c r="G20" s="975">
        <f>IF('2. START'!$C$20="UTB",($R20*G$21),($P20*G$21))</f>
        <v>0</v>
      </c>
      <c r="H20" s="975">
        <f>IF('2. START'!$C$20="UTB",($R20*H$21),($P20*H$21))</f>
        <v>0</v>
      </c>
      <c r="I20" s="975">
        <f>IF('2. START'!$C$20="UTB",($R20*I$21),($P20*I$21))</f>
        <v>0</v>
      </c>
      <c r="J20" s="975">
        <f>IF('2. START'!$C$20="UTB",($R20*J$21),($P20*J$21))</f>
        <v>0</v>
      </c>
      <c r="K20" s="975">
        <f>IF('2. START'!$C$20="UTB",($R20*K$21),($P20*K$21))</f>
        <v>0</v>
      </c>
      <c r="L20" s="975">
        <f>IF('2. START'!$C$20="UTB",($R20*L$21),($P20*L$21))</f>
        <v>0</v>
      </c>
      <c r="M20" s="975">
        <f>IF('2. START'!$C$20="UTB",($R20*M$21),($P20*M$21))</f>
        <v>0</v>
      </c>
      <c r="N20" s="979">
        <f t="shared" si="0"/>
        <v>0</v>
      </c>
      <c r="O20" s="956">
        <v>0</v>
      </c>
      <c r="P20" s="958">
        <f t="shared" si="1"/>
        <v>0</v>
      </c>
      <c r="Q20" s="196">
        <v>0</v>
      </c>
      <c r="R20" s="958">
        <f t="shared" si="2"/>
        <v>0</v>
      </c>
    </row>
    <row r="21" spans="2:18" ht="13.5" customHeight="1" x14ac:dyDescent="0.25">
      <c r="B21" s="926"/>
      <c r="C21" s="926" t="s">
        <v>113</v>
      </c>
      <c r="D21" s="973">
        <f>'9. TOTAL'!C37</f>
        <v>0</v>
      </c>
      <c r="E21" s="962">
        <f>'9. TOTAL'!D37</f>
        <v>0</v>
      </c>
      <c r="F21" s="962">
        <f>'9. TOTAL'!E37</f>
        <v>0</v>
      </c>
      <c r="G21" s="962">
        <f>'9. TOTAL'!F37</f>
        <v>0</v>
      </c>
      <c r="H21" s="962">
        <f>'9. TOTAL'!G37</f>
        <v>0</v>
      </c>
      <c r="I21" s="962">
        <f>'9. TOTAL'!H37</f>
        <v>0</v>
      </c>
      <c r="J21" s="962">
        <f>'9. TOTAL'!I37</f>
        <v>0</v>
      </c>
      <c r="K21" s="962">
        <f>'9. TOTAL'!J37</f>
        <v>0</v>
      </c>
      <c r="L21" s="962">
        <f>'9. TOTAL'!K37</f>
        <v>0</v>
      </c>
      <c r="M21" s="962">
        <f>'9. TOTAL'!L37</f>
        <v>0</v>
      </c>
      <c r="N21" s="980">
        <f>SUM(N15:N20)</f>
        <v>0</v>
      </c>
      <c r="O21" s="957">
        <f>SUM(O15:O20)</f>
        <v>381423.08786575351</v>
      </c>
      <c r="P21" s="196"/>
      <c r="Q21" s="972">
        <f>SUM(Q15:Q20)</f>
        <v>113298</v>
      </c>
    </row>
    <row r="22" spans="2:18" ht="13.5" customHeight="1" x14ac:dyDescent="0.25">
      <c r="B22" s="926"/>
      <c r="C22" s="926"/>
      <c r="D22" s="981"/>
      <c r="E22" s="981"/>
      <c r="F22" s="981"/>
      <c r="G22" s="981"/>
      <c r="H22" s="981"/>
      <c r="I22" s="981"/>
      <c r="J22" s="981"/>
      <c r="K22" s="981"/>
      <c r="L22" s="981"/>
      <c r="M22" s="981"/>
      <c r="N22" s="982"/>
      <c r="O22" s="957"/>
      <c r="P22" s="196"/>
      <c r="Q22" s="972"/>
    </row>
    <row r="23" spans="2:18" ht="13.5" customHeight="1" x14ac:dyDescent="0.2">
      <c r="B23" s="964" t="str">
        <f>IF('1. INTRO'!I2="English","SALARIES - table below has correct values only if calculation is in SEK or in TSEK (sheet 2 cell C15)","LÖNER - tabellen nedan ger korrekta värden enbart om kalkylen är i SEK eller i TSEK (blad 2 cell C15)")</f>
        <v>SALARIES - table below has correct values only if calculation is in SEK or in TSEK (sheet 2 cell C15)</v>
      </c>
      <c r="C23" s="927"/>
      <c r="D23" s="927"/>
      <c r="E23" s="927"/>
      <c r="F23" s="927"/>
      <c r="G23" s="927"/>
      <c r="H23" s="927"/>
      <c r="I23" s="927"/>
      <c r="J23" s="927"/>
      <c r="K23" s="927"/>
      <c r="L23" s="927"/>
      <c r="M23" s="927"/>
    </row>
    <row r="24" spans="2:18" ht="6" customHeight="1" x14ac:dyDescent="0.2">
      <c r="B24" s="964"/>
      <c r="C24" s="927"/>
      <c r="D24" s="927"/>
      <c r="E24" s="927"/>
      <c r="F24" s="927"/>
      <c r="G24" s="927"/>
      <c r="H24" s="927"/>
      <c r="I24" s="927"/>
      <c r="J24" s="927"/>
      <c r="K24" s="927"/>
      <c r="L24" s="927"/>
      <c r="M24" s="927"/>
    </row>
    <row r="25" spans="2:18" ht="13.5" customHeight="1" x14ac:dyDescent="0.25">
      <c r="B25" s="646"/>
      <c r="C25" s="965" t="str">
        <f>IF('1. INTRO'!I2="English","Monthly","Månads-")</f>
        <v>Monthly</v>
      </c>
      <c r="D25" s="1296" t="str">
        <f>IF('1. INTRO'!I2="English","Number of annual workers, full cost","Antal årsarbetare, fullkostnad")</f>
        <v>Number of annual workers, full cost</v>
      </c>
      <c r="E25" s="1297"/>
      <c r="F25" s="1297"/>
      <c r="G25" s="1297"/>
      <c r="H25" s="1297"/>
      <c r="I25" s="1297"/>
      <c r="J25" s="1297"/>
      <c r="K25" s="1297"/>
      <c r="L25" s="1297"/>
      <c r="M25" s="1297"/>
      <c r="N25" s="1298"/>
    </row>
    <row r="26" spans="2:18" ht="13.5" customHeight="1" x14ac:dyDescent="0.25">
      <c r="B26" s="952" t="s">
        <v>4</v>
      </c>
      <c r="C26" s="968" t="str">
        <f>IF('1. INTRO'!I2="English","salary, TSEK","lön, TSEK")</f>
        <v>salary, TSEK</v>
      </c>
      <c r="D26" s="966">
        <f>'5. PERSON'!G15</f>
        <v>1900</v>
      </c>
      <c r="E26" s="966" t="str">
        <f>'5. PERSON'!H15</f>
        <v/>
      </c>
      <c r="F26" s="966" t="str">
        <f>'5. PERSON'!I15</f>
        <v/>
      </c>
      <c r="G26" s="966" t="str">
        <f>'5. PERSON'!J15</f>
        <v/>
      </c>
      <c r="H26" s="966" t="str">
        <f>'5. PERSON'!K15</f>
        <v/>
      </c>
      <c r="I26" s="966" t="str">
        <f>'5. PERSON'!L15</f>
        <v/>
      </c>
      <c r="J26" s="966" t="str">
        <f>'5. PERSON'!M15</f>
        <v/>
      </c>
      <c r="K26" s="966" t="str">
        <f>'5. PERSON'!N15</f>
        <v/>
      </c>
      <c r="L26" s="966" t="str">
        <f>'5. PERSON'!O15</f>
        <v/>
      </c>
      <c r="M26" s="966" t="str">
        <f>'5. PERSON'!P15</f>
        <v/>
      </c>
      <c r="N26" s="967" t="s">
        <v>2</v>
      </c>
    </row>
    <row r="27" spans="2:18" ht="13.5" customHeight="1" x14ac:dyDescent="0.25">
      <c r="B27" s="969" t="str">
        <f>IF('1. INTRO'!I2="English","SUMS &gt;&gt;","SUMMOR &gt;&gt;")</f>
        <v>SUMS &gt;&gt;</v>
      </c>
      <c r="C27" s="970"/>
      <c r="D27" s="986" t="str">
        <f>IF(D204=0,"",D204)</f>
        <v/>
      </c>
      <c r="E27" s="986" t="str">
        <f t="shared" ref="E27:N27" si="3">IF(E204=0,"",E204)</f>
        <v/>
      </c>
      <c r="F27" s="986" t="str">
        <f t="shared" si="3"/>
        <v/>
      </c>
      <c r="G27" s="986" t="str">
        <f t="shared" si="3"/>
        <v/>
      </c>
      <c r="H27" s="986" t="str">
        <f t="shared" si="3"/>
        <v/>
      </c>
      <c r="I27" s="986" t="str">
        <f t="shared" si="3"/>
        <v/>
      </c>
      <c r="J27" s="986" t="str">
        <f t="shared" si="3"/>
        <v/>
      </c>
      <c r="K27" s="986" t="str">
        <f t="shared" si="3"/>
        <v/>
      </c>
      <c r="L27" s="986" t="str">
        <f t="shared" si="3"/>
        <v/>
      </c>
      <c r="M27" s="986" t="str">
        <f t="shared" si="3"/>
        <v/>
      </c>
      <c r="N27" s="986" t="str">
        <f t="shared" si="3"/>
        <v/>
      </c>
    </row>
    <row r="28" spans="2:18" ht="13.5" customHeight="1" x14ac:dyDescent="0.2">
      <c r="B28" s="960" t="str">
        <f>IF('5. PERSON'!C17="","",'5. PERSON'!C17)</f>
        <v/>
      </c>
      <c r="C28" s="984">
        <f>IF('2. START'!$C$15="TSEK",('5. PERSON'!F17),('5. PERSON'!F17/1000))</f>
        <v>0</v>
      </c>
      <c r="D28" s="987">
        <f>'5. PERSON'!G17/12</f>
        <v>0</v>
      </c>
      <c r="E28" s="987">
        <f>'5. PERSON'!H17/12</f>
        <v>0</v>
      </c>
      <c r="F28" s="987">
        <f>'5. PERSON'!I17/12</f>
        <v>0</v>
      </c>
      <c r="G28" s="987">
        <f>'5. PERSON'!J17/12</f>
        <v>0</v>
      </c>
      <c r="H28" s="987">
        <f>'5. PERSON'!K17/12</f>
        <v>0</v>
      </c>
      <c r="I28" s="987">
        <f>'5. PERSON'!L17/12</f>
        <v>0</v>
      </c>
      <c r="J28" s="987">
        <f>'5. PERSON'!M17/12</f>
        <v>0</v>
      </c>
      <c r="K28" s="987">
        <f>'5. PERSON'!N17/12</f>
        <v>0</v>
      </c>
      <c r="L28" s="987">
        <f>'5. PERSON'!O17/12</f>
        <v>0</v>
      </c>
      <c r="M28" s="987">
        <f>'5. PERSON'!P17/12</f>
        <v>0</v>
      </c>
      <c r="N28" s="987">
        <f>SUM(D28:M28)</f>
        <v>0</v>
      </c>
    </row>
    <row r="29" spans="2:18" ht="13.5" customHeight="1" x14ac:dyDescent="0.2">
      <c r="B29" s="983" t="str">
        <f>IF('5. PERSON'!C18="","",'5. PERSON'!C18)</f>
        <v/>
      </c>
      <c r="C29" s="985">
        <f>IF('2. START'!$C$15="TSEK",('5. PERSON'!F18),('5. PERSON'!F18/1000))</f>
        <v>0</v>
      </c>
      <c r="D29" s="988">
        <f>'5. PERSON'!G18/12</f>
        <v>0</v>
      </c>
      <c r="E29" s="988">
        <f>'5. PERSON'!H18/12</f>
        <v>0</v>
      </c>
      <c r="F29" s="988">
        <f>'5. PERSON'!I18/12</f>
        <v>0</v>
      </c>
      <c r="G29" s="988">
        <f>'5. PERSON'!J18/12</f>
        <v>0</v>
      </c>
      <c r="H29" s="988">
        <f>'5. PERSON'!K18/12</f>
        <v>0</v>
      </c>
      <c r="I29" s="988">
        <f>'5. PERSON'!L18/12</f>
        <v>0</v>
      </c>
      <c r="J29" s="988">
        <f>'5. PERSON'!M18/12</f>
        <v>0</v>
      </c>
      <c r="K29" s="988">
        <f>'5. PERSON'!N18/12</f>
        <v>0</v>
      </c>
      <c r="L29" s="988">
        <f>'5. PERSON'!O18/12</f>
        <v>0</v>
      </c>
      <c r="M29" s="988">
        <f>'5. PERSON'!P18/12</f>
        <v>0</v>
      </c>
      <c r="N29" s="988">
        <f t="shared" ref="N29:N92" si="4">SUM(D29:M29)</f>
        <v>0</v>
      </c>
    </row>
    <row r="30" spans="2:18" ht="13.5" customHeight="1" x14ac:dyDescent="0.2">
      <c r="B30" s="961" t="str">
        <f>IF('5. PERSON'!C19="","",'5. PERSON'!C19)</f>
        <v/>
      </c>
      <c r="C30" s="984">
        <f>IF('2. START'!$C$15="TSEK",('5. PERSON'!F19),('5. PERSON'!F19/1000))</f>
        <v>0</v>
      </c>
      <c r="D30" s="987">
        <f>'5. PERSON'!G19/12</f>
        <v>0</v>
      </c>
      <c r="E30" s="987">
        <f>'5. PERSON'!H19/12</f>
        <v>0</v>
      </c>
      <c r="F30" s="987">
        <f>'5. PERSON'!I19/12</f>
        <v>0</v>
      </c>
      <c r="G30" s="987">
        <f>'5. PERSON'!J19/12</f>
        <v>0</v>
      </c>
      <c r="H30" s="987">
        <f>'5. PERSON'!K19/12</f>
        <v>0</v>
      </c>
      <c r="I30" s="987">
        <f>'5. PERSON'!L19/12</f>
        <v>0</v>
      </c>
      <c r="J30" s="987">
        <f>'5. PERSON'!M19/12</f>
        <v>0</v>
      </c>
      <c r="K30" s="987">
        <f>'5. PERSON'!N19/12</f>
        <v>0</v>
      </c>
      <c r="L30" s="987">
        <f>'5. PERSON'!O19/12</f>
        <v>0</v>
      </c>
      <c r="M30" s="987">
        <f>'5. PERSON'!P19/12</f>
        <v>0</v>
      </c>
      <c r="N30" s="987">
        <f t="shared" si="4"/>
        <v>0</v>
      </c>
    </row>
    <row r="31" spans="2:18" ht="13.5" customHeight="1" x14ac:dyDescent="0.2">
      <c r="B31" s="983" t="str">
        <f>IF('5. PERSON'!C20="","",'5. PERSON'!C20)</f>
        <v/>
      </c>
      <c r="C31" s="985">
        <f>IF('2. START'!$C$15="TSEK",('5. PERSON'!F20),('5. PERSON'!F20/1000))</f>
        <v>0</v>
      </c>
      <c r="D31" s="988">
        <f>'5. PERSON'!G20/12</f>
        <v>0</v>
      </c>
      <c r="E31" s="988">
        <f>'5. PERSON'!H20/12</f>
        <v>0</v>
      </c>
      <c r="F31" s="988">
        <f>'5. PERSON'!I20/12</f>
        <v>0</v>
      </c>
      <c r="G31" s="988">
        <f>'5. PERSON'!J20/12</f>
        <v>0</v>
      </c>
      <c r="H31" s="988">
        <f>'5. PERSON'!K20/12</f>
        <v>0</v>
      </c>
      <c r="I31" s="988">
        <f>'5. PERSON'!L20/12</f>
        <v>0</v>
      </c>
      <c r="J31" s="988">
        <f>'5. PERSON'!M20/12</f>
        <v>0</v>
      </c>
      <c r="K31" s="988">
        <f>'5. PERSON'!N20/12</f>
        <v>0</v>
      </c>
      <c r="L31" s="988">
        <f>'5. PERSON'!O20/12</f>
        <v>0</v>
      </c>
      <c r="M31" s="988">
        <f>'5. PERSON'!P20/12</f>
        <v>0</v>
      </c>
      <c r="N31" s="988">
        <f t="shared" si="4"/>
        <v>0</v>
      </c>
    </row>
    <row r="32" spans="2:18" ht="13.5" customHeight="1" x14ac:dyDescent="0.2">
      <c r="B32" s="961" t="str">
        <f>IF('5. PERSON'!C21="","",'5. PERSON'!C21)</f>
        <v/>
      </c>
      <c r="C32" s="984">
        <f>IF('2. START'!$C$15="TSEK",('5. PERSON'!F21),('5. PERSON'!F21/1000))</f>
        <v>0</v>
      </c>
      <c r="D32" s="987">
        <f>'5. PERSON'!G21/12</f>
        <v>0</v>
      </c>
      <c r="E32" s="987">
        <f>'5. PERSON'!H21/12</f>
        <v>0</v>
      </c>
      <c r="F32" s="987">
        <f>'5. PERSON'!I21/12</f>
        <v>0</v>
      </c>
      <c r="G32" s="987">
        <f>'5. PERSON'!J21/12</f>
        <v>0</v>
      </c>
      <c r="H32" s="987">
        <f>'5. PERSON'!K21/12</f>
        <v>0</v>
      </c>
      <c r="I32" s="987">
        <f>'5. PERSON'!L21/12</f>
        <v>0</v>
      </c>
      <c r="J32" s="987">
        <f>'5. PERSON'!M21/12</f>
        <v>0</v>
      </c>
      <c r="K32" s="987">
        <f>'5. PERSON'!N21/12</f>
        <v>0</v>
      </c>
      <c r="L32" s="987">
        <f>'5. PERSON'!O21/12</f>
        <v>0</v>
      </c>
      <c r="M32" s="987">
        <f>'5. PERSON'!P21/12</f>
        <v>0</v>
      </c>
      <c r="N32" s="987">
        <f t="shared" si="4"/>
        <v>0</v>
      </c>
    </row>
    <row r="33" spans="2:14" ht="13.5" customHeight="1" x14ac:dyDescent="0.2">
      <c r="B33" s="983" t="str">
        <f>IF('5. PERSON'!C22="","",'5. PERSON'!C22)</f>
        <v/>
      </c>
      <c r="C33" s="985">
        <f>IF('2. START'!$C$15="TSEK",('5. PERSON'!F22),('5. PERSON'!F22/1000))</f>
        <v>0</v>
      </c>
      <c r="D33" s="988">
        <f>'5. PERSON'!G22/12</f>
        <v>0</v>
      </c>
      <c r="E33" s="988">
        <f>'5. PERSON'!H22/12</f>
        <v>0</v>
      </c>
      <c r="F33" s="988">
        <f>'5. PERSON'!I22/12</f>
        <v>0</v>
      </c>
      <c r="G33" s="988">
        <f>'5. PERSON'!J22/12</f>
        <v>0</v>
      </c>
      <c r="H33" s="988">
        <f>'5. PERSON'!K22/12</f>
        <v>0</v>
      </c>
      <c r="I33" s="988">
        <f>'5. PERSON'!L22/12</f>
        <v>0</v>
      </c>
      <c r="J33" s="988">
        <f>'5. PERSON'!M22/12</f>
        <v>0</v>
      </c>
      <c r="K33" s="988">
        <f>'5. PERSON'!N22/12</f>
        <v>0</v>
      </c>
      <c r="L33" s="988">
        <f>'5. PERSON'!O22/12</f>
        <v>0</v>
      </c>
      <c r="M33" s="988">
        <f>'5. PERSON'!P22/12</f>
        <v>0</v>
      </c>
      <c r="N33" s="988">
        <f t="shared" si="4"/>
        <v>0</v>
      </c>
    </row>
    <row r="34" spans="2:14" ht="13.5" customHeight="1" x14ac:dyDescent="0.2">
      <c r="B34" s="961" t="str">
        <f>IF('5. PERSON'!C23="","",'5. PERSON'!C23)</f>
        <v/>
      </c>
      <c r="C34" s="984">
        <f>IF('2. START'!$C$15="TSEK",('5. PERSON'!F23),('5. PERSON'!F23/1000))</f>
        <v>0</v>
      </c>
      <c r="D34" s="987">
        <f>'5. PERSON'!G23/12</f>
        <v>0</v>
      </c>
      <c r="E34" s="987">
        <f>'5. PERSON'!H23/12</f>
        <v>0</v>
      </c>
      <c r="F34" s="987">
        <f>'5. PERSON'!I23/12</f>
        <v>0</v>
      </c>
      <c r="G34" s="987">
        <f>'5. PERSON'!J23/12</f>
        <v>0</v>
      </c>
      <c r="H34" s="987">
        <f>'5. PERSON'!K23/12</f>
        <v>0</v>
      </c>
      <c r="I34" s="987">
        <f>'5. PERSON'!L23/12</f>
        <v>0</v>
      </c>
      <c r="J34" s="987">
        <f>'5. PERSON'!M23/12</f>
        <v>0</v>
      </c>
      <c r="K34" s="987">
        <f>'5. PERSON'!N23/12</f>
        <v>0</v>
      </c>
      <c r="L34" s="987">
        <f>'5. PERSON'!O23/12</f>
        <v>0</v>
      </c>
      <c r="M34" s="987">
        <f>'5. PERSON'!P23/12</f>
        <v>0</v>
      </c>
      <c r="N34" s="987">
        <f t="shared" si="4"/>
        <v>0</v>
      </c>
    </row>
    <row r="35" spans="2:14" ht="13.5" customHeight="1" x14ac:dyDescent="0.2">
      <c r="B35" s="983" t="str">
        <f>IF('5. PERSON'!C24="","",'5. PERSON'!C24)</f>
        <v/>
      </c>
      <c r="C35" s="985">
        <f>IF('2. START'!$C$15="TSEK",('5. PERSON'!F24),('5. PERSON'!F24/1000))</f>
        <v>0</v>
      </c>
      <c r="D35" s="988">
        <f>'5. PERSON'!G24/12</f>
        <v>0</v>
      </c>
      <c r="E35" s="988">
        <f>'5. PERSON'!H24/12</f>
        <v>0</v>
      </c>
      <c r="F35" s="988">
        <f>'5. PERSON'!I24/12</f>
        <v>0</v>
      </c>
      <c r="G35" s="988">
        <f>'5. PERSON'!J24/12</f>
        <v>0</v>
      </c>
      <c r="H35" s="988">
        <f>'5. PERSON'!K24/12</f>
        <v>0</v>
      </c>
      <c r="I35" s="988">
        <f>'5. PERSON'!L24/12</f>
        <v>0</v>
      </c>
      <c r="J35" s="988">
        <f>'5. PERSON'!M24/12</f>
        <v>0</v>
      </c>
      <c r="K35" s="988">
        <f>'5. PERSON'!N24/12</f>
        <v>0</v>
      </c>
      <c r="L35" s="988">
        <f>'5. PERSON'!O24/12</f>
        <v>0</v>
      </c>
      <c r="M35" s="988">
        <f>'5. PERSON'!P24/12</f>
        <v>0</v>
      </c>
      <c r="N35" s="988">
        <f t="shared" si="4"/>
        <v>0</v>
      </c>
    </row>
    <row r="36" spans="2:14" ht="13.5" customHeight="1" x14ac:dyDescent="0.2">
      <c r="B36" s="961" t="str">
        <f>IF('5. PERSON'!C25="","",'5. PERSON'!C25)</f>
        <v/>
      </c>
      <c r="C36" s="984">
        <f>IF('2. START'!$C$15="TSEK",('5. PERSON'!F25),('5. PERSON'!F25/1000))</f>
        <v>0</v>
      </c>
      <c r="D36" s="987">
        <f>'5. PERSON'!G25/12</f>
        <v>0</v>
      </c>
      <c r="E36" s="987">
        <f>'5. PERSON'!H25/12</f>
        <v>0</v>
      </c>
      <c r="F36" s="987">
        <f>'5. PERSON'!I25/12</f>
        <v>0</v>
      </c>
      <c r="G36" s="987">
        <f>'5. PERSON'!J25/12</f>
        <v>0</v>
      </c>
      <c r="H36" s="987">
        <f>'5. PERSON'!K25/12</f>
        <v>0</v>
      </c>
      <c r="I36" s="987">
        <f>'5. PERSON'!L25/12</f>
        <v>0</v>
      </c>
      <c r="J36" s="987">
        <f>'5. PERSON'!M25/12</f>
        <v>0</v>
      </c>
      <c r="K36" s="987">
        <f>'5. PERSON'!N25/12</f>
        <v>0</v>
      </c>
      <c r="L36" s="987">
        <f>'5. PERSON'!O25/12</f>
        <v>0</v>
      </c>
      <c r="M36" s="987">
        <f>'5. PERSON'!P25/12</f>
        <v>0</v>
      </c>
      <c r="N36" s="987">
        <f t="shared" si="4"/>
        <v>0</v>
      </c>
    </row>
    <row r="37" spans="2:14" ht="13.5" customHeight="1" x14ac:dyDescent="0.2">
      <c r="B37" s="983" t="str">
        <f>IF('5. PERSON'!C26="","",'5. PERSON'!C26)</f>
        <v/>
      </c>
      <c r="C37" s="985">
        <f>IF('2. START'!$C$15="TSEK",('5. PERSON'!F26),('5. PERSON'!F26/1000))</f>
        <v>0</v>
      </c>
      <c r="D37" s="988">
        <f>'5. PERSON'!G26/12</f>
        <v>0</v>
      </c>
      <c r="E37" s="988">
        <f>'5. PERSON'!H26/12</f>
        <v>0</v>
      </c>
      <c r="F37" s="988">
        <f>'5. PERSON'!I26/12</f>
        <v>0</v>
      </c>
      <c r="G37" s="988">
        <f>'5. PERSON'!J26/12</f>
        <v>0</v>
      </c>
      <c r="H37" s="988">
        <f>'5. PERSON'!K26/12</f>
        <v>0</v>
      </c>
      <c r="I37" s="988">
        <f>'5. PERSON'!L26/12</f>
        <v>0</v>
      </c>
      <c r="J37" s="988">
        <f>'5. PERSON'!M26/12</f>
        <v>0</v>
      </c>
      <c r="K37" s="988">
        <f>'5. PERSON'!N26/12</f>
        <v>0</v>
      </c>
      <c r="L37" s="988">
        <f>'5. PERSON'!O26/12</f>
        <v>0</v>
      </c>
      <c r="M37" s="988">
        <f>'5. PERSON'!P26/12</f>
        <v>0</v>
      </c>
      <c r="N37" s="988">
        <f t="shared" si="4"/>
        <v>0</v>
      </c>
    </row>
    <row r="38" spans="2:14" ht="13.5" customHeight="1" x14ac:dyDescent="0.2">
      <c r="B38" s="961" t="str">
        <f>IF('5. PERSON'!C27="","",'5. PERSON'!C27)</f>
        <v/>
      </c>
      <c r="C38" s="984">
        <f>IF('2. START'!$C$15="TSEK",('5. PERSON'!F27),('5. PERSON'!F27/1000))</f>
        <v>0</v>
      </c>
      <c r="D38" s="987">
        <f>'5. PERSON'!G27/12</f>
        <v>0</v>
      </c>
      <c r="E38" s="987">
        <f>'5. PERSON'!H27/12</f>
        <v>0</v>
      </c>
      <c r="F38" s="987">
        <f>'5. PERSON'!I27/12</f>
        <v>0</v>
      </c>
      <c r="G38" s="987">
        <f>'5. PERSON'!J27/12</f>
        <v>0</v>
      </c>
      <c r="H38" s="987">
        <f>'5. PERSON'!K27/12</f>
        <v>0</v>
      </c>
      <c r="I38" s="987">
        <f>'5. PERSON'!L27/12</f>
        <v>0</v>
      </c>
      <c r="J38" s="987">
        <f>'5. PERSON'!M27/12</f>
        <v>0</v>
      </c>
      <c r="K38" s="987">
        <f>'5. PERSON'!N27/12</f>
        <v>0</v>
      </c>
      <c r="L38" s="987">
        <f>'5. PERSON'!O27/12</f>
        <v>0</v>
      </c>
      <c r="M38" s="987">
        <f>'5. PERSON'!P27/12</f>
        <v>0</v>
      </c>
      <c r="N38" s="987">
        <f t="shared" si="4"/>
        <v>0</v>
      </c>
    </row>
    <row r="39" spans="2:14" ht="13.5" customHeight="1" x14ac:dyDescent="0.2">
      <c r="B39" s="983" t="str">
        <f>IF('5. PERSON'!C28="","",'5. PERSON'!C28)</f>
        <v/>
      </c>
      <c r="C39" s="985">
        <f>IF('2. START'!$C$15="TSEK",('5. PERSON'!F28),('5. PERSON'!F28/1000))</f>
        <v>0</v>
      </c>
      <c r="D39" s="988">
        <f>'5. PERSON'!G28/12</f>
        <v>0</v>
      </c>
      <c r="E39" s="988">
        <f>'5. PERSON'!H28/12</f>
        <v>0</v>
      </c>
      <c r="F39" s="988">
        <f>'5. PERSON'!I28/12</f>
        <v>0</v>
      </c>
      <c r="G39" s="988">
        <f>'5. PERSON'!J28/12</f>
        <v>0</v>
      </c>
      <c r="H39" s="988">
        <f>'5. PERSON'!K28/12</f>
        <v>0</v>
      </c>
      <c r="I39" s="988">
        <f>'5. PERSON'!L28/12</f>
        <v>0</v>
      </c>
      <c r="J39" s="988">
        <f>'5. PERSON'!M28/12</f>
        <v>0</v>
      </c>
      <c r="K39" s="988">
        <f>'5. PERSON'!N28/12</f>
        <v>0</v>
      </c>
      <c r="L39" s="988">
        <f>'5. PERSON'!O28/12</f>
        <v>0</v>
      </c>
      <c r="M39" s="988">
        <f>'5. PERSON'!P28/12</f>
        <v>0</v>
      </c>
      <c r="N39" s="988">
        <f t="shared" si="4"/>
        <v>0</v>
      </c>
    </row>
    <row r="40" spans="2:14" ht="13.5" customHeight="1" x14ac:dyDescent="0.2">
      <c r="B40" s="961" t="str">
        <f>IF('5. PERSON'!C29="","",'5. PERSON'!C29)</f>
        <v/>
      </c>
      <c r="C40" s="984">
        <f>IF('2. START'!$C$15="TSEK",('5. PERSON'!F29),('5. PERSON'!F29/1000))</f>
        <v>0</v>
      </c>
      <c r="D40" s="987">
        <f>'5. PERSON'!G29/12</f>
        <v>0</v>
      </c>
      <c r="E40" s="987">
        <f>'5. PERSON'!H29/12</f>
        <v>0</v>
      </c>
      <c r="F40" s="987">
        <f>'5. PERSON'!I29/12</f>
        <v>0</v>
      </c>
      <c r="G40" s="987">
        <f>'5. PERSON'!J29/12</f>
        <v>0</v>
      </c>
      <c r="H40" s="987">
        <f>'5. PERSON'!K29/12</f>
        <v>0</v>
      </c>
      <c r="I40" s="987">
        <f>'5. PERSON'!L29/12</f>
        <v>0</v>
      </c>
      <c r="J40" s="987">
        <f>'5. PERSON'!M29/12</f>
        <v>0</v>
      </c>
      <c r="K40" s="987">
        <f>'5. PERSON'!N29/12</f>
        <v>0</v>
      </c>
      <c r="L40" s="987">
        <f>'5. PERSON'!O29/12</f>
        <v>0</v>
      </c>
      <c r="M40" s="987">
        <f>'5. PERSON'!P29/12</f>
        <v>0</v>
      </c>
      <c r="N40" s="987">
        <f t="shared" si="4"/>
        <v>0</v>
      </c>
    </row>
    <row r="41" spans="2:14" ht="13.5" customHeight="1" x14ac:dyDescent="0.2">
      <c r="B41" s="983" t="str">
        <f>IF('5. PERSON'!C30="","",'5. PERSON'!C30)</f>
        <v/>
      </c>
      <c r="C41" s="985">
        <f>IF('2. START'!$C$15="TSEK",('5. PERSON'!F30),('5. PERSON'!F30/1000))</f>
        <v>0</v>
      </c>
      <c r="D41" s="988">
        <f>'5. PERSON'!G30/12</f>
        <v>0</v>
      </c>
      <c r="E41" s="988">
        <f>'5. PERSON'!H30/12</f>
        <v>0</v>
      </c>
      <c r="F41" s="988">
        <f>'5. PERSON'!I30/12</f>
        <v>0</v>
      </c>
      <c r="G41" s="988">
        <f>'5. PERSON'!J30/12</f>
        <v>0</v>
      </c>
      <c r="H41" s="988">
        <f>'5. PERSON'!K30/12</f>
        <v>0</v>
      </c>
      <c r="I41" s="988">
        <f>'5. PERSON'!L30/12</f>
        <v>0</v>
      </c>
      <c r="J41" s="988">
        <f>'5. PERSON'!M30/12</f>
        <v>0</v>
      </c>
      <c r="K41" s="988">
        <f>'5. PERSON'!N30/12</f>
        <v>0</v>
      </c>
      <c r="L41" s="988">
        <f>'5. PERSON'!O30/12</f>
        <v>0</v>
      </c>
      <c r="M41" s="988">
        <f>'5. PERSON'!P30/12</f>
        <v>0</v>
      </c>
      <c r="N41" s="988">
        <f t="shared" si="4"/>
        <v>0</v>
      </c>
    </row>
    <row r="42" spans="2:14" ht="13.5" customHeight="1" x14ac:dyDescent="0.2">
      <c r="B42" s="961" t="str">
        <f>IF('5. PERSON'!C31="","",'5. PERSON'!C31)</f>
        <v/>
      </c>
      <c r="C42" s="984">
        <f>IF('2. START'!$C$15="TSEK",('5. PERSON'!F31),('5. PERSON'!F31/1000))</f>
        <v>0</v>
      </c>
      <c r="D42" s="987">
        <f>'5. PERSON'!G31/12</f>
        <v>0</v>
      </c>
      <c r="E42" s="987">
        <f>'5. PERSON'!H31/12</f>
        <v>0</v>
      </c>
      <c r="F42" s="987">
        <f>'5. PERSON'!I31/12</f>
        <v>0</v>
      </c>
      <c r="G42" s="987">
        <f>'5. PERSON'!J31/12</f>
        <v>0</v>
      </c>
      <c r="H42" s="987">
        <f>'5. PERSON'!K31/12</f>
        <v>0</v>
      </c>
      <c r="I42" s="987">
        <f>'5. PERSON'!L31/12</f>
        <v>0</v>
      </c>
      <c r="J42" s="987">
        <f>'5. PERSON'!M31/12</f>
        <v>0</v>
      </c>
      <c r="K42" s="987">
        <f>'5. PERSON'!N31/12</f>
        <v>0</v>
      </c>
      <c r="L42" s="987">
        <f>'5. PERSON'!O31/12</f>
        <v>0</v>
      </c>
      <c r="M42" s="987">
        <f>'5. PERSON'!P31/12</f>
        <v>0</v>
      </c>
      <c r="N42" s="987">
        <f t="shared" si="4"/>
        <v>0</v>
      </c>
    </row>
    <row r="43" spans="2:14" ht="13.5" customHeight="1" x14ac:dyDescent="0.2">
      <c r="B43" s="983" t="str">
        <f>IF('5. PERSON'!C32="","",'5. PERSON'!C32)</f>
        <v/>
      </c>
      <c r="C43" s="985">
        <f>IF('2. START'!$C$15="TSEK",('5. PERSON'!F32),('5. PERSON'!F32/1000))</f>
        <v>0</v>
      </c>
      <c r="D43" s="988">
        <f>'5. PERSON'!G32/12</f>
        <v>0</v>
      </c>
      <c r="E43" s="988">
        <f>'5. PERSON'!H32/12</f>
        <v>0</v>
      </c>
      <c r="F43" s="988">
        <f>'5. PERSON'!I32/12</f>
        <v>0</v>
      </c>
      <c r="G43" s="988">
        <f>'5. PERSON'!J32/12</f>
        <v>0</v>
      </c>
      <c r="H43" s="988">
        <f>'5. PERSON'!K32/12</f>
        <v>0</v>
      </c>
      <c r="I43" s="988">
        <f>'5. PERSON'!L32/12</f>
        <v>0</v>
      </c>
      <c r="J43" s="988">
        <f>'5. PERSON'!M32/12</f>
        <v>0</v>
      </c>
      <c r="K43" s="988">
        <f>'5. PERSON'!N32/12</f>
        <v>0</v>
      </c>
      <c r="L43" s="988">
        <f>'5. PERSON'!O32/12</f>
        <v>0</v>
      </c>
      <c r="M43" s="988">
        <f>'5. PERSON'!P32/12</f>
        <v>0</v>
      </c>
      <c r="N43" s="988">
        <f t="shared" si="4"/>
        <v>0</v>
      </c>
    </row>
    <row r="44" spans="2:14" ht="13.5" customHeight="1" x14ac:dyDescent="0.2">
      <c r="B44" s="961" t="str">
        <f>IF('5. PERSON'!C33="","",'5. PERSON'!C33)</f>
        <v/>
      </c>
      <c r="C44" s="984">
        <f>IF('2. START'!$C$15="TSEK",('5. PERSON'!F33),('5. PERSON'!F33/1000))</f>
        <v>0</v>
      </c>
      <c r="D44" s="987">
        <f>'5. PERSON'!G33/12</f>
        <v>0</v>
      </c>
      <c r="E44" s="987">
        <f>'5. PERSON'!H33/12</f>
        <v>0</v>
      </c>
      <c r="F44" s="987">
        <f>'5. PERSON'!I33/12</f>
        <v>0</v>
      </c>
      <c r="G44" s="987">
        <f>'5. PERSON'!J33/12</f>
        <v>0</v>
      </c>
      <c r="H44" s="987">
        <f>'5. PERSON'!K33/12</f>
        <v>0</v>
      </c>
      <c r="I44" s="987">
        <f>'5. PERSON'!L33/12</f>
        <v>0</v>
      </c>
      <c r="J44" s="987">
        <f>'5. PERSON'!M33/12</f>
        <v>0</v>
      </c>
      <c r="K44" s="987">
        <f>'5. PERSON'!N33/12</f>
        <v>0</v>
      </c>
      <c r="L44" s="987">
        <f>'5. PERSON'!O33/12</f>
        <v>0</v>
      </c>
      <c r="M44" s="987">
        <f>'5. PERSON'!P33/12</f>
        <v>0</v>
      </c>
      <c r="N44" s="987">
        <f t="shared" si="4"/>
        <v>0</v>
      </c>
    </row>
    <row r="45" spans="2:14" ht="13.5" customHeight="1" x14ac:dyDescent="0.2">
      <c r="B45" s="983" t="str">
        <f>IF('5. PERSON'!C34="","",'5. PERSON'!C34)</f>
        <v/>
      </c>
      <c r="C45" s="985">
        <f>IF('2. START'!$C$15="TSEK",('5. PERSON'!F34),('5. PERSON'!F34/1000))</f>
        <v>0</v>
      </c>
      <c r="D45" s="988">
        <f>'5. PERSON'!G34/12</f>
        <v>0</v>
      </c>
      <c r="E45" s="988">
        <f>'5. PERSON'!H34/12</f>
        <v>0</v>
      </c>
      <c r="F45" s="988">
        <f>'5. PERSON'!I34/12</f>
        <v>0</v>
      </c>
      <c r="G45" s="988">
        <f>'5. PERSON'!J34/12</f>
        <v>0</v>
      </c>
      <c r="H45" s="988">
        <f>'5. PERSON'!K34/12</f>
        <v>0</v>
      </c>
      <c r="I45" s="988">
        <f>'5. PERSON'!L34/12</f>
        <v>0</v>
      </c>
      <c r="J45" s="988">
        <f>'5. PERSON'!M34/12</f>
        <v>0</v>
      </c>
      <c r="K45" s="988">
        <f>'5. PERSON'!N34/12</f>
        <v>0</v>
      </c>
      <c r="L45" s="988">
        <f>'5. PERSON'!O34/12</f>
        <v>0</v>
      </c>
      <c r="M45" s="988">
        <f>'5. PERSON'!P34/12</f>
        <v>0</v>
      </c>
      <c r="N45" s="988">
        <f t="shared" si="4"/>
        <v>0</v>
      </c>
    </row>
    <row r="46" spans="2:14" ht="13.5" customHeight="1" x14ac:dyDescent="0.2">
      <c r="B46" s="961" t="str">
        <f>IF('5. PERSON'!C35="","",'5. PERSON'!C35)</f>
        <v/>
      </c>
      <c r="C46" s="984">
        <f>IF('2. START'!$C$15="TSEK",('5. PERSON'!F35),('5. PERSON'!F35/1000))</f>
        <v>0</v>
      </c>
      <c r="D46" s="987">
        <f>'5. PERSON'!G35/12</f>
        <v>0</v>
      </c>
      <c r="E46" s="987">
        <f>'5. PERSON'!H35/12</f>
        <v>0</v>
      </c>
      <c r="F46" s="987">
        <f>'5. PERSON'!I35/12</f>
        <v>0</v>
      </c>
      <c r="G46" s="987">
        <f>'5. PERSON'!J35/12</f>
        <v>0</v>
      </c>
      <c r="H46" s="987">
        <f>'5. PERSON'!K35/12</f>
        <v>0</v>
      </c>
      <c r="I46" s="987">
        <f>'5. PERSON'!L35/12</f>
        <v>0</v>
      </c>
      <c r="J46" s="987">
        <f>'5. PERSON'!M35/12</f>
        <v>0</v>
      </c>
      <c r="K46" s="987">
        <f>'5. PERSON'!N35/12</f>
        <v>0</v>
      </c>
      <c r="L46" s="987">
        <f>'5. PERSON'!O35/12</f>
        <v>0</v>
      </c>
      <c r="M46" s="987">
        <f>'5. PERSON'!P35/12</f>
        <v>0</v>
      </c>
      <c r="N46" s="987">
        <f t="shared" si="4"/>
        <v>0</v>
      </c>
    </row>
    <row r="47" spans="2:14" ht="13.5" customHeight="1" x14ac:dyDescent="0.2">
      <c r="B47" s="983" t="str">
        <f>IF('5. PERSON'!C36="","",'5. PERSON'!C36)</f>
        <v/>
      </c>
      <c r="C47" s="985">
        <f>IF('2. START'!$C$15="TSEK",('5. PERSON'!F36),('5. PERSON'!F36/1000))</f>
        <v>0</v>
      </c>
      <c r="D47" s="988">
        <f>'5. PERSON'!G36/12</f>
        <v>0</v>
      </c>
      <c r="E47" s="988">
        <f>'5. PERSON'!H36/12</f>
        <v>0</v>
      </c>
      <c r="F47" s="988">
        <f>'5. PERSON'!I36/12</f>
        <v>0</v>
      </c>
      <c r="G47" s="988">
        <f>'5. PERSON'!J36/12</f>
        <v>0</v>
      </c>
      <c r="H47" s="988">
        <f>'5. PERSON'!K36/12</f>
        <v>0</v>
      </c>
      <c r="I47" s="988">
        <f>'5. PERSON'!L36/12</f>
        <v>0</v>
      </c>
      <c r="J47" s="988">
        <f>'5. PERSON'!M36/12</f>
        <v>0</v>
      </c>
      <c r="K47" s="988">
        <f>'5. PERSON'!N36/12</f>
        <v>0</v>
      </c>
      <c r="L47" s="988">
        <f>'5. PERSON'!O36/12</f>
        <v>0</v>
      </c>
      <c r="M47" s="988">
        <f>'5. PERSON'!P36/12</f>
        <v>0</v>
      </c>
      <c r="N47" s="988">
        <f t="shared" si="4"/>
        <v>0</v>
      </c>
    </row>
    <row r="48" spans="2:14" ht="13.5" customHeight="1" x14ac:dyDescent="0.2">
      <c r="B48" s="961" t="str">
        <f>IF('5. PERSON'!C37="","",'5. PERSON'!C37)</f>
        <v/>
      </c>
      <c r="C48" s="984">
        <f>IF('2. START'!$C$15="TSEK",('5. PERSON'!F37),('5. PERSON'!F37/1000))</f>
        <v>0</v>
      </c>
      <c r="D48" s="987">
        <f>'5. PERSON'!G37/12</f>
        <v>0</v>
      </c>
      <c r="E48" s="987">
        <f>'5. PERSON'!H37/12</f>
        <v>0</v>
      </c>
      <c r="F48" s="987">
        <f>'5. PERSON'!I37/12</f>
        <v>0</v>
      </c>
      <c r="G48" s="987">
        <f>'5. PERSON'!J37/12</f>
        <v>0</v>
      </c>
      <c r="H48" s="987">
        <f>'5. PERSON'!K37/12</f>
        <v>0</v>
      </c>
      <c r="I48" s="987">
        <f>'5. PERSON'!L37/12</f>
        <v>0</v>
      </c>
      <c r="J48" s="987">
        <f>'5. PERSON'!M37/12</f>
        <v>0</v>
      </c>
      <c r="K48" s="987">
        <f>'5. PERSON'!N37/12</f>
        <v>0</v>
      </c>
      <c r="L48" s="987">
        <f>'5. PERSON'!O37/12</f>
        <v>0</v>
      </c>
      <c r="M48" s="987">
        <f>'5. PERSON'!P37/12</f>
        <v>0</v>
      </c>
      <c r="N48" s="987">
        <f t="shared" si="4"/>
        <v>0</v>
      </c>
    </row>
    <row r="49" spans="2:14" ht="13.5" customHeight="1" x14ac:dyDescent="0.2">
      <c r="B49" s="983" t="str">
        <f>IF('5. PERSON'!C38="","",'5. PERSON'!C38)</f>
        <v/>
      </c>
      <c r="C49" s="985">
        <f>IF('2. START'!$C$15="TSEK",('5. PERSON'!F38),('5. PERSON'!F38/1000))</f>
        <v>0</v>
      </c>
      <c r="D49" s="988">
        <f>'5. PERSON'!G38/12</f>
        <v>0</v>
      </c>
      <c r="E49" s="988">
        <f>'5. PERSON'!H38/12</f>
        <v>0</v>
      </c>
      <c r="F49" s="988">
        <f>'5. PERSON'!I38/12</f>
        <v>0</v>
      </c>
      <c r="G49" s="988">
        <f>'5. PERSON'!J38/12</f>
        <v>0</v>
      </c>
      <c r="H49" s="988">
        <f>'5. PERSON'!K38/12</f>
        <v>0</v>
      </c>
      <c r="I49" s="988">
        <f>'5. PERSON'!L38/12</f>
        <v>0</v>
      </c>
      <c r="J49" s="988">
        <f>'5. PERSON'!M38/12</f>
        <v>0</v>
      </c>
      <c r="K49" s="988">
        <f>'5. PERSON'!N38/12</f>
        <v>0</v>
      </c>
      <c r="L49" s="988">
        <f>'5. PERSON'!O38/12</f>
        <v>0</v>
      </c>
      <c r="M49" s="988">
        <f>'5. PERSON'!P38/12</f>
        <v>0</v>
      </c>
      <c r="N49" s="988">
        <f t="shared" si="4"/>
        <v>0</v>
      </c>
    </row>
    <row r="50" spans="2:14" ht="13.5" customHeight="1" x14ac:dyDescent="0.2">
      <c r="B50" s="961" t="str">
        <f>IF('5. PERSON'!C39="","",'5. PERSON'!C39)</f>
        <v/>
      </c>
      <c r="C50" s="984">
        <f>IF('2. START'!$C$15="TSEK",('5. PERSON'!F39),('5. PERSON'!F39/1000))</f>
        <v>0</v>
      </c>
      <c r="D50" s="987">
        <f>'5. PERSON'!G39/12</f>
        <v>0</v>
      </c>
      <c r="E50" s="987">
        <f>'5. PERSON'!H39/12</f>
        <v>0</v>
      </c>
      <c r="F50" s="987">
        <f>'5. PERSON'!I39/12</f>
        <v>0</v>
      </c>
      <c r="G50" s="987">
        <f>'5. PERSON'!J39/12</f>
        <v>0</v>
      </c>
      <c r="H50" s="987">
        <f>'5. PERSON'!K39/12</f>
        <v>0</v>
      </c>
      <c r="I50" s="987">
        <f>'5. PERSON'!L39/12</f>
        <v>0</v>
      </c>
      <c r="J50" s="987">
        <f>'5. PERSON'!M39/12</f>
        <v>0</v>
      </c>
      <c r="K50" s="987">
        <f>'5. PERSON'!N39/12</f>
        <v>0</v>
      </c>
      <c r="L50" s="987">
        <f>'5. PERSON'!O39/12</f>
        <v>0</v>
      </c>
      <c r="M50" s="987">
        <f>'5. PERSON'!P39/12</f>
        <v>0</v>
      </c>
      <c r="N50" s="987">
        <f t="shared" si="4"/>
        <v>0</v>
      </c>
    </row>
    <row r="51" spans="2:14" ht="13.5" customHeight="1" x14ac:dyDescent="0.2">
      <c r="B51" s="983" t="str">
        <f>IF('5. PERSON'!C40="","",'5. PERSON'!C40)</f>
        <v/>
      </c>
      <c r="C51" s="985">
        <f>IF('2. START'!$C$15="TSEK",('5. PERSON'!F40),('5. PERSON'!F40/1000))</f>
        <v>0</v>
      </c>
      <c r="D51" s="988">
        <f>'5. PERSON'!G40/12</f>
        <v>0</v>
      </c>
      <c r="E51" s="988">
        <f>'5. PERSON'!H40/12</f>
        <v>0</v>
      </c>
      <c r="F51" s="988">
        <f>'5. PERSON'!I40/12</f>
        <v>0</v>
      </c>
      <c r="G51" s="988">
        <f>'5. PERSON'!J40/12</f>
        <v>0</v>
      </c>
      <c r="H51" s="988">
        <f>'5. PERSON'!K40/12</f>
        <v>0</v>
      </c>
      <c r="I51" s="988">
        <f>'5. PERSON'!L40/12</f>
        <v>0</v>
      </c>
      <c r="J51" s="988">
        <f>'5. PERSON'!M40/12</f>
        <v>0</v>
      </c>
      <c r="K51" s="988">
        <f>'5. PERSON'!N40/12</f>
        <v>0</v>
      </c>
      <c r="L51" s="988">
        <f>'5. PERSON'!O40/12</f>
        <v>0</v>
      </c>
      <c r="M51" s="988">
        <f>'5. PERSON'!P40/12</f>
        <v>0</v>
      </c>
      <c r="N51" s="988">
        <f t="shared" si="4"/>
        <v>0</v>
      </c>
    </row>
    <row r="52" spans="2:14" ht="13.5" customHeight="1" x14ac:dyDescent="0.2">
      <c r="B52" s="961" t="str">
        <f>IF('5. PERSON'!C41="","",'5. PERSON'!C41)</f>
        <v/>
      </c>
      <c r="C52" s="984">
        <f>IF('2. START'!$C$15="TSEK",('5. PERSON'!F41),('5. PERSON'!F41/1000))</f>
        <v>0</v>
      </c>
      <c r="D52" s="987">
        <f>'5. PERSON'!G41/12</f>
        <v>0</v>
      </c>
      <c r="E52" s="987">
        <f>'5. PERSON'!H41/12</f>
        <v>0</v>
      </c>
      <c r="F52" s="987">
        <f>'5. PERSON'!I41/12</f>
        <v>0</v>
      </c>
      <c r="G52" s="987">
        <f>'5. PERSON'!J41/12</f>
        <v>0</v>
      </c>
      <c r="H52" s="987">
        <f>'5. PERSON'!K41/12</f>
        <v>0</v>
      </c>
      <c r="I52" s="987">
        <f>'5. PERSON'!L41/12</f>
        <v>0</v>
      </c>
      <c r="J52" s="987">
        <f>'5. PERSON'!M41/12</f>
        <v>0</v>
      </c>
      <c r="K52" s="987">
        <f>'5. PERSON'!N41/12</f>
        <v>0</v>
      </c>
      <c r="L52" s="987">
        <f>'5. PERSON'!O41/12</f>
        <v>0</v>
      </c>
      <c r="M52" s="987">
        <f>'5. PERSON'!P41/12</f>
        <v>0</v>
      </c>
      <c r="N52" s="987">
        <f t="shared" si="4"/>
        <v>0</v>
      </c>
    </row>
    <row r="53" spans="2:14" ht="13.5" customHeight="1" x14ac:dyDescent="0.2">
      <c r="B53" s="983" t="str">
        <f>IF('5. PERSON'!C42="","",'5. PERSON'!C42)</f>
        <v/>
      </c>
      <c r="C53" s="985">
        <f>IF('2. START'!$C$15="TSEK",('5. PERSON'!F42),('5. PERSON'!F42/1000))</f>
        <v>0</v>
      </c>
      <c r="D53" s="988">
        <f>'5. PERSON'!G42/12</f>
        <v>0</v>
      </c>
      <c r="E53" s="988">
        <f>'5. PERSON'!H42/12</f>
        <v>0</v>
      </c>
      <c r="F53" s="988">
        <f>'5. PERSON'!I42/12</f>
        <v>0</v>
      </c>
      <c r="G53" s="988">
        <f>'5. PERSON'!J42/12</f>
        <v>0</v>
      </c>
      <c r="H53" s="988">
        <f>'5. PERSON'!K42/12</f>
        <v>0</v>
      </c>
      <c r="I53" s="988">
        <f>'5. PERSON'!L42/12</f>
        <v>0</v>
      </c>
      <c r="J53" s="988">
        <f>'5. PERSON'!M42/12</f>
        <v>0</v>
      </c>
      <c r="K53" s="988">
        <f>'5. PERSON'!N42/12</f>
        <v>0</v>
      </c>
      <c r="L53" s="988">
        <f>'5. PERSON'!O42/12</f>
        <v>0</v>
      </c>
      <c r="M53" s="988">
        <f>'5. PERSON'!P42/12</f>
        <v>0</v>
      </c>
      <c r="N53" s="988">
        <f t="shared" si="4"/>
        <v>0</v>
      </c>
    </row>
    <row r="54" spans="2:14" ht="13.5" customHeight="1" x14ac:dyDescent="0.2">
      <c r="B54" s="961" t="str">
        <f>IF('5. PERSON'!C43="","",'5. PERSON'!C43)</f>
        <v/>
      </c>
      <c r="C54" s="984">
        <f>IF('2. START'!$C$15="TSEK",('5. PERSON'!F43),('5. PERSON'!F43/1000))</f>
        <v>0</v>
      </c>
      <c r="D54" s="987">
        <f>'5. PERSON'!G43/12</f>
        <v>0</v>
      </c>
      <c r="E54" s="987">
        <f>'5. PERSON'!H43/12</f>
        <v>0</v>
      </c>
      <c r="F54" s="987">
        <f>'5. PERSON'!I43/12</f>
        <v>0</v>
      </c>
      <c r="G54" s="987">
        <f>'5. PERSON'!J43/12</f>
        <v>0</v>
      </c>
      <c r="H54" s="987">
        <f>'5. PERSON'!K43/12</f>
        <v>0</v>
      </c>
      <c r="I54" s="987">
        <f>'5. PERSON'!L43/12</f>
        <v>0</v>
      </c>
      <c r="J54" s="987">
        <f>'5. PERSON'!M43/12</f>
        <v>0</v>
      </c>
      <c r="K54" s="987">
        <f>'5. PERSON'!N43/12</f>
        <v>0</v>
      </c>
      <c r="L54" s="987">
        <f>'5. PERSON'!O43/12</f>
        <v>0</v>
      </c>
      <c r="M54" s="987">
        <f>'5. PERSON'!P43/12</f>
        <v>0</v>
      </c>
      <c r="N54" s="987">
        <f t="shared" si="4"/>
        <v>0</v>
      </c>
    </row>
    <row r="55" spans="2:14" ht="13.5" customHeight="1" x14ac:dyDescent="0.2">
      <c r="B55" s="983" t="str">
        <f>IF('5. PERSON'!C44="","",'5. PERSON'!C44)</f>
        <v/>
      </c>
      <c r="C55" s="985">
        <f>IF('2. START'!$C$15="TSEK",('5. PERSON'!F44),('5. PERSON'!F44/1000))</f>
        <v>0</v>
      </c>
      <c r="D55" s="988">
        <f>'5. PERSON'!G44/12</f>
        <v>0</v>
      </c>
      <c r="E55" s="988">
        <f>'5. PERSON'!H44/12</f>
        <v>0</v>
      </c>
      <c r="F55" s="988">
        <f>'5. PERSON'!I44/12</f>
        <v>0</v>
      </c>
      <c r="G55" s="988">
        <f>'5. PERSON'!J44/12</f>
        <v>0</v>
      </c>
      <c r="H55" s="988">
        <f>'5. PERSON'!K44/12</f>
        <v>0</v>
      </c>
      <c r="I55" s="988">
        <f>'5. PERSON'!L44/12</f>
        <v>0</v>
      </c>
      <c r="J55" s="988">
        <f>'5. PERSON'!M44/12</f>
        <v>0</v>
      </c>
      <c r="K55" s="988">
        <f>'5. PERSON'!N44/12</f>
        <v>0</v>
      </c>
      <c r="L55" s="988">
        <f>'5. PERSON'!O44/12</f>
        <v>0</v>
      </c>
      <c r="M55" s="988">
        <f>'5. PERSON'!P44/12</f>
        <v>0</v>
      </c>
      <c r="N55" s="988">
        <f t="shared" si="4"/>
        <v>0</v>
      </c>
    </row>
    <row r="56" spans="2:14" ht="13.5" customHeight="1" x14ac:dyDescent="0.2">
      <c r="B56" s="961" t="str">
        <f>IF('5. PERSON'!C45="","",'5. PERSON'!C45)</f>
        <v/>
      </c>
      <c r="C56" s="984">
        <f>IF('2. START'!$C$15="TSEK",('5. PERSON'!F45),('5. PERSON'!F45/1000))</f>
        <v>0</v>
      </c>
      <c r="D56" s="987">
        <f>'5. PERSON'!G45/12</f>
        <v>0</v>
      </c>
      <c r="E56" s="987">
        <f>'5. PERSON'!H45/12</f>
        <v>0</v>
      </c>
      <c r="F56" s="987">
        <f>'5. PERSON'!I45/12</f>
        <v>0</v>
      </c>
      <c r="G56" s="987">
        <f>'5. PERSON'!J45/12</f>
        <v>0</v>
      </c>
      <c r="H56" s="987">
        <f>'5. PERSON'!K45/12</f>
        <v>0</v>
      </c>
      <c r="I56" s="987">
        <f>'5. PERSON'!L45/12</f>
        <v>0</v>
      </c>
      <c r="J56" s="987">
        <f>'5. PERSON'!M45/12</f>
        <v>0</v>
      </c>
      <c r="K56" s="987">
        <f>'5. PERSON'!N45/12</f>
        <v>0</v>
      </c>
      <c r="L56" s="987">
        <f>'5. PERSON'!O45/12</f>
        <v>0</v>
      </c>
      <c r="M56" s="987">
        <f>'5. PERSON'!P45/12</f>
        <v>0</v>
      </c>
      <c r="N56" s="987">
        <f t="shared" si="4"/>
        <v>0</v>
      </c>
    </row>
    <row r="57" spans="2:14" ht="13.5" customHeight="1" x14ac:dyDescent="0.2">
      <c r="B57" s="983" t="str">
        <f>IF('5. PERSON'!C46="","",'5. PERSON'!C46)</f>
        <v/>
      </c>
      <c r="C57" s="985">
        <f>IF('2. START'!$C$15="TSEK",('5. PERSON'!F46),('5. PERSON'!F46/1000))</f>
        <v>0</v>
      </c>
      <c r="D57" s="988">
        <f>'5. PERSON'!G46/12</f>
        <v>0</v>
      </c>
      <c r="E57" s="988">
        <f>'5. PERSON'!H46/12</f>
        <v>0</v>
      </c>
      <c r="F57" s="988">
        <f>'5. PERSON'!I46/12</f>
        <v>0</v>
      </c>
      <c r="G57" s="988">
        <f>'5. PERSON'!J46/12</f>
        <v>0</v>
      </c>
      <c r="H57" s="988">
        <f>'5. PERSON'!K46/12</f>
        <v>0</v>
      </c>
      <c r="I57" s="988">
        <f>'5. PERSON'!L46/12</f>
        <v>0</v>
      </c>
      <c r="J57" s="988">
        <f>'5. PERSON'!M46/12</f>
        <v>0</v>
      </c>
      <c r="K57" s="988">
        <f>'5. PERSON'!N46/12</f>
        <v>0</v>
      </c>
      <c r="L57" s="988">
        <f>'5. PERSON'!O46/12</f>
        <v>0</v>
      </c>
      <c r="M57" s="988">
        <f>'5. PERSON'!P46/12</f>
        <v>0</v>
      </c>
      <c r="N57" s="988">
        <f t="shared" si="4"/>
        <v>0</v>
      </c>
    </row>
    <row r="58" spans="2:14" ht="13.5" customHeight="1" x14ac:dyDescent="0.2">
      <c r="B58" s="961" t="str">
        <f>IF('5. PERSON'!C47="","",'5. PERSON'!C47)</f>
        <v/>
      </c>
      <c r="C58" s="984">
        <f>IF('2. START'!$C$15="TSEK",('5. PERSON'!F47),('5. PERSON'!F47/1000))</f>
        <v>0</v>
      </c>
      <c r="D58" s="987">
        <f>'5. PERSON'!G47/12</f>
        <v>0</v>
      </c>
      <c r="E58" s="987">
        <f>'5. PERSON'!H47/12</f>
        <v>0</v>
      </c>
      <c r="F58" s="987">
        <f>'5. PERSON'!I47/12</f>
        <v>0</v>
      </c>
      <c r="G58" s="987">
        <f>'5. PERSON'!J47/12</f>
        <v>0</v>
      </c>
      <c r="H58" s="987">
        <f>'5. PERSON'!K47/12</f>
        <v>0</v>
      </c>
      <c r="I58" s="987">
        <f>'5. PERSON'!L47/12</f>
        <v>0</v>
      </c>
      <c r="J58" s="987">
        <f>'5. PERSON'!M47/12</f>
        <v>0</v>
      </c>
      <c r="K58" s="987">
        <f>'5. PERSON'!N47/12</f>
        <v>0</v>
      </c>
      <c r="L58" s="987">
        <f>'5. PERSON'!O47/12</f>
        <v>0</v>
      </c>
      <c r="M58" s="987">
        <f>'5. PERSON'!P47/12</f>
        <v>0</v>
      </c>
      <c r="N58" s="987">
        <f t="shared" si="4"/>
        <v>0</v>
      </c>
    </row>
    <row r="59" spans="2:14" ht="13.5" customHeight="1" x14ac:dyDescent="0.2">
      <c r="B59" s="983" t="str">
        <f>IF('5. PERSON'!C48="","",'5. PERSON'!C48)</f>
        <v/>
      </c>
      <c r="C59" s="985">
        <f>IF('2. START'!$C$15="TSEK",('5. PERSON'!F48),('5. PERSON'!F48/1000))</f>
        <v>0</v>
      </c>
      <c r="D59" s="988">
        <f>'5. PERSON'!G48/12</f>
        <v>0</v>
      </c>
      <c r="E59" s="988">
        <f>'5. PERSON'!H48/12</f>
        <v>0</v>
      </c>
      <c r="F59" s="988">
        <f>'5. PERSON'!I48/12</f>
        <v>0</v>
      </c>
      <c r="G59" s="988">
        <f>'5. PERSON'!J48/12</f>
        <v>0</v>
      </c>
      <c r="H59" s="988">
        <f>'5. PERSON'!K48/12</f>
        <v>0</v>
      </c>
      <c r="I59" s="988">
        <f>'5. PERSON'!L48/12</f>
        <v>0</v>
      </c>
      <c r="J59" s="988">
        <f>'5. PERSON'!M48/12</f>
        <v>0</v>
      </c>
      <c r="K59" s="988">
        <f>'5. PERSON'!N48/12</f>
        <v>0</v>
      </c>
      <c r="L59" s="988">
        <f>'5. PERSON'!O48/12</f>
        <v>0</v>
      </c>
      <c r="M59" s="988">
        <f>'5. PERSON'!P48/12</f>
        <v>0</v>
      </c>
      <c r="N59" s="988">
        <f t="shared" si="4"/>
        <v>0</v>
      </c>
    </row>
    <row r="60" spans="2:14" ht="13.5" customHeight="1" x14ac:dyDescent="0.2">
      <c r="B60" s="961" t="str">
        <f>IF('5. PERSON'!C49="","",'5. PERSON'!C49)</f>
        <v/>
      </c>
      <c r="C60" s="984">
        <f>IF('2. START'!$C$15="TSEK",('5. PERSON'!F49),('5. PERSON'!F49/1000))</f>
        <v>0</v>
      </c>
      <c r="D60" s="987">
        <f>'5. PERSON'!G49/12</f>
        <v>0</v>
      </c>
      <c r="E60" s="987">
        <f>'5. PERSON'!H49/12</f>
        <v>0</v>
      </c>
      <c r="F60" s="987">
        <f>'5. PERSON'!I49/12</f>
        <v>0</v>
      </c>
      <c r="G60" s="987">
        <f>'5. PERSON'!J49/12</f>
        <v>0</v>
      </c>
      <c r="H60" s="987">
        <f>'5. PERSON'!K49/12</f>
        <v>0</v>
      </c>
      <c r="I60" s="987">
        <f>'5. PERSON'!L49/12</f>
        <v>0</v>
      </c>
      <c r="J60" s="987">
        <f>'5. PERSON'!M49/12</f>
        <v>0</v>
      </c>
      <c r="K60" s="987">
        <f>'5. PERSON'!N49/12</f>
        <v>0</v>
      </c>
      <c r="L60" s="987">
        <f>'5. PERSON'!O49/12</f>
        <v>0</v>
      </c>
      <c r="M60" s="987">
        <f>'5. PERSON'!P49/12</f>
        <v>0</v>
      </c>
      <c r="N60" s="987">
        <f t="shared" si="4"/>
        <v>0</v>
      </c>
    </row>
    <row r="61" spans="2:14" ht="13.5" customHeight="1" x14ac:dyDescent="0.2">
      <c r="B61" s="983" t="str">
        <f>IF('5. PERSON'!C50="","",'5. PERSON'!C50)</f>
        <v/>
      </c>
      <c r="C61" s="985">
        <f>IF('2. START'!$C$15="TSEK",('5. PERSON'!F50),('5. PERSON'!F50/1000))</f>
        <v>0</v>
      </c>
      <c r="D61" s="988">
        <f>'5. PERSON'!G50/12</f>
        <v>0</v>
      </c>
      <c r="E61" s="988">
        <f>'5. PERSON'!H50/12</f>
        <v>0</v>
      </c>
      <c r="F61" s="988">
        <f>'5. PERSON'!I50/12</f>
        <v>0</v>
      </c>
      <c r="G61" s="988">
        <f>'5. PERSON'!J50/12</f>
        <v>0</v>
      </c>
      <c r="H61" s="988">
        <f>'5. PERSON'!K50/12</f>
        <v>0</v>
      </c>
      <c r="I61" s="988">
        <f>'5. PERSON'!L50/12</f>
        <v>0</v>
      </c>
      <c r="J61" s="988">
        <f>'5. PERSON'!M50/12</f>
        <v>0</v>
      </c>
      <c r="K61" s="988">
        <f>'5. PERSON'!N50/12</f>
        <v>0</v>
      </c>
      <c r="L61" s="988">
        <f>'5. PERSON'!O50/12</f>
        <v>0</v>
      </c>
      <c r="M61" s="988">
        <f>'5. PERSON'!P50/12</f>
        <v>0</v>
      </c>
      <c r="N61" s="988">
        <f t="shared" si="4"/>
        <v>0</v>
      </c>
    </row>
    <row r="62" spans="2:14" ht="13.5" customHeight="1" x14ac:dyDescent="0.2">
      <c r="B62" s="961" t="str">
        <f>IF('5. PERSON'!C51="","",'5. PERSON'!C51)</f>
        <v/>
      </c>
      <c r="C62" s="984">
        <f>IF('2. START'!$C$15="TSEK",('5. PERSON'!F51),('5. PERSON'!F51/1000))</f>
        <v>0</v>
      </c>
      <c r="D62" s="987">
        <f>'5. PERSON'!G51/12</f>
        <v>0</v>
      </c>
      <c r="E62" s="987">
        <f>'5. PERSON'!H51/12</f>
        <v>0</v>
      </c>
      <c r="F62" s="987">
        <f>'5. PERSON'!I51/12</f>
        <v>0</v>
      </c>
      <c r="G62" s="987">
        <f>'5. PERSON'!J51/12</f>
        <v>0</v>
      </c>
      <c r="H62" s="987">
        <f>'5. PERSON'!K51/12</f>
        <v>0</v>
      </c>
      <c r="I62" s="987">
        <f>'5. PERSON'!L51/12</f>
        <v>0</v>
      </c>
      <c r="J62" s="987">
        <f>'5. PERSON'!M51/12</f>
        <v>0</v>
      </c>
      <c r="K62" s="987">
        <f>'5. PERSON'!N51/12</f>
        <v>0</v>
      </c>
      <c r="L62" s="987">
        <f>'5. PERSON'!O51/12</f>
        <v>0</v>
      </c>
      <c r="M62" s="987">
        <f>'5. PERSON'!P51/12</f>
        <v>0</v>
      </c>
      <c r="N62" s="987">
        <f t="shared" si="4"/>
        <v>0</v>
      </c>
    </row>
    <row r="63" spans="2:14" ht="13.5" customHeight="1" x14ac:dyDescent="0.2">
      <c r="B63" s="983" t="str">
        <f>IF('5. PERSON'!C52="","",'5. PERSON'!C52)</f>
        <v/>
      </c>
      <c r="C63" s="985">
        <f>IF('2. START'!$C$15="TSEK",('5. PERSON'!F52),('5. PERSON'!F52/1000))</f>
        <v>0</v>
      </c>
      <c r="D63" s="988">
        <f>'5. PERSON'!G52/12</f>
        <v>0</v>
      </c>
      <c r="E63" s="988">
        <f>'5. PERSON'!H52/12</f>
        <v>0</v>
      </c>
      <c r="F63" s="988">
        <f>'5. PERSON'!I52/12</f>
        <v>0</v>
      </c>
      <c r="G63" s="988">
        <f>'5. PERSON'!J52/12</f>
        <v>0</v>
      </c>
      <c r="H63" s="988">
        <f>'5. PERSON'!K52/12</f>
        <v>0</v>
      </c>
      <c r="I63" s="988">
        <f>'5. PERSON'!L52/12</f>
        <v>0</v>
      </c>
      <c r="J63" s="988">
        <f>'5. PERSON'!M52/12</f>
        <v>0</v>
      </c>
      <c r="K63" s="988">
        <f>'5. PERSON'!N52/12</f>
        <v>0</v>
      </c>
      <c r="L63" s="988">
        <f>'5. PERSON'!O52/12</f>
        <v>0</v>
      </c>
      <c r="M63" s="988">
        <f>'5. PERSON'!P52/12</f>
        <v>0</v>
      </c>
      <c r="N63" s="988">
        <f t="shared" si="4"/>
        <v>0</v>
      </c>
    </row>
    <row r="64" spans="2:14" ht="13.5" customHeight="1" x14ac:dyDescent="0.2">
      <c r="B64" s="961" t="str">
        <f>IF('5. PERSON'!C53="","",'5. PERSON'!C53)</f>
        <v/>
      </c>
      <c r="C64" s="984">
        <f>IF('2. START'!$C$15="TSEK",('5. PERSON'!F53),('5. PERSON'!F53/1000))</f>
        <v>0</v>
      </c>
      <c r="D64" s="987">
        <f>'5. PERSON'!G53/12</f>
        <v>0</v>
      </c>
      <c r="E64" s="987">
        <f>'5. PERSON'!H53/12</f>
        <v>0</v>
      </c>
      <c r="F64" s="987">
        <f>'5. PERSON'!I53/12</f>
        <v>0</v>
      </c>
      <c r="G64" s="987">
        <f>'5. PERSON'!J53/12</f>
        <v>0</v>
      </c>
      <c r="H64" s="987">
        <f>'5. PERSON'!K53/12</f>
        <v>0</v>
      </c>
      <c r="I64" s="987">
        <f>'5. PERSON'!L53/12</f>
        <v>0</v>
      </c>
      <c r="J64" s="987">
        <f>'5. PERSON'!M53/12</f>
        <v>0</v>
      </c>
      <c r="K64" s="987">
        <f>'5. PERSON'!N53/12</f>
        <v>0</v>
      </c>
      <c r="L64" s="987">
        <f>'5. PERSON'!O53/12</f>
        <v>0</v>
      </c>
      <c r="M64" s="987">
        <f>'5. PERSON'!P53/12</f>
        <v>0</v>
      </c>
      <c r="N64" s="987">
        <f t="shared" si="4"/>
        <v>0</v>
      </c>
    </row>
    <row r="65" spans="2:14" ht="13.5" customHeight="1" x14ac:dyDescent="0.2">
      <c r="B65" s="983" t="str">
        <f>IF('5. PERSON'!C54="","",'5. PERSON'!C54)</f>
        <v/>
      </c>
      <c r="C65" s="985">
        <f>IF('2. START'!$C$15="TSEK",('5. PERSON'!F54),('5. PERSON'!F54/1000))</f>
        <v>0</v>
      </c>
      <c r="D65" s="988">
        <f>'5. PERSON'!G54/12</f>
        <v>0</v>
      </c>
      <c r="E65" s="988">
        <f>'5. PERSON'!H54/12</f>
        <v>0</v>
      </c>
      <c r="F65" s="988">
        <f>'5. PERSON'!I54/12</f>
        <v>0</v>
      </c>
      <c r="G65" s="988">
        <f>'5. PERSON'!J54/12</f>
        <v>0</v>
      </c>
      <c r="H65" s="988">
        <f>'5. PERSON'!K54/12</f>
        <v>0</v>
      </c>
      <c r="I65" s="988">
        <f>'5. PERSON'!L54/12</f>
        <v>0</v>
      </c>
      <c r="J65" s="988">
        <f>'5. PERSON'!M54/12</f>
        <v>0</v>
      </c>
      <c r="K65" s="988">
        <f>'5. PERSON'!N54/12</f>
        <v>0</v>
      </c>
      <c r="L65" s="988">
        <f>'5. PERSON'!O54/12</f>
        <v>0</v>
      </c>
      <c r="M65" s="988">
        <f>'5. PERSON'!P54/12</f>
        <v>0</v>
      </c>
      <c r="N65" s="988">
        <f t="shared" si="4"/>
        <v>0</v>
      </c>
    </row>
    <row r="66" spans="2:14" ht="13.5" customHeight="1" x14ac:dyDescent="0.2">
      <c r="B66" s="961" t="str">
        <f>IF('5. PERSON'!C55="","",'5. PERSON'!C55)</f>
        <v/>
      </c>
      <c r="C66" s="984">
        <f>IF('2. START'!$C$15="TSEK",('5. PERSON'!F55),('5. PERSON'!F55/1000))</f>
        <v>0</v>
      </c>
      <c r="D66" s="987">
        <f>'5. PERSON'!G55/12</f>
        <v>0</v>
      </c>
      <c r="E66" s="987">
        <f>'5. PERSON'!H55/12</f>
        <v>0</v>
      </c>
      <c r="F66" s="987">
        <f>'5. PERSON'!I55/12</f>
        <v>0</v>
      </c>
      <c r="G66" s="987">
        <f>'5. PERSON'!J55/12</f>
        <v>0</v>
      </c>
      <c r="H66" s="987">
        <f>'5. PERSON'!K55/12</f>
        <v>0</v>
      </c>
      <c r="I66" s="987">
        <f>'5. PERSON'!L55/12</f>
        <v>0</v>
      </c>
      <c r="J66" s="987">
        <f>'5. PERSON'!M55/12</f>
        <v>0</v>
      </c>
      <c r="K66" s="987">
        <f>'5. PERSON'!N55/12</f>
        <v>0</v>
      </c>
      <c r="L66" s="987">
        <f>'5. PERSON'!O55/12</f>
        <v>0</v>
      </c>
      <c r="M66" s="987">
        <f>'5. PERSON'!P55/12</f>
        <v>0</v>
      </c>
      <c r="N66" s="987">
        <f t="shared" si="4"/>
        <v>0</v>
      </c>
    </row>
    <row r="67" spans="2:14" ht="13.5" customHeight="1" x14ac:dyDescent="0.2">
      <c r="B67" s="983" t="str">
        <f>IF('5. PERSON'!C56="","",'5. PERSON'!C56)</f>
        <v/>
      </c>
      <c r="C67" s="985">
        <f>IF('2. START'!$C$15="TSEK",('5. PERSON'!F56),('5. PERSON'!F56/1000))</f>
        <v>0</v>
      </c>
      <c r="D67" s="988">
        <f>'5. PERSON'!G56/12</f>
        <v>0</v>
      </c>
      <c r="E67" s="988">
        <f>'5. PERSON'!H56/12</f>
        <v>0</v>
      </c>
      <c r="F67" s="988">
        <f>'5. PERSON'!I56/12</f>
        <v>0</v>
      </c>
      <c r="G67" s="988">
        <f>'5. PERSON'!J56/12</f>
        <v>0</v>
      </c>
      <c r="H67" s="988">
        <f>'5. PERSON'!K56/12</f>
        <v>0</v>
      </c>
      <c r="I67" s="988">
        <f>'5. PERSON'!L56/12</f>
        <v>0</v>
      </c>
      <c r="J67" s="988">
        <f>'5. PERSON'!M56/12</f>
        <v>0</v>
      </c>
      <c r="K67" s="988">
        <f>'5. PERSON'!N56/12</f>
        <v>0</v>
      </c>
      <c r="L67" s="988">
        <f>'5. PERSON'!O56/12</f>
        <v>0</v>
      </c>
      <c r="M67" s="988">
        <f>'5. PERSON'!P56/12</f>
        <v>0</v>
      </c>
      <c r="N67" s="988">
        <f t="shared" si="4"/>
        <v>0</v>
      </c>
    </row>
    <row r="68" spans="2:14" ht="13.5" customHeight="1" x14ac:dyDescent="0.2">
      <c r="B68" s="961" t="str">
        <f>IF('5. PERSON'!C57="","",'5. PERSON'!C57)</f>
        <v/>
      </c>
      <c r="C68" s="984">
        <f>IF('2. START'!$C$15="TSEK",('5. PERSON'!F57),('5. PERSON'!F57/1000))</f>
        <v>0</v>
      </c>
      <c r="D68" s="987">
        <f>'5. PERSON'!G57/12</f>
        <v>0</v>
      </c>
      <c r="E68" s="987">
        <f>'5. PERSON'!H57/12</f>
        <v>0</v>
      </c>
      <c r="F68" s="987">
        <f>'5. PERSON'!I57/12</f>
        <v>0</v>
      </c>
      <c r="G68" s="987">
        <f>'5. PERSON'!J57/12</f>
        <v>0</v>
      </c>
      <c r="H68" s="987">
        <f>'5. PERSON'!K57/12</f>
        <v>0</v>
      </c>
      <c r="I68" s="987">
        <f>'5. PERSON'!L57/12</f>
        <v>0</v>
      </c>
      <c r="J68" s="987">
        <f>'5. PERSON'!M57/12</f>
        <v>0</v>
      </c>
      <c r="K68" s="987">
        <f>'5. PERSON'!N57/12</f>
        <v>0</v>
      </c>
      <c r="L68" s="987">
        <f>'5. PERSON'!O57/12</f>
        <v>0</v>
      </c>
      <c r="M68" s="987">
        <f>'5. PERSON'!P57/12</f>
        <v>0</v>
      </c>
      <c r="N68" s="987">
        <f t="shared" si="4"/>
        <v>0</v>
      </c>
    </row>
    <row r="69" spans="2:14" ht="13.5" customHeight="1" x14ac:dyDescent="0.2">
      <c r="B69" s="983" t="str">
        <f>IF('5. PERSON'!C58="","",'5. PERSON'!C58)</f>
        <v/>
      </c>
      <c r="C69" s="985">
        <f>IF('2. START'!$C$15="TSEK",('5. PERSON'!F58),('5. PERSON'!F58/1000))</f>
        <v>0</v>
      </c>
      <c r="D69" s="988">
        <f>'5. PERSON'!G58/12</f>
        <v>0</v>
      </c>
      <c r="E69" s="988">
        <f>'5. PERSON'!H58/12</f>
        <v>0</v>
      </c>
      <c r="F69" s="988">
        <f>'5. PERSON'!I58/12</f>
        <v>0</v>
      </c>
      <c r="G69" s="988">
        <f>'5. PERSON'!J58/12</f>
        <v>0</v>
      </c>
      <c r="H69" s="988">
        <f>'5. PERSON'!K58/12</f>
        <v>0</v>
      </c>
      <c r="I69" s="988">
        <f>'5. PERSON'!L58/12</f>
        <v>0</v>
      </c>
      <c r="J69" s="988">
        <f>'5. PERSON'!M58/12</f>
        <v>0</v>
      </c>
      <c r="K69" s="988">
        <f>'5. PERSON'!N58/12</f>
        <v>0</v>
      </c>
      <c r="L69" s="988">
        <f>'5. PERSON'!O58/12</f>
        <v>0</v>
      </c>
      <c r="M69" s="988">
        <f>'5. PERSON'!P58/12</f>
        <v>0</v>
      </c>
      <c r="N69" s="988">
        <f t="shared" si="4"/>
        <v>0</v>
      </c>
    </row>
    <row r="70" spans="2:14" ht="13.5" customHeight="1" x14ac:dyDescent="0.2">
      <c r="B70" s="961" t="str">
        <f>IF('5. PERSON'!C59="","",'5. PERSON'!C59)</f>
        <v/>
      </c>
      <c r="C70" s="984">
        <f>IF('2. START'!$C$15="TSEK",('5. PERSON'!F59),('5. PERSON'!F59/1000))</f>
        <v>0</v>
      </c>
      <c r="D70" s="987">
        <f>'5. PERSON'!G59/12</f>
        <v>0</v>
      </c>
      <c r="E70" s="987">
        <f>'5. PERSON'!H59/12</f>
        <v>0</v>
      </c>
      <c r="F70" s="987">
        <f>'5. PERSON'!I59/12</f>
        <v>0</v>
      </c>
      <c r="G70" s="987">
        <f>'5. PERSON'!J59/12</f>
        <v>0</v>
      </c>
      <c r="H70" s="987">
        <f>'5. PERSON'!K59/12</f>
        <v>0</v>
      </c>
      <c r="I70" s="987">
        <f>'5. PERSON'!L59/12</f>
        <v>0</v>
      </c>
      <c r="J70" s="987">
        <f>'5. PERSON'!M59/12</f>
        <v>0</v>
      </c>
      <c r="K70" s="987">
        <f>'5. PERSON'!N59/12</f>
        <v>0</v>
      </c>
      <c r="L70" s="987">
        <f>'5. PERSON'!O59/12</f>
        <v>0</v>
      </c>
      <c r="M70" s="987">
        <f>'5. PERSON'!P59/12</f>
        <v>0</v>
      </c>
      <c r="N70" s="987">
        <f t="shared" si="4"/>
        <v>0</v>
      </c>
    </row>
    <row r="71" spans="2:14" ht="13.5" customHeight="1" x14ac:dyDescent="0.2">
      <c r="B71" s="983" t="str">
        <f>IF('5. PERSON'!C60="","",'5. PERSON'!C60)</f>
        <v/>
      </c>
      <c r="C71" s="985">
        <f>IF('2. START'!$C$15="TSEK",('5. PERSON'!F60),('5. PERSON'!F60/1000))</f>
        <v>0</v>
      </c>
      <c r="D71" s="988">
        <f>'5. PERSON'!G60/12</f>
        <v>0</v>
      </c>
      <c r="E71" s="988">
        <f>'5. PERSON'!H60/12</f>
        <v>0</v>
      </c>
      <c r="F71" s="988">
        <f>'5. PERSON'!I60/12</f>
        <v>0</v>
      </c>
      <c r="G71" s="988">
        <f>'5. PERSON'!J60/12</f>
        <v>0</v>
      </c>
      <c r="H71" s="988">
        <f>'5. PERSON'!K60/12</f>
        <v>0</v>
      </c>
      <c r="I71" s="988">
        <f>'5. PERSON'!L60/12</f>
        <v>0</v>
      </c>
      <c r="J71" s="988">
        <f>'5. PERSON'!M60/12</f>
        <v>0</v>
      </c>
      <c r="K71" s="988">
        <f>'5. PERSON'!N60/12</f>
        <v>0</v>
      </c>
      <c r="L71" s="988">
        <f>'5. PERSON'!O60/12</f>
        <v>0</v>
      </c>
      <c r="M71" s="988">
        <f>'5. PERSON'!P60/12</f>
        <v>0</v>
      </c>
      <c r="N71" s="988">
        <f t="shared" si="4"/>
        <v>0</v>
      </c>
    </row>
    <row r="72" spans="2:14" ht="13.5" customHeight="1" x14ac:dyDescent="0.2">
      <c r="B72" s="961" t="str">
        <f>IF('5. PERSON'!C61="","",'5. PERSON'!C61)</f>
        <v/>
      </c>
      <c r="C72" s="984">
        <f>IF('2. START'!$C$15="TSEK",('5. PERSON'!F61),('5. PERSON'!F61/1000))</f>
        <v>0</v>
      </c>
      <c r="D72" s="987">
        <f>'5. PERSON'!G61/12</f>
        <v>0</v>
      </c>
      <c r="E72" s="987">
        <f>'5. PERSON'!H61/12</f>
        <v>0</v>
      </c>
      <c r="F72" s="987">
        <f>'5. PERSON'!I61/12</f>
        <v>0</v>
      </c>
      <c r="G72" s="987">
        <f>'5. PERSON'!J61/12</f>
        <v>0</v>
      </c>
      <c r="H72" s="987">
        <f>'5. PERSON'!K61/12</f>
        <v>0</v>
      </c>
      <c r="I72" s="987">
        <f>'5. PERSON'!L61/12</f>
        <v>0</v>
      </c>
      <c r="J72" s="987">
        <f>'5. PERSON'!M61/12</f>
        <v>0</v>
      </c>
      <c r="K72" s="987">
        <f>'5. PERSON'!N61/12</f>
        <v>0</v>
      </c>
      <c r="L72" s="987">
        <f>'5. PERSON'!O61/12</f>
        <v>0</v>
      </c>
      <c r="M72" s="987">
        <f>'5. PERSON'!P61/12</f>
        <v>0</v>
      </c>
      <c r="N72" s="987">
        <f t="shared" si="4"/>
        <v>0</v>
      </c>
    </row>
    <row r="73" spans="2:14" ht="13.5" customHeight="1" x14ac:dyDescent="0.2">
      <c r="B73" s="983" t="str">
        <f>IF('5. PERSON'!C62="","",'5. PERSON'!C62)</f>
        <v/>
      </c>
      <c r="C73" s="985">
        <f>IF('2. START'!$C$15="TSEK",('5. PERSON'!F62),('5. PERSON'!F62/1000))</f>
        <v>0</v>
      </c>
      <c r="D73" s="988">
        <f>'5. PERSON'!G62/12</f>
        <v>0</v>
      </c>
      <c r="E73" s="988">
        <f>'5. PERSON'!H62/12</f>
        <v>0</v>
      </c>
      <c r="F73" s="988">
        <f>'5. PERSON'!I62/12</f>
        <v>0</v>
      </c>
      <c r="G73" s="988">
        <f>'5. PERSON'!J62/12</f>
        <v>0</v>
      </c>
      <c r="H73" s="988">
        <f>'5. PERSON'!K62/12</f>
        <v>0</v>
      </c>
      <c r="I73" s="988">
        <f>'5. PERSON'!L62/12</f>
        <v>0</v>
      </c>
      <c r="J73" s="988">
        <f>'5. PERSON'!M62/12</f>
        <v>0</v>
      </c>
      <c r="K73" s="988">
        <f>'5. PERSON'!N62/12</f>
        <v>0</v>
      </c>
      <c r="L73" s="988">
        <f>'5. PERSON'!O62/12</f>
        <v>0</v>
      </c>
      <c r="M73" s="988">
        <f>'5. PERSON'!P62/12</f>
        <v>0</v>
      </c>
      <c r="N73" s="988">
        <f t="shared" si="4"/>
        <v>0</v>
      </c>
    </row>
    <row r="74" spans="2:14" ht="13.5" customHeight="1" x14ac:dyDescent="0.2">
      <c r="B74" s="961" t="str">
        <f>IF('5. PERSON'!C63="","",'5. PERSON'!C63)</f>
        <v/>
      </c>
      <c r="C74" s="984">
        <f>IF('2. START'!$C$15="TSEK",('5. PERSON'!F63),('5. PERSON'!F63/1000))</f>
        <v>0</v>
      </c>
      <c r="D74" s="987">
        <f>'5. PERSON'!G63/12</f>
        <v>0</v>
      </c>
      <c r="E74" s="987">
        <f>'5. PERSON'!H63/12</f>
        <v>0</v>
      </c>
      <c r="F74" s="987">
        <f>'5. PERSON'!I63/12</f>
        <v>0</v>
      </c>
      <c r="G74" s="987">
        <f>'5. PERSON'!J63/12</f>
        <v>0</v>
      </c>
      <c r="H74" s="987">
        <f>'5. PERSON'!K63/12</f>
        <v>0</v>
      </c>
      <c r="I74" s="987">
        <f>'5. PERSON'!L63/12</f>
        <v>0</v>
      </c>
      <c r="J74" s="987">
        <f>'5. PERSON'!M63/12</f>
        <v>0</v>
      </c>
      <c r="K74" s="987">
        <f>'5. PERSON'!N63/12</f>
        <v>0</v>
      </c>
      <c r="L74" s="987">
        <f>'5. PERSON'!O63/12</f>
        <v>0</v>
      </c>
      <c r="M74" s="987">
        <f>'5. PERSON'!P63/12</f>
        <v>0</v>
      </c>
      <c r="N74" s="987">
        <f t="shared" si="4"/>
        <v>0</v>
      </c>
    </row>
    <row r="75" spans="2:14" ht="13.5" customHeight="1" x14ac:dyDescent="0.2">
      <c r="B75" s="983" t="str">
        <f>IF('5. PERSON'!C64="","",'5. PERSON'!C64)</f>
        <v/>
      </c>
      <c r="C75" s="985">
        <f>IF('2. START'!$C$15="TSEK",('5. PERSON'!F64),('5. PERSON'!F64/1000))</f>
        <v>0</v>
      </c>
      <c r="D75" s="988">
        <f>'5. PERSON'!G64/12</f>
        <v>0</v>
      </c>
      <c r="E75" s="988">
        <f>'5. PERSON'!H64/12</f>
        <v>0</v>
      </c>
      <c r="F75" s="988">
        <f>'5. PERSON'!I64/12</f>
        <v>0</v>
      </c>
      <c r="G75" s="988">
        <f>'5. PERSON'!J64/12</f>
        <v>0</v>
      </c>
      <c r="H75" s="988">
        <f>'5. PERSON'!K64/12</f>
        <v>0</v>
      </c>
      <c r="I75" s="988">
        <f>'5. PERSON'!L64/12</f>
        <v>0</v>
      </c>
      <c r="J75" s="988">
        <f>'5. PERSON'!M64/12</f>
        <v>0</v>
      </c>
      <c r="K75" s="988">
        <f>'5. PERSON'!N64/12</f>
        <v>0</v>
      </c>
      <c r="L75" s="988">
        <f>'5. PERSON'!O64/12</f>
        <v>0</v>
      </c>
      <c r="M75" s="988">
        <f>'5. PERSON'!P64/12</f>
        <v>0</v>
      </c>
      <c r="N75" s="988">
        <f t="shared" si="4"/>
        <v>0</v>
      </c>
    </row>
    <row r="76" spans="2:14" ht="13.5" customHeight="1" x14ac:dyDescent="0.2">
      <c r="B76" s="961" t="str">
        <f>IF('5. PERSON'!C65="","",'5. PERSON'!C65)</f>
        <v/>
      </c>
      <c r="C76" s="984">
        <f>IF('2. START'!$C$15="TSEK",('5. PERSON'!F65),('5. PERSON'!F65/1000))</f>
        <v>0</v>
      </c>
      <c r="D76" s="987">
        <f>'5. PERSON'!G65/12</f>
        <v>0</v>
      </c>
      <c r="E76" s="987">
        <f>'5. PERSON'!H65/12</f>
        <v>0</v>
      </c>
      <c r="F76" s="987">
        <f>'5. PERSON'!I65/12</f>
        <v>0</v>
      </c>
      <c r="G76" s="987">
        <f>'5. PERSON'!J65/12</f>
        <v>0</v>
      </c>
      <c r="H76" s="987">
        <f>'5. PERSON'!K65/12</f>
        <v>0</v>
      </c>
      <c r="I76" s="987">
        <f>'5. PERSON'!L65/12</f>
        <v>0</v>
      </c>
      <c r="J76" s="987">
        <f>'5. PERSON'!M65/12</f>
        <v>0</v>
      </c>
      <c r="K76" s="987">
        <f>'5. PERSON'!N65/12</f>
        <v>0</v>
      </c>
      <c r="L76" s="987">
        <f>'5. PERSON'!O65/12</f>
        <v>0</v>
      </c>
      <c r="M76" s="987">
        <f>'5. PERSON'!P65/12</f>
        <v>0</v>
      </c>
      <c r="N76" s="987">
        <f t="shared" si="4"/>
        <v>0</v>
      </c>
    </row>
    <row r="77" spans="2:14" ht="13.5" customHeight="1" x14ac:dyDescent="0.2">
      <c r="B77" s="983" t="str">
        <f>IF('5. PERSON'!C66="","",'5. PERSON'!C66)</f>
        <v/>
      </c>
      <c r="C77" s="985">
        <f>IF('2. START'!$C$15="TSEK",('5. PERSON'!F66),('5. PERSON'!F66/1000))</f>
        <v>0</v>
      </c>
      <c r="D77" s="988">
        <f>'5. PERSON'!G66/12</f>
        <v>0</v>
      </c>
      <c r="E77" s="988">
        <f>'5. PERSON'!H66/12</f>
        <v>0</v>
      </c>
      <c r="F77" s="988">
        <f>'5. PERSON'!I66/12</f>
        <v>0</v>
      </c>
      <c r="G77" s="988">
        <f>'5. PERSON'!J66/12</f>
        <v>0</v>
      </c>
      <c r="H77" s="988">
        <f>'5. PERSON'!K66/12</f>
        <v>0</v>
      </c>
      <c r="I77" s="988">
        <f>'5. PERSON'!L66/12</f>
        <v>0</v>
      </c>
      <c r="J77" s="988">
        <f>'5. PERSON'!M66/12</f>
        <v>0</v>
      </c>
      <c r="K77" s="988">
        <f>'5. PERSON'!N66/12</f>
        <v>0</v>
      </c>
      <c r="L77" s="988">
        <f>'5. PERSON'!O66/12</f>
        <v>0</v>
      </c>
      <c r="M77" s="988">
        <f>'5. PERSON'!P66/12</f>
        <v>0</v>
      </c>
      <c r="N77" s="988">
        <f t="shared" si="4"/>
        <v>0</v>
      </c>
    </row>
    <row r="78" spans="2:14" ht="13.5" customHeight="1" x14ac:dyDescent="0.2">
      <c r="B78" s="961" t="str">
        <f>IF('5. PERSON'!C67="","",'5. PERSON'!C67)</f>
        <v/>
      </c>
      <c r="C78" s="984">
        <f>IF('2. START'!$C$15="TSEK",('5. PERSON'!F67),('5. PERSON'!F67/1000))</f>
        <v>0</v>
      </c>
      <c r="D78" s="987">
        <f>'5. PERSON'!G67/12</f>
        <v>0</v>
      </c>
      <c r="E78" s="987">
        <f>'5. PERSON'!H67/12</f>
        <v>0</v>
      </c>
      <c r="F78" s="987">
        <f>'5. PERSON'!I67/12</f>
        <v>0</v>
      </c>
      <c r="G78" s="987">
        <f>'5. PERSON'!J67/12</f>
        <v>0</v>
      </c>
      <c r="H78" s="987">
        <f>'5. PERSON'!K67/12</f>
        <v>0</v>
      </c>
      <c r="I78" s="987">
        <f>'5. PERSON'!L67/12</f>
        <v>0</v>
      </c>
      <c r="J78" s="987">
        <f>'5. PERSON'!M67/12</f>
        <v>0</v>
      </c>
      <c r="K78" s="987">
        <f>'5. PERSON'!N67/12</f>
        <v>0</v>
      </c>
      <c r="L78" s="987">
        <f>'5. PERSON'!O67/12</f>
        <v>0</v>
      </c>
      <c r="M78" s="987">
        <f>'5. PERSON'!P67/12</f>
        <v>0</v>
      </c>
      <c r="N78" s="987">
        <f t="shared" si="4"/>
        <v>0</v>
      </c>
    </row>
    <row r="79" spans="2:14" ht="13.5" customHeight="1" x14ac:dyDescent="0.2">
      <c r="B79" s="983" t="str">
        <f>IF('5. PERSON'!C68="","",'5. PERSON'!C68)</f>
        <v/>
      </c>
      <c r="C79" s="985">
        <f>IF('2. START'!$C$15="TSEK",('5. PERSON'!F68),('5. PERSON'!F68/1000))</f>
        <v>0</v>
      </c>
      <c r="D79" s="988">
        <f>'5. PERSON'!G68/12</f>
        <v>0</v>
      </c>
      <c r="E79" s="988">
        <f>'5. PERSON'!H68/12</f>
        <v>0</v>
      </c>
      <c r="F79" s="988">
        <f>'5. PERSON'!I68/12</f>
        <v>0</v>
      </c>
      <c r="G79" s="988">
        <f>'5. PERSON'!J68/12</f>
        <v>0</v>
      </c>
      <c r="H79" s="988">
        <f>'5. PERSON'!K68/12</f>
        <v>0</v>
      </c>
      <c r="I79" s="988">
        <f>'5. PERSON'!L68/12</f>
        <v>0</v>
      </c>
      <c r="J79" s="988">
        <f>'5. PERSON'!M68/12</f>
        <v>0</v>
      </c>
      <c r="K79" s="988">
        <f>'5. PERSON'!N68/12</f>
        <v>0</v>
      </c>
      <c r="L79" s="988">
        <f>'5. PERSON'!O68/12</f>
        <v>0</v>
      </c>
      <c r="M79" s="988">
        <f>'5. PERSON'!P68/12</f>
        <v>0</v>
      </c>
      <c r="N79" s="988">
        <f t="shared" si="4"/>
        <v>0</v>
      </c>
    </row>
    <row r="80" spans="2:14" ht="13.5" customHeight="1" x14ac:dyDescent="0.2">
      <c r="B80" s="961" t="str">
        <f>IF('5. PERSON'!C69="","",'5. PERSON'!C69)</f>
        <v/>
      </c>
      <c r="C80" s="984">
        <f>IF('2. START'!$C$15="TSEK",('5. PERSON'!F69),('5. PERSON'!F69/1000))</f>
        <v>0</v>
      </c>
      <c r="D80" s="987">
        <f>'5. PERSON'!G69/12</f>
        <v>0</v>
      </c>
      <c r="E80" s="987">
        <f>'5. PERSON'!H69/12</f>
        <v>0</v>
      </c>
      <c r="F80" s="987">
        <f>'5. PERSON'!I69/12</f>
        <v>0</v>
      </c>
      <c r="G80" s="987">
        <f>'5. PERSON'!J69/12</f>
        <v>0</v>
      </c>
      <c r="H80" s="987">
        <f>'5. PERSON'!K69/12</f>
        <v>0</v>
      </c>
      <c r="I80" s="987">
        <f>'5. PERSON'!L69/12</f>
        <v>0</v>
      </c>
      <c r="J80" s="987">
        <f>'5. PERSON'!M69/12</f>
        <v>0</v>
      </c>
      <c r="K80" s="987">
        <f>'5. PERSON'!N69/12</f>
        <v>0</v>
      </c>
      <c r="L80" s="987">
        <f>'5. PERSON'!O69/12</f>
        <v>0</v>
      </c>
      <c r="M80" s="987">
        <f>'5. PERSON'!P69/12</f>
        <v>0</v>
      </c>
      <c r="N80" s="987">
        <f t="shared" si="4"/>
        <v>0</v>
      </c>
    </row>
    <row r="81" spans="2:14" ht="13.5" customHeight="1" x14ac:dyDescent="0.2">
      <c r="B81" s="983" t="str">
        <f>IF('5. PERSON'!C70="","",'5. PERSON'!C70)</f>
        <v/>
      </c>
      <c r="C81" s="985">
        <f>IF('2. START'!$C$15="TSEK",('5. PERSON'!F70),('5. PERSON'!F70/1000))</f>
        <v>0</v>
      </c>
      <c r="D81" s="988">
        <f>'5. PERSON'!G70/12</f>
        <v>0</v>
      </c>
      <c r="E81" s="988">
        <f>'5. PERSON'!H70/12</f>
        <v>0</v>
      </c>
      <c r="F81" s="988">
        <f>'5. PERSON'!I70/12</f>
        <v>0</v>
      </c>
      <c r="G81" s="988">
        <f>'5. PERSON'!J70/12</f>
        <v>0</v>
      </c>
      <c r="H81" s="988">
        <f>'5. PERSON'!K70/12</f>
        <v>0</v>
      </c>
      <c r="I81" s="988">
        <f>'5. PERSON'!L70/12</f>
        <v>0</v>
      </c>
      <c r="J81" s="988">
        <f>'5. PERSON'!M70/12</f>
        <v>0</v>
      </c>
      <c r="K81" s="988">
        <f>'5. PERSON'!N70/12</f>
        <v>0</v>
      </c>
      <c r="L81" s="988">
        <f>'5. PERSON'!O70/12</f>
        <v>0</v>
      </c>
      <c r="M81" s="988">
        <f>'5. PERSON'!P70/12</f>
        <v>0</v>
      </c>
      <c r="N81" s="988">
        <f t="shared" si="4"/>
        <v>0</v>
      </c>
    </row>
    <row r="82" spans="2:14" ht="13.5" customHeight="1" x14ac:dyDescent="0.2">
      <c r="B82" s="961" t="str">
        <f>IF('5. PERSON'!C71="","",'5. PERSON'!C71)</f>
        <v/>
      </c>
      <c r="C82" s="984">
        <f>IF('2. START'!$C$15="TSEK",('5. PERSON'!F71),('5. PERSON'!F71/1000))</f>
        <v>0</v>
      </c>
      <c r="D82" s="987">
        <f>'5. PERSON'!G71/12</f>
        <v>0</v>
      </c>
      <c r="E82" s="987">
        <f>'5. PERSON'!H71/12</f>
        <v>0</v>
      </c>
      <c r="F82" s="987">
        <f>'5. PERSON'!I71/12</f>
        <v>0</v>
      </c>
      <c r="G82" s="987">
        <f>'5. PERSON'!J71/12</f>
        <v>0</v>
      </c>
      <c r="H82" s="987">
        <f>'5. PERSON'!K71/12</f>
        <v>0</v>
      </c>
      <c r="I82" s="987">
        <f>'5. PERSON'!L71/12</f>
        <v>0</v>
      </c>
      <c r="J82" s="987">
        <f>'5. PERSON'!M71/12</f>
        <v>0</v>
      </c>
      <c r="K82" s="987">
        <f>'5. PERSON'!N71/12</f>
        <v>0</v>
      </c>
      <c r="L82" s="987">
        <f>'5. PERSON'!O71/12</f>
        <v>0</v>
      </c>
      <c r="M82" s="987">
        <f>'5. PERSON'!P71/12</f>
        <v>0</v>
      </c>
      <c r="N82" s="987">
        <f t="shared" si="4"/>
        <v>0</v>
      </c>
    </row>
    <row r="83" spans="2:14" ht="13.5" customHeight="1" x14ac:dyDescent="0.2">
      <c r="B83" s="983" t="str">
        <f>IF('5. PERSON'!C72="","",'5. PERSON'!C72)</f>
        <v/>
      </c>
      <c r="C83" s="985">
        <f>IF('2. START'!$C$15="TSEK",('5. PERSON'!F72),('5. PERSON'!F72/1000))</f>
        <v>0</v>
      </c>
      <c r="D83" s="988">
        <f>'5. PERSON'!G72/12</f>
        <v>0</v>
      </c>
      <c r="E83" s="988">
        <f>'5. PERSON'!H72/12</f>
        <v>0</v>
      </c>
      <c r="F83" s="988">
        <f>'5. PERSON'!I72/12</f>
        <v>0</v>
      </c>
      <c r="G83" s="988">
        <f>'5. PERSON'!J72/12</f>
        <v>0</v>
      </c>
      <c r="H83" s="988">
        <f>'5. PERSON'!K72/12</f>
        <v>0</v>
      </c>
      <c r="I83" s="988">
        <f>'5. PERSON'!L72/12</f>
        <v>0</v>
      </c>
      <c r="J83" s="988">
        <f>'5. PERSON'!M72/12</f>
        <v>0</v>
      </c>
      <c r="K83" s="988">
        <f>'5. PERSON'!N72/12</f>
        <v>0</v>
      </c>
      <c r="L83" s="988">
        <f>'5. PERSON'!O72/12</f>
        <v>0</v>
      </c>
      <c r="M83" s="988">
        <f>'5. PERSON'!P72/12</f>
        <v>0</v>
      </c>
      <c r="N83" s="988">
        <f t="shared" si="4"/>
        <v>0</v>
      </c>
    </row>
    <row r="84" spans="2:14" ht="13.5" customHeight="1" x14ac:dyDescent="0.2">
      <c r="B84" s="961" t="str">
        <f>IF('5. PERSON'!C73="","",'5. PERSON'!C73)</f>
        <v/>
      </c>
      <c r="C84" s="984">
        <f>IF('2. START'!$C$15="TSEK",('5. PERSON'!F73),('5. PERSON'!F73/1000))</f>
        <v>0</v>
      </c>
      <c r="D84" s="987">
        <f>'5. PERSON'!G73/12</f>
        <v>0</v>
      </c>
      <c r="E84" s="987">
        <f>'5. PERSON'!H73/12</f>
        <v>0</v>
      </c>
      <c r="F84" s="987">
        <f>'5. PERSON'!I73/12</f>
        <v>0</v>
      </c>
      <c r="G84" s="987">
        <f>'5. PERSON'!J73/12</f>
        <v>0</v>
      </c>
      <c r="H84" s="987">
        <f>'5. PERSON'!K73/12</f>
        <v>0</v>
      </c>
      <c r="I84" s="987">
        <f>'5. PERSON'!L73/12</f>
        <v>0</v>
      </c>
      <c r="J84" s="987">
        <f>'5. PERSON'!M73/12</f>
        <v>0</v>
      </c>
      <c r="K84" s="987">
        <f>'5. PERSON'!N73/12</f>
        <v>0</v>
      </c>
      <c r="L84" s="987">
        <f>'5. PERSON'!O73/12</f>
        <v>0</v>
      </c>
      <c r="M84" s="987">
        <f>'5. PERSON'!P73/12</f>
        <v>0</v>
      </c>
      <c r="N84" s="987">
        <f t="shared" si="4"/>
        <v>0</v>
      </c>
    </row>
    <row r="85" spans="2:14" ht="13.5" customHeight="1" x14ac:dyDescent="0.2">
      <c r="B85" s="983" t="str">
        <f>IF('5. PERSON'!C74="","",'5. PERSON'!C74)</f>
        <v/>
      </c>
      <c r="C85" s="985">
        <f>IF('2. START'!$C$15="TSEK",('5. PERSON'!F74),('5. PERSON'!F74/1000))</f>
        <v>0</v>
      </c>
      <c r="D85" s="988">
        <f>'5. PERSON'!G74/12</f>
        <v>0</v>
      </c>
      <c r="E85" s="988">
        <f>'5. PERSON'!H74/12</f>
        <v>0</v>
      </c>
      <c r="F85" s="988">
        <f>'5. PERSON'!I74/12</f>
        <v>0</v>
      </c>
      <c r="G85" s="988">
        <f>'5. PERSON'!J74/12</f>
        <v>0</v>
      </c>
      <c r="H85" s="988">
        <f>'5. PERSON'!K74/12</f>
        <v>0</v>
      </c>
      <c r="I85" s="988">
        <f>'5. PERSON'!L74/12</f>
        <v>0</v>
      </c>
      <c r="J85" s="988">
        <f>'5. PERSON'!M74/12</f>
        <v>0</v>
      </c>
      <c r="K85" s="988">
        <f>'5. PERSON'!N74/12</f>
        <v>0</v>
      </c>
      <c r="L85" s="988">
        <f>'5. PERSON'!O74/12</f>
        <v>0</v>
      </c>
      <c r="M85" s="988">
        <f>'5. PERSON'!P74/12</f>
        <v>0</v>
      </c>
      <c r="N85" s="988">
        <f t="shared" si="4"/>
        <v>0</v>
      </c>
    </row>
    <row r="86" spans="2:14" ht="13.5" customHeight="1" x14ac:dyDescent="0.2">
      <c r="B86" s="961" t="str">
        <f>IF('5. PERSON'!C75="","",'5. PERSON'!C75)</f>
        <v/>
      </c>
      <c r="C86" s="984">
        <f>IF('2. START'!$C$15="TSEK",('5. PERSON'!F75),('5. PERSON'!F75/1000))</f>
        <v>0</v>
      </c>
      <c r="D86" s="987">
        <f>'5. PERSON'!G75/12</f>
        <v>0</v>
      </c>
      <c r="E86" s="987">
        <f>'5. PERSON'!H75/12</f>
        <v>0</v>
      </c>
      <c r="F86" s="987">
        <f>'5. PERSON'!I75/12</f>
        <v>0</v>
      </c>
      <c r="G86" s="987">
        <f>'5. PERSON'!J75/12</f>
        <v>0</v>
      </c>
      <c r="H86" s="987">
        <f>'5. PERSON'!K75/12</f>
        <v>0</v>
      </c>
      <c r="I86" s="987">
        <f>'5. PERSON'!L75/12</f>
        <v>0</v>
      </c>
      <c r="J86" s="987">
        <f>'5. PERSON'!M75/12</f>
        <v>0</v>
      </c>
      <c r="K86" s="987">
        <f>'5. PERSON'!N75/12</f>
        <v>0</v>
      </c>
      <c r="L86" s="987">
        <f>'5. PERSON'!O75/12</f>
        <v>0</v>
      </c>
      <c r="M86" s="987">
        <f>'5. PERSON'!P75/12</f>
        <v>0</v>
      </c>
      <c r="N86" s="987">
        <f t="shared" si="4"/>
        <v>0</v>
      </c>
    </row>
    <row r="87" spans="2:14" ht="13.5" customHeight="1" x14ac:dyDescent="0.2">
      <c r="B87" s="983" t="str">
        <f>IF('5. PERSON'!C76="","",'5. PERSON'!C76)</f>
        <v/>
      </c>
      <c r="C87" s="985">
        <f>IF('2. START'!$C$15="TSEK",('5. PERSON'!F76),('5. PERSON'!F76/1000))</f>
        <v>0</v>
      </c>
      <c r="D87" s="988">
        <f>'5. PERSON'!G76/12</f>
        <v>0</v>
      </c>
      <c r="E87" s="988">
        <f>'5. PERSON'!H76/12</f>
        <v>0</v>
      </c>
      <c r="F87" s="988">
        <f>'5. PERSON'!I76/12</f>
        <v>0</v>
      </c>
      <c r="G87" s="988">
        <f>'5. PERSON'!J76/12</f>
        <v>0</v>
      </c>
      <c r="H87" s="988">
        <f>'5. PERSON'!K76/12</f>
        <v>0</v>
      </c>
      <c r="I87" s="988">
        <f>'5. PERSON'!L76/12</f>
        <v>0</v>
      </c>
      <c r="J87" s="988">
        <f>'5. PERSON'!M76/12</f>
        <v>0</v>
      </c>
      <c r="K87" s="988">
        <f>'5. PERSON'!N76/12</f>
        <v>0</v>
      </c>
      <c r="L87" s="988">
        <f>'5. PERSON'!O76/12</f>
        <v>0</v>
      </c>
      <c r="M87" s="988">
        <f>'5. PERSON'!P76/12</f>
        <v>0</v>
      </c>
      <c r="N87" s="988">
        <f t="shared" si="4"/>
        <v>0</v>
      </c>
    </row>
    <row r="88" spans="2:14" ht="13.5" customHeight="1" x14ac:dyDescent="0.2">
      <c r="B88" s="961" t="str">
        <f>IF('5. PERSON'!C77="","",'5. PERSON'!C77)</f>
        <v/>
      </c>
      <c r="C88" s="984">
        <f>IF('2. START'!$C$15="TSEK",('5. PERSON'!F77),('5. PERSON'!F77/1000))</f>
        <v>0</v>
      </c>
      <c r="D88" s="987">
        <f>'5. PERSON'!G77/12</f>
        <v>0</v>
      </c>
      <c r="E88" s="987">
        <f>'5. PERSON'!H77/12</f>
        <v>0</v>
      </c>
      <c r="F88" s="987">
        <f>'5. PERSON'!I77/12</f>
        <v>0</v>
      </c>
      <c r="G88" s="987">
        <f>'5. PERSON'!J77/12</f>
        <v>0</v>
      </c>
      <c r="H88" s="987">
        <f>'5. PERSON'!K77/12</f>
        <v>0</v>
      </c>
      <c r="I88" s="987">
        <f>'5. PERSON'!L77/12</f>
        <v>0</v>
      </c>
      <c r="J88" s="987">
        <f>'5. PERSON'!M77/12</f>
        <v>0</v>
      </c>
      <c r="K88" s="987">
        <f>'5. PERSON'!N77/12</f>
        <v>0</v>
      </c>
      <c r="L88" s="987">
        <f>'5. PERSON'!O77/12</f>
        <v>0</v>
      </c>
      <c r="M88" s="987">
        <f>'5. PERSON'!P77/12</f>
        <v>0</v>
      </c>
      <c r="N88" s="987">
        <f t="shared" si="4"/>
        <v>0</v>
      </c>
    </row>
    <row r="89" spans="2:14" ht="13.5" customHeight="1" x14ac:dyDescent="0.2">
      <c r="B89" s="983" t="str">
        <f>IF('5. PERSON'!C78="","",'5. PERSON'!C78)</f>
        <v/>
      </c>
      <c r="C89" s="985">
        <f>IF('2. START'!$C$15="TSEK",('5. PERSON'!F78),('5. PERSON'!F78/1000))</f>
        <v>0</v>
      </c>
      <c r="D89" s="988">
        <f>'5. PERSON'!G78/12</f>
        <v>0</v>
      </c>
      <c r="E89" s="988">
        <f>'5. PERSON'!H78/12</f>
        <v>0</v>
      </c>
      <c r="F89" s="988">
        <f>'5. PERSON'!I78/12</f>
        <v>0</v>
      </c>
      <c r="G89" s="988">
        <f>'5. PERSON'!J78/12</f>
        <v>0</v>
      </c>
      <c r="H89" s="988">
        <f>'5. PERSON'!K78/12</f>
        <v>0</v>
      </c>
      <c r="I89" s="988">
        <f>'5. PERSON'!L78/12</f>
        <v>0</v>
      </c>
      <c r="J89" s="988">
        <f>'5. PERSON'!M78/12</f>
        <v>0</v>
      </c>
      <c r="K89" s="988">
        <f>'5. PERSON'!N78/12</f>
        <v>0</v>
      </c>
      <c r="L89" s="988">
        <f>'5. PERSON'!O78/12</f>
        <v>0</v>
      </c>
      <c r="M89" s="988">
        <f>'5. PERSON'!P78/12</f>
        <v>0</v>
      </c>
      <c r="N89" s="988">
        <f t="shared" si="4"/>
        <v>0</v>
      </c>
    </row>
    <row r="90" spans="2:14" ht="13.5" customHeight="1" x14ac:dyDescent="0.2">
      <c r="B90" s="961" t="str">
        <f>IF('5. PERSON'!C79="","",'5. PERSON'!C79)</f>
        <v/>
      </c>
      <c r="C90" s="984">
        <f>IF('2. START'!$C$15="TSEK",('5. PERSON'!F79),('5. PERSON'!F79/1000))</f>
        <v>0</v>
      </c>
      <c r="D90" s="987">
        <f>'5. PERSON'!G79/12</f>
        <v>0</v>
      </c>
      <c r="E90" s="987">
        <f>'5. PERSON'!H79/12</f>
        <v>0</v>
      </c>
      <c r="F90" s="987">
        <f>'5. PERSON'!I79/12</f>
        <v>0</v>
      </c>
      <c r="G90" s="987">
        <f>'5. PERSON'!J79/12</f>
        <v>0</v>
      </c>
      <c r="H90" s="987">
        <f>'5. PERSON'!K79/12</f>
        <v>0</v>
      </c>
      <c r="I90" s="987">
        <f>'5. PERSON'!L79/12</f>
        <v>0</v>
      </c>
      <c r="J90" s="987">
        <f>'5. PERSON'!M79/12</f>
        <v>0</v>
      </c>
      <c r="K90" s="987">
        <f>'5. PERSON'!N79/12</f>
        <v>0</v>
      </c>
      <c r="L90" s="987">
        <f>'5. PERSON'!O79/12</f>
        <v>0</v>
      </c>
      <c r="M90" s="987">
        <f>'5. PERSON'!P79/12</f>
        <v>0</v>
      </c>
      <c r="N90" s="987">
        <f t="shared" si="4"/>
        <v>0</v>
      </c>
    </row>
    <row r="91" spans="2:14" ht="13.5" customHeight="1" x14ac:dyDescent="0.2">
      <c r="B91" s="983" t="str">
        <f>IF('5. PERSON'!C80="","",'5. PERSON'!C80)</f>
        <v/>
      </c>
      <c r="C91" s="985">
        <f>IF('2. START'!$C$15="TSEK",('5. PERSON'!F80),('5. PERSON'!F80/1000))</f>
        <v>0</v>
      </c>
      <c r="D91" s="988">
        <f>'5. PERSON'!G80/12</f>
        <v>0</v>
      </c>
      <c r="E91" s="988">
        <f>'5. PERSON'!H80/12</f>
        <v>0</v>
      </c>
      <c r="F91" s="988">
        <f>'5. PERSON'!I80/12</f>
        <v>0</v>
      </c>
      <c r="G91" s="988">
        <f>'5. PERSON'!J80/12</f>
        <v>0</v>
      </c>
      <c r="H91" s="988">
        <f>'5. PERSON'!K80/12</f>
        <v>0</v>
      </c>
      <c r="I91" s="988">
        <f>'5. PERSON'!L80/12</f>
        <v>0</v>
      </c>
      <c r="J91" s="988">
        <f>'5. PERSON'!M80/12</f>
        <v>0</v>
      </c>
      <c r="K91" s="988">
        <f>'5. PERSON'!N80/12</f>
        <v>0</v>
      </c>
      <c r="L91" s="988">
        <f>'5. PERSON'!O80/12</f>
        <v>0</v>
      </c>
      <c r="M91" s="988">
        <f>'5. PERSON'!P80/12</f>
        <v>0</v>
      </c>
      <c r="N91" s="988">
        <f t="shared" si="4"/>
        <v>0</v>
      </c>
    </row>
    <row r="92" spans="2:14" ht="13.5" customHeight="1" x14ac:dyDescent="0.2">
      <c r="B92" s="961" t="str">
        <f>IF('5. PERSON'!C81="","",'5. PERSON'!C81)</f>
        <v/>
      </c>
      <c r="C92" s="984">
        <f>IF('2. START'!$C$15="TSEK",('5. PERSON'!F81),('5. PERSON'!F81/1000))</f>
        <v>0</v>
      </c>
      <c r="D92" s="987">
        <f>'5. PERSON'!G81/12</f>
        <v>0</v>
      </c>
      <c r="E92" s="987">
        <f>'5. PERSON'!H81/12</f>
        <v>0</v>
      </c>
      <c r="F92" s="987">
        <f>'5. PERSON'!I81/12</f>
        <v>0</v>
      </c>
      <c r="G92" s="987">
        <f>'5. PERSON'!J81/12</f>
        <v>0</v>
      </c>
      <c r="H92" s="987">
        <f>'5. PERSON'!K81/12</f>
        <v>0</v>
      </c>
      <c r="I92" s="987">
        <f>'5. PERSON'!L81/12</f>
        <v>0</v>
      </c>
      <c r="J92" s="987">
        <f>'5. PERSON'!M81/12</f>
        <v>0</v>
      </c>
      <c r="K92" s="987">
        <f>'5. PERSON'!N81/12</f>
        <v>0</v>
      </c>
      <c r="L92" s="987">
        <f>'5. PERSON'!O81/12</f>
        <v>0</v>
      </c>
      <c r="M92" s="987">
        <f>'5. PERSON'!P81/12</f>
        <v>0</v>
      </c>
      <c r="N92" s="987">
        <f t="shared" si="4"/>
        <v>0</v>
      </c>
    </row>
    <row r="93" spans="2:14" ht="13.5" customHeight="1" x14ac:dyDescent="0.2">
      <c r="B93" s="983" t="str">
        <f>IF('5. PERSON'!C82="","",'5. PERSON'!C82)</f>
        <v/>
      </c>
      <c r="C93" s="985">
        <f>IF('2. START'!$C$15="TSEK",('5. PERSON'!F82),('5. PERSON'!F82/1000))</f>
        <v>0</v>
      </c>
      <c r="D93" s="988">
        <f>'5. PERSON'!G82/12</f>
        <v>0</v>
      </c>
      <c r="E93" s="988">
        <f>'5. PERSON'!H82/12</f>
        <v>0</v>
      </c>
      <c r="F93" s="988">
        <f>'5. PERSON'!I82/12</f>
        <v>0</v>
      </c>
      <c r="G93" s="988">
        <f>'5. PERSON'!J82/12</f>
        <v>0</v>
      </c>
      <c r="H93" s="988">
        <f>'5. PERSON'!K82/12</f>
        <v>0</v>
      </c>
      <c r="I93" s="988">
        <f>'5. PERSON'!L82/12</f>
        <v>0</v>
      </c>
      <c r="J93" s="988">
        <f>'5. PERSON'!M82/12</f>
        <v>0</v>
      </c>
      <c r="K93" s="988">
        <f>'5. PERSON'!N82/12</f>
        <v>0</v>
      </c>
      <c r="L93" s="988">
        <f>'5. PERSON'!O82/12</f>
        <v>0</v>
      </c>
      <c r="M93" s="988">
        <f>'5. PERSON'!P82/12</f>
        <v>0</v>
      </c>
      <c r="N93" s="988">
        <f t="shared" ref="N93:N156" si="5">SUM(D93:M93)</f>
        <v>0</v>
      </c>
    </row>
    <row r="94" spans="2:14" ht="13.5" customHeight="1" x14ac:dyDescent="0.2">
      <c r="B94" s="961" t="str">
        <f>IF('5. PERSON'!C83="","",'5. PERSON'!C83)</f>
        <v/>
      </c>
      <c r="C94" s="984">
        <f>IF('2. START'!$C$15="TSEK",('5. PERSON'!F83),('5. PERSON'!F83/1000))</f>
        <v>0</v>
      </c>
      <c r="D94" s="987">
        <f>'5. PERSON'!G83/12</f>
        <v>0</v>
      </c>
      <c r="E94" s="987">
        <f>'5. PERSON'!H83/12</f>
        <v>0</v>
      </c>
      <c r="F94" s="987">
        <f>'5. PERSON'!I83/12</f>
        <v>0</v>
      </c>
      <c r="G94" s="987">
        <f>'5. PERSON'!J83/12</f>
        <v>0</v>
      </c>
      <c r="H94" s="987">
        <f>'5. PERSON'!K83/12</f>
        <v>0</v>
      </c>
      <c r="I94" s="987">
        <f>'5. PERSON'!L83/12</f>
        <v>0</v>
      </c>
      <c r="J94" s="987">
        <f>'5. PERSON'!M83/12</f>
        <v>0</v>
      </c>
      <c r="K94" s="987">
        <f>'5. PERSON'!N83/12</f>
        <v>0</v>
      </c>
      <c r="L94" s="987">
        <f>'5. PERSON'!O83/12</f>
        <v>0</v>
      </c>
      <c r="M94" s="987">
        <f>'5. PERSON'!P83/12</f>
        <v>0</v>
      </c>
      <c r="N94" s="987">
        <f t="shared" si="5"/>
        <v>0</v>
      </c>
    </row>
    <row r="95" spans="2:14" ht="13.5" customHeight="1" x14ac:dyDescent="0.2">
      <c r="B95" s="983" t="str">
        <f>IF('5. PERSON'!C84="","",'5. PERSON'!C84)</f>
        <v/>
      </c>
      <c r="C95" s="985">
        <f>IF('2. START'!$C$15="TSEK",('5. PERSON'!F84),('5. PERSON'!F84/1000))</f>
        <v>0</v>
      </c>
      <c r="D95" s="988">
        <f>'5. PERSON'!G84/12</f>
        <v>0</v>
      </c>
      <c r="E95" s="988">
        <f>'5. PERSON'!H84/12</f>
        <v>0</v>
      </c>
      <c r="F95" s="988">
        <f>'5. PERSON'!I84/12</f>
        <v>0</v>
      </c>
      <c r="G95" s="988">
        <f>'5. PERSON'!J84/12</f>
        <v>0</v>
      </c>
      <c r="H95" s="988">
        <f>'5. PERSON'!K84/12</f>
        <v>0</v>
      </c>
      <c r="I95" s="988">
        <f>'5. PERSON'!L84/12</f>
        <v>0</v>
      </c>
      <c r="J95" s="988">
        <f>'5. PERSON'!M84/12</f>
        <v>0</v>
      </c>
      <c r="K95" s="988">
        <f>'5. PERSON'!N84/12</f>
        <v>0</v>
      </c>
      <c r="L95" s="988">
        <f>'5. PERSON'!O84/12</f>
        <v>0</v>
      </c>
      <c r="M95" s="988">
        <f>'5. PERSON'!P84/12</f>
        <v>0</v>
      </c>
      <c r="N95" s="988">
        <f t="shared" si="5"/>
        <v>0</v>
      </c>
    </row>
    <row r="96" spans="2:14" ht="13.5" customHeight="1" x14ac:dyDescent="0.2">
      <c r="B96" s="961" t="str">
        <f>IF('5. PERSON'!C85="","",'5. PERSON'!C85)</f>
        <v/>
      </c>
      <c r="C96" s="984">
        <f>IF('2. START'!$C$15="TSEK",('5. PERSON'!F85),('5. PERSON'!F85/1000))</f>
        <v>0</v>
      </c>
      <c r="D96" s="987">
        <f>'5. PERSON'!G85/12</f>
        <v>0</v>
      </c>
      <c r="E96" s="987">
        <f>'5. PERSON'!H85/12</f>
        <v>0</v>
      </c>
      <c r="F96" s="987">
        <f>'5. PERSON'!I85/12</f>
        <v>0</v>
      </c>
      <c r="G96" s="987">
        <f>'5. PERSON'!J85/12</f>
        <v>0</v>
      </c>
      <c r="H96" s="987">
        <f>'5. PERSON'!K85/12</f>
        <v>0</v>
      </c>
      <c r="I96" s="987">
        <f>'5. PERSON'!L85/12</f>
        <v>0</v>
      </c>
      <c r="J96" s="987">
        <f>'5. PERSON'!M85/12</f>
        <v>0</v>
      </c>
      <c r="K96" s="987">
        <f>'5. PERSON'!N85/12</f>
        <v>0</v>
      </c>
      <c r="L96" s="987">
        <f>'5. PERSON'!O85/12</f>
        <v>0</v>
      </c>
      <c r="M96" s="987">
        <f>'5. PERSON'!P85/12</f>
        <v>0</v>
      </c>
      <c r="N96" s="987">
        <f t="shared" si="5"/>
        <v>0</v>
      </c>
    </row>
    <row r="97" spans="2:14" ht="13.5" customHeight="1" x14ac:dyDescent="0.2">
      <c r="B97" s="983" t="str">
        <f>IF('5. PERSON'!C86="","",'5. PERSON'!C86)</f>
        <v/>
      </c>
      <c r="C97" s="985">
        <f>IF('2. START'!$C$15="TSEK",('5. PERSON'!F86),('5. PERSON'!F86/1000))</f>
        <v>0</v>
      </c>
      <c r="D97" s="988">
        <f>'5. PERSON'!G86/12</f>
        <v>0</v>
      </c>
      <c r="E97" s="988">
        <f>'5. PERSON'!H86/12</f>
        <v>0</v>
      </c>
      <c r="F97" s="988">
        <f>'5. PERSON'!I86/12</f>
        <v>0</v>
      </c>
      <c r="G97" s="988">
        <f>'5. PERSON'!J86/12</f>
        <v>0</v>
      </c>
      <c r="H97" s="988">
        <f>'5. PERSON'!K86/12</f>
        <v>0</v>
      </c>
      <c r="I97" s="988">
        <f>'5. PERSON'!L86/12</f>
        <v>0</v>
      </c>
      <c r="J97" s="988">
        <f>'5. PERSON'!M86/12</f>
        <v>0</v>
      </c>
      <c r="K97" s="988">
        <f>'5. PERSON'!N86/12</f>
        <v>0</v>
      </c>
      <c r="L97" s="988">
        <f>'5. PERSON'!O86/12</f>
        <v>0</v>
      </c>
      <c r="M97" s="988">
        <f>'5. PERSON'!P86/12</f>
        <v>0</v>
      </c>
      <c r="N97" s="988">
        <f t="shared" si="5"/>
        <v>0</v>
      </c>
    </row>
    <row r="98" spans="2:14" ht="13.5" customHeight="1" x14ac:dyDescent="0.2">
      <c r="B98" s="961" t="str">
        <f>IF('5. PERSON'!C87="","",'5. PERSON'!C87)</f>
        <v/>
      </c>
      <c r="C98" s="984">
        <f>IF('2. START'!$C$15="TSEK",('5. PERSON'!F87),('5. PERSON'!F87/1000))</f>
        <v>0</v>
      </c>
      <c r="D98" s="987">
        <f>'5. PERSON'!G87/12</f>
        <v>0</v>
      </c>
      <c r="E98" s="987">
        <f>'5. PERSON'!H87/12</f>
        <v>0</v>
      </c>
      <c r="F98" s="987">
        <f>'5. PERSON'!I87/12</f>
        <v>0</v>
      </c>
      <c r="G98" s="987">
        <f>'5. PERSON'!J87/12</f>
        <v>0</v>
      </c>
      <c r="H98" s="987">
        <f>'5. PERSON'!K87/12</f>
        <v>0</v>
      </c>
      <c r="I98" s="987">
        <f>'5. PERSON'!L87/12</f>
        <v>0</v>
      </c>
      <c r="J98" s="987">
        <f>'5. PERSON'!M87/12</f>
        <v>0</v>
      </c>
      <c r="K98" s="987">
        <f>'5. PERSON'!N87/12</f>
        <v>0</v>
      </c>
      <c r="L98" s="987">
        <f>'5. PERSON'!O87/12</f>
        <v>0</v>
      </c>
      <c r="M98" s="987">
        <f>'5. PERSON'!P87/12</f>
        <v>0</v>
      </c>
      <c r="N98" s="987">
        <f t="shared" si="5"/>
        <v>0</v>
      </c>
    </row>
    <row r="99" spans="2:14" ht="13.5" customHeight="1" x14ac:dyDescent="0.2">
      <c r="B99" s="983" t="str">
        <f>IF('5. PERSON'!C88="","",'5. PERSON'!C88)</f>
        <v/>
      </c>
      <c r="C99" s="985">
        <f>IF('2. START'!$C$15="TSEK",('5. PERSON'!F88),('5. PERSON'!F88/1000))</f>
        <v>0</v>
      </c>
      <c r="D99" s="988">
        <f>'5. PERSON'!G88/12</f>
        <v>0</v>
      </c>
      <c r="E99" s="988">
        <f>'5. PERSON'!H88/12</f>
        <v>0</v>
      </c>
      <c r="F99" s="988">
        <f>'5. PERSON'!I88/12</f>
        <v>0</v>
      </c>
      <c r="G99" s="988">
        <f>'5. PERSON'!J88/12</f>
        <v>0</v>
      </c>
      <c r="H99" s="988">
        <f>'5. PERSON'!K88/12</f>
        <v>0</v>
      </c>
      <c r="I99" s="988">
        <f>'5. PERSON'!L88/12</f>
        <v>0</v>
      </c>
      <c r="J99" s="988">
        <f>'5. PERSON'!M88/12</f>
        <v>0</v>
      </c>
      <c r="K99" s="988">
        <f>'5. PERSON'!N88/12</f>
        <v>0</v>
      </c>
      <c r="L99" s="988">
        <f>'5. PERSON'!O88/12</f>
        <v>0</v>
      </c>
      <c r="M99" s="988">
        <f>'5. PERSON'!P88/12</f>
        <v>0</v>
      </c>
      <c r="N99" s="988">
        <f t="shared" si="5"/>
        <v>0</v>
      </c>
    </row>
    <row r="100" spans="2:14" ht="13.5" customHeight="1" x14ac:dyDescent="0.2">
      <c r="B100" s="961" t="str">
        <f>IF('5. PERSON'!C89="","",'5. PERSON'!C89)</f>
        <v/>
      </c>
      <c r="C100" s="984">
        <f>IF('2. START'!$C$15="TSEK",('5. PERSON'!F89),('5. PERSON'!F89/1000))</f>
        <v>0</v>
      </c>
      <c r="D100" s="987">
        <f>'5. PERSON'!G89/12</f>
        <v>0</v>
      </c>
      <c r="E100" s="987">
        <f>'5. PERSON'!H89/12</f>
        <v>0</v>
      </c>
      <c r="F100" s="987">
        <f>'5. PERSON'!I89/12</f>
        <v>0</v>
      </c>
      <c r="G100" s="987">
        <f>'5. PERSON'!J89/12</f>
        <v>0</v>
      </c>
      <c r="H100" s="987">
        <f>'5. PERSON'!K89/12</f>
        <v>0</v>
      </c>
      <c r="I100" s="987">
        <f>'5. PERSON'!L89/12</f>
        <v>0</v>
      </c>
      <c r="J100" s="987">
        <f>'5. PERSON'!M89/12</f>
        <v>0</v>
      </c>
      <c r="K100" s="987">
        <f>'5. PERSON'!N89/12</f>
        <v>0</v>
      </c>
      <c r="L100" s="987">
        <f>'5. PERSON'!O89/12</f>
        <v>0</v>
      </c>
      <c r="M100" s="987">
        <f>'5. PERSON'!P89/12</f>
        <v>0</v>
      </c>
      <c r="N100" s="987">
        <f t="shared" si="5"/>
        <v>0</v>
      </c>
    </row>
    <row r="101" spans="2:14" ht="13.5" customHeight="1" x14ac:dyDescent="0.2">
      <c r="B101" s="983" t="str">
        <f>IF('5. PERSON'!C90="","",'5. PERSON'!C90)</f>
        <v/>
      </c>
      <c r="C101" s="985">
        <f>IF('2. START'!$C$15="TSEK",('5. PERSON'!F90),('5. PERSON'!F90/1000))</f>
        <v>0</v>
      </c>
      <c r="D101" s="988">
        <f>'5. PERSON'!G90/12</f>
        <v>0</v>
      </c>
      <c r="E101" s="988">
        <f>'5. PERSON'!H90/12</f>
        <v>0</v>
      </c>
      <c r="F101" s="988">
        <f>'5. PERSON'!I90/12</f>
        <v>0</v>
      </c>
      <c r="G101" s="988">
        <f>'5. PERSON'!J90/12</f>
        <v>0</v>
      </c>
      <c r="H101" s="988">
        <f>'5. PERSON'!K90/12</f>
        <v>0</v>
      </c>
      <c r="I101" s="988">
        <f>'5. PERSON'!L90/12</f>
        <v>0</v>
      </c>
      <c r="J101" s="988">
        <f>'5. PERSON'!M90/12</f>
        <v>0</v>
      </c>
      <c r="K101" s="988">
        <f>'5. PERSON'!N90/12</f>
        <v>0</v>
      </c>
      <c r="L101" s="988">
        <f>'5. PERSON'!O90/12</f>
        <v>0</v>
      </c>
      <c r="M101" s="988">
        <f>'5. PERSON'!P90/12</f>
        <v>0</v>
      </c>
      <c r="N101" s="988">
        <f t="shared" si="5"/>
        <v>0</v>
      </c>
    </row>
    <row r="102" spans="2:14" ht="13.5" customHeight="1" x14ac:dyDescent="0.2">
      <c r="B102" s="961" t="str">
        <f>IF('5. PERSON'!C91="","",'5. PERSON'!C91)</f>
        <v/>
      </c>
      <c r="C102" s="984">
        <f>IF('2. START'!$C$15="TSEK",('5. PERSON'!F91),('5. PERSON'!F91/1000))</f>
        <v>0</v>
      </c>
      <c r="D102" s="987">
        <f>'5. PERSON'!G91/12</f>
        <v>0</v>
      </c>
      <c r="E102" s="987">
        <f>'5. PERSON'!H91/12</f>
        <v>0</v>
      </c>
      <c r="F102" s="987">
        <f>'5. PERSON'!I91/12</f>
        <v>0</v>
      </c>
      <c r="G102" s="987">
        <f>'5. PERSON'!J91/12</f>
        <v>0</v>
      </c>
      <c r="H102" s="987">
        <f>'5. PERSON'!K91/12</f>
        <v>0</v>
      </c>
      <c r="I102" s="987">
        <f>'5. PERSON'!L91/12</f>
        <v>0</v>
      </c>
      <c r="J102" s="987">
        <f>'5. PERSON'!M91/12</f>
        <v>0</v>
      </c>
      <c r="K102" s="987">
        <f>'5. PERSON'!N91/12</f>
        <v>0</v>
      </c>
      <c r="L102" s="987">
        <f>'5. PERSON'!O91/12</f>
        <v>0</v>
      </c>
      <c r="M102" s="987">
        <f>'5. PERSON'!P91/12</f>
        <v>0</v>
      </c>
      <c r="N102" s="987">
        <f t="shared" si="5"/>
        <v>0</v>
      </c>
    </row>
    <row r="103" spans="2:14" ht="13.5" customHeight="1" x14ac:dyDescent="0.2">
      <c r="B103" s="983" t="str">
        <f>IF('5. PERSON'!C92="","",'5. PERSON'!C92)</f>
        <v/>
      </c>
      <c r="C103" s="985">
        <f>IF('2. START'!$C$15="TSEK",('5. PERSON'!F92),('5. PERSON'!F92/1000))</f>
        <v>0</v>
      </c>
      <c r="D103" s="988">
        <f>'5. PERSON'!G92/12</f>
        <v>0</v>
      </c>
      <c r="E103" s="988">
        <f>'5. PERSON'!H92/12</f>
        <v>0</v>
      </c>
      <c r="F103" s="988">
        <f>'5. PERSON'!I92/12</f>
        <v>0</v>
      </c>
      <c r="G103" s="988">
        <f>'5. PERSON'!J92/12</f>
        <v>0</v>
      </c>
      <c r="H103" s="988">
        <f>'5. PERSON'!K92/12</f>
        <v>0</v>
      </c>
      <c r="I103" s="988">
        <f>'5. PERSON'!L92/12</f>
        <v>0</v>
      </c>
      <c r="J103" s="988">
        <f>'5. PERSON'!M92/12</f>
        <v>0</v>
      </c>
      <c r="K103" s="988">
        <f>'5. PERSON'!N92/12</f>
        <v>0</v>
      </c>
      <c r="L103" s="988">
        <f>'5. PERSON'!O92/12</f>
        <v>0</v>
      </c>
      <c r="M103" s="988">
        <f>'5. PERSON'!P92/12</f>
        <v>0</v>
      </c>
      <c r="N103" s="988">
        <f t="shared" si="5"/>
        <v>0</v>
      </c>
    </row>
    <row r="104" spans="2:14" ht="13.5" customHeight="1" x14ac:dyDescent="0.2">
      <c r="B104" s="961" t="str">
        <f>IF('5. PERSON'!C93="","",'5. PERSON'!C93)</f>
        <v/>
      </c>
      <c r="C104" s="984">
        <f>IF('2. START'!$C$15="TSEK",('5. PERSON'!F93),('5. PERSON'!F93/1000))</f>
        <v>0</v>
      </c>
      <c r="D104" s="987">
        <f>'5. PERSON'!G93/12</f>
        <v>0</v>
      </c>
      <c r="E104" s="987">
        <f>'5. PERSON'!H93/12</f>
        <v>0</v>
      </c>
      <c r="F104" s="987">
        <f>'5. PERSON'!I93/12</f>
        <v>0</v>
      </c>
      <c r="G104" s="987">
        <f>'5. PERSON'!J93/12</f>
        <v>0</v>
      </c>
      <c r="H104" s="987">
        <f>'5. PERSON'!K93/12</f>
        <v>0</v>
      </c>
      <c r="I104" s="987">
        <f>'5. PERSON'!L93/12</f>
        <v>0</v>
      </c>
      <c r="J104" s="987">
        <f>'5. PERSON'!M93/12</f>
        <v>0</v>
      </c>
      <c r="K104" s="987">
        <f>'5. PERSON'!N93/12</f>
        <v>0</v>
      </c>
      <c r="L104" s="987">
        <f>'5. PERSON'!O93/12</f>
        <v>0</v>
      </c>
      <c r="M104" s="987">
        <f>'5. PERSON'!P93/12</f>
        <v>0</v>
      </c>
      <c r="N104" s="987">
        <f t="shared" si="5"/>
        <v>0</v>
      </c>
    </row>
    <row r="105" spans="2:14" ht="13.5" customHeight="1" x14ac:dyDescent="0.2">
      <c r="B105" s="983" t="str">
        <f>IF('5. PERSON'!C94="","",'5. PERSON'!C94)</f>
        <v/>
      </c>
      <c r="C105" s="985">
        <f>IF('2. START'!$C$15="TSEK",('5. PERSON'!F94),('5. PERSON'!F94/1000))</f>
        <v>0</v>
      </c>
      <c r="D105" s="988">
        <f>'5. PERSON'!G94/12</f>
        <v>0</v>
      </c>
      <c r="E105" s="988">
        <f>'5. PERSON'!H94/12</f>
        <v>0</v>
      </c>
      <c r="F105" s="988">
        <f>'5. PERSON'!I94/12</f>
        <v>0</v>
      </c>
      <c r="G105" s="988">
        <f>'5. PERSON'!J94/12</f>
        <v>0</v>
      </c>
      <c r="H105" s="988">
        <f>'5. PERSON'!K94/12</f>
        <v>0</v>
      </c>
      <c r="I105" s="988">
        <f>'5. PERSON'!L94/12</f>
        <v>0</v>
      </c>
      <c r="J105" s="988">
        <f>'5. PERSON'!M94/12</f>
        <v>0</v>
      </c>
      <c r="K105" s="988">
        <f>'5. PERSON'!N94/12</f>
        <v>0</v>
      </c>
      <c r="L105" s="988">
        <f>'5. PERSON'!O94/12</f>
        <v>0</v>
      </c>
      <c r="M105" s="988">
        <f>'5. PERSON'!P94/12</f>
        <v>0</v>
      </c>
      <c r="N105" s="988">
        <f t="shared" si="5"/>
        <v>0</v>
      </c>
    </row>
    <row r="106" spans="2:14" ht="13.5" customHeight="1" x14ac:dyDescent="0.2">
      <c r="B106" s="961" t="str">
        <f>IF('5. PERSON'!C95="","",'5. PERSON'!C95)</f>
        <v/>
      </c>
      <c r="C106" s="984">
        <f>IF('2. START'!$C$15="TSEK",('5. PERSON'!F95),('5. PERSON'!F95/1000))</f>
        <v>0</v>
      </c>
      <c r="D106" s="987">
        <f>'5. PERSON'!G95/12</f>
        <v>0</v>
      </c>
      <c r="E106" s="987">
        <f>'5. PERSON'!H95/12</f>
        <v>0</v>
      </c>
      <c r="F106" s="987">
        <f>'5. PERSON'!I95/12</f>
        <v>0</v>
      </c>
      <c r="G106" s="987">
        <f>'5. PERSON'!J95/12</f>
        <v>0</v>
      </c>
      <c r="H106" s="987">
        <f>'5. PERSON'!K95/12</f>
        <v>0</v>
      </c>
      <c r="I106" s="987">
        <f>'5. PERSON'!L95/12</f>
        <v>0</v>
      </c>
      <c r="J106" s="987">
        <f>'5. PERSON'!M95/12</f>
        <v>0</v>
      </c>
      <c r="K106" s="987">
        <f>'5. PERSON'!N95/12</f>
        <v>0</v>
      </c>
      <c r="L106" s="987">
        <f>'5. PERSON'!O95/12</f>
        <v>0</v>
      </c>
      <c r="M106" s="987">
        <f>'5. PERSON'!P95/12</f>
        <v>0</v>
      </c>
      <c r="N106" s="987">
        <f t="shared" si="5"/>
        <v>0</v>
      </c>
    </row>
    <row r="107" spans="2:14" ht="13.5" customHeight="1" x14ac:dyDescent="0.2">
      <c r="B107" s="983" t="str">
        <f>IF('5. PERSON'!C96="","",'5. PERSON'!C96)</f>
        <v/>
      </c>
      <c r="C107" s="985">
        <f>IF('2. START'!$C$15="TSEK",('5. PERSON'!F96),('5. PERSON'!F96/1000))</f>
        <v>0</v>
      </c>
      <c r="D107" s="988">
        <f>'5. PERSON'!G96/12</f>
        <v>0</v>
      </c>
      <c r="E107" s="988">
        <f>'5. PERSON'!H96/12</f>
        <v>0</v>
      </c>
      <c r="F107" s="988">
        <f>'5. PERSON'!I96/12</f>
        <v>0</v>
      </c>
      <c r="G107" s="988">
        <f>'5. PERSON'!J96/12</f>
        <v>0</v>
      </c>
      <c r="H107" s="988">
        <f>'5. PERSON'!K96/12</f>
        <v>0</v>
      </c>
      <c r="I107" s="988">
        <f>'5. PERSON'!L96/12</f>
        <v>0</v>
      </c>
      <c r="J107" s="988">
        <f>'5. PERSON'!M96/12</f>
        <v>0</v>
      </c>
      <c r="K107" s="988">
        <f>'5. PERSON'!N96/12</f>
        <v>0</v>
      </c>
      <c r="L107" s="988">
        <f>'5. PERSON'!O96/12</f>
        <v>0</v>
      </c>
      <c r="M107" s="988">
        <f>'5. PERSON'!P96/12</f>
        <v>0</v>
      </c>
      <c r="N107" s="988">
        <f t="shared" si="5"/>
        <v>0</v>
      </c>
    </row>
    <row r="108" spans="2:14" ht="13.5" customHeight="1" x14ac:dyDescent="0.2">
      <c r="B108" s="961" t="str">
        <f>IF('5. PERSON'!C97="","",'5. PERSON'!C97)</f>
        <v/>
      </c>
      <c r="C108" s="984">
        <f>IF('2. START'!$C$15="TSEK",('5. PERSON'!F97),('5. PERSON'!F97/1000))</f>
        <v>0</v>
      </c>
      <c r="D108" s="987">
        <f>'5. PERSON'!G97/12</f>
        <v>0</v>
      </c>
      <c r="E108" s="987">
        <f>'5. PERSON'!H97/12</f>
        <v>0</v>
      </c>
      <c r="F108" s="987">
        <f>'5. PERSON'!I97/12</f>
        <v>0</v>
      </c>
      <c r="G108" s="987">
        <f>'5. PERSON'!J97/12</f>
        <v>0</v>
      </c>
      <c r="H108" s="987">
        <f>'5. PERSON'!K97/12</f>
        <v>0</v>
      </c>
      <c r="I108" s="987">
        <f>'5. PERSON'!L97/12</f>
        <v>0</v>
      </c>
      <c r="J108" s="987">
        <f>'5. PERSON'!M97/12</f>
        <v>0</v>
      </c>
      <c r="K108" s="987">
        <f>'5. PERSON'!N97/12</f>
        <v>0</v>
      </c>
      <c r="L108" s="987">
        <f>'5. PERSON'!O97/12</f>
        <v>0</v>
      </c>
      <c r="M108" s="987">
        <f>'5. PERSON'!P97/12</f>
        <v>0</v>
      </c>
      <c r="N108" s="987">
        <f t="shared" si="5"/>
        <v>0</v>
      </c>
    </row>
    <row r="109" spans="2:14" ht="13.5" customHeight="1" x14ac:dyDescent="0.2">
      <c r="B109" s="983" t="str">
        <f>IF('5. PERSON'!C98="","",'5. PERSON'!C98)</f>
        <v/>
      </c>
      <c r="C109" s="985">
        <f>IF('2. START'!$C$15="TSEK",('5. PERSON'!F98),('5. PERSON'!F98/1000))</f>
        <v>0</v>
      </c>
      <c r="D109" s="988">
        <f>'5. PERSON'!G98/12</f>
        <v>0</v>
      </c>
      <c r="E109" s="988">
        <f>'5. PERSON'!H98/12</f>
        <v>0</v>
      </c>
      <c r="F109" s="988">
        <f>'5. PERSON'!I98/12</f>
        <v>0</v>
      </c>
      <c r="G109" s="988">
        <f>'5. PERSON'!J98/12</f>
        <v>0</v>
      </c>
      <c r="H109" s="988">
        <f>'5. PERSON'!K98/12</f>
        <v>0</v>
      </c>
      <c r="I109" s="988">
        <f>'5. PERSON'!L98/12</f>
        <v>0</v>
      </c>
      <c r="J109" s="988">
        <f>'5. PERSON'!M98/12</f>
        <v>0</v>
      </c>
      <c r="K109" s="988">
        <f>'5. PERSON'!N98/12</f>
        <v>0</v>
      </c>
      <c r="L109" s="988">
        <f>'5. PERSON'!O98/12</f>
        <v>0</v>
      </c>
      <c r="M109" s="988">
        <f>'5. PERSON'!P98/12</f>
        <v>0</v>
      </c>
      <c r="N109" s="988">
        <f t="shared" si="5"/>
        <v>0</v>
      </c>
    </row>
    <row r="110" spans="2:14" ht="13.5" customHeight="1" x14ac:dyDescent="0.2">
      <c r="B110" s="961" t="str">
        <f>IF('5. PERSON'!C99="","",'5. PERSON'!C99)</f>
        <v/>
      </c>
      <c r="C110" s="984">
        <f>IF('2. START'!$C$15="TSEK",('5. PERSON'!F99),('5. PERSON'!F99/1000))</f>
        <v>0</v>
      </c>
      <c r="D110" s="987">
        <f>'5. PERSON'!G99/12</f>
        <v>0</v>
      </c>
      <c r="E110" s="987">
        <f>'5. PERSON'!H99/12</f>
        <v>0</v>
      </c>
      <c r="F110" s="987">
        <f>'5. PERSON'!I99/12</f>
        <v>0</v>
      </c>
      <c r="G110" s="987">
        <f>'5. PERSON'!J99/12</f>
        <v>0</v>
      </c>
      <c r="H110" s="987">
        <f>'5. PERSON'!K99/12</f>
        <v>0</v>
      </c>
      <c r="I110" s="987">
        <f>'5. PERSON'!L99/12</f>
        <v>0</v>
      </c>
      <c r="J110" s="987">
        <f>'5. PERSON'!M99/12</f>
        <v>0</v>
      </c>
      <c r="K110" s="987">
        <f>'5. PERSON'!N99/12</f>
        <v>0</v>
      </c>
      <c r="L110" s="987">
        <f>'5. PERSON'!O99/12</f>
        <v>0</v>
      </c>
      <c r="M110" s="987">
        <f>'5. PERSON'!P99/12</f>
        <v>0</v>
      </c>
      <c r="N110" s="987">
        <f t="shared" si="5"/>
        <v>0</v>
      </c>
    </row>
    <row r="111" spans="2:14" ht="13.5" customHeight="1" x14ac:dyDescent="0.2">
      <c r="B111" s="983" t="str">
        <f>IF('5. PERSON'!C100="","",'5. PERSON'!C100)</f>
        <v/>
      </c>
      <c r="C111" s="985">
        <f>IF('2. START'!$C$15="TSEK",('5. PERSON'!F100),('5. PERSON'!F100/1000))</f>
        <v>0</v>
      </c>
      <c r="D111" s="988">
        <f>'5. PERSON'!G100/12</f>
        <v>0</v>
      </c>
      <c r="E111" s="988">
        <f>'5. PERSON'!H100/12</f>
        <v>0</v>
      </c>
      <c r="F111" s="988">
        <f>'5. PERSON'!I100/12</f>
        <v>0</v>
      </c>
      <c r="G111" s="988">
        <f>'5. PERSON'!J100/12</f>
        <v>0</v>
      </c>
      <c r="H111" s="988">
        <f>'5. PERSON'!K100/12</f>
        <v>0</v>
      </c>
      <c r="I111" s="988">
        <f>'5. PERSON'!L100/12</f>
        <v>0</v>
      </c>
      <c r="J111" s="988">
        <f>'5. PERSON'!M100/12</f>
        <v>0</v>
      </c>
      <c r="K111" s="988">
        <f>'5. PERSON'!N100/12</f>
        <v>0</v>
      </c>
      <c r="L111" s="988">
        <f>'5. PERSON'!O100/12</f>
        <v>0</v>
      </c>
      <c r="M111" s="988">
        <f>'5. PERSON'!P100/12</f>
        <v>0</v>
      </c>
      <c r="N111" s="988">
        <f t="shared" si="5"/>
        <v>0</v>
      </c>
    </row>
    <row r="112" spans="2:14" ht="13.5" customHeight="1" x14ac:dyDescent="0.2">
      <c r="B112" s="961" t="str">
        <f>IF('5. PERSON'!C101="","",'5. PERSON'!C101)</f>
        <v/>
      </c>
      <c r="C112" s="984">
        <f>IF('2. START'!$C$15="TSEK",('5. PERSON'!F101),('5. PERSON'!F101/1000))</f>
        <v>0</v>
      </c>
      <c r="D112" s="987">
        <f>'5. PERSON'!G101/12</f>
        <v>0</v>
      </c>
      <c r="E112" s="987">
        <f>'5. PERSON'!H101/12</f>
        <v>0</v>
      </c>
      <c r="F112" s="987">
        <f>'5. PERSON'!I101/12</f>
        <v>0</v>
      </c>
      <c r="G112" s="987">
        <f>'5. PERSON'!J101/12</f>
        <v>0</v>
      </c>
      <c r="H112" s="987">
        <f>'5. PERSON'!K101/12</f>
        <v>0</v>
      </c>
      <c r="I112" s="987">
        <f>'5. PERSON'!L101/12</f>
        <v>0</v>
      </c>
      <c r="J112" s="987">
        <f>'5. PERSON'!M101/12</f>
        <v>0</v>
      </c>
      <c r="K112" s="987">
        <f>'5. PERSON'!N101/12</f>
        <v>0</v>
      </c>
      <c r="L112" s="987">
        <f>'5. PERSON'!O101/12</f>
        <v>0</v>
      </c>
      <c r="M112" s="987">
        <f>'5. PERSON'!P101/12</f>
        <v>0</v>
      </c>
      <c r="N112" s="987">
        <f t="shared" si="5"/>
        <v>0</v>
      </c>
    </row>
    <row r="113" spans="2:14" ht="13.5" customHeight="1" x14ac:dyDescent="0.2">
      <c r="B113" s="983" t="str">
        <f>IF('5. PERSON'!C102="","",'5. PERSON'!C102)</f>
        <v/>
      </c>
      <c r="C113" s="985">
        <f>IF('2. START'!$C$15="TSEK",('5. PERSON'!F102),('5. PERSON'!F102/1000))</f>
        <v>0</v>
      </c>
      <c r="D113" s="988">
        <f>'5. PERSON'!G102/12</f>
        <v>0</v>
      </c>
      <c r="E113" s="988">
        <f>'5. PERSON'!H102/12</f>
        <v>0</v>
      </c>
      <c r="F113" s="988">
        <f>'5. PERSON'!I102/12</f>
        <v>0</v>
      </c>
      <c r="G113" s="988">
        <f>'5. PERSON'!J102/12</f>
        <v>0</v>
      </c>
      <c r="H113" s="988">
        <f>'5. PERSON'!K102/12</f>
        <v>0</v>
      </c>
      <c r="I113" s="988">
        <f>'5. PERSON'!L102/12</f>
        <v>0</v>
      </c>
      <c r="J113" s="988">
        <f>'5. PERSON'!M102/12</f>
        <v>0</v>
      </c>
      <c r="K113" s="988">
        <f>'5. PERSON'!N102/12</f>
        <v>0</v>
      </c>
      <c r="L113" s="988">
        <f>'5. PERSON'!O102/12</f>
        <v>0</v>
      </c>
      <c r="M113" s="988">
        <f>'5. PERSON'!P102/12</f>
        <v>0</v>
      </c>
      <c r="N113" s="988">
        <f t="shared" si="5"/>
        <v>0</v>
      </c>
    </row>
    <row r="114" spans="2:14" ht="13.5" customHeight="1" x14ac:dyDescent="0.2">
      <c r="B114" s="961" t="str">
        <f>IF('5. PERSON'!C103="","",'5. PERSON'!C103)</f>
        <v/>
      </c>
      <c r="C114" s="984">
        <f>IF('2. START'!$C$15="TSEK",('5. PERSON'!F103),('5. PERSON'!F103/1000))</f>
        <v>0</v>
      </c>
      <c r="D114" s="987">
        <f>'5. PERSON'!G103/12</f>
        <v>0</v>
      </c>
      <c r="E114" s="987">
        <f>'5. PERSON'!H103/12</f>
        <v>0</v>
      </c>
      <c r="F114" s="987">
        <f>'5. PERSON'!I103/12</f>
        <v>0</v>
      </c>
      <c r="G114" s="987">
        <f>'5. PERSON'!J103/12</f>
        <v>0</v>
      </c>
      <c r="H114" s="987">
        <f>'5. PERSON'!K103/12</f>
        <v>0</v>
      </c>
      <c r="I114" s="987">
        <f>'5. PERSON'!L103/12</f>
        <v>0</v>
      </c>
      <c r="J114" s="987">
        <f>'5. PERSON'!M103/12</f>
        <v>0</v>
      </c>
      <c r="K114" s="987">
        <f>'5. PERSON'!N103/12</f>
        <v>0</v>
      </c>
      <c r="L114" s="987">
        <f>'5. PERSON'!O103/12</f>
        <v>0</v>
      </c>
      <c r="M114" s="987">
        <f>'5. PERSON'!P103/12</f>
        <v>0</v>
      </c>
      <c r="N114" s="987">
        <f t="shared" si="5"/>
        <v>0</v>
      </c>
    </row>
    <row r="115" spans="2:14" ht="13.5" customHeight="1" x14ac:dyDescent="0.2">
      <c r="B115" s="983" t="str">
        <f>IF('5. PERSON'!C104="","",'5. PERSON'!C104)</f>
        <v/>
      </c>
      <c r="C115" s="985">
        <f>IF('2. START'!$C$15="TSEK",('5. PERSON'!F104),('5. PERSON'!F104/1000))</f>
        <v>0</v>
      </c>
      <c r="D115" s="988">
        <f>'5. PERSON'!G104/12</f>
        <v>0</v>
      </c>
      <c r="E115" s="988">
        <f>'5. PERSON'!H104/12</f>
        <v>0</v>
      </c>
      <c r="F115" s="988">
        <f>'5. PERSON'!I104/12</f>
        <v>0</v>
      </c>
      <c r="G115" s="988">
        <f>'5. PERSON'!J104/12</f>
        <v>0</v>
      </c>
      <c r="H115" s="988">
        <f>'5. PERSON'!K104/12</f>
        <v>0</v>
      </c>
      <c r="I115" s="988">
        <f>'5. PERSON'!L104/12</f>
        <v>0</v>
      </c>
      <c r="J115" s="988">
        <f>'5. PERSON'!M104/12</f>
        <v>0</v>
      </c>
      <c r="K115" s="988">
        <f>'5. PERSON'!N104/12</f>
        <v>0</v>
      </c>
      <c r="L115" s="988">
        <f>'5. PERSON'!O104/12</f>
        <v>0</v>
      </c>
      <c r="M115" s="988">
        <f>'5. PERSON'!P104/12</f>
        <v>0</v>
      </c>
      <c r="N115" s="988">
        <f t="shared" si="5"/>
        <v>0</v>
      </c>
    </row>
    <row r="116" spans="2:14" ht="13.5" customHeight="1" x14ac:dyDescent="0.2">
      <c r="B116" s="961" t="str">
        <f>IF('5. PERSON'!C105="","",'5. PERSON'!C105)</f>
        <v/>
      </c>
      <c r="C116" s="984">
        <f>IF('2. START'!$C$15="TSEK",('5. PERSON'!F105),('5. PERSON'!F105/1000))</f>
        <v>0</v>
      </c>
      <c r="D116" s="987">
        <f>'5. PERSON'!G105/12</f>
        <v>0</v>
      </c>
      <c r="E116" s="987">
        <f>'5. PERSON'!H105/12</f>
        <v>0</v>
      </c>
      <c r="F116" s="987">
        <f>'5. PERSON'!I105/12</f>
        <v>0</v>
      </c>
      <c r="G116" s="987">
        <f>'5. PERSON'!J105/12</f>
        <v>0</v>
      </c>
      <c r="H116" s="987">
        <f>'5. PERSON'!K105/12</f>
        <v>0</v>
      </c>
      <c r="I116" s="987">
        <f>'5. PERSON'!L105/12</f>
        <v>0</v>
      </c>
      <c r="J116" s="987">
        <f>'5. PERSON'!M105/12</f>
        <v>0</v>
      </c>
      <c r="K116" s="987">
        <f>'5. PERSON'!N105/12</f>
        <v>0</v>
      </c>
      <c r="L116" s="987">
        <f>'5. PERSON'!O105/12</f>
        <v>0</v>
      </c>
      <c r="M116" s="987">
        <f>'5. PERSON'!P105/12</f>
        <v>0</v>
      </c>
      <c r="N116" s="987">
        <f t="shared" si="5"/>
        <v>0</v>
      </c>
    </row>
    <row r="117" spans="2:14" ht="13.5" customHeight="1" x14ac:dyDescent="0.2">
      <c r="B117" s="983" t="str">
        <f>IF('5. PERSON'!C106="","",'5. PERSON'!C106)</f>
        <v/>
      </c>
      <c r="C117" s="985">
        <f>IF('2. START'!$C$15="TSEK",('5. PERSON'!F106),('5. PERSON'!F106/1000))</f>
        <v>0</v>
      </c>
      <c r="D117" s="988">
        <f>'5. PERSON'!G106/12</f>
        <v>0</v>
      </c>
      <c r="E117" s="988">
        <f>'5. PERSON'!H106/12</f>
        <v>0</v>
      </c>
      <c r="F117" s="988">
        <f>'5. PERSON'!I106/12</f>
        <v>0</v>
      </c>
      <c r="G117" s="988">
        <f>'5. PERSON'!J106/12</f>
        <v>0</v>
      </c>
      <c r="H117" s="988">
        <f>'5. PERSON'!K106/12</f>
        <v>0</v>
      </c>
      <c r="I117" s="988">
        <f>'5. PERSON'!L106/12</f>
        <v>0</v>
      </c>
      <c r="J117" s="988">
        <f>'5. PERSON'!M106/12</f>
        <v>0</v>
      </c>
      <c r="K117" s="988">
        <f>'5. PERSON'!N106/12</f>
        <v>0</v>
      </c>
      <c r="L117" s="988">
        <f>'5. PERSON'!O106/12</f>
        <v>0</v>
      </c>
      <c r="M117" s="988">
        <f>'5. PERSON'!P106/12</f>
        <v>0</v>
      </c>
      <c r="N117" s="988">
        <f t="shared" si="5"/>
        <v>0</v>
      </c>
    </row>
    <row r="118" spans="2:14" ht="13.5" customHeight="1" x14ac:dyDescent="0.2">
      <c r="B118" s="961" t="str">
        <f>IF('5. PERSON'!C107="","",'5. PERSON'!C107)</f>
        <v/>
      </c>
      <c r="C118" s="984">
        <f>IF('2. START'!$C$15="TSEK",('5. PERSON'!F107),('5. PERSON'!F107/1000))</f>
        <v>0</v>
      </c>
      <c r="D118" s="987">
        <f>'5. PERSON'!G107/12</f>
        <v>0</v>
      </c>
      <c r="E118" s="987">
        <f>'5. PERSON'!H107/12</f>
        <v>0</v>
      </c>
      <c r="F118" s="987">
        <f>'5. PERSON'!I107/12</f>
        <v>0</v>
      </c>
      <c r="G118" s="987">
        <f>'5. PERSON'!J107/12</f>
        <v>0</v>
      </c>
      <c r="H118" s="987">
        <f>'5. PERSON'!K107/12</f>
        <v>0</v>
      </c>
      <c r="I118" s="987">
        <f>'5. PERSON'!L107/12</f>
        <v>0</v>
      </c>
      <c r="J118" s="987">
        <f>'5. PERSON'!M107/12</f>
        <v>0</v>
      </c>
      <c r="K118" s="987">
        <f>'5. PERSON'!N107/12</f>
        <v>0</v>
      </c>
      <c r="L118" s="987">
        <f>'5. PERSON'!O107/12</f>
        <v>0</v>
      </c>
      <c r="M118" s="987">
        <f>'5. PERSON'!P107/12</f>
        <v>0</v>
      </c>
      <c r="N118" s="987">
        <f t="shared" si="5"/>
        <v>0</v>
      </c>
    </row>
    <row r="119" spans="2:14" ht="13.5" customHeight="1" x14ac:dyDescent="0.2">
      <c r="B119" s="983" t="str">
        <f>IF('5. PERSON'!C108="","",'5. PERSON'!C108)</f>
        <v/>
      </c>
      <c r="C119" s="985">
        <f>IF('2. START'!$C$15="TSEK",('5. PERSON'!F108),('5. PERSON'!F108/1000))</f>
        <v>0</v>
      </c>
      <c r="D119" s="988">
        <f>'5. PERSON'!G108/12</f>
        <v>0</v>
      </c>
      <c r="E119" s="988">
        <f>'5. PERSON'!H108/12</f>
        <v>0</v>
      </c>
      <c r="F119" s="988">
        <f>'5. PERSON'!I108/12</f>
        <v>0</v>
      </c>
      <c r="G119" s="988">
        <f>'5. PERSON'!J108/12</f>
        <v>0</v>
      </c>
      <c r="H119" s="988">
        <f>'5. PERSON'!K108/12</f>
        <v>0</v>
      </c>
      <c r="I119" s="988">
        <f>'5. PERSON'!L108/12</f>
        <v>0</v>
      </c>
      <c r="J119" s="988">
        <f>'5. PERSON'!M108/12</f>
        <v>0</v>
      </c>
      <c r="K119" s="988">
        <f>'5. PERSON'!N108/12</f>
        <v>0</v>
      </c>
      <c r="L119" s="988">
        <f>'5. PERSON'!O108/12</f>
        <v>0</v>
      </c>
      <c r="M119" s="988">
        <f>'5. PERSON'!P108/12</f>
        <v>0</v>
      </c>
      <c r="N119" s="988">
        <f t="shared" si="5"/>
        <v>0</v>
      </c>
    </row>
    <row r="120" spans="2:14" ht="13.5" customHeight="1" x14ac:dyDescent="0.2">
      <c r="B120" s="961" t="str">
        <f>IF('5. PERSON'!C109="","",'5. PERSON'!C109)</f>
        <v/>
      </c>
      <c r="C120" s="984">
        <f>IF('2. START'!$C$15="TSEK",('5. PERSON'!F109),('5. PERSON'!F109/1000))</f>
        <v>0</v>
      </c>
      <c r="D120" s="987">
        <f>'5. PERSON'!G109/12</f>
        <v>0</v>
      </c>
      <c r="E120" s="987">
        <f>'5. PERSON'!H109/12</f>
        <v>0</v>
      </c>
      <c r="F120" s="987">
        <f>'5. PERSON'!I109/12</f>
        <v>0</v>
      </c>
      <c r="G120" s="987">
        <f>'5. PERSON'!J109/12</f>
        <v>0</v>
      </c>
      <c r="H120" s="987">
        <f>'5. PERSON'!K109/12</f>
        <v>0</v>
      </c>
      <c r="I120" s="987">
        <f>'5. PERSON'!L109/12</f>
        <v>0</v>
      </c>
      <c r="J120" s="987">
        <f>'5. PERSON'!M109/12</f>
        <v>0</v>
      </c>
      <c r="K120" s="987">
        <f>'5. PERSON'!N109/12</f>
        <v>0</v>
      </c>
      <c r="L120" s="987">
        <f>'5. PERSON'!O109/12</f>
        <v>0</v>
      </c>
      <c r="M120" s="987">
        <f>'5. PERSON'!P109/12</f>
        <v>0</v>
      </c>
      <c r="N120" s="987">
        <f t="shared" si="5"/>
        <v>0</v>
      </c>
    </row>
    <row r="121" spans="2:14" ht="13.5" customHeight="1" x14ac:dyDescent="0.2">
      <c r="B121" s="983" t="str">
        <f>IF('5. PERSON'!C110="","",'5. PERSON'!C110)</f>
        <v/>
      </c>
      <c r="C121" s="985">
        <f>IF('2. START'!$C$15="TSEK",('5. PERSON'!F110),('5. PERSON'!F110/1000))</f>
        <v>0</v>
      </c>
      <c r="D121" s="988">
        <f>'5. PERSON'!G110/12</f>
        <v>0</v>
      </c>
      <c r="E121" s="988">
        <f>'5. PERSON'!H110/12</f>
        <v>0</v>
      </c>
      <c r="F121" s="988">
        <f>'5. PERSON'!I110/12</f>
        <v>0</v>
      </c>
      <c r="G121" s="988">
        <f>'5. PERSON'!J110/12</f>
        <v>0</v>
      </c>
      <c r="H121" s="988">
        <f>'5. PERSON'!K110/12</f>
        <v>0</v>
      </c>
      <c r="I121" s="988">
        <f>'5. PERSON'!L110/12</f>
        <v>0</v>
      </c>
      <c r="J121" s="988">
        <f>'5. PERSON'!M110/12</f>
        <v>0</v>
      </c>
      <c r="K121" s="988">
        <f>'5. PERSON'!N110/12</f>
        <v>0</v>
      </c>
      <c r="L121" s="988">
        <f>'5. PERSON'!O110/12</f>
        <v>0</v>
      </c>
      <c r="M121" s="988">
        <f>'5. PERSON'!P110/12</f>
        <v>0</v>
      </c>
      <c r="N121" s="988">
        <f t="shared" si="5"/>
        <v>0</v>
      </c>
    </row>
    <row r="122" spans="2:14" ht="13.5" customHeight="1" x14ac:dyDescent="0.2">
      <c r="B122" s="961" t="str">
        <f>IF('5. PERSON'!C111="","",'5. PERSON'!C111)</f>
        <v/>
      </c>
      <c r="C122" s="984">
        <f>IF('2. START'!$C$15="TSEK",('5. PERSON'!F111),('5. PERSON'!F111/1000))</f>
        <v>0</v>
      </c>
      <c r="D122" s="987">
        <f>'5. PERSON'!G111/12</f>
        <v>0</v>
      </c>
      <c r="E122" s="987">
        <f>'5. PERSON'!H111/12</f>
        <v>0</v>
      </c>
      <c r="F122" s="987">
        <f>'5. PERSON'!I111/12</f>
        <v>0</v>
      </c>
      <c r="G122" s="987">
        <f>'5. PERSON'!J111/12</f>
        <v>0</v>
      </c>
      <c r="H122" s="987">
        <f>'5. PERSON'!K111/12</f>
        <v>0</v>
      </c>
      <c r="I122" s="987">
        <f>'5. PERSON'!L111/12</f>
        <v>0</v>
      </c>
      <c r="J122" s="987">
        <f>'5. PERSON'!M111/12</f>
        <v>0</v>
      </c>
      <c r="K122" s="987">
        <f>'5. PERSON'!N111/12</f>
        <v>0</v>
      </c>
      <c r="L122" s="987">
        <f>'5. PERSON'!O111/12</f>
        <v>0</v>
      </c>
      <c r="M122" s="987">
        <f>'5. PERSON'!P111/12</f>
        <v>0</v>
      </c>
      <c r="N122" s="987">
        <f t="shared" si="5"/>
        <v>0</v>
      </c>
    </row>
    <row r="123" spans="2:14" ht="13.5" customHeight="1" x14ac:dyDescent="0.2">
      <c r="B123" s="983" t="str">
        <f>IF('5. PERSON'!C112="","",'5. PERSON'!C112)</f>
        <v/>
      </c>
      <c r="C123" s="985">
        <f>IF('2. START'!$C$15="TSEK",('5. PERSON'!F112),('5. PERSON'!F112/1000))</f>
        <v>0</v>
      </c>
      <c r="D123" s="988">
        <f>'5. PERSON'!G112/12</f>
        <v>0</v>
      </c>
      <c r="E123" s="988">
        <f>'5. PERSON'!H112/12</f>
        <v>0</v>
      </c>
      <c r="F123" s="988">
        <f>'5. PERSON'!I112/12</f>
        <v>0</v>
      </c>
      <c r="G123" s="988">
        <f>'5. PERSON'!J112/12</f>
        <v>0</v>
      </c>
      <c r="H123" s="988">
        <f>'5. PERSON'!K112/12</f>
        <v>0</v>
      </c>
      <c r="I123" s="988">
        <f>'5. PERSON'!L112/12</f>
        <v>0</v>
      </c>
      <c r="J123" s="988">
        <f>'5. PERSON'!M112/12</f>
        <v>0</v>
      </c>
      <c r="K123" s="988">
        <f>'5. PERSON'!N112/12</f>
        <v>0</v>
      </c>
      <c r="L123" s="988">
        <f>'5. PERSON'!O112/12</f>
        <v>0</v>
      </c>
      <c r="M123" s="988">
        <f>'5. PERSON'!P112/12</f>
        <v>0</v>
      </c>
      <c r="N123" s="988">
        <f t="shared" si="5"/>
        <v>0</v>
      </c>
    </row>
    <row r="124" spans="2:14" ht="13.5" customHeight="1" x14ac:dyDescent="0.2">
      <c r="B124" s="961" t="str">
        <f>IF('5. PERSON'!C113="","",'5. PERSON'!C113)</f>
        <v/>
      </c>
      <c r="C124" s="984">
        <f>IF('2. START'!$C$15="TSEK",('5. PERSON'!F113),('5. PERSON'!F113/1000))</f>
        <v>0</v>
      </c>
      <c r="D124" s="987">
        <f>'5. PERSON'!G113/12</f>
        <v>0</v>
      </c>
      <c r="E124" s="987">
        <f>'5. PERSON'!H113/12</f>
        <v>0</v>
      </c>
      <c r="F124" s="987">
        <f>'5. PERSON'!I113/12</f>
        <v>0</v>
      </c>
      <c r="G124" s="987">
        <f>'5. PERSON'!J113/12</f>
        <v>0</v>
      </c>
      <c r="H124" s="987">
        <f>'5. PERSON'!K113/12</f>
        <v>0</v>
      </c>
      <c r="I124" s="987">
        <f>'5. PERSON'!L113/12</f>
        <v>0</v>
      </c>
      <c r="J124" s="987">
        <f>'5. PERSON'!M113/12</f>
        <v>0</v>
      </c>
      <c r="K124" s="987">
        <f>'5. PERSON'!N113/12</f>
        <v>0</v>
      </c>
      <c r="L124" s="987">
        <f>'5. PERSON'!O113/12</f>
        <v>0</v>
      </c>
      <c r="M124" s="987">
        <f>'5. PERSON'!P113/12</f>
        <v>0</v>
      </c>
      <c r="N124" s="987">
        <f t="shared" si="5"/>
        <v>0</v>
      </c>
    </row>
    <row r="125" spans="2:14" ht="13.5" customHeight="1" x14ac:dyDescent="0.2">
      <c r="B125" s="983" t="str">
        <f>IF('5. PERSON'!C114="","",'5. PERSON'!C114)</f>
        <v/>
      </c>
      <c r="C125" s="985">
        <f>IF('2. START'!$C$15="TSEK",('5. PERSON'!F114),('5. PERSON'!F114/1000))</f>
        <v>0</v>
      </c>
      <c r="D125" s="988">
        <f>'5. PERSON'!G114/12</f>
        <v>0</v>
      </c>
      <c r="E125" s="988">
        <f>'5. PERSON'!H114/12</f>
        <v>0</v>
      </c>
      <c r="F125" s="988">
        <f>'5. PERSON'!I114/12</f>
        <v>0</v>
      </c>
      <c r="G125" s="988">
        <f>'5. PERSON'!J114/12</f>
        <v>0</v>
      </c>
      <c r="H125" s="988">
        <f>'5. PERSON'!K114/12</f>
        <v>0</v>
      </c>
      <c r="I125" s="988">
        <f>'5. PERSON'!L114/12</f>
        <v>0</v>
      </c>
      <c r="J125" s="988">
        <f>'5. PERSON'!M114/12</f>
        <v>0</v>
      </c>
      <c r="K125" s="988">
        <f>'5. PERSON'!N114/12</f>
        <v>0</v>
      </c>
      <c r="L125" s="988">
        <f>'5. PERSON'!O114/12</f>
        <v>0</v>
      </c>
      <c r="M125" s="988">
        <f>'5. PERSON'!P114/12</f>
        <v>0</v>
      </c>
      <c r="N125" s="988">
        <f t="shared" si="5"/>
        <v>0</v>
      </c>
    </row>
    <row r="126" spans="2:14" ht="13.5" customHeight="1" x14ac:dyDescent="0.2">
      <c r="B126" s="961" t="str">
        <f>IF('5. PERSON'!C115="","",'5. PERSON'!C115)</f>
        <v/>
      </c>
      <c r="C126" s="984">
        <f>IF('2. START'!$C$15="TSEK",('5. PERSON'!F115),('5. PERSON'!F115/1000))</f>
        <v>0</v>
      </c>
      <c r="D126" s="987">
        <f>'5. PERSON'!G115/12</f>
        <v>0</v>
      </c>
      <c r="E126" s="987">
        <f>'5. PERSON'!H115/12</f>
        <v>0</v>
      </c>
      <c r="F126" s="987">
        <f>'5. PERSON'!I115/12</f>
        <v>0</v>
      </c>
      <c r="G126" s="987">
        <f>'5. PERSON'!J115/12</f>
        <v>0</v>
      </c>
      <c r="H126" s="987">
        <f>'5. PERSON'!K115/12</f>
        <v>0</v>
      </c>
      <c r="I126" s="987">
        <f>'5. PERSON'!L115/12</f>
        <v>0</v>
      </c>
      <c r="J126" s="987">
        <f>'5. PERSON'!M115/12</f>
        <v>0</v>
      </c>
      <c r="K126" s="987">
        <f>'5. PERSON'!N115/12</f>
        <v>0</v>
      </c>
      <c r="L126" s="987">
        <f>'5. PERSON'!O115/12</f>
        <v>0</v>
      </c>
      <c r="M126" s="987">
        <f>'5. PERSON'!P115/12</f>
        <v>0</v>
      </c>
      <c r="N126" s="987">
        <f t="shared" si="5"/>
        <v>0</v>
      </c>
    </row>
    <row r="127" spans="2:14" ht="13.5" customHeight="1" x14ac:dyDescent="0.2">
      <c r="B127" s="983" t="str">
        <f>IF('5. PERSON'!C116="","",'5. PERSON'!C116)</f>
        <v/>
      </c>
      <c r="C127" s="985">
        <f>IF('2. START'!$C$15="TSEK",('5. PERSON'!F116),('5. PERSON'!F116/1000))</f>
        <v>0</v>
      </c>
      <c r="D127" s="988">
        <f>'5. PERSON'!G116/12</f>
        <v>0</v>
      </c>
      <c r="E127" s="988">
        <f>'5. PERSON'!H116/12</f>
        <v>0</v>
      </c>
      <c r="F127" s="988">
        <f>'5. PERSON'!I116/12</f>
        <v>0</v>
      </c>
      <c r="G127" s="988">
        <f>'5. PERSON'!J116/12</f>
        <v>0</v>
      </c>
      <c r="H127" s="988">
        <f>'5. PERSON'!K116/12</f>
        <v>0</v>
      </c>
      <c r="I127" s="988">
        <f>'5. PERSON'!L116/12</f>
        <v>0</v>
      </c>
      <c r="J127" s="988">
        <f>'5. PERSON'!M116/12</f>
        <v>0</v>
      </c>
      <c r="K127" s="988">
        <f>'5. PERSON'!N116/12</f>
        <v>0</v>
      </c>
      <c r="L127" s="988">
        <f>'5. PERSON'!O116/12</f>
        <v>0</v>
      </c>
      <c r="M127" s="988">
        <f>'5. PERSON'!P116/12</f>
        <v>0</v>
      </c>
      <c r="N127" s="988">
        <f t="shared" si="5"/>
        <v>0</v>
      </c>
    </row>
    <row r="128" spans="2:14" ht="13.5" customHeight="1" x14ac:dyDescent="0.2">
      <c r="B128" s="961" t="str">
        <f>IF('5. PERSON'!C117="","",'5. PERSON'!C117)</f>
        <v/>
      </c>
      <c r="C128" s="984">
        <f>IF('2. START'!$C$15="TSEK",('5. PERSON'!F117),('5. PERSON'!F117/1000))</f>
        <v>0</v>
      </c>
      <c r="D128" s="987">
        <f>'5. PERSON'!G117/12</f>
        <v>0</v>
      </c>
      <c r="E128" s="987">
        <f>'5. PERSON'!H117/12</f>
        <v>0</v>
      </c>
      <c r="F128" s="987">
        <f>'5. PERSON'!I117/12</f>
        <v>0</v>
      </c>
      <c r="G128" s="987">
        <f>'5. PERSON'!J117/12</f>
        <v>0</v>
      </c>
      <c r="H128" s="987">
        <f>'5. PERSON'!K117/12</f>
        <v>0</v>
      </c>
      <c r="I128" s="987">
        <f>'5. PERSON'!L117/12</f>
        <v>0</v>
      </c>
      <c r="J128" s="987">
        <f>'5. PERSON'!M117/12</f>
        <v>0</v>
      </c>
      <c r="K128" s="987">
        <f>'5. PERSON'!N117/12</f>
        <v>0</v>
      </c>
      <c r="L128" s="987">
        <f>'5. PERSON'!O117/12</f>
        <v>0</v>
      </c>
      <c r="M128" s="987">
        <f>'5. PERSON'!P117/12</f>
        <v>0</v>
      </c>
      <c r="N128" s="987">
        <f t="shared" si="5"/>
        <v>0</v>
      </c>
    </row>
    <row r="129" spans="2:14" ht="13.5" customHeight="1" x14ac:dyDescent="0.2">
      <c r="B129" s="983" t="str">
        <f>IF('5. PERSON'!C118="","",'5. PERSON'!C118)</f>
        <v/>
      </c>
      <c r="C129" s="985">
        <f>IF('2. START'!$C$15="TSEK",('5. PERSON'!F118),('5. PERSON'!F118/1000))</f>
        <v>0</v>
      </c>
      <c r="D129" s="988">
        <f>'5. PERSON'!G118/12</f>
        <v>0</v>
      </c>
      <c r="E129" s="988">
        <f>'5. PERSON'!H118/12</f>
        <v>0</v>
      </c>
      <c r="F129" s="988">
        <f>'5. PERSON'!I118/12</f>
        <v>0</v>
      </c>
      <c r="G129" s="988">
        <f>'5. PERSON'!J118/12</f>
        <v>0</v>
      </c>
      <c r="H129" s="988">
        <f>'5. PERSON'!K118/12</f>
        <v>0</v>
      </c>
      <c r="I129" s="988">
        <f>'5. PERSON'!L118/12</f>
        <v>0</v>
      </c>
      <c r="J129" s="988">
        <f>'5. PERSON'!M118/12</f>
        <v>0</v>
      </c>
      <c r="K129" s="988">
        <f>'5. PERSON'!N118/12</f>
        <v>0</v>
      </c>
      <c r="L129" s="988">
        <f>'5. PERSON'!O118/12</f>
        <v>0</v>
      </c>
      <c r="M129" s="988">
        <f>'5. PERSON'!P118/12</f>
        <v>0</v>
      </c>
      <c r="N129" s="988">
        <f t="shared" si="5"/>
        <v>0</v>
      </c>
    </row>
    <row r="130" spans="2:14" ht="13.5" customHeight="1" x14ac:dyDescent="0.2">
      <c r="B130" s="961" t="str">
        <f>IF('5. PERSON'!C119="","",'5. PERSON'!C119)</f>
        <v/>
      </c>
      <c r="C130" s="984">
        <f>IF('2. START'!$C$15="TSEK",('5. PERSON'!F119),('5. PERSON'!F119/1000))</f>
        <v>0</v>
      </c>
      <c r="D130" s="987">
        <f>'5. PERSON'!G119/12</f>
        <v>0</v>
      </c>
      <c r="E130" s="987">
        <f>'5. PERSON'!H119/12</f>
        <v>0</v>
      </c>
      <c r="F130" s="987">
        <f>'5. PERSON'!I119/12</f>
        <v>0</v>
      </c>
      <c r="G130" s="987">
        <f>'5. PERSON'!J119/12</f>
        <v>0</v>
      </c>
      <c r="H130" s="987">
        <f>'5. PERSON'!K119/12</f>
        <v>0</v>
      </c>
      <c r="I130" s="987">
        <f>'5. PERSON'!L119/12</f>
        <v>0</v>
      </c>
      <c r="J130" s="987">
        <f>'5. PERSON'!M119/12</f>
        <v>0</v>
      </c>
      <c r="K130" s="987">
        <f>'5. PERSON'!N119/12</f>
        <v>0</v>
      </c>
      <c r="L130" s="987">
        <f>'5. PERSON'!O119/12</f>
        <v>0</v>
      </c>
      <c r="M130" s="987">
        <f>'5. PERSON'!P119/12</f>
        <v>0</v>
      </c>
      <c r="N130" s="987">
        <f t="shared" si="5"/>
        <v>0</v>
      </c>
    </row>
    <row r="131" spans="2:14" ht="13.5" customHeight="1" x14ac:dyDescent="0.2">
      <c r="B131" s="983" t="str">
        <f>IF('5. PERSON'!C120="","",'5. PERSON'!C120)</f>
        <v/>
      </c>
      <c r="C131" s="985">
        <f>IF('2. START'!$C$15="TSEK",('5. PERSON'!F120),('5. PERSON'!F120/1000))</f>
        <v>0</v>
      </c>
      <c r="D131" s="988">
        <f>'5. PERSON'!G120/12</f>
        <v>0</v>
      </c>
      <c r="E131" s="988">
        <f>'5. PERSON'!H120/12</f>
        <v>0</v>
      </c>
      <c r="F131" s="988">
        <f>'5. PERSON'!I120/12</f>
        <v>0</v>
      </c>
      <c r="G131" s="988">
        <f>'5. PERSON'!J120/12</f>
        <v>0</v>
      </c>
      <c r="H131" s="988">
        <f>'5. PERSON'!K120/12</f>
        <v>0</v>
      </c>
      <c r="I131" s="988">
        <f>'5. PERSON'!L120/12</f>
        <v>0</v>
      </c>
      <c r="J131" s="988">
        <f>'5. PERSON'!M120/12</f>
        <v>0</v>
      </c>
      <c r="K131" s="988">
        <f>'5. PERSON'!N120/12</f>
        <v>0</v>
      </c>
      <c r="L131" s="988">
        <f>'5. PERSON'!O120/12</f>
        <v>0</v>
      </c>
      <c r="M131" s="988">
        <f>'5. PERSON'!P120/12</f>
        <v>0</v>
      </c>
      <c r="N131" s="988">
        <f t="shared" si="5"/>
        <v>0</v>
      </c>
    </row>
    <row r="132" spans="2:14" ht="13.5" customHeight="1" x14ac:dyDescent="0.2">
      <c r="B132" s="961" t="str">
        <f>IF('5. PERSON'!C121="","",'5. PERSON'!C121)</f>
        <v/>
      </c>
      <c r="C132" s="984">
        <f>IF('2. START'!$C$15="TSEK",('5. PERSON'!F121),('5. PERSON'!F121/1000))</f>
        <v>0</v>
      </c>
      <c r="D132" s="987">
        <f>'5. PERSON'!G121/12</f>
        <v>0</v>
      </c>
      <c r="E132" s="987">
        <f>'5. PERSON'!H121/12</f>
        <v>0</v>
      </c>
      <c r="F132" s="987">
        <f>'5. PERSON'!I121/12</f>
        <v>0</v>
      </c>
      <c r="G132" s="987">
        <f>'5. PERSON'!J121/12</f>
        <v>0</v>
      </c>
      <c r="H132" s="987">
        <f>'5. PERSON'!K121/12</f>
        <v>0</v>
      </c>
      <c r="I132" s="987">
        <f>'5. PERSON'!L121/12</f>
        <v>0</v>
      </c>
      <c r="J132" s="987">
        <f>'5. PERSON'!M121/12</f>
        <v>0</v>
      </c>
      <c r="K132" s="987">
        <f>'5. PERSON'!N121/12</f>
        <v>0</v>
      </c>
      <c r="L132" s="987">
        <f>'5. PERSON'!O121/12</f>
        <v>0</v>
      </c>
      <c r="M132" s="987">
        <f>'5. PERSON'!P121/12</f>
        <v>0</v>
      </c>
      <c r="N132" s="987">
        <f t="shared" si="5"/>
        <v>0</v>
      </c>
    </row>
    <row r="133" spans="2:14" ht="13.5" customHeight="1" x14ac:dyDescent="0.2">
      <c r="B133" s="983" t="str">
        <f>IF('5. PERSON'!C122="","",'5. PERSON'!C122)</f>
        <v/>
      </c>
      <c r="C133" s="985">
        <f>IF('2. START'!$C$15="TSEK",('5. PERSON'!F122),('5. PERSON'!F122/1000))</f>
        <v>0</v>
      </c>
      <c r="D133" s="988">
        <f>'5. PERSON'!G122/12</f>
        <v>0</v>
      </c>
      <c r="E133" s="988">
        <f>'5. PERSON'!H122/12</f>
        <v>0</v>
      </c>
      <c r="F133" s="988">
        <f>'5. PERSON'!I122/12</f>
        <v>0</v>
      </c>
      <c r="G133" s="988">
        <f>'5. PERSON'!J122/12</f>
        <v>0</v>
      </c>
      <c r="H133" s="988">
        <f>'5. PERSON'!K122/12</f>
        <v>0</v>
      </c>
      <c r="I133" s="988">
        <f>'5. PERSON'!L122/12</f>
        <v>0</v>
      </c>
      <c r="J133" s="988">
        <f>'5. PERSON'!M122/12</f>
        <v>0</v>
      </c>
      <c r="K133" s="988">
        <f>'5. PERSON'!N122/12</f>
        <v>0</v>
      </c>
      <c r="L133" s="988">
        <f>'5. PERSON'!O122/12</f>
        <v>0</v>
      </c>
      <c r="M133" s="988">
        <f>'5. PERSON'!P122/12</f>
        <v>0</v>
      </c>
      <c r="N133" s="988">
        <f t="shared" si="5"/>
        <v>0</v>
      </c>
    </row>
    <row r="134" spans="2:14" ht="13.5" customHeight="1" x14ac:dyDescent="0.2">
      <c r="B134" s="961" t="str">
        <f>IF('5. PERSON'!C123="","",'5. PERSON'!C123)</f>
        <v/>
      </c>
      <c r="C134" s="984">
        <f>IF('2. START'!$C$15="TSEK",('5. PERSON'!F123),('5. PERSON'!F123/1000))</f>
        <v>0</v>
      </c>
      <c r="D134" s="987">
        <f>'5. PERSON'!G123/12</f>
        <v>0</v>
      </c>
      <c r="E134" s="987">
        <f>'5. PERSON'!H123/12</f>
        <v>0</v>
      </c>
      <c r="F134" s="987">
        <f>'5. PERSON'!I123/12</f>
        <v>0</v>
      </c>
      <c r="G134" s="987">
        <f>'5. PERSON'!J123/12</f>
        <v>0</v>
      </c>
      <c r="H134" s="987">
        <f>'5. PERSON'!K123/12</f>
        <v>0</v>
      </c>
      <c r="I134" s="987">
        <f>'5. PERSON'!L123/12</f>
        <v>0</v>
      </c>
      <c r="J134" s="987">
        <f>'5. PERSON'!M123/12</f>
        <v>0</v>
      </c>
      <c r="K134" s="987">
        <f>'5. PERSON'!N123/12</f>
        <v>0</v>
      </c>
      <c r="L134" s="987">
        <f>'5. PERSON'!O123/12</f>
        <v>0</v>
      </c>
      <c r="M134" s="987">
        <f>'5. PERSON'!P123/12</f>
        <v>0</v>
      </c>
      <c r="N134" s="987">
        <f t="shared" si="5"/>
        <v>0</v>
      </c>
    </row>
    <row r="135" spans="2:14" ht="13.5" customHeight="1" x14ac:dyDescent="0.2">
      <c r="B135" s="983" t="str">
        <f>IF('5. PERSON'!C124="","",'5. PERSON'!C124)</f>
        <v/>
      </c>
      <c r="C135" s="985">
        <f>IF('2. START'!$C$15="TSEK",('5. PERSON'!F124),('5. PERSON'!F124/1000))</f>
        <v>0</v>
      </c>
      <c r="D135" s="988">
        <f>'5. PERSON'!G124/12</f>
        <v>0</v>
      </c>
      <c r="E135" s="988">
        <f>'5. PERSON'!H124/12</f>
        <v>0</v>
      </c>
      <c r="F135" s="988">
        <f>'5. PERSON'!I124/12</f>
        <v>0</v>
      </c>
      <c r="G135" s="988">
        <f>'5. PERSON'!J124/12</f>
        <v>0</v>
      </c>
      <c r="H135" s="988">
        <f>'5. PERSON'!K124/12</f>
        <v>0</v>
      </c>
      <c r="I135" s="988">
        <f>'5. PERSON'!L124/12</f>
        <v>0</v>
      </c>
      <c r="J135" s="988">
        <f>'5. PERSON'!M124/12</f>
        <v>0</v>
      </c>
      <c r="K135" s="988">
        <f>'5. PERSON'!N124/12</f>
        <v>0</v>
      </c>
      <c r="L135" s="988">
        <f>'5. PERSON'!O124/12</f>
        <v>0</v>
      </c>
      <c r="M135" s="988">
        <f>'5. PERSON'!P124/12</f>
        <v>0</v>
      </c>
      <c r="N135" s="988">
        <f t="shared" si="5"/>
        <v>0</v>
      </c>
    </row>
    <row r="136" spans="2:14" ht="13.5" customHeight="1" x14ac:dyDescent="0.2">
      <c r="B136" s="961" t="str">
        <f>IF('5. PERSON'!C125="","",'5. PERSON'!C125)</f>
        <v/>
      </c>
      <c r="C136" s="984">
        <f>IF('2. START'!$C$15="TSEK",('5. PERSON'!F125),('5. PERSON'!F125/1000))</f>
        <v>0</v>
      </c>
      <c r="D136" s="987">
        <f>'5. PERSON'!G125/12</f>
        <v>0</v>
      </c>
      <c r="E136" s="987">
        <f>'5. PERSON'!H125/12</f>
        <v>0</v>
      </c>
      <c r="F136" s="987">
        <f>'5. PERSON'!I125/12</f>
        <v>0</v>
      </c>
      <c r="G136" s="987">
        <f>'5. PERSON'!J125/12</f>
        <v>0</v>
      </c>
      <c r="H136" s="987">
        <f>'5. PERSON'!K125/12</f>
        <v>0</v>
      </c>
      <c r="I136" s="987">
        <f>'5. PERSON'!L125/12</f>
        <v>0</v>
      </c>
      <c r="J136" s="987">
        <f>'5. PERSON'!M125/12</f>
        <v>0</v>
      </c>
      <c r="K136" s="987">
        <f>'5. PERSON'!N125/12</f>
        <v>0</v>
      </c>
      <c r="L136" s="987">
        <f>'5. PERSON'!O125/12</f>
        <v>0</v>
      </c>
      <c r="M136" s="987">
        <f>'5. PERSON'!P125/12</f>
        <v>0</v>
      </c>
      <c r="N136" s="987">
        <f t="shared" si="5"/>
        <v>0</v>
      </c>
    </row>
    <row r="137" spans="2:14" ht="13.5" customHeight="1" x14ac:dyDescent="0.2">
      <c r="B137" s="983" t="str">
        <f>IF('5. PERSON'!C126="","",'5. PERSON'!C126)</f>
        <v/>
      </c>
      <c r="C137" s="985">
        <f>IF('2. START'!$C$15="TSEK",('5. PERSON'!F126),('5. PERSON'!F126/1000))</f>
        <v>0</v>
      </c>
      <c r="D137" s="988">
        <f>'5. PERSON'!G126/12</f>
        <v>0</v>
      </c>
      <c r="E137" s="988">
        <f>'5. PERSON'!H126/12</f>
        <v>0</v>
      </c>
      <c r="F137" s="988">
        <f>'5. PERSON'!I126/12</f>
        <v>0</v>
      </c>
      <c r="G137" s="988">
        <f>'5. PERSON'!J126/12</f>
        <v>0</v>
      </c>
      <c r="H137" s="988">
        <f>'5. PERSON'!K126/12</f>
        <v>0</v>
      </c>
      <c r="I137" s="988">
        <f>'5. PERSON'!L126/12</f>
        <v>0</v>
      </c>
      <c r="J137" s="988">
        <f>'5. PERSON'!M126/12</f>
        <v>0</v>
      </c>
      <c r="K137" s="988">
        <f>'5. PERSON'!N126/12</f>
        <v>0</v>
      </c>
      <c r="L137" s="988">
        <f>'5. PERSON'!O126/12</f>
        <v>0</v>
      </c>
      <c r="M137" s="988">
        <f>'5. PERSON'!P126/12</f>
        <v>0</v>
      </c>
      <c r="N137" s="988">
        <f t="shared" si="5"/>
        <v>0</v>
      </c>
    </row>
    <row r="138" spans="2:14" ht="13.5" customHeight="1" x14ac:dyDescent="0.2">
      <c r="B138" s="961" t="str">
        <f>IF('5. PERSON'!C127="","",'5. PERSON'!C127)</f>
        <v/>
      </c>
      <c r="C138" s="984">
        <f>IF('2. START'!$C$15="TSEK",('5. PERSON'!F127),('5. PERSON'!F127/1000))</f>
        <v>0</v>
      </c>
      <c r="D138" s="987">
        <f>'5. PERSON'!G127/12</f>
        <v>0</v>
      </c>
      <c r="E138" s="987">
        <f>'5. PERSON'!H127/12</f>
        <v>0</v>
      </c>
      <c r="F138" s="987">
        <f>'5. PERSON'!I127/12</f>
        <v>0</v>
      </c>
      <c r="G138" s="987">
        <f>'5. PERSON'!J127/12</f>
        <v>0</v>
      </c>
      <c r="H138" s="987">
        <f>'5. PERSON'!K127/12</f>
        <v>0</v>
      </c>
      <c r="I138" s="987">
        <f>'5. PERSON'!L127/12</f>
        <v>0</v>
      </c>
      <c r="J138" s="987">
        <f>'5. PERSON'!M127/12</f>
        <v>0</v>
      </c>
      <c r="K138" s="987">
        <f>'5. PERSON'!N127/12</f>
        <v>0</v>
      </c>
      <c r="L138" s="987">
        <f>'5. PERSON'!O127/12</f>
        <v>0</v>
      </c>
      <c r="M138" s="987">
        <f>'5. PERSON'!P127/12</f>
        <v>0</v>
      </c>
      <c r="N138" s="987">
        <f t="shared" si="5"/>
        <v>0</v>
      </c>
    </row>
    <row r="139" spans="2:14" ht="13.5" customHeight="1" x14ac:dyDescent="0.2">
      <c r="B139" s="983" t="str">
        <f>IF('5. PERSON'!C128="","",'5. PERSON'!C128)</f>
        <v/>
      </c>
      <c r="C139" s="985">
        <f>IF('2. START'!$C$15="TSEK",('5. PERSON'!F128),('5. PERSON'!F128/1000))</f>
        <v>0</v>
      </c>
      <c r="D139" s="988">
        <f>'5. PERSON'!G128/12</f>
        <v>0</v>
      </c>
      <c r="E139" s="988">
        <f>'5. PERSON'!H128/12</f>
        <v>0</v>
      </c>
      <c r="F139" s="988">
        <f>'5. PERSON'!I128/12</f>
        <v>0</v>
      </c>
      <c r="G139" s="988">
        <f>'5. PERSON'!J128/12</f>
        <v>0</v>
      </c>
      <c r="H139" s="988">
        <f>'5. PERSON'!K128/12</f>
        <v>0</v>
      </c>
      <c r="I139" s="988">
        <f>'5. PERSON'!L128/12</f>
        <v>0</v>
      </c>
      <c r="J139" s="988">
        <f>'5. PERSON'!M128/12</f>
        <v>0</v>
      </c>
      <c r="K139" s="988">
        <f>'5. PERSON'!N128/12</f>
        <v>0</v>
      </c>
      <c r="L139" s="988">
        <f>'5. PERSON'!O128/12</f>
        <v>0</v>
      </c>
      <c r="M139" s="988">
        <f>'5. PERSON'!P128/12</f>
        <v>0</v>
      </c>
      <c r="N139" s="988">
        <f t="shared" si="5"/>
        <v>0</v>
      </c>
    </row>
    <row r="140" spans="2:14" ht="13.5" customHeight="1" x14ac:dyDescent="0.2">
      <c r="B140" s="961" t="str">
        <f>IF('5. PERSON'!C129="","",'5. PERSON'!C129)</f>
        <v/>
      </c>
      <c r="C140" s="984">
        <f>IF('2. START'!$C$15="TSEK",('5. PERSON'!F129),('5. PERSON'!F129/1000))</f>
        <v>0</v>
      </c>
      <c r="D140" s="987">
        <f>'5. PERSON'!G129/12</f>
        <v>0</v>
      </c>
      <c r="E140" s="987">
        <f>'5. PERSON'!H129/12</f>
        <v>0</v>
      </c>
      <c r="F140" s="987">
        <f>'5. PERSON'!I129/12</f>
        <v>0</v>
      </c>
      <c r="G140" s="987">
        <f>'5. PERSON'!J129/12</f>
        <v>0</v>
      </c>
      <c r="H140" s="987">
        <f>'5. PERSON'!K129/12</f>
        <v>0</v>
      </c>
      <c r="I140" s="987">
        <f>'5. PERSON'!L129/12</f>
        <v>0</v>
      </c>
      <c r="J140" s="987">
        <f>'5. PERSON'!M129/12</f>
        <v>0</v>
      </c>
      <c r="K140" s="987">
        <f>'5. PERSON'!N129/12</f>
        <v>0</v>
      </c>
      <c r="L140" s="987">
        <f>'5. PERSON'!O129/12</f>
        <v>0</v>
      </c>
      <c r="M140" s="987">
        <f>'5. PERSON'!P129/12</f>
        <v>0</v>
      </c>
      <c r="N140" s="987">
        <f t="shared" si="5"/>
        <v>0</v>
      </c>
    </row>
    <row r="141" spans="2:14" ht="13.5" customHeight="1" x14ac:dyDescent="0.2">
      <c r="B141" s="983" t="str">
        <f>IF('5. PERSON'!C130="","",'5. PERSON'!C130)</f>
        <v/>
      </c>
      <c r="C141" s="985">
        <f>IF('2. START'!$C$15="TSEK",('5. PERSON'!F130),('5. PERSON'!F130/1000))</f>
        <v>0</v>
      </c>
      <c r="D141" s="988">
        <f>'5. PERSON'!G130/12</f>
        <v>0</v>
      </c>
      <c r="E141" s="988">
        <f>'5. PERSON'!H130/12</f>
        <v>0</v>
      </c>
      <c r="F141" s="988">
        <f>'5. PERSON'!I130/12</f>
        <v>0</v>
      </c>
      <c r="G141" s="988">
        <f>'5. PERSON'!J130/12</f>
        <v>0</v>
      </c>
      <c r="H141" s="988">
        <f>'5. PERSON'!K130/12</f>
        <v>0</v>
      </c>
      <c r="I141" s="988">
        <f>'5. PERSON'!L130/12</f>
        <v>0</v>
      </c>
      <c r="J141" s="988">
        <f>'5. PERSON'!M130/12</f>
        <v>0</v>
      </c>
      <c r="K141" s="988">
        <f>'5. PERSON'!N130/12</f>
        <v>0</v>
      </c>
      <c r="L141" s="988">
        <f>'5. PERSON'!O130/12</f>
        <v>0</v>
      </c>
      <c r="M141" s="988">
        <f>'5. PERSON'!P130/12</f>
        <v>0</v>
      </c>
      <c r="N141" s="988">
        <f t="shared" si="5"/>
        <v>0</v>
      </c>
    </row>
    <row r="142" spans="2:14" ht="13.5" customHeight="1" x14ac:dyDescent="0.2">
      <c r="B142" s="961" t="str">
        <f>IF('5. PERSON'!C131="","",'5. PERSON'!C131)</f>
        <v/>
      </c>
      <c r="C142" s="984">
        <f>IF('2. START'!$C$15="TSEK",('5. PERSON'!F131),('5. PERSON'!F131/1000))</f>
        <v>0</v>
      </c>
      <c r="D142" s="987">
        <f>'5. PERSON'!G131/12</f>
        <v>0</v>
      </c>
      <c r="E142" s="987">
        <f>'5. PERSON'!H131/12</f>
        <v>0</v>
      </c>
      <c r="F142" s="987">
        <f>'5. PERSON'!I131/12</f>
        <v>0</v>
      </c>
      <c r="G142" s="987">
        <f>'5. PERSON'!J131/12</f>
        <v>0</v>
      </c>
      <c r="H142" s="987">
        <f>'5. PERSON'!K131/12</f>
        <v>0</v>
      </c>
      <c r="I142" s="987">
        <f>'5. PERSON'!L131/12</f>
        <v>0</v>
      </c>
      <c r="J142" s="987">
        <f>'5. PERSON'!M131/12</f>
        <v>0</v>
      </c>
      <c r="K142" s="987">
        <f>'5. PERSON'!N131/12</f>
        <v>0</v>
      </c>
      <c r="L142" s="987">
        <f>'5. PERSON'!O131/12</f>
        <v>0</v>
      </c>
      <c r="M142" s="987">
        <f>'5. PERSON'!P131/12</f>
        <v>0</v>
      </c>
      <c r="N142" s="987">
        <f t="shared" si="5"/>
        <v>0</v>
      </c>
    </row>
    <row r="143" spans="2:14" ht="13.5" customHeight="1" x14ac:dyDescent="0.2">
      <c r="B143" s="983" t="str">
        <f>IF('5. PERSON'!C132="","",'5. PERSON'!C132)</f>
        <v/>
      </c>
      <c r="C143" s="985">
        <f>IF('2. START'!$C$15="TSEK",('5. PERSON'!F132),('5. PERSON'!F132/1000))</f>
        <v>0</v>
      </c>
      <c r="D143" s="988">
        <f>'5. PERSON'!G132/12</f>
        <v>0</v>
      </c>
      <c r="E143" s="988">
        <f>'5. PERSON'!H132/12</f>
        <v>0</v>
      </c>
      <c r="F143" s="988">
        <f>'5. PERSON'!I132/12</f>
        <v>0</v>
      </c>
      <c r="G143" s="988">
        <f>'5. PERSON'!J132/12</f>
        <v>0</v>
      </c>
      <c r="H143" s="988">
        <f>'5. PERSON'!K132/12</f>
        <v>0</v>
      </c>
      <c r="I143" s="988">
        <f>'5. PERSON'!L132/12</f>
        <v>0</v>
      </c>
      <c r="J143" s="988">
        <f>'5. PERSON'!M132/12</f>
        <v>0</v>
      </c>
      <c r="K143" s="988">
        <f>'5. PERSON'!N132/12</f>
        <v>0</v>
      </c>
      <c r="L143" s="988">
        <f>'5. PERSON'!O132/12</f>
        <v>0</v>
      </c>
      <c r="M143" s="988">
        <f>'5. PERSON'!P132/12</f>
        <v>0</v>
      </c>
      <c r="N143" s="988">
        <f t="shared" si="5"/>
        <v>0</v>
      </c>
    </row>
    <row r="144" spans="2:14" ht="13.5" customHeight="1" x14ac:dyDescent="0.2">
      <c r="B144" s="961" t="str">
        <f>IF('5. PERSON'!C133="","",'5. PERSON'!C133)</f>
        <v/>
      </c>
      <c r="C144" s="984">
        <f>IF('2. START'!$C$15="TSEK",('5. PERSON'!F133),('5. PERSON'!F133/1000))</f>
        <v>0</v>
      </c>
      <c r="D144" s="987">
        <f>'5. PERSON'!G133/12</f>
        <v>0</v>
      </c>
      <c r="E144" s="987">
        <f>'5. PERSON'!H133/12</f>
        <v>0</v>
      </c>
      <c r="F144" s="987">
        <f>'5. PERSON'!I133/12</f>
        <v>0</v>
      </c>
      <c r="G144" s="987">
        <f>'5. PERSON'!J133/12</f>
        <v>0</v>
      </c>
      <c r="H144" s="987">
        <f>'5. PERSON'!K133/12</f>
        <v>0</v>
      </c>
      <c r="I144" s="987">
        <f>'5. PERSON'!L133/12</f>
        <v>0</v>
      </c>
      <c r="J144" s="987">
        <f>'5. PERSON'!M133/12</f>
        <v>0</v>
      </c>
      <c r="K144" s="987">
        <f>'5. PERSON'!N133/12</f>
        <v>0</v>
      </c>
      <c r="L144" s="987">
        <f>'5. PERSON'!O133/12</f>
        <v>0</v>
      </c>
      <c r="M144" s="987">
        <f>'5. PERSON'!P133/12</f>
        <v>0</v>
      </c>
      <c r="N144" s="987">
        <f t="shared" si="5"/>
        <v>0</v>
      </c>
    </row>
    <row r="145" spans="2:14" ht="13.5" customHeight="1" x14ac:dyDescent="0.2">
      <c r="B145" s="983" t="str">
        <f>IF('5. PERSON'!C134="","",'5. PERSON'!C134)</f>
        <v/>
      </c>
      <c r="C145" s="985">
        <f>IF('2. START'!$C$15="TSEK",('5. PERSON'!F134),('5. PERSON'!F134/1000))</f>
        <v>0</v>
      </c>
      <c r="D145" s="988">
        <f>'5. PERSON'!G134/12</f>
        <v>0</v>
      </c>
      <c r="E145" s="988">
        <f>'5. PERSON'!H134/12</f>
        <v>0</v>
      </c>
      <c r="F145" s="988">
        <f>'5. PERSON'!I134/12</f>
        <v>0</v>
      </c>
      <c r="G145" s="988">
        <f>'5. PERSON'!J134/12</f>
        <v>0</v>
      </c>
      <c r="H145" s="988">
        <f>'5. PERSON'!K134/12</f>
        <v>0</v>
      </c>
      <c r="I145" s="988">
        <f>'5. PERSON'!L134/12</f>
        <v>0</v>
      </c>
      <c r="J145" s="988">
        <f>'5. PERSON'!M134/12</f>
        <v>0</v>
      </c>
      <c r="K145" s="988">
        <f>'5. PERSON'!N134/12</f>
        <v>0</v>
      </c>
      <c r="L145" s="988">
        <f>'5. PERSON'!O134/12</f>
        <v>0</v>
      </c>
      <c r="M145" s="988">
        <f>'5. PERSON'!P134/12</f>
        <v>0</v>
      </c>
      <c r="N145" s="988">
        <f t="shared" si="5"/>
        <v>0</v>
      </c>
    </row>
    <row r="146" spans="2:14" ht="13.5" customHeight="1" x14ac:dyDescent="0.2">
      <c r="B146" s="961" t="str">
        <f>IF('5. PERSON'!C135="","",'5. PERSON'!C135)</f>
        <v/>
      </c>
      <c r="C146" s="984">
        <f>IF('2. START'!$C$15="TSEK",('5. PERSON'!F135),('5. PERSON'!F135/1000))</f>
        <v>0</v>
      </c>
      <c r="D146" s="987">
        <f>'5. PERSON'!G135/12</f>
        <v>0</v>
      </c>
      <c r="E146" s="987">
        <f>'5. PERSON'!H135/12</f>
        <v>0</v>
      </c>
      <c r="F146" s="987">
        <f>'5. PERSON'!I135/12</f>
        <v>0</v>
      </c>
      <c r="G146" s="987">
        <f>'5. PERSON'!J135/12</f>
        <v>0</v>
      </c>
      <c r="H146" s="987">
        <f>'5. PERSON'!K135/12</f>
        <v>0</v>
      </c>
      <c r="I146" s="987">
        <f>'5. PERSON'!L135/12</f>
        <v>0</v>
      </c>
      <c r="J146" s="987">
        <f>'5. PERSON'!M135/12</f>
        <v>0</v>
      </c>
      <c r="K146" s="987">
        <f>'5. PERSON'!N135/12</f>
        <v>0</v>
      </c>
      <c r="L146" s="987">
        <f>'5. PERSON'!O135/12</f>
        <v>0</v>
      </c>
      <c r="M146" s="987">
        <f>'5. PERSON'!P135/12</f>
        <v>0</v>
      </c>
      <c r="N146" s="987">
        <f t="shared" si="5"/>
        <v>0</v>
      </c>
    </row>
    <row r="147" spans="2:14" ht="13.5" customHeight="1" x14ac:dyDescent="0.2">
      <c r="B147" s="983" t="str">
        <f>IF('5. PERSON'!C136="","",'5. PERSON'!C136)</f>
        <v/>
      </c>
      <c r="C147" s="985">
        <f>IF('2. START'!$C$15="TSEK",('5. PERSON'!F136),('5. PERSON'!F136/1000))</f>
        <v>0</v>
      </c>
      <c r="D147" s="988">
        <f>'5. PERSON'!G136/12</f>
        <v>0</v>
      </c>
      <c r="E147" s="988">
        <f>'5. PERSON'!H136/12</f>
        <v>0</v>
      </c>
      <c r="F147" s="988">
        <f>'5. PERSON'!I136/12</f>
        <v>0</v>
      </c>
      <c r="G147" s="988">
        <f>'5. PERSON'!J136/12</f>
        <v>0</v>
      </c>
      <c r="H147" s="988">
        <f>'5. PERSON'!K136/12</f>
        <v>0</v>
      </c>
      <c r="I147" s="988">
        <f>'5. PERSON'!L136/12</f>
        <v>0</v>
      </c>
      <c r="J147" s="988">
        <f>'5. PERSON'!M136/12</f>
        <v>0</v>
      </c>
      <c r="K147" s="988">
        <f>'5. PERSON'!N136/12</f>
        <v>0</v>
      </c>
      <c r="L147" s="988">
        <f>'5. PERSON'!O136/12</f>
        <v>0</v>
      </c>
      <c r="M147" s="988">
        <f>'5. PERSON'!P136/12</f>
        <v>0</v>
      </c>
      <c r="N147" s="988">
        <f t="shared" si="5"/>
        <v>0</v>
      </c>
    </row>
    <row r="148" spans="2:14" ht="13.5" customHeight="1" x14ac:dyDescent="0.2">
      <c r="B148" s="961" t="str">
        <f>IF('5. PERSON'!C137="","",'5. PERSON'!C137)</f>
        <v/>
      </c>
      <c r="C148" s="984">
        <f>IF('2. START'!$C$15="TSEK",('5. PERSON'!F137),('5. PERSON'!F137/1000))</f>
        <v>0</v>
      </c>
      <c r="D148" s="987">
        <f>'5. PERSON'!G137/12</f>
        <v>0</v>
      </c>
      <c r="E148" s="987">
        <f>'5. PERSON'!H137/12</f>
        <v>0</v>
      </c>
      <c r="F148" s="987">
        <f>'5. PERSON'!I137/12</f>
        <v>0</v>
      </c>
      <c r="G148" s="987">
        <f>'5. PERSON'!J137/12</f>
        <v>0</v>
      </c>
      <c r="H148" s="987">
        <f>'5. PERSON'!K137/12</f>
        <v>0</v>
      </c>
      <c r="I148" s="987">
        <f>'5. PERSON'!L137/12</f>
        <v>0</v>
      </c>
      <c r="J148" s="987">
        <f>'5. PERSON'!M137/12</f>
        <v>0</v>
      </c>
      <c r="K148" s="987">
        <f>'5. PERSON'!N137/12</f>
        <v>0</v>
      </c>
      <c r="L148" s="987">
        <f>'5. PERSON'!O137/12</f>
        <v>0</v>
      </c>
      <c r="M148" s="987">
        <f>'5. PERSON'!P137/12</f>
        <v>0</v>
      </c>
      <c r="N148" s="987">
        <f t="shared" si="5"/>
        <v>0</v>
      </c>
    </row>
    <row r="149" spans="2:14" ht="13.5" customHeight="1" x14ac:dyDescent="0.2">
      <c r="B149" s="983" t="str">
        <f>IF('5. PERSON'!C138="","",'5. PERSON'!C138)</f>
        <v/>
      </c>
      <c r="C149" s="985">
        <f>IF('2. START'!$C$15="TSEK",('5. PERSON'!F138),('5. PERSON'!F138/1000))</f>
        <v>0</v>
      </c>
      <c r="D149" s="988">
        <f>'5. PERSON'!G138/12</f>
        <v>0</v>
      </c>
      <c r="E149" s="988">
        <f>'5. PERSON'!H138/12</f>
        <v>0</v>
      </c>
      <c r="F149" s="988">
        <f>'5. PERSON'!I138/12</f>
        <v>0</v>
      </c>
      <c r="G149" s="988">
        <f>'5. PERSON'!J138/12</f>
        <v>0</v>
      </c>
      <c r="H149" s="988">
        <f>'5. PERSON'!K138/12</f>
        <v>0</v>
      </c>
      <c r="I149" s="988">
        <f>'5. PERSON'!L138/12</f>
        <v>0</v>
      </c>
      <c r="J149" s="988">
        <f>'5. PERSON'!M138/12</f>
        <v>0</v>
      </c>
      <c r="K149" s="988">
        <f>'5. PERSON'!N138/12</f>
        <v>0</v>
      </c>
      <c r="L149" s="988">
        <f>'5. PERSON'!O138/12</f>
        <v>0</v>
      </c>
      <c r="M149" s="988">
        <f>'5. PERSON'!P138/12</f>
        <v>0</v>
      </c>
      <c r="N149" s="988">
        <f t="shared" si="5"/>
        <v>0</v>
      </c>
    </row>
    <row r="150" spans="2:14" ht="13.5" customHeight="1" x14ac:dyDescent="0.2">
      <c r="B150" s="961" t="str">
        <f>IF('5. PERSON'!C139="","",'5. PERSON'!C139)</f>
        <v/>
      </c>
      <c r="C150" s="984">
        <f>IF('2. START'!$C$15="TSEK",('5. PERSON'!F139),('5. PERSON'!F139/1000))</f>
        <v>0</v>
      </c>
      <c r="D150" s="987">
        <f>'5. PERSON'!G139/12</f>
        <v>0</v>
      </c>
      <c r="E150" s="987">
        <f>'5. PERSON'!H139/12</f>
        <v>0</v>
      </c>
      <c r="F150" s="987">
        <f>'5. PERSON'!I139/12</f>
        <v>0</v>
      </c>
      <c r="G150" s="987">
        <f>'5. PERSON'!J139/12</f>
        <v>0</v>
      </c>
      <c r="H150" s="987">
        <f>'5. PERSON'!K139/12</f>
        <v>0</v>
      </c>
      <c r="I150" s="987">
        <f>'5. PERSON'!L139/12</f>
        <v>0</v>
      </c>
      <c r="J150" s="987">
        <f>'5. PERSON'!M139/12</f>
        <v>0</v>
      </c>
      <c r="K150" s="987">
        <f>'5. PERSON'!N139/12</f>
        <v>0</v>
      </c>
      <c r="L150" s="987">
        <f>'5. PERSON'!O139/12</f>
        <v>0</v>
      </c>
      <c r="M150" s="987">
        <f>'5. PERSON'!P139/12</f>
        <v>0</v>
      </c>
      <c r="N150" s="987">
        <f t="shared" si="5"/>
        <v>0</v>
      </c>
    </row>
    <row r="151" spans="2:14" ht="13.5" customHeight="1" x14ac:dyDescent="0.2">
      <c r="B151" s="983" t="str">
        <f>IF('5. PERSON'!C140="","",'5. PERSON'!C140)</f>
        <v/>
      </c>
      <c r="C151" s="985">
        <f>IF('2. START'!$C$15="TSEK",('5. PERSON'!F140),('5. PERSON'!F140/1000))</f>
        <v>0</v>
      </c>
      <c r="D151" s="988">
        <f>'5. PERSON'!G140/12</f>
        <v>0</v>
      </c>
      <c r="E151" s="988">
        <f>'5. PERSON'!H140/12</f>
        <v>0</v>
      </c>
      <c r="F151" s="988">
        <f>'5. PERSON'!I140/12</f>
        <v>0</v>
      </c>
      <c r="G151" s="988">
        <f>'5. PERSON'!J140/12</f>
        <v>0</v>
      </c>
      <c r="H151" s="988">
        <f>'5. PERSON'!K140/12</f>
        <v>0</v>
      </c>
      <c r="I151" s="988">
        <f>'5. PERSON'!L140/12</f>
        <v>0</v>
      </c>
      <c r="J151" s="988">
        <f>'5. PERSON'!M140/12</f>
        <v>0</v>
      </c>
      <c r="K151" s="988">
        <f>'5. PERSON'!N140/12</f>
        <v>0</v>
      </c>
      <c r="L151" s="988">
        <f>'5. PERSON'!O140/12</f>
        <v>0</v>
      </c>
      <c r="M151" s="988">
        <f>'5. PERSON'!P140/12</f>
        <v>0</v>
      </c>
      <c r="N151" s="988">
        <f t="shared" si="5"/>
        <v>0</v>
      </c>
    </row>
    <row r="152" spans="2:14" ht="13.5" customHeight="1" x14ac:dyDescent="0.2">
      <c r="B152" s="961" t="str">
        <f>IF('5. PERSON'!C141="","",'5. PERSON'!C141)</f>
        <v/>
      </c>
      <c r="C152" s="984">
        <f>IF('2. START'!$C$15="TSEK",('5. PERSON'!F141),('5. PERSON'!F141/1000))</f>
        <v>0</v>
      </c>
      <c r="D152" s="987">
        <f>'5. PERSON'!G141/12</f>
        <v>0</v>
      </c>
      <c r="E152" s="987">
        <f>'5. PERSON'!H141/12</f>
        <v>0</v>
      </c>
      <c r="F152" s="987">
        <f>'5. PERSON'!I141/12</f>
        <v>0</v>
      </c>
      <c r="G152" s="987">
        <f>'5. PERSON'!J141/12</f>
        <v>0</v>
      </c>
      <c r="H152" s="987">
        <f>'5. PERSON'!K141/12</f>
        <v>0</v>
      </c>
      <c r="I152" s="987">
        <f>'5. PERSON'!L141/12</f>
        <v>0</v>
      </c>
      <c r="J152" s="987">
        <f>'5. PERSON'!M141/12</f>
        <v>0</v>
      </c>
      <c r="K152" s="987">
        <f>'5. PERSON'!N141/12</f>
        <v>0</v>
      </c>
      <c r="L152" s="987">
        <f>'5. PERSON'!O141/12</f>
        <v>0</v>
      </c>
      <c r="M152" s="987">
        <f>'5. PERSON'!P141/12</f>
        <v>0</v>
      </c>
      <c r="N152" s="987">
        <f t="shared" si="5"/>
        <v>0</v>
      </c>
    </row>
    <row r="153" spans="2:14" ht="13.5" customHeight="1" x14ac:dyDescent="0.2">
      <c r="B153" s="983" t="str">
        <f>IF('5. PERSON'!C142="","",'5. PERSON'!C142)</f>
        <v/>
      </c>
      <c r="C153" s="985">
        <f>IF('2. START'!$C$15="TSEK",('5. PERSON'!F142),('5. PERSON'!F142/1000))</f>
        <v>0</v>
      </c>
      <c r="D153" s="988">
        <f>'5. PERSON'!G142/12</f>
        <v>0</v>
      </c>
      <c r="E153" s="988">
        <f>'5. PERSON'!H142/12</f>
        <v>0</v>
      </c>
      <c r="F153" s="988">
        <f>'5. PERSON'!I142/12</f>
        <v>0</v>
      </c>
      <c r="G153" s="988">
        <f>'5. PERSON'!J142/12</f>
        <v>0</v>
      </c>
      <c r="H153" s="988">
        <f>'5. PERSON'!K142/12</f>
        <v>0</v>
      </c>
      <c r="I153" s="988">
        <f>'5. PERSON'!L142/12</f>
        <v>0</v>
      </c>
      <c r="J153" s="988">
        <f>'5. PERSON'!M142/12</f>
        <v>0</v>
      </c>
      <c r="K153" s="988">
        <f>'5. PERSON'!N142/12</f>
        <v>0</v>
      </c>
      <c r="L153" s="988">
        <f>'5. PERSON'!O142/12</f>
        <v>0</v>
      </c>
      <c r="M153" s="988">
        <f>'5. PERSON'!P142/12</f>
        <v>0</v>
      </c>
      <c r="N153" s="988">
        <f t="shared" si="5"/>
        <v>0</v>
      </c>
    </row>
    <row r="154" spans="2:14" ht="13.5" customHeight="1" x14ac:dyDescent="0.2">
      <c r="B154" s="961" t="str">
        <f>IF('5. PERSON'!C143="","",'5. PERSON'!C143)</f>
        <v/>
      </c>
      <c r="C154" s="984">
        <f>IF('2. START'!$C$15="TSEK",('5. PERSON'!F143),('5. PERSON'!F143/1000))</f>
        <v>0</v>
      </c>
      <c r="D154" s="987">
        <f>'5. PERSON'!G143/12</f>
        <v>0</v>
      </c>
      <c r="E154" s="987">
        <f>'5. PERSON'!H143/12</f>
        <v>0</v>
      </c>
      <c r="F154" s="987">
        <f>'5. PERSON'!I143/12</f>
        <v>0</v>
      </c>
      <c r="G154" s="987">
        <f>'5. PERSON'!J143/12</f>
        <v>0</v>
      </c>
      <c r="H154" s="987">
        <f>'5. PERSON'!K143/12</f>
        <v>0</v>
      </c>
      <c r="I154" s="987">
        <f>'5. PERSON'!L143/12</f>
        <v>0</v>
      </c>
      <c r="J154" s="987">
        <f>'5. PERSON'!M143/12</f>
        <v>0</v>
      </c>
      <c r="K154" s="987">
        <f>'5. PERSON'!N143/12</f>
        <v>0</v>
      </c>
      <c r="L154" s="987">
        <f>'5. PERSON'!O143/12</f>
        <v>0</v>
      </c>
      <c r="M154" s="987">
        <f>'5. PERSON'!P143/12</f>
        <v>0</v>
      </c>
      <c r="N154" s="987">
        <f t="shared" si="5"/>
        <v>0</v>
      </c>
    </row>
    <row r="155" spans="2:14" ht="13.5" customHeight="1" x14ac:dyDescent="0.2">
      <c r="B155" s="983" t="str">
        <f>IF('5. PERSON'!C144="","",'5. PERSON'!C144)</f>
        <v/>
      </c>
      <c r="C155" s="985">
        <f>IF('2. START'!$C$15="TSEK",('5. PERSON'!F144),('5. PERSON'!F144/1000))</f>
        <v>0</v>
      </c>
      <c r="D155" s="988">
        <f>'5. PERSON'!G144/12</f>
        <v>0</v>
      </c>
      <c r="E155" s="988">
        <f>'5. PERSON'!H144/12</f>
        <v>0</v>
      </c>
      <c r="F155" s="988">
        <f>'5. PERSON'!I144/12</f>
        <v>0</v>
      </c>
      <c r="G155" s="988">
        <f>'5. PERSON'!J144/12</f>
        <v>0</v>
      </c>
      <c r="H155" s="988">
        <f>'5. PERSON'!K144/12</f>
        <v>0</v>
      </c>
      <c r="I155" s="988">
        <f>'5. PERSON'!L144/12</f>
        <v>0</v>
      </c>
      <c r="J155" s="988">
        <f>'5. PERSON'!M144/12</f>
        <v>0</v>
      </c>
      <c r="K155" s="988">
        <f>'5. PERSON'!N144/12</f>
        <v>0</v>
      </c>
      <c r="L155" s="988">
        <f>'5. PERSON'!O144/12</f>
        <v>0</v>
      </c>
      <c r="M155" s="988">
        <f>'5. PERSON'!P144/12</f>
        <v>0</v>
      </c>
      <c r="N155" s="988">
        <f t="shared" si="5"/>
        <v>0</v>
      </c>
    </row>
    <row r="156" spans="2:14" ht="13.5" customHeight="1" x14ac:dyDescent="0.2">
      <c r="B156" s="961" t="str">
        <f>IF('5. PERSON'!C145="","",'5. PERSON'!C145)</f>
        <v/>
      </c>
      <c r="C156" s="984">
        <f>IF('2. START'!$C$15="TSEK",('5. PERSON'!F145),('5. PERSON'!F145/1000))</f>
        <v>0</v>
      </c>
      <c r="D156" s="987">
        <f>'5. PERSON'!G145/12</f>
        <v>0</v>
      </c>
      <c r="E156" s="987">
        <f>'5. PERSON'!H145/12</f>
        <v>0</v>
      </c>
      <c r="F156" s="987">
        <f>'5. PERSON'!I145/12</f>
        <v>0</v>
      </c>
      <c r="G156" s="987">
        <f>'5. PERSON'!J145/12</f>
        <v>0</v>
      </c>
      <c r="H156" s="987">
        <f>'5. PERSON'!K145/12</f>
        <v>0</v>
      </c>
      <c r="I156" s="987">
        <f>'5. PERSON'!L145/12</f>
        <v>0</v>
      </c>
      <c r="J156" s="987">
        <f>'5. PERSON'!M145/12</f>
        <v>0</v>
      </c>
      <c r="K156" s="987">
        <f>'5. PERSON'!N145/12</f>
        <v>0</v>
      </c>
      <c r="L156" s="987">
        <f>'5. PERSON'!O145/12</f>
        <v>0</v>
      </c>
      <c r="M156" s="987">
        <f>'5. PERSON'!P145/12</f>
        <v>0</v>
      </c>
      <c r="N156" s="987">
        <f t="shared" si="5"/>
        <v>0</v>
      </c>
    </row>
    <row r="157" spans="2:14" ht="13.5" customHeight="1" x14ac:dyDescent="0.2">
      <c r="B157" s="983" t="str">
        <f>IF('5. PERSON'!C146="","",'5. PERSON'!C146)</f>
        <v/>
      </c>
      <c r="C157" s="985">
        <f>IF('2. START'!$C$15="TSEK",('5. PERSON'!F146),('5. PERSON'!F146/1000))</f>
        <v>0</v>
      </c>
      <c r="D157" s="988">
        <f>'5. PERSON'!G146/12</f>
        <v>0</v>
      </c>
      <c r="E157" s="988">
        <f>'5. PERSON'!H146/12</f>
        <v>0</v>
      </c>
      <c r="F157" s="988">
        <f>'5. PERSON'!I146/12</f>
        <v>0</v>
      </c>
      <c r="G157" s="988">
        <f>'5. PERSON'!J146/12</f>
        <v>0</v>
      </c>
      <c r="H157" s="988">
        <f>'5. PERSON'!K146/12</f>
        <v>0</v>
      </c>
      <c r="I157" s="988">
        <f>'5. PERSON'!L146/12</f>
        <v>0</v>
      </c>
      <c r="J157" s="988">
        <f>'5. PERSON'!M146/12</f>
        <v>0</v>
      </c>
      <c r="K157" s="988">
        <f>'5. PERSON'!N146/12</f>
        <v>0</v>
      </c>
      <c r="L157" s="988">
        <f>'5. PERSON'!O146/12</f>
        <v>0</v>
      </c>
      <c r="M157" s="988">
        <f>'5. PERSON'!P146/12</f>
        <v>0</v>
      </c>
      <c r="N157" s="988">
        <f t="shared" ref="N157:N203" si="6">SUM(D157:M157)</f>
        <v>0</v>
      </c>
    </row>
    <row r="158" spans="2:14" ht="13.5" customHeight="1" x14ac:dyDescent="0.2">
      <c r="B158" s="961" t="str">
        <f>IF('5. PERSON'!C147="","",'5. PERSON'!C147)</f>
        <v/>
      </c>
      <c r="C158" s="984">
        <f>IF('2. START'!$C$15="TSEK",('5. PERSON'!F147),('5. PERSON'!F147/1000))</f>
        <v>0</v>
      </c>
      <c r="D158" s="987">
        <f>'5. PERSON'!G147/12</f>
        <v>0</v>
      </c>
      <c r="E158" s="987">
        <f>'5. PERSON'!H147/12</f>
        <v>0</v>
      </c>
      <c r="F158" s="987">
        <f>'5. PERSON'!I147/12</f>
        <v>0</v>
      </c>
      <c r="G158" s="987">
        <f>'5. PERSON'!J147/12</f>
        <v>0</v>
      </c>
      <c r="H158" s="987">
        <f>'5. PERSON'!K147/12</f>
        <v>0</v>
      </c>
      <c r="I158" s="987">
        <f>'5. PERSON'!L147/12</f>
        <v>0</v>
      </c>
      <c r="J158" s="987">
        <f>'5. PERSON'!M147/12</f>
        <v>0</v>
      </c>
      <c r="K158" s="987">
        <f>'5. PERSON'!N147/12</f>
        <v>0</v>
      </c>
      <c r="L158" s="987">
        <f>'5. PERSON'!O147/12</f>
        <v>0</v>
      </c>
      <c r="M158" s="987">
        <f>'5. PERSON'!P147/12</f>
        <v>0</v>
      </c>
      <c r="N158" s="987">
        <f t="shared" si="6"/>
        <v>0</v>
      </c>
    </row>
    <row r="159" spans="2:14" ht="13.5" customHeight="1" x14ac:dyDescent="0.2">
      <c r="B159" s="983" t="str">
        <f>IF('5. PERSON'!C148="","",'5. PERSON'!C148)</f>
        <v/>
      </c>
      <c r="C159" s="985">
        <f>IF('2. START'!$C$15="TSEK",('5. PERSON'!F148),('5. PERSON'!F148/1000))</f>
        <v>0</v>
      </c>
      <c r="D159" s="988">
        <f>'5. PERSON'!G148/12</f>
        <v>0</v>
      </c>
      <c r="E159" s="988">
        <f>'5. PERSON'!H148/12</f>
        <v>0</v>
      </c>
      <c r="F159" s="988">
        <f>'5. PERSON'!I148/12</f>
        <v>0</v>
      </c>
      <c r="G159" s="988">
        <f>'5. PERSON'!J148/12</f>
        <v>0</v>
      </c>
      <c r="H159" s="988">
        <f>'5. PERSON'!K148/12</f>
        <v>0</v>
      </c>
      <c r="I159" s="988">
        <f>'5. PERSON'!L148/12</f>
        <v>0</v>
      </c>
      <c r="J159" s="988">
        <f>'5. PERSON'!M148/12</f>
        <v>0</v>
      </c>
      <c r="K159" s="988">
        <f>'5. PERSON'!N148/12</f>
        <v>0</v>
      </c>
      <c r="L159" s="988">
        <f>'5. PERSON'!O148/12</f>
        <v>0</v>
      </c>
      <c r="M159" s="988">
        <f>'5. PERSON'!P148/12</f>
        <v>0</v>
      </c>
      <c r="N159" s="988">
        <f t="shared" si="6"/>
        <v>0</v>
      </c>
    </row>
    <row r="160" spans="2:14" ht="13.5" customHeight="1" x14ac:dyDescent="0.2">
      <c r="B160" s="961" t="str">
        <f>IF('5. PERSON'!C149="","",'5. PERSON'!C149)</f>
        <v/>
      </c>
      <c r="C160" s="984">
        <f>IF('2. START'!$C$15="TSEK",('5. PERSON'!F149),('5. PERSON'!F149/1000))</f>
        <v>0</v>
      </c>
      <c r="D160" s="987">
        <f>'5. PERSON'!G149/12</f>
        <v>0</v>
      </c>
      <c r="E160" s="987">
        <f>'5. PERSON'!H149/12</f>
        <v>0</v>
      </c>
      <c r="F160" s="987">
        <f>'5. PERSON'!I149/12</f>
        <v>0</v>
      </c>
      <c r="G160" s="987">
        <f>'5. PERSON'!J149/12</f>
        <v>0</v>
      </c>
      <c r="H160" s="987">
        <f>'5. PERSON'!K149/12</f>
        <v>0</v>
      </c>
      <c r="I160" s="987">
        <f>'5. PERSON'!L149/12</f>
        <v>0</v>
      </c>
      <c r="J160" s="987">
        <f>'5. PERSON'!M149/12</f>
        <v>0</v>
      </c>
      <c r="K160" s="987">
        <f>'5. PERSON'!N149/12</f>
        <v>0</v>
      </c>
      <c r="L160" s="987">
        <f>'5. PERSON'!O149/12</f>
        <v>0</v>
      </c>
      <c r="M160" s="987">
        <f>'5. PERSON'!P149/12</f>
        <v>0</v>
      </c>
      <c r="N160" s="987">
        <f t="shared" si="6"/>
        <v>0</v>
      </c>
    </row>
    <row r="161" spans="2:14" ht="13.5" customHeight="1" x14ac:dyDescent="0.2">
      <c r="B161" s="983" t="str">
        <f>IF('5. PERSON'!C150="","",'5. PERSON'!C150)</f>
        <v/>
      </c>
      <c r="C161" s="985">
        <f>IF('2. START'!$C$15="TSEK",('5. PERSON'!F150),('5. PERSON'!F150/1000))</f>
        <v>0</v>
      </c>
      <c r="D161" s="988">
        <f>'5. PERSON'!G150/12</f>
        <v>0</v>
      </c>
      <c r="E161" s="988">
        <f>'5. PERSON'!H150/12</f>
        <v>0</v>
      </c>
      <c r="F161" s="988">
        <f>'5. PERSON'!I150/12</f>
        <v>0</v>
      </c>
      <c r="G161" s="988">
        <f>'5. PERSON'!J150/12</f>
        <v>0</v>
      </c>
      <c r="H161" s="988">
        <f>'5. PERSON'!K150/12</f>
        <v>0</v>
      </c>
      <c r="I161" s="988">
        <f>'5. PERSON'!L150/12</f>
        <v>0</v>
      </c>
      <c r="J161" s="988">
        <f>'5. PERSON'!M150/12</f>
        <v>0</v>
      </c>
      <c r="K161" s="988">
        <f>'5. PERSON'!N150/12</f>
        <v>0</v>
      </c>
      <c r="L161" s="988">
        <f>'5. PERSON'!O150/12</f>
        <v>0</v>
      </c>
      <c r="M161" s="988">
        <f>'5. PERSON'!P150/12</f>
        <v>0</v>
      </c>
      <c r="N161" s="988">
        <f t="shared" si="6"/>
        <v>0</v>
      </c>
    </row>
    <row r="162" spans="2:14" ht="13.5" customHeight="1" x14ac:dyDescent="0.2">
      <c r="B162" s="961" t="str">
        <f>IF('5. PERSON'!C151="","",'5. PERSON'!C151)</f>
        <v/>
      </c>
      <c r="C162" s="984">
        <f>IF('2. START'!$C$15="TSEK",('5. PERSON'!F151),('5. PERSON'!F151/1000))</f>
        <v>0</v>
      </c>
      <c r="D162" s="987">
        <f>'5. PERSON'!G151/12</f>
        <v>0</v>
      </c>
      <c r="E162" s="987">
        <f>'5. PERSON'!H151/12</f>
        <v>0</v>
      </c>
      <c r="F162" s="987">
        <f>'5. PERSON'!I151/12</f>
        <v>0</v>
      </c>
      <c r="G162" s="987">
        <f>'5. PERSON'!J151/12</f>
        <v>0</v>
      </c>
      <c r="H162" s="987">
        <f>'5. PERSON'!K151/12</f>
        <v>0</v>
      </c>
      <c r="I162" s="987">
        <f>'5. PERSON'!L151/12</f>
        <v>0</v>
      </c>
      <c r="J162" s="987">
        <f>'5. PERSON'!M151/12</f>
        <v>0</v>
      </c>
      <c r="K162" s="987">
        <f>'5. PERSON'!N151/12</f>
        <v>0</v>
      </c>
      <c r="L162" s="987">
        <f>'5. PERSON'!O151/12</f>
        <v>0</v>
      </c>
      <c r="M162" s="987">
        <f>'5. PERSON'!P151/12</f>
        <v>0</v>
      </c>
      <c r="N162" s="987">
        <f t="shared" si="6"/>
        <v>0</v>
      </c>
    </row>
    <row r="163" spans="2:14" ht="13.5" customHeight="1" x14ac:dyDescent="0.2">
      <c r="B163" s="983" t="str">
        <f>IF('5. PERSON'!C152="","",'5. PERSON'!C152)</f>
        <v/>
      </c>
      <c r="C163" s="985">
        <f>IF('2. START'!$C$15="TSEK",('5. PERSON'!F152),('5. PERSON'!F152/1000))</f>
        <v>0</v>
      </c>
      <c r="D163" s="988">
        <f>'5. PERSON'!G152/12</f>
        <v>0</v>
      </c>
      <c r="E163" s="988">
        <f>'5. PERSON'!H152/12</f>
        <v>0</v>
      </c>
      <c r="F163" s="988">
        <f>'5. PERSON'!I152/12</f>
        <v>0</v>
      </c>
      <c r="G163" s="988">
        <f>'5. PERSON'!J152/12</f>
        <v>0</v>
      </c>
      <c r="H163" s="988">
        <f>'5. PERSON'!K152/12</f>
        <v>0</v>
      </c>
      <c r="I163" s="988">
        <f>'5. PERSON'!L152/12</f>
        <v>0</v>
      </c>
      <c r="J163" s="988">
        <f>'5. PERSON'!M152/12</f>
        <v>0</v>
      </c>
      <c r="K163" s="988">
        <f>'5. PERSON'!N152/12</f>
        <v>0</v>
      </c>
      <c r="L163" s="988">
        <f>'5. PERSON'!O152/12</f>
        <v>0</v>
      </c>
      <c r="M163" s="988">
        <f>'5. PERSON'!P152/12</f>
        <v>0</v>
      </c>
      <c r="N163" s="988">
        <f t="shared" si="6"/>
        <v>0</v>
      </c>
    </row>
    <row r="164" spans="2:14" ht="13.5" customHeight="1" x14ac:dyDescent="0.2">
      <c r="B164" s="961" t="str">
        <f>IF('5. PERSON'!C153="","",'5. PERSON'!C153)</f>
        <v/>
      </c>
      <c r="C164" s="984">
        <f>IF('2. START'!$C$15="TSEK",('5. PERSON'!F153),('5. PERSON'!F153/1000))</f>
        <v>0</v>
      </c>
      <c r="D164" s="987">
        <f>'5. PERSON'!G153/12</f>
        <v>0</v>
      </c>
      <c r="E164" s="987">
        <f>'5. PERSON'!H153/12</f>
        <v>0</v>
      </c>
      <c r="F164" s="987">
        <f>'5. PERSON'!I153/12</f>
        <v>0</v>
      </c>
      <c r="G164" s="987">
        <f>'5. PERSON'!J153/12</f>
        <v>0</v>
      </c>
      <c r="H164" s="987">
        <f>'5. PERSON'!K153/12</f>
        <v>0</v>
      </c>
      <c r="I164" s="987">
        <f>'5. PERSON'!L153/12</f>
        <v>0</v>
      </c>
      <c r="J164" s="987">
        <f>'5. PERSON'!M153/12</f>
        <v>0</v>
      </c>
      <c r="K164" s="987">
        <f>'5. PERSON'!N153/12</f>
        <v>0</v>
      </c>
      <c r="L164" s="987">
        <f>'5. PERSON'!O153/12</f>
        <v>0</v>
      </c>
      <c r="M164" s="987">
        <f>'5. PERSON'!P153/12</f>
        <v>0</v>
      </c>
      <c r="N164" s="987">
        <f t="shared" si="6"/>
        <v>0</v>
      </c>
    </row>
    <row r="165" spans="2:14" ht="13.5" customHeight="1" x14ac:dyDescent="0.2">
      <c r="B165" s="983" t="str">
        <f>IF('5. PERSON'!C154="","",'5. PERSON'!C154)</f>
        <v/>
      </c>
      <c r="C165" s="985">
        <f>IF('2. START'!$C$15="TSEK",('5. PERSON'!F154),('5. PERSON'!F154/1000))</f>
        <v>0</v>
      </c>
      <c r="D165" s="988">
        <f>'5. PERSON'!G154/12</f>
        <v>0</v>
      </c>
      <c r="E165" s="988">
        <f>'5. PERSON'!H154/12</f>
        <v>0</v>
      </c>
      <c r="F165" s="988">
        <f>'5. PERSON'!I154/12</f>
        <v>0</v>
      </c>
      <c r="G165" s="988">
        <f>'5. PERSON'!J154/12</f>
        <v>0</v>
      </c>
      <c r="H165" s="988">
        <f>'5. PERSON'!K154/12</f>
        <v>0</v>
      </c>
      <c r="I165" s="988">
        <f>'5. PERSON'!L154/12</f>
        <v>0</v>
      </c>
      <c r="J165" s="988">
        <f>'5. PERSON'!M154/12</f>
        <v>0</v>
      </c>
      <c r="K165" s="988">
        <f>'5. PERSON'!N154/12</f>
        <v>0</v>
      </c>
      <c r="L165" s="988">
        <f>'5. PERSON'!O154/12</f>
        <v>0</v>
      </c>
      <c r="M165" s="988">
        <f>'5. PERSON'!P154/12</f>
        <v>0</v>
      </c>
      <c r="N165" s="988">
        <f t="shared" si="6"/>
        <v>0</v>
      </c>
    </row>
    <row r="166" spans="2:14" ht="13.5" customHeight="1" x14ac:dyDescent="0.2">
      <c r="B166" s="961" t="str">
        <f>IF('5. PERSON'!C155="","",'5. PERSON'!C155)</f>
        <v/>
      </c>
      <c r="C166" s="984">
        <f>IF('2. START'!$C$15="TSEK",('5. PERSON'!F155),('5. PERSON'!F155/1000))</f>
        <v>0</v>
      </c>
      <c r="D166" s="987">
        <f>'5. PERSON'!G155/12</f>
        <v>0</v>
      </c>
      <c r="E166" s="987">
        <f>'5. PERSON'!H155/12</f>
        <v>0</v>
      </c>
      <c r="F166" s="987">
        <f>'5. PERSON'!I155/12</f>
        <v>0</v>
      </c>
      <c r="G166" s="987">
        <f>'5. PERSON'!J155/12</f>
        <v>0</v>
      </c>
      <c r="H166" s="987">
        <f>'5. PERSON'!K155/12</f>
        <v>0</v>
      </c>
      <c r="I166" s="987">
        <f>'5. PERSON'!L155/12</f>
        <v>0</v>
      </c>
      <c r="J166" s="987">
        <f>'5. PERSON'!M155/12</f>
        <v>0</v>
      </c>
      <c r="K166" s="987">
        <f>'5. PERSON'!N155/12</f>
        <v>0</v>
      </c>
      <c r="L166" s="987">
        <f>'5. PERSON'!O155/12</f>
        <v>0</v>
      </c>
      <c r="M166" s="987">
        <f>'5. PERSON'!P155/12</f>
        <v>0</v>
      </c>
      <c r="N166" s="987">
        <f t="shared" si="6"/>
        <v>0</v>
      </c>
    </row>
    <row r="167" spans="2:14" ht="13.5" customHeight="1" x14ac:dyDescent="0.2">
      <c r="B167" s="983" t="str">
        <f>IF('5. PERSON'!C156="","",'5. PERSON'!C156)</f>
        <v/>
      </c>
      <c r="C167" s="985">
        <f>IF('2. START'!$C$15="TSEK",('5. PERSON'!F156),('5. PERSON'!F156/1000))</f>
        <v>0</v>
      </c>
      <c r="D167" s="988">
        <f>'5. PERSON'!G156/12</f>
        <v>0</v>
      </c>
      <c r="E167" s="988">
        <f>'5. PERSON'!H156/12</f>
        <v>0</v>
      </c>
      <c r="F167" s="988">
        <f>'5. PERSON'!I156/12</f>
        <v>0</v>
      </c>
      <c r="G167" s="988">
        <f>'5. PERSON'!J156/12</f>
        <v>0</v>
      </c>
      <c r="H167" s="988">
        <f>'5. PERSON'!K156/12</f>
        <v>0</v>
      </c>
      <c r="I167" s="988">
        <f>'5. PERSON'!L156/12</f>
        <v>0</v>
      </c>
      <c r="J167" s="988">
        <f>'5. PERSON'!M156/12</f>
        <v>0</v>
      </c>
      <c r="K167" s="988">
        <f>'5. PERSON'!N156/12</f>
        <v>0</v>
      </c>
      <c r="L167" s="988">
        <f>'5. PERSON'!O156/12</f>
        <v>0</v>
      </c>
      <c r="M167" s="988">
        <f>'5. PERSON'!P156/12</f>
        <v>0</v>
      </c>
      <c r="N167" s="988">
        <f t="shared" si="6"/>
        <v>0</v>
      </c>
    </row>
    <row r="168" spans="2:14" ht="13.5" customHeight="1" x14ac:dyDescent="0.2">
      <c r="B168" s="961" t="str">
        <f>IF('5. PERSON'!C157="","",'5. PERSON'!C157)</f>
        <v/>
      </c>
      <c r="C168" s="984">
        <f>IF('2. START'!$C$15="TSEK",('5. PERSON'!F157),('5. PERSON'!F157/1000))</f>
        <v>0</v>
      </c>
      <c r="D168" s="987">
        <f>'5. PERSON'!G157/12</f>
        <v>0</v>
      </c>
      <c r="E168" s="987">
        <f>'5. PERSON'!H157/12</f>
        <v>0</v>
      </c>
      <c r="F168" s="987">
        <f>'5. PERSON'!I157/12</f>
        <v>0</v>
      </c>
      <c r="G168" s="987">
        <f>'5. PERSON'!J157/12</f>
        <v>0</v>
      </c>
      <c r="H168" s="987">
        <f>'5. PERSON'!K157/12</f>
        <v>0</v>
      </c>
      <c r="I168" s="987">
        <f>'5. PERSON'!L157/12</f>
        <v>0</v>
      </c>
      <c r="J168" s="987">
        <f>'5. PERSON'!M157/12</f>
        <v>0</v>
      </c>
      <c r="K168" s="987">
        <f>'5. PERSON'!N157/12</f>
        <v>0</v>
      </c>
      <c r="L168" s="987">
        <f>'5. PERSON'!O157/12</f>
        <v>0</v>
      </c>
      <c r="M168" s="987">
        <f>'5. PERSON'!P157/12</f>
        <v>0</v>
      </c>
      <c r="N168" s="987">
        <f t="shared" si="6"/>
        <v>0</v>
      </c>
    </row>
    <row r="169" spans="2:14" ht="13.5" customHeight="1" x14ac:dyDescent="0.2">
      <c r="B169" s="983" t="str">
        <f>IF('5. PERSON'!C158="","",'5. PERSON'!C158)</f>
        <v/>
      </c>
      <c r="C169" s="985">
        <f>IF('2. START'!$C$15="TSEK",('5. PERSON'!F158),('5. PERSON'!F158/1000))</f>
        <v>0</v>
      </c>
      <c r="D169" s="988">
        <f>'5. PERSON'!G158/12</f>
        <v>0</v>
      </c>
      <c r="E169" s="988">
        <f>'5. PERSON'!H158/12</f>
        <v>0</v>
      </c>
      <c r="F169" s="988">
        <f>'5. PERSON'!I158/12</f>
        <v>0</v>
      </c>
      <c r="G169" s="988">
        <f>'5. PERSON'!J158/12</f>
        <v>0</v>
      </c>
      <c r="H169" s="988">
        <f>'5. PERSON'!K158/12</f>
        <v>0</v>
      </c>
      <c r="I169" s="988">
        <f>'5. PERSON'!L158/12</f>
        <v>0</v>
      </c>
      <c r="J169" s="988">
        <f>'5. PERSON'!M158/12</f>
        <v>0</v>
      </c>
      <c r="K169" s="988">
        <f>'5. PERSON'!N158/12</f>
        <v>0</v>
      </c>
      <c r="L169" s="988">
        <f>'5. PERSON'!O158/12</f>
        <v>0</v>
      </c>
      <c r="M169" s="988">
        <f>'5. PERSON'!P158/12</f>
        <v>0</v>
      </c>
      <c r="N169" s="988">
        <f t="shared" si="6"/>
        <v>0</v>
      </c>
    </row>
    <row r="170" spans="2:14" ht="13.5" customHeight="1" x14ac:dyDescent="0.2">
      <c r="B170" s="961" t="str">
        <f>IF('5. PERSON'!C159="","",'5. PERSON'!C159)</f>
        <v/>
      </c>
      <c r="C170" s="984">
        <f>IF('2. START'!$C$15="TSEK",('5. PERSON'!F159),('5. PERSON'!F159/1000))</f>
        <v>0</v>
      </c>
      <c r="D170" s="987">
        <f>'5. PERSON'!G159/12</f>
        <v>0</v>
      </c>
      <c r="E170" s="987">
        <f>'5. PERSON'!H159/12</f>
        <v>0</v>
      </c>
      <c r="F170" s="987">
        <f>'5. PERSON'!I159/12</f>
        <v>0</v>
      </c>
      <c r="G170" s="987">
        <f>'5. PERSON'!J159/12</f>
        <v>0</v>
      </c>
      <c r="H170" s="987">
        <f>'5. PERSON'!K159/12</f>
        <v>0</v>
      </c>
      <c r="I170" s="987">
        <f>'5. PERSON'!L159/12</f>
        <v>0</v>
      </c>
      <c r="J170" s="987">
        <f>'5. PERSON'!M159/12</f>
        <v>0</v>
      </c>
      <c r="K170" s="987">
        <f>'5. PERSON'!N159/12</f>
        <v>0</v>
      </c>
      <c r="L170" s="987">
        <f>'5. PERSON'!O159/12</f>
        <v>0</v>
      </c>
      <c r="M170" s="987">
        <f>'5. PERSON'!P159/12</f>
        <v>0</v>
      </c>
      <c r="N170" s="987">
        <f t="shared" si="6"/>
        <v>0</v>
      </c>
    </row>
    <row r="171" spans="2:14" ht="13.5" customHeight="1" x14ac:dyDescent="0.2">
      <c r="B171" s="983" t="str">
        <f>IF('5. PERSON'!C160="","",'5. PERSON'!C160)</f>
        <v/>
      </c>
      <c r="C171" s="985">
        <f>IF('2. START'!$C$15="TSEK",('5. PERSON'!F160),('5. PERSON'!F160/1000))</f>
        <v>0</v>
      </c>
      <c r="D171" s="988">
        <f>'5. PERSON'!G160/12</f>
        <v>0</v>
      </c>
      <c r="E171" s="988">
        <f>'5. PERSON'!H160/12</f>
        <v>0</v>
      </c>
      <c r="F171" s="988">
        <f>'5. PERSON'!I160/12</f>
        <v>0</v>
      </c>
      <c r="G171" s="988">
        <f>'5. PERSON'!J160/12</f>
        <v>0</v>
      </c>
      <c r="H171" s="988">
        <f>'5. PERSON'!K160/12</f>
        <v>0</v>
      </c>
      <c r="I171" s="988">
        <f>'5. PERSON'!L160/12</f>
        <v>0</v>
      </c>
      <c r="J171" s="988">
        <f>'5. PERSON'!M160/12</f>
        <v>0</v>
      </c>
      <c r="K171" s="988">
        <f>'5. PERSON'!N160/12</f>
        <v>0</v>
      </c>
      <c r="L171" s="988">
        <f>'5. PERSON'!O160/12</f>
        <v>0</v>
      </c>
      <c r="M171" s="988">
        <f>'5. PERSON'!P160/12</f>
        <v>0</v>
      </c>
      <c r="N171" s="988">
        <f t="shared" si="6"/>
        <v>0</v>
      </c>
    </row>
    <row r="172" spans="2:14" ht="13.5" customHeight="1" x14ac:dyDescent="0.2">
      <c r="B172" s="961" t="str">
        <f>IF('5. PERSON'!C161="","",'5. PERSON'!C161)</f>
        <v/>
      </c>
      <c r="C172" s="984">
        <f>IF('2. START'!$C$15="TSEK",('5. PERSON'!F161),('5. PERSON'!F161/1000))</f>
        <v>0</v>
      </c>
      <c r="D172" s="987">
        <f>'5. PERSON'!G161/12</f>
        <v>0</v>
      </c>
      <c r="E172" s="987">
        <f>'5. PERSON'!H161/12</f>
        <v>0</v>
      </c>
      <c r="F172" s="987">
        <f>'5. PERSON'!I161/12</f>
        <v>0</v>
      </c>
      <c r="G172" s="987">
        <f>'5. PERSON'!J161/12</f>
        <v>0</v>
      </c>
      <c r="H172" s="987">
        <f>'5. PERSON'!K161/12</f>
        <v>0</v>
      </c>
      <c r="I172" s="987">
        <f>'5. PERSON'!L161/12</f>
        <v>0</v>
      </c>
      <c r="J172" s="987">
        <f>'5. PERSON'!M161/12</f>
        <v>0</v>
      </c>
      <c r="K172" s="987">
        <f>'5. PERSON'!N161/12</f>
        <v>0</v>
      </c>
      <c r="L172" s="987">
        <f>'5. PERSON'!O161/12</f>
        <v>0</v>
      </c>
      <c r="M172" s="987">
        <f>'5. PERSON'!P161/12</f>
        <v>0</v>
      </c>
      <c r="N172" s="987">
        <f t="shared" si="6"/>
        <v>0</v>
      </c>
    </row>
    <row r="173" spans="2:14" ht="13.5" customHeight="1" x14ac:dyDescent="0.2">
      <c r="B173" s="983" t="str">
        <f>IF('5. PERSON'!C162="","",'5. PERSON'!C162)</f>
        <v/>
      </c>
      <c r="C173" s="985">
        <f>IF('2. START'!$C$15="TSEK",('5. PERSON'!F162),('5. PERSON'!F162/1000))</f>
        <v>0</v>
      </c>
      <c r="D173" s="988">
        <f>'5. PERSON'!G162/12</f>
        <v>0</v>
      </c>
      <c r="E173" s="988">
        <f>'5. PERSON'!H162/12</f>
        <v>0</v>
      </c>
      <c r="F173" s="988">
        <f>'5. PERSON'!I162/12</f>
        <v>0</v>
      </c>
      <c r="G173" s="988">
        <f>'5. PERSON'!J162/12</f>
        <v>0</v>
      </c>
      <c r="H173" s="988">
        <f>'5. PERSON'!K162/12</f>
        <v>0</v>
      </c>
      <c r="I173" s="988">
        <f>'5. PERSON'!L162/12</f>
        <v>0</v>
      </c>
      <c r="J173" s="988">
        <f>'5. PERSON'!M162/12</f>
        <v>0</v>
      </c>
      <c r="K173" s="988">
        <f>'5. PERSON'!N162/12</f>
        <v>0</v>
      </c>
      <c r="L173" s="988">
        <f>'5. PERSON'!O162/12</f>
        <v>0</v>
      </c>
      <c r="M173" s="988">
        <f>'5. PERSON'!P162/12</f>
        <v>0</v>
      </c>
      <c r="N173" s="988">
        <f t="shared" si="6"/>
        <v>0</v>
      </c>
    </row>
    <row r="174" spans="2:14" ht="13.5" customHeight="1" x14ac:dyDescent="0.2">
      <c r="B174" s="961" t="str">
        <f>IF('5. PERSON'!C163="","",'5. PERSON'!C163)</f>
        <v/>
      </c>
      <c r="C174" s="984">
        <f>IF('2. START'!$C$15="TSEK",('5. PERSON'!F163),('5. PERSON'!F163/1000))</f>
        <v>0</v>
      </c>
      <c r="D174" s="987">
        <f>'5. PERSON'!G163/12</f>
        <v>0</v>
      </c>
      <c r="E174" s="987">
        <f>'5. PERSON'!H163/12</f>
        <v>0</v>
      </c>
      <c r="F174" s="987">
        <f>'5. PERSON'!I163/12</f>
        <v>0</v>
      </c>
      <c r="G174" s="987">
        <f>'5. PERSON'!J163/12</f>
        <v>0</v>
      </c>
      <c r="H174" s="987">
        <f>'5. PERSON'!K163/12</f>
        <v>0</v>
      </c>
      <c r="I174" s="987">
        <f>'5. PERSON'!L163/12</f>
        <v>0</v>
      </c>
      <c r="J174" s="987">
        <f>'5. PERSON'!M163/12</f>
        <v>0</v>
      </c>
      <c r="K174" s="987">
        <f>'5. PERSON'!N163/12</f>
        <v>0</v>
      </c>
      <c r="L174" s="987">
        <f>'5. PERSON'!O163/12</f>
        <v>0</v>
      </c>
      <c r="M174" s="987">
        <f>'5. PERSON'!P163/12</f>
        <v>0</v>
      </c>
      <c r="N174" s="987">
        <f t="shared" si="6"/>
        <v>0</v>
      </c>
    </row>
    <row r="175" spans="2:14" ht="13.5" customHeight="1" x14ac:dyDescent="0.2">
      <c r="B175" s="983" t="str">
        <f>IF('5. PERSON'!C164="","",'5. PERSON'!C164)</f>
        <v/>
      </c>
      <c r="C175" s="985">
        <f>IF('2. START'!$C$15="TSEK",('5. PERSON'!F164),('5. PERSON'!F164/1000))</f>
        <v>0</v>
      </c>
      <c r="D175" s="988">
        <f>'5. PERSON'!G164/12</f>
        <v>0</v>
      </c>
      <c r="E175" s="988">
        <f>'5. PERSON'!H164/12</f>
        <v>0</v>
      </c>
      <c r="F175" s="988">
        <f>'5. PERSON'!I164/12</f>
        <v>0</v>
      </c>
      <c r="G175" s="988">
        <f>'5. PERSON'!J164/12</f>
        <v>0</v>
      </c>
      <c r="H175" s="988">
        <f>'5. PERSON'!K164/12</f>
        <v>0</v>
      </c>
      <c r="I175" s="988">
        <f>'5. PERSON'!L164/12</f>
        <v>0</v>
      </c>
      <c r="J175" s="988">
        <f>'5. PERSON'!M164/12</f>
        <v>0</v>
      </c>
      <c r="K175" s="988">
        <f>'5. PERSON'!N164/12</f>
        <v>0</v>
      </c>
      <c r="L175" s="988">
        <f>'5. PERSON'!O164/12</f>
        <v>0</v>
      </c>
      <c r="M175" s="988">
        <f>'5. PERSON'!P164/12</f>
        <v>0</v>
      </c>
      <c r="N175" s="988">
        <f t="shared" si="6"/>
        <v>0</v>
      </c>
    </row>
    <row r="176" spans="2:14" ht="13.5" customHeight="1" x14ac:dyDescent="0.2">
      <c r="B176" s="961" t="str">
        <f>IF('5. PERSON'!C165="","",'5. PERSON'!C165)</f>
        <v/>
      </c>
      <c r="C176" s="984">
        <f>IF('2. START'!$C$15="TSEK",('5. PERSON'!F165),('5. PERSON'!F165/1000))</f>
        <v>0</v>
      </c>
      <c r="D176" s="987">
        <f>'5. PERSON'!G165/12</f>
        <v>0</v>
      </c>
      <c r="E176" s="987">
        <f>'5. PERSON'!H165/12</f>
        <v>0</v>
      </c>
      <c r="F176" s="987">
        <f>'5. PERSON'!I165/12</f>
        <v>0</v>
      </c>
      <c r="G176" s="987">
        <f>'5. PERSON'!J165/12</f>
        <v>0</v>
      </c>
      <c r="H176" s="987">
        <f>'5. PERSON'!K165/12</f>
        <v>0</v>
      </c>
      <c r="I176" s="987">
        <f>'5. PERSON'!L165/12</f>
        <v>0</v>
      </c>
      <c r="J176" s="987">
        <f>'5. PERSON'!M165/12</f>
        <v>0</v>
      </c>
      <c r="K176" s="987">
        <f>'5. PERSON'!N165/12</f>
        <v>0</v>
      </c>
      <c r="L176" s="987">
        <f>'5. PERSON'!O165/12</f>
        <v>0</v>
      </c>
      <c r="M176" s="987">
        <f>'5. PERSON'!P165/12</f>
        <v>0</v>
      </c>
      <c r="N176" s="987">
        <f t="shared" si="6"/>
        <v>0</v>
      </c>
    </row>
    <row r="177" spans="2:14" ht="13.5" customHeight="1" x14ac:dyDescent="0.2">
      <c r="B177" s="983" t="str">
        <f>IF('5. PERSON'!C166="","",'5. PERSON'!C166)</f>
        <v/>
      </c>
      <c r="C177" s="985">
        <f>IF('2. START'!$C$15="TSEK",('5. PERSON'!F166),('5. PERSON'!F166/1000))</f>
        <v>0</v>
      </c>
      <c r="D177" s="988">
        <f>'5. PERSON'!G166/12</f>
        <v>0</v>
      </c>
      <c r="E177" s="988">
        <f>'5. PERSON'!H166/12</f>
        <v>0</v>
      </c>
      <c r="F177" s="988">
        <f>'5. PERSON'!I166/12</f>
        <v>0</v>
      </c>
      <c r="G177" s="988">
        <f>'5. PERSON'!J166/12</f>
        <v>0</v>
      </c>
      <c r="H177" s="988">
        <f>'5. PERSON'!K166/12</f>
        <v>0</v>
      </c>
      <c r="I177" s="988">
        <f>'5. PERSON'!L166/12</f>
        <v>0</v>
      </c>
      <c r="J177" s="988">
        <f>'5. PERSON'!M166/12</f>
        <v>0</v>
      </c>
      <c r="K177" s="988">
        <f>'5. PERSON'!N166/12</f>
        <v>0</v>
      </c>
      <c r="L177" s="988">
        <f>'5. PERSON'!O166/12</f>
        <v>0</v>
      </c>
      <c r="M177" s="988">
        <f>'5. PERSON'!P166/12</f>
        <v>0</v>
      </c>
      <c r="N177" s="988">
        <f t="shared" si="6"/>
        <v>0</v>
      </c>
    </row>
    <row r="178" spans="2:14" ht="13.5" customHeight="1" x14ac:dyDescent="0.2">
      <c r="B178" s="961" t="str">
        <f>IF('5. PERSON'!C167="","",'5. PERSON'!C167)</f>
        <v/>
      </c>
      <c r="C178" s="984">
        <f>IF('2. START'!$C$15="TSEK",('5. PERSON'!F167),('5. PERSON'!F167/1000))</f>
        <v>0</v>
      </c>
      <c r="D178" s="987">
        <f>'5. PERSON'!G167/12</f>
        <v>0</v>
      </c>
      <c r="E178" s="987">
        <f>'5. PERSON'!H167/12</f>
        <v>0</v>
      </c>
      <c r="F178" s="987">
        <f>'5. PERSON'!I167/12</f>
        <v>0</v>
      </c>
      <c r="G178" s="987">
        <f>'5. PERSON'!J167/12</f>
        <v>0</v>
      </c>
      <c r="H178" s="987">
        <f>'5. PERSON'!K167/12</f>
        <v>0</v>
      </c>
      <c r="I178" s="987">
        <f>'5. PERSON'!L167/12</f>
        <v>0</v>
      </c>
      <c r="J178" s="987">
        <f>'5. PERSON'!M167/12</f>
        <v>0</v>
      </c>
      <c r="K178" s="987">
        <f>'5. PERSON'!N167/12</f>
        <v>0</v>
      </c>
      <c r="L178" s="987">
        <f>'5. PERSON'!O167/12</f>
        <v>0</v>
      </c>
      <c r="M178" s="987">
        <f>'5. PERSON'!P167/12</f>
        <v>0</v>
      </c>
      <c r="N178" s="987">
        <f t="shared" si="6"/>
        <v>0</v>
      </c>
    </row>
    <row r="179" spans="2:14" ht="13.5" customHeight="1" x14ac:dyDescent="0.2">
      <c r="B179" s="983" t="str">
        <f>IF('5. PERSON'!C168="","",'5. PERSON'!C168)</f>
        <v/>
      </c>
      <c r="C179" s="985">
        <f>IF('2. START'!$C$15="TSEK",('5. PERSON'!F168),('5. PERSON'!F168/1000))</f>
        <v>0</v>
      </c>
      <c r="D179" s="988">
        <f>'5. PERSON'!G168/12</f>
        <v>0</v>
      </c>
      <c r="E179" s="988">
        <f>'5. PERSON'!H168/12</f>
        <v>0</v>
      </c>
      <c r="F179" s="988">
        <f>'5. PERSON'!I168/12</f>
        <v>0</v>
      </c>
      <c r="G179" s="988">
        <f>'5. PERSON'!J168/12</f>
        <v>0</v>
      </c>
      <c r="H179" s="988">
        <f>'5. PERSON'!K168/12</f>
        <v>0</v>
      </c>
      <c r="I179" s="988">
        <f>'5. PERSON'!L168/12</f>
        <v>0</v>
      </c>
      <c r="J179" s="988">
        <f>'5. PERSON'!M168/12</f>
        <v>0</v>
      </c>
      <c r="K179" s="988">
        <f>'5. PERSON'!N168/12</f>
        <v>0</v>
      </c>
      <c r="L179" s="988">
        <f>'5. PERSON'!O168/12</f>
        <v>0</v>
      </c>
      <c r="M179" s="988">
        <f>'5. PERSON'!P168/12</f>
        <v>0</v>
      </c>
      <c r="N179" s="988">
        <f t="shared" si="6"/>
        <v>0</v>
      </c>
    </row>
    <row r="180" spans="2:14" ht="13.5" customHeight="1" x14ac:dyDescent="0.2">
      <c r="B180" s="961" t="str">
        <f>IF('5. PERSON'!C169="","",'5. PERSON'!C169)</f>
        <v/>
      </c>
      <c r="C180" s="984">
        <f>IF('2. START'!$C$15="TSEK",('5. PERSON'!F169),('5. PERSON'!F169/1000))</f>
        <v>0</v>
      </c>
      <c r="D180" s="987">
        <f>'5. PERSON'!G169/12</f>
        <v>0</v>
      </c>
      <c r="E180" s="987">
        <f>'5. PERSON'!H169/12</f>
        <v>0</v>
      </c>
      <c r="F180" s="987">
        <f>'5. PERSON'!I169/12</f>
        <v>0</v>
      </c>
      <c r="G180" s="987">
        <f>'5. PERSON'!J169/12</f>
        <v>0</v>
      </c>
      <c r="H180" s="987">
        <f>'5. PERSON'!K169/12</f>
        <v>0</v>
      </c>
      <c r="I180" s="987">
        <f>'5. PERSON'!L169/12</f>
        <v>0</v>
      </c>
      <c r="J180" s="987">
        <f>'5. PERSON'!M169/12</f>
        <v>0</v>
      </c>
      <c r="K180" s="987">
        <f>'5. PERSON'!N169/12</f>
        <v>0</v>
      </c>
      <c r="L180" s="987">
        <f>'5. PERSON'!O169/12</f>
        <v>0</v>
      </c>
      <c r="M180" s="987">
        <f>'5. PERSON'!P169/12</f>
        <v>0</v>
      </c>
      <c r="N180" s="987">
        <f t="shared" si="6"/>
        <v>0</v>
      </c>
    </row>
    <row r="181" spans="2:14" ht="13.5" customHeight="1" x14ac:dyDescent="0.2">
      <c r="B181" s="983" t="str">
        <f>IF('5. PERSON'!C170="","",'5. PERSON'!C170)</f>
        <v/>
      </c>
      <c r="C181" s="985">
        <f>IF('2. START'!$C$15="TSEK",('5. PERSON'!F170),('5. PERSON'!F170/1000))</f>
        <v>0</v>
      </c>
      <c r="D181" s="988">
        <f>'5. PERSON'!G170/12</f>
        <v>0</v>
      </c>
      <c r="E181" s="988">
        <f>'5. PERSON'!H170/12</f>
        <v>0</v>
      </c>
      <c r="F181" s="988">
        <f>'5. PERSON'!I170/12</f>
        <v>0</v>
      </c>
      <c r="G181" s="988">
        <f>'5. PERSON'!J170/12</f>
        <v>0</v>
      </c>
      <c r="H181" s="988">
        <f>'5. PERSON'!K170/12</f>
        <v>0</v>
      </c>
      <c r="I181" s="988">
        <f>'5. PERSON'!L170/12</f>
        <v>0</v>
      </c>
      <c r="J181" s="988">
        <f>'5. PERSON'!M170/12</f>
        <v>0</v>
      </c>
      <c r="K181" s="988">
        <f>'5. PERSON'!N170/12</f>
        <v>0</v>
      </c>
      <c r="L181" s="988">
        <f>'5. PERSON'!O170/12</f>
        <v>0</v>
      </c>
      <c r="M181" s="988">
        <f>'5. PERSON'!P170/12</f>
        <v>0</v>
      </c>
      <c r="N181" s="988">
        <f t="shared" si="6"/>
        <v>0</v>
      </c>
    </row>
    <row r="182" spans="2:14" ht="13.5" customHeight="1" x14ac:dyDescent="0.2">
      <c r="B182" s="961" t="str">
        <f>IF('5. PERSON'!C171="","",'5. PERSON'!C171)</f>
        <v/>
      </c>
      <c r="C182" s="984">
        <f>IF('2. START'!$C$15="TSEK",('5. PERSON'!F171),('5. PERSON'!F171/1000))</f>
        <v>0</v>
      </c>
      <c r="D182" s="987">
        <f>'5. PERSON'!G171/12</f>
        <v>0</v>
      </c>
      <c r="E182" s="987">
        <f>'5. PERSON'!H171/12</f>
        <v>0</v>
      </c>
      <c r="F182" s="987">
        <f>'5. PERSON'!I171/12</f>
        <v>0</v>
      </c>
      <c r="G182" s="987">
        <f>'5. PERSON'!J171/12</f>
        <v>0</v>
      </c>
      <c r="H182" s="987">
        <f>'5. PERSON'!K171/12</f>
        <v>0</v>
      </c>
      <c r="I182" s="987">
        <f>'5. PERSON'!L171/12</f>
        <v>0</v>
      </c>
      <c r="J182" s="987">
        <f>'5. PERSON'!M171/12</f>
        <v>0</v>
      </c>
      <c r="K182" s="987">
        <f>'5. PERSON'!N171/12</f>
        <v>0</v>
      </c>
      <c r="L182" s="987">
        <f>'5. PERSON'!O171/12</f>
        <v>0</v>
      </c>
      <c r="M182" s="987">
        <f>'5. PERSON'!P171/12</f>
        <v>0</v>
      </c>
      <c r="N182" s="987">
        <f t="shared" si="6"/>
        <v>0</v>
      </c>
    </row>
    <row r="183" spans="2:14" ht="13.5" customHeight="1" x14ac:dyDescent="0.2">
      <c r="B183" s="983" t="str">
        <f>IF('5. PERSON'!C172="","",'5. PERSON'!C172)</f>
        <v/>
      </c>
      <c r="C183" s="985">
        <f>IF('2. START'!$C$15="TSEK",('5. PERSON'!F172),('5. PERSON'!F172/1000))</f>
        <v>0</v>
      </c>
      <c r="D183" s="988">
        <f>'5. PERSON'!G172/12</f>
        <v>0</v>
      </c>
      <c r="E183" s="988">
        <f>'5. PERSON'!H172/12</f>
        <v>0</v>
      </c>
      <c r="F183" s="988">
        <f>'5. PERSON'!I172/12</f>
        <v>0</v>
      </c>
      <c r="G183" s="988">
        <f>'5. PERSON'!J172/12</f>
        <v>0</v>
      </c>
      <c r="H183" s="988">
        <f>'5. PERSON'!K172/12</f>
        <v>0</v>
      </c>
      <c r="I183" s="988">
        <f>'5. PERSON'!L172/12</f>
        <v>0</v>
      </c>
      <c r="J183" s="988">
        <f>'5. PERSON'!M172/12</f>
        <v>0</v>
      </c>
      <c r="K183" s="988">
        <f>'5. PERSON'!N172/12</f>
        <v>0</v>
      </c>
      <c r="L183" s="988">
        <f>'5. PERSON'!O172/12</f>
        <v>0</v>
      </c>
      <c r="M183" s="988">
        <f>'5. PERSON'!P172/12</f>
        <v>0</v>
      </c>
      <c r="N183" s="988">
        <f t="shared" si="6"/>
        <v>0</v>
      </c>
    </row>
    <row r="184" spans="2:14" ht="13.5" customHeight="1" x14ac:dyDescent="0.2">
      <c r="B184" s="961" t="str">
        <f>IF('5. PERSON'!C173="","",'5. PERSON'!C173)</f>
        <v/>
      </c>
      <c r="C184" s="984">
        <f>IF('2. START'!$C$15="TSEK",('5. PERSON'!F173),('5. PERSON'!F173/1000))</f>
        <v>0</v>
      </c>
      <c r="D184" s="987">
        <f>'5. PERSON'!G173/12</f>
        <v>0</v>
      </c>
      <c r="E184" s="987">
        <f>'5. PERSON'!H173/12</f>
        <v>0</v>
      </c>
      <c r="F184" s="987">
        <f>'5. PERSON'!I173/12</f>
        <v>0</v>
      </c>
      <c r="G184" s="987">
        <f>'5. PERSON'!J173/12</f>
        <v>0</v>
      </c>
      <c r="H184" s="987">
        <f>'5. PERSON'!K173/12</f>
        <v>0</v>
      </c>
      <c r="I184" s="987">
        <f>'5. PERSON'!L173/12</f>
        <v>0</v>
      </c>
      <c r="J184" s="987">
        <f>'5. PERSON'!M173/12</f>
        <v>0</v>
      </c>
      <c r="K184" s="987">
        <f>'5. PERSON'!N173/12</f>
        <v>0</v>
      </c>
      <c r="L184" s="987">
        <f>'5. PERSON'!O173/12</f>
        <v>0</v>
      </c>
      <c r="M184" s="987">
        <f>'5. PERSON'!P173/12</f>
        <v>0</v>
      </c>
      <c r="N184" s="987">
        <f t="shared" si="6"/>
        <v>0</v>
      </c>
    </row>
    <row r="185" spans="2:14" ht="13.5" customHeight="1" x14ac:dyDescent="0.2">
      <c r="B185" s="983" t="str">
        <f>IF('5. PERSON'!C174="","",'5. PERSON'!C174)</f>
        <v/>
      </c>
      <c r="C185" s="985">
        <f>IF('2. START'!$C$15="TSEK",('5. PERSON'!F174),('5. PERSON'!F174/1000))</f>
        <v>0</v>
      </c>
      <c r="D185" s="988">
        <f>'5. PERSON'!G174/12</f>
        <v>0</v>
      </c>
      <c r="E185" s="988">
        <f>'5. PERSON'!H174/12</f>
        <v>0</v>
      </c>
      <c r="F185" s="988">
        <f>'5. PERSON'!I174/12</f>
        <v>0</v>
      </c>
      <c r="G185" s="988">
        <f>'5. PERSON'!J174/12</f>
        <v>0</v>
      </c>
      <c r="H185" s="988">
        <f>'5. PERSON'!K174/12</f>
        <v>0</v>
      </c>
      <c r="I185" s="988">
        <f>'5. PERSON'!L174/12</f>
        <v>0</v>
      </c>
      <c r="J185" s="988">
        <f>'5. PERSON'!M174/12</f>
        <v>0</v>
      </c>
      <c r="K185" s="988">
        <f>'5. PERSON'!N174/12</f>
        <v>0</v>
      </c>
      <c r="L185" s="988">
        <f>'5. PERSON'!O174/12</f>
        <v>0</v>
      </c>
      <c r="M185" s="988">
        <f>'5. PERSON'!P174/12</f>
        <v>0</v>
      </c>
      <c r="N185" s="988">
        <f t="shared" si="6"/>
        <v>0</v>
      </c>
    </row>
    <row r="186" spans="2:14" ht="13.5" customHeight="1" x14ac:dyDescent="0.2">
      <c r="B186" s="961" t="str">
        <f>IF('5. PERSON'!C175="","",'5. PERSON'!C175)</f>
        <v/>
      </c>
      <c r="C186" s="984">
        <f>IF('2. START'!$C$15="TSEK",('5. PERSON'!F175),('5. PERSON'!F175/1000))</f>
        <v>0</v>
      </c>
      <c r="D186" s="987">
        <f>'5. PERSON'!G175/12</f>
        <v>0</v>
      </c>
      <c r="E186" s="987">
        <f>'5. PERSON'!H175/12</f>
        <v>0</v>
      </c>
      <c r="F186" s="987">
        <f>'5. PERSON'!I175/12</f>
        <v>0</v>
      </c>
      <c r="G186" s="987">
        <f>'5. PERSON'!J175/12</f>
        <v>0</v>
      </c>
      <c r="H186" s="987">
        <f>'5. PERSON'!K175/12</f>
        <v>0</v>
      </c>
      <c r="I186" s="987">
        <f>'5. PERSON'!L175/12</f>
        <v>0</v>
      </c>
      <c r="J186" s="987">
        <f>'5. PERSON'!M175/12</f>
        <v>0</v>
      </c>
      <c r="K186" s="987">
        <f>'5. PERSON'!N175/12</f>
        <v>0</v>
      </c>
      <c r="L186" s="987">
        <f>'5. PERSON'!O175/12</f>
        <v>0</v>
      </c>
      <c r="M186" s="987">
        <f>'5. PERSON'!P175/12</f>
        <v>0</v>
      </c>
      <c r="N186" s="987">
        <f t="shared" si="6"/>
        <v>0</v>
      </c>
    </row>
    <row r="187" spans="2:14" ht="13.5" customHeight="1" x14ac:dyDescent="0.2">
      <c r="B187" s="983" t="str">
        <f>IF('5. PERSON'!C176="","",'5. PERSON'!C176)</f>
        <v/>
      </c>
      <c r="C187" s="985">
        <f>IF('2. START'!$C$15="TSEK",('5. PERSON'!F176),('5. PERSON'!F176/1000))</f>
        <v>0</v>
      </c>
      <c r="D187" s="988">
        <f>'5. PERSON'!G176/12</f>
        <v>0</v>
      </c>
      <c r="E187" s="988">
        <f>'5. PERSON'!H176/12</f>
        <v>0</v>
      </c>
      <c r="F187" s="988">
        <f>'5. PERSON'!I176/12</f>
        <v>0</v>
      </c>
      <c r="G187" s="988">
        <f>'5. PERSON'!J176/12</f>
        <v>0</v>
      </c>
      <c r="H187" s="988">
        <f>'5. PERSON'!K176/12</f>
        <v>0</v>
      </c>
      <c r="I187" s="988">
        <f>'5. PERSON'!L176/12</f>
        <v>0</v>
      </c>
      <c r="J187" s="988">
        <f>'5. PERSON'!M176/12</f>
        <v>0</v>
      </c>
      <c r="K187" s="988">
        <f>'5. PERSON'!N176/12</f>
        <v>0</v>
      </c>
      <c r="L187" s="988">
        <f>'5. PERSON'!O176/12</f>
        <v>0</v>
      </c>
      <c r="M187" s="988">
        <f>'5. PERSON'!P176/12</f>
        <v>0</v>
      </c>
      <c r="N187" s="988">
        <f t="shared" si="6"/>
        <v>0</v>
      </c>
    </row>
    <row r="188" spans="2:14" ht="13.5" customHeight="1" x14ac:dyDescent="0.2">
      <c r="B188" s="961" t="str">
        <f>IF('5. PERSON'!C177="","",'5. PERSON'!C177)</f>
        <v/>
      </c>
      <c r="C188" s="984">
        <f>IF('2. START'!$C$15="TSEK",('5. PERSON'!F177),('5. PERSON'!F177/1000))</f>
        <v>0</v>
      </c>
      <c r="D188" s="987">
        <f>'5. PERSON'!G177/12</f>
        <v>0</v>
      </c>
      <c r="E188" s="987">
        <f>'5. PERSON'!H177/12</f>
        <v>0</v>
      </c>
      <c r="F188" s="987">
        <f>'5. PERSON'!I177/12</f>
        <v>0</v>
      </c>
      <c r="G188" s="987">
        <f>'5. PERSON'!J177/12</f>
        <v>0</v>
      </c>
      <c r="H188" s="987">
        <f>'5. PERSON'!K177/12</f>
        <v>0</v>
      </c>
      <c r="I188" s="987">
        <f>'5. PERSON'!L177/12</f>
        <v>0</v>
      </c>
      <c r="J188" s="987">
        <f>'5. PERSON'!M177/12</f>
        <v>0</v>
      </c>
      <c r="K188" s="987">
        <f>'5. PERSON'!N177/12</f>
        <v>0</v>
      </c>
      <c r="L188" s="987">
        <f>'5. PERSON'!O177/12</f>
        <v>0</v>
      </c>
      <c r="M188" s="987">
        <f>'5. PERSON'!P177/12</f>
        <v>0</v>
      </c>
      <c r="N188" s="987">
        <f t="shared" si="6"/>
        <v>0</v>
      </c>
    </row>
    <row r="189" spans="2:14" ht="13.5" customHeight="1" x14ac:dyDescent="0.2">
      <c r="B189" s="983" t="str">
        <f>IF('5. PERSON'!C178="","",'5. PERSON'!C178)</f>
        <v/>
      </c>
      <c r="C189" s="985">
        <f>IF('2. START'!$C$15="TSEK",('5. PERSON'!F178),('5. PERSON'!F178/1000))</f>
        <v>0</v>
      </c>
      <c r="D189" s="988">
        <f>'5. PERSON'!G178/12</f>
        <v>0</v>
      </c>
      <c r="E189" s="988">
        <f>'5. PERSON'!H178/12</f>
        <v>0</v>
      </c>
      <c r="F189" s="988">
        <f>'5. PERSON'!I178/12</f>
        <v>0</v>
      </c>
      <c r="G189" s="988">
        <f>'5. PERSON'!J178/12</f>
        <v>0</v>
      </c>
      <c r="H189" s="988">
        <f>'5. PERSON'!K178/12</f>
        <v>0</v>
      </c>
      <c r="I189" s="988">
        <f>'5. PERSON'!L178/12</f>
        <v>0</v>
      </c>
      <c r="J189" s="988">
        <f>'5. PERSON'!M178/12</f>
        <v>0</v>
      </c>
      <c r="K189" s="988">
        <f>'5. PERSON'!N178/12</f>
        <v>0</v>
      </c>
      <c r="L189" s="988">
        <f>'5. PERSON'!O178/12</f>
        <v>0</v>
      </c>
      <c r="M189" s="988">
        <f>'5. PERSON'!P178/12</f>
        <v>0</v>
      </c>
      <c r="N189" s="988">
        <f t="shared" si="6"/>
        <v>0</v>
      </c>
    </row>
    <row r="190" spans="2:14" ht="13.5" customHeight="1" x14ac:dyDescent="0.2">
      <c r="B190" s="961" t="str">
        <f>IF('5. PERSON'!C179="","",'5. PERSON'!C179)</f>
        <v/>
      </c>
      <c r="C190" s="984">
        <f>IF('2. START'!$C$15="TSEK",('5. PERSON'!F179),('5. PERSON'!F179/1000))</f>
        <v>0</v>
      </c>
      <c r="D190" s="987">
        <f>'5. PERSON'!G179/12</f>
        <v>0</v>
      </c>
      <c r="E190" s="987">
        <f>'5. PERSON'!H179/12</f>
        <v>0</v>
      </c>
      <c r="F190" s="987">
        <f>'5. PERSON'!I179/12</f>
        <v>0</v>
      </c>
      <c r="G190" s="987">
        <f>'5. PERSON'!J179/12</f>
        <v>0</v>
      </c>
      <c r="H190" s="987">
        <f>'5. PERSON'!K179/12</f>
        <v>0</v>
      </c>
      <c r="I190" s="987">
        <f>'5. PERSON'!L179/12</f>
        <v>0</v>
      </c>
      <c r="J190" s="987">
        <f>'5. PERSON'!M179/12</f>
        <v>0</v>
      </c>
      <c r="K190" s="987">
        <f>'5. PERSON'!N179/12</f>
        <v>0</v>
      </c>
      <c r="L190" s="987">
        <f>'5. PERSON'!O179/12</f>
        <v>0</v>
      </c>
      <c r="M190" s="987">
        <f>'5. PERSON'!P179/12</f>
        <v>0</v>
      </c>
      <c r="N190" s="987">
        <f t="shared" si="6"/>
        <v>0</v>
      </c>
    </row>
    <row r="191" spans="2:14" ht="13.5" customHeight="1" x14ac:dyDescent="0.2">
      <c r="B191" s="983" t="str">
        <f>IF('5. PERSON'!C180="","",'5. PERSON'!C180)</f>
        <v/>
      </c>
      <c r="C191" s="985">
        <f>IF('2. START'!$C$15="TSEK",('5. PERSON'!F180),('5. PERSON'!F180/1000))</f>
        <v>0</v>
      </c>
      <c r="D191" s="988">
        <f>'5. PERSON'!G180/12</f>
        <v>0</v>
      </c>
      <c r="E191" s="988">
        <f>'5. PERSON'!H180/12</f>
        <v>0</v>
      </c>
      <c r="F191" s="988">
        <f>'5. PERSON'!I180/12</f>
        <v>0</v>
      </c>
      <c r="G191" s="988">
        <f>'5. PERSON'!J180/12</f>
        <v>0</v>
      </c>
      <c r="H191" s="988">
        <f>'5. PERSON'!K180/12</f>
        <v>0</v>
      </c>
      <c r="I191" s="988">
        <f>'5. PERSON'!L180/12</f>
        <v>0</v>
      </c>
      <c r="J191" s="988">
        <f>'5. PERSON'!M180/12</f>
        <v>0</v>
      </c>
      <c r="K191" s="988">
        <f>'5. PERSON'!N180/12</f>
        <v>0</v>
      </c>
      <c r="L191" s="988">
        <f>'5. PERSON'!O180/12</f>
        <v>0</v>
      </c>
      <c r="M191" s="988">
        <f>'5. PERSON'!P180/12</f>
        <v>0</v>
      </c>
      <c r="N191" s="988">
        <f t="shared" si="6"/>
        <v>0</v>
      </c>
    </row>
    <row r="192" spans="2:14" ht="13.5" customHeight="1" x14ac:dyDescent="0.2">
      <c r="B192" s="961" t="str">
        <f>IF('5. PERSON'!C181="","",'5. PERSON'!C181)</f>
        <v/>
      </c>
      <c r="C192" s="984">
        <f>IF('2. START'!$C$15="TSEK",('5. PERSON'!F181),('5. PERSON'!F181/1000))</f>
        <v>0</v>
      </c>
      <c r="D192" s="987">
        <f>'5. PERSON'!G181/12</f>
        <v>0</v>
      </c>
      <c r="E192" s="987">
        <f>'5. PERSON'!H181/12</f>
        <v>0</v>
      </c>
      <c r="F192" s="987">
        <f>'5. PERSON'!I181/12</f>
        <v>0</v>
      </c>
      <c r="G192" s="987">
        <f>'5. PERSON'!J181/12</f>
        <v>0</v>
      </c>
      <c r="H192" s="987">
        <f>'5. PERSON'!K181/12</f>
        <v>0</v>
      </c>
      <c r="I192" s="987">
        <f>'5. PERSON'!L181/12</f>
        <v>0</v>
      </c>
      <c r="J192" s="987">
        <f>'5. PERSON'!M181/12</f>
        <v>0</v>
      </c>
      <c r="K192" s="987">
        <f>'5. PERSON'!N181/12</f>
        <v>0</v>
      </c>
      <c r="L192" s="987">
        <f>'5. PERSON'!O181/12</f>
        <v>0</v>
      </c>
      <c r="M192" s="987">
        <f>'5. PERSON'!P181/12</f>
        <v>0</v>
      </c>
      <c r="N192" s="987">
        <f t="shared" si="6"/>
        <v>0</v>
      </c>
    </row>
    <row r="193" spans="2:14" ht="13.5" customHeight="1" x14ac:dyDescent="0.2">
      <c r="B193" s="983" t="str">
        <f>IF('5. PERSON'!C182="","",'5. PERSON'!C182)</f>
        <v/>
      </c>
      <c r="C193" s="985">
        <f>IF('2. START'!$C$15="TSEK",('5. PERSON'!F182),('5. PERSON'!F182/1000))</f>
        <v>0</v>
      </c>
      <c r="D193" s="988">
        <f>'5. PERSON'!G182/12</f>
        <v>0</v>
      </c>
      <c r="E193" s="988">
        <f>'5. PERSON'!H182/12</f>
        <v>0</v>
      </c>
      <c r="F193" s="988">
        <f>'5. PERSON'!I182/12</f>
        <v>0</v>
      </c>
      <c r="G193" s="988">
        <f>'5. PERSON'!J182/12</f>
        <v>0</v>
      </c>
      <c r="H193" s="988">
        <f>'5. PERSON'!K182/12</f>
        <v>0</v>
      </c>
      <c r="I193" s="988">
        <f>'5. PERSON'!L182/12</f>
        <v>0</v>
      </c>
      <c r="J193" s="988">
        <f>'5. PERSON'!M182/12</f>
        <v>0</v>
      </c>
      <c r="K193" s="988">
        <f>'5. PERSON'!N182/12</f>
        <v>0</v>
      </c>
      <c r="L193" s="988">
        <f>'5. PERSON'!O182/12</f>
        <v>0</v>
      </c>
      <c r="M193" s="988">
        <f>'5. PERSON'!P182/12</f>
        <v>0</v>
      </c>
      <c r="N193" s="988">
        <f t="shared" si="6"/>
        <v>0</v>
      </c>
    </row>
    <row r="194" spans="2:14" ht="13.5" customHeight="1" x14ac:dyDescent="0.2">
      <c r="B194" s="961" t="str">
        <f>IF('5. PERSON'!C183="","",'5. PERSON'!C183)</f>
        <v/>
      </c>
      <c r="C194" s="984">
        <f>IF('2. START'!$C$15="TSEK",('5. PERSON'!F183),('5. PERSON'!F183/1000))</f>
        <v>0</v>
      </c>
      <c r="D194" s="987">
        <f>'5. PERSON'!G183/12</f>
        <v>0</v>
      </c>
      <c r="E194" s="987">
        <f>'5. PERSON'!H183/12</f>
        <v>0</v>
      </c>
      <c r="F194" s="987">
        <f>'5. PERSON'!I183/12</f>
        <v>0</v>
      </c>
      <c r="G194" s="987">
        <f>'5. PERSON'!J183/12</f>
        <v>0</v>
      </c>
      <c r="H194" s="987">
        <f>'5. PERSON'!K183/12</f>
        <v>0</v>
      </c>
      <c r="I194" s="987">
        <f>'5. PERSON'!L183/12</f>
        <v>0</v>
      </c>
      <c r="J194" s="987">
        <f>'5. PERSON'!M183/12</f>
        <v>0</v>
      </c>
      <c r="K194" s="987">
        <f>'5. PERSON'!N183/12</f>
        <v>0</v>
      </c>
      <c r="L194" s="987">
        <f>'5. PERSON'!O183/12</f>
        <v>0</v>
      </c>
      <c r="M194" s="987">
        <f>'5. PERSON'!P183/12</f>
        <v>0</v>
      </c>
      <c r="N194" s="987">
        <f t="shared" si="6"/>
        <v>0</v>
      </c>
    </row>
    <row r="195" spans="2:14" ht="13.5" customHeight="1" x14ac:dyDescent="0.2">
      <c r="B195" s="983" t="str">
        <f>IF('5. PERSON'!C184="","",'5. PERSON'!C184)</f>
        <v/>
      </c>
      <c r="C195" s="985">
        <f>IF('2. START'!$C$15="TSEK",('5. PERSON'!F184),('5. PERSON'!F184/1000))</f>
        <v>0</v>
      </c>
      <c r="D195" s="988">
        <f>'5. PERSON'!G184/12</f>
        <v>0</v>
      </c>
      <c r="E195" s="988">
        <f>'5. PERSON'!H184/12</f>
        <v>0</v>
      </c>
      <c r="F195" s="988">
        <f>'5. PERSON'!I184/12</f>
        <v>0</v>
      </c>
      <c r="G195" s="988">
        <f>'5. PERSON'!J184/12</f>
        <v>0</v>
      </c>
      <c r="H195" s="988">
        <f>'5. PERSON'!K184/12</f>
        <v>0</v>
      </c>
      <c r="I195" s="988">
        <f>'5. PERSON'!L184/12</f>
        <v>0</v>
      </c>
      <c r="J195" s="988">
        <f>'5. PERSON'!M184/12</f>
        <v>0</v>
      </c>
      <c r="K195" s="988">
        <f>'5. PERSON'!N184/12</f>
        <v>0</v>
      </c>
      <c r="L195" s="988">
        <f>'5. PERSON'!O184/12</f>
        <v>0</v>
      </c>
      <c r="M195" s="988">
        <f>'5. PERSON'!P184/12</f>
        <v>0</v>
      </c>
      <c r="N195" s="988">
        <f t="shared" si="6"/>
        <v>0</v>
      </c>
    </row>
    <row r="196" spans="2:14" ht="13.5" customHeight="1" x14ac:dyDescent="0.2">
      <c r="B196" s="961" t="str">
        <f>IF('5. PERSON'!C185="","",'5. PERSON'!C185)</f>
        <v/>
      </c>
      <c r="C196" s="984">
        <f>IF('2. START'!$C$15="TSEK",('5. PERSON'!F185),('5. PERSON'!F185/1000))</f>
        <v>0</v>
      </c>
      <c r="D196" s="987">
        <f>'5. PERSON'!G185/12</f>
        <v>0</v>
      </c>
      <c r="E196" s="987">
        <f>'5. PERSON'!H185/12</f>
        <v>0</v>
      </c>
      <c r="F196" s="987">
        <f>'5. PERSON'!I185/12</f>
        <v>0</v>
      </c>
      <c r="G196" s="987">
        <f>'5. PERSON'!J185/12</f>
        <v>0</v>
      </c>
      <c r="H196" s="987">
        <f>'5. PERSON'!K185/12</f>
        <v>0</v>
      </c>
      <c r="I196" s="987">
        <f>'5. PERSON'!L185/12</f>
        <v>0</v>
      </c>
      <c r="J196" s="987">
        <f>'5. PERSON'!M185/12</f>
        <v>0</v>
      </c>
      <c r="K196" s="987">
        <f>'5. PERSON'!N185/12</f>
        <v>0</v>
      </c>
      <c r="L196" s="987">
        <f>'5. PERSON'!O185/12</f>
        <v>0</v>
      </c>
      <c r="M196" s="987">
        <f>'5. PERSON'!P185/12</f>
        <v>0</v>
      </c>
      <c r="N196" s="987">
        <f t="shared" si="6"/>
        <v>0</v>
      </c>
    </row>
    <row r="197" spans="2:14" ht="13.5" customHeight="1" x14ac:dyDescent="0.2">
      <c r="B197" s="983" t="str">
        <f>IF('5. PERSON'!C186="","",'5. PERSON'!C186)</f>
        <v/>
      </c>
      <c r="C197" s="985">
        <f>IF('2. START'!$C$15="TSEK",('5. PERSON'!F186),('5. PERSON'!F186/1000))</f>
        <v>0</v>
      </c>
      <c r="D197" s="988">
        <f>'5. PERSON'!G186/12</f>
        <v>0</v>
      </c>
      <c r="E197" s="988">
        <f>'5. PERSON'!H186/12</f>
        <v>0</v>
      </c>
      <c r="F197" s="988">
        <f>'5. PERSON'!I186/12</f>
        <v>0</v>
      </c>
      <c r="G197" s="988">
        <f>'5. PERSON'!J186/12</f>
        <v>0</v>
      </c>
      <c r="H197" s="988">
        <f>'5. PERSON'!K186/12</f>
        <v>0</v>
      </c>
      <c r="I197" s="988">
        <f>'5. PERSON'!L186/12</f>
        <v>0</v>
      </c>
      <c r="J197" s="988">
        <f>'5. PERSON'!M186/12</f>
        <v>0</v>
      </c>
      <c r="K197" s="988">
        <f>'5. PERSON'!N186/12</f>
        <v>0</v>
      </c>
      <c r="L197" s="988">
        <f>'5. PERSON'!O186/12</f>
        <v>0</v>
      </c>
      <c r="M197" s="988">
        <f>'5. PERSON'!P186/12</f>
        <v>0</v>
      </c>
      <c r="N197" s="988">
        <f t="shared" si="6"/>
        <v>0</v>
      </c>
    </row>
    <row r="198" spans="2:14" ht="13.5" customHeight="1" x14ac:dyDescent="0.2">
      <c r="B198" s="961" t="str">
        <f>IF('5. PERSON'!C187="","",'5. PERSON'!C187)</f>
        <v/>
      </c>
      <c r="C198" s="984">
        <f>IF('2. START'!$C$15="TSEK",('5. PERSON'!F187),('5. PERSON'!F187/1000))</f>
        <v>0</v>
      </c>
      <c r="D198" s="987">
        <f>'5. PERSON'!G187/12</f>
        <v>0</v>
      </c>
      <c r="E198" s="987">
        <f>'5. PERSON'!H187/12</f>
        <v>0</v>
      </c>
      <c r="F198" s="987">
        <f>'5. PERSON'!I187/12</f>
        <v>0</v>
      </c>
      <c r="G198" s="987">
        <f>'5. PERSON'!J187/12</f>
        <v>0</v>
      </c>
      <c r="H198" s="987">
        <f>'5. PERSON'!K187/12</f>
        <v>0</v>
      </c>
      <c r="I198" s="987">
        <f>'5. PERSON'!L187/12</f>
        <v>0</v>
      </c>
      <c r="J198" s="987">
        <f>'5. PERSON'!M187/12</f>
        <v>0</v>
      </c>
      <c r="K198" s="987">
        <f>'5. PERSON'!N187/12</f>
        <v>0</v>
      </c>
      <c r="L198" s="987">
        <f>'5. PERSON'!O187/12</f>
        <v>0</v>
      </c>
      <c r="M198" s="987">
        <f>'5. PERSON'!P187/12</f>
        <v>0</v>
      </c>
      <c r="N198" s="987">
        <f t="shared" si="6"/>
        <v>0</v>
      </c>
    </row>
    <row r="199" spans="2:14" ht="13.5" customHeight="1" x14ac:dyDescent="0.2">
      <c r="B199" s="983" t="str">
        <f>IF('5. PERSON'!C188="","",'5. PERSON'!C188)</f>
        <v/>
      </c>
      <c r="C199" s="985">
        <f>IF('2. START'!$C$15="TSEK",('5. PERSON'!F188),('5. PERSON'!F188/1000))</f>
        <v>0</v>
      </c>
      <c r="D199" s="988">
        <f>'5. PERSON'!G188/12</f>
        <v>0</v>
      </c>
      <c r="E199" s="988">
        <f>'5. PERSON'!H188/12</f>
        <v>0</v>
      </c>
      <c r="F199" s="988">
        <f>'5. PERSON'!I188/12</f>
        <v>0</v>
      </c>
      <c r="G199" s="988">
        <f>'5. PERSON'!J188/12</f>
        <v>0</v>
      </c>
      <c r="H199" s="988">
        <f>'5. PERSON'!K188/12</f>
        <v>0</v>
      </c>
      <c r="I199" s="988">
        <f>'5. PERSON'!L188/12</f>
        <v>0</v>
      </c>
      <c r="J199" s="988">
        <f>'5. PERSON'!M188/12</f>
        <v>0</v>
      </c>
      <c r="K199" s="988">
        <f>'5. PERSON'!N188/12</f>
        <v>0</v>
      </c>
      <c r="L199" s="988">
        <f>'5. PERSON'!O188/12</f>
        <v>0</v>
      </c>
      <c r="M199" s="988">
        <f>'5. PERSON'!P188/12</f>
        <v>0</v>
      </c>
      <c r="N199" s="988">
        <f t="shared" si="6"/>
        <v>0</v>
      </c>
    </row>
    <row r="200" spans="2:14" ht="13.5" customHeight="1" x14ac:dyDescent="0.2">
      <c r="B200" s="961" t="str">
        <f>IF('5. PERSON'!C189="","",'5. PERSON'!C189)</f>
        <v/>
      </c>
      <c r="C200" s="984">
        <f>IF('2. START'!$C$15="TSEK",('5. PERSON'!F189),('5. PERSON'!F189/1000))</f>
        <v>0</v>
      </c>
      <c r="D200" s="987">
        <f>'5. PERSON'!G189/12</f>
        <v>0</v>
      </c>
      <c r="E200" s="987">
        <f>'5. PERSON'!H189/12</f>
        <v>0</v>
      </c>
      <c r="F200" s="987">
        <f>'5. PERSON'!I189/12</f>
        <v>0</v>
      </c>
      <c r="G200" s="987">
        <f>'5. PERSON'!J189/12</f>
        <v>0</v>
      </c>
      <c r="H200" s="987">
        <f>'5. PERSON'!K189/12</f>
        <v>0</v>
      </c>
      <c r="I200" s="987">
        <f>'5. PERSON'!L189/12</f>
        <v>0</v>
      </c>
      <c r="J200" s="987">
        <f>'5. PERSON'!M189/12</f>
        <v>0</v>
      </c>
      <c r="K200" s="987">
        <f>'5. PERSON'!N189/12</f>
        <v>0</v>
      </c>
      <c r="L200" s="987">
        <f>'5. PERSON'!O189/12</f>
        <v>0</v>
      </c>
      <c r="M200" s="987">
        <f>'5. PERSON'!P189/12</f>
        <v>0</v>
      </c>
      <c r="N200" s="987">
        <f t="shared" si="6"/>
        <v>0</v>
      </c>
    </row>
    <row r="201" spans="2:14" ht="13.5" customHeight="1" x14ac:dyDescent="0.2">
      <c r="B201" s="983" t="str">
        <f>IF('5. PERSON'!C190="","",'5. PERSON'!C190)</f>
        <v/>
      </c>
      <c r="C201" s="985">
        <f>IF('2. START'!$C$15="TSEK",('5. PERSON'!F190),('5. PERSON'!F190/1000))</f>
        <v>0</v>
      </c>
      <c r="D201" s="988">
        <f>'5. PERSON'!G190/12</f>
        <v>0</v>
      </c>
      <c r="E201" s="988">
        <f>'5. PERSON'!H190/12</f>
        <v>0</v>
      </c>
      <c r="F201" s="988">
        <f>'5. PERSON'!I190/12</f>
        <v>0</v>
      </c>
      <c r="G201" s="988">
        <f>'5. PERSON'!J190/12</f>
        <v>0</v>
      </c>
      <c r="H201" s="988">
        <f>'5. PERSON'!K190/12</f>
        <v>0</v>
      </c>
      <c r="I201" s="988">
        <f>'5. PERSON'!L190/12</f>
        <v>0</v>
      </c>
      <c r="J201" s="988">
        <f>'5. PERSON'!M190/12</f>
        <v>0</v>
      </c>
      <c r="K201" s="988">
        <f>'5. PERSON'!N190/12</f>
        <v>0</v>
      </c>
      <c r="L201" s="988">
        <f>'5. PERSON'!O190/12</f>
        <v>0</v>
      </c>
      <c r="M201" s="988">
        <f>'5. PERSON'!P190/12</f>
        <v>0</v>
      </c>
      <c r="N201" s="988">
        <f t="shared" si="6"/>
        <v>0</v>
      </c>
    </row>
    <row r="202" spans="2:14" ht="13.5" customHeight="1" x14ac:dyDescent="0.2">
      <c r="B202" s="961" t="str">
        <f>IF('5. PERSON'!C191="","",'5. PERSON'!C191)</f>
        <v/>
      </c>
      <c r="C202" s="984">
        <f>IF('2. START'!$C$15="TSEK",('5. PERSON'!F191),('5. PERSON'!F191/1000))</f>
        <v>0</v>
      </c>
      <c r="D202" s="987">
        <f>'5. PERSON'!G191/12</f>
        <v>0</v>
      </c>
      <c r="E202" s="987">
        <f>'5. PERSON'!H191/12</f>
        <v>0</v>
      </c>
      <c r="F202" s="987">
        <f>'5. PERSON'!I191/12</f>
        <v>0</v>
      </c>
      <c r="G202" s="987">
        <f>'5. PERSON'!J191/12</f>
        <v>0</v>
      </c>
      <c r="H202" s="987">
        <f>'5. PERSON'!K191/12</f>
        <v>0</v>
      </c>
      <c r="I202" s="987">
        <f>'5. PERSON'!L191/12</f>
        <v>0</v>
      </c>
      <c r="J202" s="987">
        <f>'5. PERSON'!M191/12</f>
        <v>0</v>
      </c>
      <c r="K202" s="987">
        <f>'5. PERSON'!N191/12</f>
        <v>0</v>
      </c>
      <c r="L202" s="987">
        <f>'5. PERSON'!O191/12</f>
        <v>0</v>
      </c>
      <c r="M202" s="987">
        <f>'5. PERSON'!P191/12</f>
        <v>0</v>
      </c>
      <c r="N202" s="987">
        <f t="shared" si="6"/>
        <v>0</v>
      </c>
    </row>
    <row r="203" spans="2:14" ht="13.5" customHeight="1" x14ac:dyDescent="0.2">
      <c r="B203" s="983" t="str">
        <f>IF('5. PERSON'!C192="","",'5. PERSON'!C192)</f>
        <v/>
      </c>
      <c r="C203" s="985">
        <f>IF('2. START'!$C$15="TSEK",('5. PERSON'!F192),('5. PERSON'!F192/1000))</f>
        <v>0</v>
      </c>
      <c r="D203" s="988">
        <f>'5. PERSON'!G192/12</f>
        <v>0</v>
      </c>
      <c r="E203" s="988">
        <f>'5. PERSON'!H192/12</f>
        <v>0</v>
      </c>
      <c r="F203" s="988">
        <f>'5. PERSON'!I192/12</f>
        <v>0</v>
      </c>
      <c r="G203" s="988">
        <f>'5. PERSON'!J192/12</f>
        <v>0</v>
      </c>
      <c r="H203" s="988">
        <f>'5. PERSON'!K192/12</f>
        <v>0</v>
      </c>
      <c r="I203" s="988">
        <f>'5. PERSON'!L192/12</f>
        <v>0</v>
      </c>
      <c r="J203" s="988">
        <f>'5. PERSON'!M192/12</f>
        <v>0</v>
      </c>
      <c r="K203" s="988">
        <f>'5. PERSON'!N192/12</f>
        <v>0</v>
      </c>
      <c r="L203" s="988">
        <f>'5. PERSON'!O192/12</f>
        <v>0</v>
      </c>
      <c r="M203" s="988">
        <f>'5. PERSON'!P192/12</f>
        <v>0</v>
      </c>
      <c r="N203" s="988">
        <f t="shared" si="6"/>
        <v>0</v>
      </c>
    </row>
    <row r="204" spans="2:14" ht="13.5" customHeight="1" x14ac:dyDescent="0.25">
      <c r="B204" s="969" t="str">
        <f>B27</f>
        <v>SUMS &gt;&gt;</v>
      </c>
      <c r="C204" s="970"/>
      <c r="D204" s="986">
        <f>SUM(D28:D203)</f>
        <v>0</v>
      </c>
      <c r="E204" s="986">
        <f t="shared" ref="E204:N204" si="7">SUM(E28:E203)</f>
        <v>0</v>
      </c>
      <c r="F204" s="986">
        <f t="shared" si="7"/>
        <v>0</v>
      </c>
      <c r="G204" s="986">
        <f t="shared" si="7"/>
        <v>0</v>
      </c>
      <c r="H204" s="986">
        <f t="shared" si="7"/>
        <v>0</v>
      </c>
      <c r="I204" s="986">
        <f t="shared" si="7"/>
        <v>0</v>
      </c>
      <c r="J204" s="986">
        <f t="shared" si="7"/>
        <v>0</v>
      </c>
      <c r="K204" s="986">
        <f t="shared" si="7"/>
        <v>0</v>
      </c>
      <c r="L204" s="986">
        <f t="shared" si="7"/>
        <v>0</v>
      </c>
      <c r="M204" s="986">
        <f t="shared" si="7"/>
        <v>0</v>
      </c>
      <c r="N204" s="986">
        <f t="shared" si="7"/>
        <v>0</v>
      </c>
    </row>
    <row r="205" spans="2:14" ht="13.5" customHeight="1" x14ac:dyDescent="0.2"/>
    <row r="206" spans="2:14" ht="13.5" customHeight="1" x14ac:dyDescent="0.2"/>
    <row r="207" spans="2:14" ht="13.5" customHeight="1" x14ac:dyDescent="0.2"/>
    <row r="208" spans="2:14"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sheetData>
  <sheetProtection formatCells="0"/>
  <mergeCells count="18">
    <mergeCell ref="C9:M9"/>
    <mergeCell ref="C2:D2"/>
    <mergeCell ref="O14:P14"/>
    <mergeCell ref="Q14:R14"/>
    <mergeCell ref="M1:N1"/>
    <mergeCell ref="B14:C14"/>
    <mergeCell ref="G2:J2"/>
    <mergeCell ref="C11:F11"/>
    <mergeCell ref="C4:M5"/>
    <mergeCell ref="C7:M7"/>
    <mergeCell ref="C8:D8"/>
    <mergeCell ref="D25:N25"/>
    <mergeCell ref="B15:C15"/>
    <mergeCell ref="B16:C16"/>
    <mergeCell ref="B17:C17"/>
    <mergeCell ref="B18:C18"/>
    <mergeCell ref="B19:C19"/>
    <mergeCell ref="B20:C20"/>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09375" defaultRowHeight="13.2" x14ac:dyDescent="0.25"/>
  <cols>
    <col min="1" max="1" width="3.6640625" style="3" customWidth="1"/>
    <col min="2" max="2" width="40" style="3" customWidth="1" collapsed="1"/>
    <col min="3" max="3" width="9.109375" style="3" customWidth="1" collapsed="1"/>
    <col min="4" max="4" width="8" style="3" customWidth="1" collapsed="1"/>
    <col min="5" max="11" width="10.88671875" style="3" customWidth="1" collapsed="1"/>
    <col min="12" max="12" width="10.88671875" style="3" customWidth="1"/>
    <col min="13" max="13" width="10.88671875" style="3" customWidth="1" collapsed="1"/>
    <col min="14" max="14" width="10.6640625" style="3" customWidth="1" collapsed="1"/>
    <col min="15" max="15" width="12" style="3" customWidth="1" collapsed="1"/>
    <col min="16" max="22" width="10.88671875" style="3" hidden="1" customWidth="1" collapsed="1"/>
    <col min="23" max="23" width="10.88671875" style="3" hidden="1" customWidth="1"/>
    <col min="24" max="24" width="10.88671875" style="3" hidden="1" customWidth="1" collapsed="1"/>
    <col min="25" max="25" width="10.6640625" style="3" hidden="1" customWidth="1" collapsed="1"/>
    <col min="26" max="26" width="12" style="3" hidden="1" customWidth="1" collapsed="1"/>
    <col min="27" max="40" width="9.109375" style="3"/>
    <col min="41" max="16384" width="9.109375" style="3" collapsed="1"/>
  </cols>
  <sheetData>
    <row r="1" spans="2:24" ht="15" customHeight="1" x14ac:dyDescent="0.25">
      <c r="B1" s="37"/>
      <c r="C1" s="37"/>
      <c r="D1" s="37"/>
      <c r="E1" s="37"/>
      <c r="F1" s="37"/>
      <c r="G1" s="37"/>
      <c r="H1" s="37"/>
      <c r="I1" s="37"/>
      <c r="J1" s="37"/>
      <c r="K1" s="37"/>
      <c r="L1" s="37"/>
      <c r="M1" s="37"/>
      <c r="N1" s="1084" t="str">
        <f>'1. INTRO'!J1</f>
        <v>projectcalculator@slu.se</v>
      </c>
      <c r="O1" s="1036"/>
      <c r="P1" s="37"/>
      <c r="Q1" s="37"/>
      <c r="R1" s="37"/>
      <c r="S1" s="37"/>
      <c r="T1" s="37"/>
      <c r="U1" s="37"/>
      <c r="V1" s="37"/>
      <c r="W1" s="37"/>
      <c r="X1" s="37"/>
    </row>
    <row r="2" spans="2:24" ht="15.6" x14ac:dyDescent="0.3">
      <c r="B2" s="928" t="str">
        <f>'1. INTRO'!B2</f>
        <v>SLU project calculator</v>
      </c>
      <c r="C2" s="1139" t="s">
        <v>31</v>
      </c>
      <c r="D2" s="1004"/>
      <c r="F2" s="1122" t="s">
        <v>309</v>
      </c>
      <c r="G2" s="1310"/>
      <c r="H2" s="1310"/>
      <c r="I2" s="1310"/>
      <c r="J2" s="37"/>
      <c r="K2" s="37"/>
      <c r="M2" s="679"/>
      <c r="N2" s="671"/>
      <c r="O2" s="476">
        <f>'1. INTRO'!J2</f>
        <v>45677</v>
      </c>
      <c r="R2" s="37"/>
      <c r="S2" s="37"/>
      <c r="T2" s="37"/>
      <c r="U2" s="37"/>
      <c r="V2" s="37"/>
      <c r="W2" s="201"/>
      <c r="X2" s="37"/>
    </row>
    <row r="3" spans="2:24" s="37" customFormat="1" ht="12.75" customHeight="1" x14ac:dyDescent="0.25">
      <c r="B3" s="208"/>
      <c r="C3" s="209"/>
      <c r="E3" s="70"/>
      <c r="F3" s="71"/>
      <c r="P3" s="70"/>
      <c r="Q3" s="71"/>
    </row>
    <row r="4" spans="2:24" s="37" customFormat="1" ht="12.75" customHeight="1" x14ac:dyDescent="0.2">
      <c r="B4" s="241" t="s">
        <v>32</v>
      </c>
      <c r="C4" s="1313" t="str">
        <f>IF('1. INTRO'!$I$2="English",P4,Q4)</f>
        <v>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v>
      </c>
      <c r="D4" s="998"/>
      <c r="E4" s="998"/>
      <c r="F4" s="998"/>
      <c r="G4" s="998"/>
      <c r="H4" s="998"/>
      <c r="I4" s="998"/>
      <c r="J4" s="998"/>
      <c r="K4" s="998"/>
      <c r="L4" s="998"/>
      <c r="M4" s="998"/>
      <c r="N4" s="998"/>
      <c r="O4" s="998"/>
      <c r="P4" s="268" t="s">
        <v>332</v>
      </c>
      <c r="Q4" s="37" t="s">
        <v>333</v>
      </c>
    </row>
    <row r="5" spans="2:24" s="37" customFormat="1" ht="12.75" customHeight="1" x14ac:dyDescent="0.25">
      <c r="B5" s="240"/>
      <c r="C5" s="998"/>
      <c r="D5" s="998"/>
      <c r="E5" s="998"/>
      <c r="F5" s="998"/>
      <c r="G5" s="998"/>
      <c r="H5" s="998"/>
      <c r="I5" s="998"/>
      <c r="J5" s="998"/>
      <c r="K5" s="998"/>
      <c r="L5" s="998"/>
      <c r="M5" s="998"/>
      <c r="N5" s="998"/>
      <c r="O5" s="998"/>
    </row>
    <row r="6" spans="2:24" s="37" customFormat="1" ht="12.75" customHeight="1" x14ac:dyDescent="0.25">
      <c r="B6" s="240"/>
      <c r="C6" s="998"/>
      <c r="D6" s="998"/>
      <c r="E6" s="998"/>
      <c r="F6" s="998"/>
      <c r="G6" s="998"/>
      <c r="H6" s="998"/>
      <c r="I6" s="998"/>
      <c r="J6" s="998"/>
      <c r="K6" s="998"/>
      <c r="L6" s="998"/>
      <c r="M6" s="998"/>
      <c r="N6" s="998"/>
      <c r="O6" s="998"/>
    </row>
    <row r="7" spans="2:24" s="37" customFormat="1" ht="12.75" customHeight="1" x14ac:dyDescent="0.25">
      <c r="B7" s="53"/>
      <c r="C7" s="998"/>
      <c r="D7" s="998"/>
      <c r="E7" s="998"/>
      <c r="F7" s="998"/>
      <c r="G7" s="998"/>
      <c r="H7" s="998"/>
      <c r="I7" s="998"/>
      <c r="J7" s="998"/>
      <c r="K7" s="998"/>
      <c r="L7" s="998"/>
      <c r="M7" s="998"/>
      <c r="N7" s="998"/>
      <c r="O7" s="998"/>
    </row>
    <row r="8" spans="2:24" s="37" customFormat="1" ht="12.75" customHeight="1" x14ac:dyDescent="0.25">
      <c r="B8" s="53"/>
      <c r="C8" s="998"/>
      <c r="D8" s="998"/>
      <c r="E8" s="998"/>
      <c r="F8" s="998"/>
      <c r="G8" s="998"/>
      <c r="H8" s="998"/>
      <c r="I8" s="998"/>
      <c r="J8" s="998"/>
      <c r="K8" s="998"/>
      <c r="L8" s="998"/>
      <c r="M8" s="998"/>
      <c r="N8" s="998"/>
      <c r="O8" s="998"/>
    </row>
    <row r="9" spans="2:24" s="37" customFormat="1" ht="13.5" customHeight="1" x14ac:dyDescent="0.25">
      <c r="B9" s="53"/>
      <c r="C9" s="36"/>
      <c r="F9" s="71"/>
      <c r="O9" s="354" t="str">
        <f>IF('1. INTRO'!I2="English","Other costs","Annan kostnad")</f>
        <v>Other costs</v>
      </c>
      <c r="Q9" s="71"/>
    </row>
    <row r="10" spans="2:24" s="37" customFormat="1" ht="12.75" customHeight="1" x14ac:dyDescent="0.2">
      <c r="B10" s="313" t="str">
        <f>'3. PARTNER'!C$4</f>
        <v xml:space="preserve">Project: </v>
      </c>
      <c r="C10" s="1062" t="str">
        <f>'3. PARTNER'!D$4</f>
        <v/>
      </c>
      <c r="D10" s="1001"/>
      <c r="E10" s="1001"/>
      <c r="F10" s="1001"/>
      <c r="G10" s="1001"/>
      <c r="H10" s="1001"/>
      <c r="I10" s="1001"/>
      <c r="J10" s="1001"/>
      <c r="K10" s="1001"/>
      <c r="L10" s="670"/>
      <c r="M10" s="670"/>
      <c r="N10" s="675" t="str">
        <f>IF('1. INTRO'!I2="English","Salary including social costs (LKP) ","Lön inklusive LKP ")</f>
        <v xml:space="preserve">Salary including social costs (LKP) </v>
      </c>
      <c r="O10" s="519">
        <f>'9. TOTAL'!M25</f>
        <v>0</v>
      </c>
    </row>
    <row r="11" spans="2:24" s="37" customFormat="1" x14ac:dyDescent="0.2">
      <c r="B11" s="313" t="str">
        <f>'3. PARTNER'!C$5</f>
        <v xml:space="preserve">Calculation for: </v>
      </c>
      <c r="C11" s="1062" t="str">
        <f>'3. PARTNER'!D$5</f>
        <v>APPLICATION</v>
      </c>
      <c r="D11" s="1001"/>
      <c r="E11" s="268"/>
      <c r="F11" s="268"/>
      <c r="G11" s="268"/>
      <c r="H11" s="268"/>
      <c r="I11" s="268"/>
      <c r="J11" s="268"/>
      <c r="K11" s="268"/>
      <c r="L11" s="268"/>
      <c r="M11" s="268"/>
      <c r="N11" s="675" t="str">
        <f>IF('1. INTRO'!I2="English","Operating ","Drift ")</f>
        <v xml:space="preserve">Operating </v>
      </c>
      <c r="O11" s="519">
        <f>'9. TOTAL'!M26</f>
        <v>0</v>
      </c>
    </row>
    <row r="12" spans="2:24" s="37" customFormat="1" x14ac:dyDescent="0.2">
      <c r="B12" s="35" t="str">
        <f>'3. PARTNER'!C$6</f>
        <v xml:space="preserve">Project leader: </v>
      </c>
      <c r="C12" s="1062" t="str">
        <f>'3. PARTNER'!D$6</f>
        <v/>
      </c>
      <c r="D12" s="1001"/>
      <c r="E12" s="1001"/>
      <c r="F12" s="1001"/>
      <c r="G12" s="1001"/>
      <c r="H12" s="1001"/>
      <c r="I12" s="1001"/>
      <c r="J12" s="1001"/>
      <c r="K12" s="1001"/>
      <c r="L12" s="670"/>
      <c r="M12" s="670"/>
      <c r="N12" s="675" t="str">
        <f>IF('1. INTRO'!I2="English","Equipment ","Utrustning ")</f>
        <v xml:space="preserve">Equipment </v>
      </c>
      <c r="O12" s="519">
        <f>'9. TOTAL'!M27</f>
        <v>0</v>
      </c>
      <c r="T12" s="71"/>
      <c r="U12" s="71"/>
      <c r="V12" s="71"/>
      <c r="W12" s="71"/>
      <c r="X12" s="71"/>
    </row>
    <row r="13" spans="2:24" s="37" customFormat="1" x14ac:dyDescent="0.2">
      <c r="B13" s="313" t="str">
        <f>'5. PERSON'!B$7</f>
        <v xml:space="preserve">Amounts in: </v>
      </c>
      <c r="C13" s="672" t="str">
        <f>'5. PERSON'!C$7</f>
        <v>SEK</v>
      </c>
      <c r="D13" s="268"/>
      <c r="E13" s="268"/>
      <c r="F13" s="268"/>
      <c r="G13" s="234"/>
      <c r="H13" s="234"/>
      <c r="I13" s="270"/>
      <c r="J13" s="270"/>
      <c r="K13" s="270"/>
      <c r="L13" s="270"/>
      <c r="M13" s="270"/>
      <c r="N13" s="675" t="str">
        <f>IF('1. INTRO'!I2="English","Facility ","Lokal ")</f>
        <v xml:space="preserve">Facility </v>
      </c>
      <c r="O13" s="519">
        <f>'9. TOTAL'!M28</f>
        <v>0</v>
      </c>
      <c r="T13" s="71"/>
      <c r="U13" s="71"/>
      <c r="V13" s="71"/>
      <c r="W13" s="71"/>
      <c r="X13" s="71"/>
    </row>
    <row r="14" spans="2:24" s="37" customFormat="1" x14ac:dyDescent="0.2">
      <c r="B14" s="313"/>
      <c r="C14" s="1053" t="str">
        <f>'3. PARTNER'!D$7</f>
        <v>Other basic data about the project is in sheet 2.</v>
      </c>
      <c r="D14" s="1001"/>
      <c r="E14" s="1001"/>
      <c r="F14" s="1001"/>
      <c r="G14" s="234"/>
      <c r="H14" s="234"/>
      <c r="I14" s="270"/>
      <c r="J14" s="270"/>
      <c r="K14" s="270"/>
      <c r="L14" s="270"/>
      <c r="M14" s="270"/>
      <c r="N14" s="675" t="str">
        <f>IF('1. INTRO'!I2="English","Indirect ","Indirekt ")</f>
        <v xml:space="preserve">Indirect </v>
      </c>
      <c r="O14" s="519">
        <f>'9. TOTAL'!M29</f>
        <v>0</v>
      </c>
      <c r="T14" s="71"/>
      <c r="U14" s="71"/>
      <c r="V14" s="71"/>
      <c r="W14" s="71"/>
      <c r="X14" s="71"/>
    </row>
    <row r="15" spans="2:24" s="37" customFormat="1" x14ac:dyDescent="0.25">
      <c r="B15" s="75"/>
      <c r="C15" s="243"/>
      <c r="D15" s="242"/>
      <c r="E15" s="242"/>
      <c r="F15" s="242"/>
      <c r="G15" s="242"/>
      <c r="I15" s="71"/>
      <c r="J15" s="71"/>
      <c r="K15" s="71"/>
      <c r="L15" s="71"/>
      <c r="M15" s="71"/>
      <c r="N15" s="675" t="s">
        <v>113</v>
      </c>
      <c r="O15" s="519">
        <f>SUM(O10:O14)</f>
        <v>0</v>
      </c>
      <c r="T15" s="71"/>
      <c r="U15" s="71"/>
      <c r="V15" s="71"/>
      <c r="W15" s="71"/>
      <c r="X15" s="71"/>
    </row>
    <row r="16" spans="2:24" s="37" customFormat="1" ht="12" x14ac:dyDescent="0.25">
      <c r="B16" s="70"/>
      <c r="C16" s="144"/>
      <c r="D16" s="144"/>
      <c r="E16" s="144"/>
      <c r="F16" s="144"/>
      <c r="G16" s="144"/>
      <c r="H16" s="144"/>
      <c r="I16" s="144"/>
      <c r="J16" s="144"/>
      <c r="K16" s="144"/>
      <c r="L16" s="144"/>
      <c r="M16" s="144"/>
      <c r="P16" s="144"/>
      <c r="Q16" s="144"/>
      <c r="R16" s="144"/>
      <c r="S16" s="144"/>
      <c r="T16" s="144"/>
      <c r="U16" s="144"/>
      <c r="V16" s="144"/>
      <c r="W16" s="144"/>
      <c r="X16" s="144"/>
    </row>
    <row r="17" spans="2:26" s="37" customFormat="1" ht="24" x14ac:dyDescent="0.2">
      <c r="B17" s="246" t="s">
        <v>4</v>
      </c>
      <c r="C17" s="930" t="str">
        <f>IF('1. INTRO'!I2="English","Activity level","Aktivitets-grad")</f>
        <v>Activity level</v>
      </c>
      <c r="D17" s="930" t="str">
        <f>IF('1. INTRO'!I2="English","Salary in grant","Lön i bidrag")</f>
        <v>Salary in grant</v>
      </c>
      <c r="E17" s="1311" t="str">
        <f>IF('1. INTRO'!I2="English","Salary in grant, amount","Lön i bidrag, belopp")</f>
        <v>Salary in grant, amount</v>
      </c>
      <c r="F17" s="1312"/>
      <c r="G17" s="60"/>
      <c r="H17" s="250" t="str">
        <f>'2. START'!C15</f>
        <v>SEK</v>
      </c>
      <c r="I17" s="60"/>
      <c r="J17" s="60"/>
      <c r="K17" s="60"/>
      <c r="L17" s="60"/>
      <c r="M17" s="60"/>
      <c r="N17" s="60"/>
      <c r="O17" s="59"/>
      <c r="P17" s="244" t="s">
        <v>106</v>
      </c>
      <c r="Q17" s="250"/>
      <c r="R17" s="250"/>
      <c r="S17" s="250" t="str">
        <f>'2. START'!C15</f>
        <v>SEK</v>
      </c>
      <c r="T17" s="60"/>
      <c r="U17" s="60"/>
      <c r="V17" s="60"/>
      <c r="W17" s="60"/>
      <c r="X17" s="60"/>
      <c r="Y17" s="60"/>
      <c r="Z17" s="59"/>
    </row>
    <row r="18" spans="2:26" s="37" customFormat="1" ht="12" customHeight="1" x14ac:dyDescent="0.2">
      <c r="B18" s="248"/>
      <c r="C18" s="931"/>
      <c r="D18" s="931"/>
      <c r="E18" s="245"/>
      <c r="F18" s="247"/>
      <c r="G18" s="61"/>
      <c r="H18" s="61"/>
      <c r="I18" s="61"/>
      <c r="J18" s="61"/>
      <c r="K18" s="61"/>
      <c r="L18" s="61"/>
      <c r="M18" s="61"/>
      <c r="N18" s="61"/>
      <c r="O18" s="65"/>
      <c r="P18" s="66"/>
      <c r="Q18" s="61"/>
      <c r="R18" s="61"/>
      <c r="S18" s="61"/>
      <c r="T18" s="61"/>
      <c r="U18" s="61"/>
      <c r="V18" s="61"/>
      <c r="W18" s="61"/>
      <c r="X18" s="61"/>
      <c r="Y18" s="61"/>
      <c r="Z18" s="65"/>
    </row>
    <row r="19" spans="2:26" s="37" customFormat="1" ht="12" customHeight="1" x14ac:dyDescent="0.2">
      <c r="B19" s="249"/>
      <c r="C19" s="929" t="s">
        <v>0</v>
      </c>
      <c r="D19" s="929" t="s">
        <v>0</v>
      </c>
      <c r="E19" s="103">
        <f>'5. PERSON'!G15</f>
        <v>1900</v>
      </c>
      <c r="F19" s="103" t="str">
        <f>'5. PERSON'!H15</f>
        <v/>
      </c>
      <c r="G19" s="103" t="str">
        <f>'5. PERSON'!I15</f>
        <v/>
      </c>
      <c r="H19" s="103" t="str">
        <f>'5. PERSON'!J15</f>
        <v/>
      </c>
      <c r="I19" s="103" t="str">
        <f>'5. PERSON'!K15</f>
        <v/>
      </c>
      <c r="J19" s="103" t="str">
        <f>'5. PERSON'!L15</f>
        <v/>
      </c>
      <c r="K19" s="103" t="str">
        <f>'5. PERSON'!M15</f>
        <v/>
      </c>
      <c r="L19" s="103" t="str">
        <f>'5. PERSON'!N15</f>
        <v/>
      </c>
      <c r="M19" s="103" t="str">
        <f>'5. PERSON'!O15</f>
        <v/>
      </c>
      <c r="N19" s="103" t="str">
        <f>'5. PERSON'!P15</f>
        <v/>
      </c>
      <c r="O19" s="97" t="s">
        <v>2</v>
      </c>
      <c r="P19" s="103">
        <f>'5. PERSON'!G15</f>
        <v>1900</v>
      </c>
      <c r="Q19" s="103" t="str">
        <f>'5. PERSON'!H15</f>
        <v/>
      </c>
      <c r="R19" s="103" t="str">
        <f>'5. PERSON'!I15</f>
        <v/>
      </c>
      <c r="S19" s="103" t="str">
        <f>'5. PERSON'!J15</f>
        <v/>
      </c>
      <c r="T19" s="103" t="str">
        <f>'5. PERSON'!K15</f>
        <v/>
      </c>
      <c r="U19" s="103" t="str">
        <f>'5. PERSON'!L15</f>
        <v/>
      </c>
      <c r="V19" s="103" t="str">
        <f>'5. PERSON'!M15</f>
        <v/>
      </c>
      <c r="W19" s="103" t="str">
        <f>'5. PERSON'!N15</f>
        <v/>
      </c>
      <c r="X19" s="103" t="str">
        <f>'5. PERSON'!O15</f>
        <v/>
      </c>
      <c r="Y19" s="103" t="str">
        <f>'5. PERSON'!P15</f>
        <v/>
      </c>
      <c r="Z19" s="97" t="s">
        <v>2</v>
      </c>
    </row>
    <row r="20" spans="2:26" s="37" customFormat="1" ht="13.5" customHeight="1" x14ac:dyDescent="0.25">
      <c r="B20" s="94" t="str">
        <f>IF('1. INTRO'!I2="English","SUMS &gt;&gt;","SUMMOR &gt;&gt;")</f>
        <v>SUMS &gt;&gt;</v>
      </c>
      <c r="C20" s="210"/>
      <c r="D20" s="211"/>
      <c r="E20" s="213" t="str">
        <f>IF(E197=0,"",E197)</f>
        <v/>
      </c>
      <c r="F20" s="213" t="str">
        <f t="shared" ref="F20:Z20" si="0">IF(F197=0,"",F197)</f>
        <v/>
      </c>
      <c r="G20" s="213" t="str">
        <f t="shared" si="0"/>
        <v/>
      </c>
      <c r="H20" s="213" t="str">
        <f t="shared" si="0"/>
        <v/>
      </c>
      <c r="I20" s="213" t="str">
        <f t="shared" si="0"/>
        <v/>
      </c>
      <c r="J20" s="213" t="str">
        <f t="shared" si="0"/>
        <v/>
      </c>
      <c r="K20" s="213" t="str">
        <f t="shared" si="0"/>
        <v/>
      </c>
      <c r="L20" s="213" t="str">
        <f t="shared" si="0"/>
        <v/>
      </c>
      <c r="M20" s="213" t="str">
        <f t="shared" si="0"/>
        <v/>
      </c>
      <c r="N20" s="213" t="str">
        <f t="shared" si="0"/>
        <v/>
      </c>
      <c r="O20" s="213" t="str">
        <f t="shared" si="0"/>
        <v/>
      </c>
      <c r="P20" s="213" t="str">
        <f t="shared" si="0"/>
        <v/>
      </c>
      <c r="Q20" s="213" t="str">
        <f t="shared" si="0"/>
        <v/>
      </c>
      <c r="R20" s="213" t="str">
        <f t="shared" si="0"/>
        <v/>
      </c>
      <c r="S20" s="213" t="str">
        <f t="shared" si="0"/>
        <v/>
      </c>
      <c r="T20" s="213" t="str">
        <f t="shared" si="0"/>
        <v/>
      </c>
      <c r="U20" s="213" t="str">
        <f t="shared" si="0"/>
        <v/>
      </c>
      <c r="V20" s="213" t="str">
        <f t="shared" si="0"/>
        <v/>
      </c>
      <c r="W20" s="213" t="str">
        <f t="shared" si="0"/>
        <v/>
      </c>
      <c r="X20" s="213" t="str">
        <f t="shared" si="0"/>
        <v/>
      </c>
      <c r="Y20" s="213" t="str">
        <f t="shared" si="0"/>
        <v/>
      </c>
      <c r="Z20" s="213" t="str">
        <f t="shared" si="0"/>
        <v/>
      </c>
    </row>
    <row r="21" spans="2:26" s="37" customFormat="1" ht="13.5" customHeight="1" x14ac:dyDescent="0.2">
      <c r="B21" s="207" t="str">
        <f>IF('5. PERSON'!C17="","",'5. PERSON'!C17)</f>
        <v/>
      </c>
      <c r="C21" s="933">
        <f>('5. PERSON'!$G17+'5. PERSON'!$H17+'5. PERSON'!$I17+'5. PERSON'!$J17+'5. PERSON'!$K17+'5. PERSON'!$L17+'5. PERSON'!$M17+'5. PERSON'!$N17+'5. PERSON'!$O17+'5. PERSON'!$P17)/((YEAR('2. START'!$C$19)-YEAR('2. START'!$C$18))*12+MONTH('2. START'!$C$19)-MONTH('2. START'!$C$18)+1)</f>
        <v>0</v>
      </c>
      <c r="D21" s="933">
        <f>(('5. PERSON'!$G17+'5. PERSON'!$H17+'5. PERSON'!$I17+'5. PERSON'!$J17+'5. PERSON'!$K17+'5. PERSON'!$L17+'5. PERSON'!$M17+'5. PERSON'!$N17+'5. PERSON'!$O17+'5. PERSON'!$P17)*(1-'5. PERSON'!E17))/((YEAR('2. START'!$C$19)-YEAR('2. START'!$C$18))*12+MONTH('2. START'!$C$19)-MONTH('2. START'!$C$18)+1)</f>
        <v>0</v>
      </c>
      <c r="E21" s="87">
        <f>'5. PERSON'!AT17</f>
        <v>0</v>
      </c>
      <c r="F21" s="87">
        <f>'5. PERSON'!AU17</f>
        <v>0</v>
      </c>
      <c r="G21" s="87">
        <f>'5. PERSON'!AV17</f>
        <v>0</v>
      </c>
      <c r="H21" s="87">
        <f>'5. PERSON'!AW17</f>
        <v>0</v>
      </c>
      <c r="I21" s="87">
        <f>'5. PERSON'!AX17</f>
        <v>0</v>
      </c>
      <c r="J21" s="87">
        <f>'5. PERSON'!AY17</f>
        <v>0</v>
      </c>
      <c r="K21" s="87">
        <f>'5. PERSON'!AZ17</f>
        <v>0</v>
      </c>
      <c r="L21" s="87">
        <f>'5. PERSON'!BA17</f>
        <v>0</v>
      </c>
      <c r="M21" s="87">
        <f>'5. PERSON'!BB17</f>
        <v>0</v>
      </c>
      <c r="N21" s="87">
        <f>'5. PERSON'!BC17</f>
        <v>0</v>
      </c>
      <c r="O21" s="87">
        <f>'5. PERSON'!BD17</f>
        <v>0</v>
      </c>
      <c r="P21" s="87">
        <f>'5. PERSON'!BF17</f>
        <v>0</v>
      </c>
      <c r="Q21" s="87">
        <f>'5. PERSON'!BG17</f>
        <v>0</v>
      </c>
      <c r="R21" s="87">
        <f>'5. PERSON'!BH17</f>
        <v>0</v>
      </c>
      <c r="S21" s="87">
        <f>'5. PERSON'!BI17</f>
        <v>0</v>
      </c>
      <c r="T21" s="87">
        <f>'5. PERSON'!BJ17</f>
        <v>0</v>
      </c>
      <c r="U21" s="87">
        <f>'5. PERSON'!BK17</f>
        <v>0</v>
      </c>
      <c r="V21" s="87">
        <f>'5. PERSON'!BL17</f>
        <v>0</v>
      </c>
      <c r="W21" s="87">
        <f>'5. PERSON'!BM17</f>
        <v>0</v>
      </c>
      <c r="X21" s="87">
        <f>'5. PERSON'!BN17</f>
        <v>0</v>
      </c>
      <c r="Y21" s="87">
        <f>'5. PERSON'!BO17</f>
        <v>0</v>
      </c>
      <c r="Z21" s="87">
        <f>SUM(P21:Y21)</f>
        <v>0</v>
      </c>
    </row>
    <row r="22" spans="2:26" s="37" customFormat="1" ht="13.5" customHeight="1" x14ac:dyDescent="0.2">
      <c r="B22" s="214" t="str">
        <f>IF('5. PERSON'!C18="","",'5. PERSON'!C18)</f>
        <v/>
      </c>
      <c r="C22" s="934">
        <f>('5. PERSON'!G18+'5. PERSON'!H18+'5. PERSON'!I18+'5. PERSON'!J18+'5. PERSON'!K18+'5. PERSON'!L18+'5. PERSON'!M18+'5. PERSON'!N18+'5. PERSON'!O18+'5. PERSON'!P18)/((YEAR('2. START'!$C$19)-YEAR('2. START'!$C$18))*12+MONTH('2. START'!$C$19)-MONTH('2. START'!$C$18)+1)</f>
        <v>0</v>
      </c>
      <c r="D22" s="934">
        <f>(('5. PERSON'!$G18+'5. PERSON'!$H18+'5. PERSON'!$I18+'5. PERSON'!$J18+'5. PERSON'!$K18+'5. PERSON'!$L18+'5. PERSON'!$M18+'5. PERSON'!$N18+'5. PERSON'!$O18+'5. PERSON'!$P18)*(1-'5. PERSON'!E18))/((YEAR('2. START'!$C$19)-YEAR('2. START'!$C$18))*12+MONTH('2. START'!$C$19)-MONTH('2. START'!$C$18)+1)</f>
        <v>0</v>
      </c>
      <c r="E22" s="98">
        <f>'5. PERSON'!AT18</f>
        <v>0</v>
      </c>
      <c r="F22" s="98">
        <f>'5. PERSON'!AU18</f>
        <v>0</v>
      </c>
      <c r="G22" s="98">
        <f>'5. PERSON'!AV18</f>
        <v>0</v>
      </c>
      <c r="H22" s="98">
        <f>'5. PERSON'!AW18</f>
        <v>0</v>
      </c>
      <c r="I22" s="98">
        <f>'5. PERSON'!AX18</f>
        <v>0</v>
      </c>
      <c r="J22" s="98">
        <f>'5. PERSON'!AY18</f>
        <v>0</v>
      </c>
      <c r="K22" s="98">
        <f>'5. PERSON'!AZ18</f>
        <v>0</v>
      </c>
      <c r="L22" s="98">
        <f>'5. PERSON'!BA18</f>
        <v>0</v>
      </c>
      <c r="M22" s="98">
        <f>'5. PERSON'!BB18</f>
        <v>0</v>
      </c>
      <c r="N22" s="98">
        <f>'5. PERSON'!BC18</f>
        <v>0</v>
      </c>
      <c r="O22" s="98">
        <f>'5. PERSON'!BD18</f>
        <v>0</v>
      </c>
      <c r="P22" s="98">
        <f>'5. PERSON'!BF18</f>
        <v>0</v>
      </c>
      <c r="Q22" s="98">
        <f>'5. PERSON'!BG18</f>
        <v>0</v>
      </c>
      <c r="R22" s="98">
        <f>'5. PERSON'!BH18</f>
        <v>0</v>
      </c>
      <c r="S22" s="98">
        <f>'5. PERSON'!BI18</f>
        <v>0</v>
      </c>
      <c r="T22" s="98">
        <f>'5. PERSON'!BJ18</f>
        <v>0</v>
      </c>
      <c r="U22" s="98">
        <f>'5. PERSON'!BK18</f>
        <v>0</v>
      </c>
      <c r="V22" s="98">
        <f>'5. PERSON'!BL18</f>
        <v>0</v>
      </c>
      <c r="W22" s="98">
        <f>'5. PERSON'!BM18</f>
        <v>0</v>
      </c>
      <c r="X22" s="98">
        <f>'5. PERSON'!BN18</f>
        <v>0</v>
      </c>
      <c r="Y22" s="98">
        <f>'5. PERSON'!BO18</f>
        <v>0</v>
      </c>
      <c r="Z22" s="98">
        <f t="shared" ref="Z22:Z85" si="1">SUM(P22:Y22)</f>
        <v>0</v>
      </c>
    </row>
    <row r="23" spans="2:26" s="37" customFormat="1" ht="13.5" customHeight="1" x14ac:dyDescent="0.2">
      <c r="B23" s="206" t="str">
        <f>IF('5. PERSON'!C19="","",'5. PERSON'!C19)</f>
        <v/>
      </c>
      <c r="C23" s="933">
        <f>('5. PERSON'!G19+'5. PERSON'!H19+'5. PERSON'!I19+'5. PERSON'!J19+'5. PERSON'!K19+'5. PERSON'!L19+'5. PERSON'!M19+'5. PERSON'!N19+'5. PERSON'!O19+'5. PERSON'!P19)/((YEAR('2. START'!$C$19)-YEAR('2. START'!$C$18))*12+MONTH('2. START'!$C$19)-MONTH('2. START'!$C$18)+1)</f>
        <v>0</v>
      </c>
      <c r="D23" s="933">
        <f>(('5. PERSON'!$G19+'5. PERSON'!$H19+'5. PERSON'!$I19+'5. PERSON'!$J19+'5. PERSON'!$K19+'5. PERSON'!$L19+'5. PERSON'!$M19+'5. PERSON'!$N19+'5. PERSON'!$O19+'5. PERSON'!$P19)*(1-'5. PERSON'!E19))/((YEAR('2. START'!$C$19)-YEAR('2. START'!$C$18))*12+MONTH('2. START'!$C$19)-MONTH('2. START'!$C$18)+1)</f>
        <v>0</v>
      </c>
      <c r="E23" s="87">
        <f>'5. PERSON'!AT19</f>
        <v>0</v>
      </c>
      <c r="F23" s="87">
        <f>'5. PERSON'!AU19</f>
        <v>0</v>
      </c>
      <c r="G23" s="87">
        <f>'5. PERSON'!AV19</f>
        <v>0</v>
      </c>
      <c r="H23" s="87">
        <f>'5. PERSON'!AW19</f>
        <v>0</v>
      </c>
      <c r="I23" s="87">
        <f>'5. PERSON'!AX19</f>
        <v>0</v>
      </c>
      <c r="J23" s="87">
        <f>'5. PERSON'!AY19</f>
        <v>0</v>
      </c>
      <c r="K23" s="87">
        <f>'5. PERSON'!AZ19</f>
        <v>0</v>
      </c>
      <c r="L23" s="87">
        <f>'5. PERSON'!BA19</f>
        <v>0</v>
      </c>
      <c r="M23" s="87">
        <f>'5. PERSON'!BB19</f>
        <v>0</v>
      </c>
      <c r="N23" s="87">
        <f>'5. PERSON'!BC19</f>
        <v>0</v>
      </c>
      <c r="O23" s="87">
        <f>'5. PERSON'!BD19</f>
        <v>0</v>
      </c>
      <c r="P23" s="87">
        <f>'5. PERSON'!BF19</f>
        <v>0</v>
      </c>
      <c r="Q23" s="87">
        <f>'5. PERSON'!BG19</f>
        <v>0</v>
      </c>
      <c r="R23" s="87">
        <f>'5. PERSON'!BH19</f>
        <v>0</v>
      </c>
      <c r="S23" s="87">
        <f>'5. PERSON'!BI19</f>
        <v>0</v>
      </c>
      <c r="T23" s="87">
        <f>'5. PERSON'!BJ19</f>
        <v>0</v>
      </c>
      <c r="U23" s="87">
        <f>'5. PERSON'!BK19</f>
        <v>0</v>
      </c>
      <c r="V23" s="87">
        <f>'5. PERSON'!BL19</f>
        <v>0</v>
      </c>
      <c r="W23" s="87">
        <f>'5. PERSON'!BM19</f>
        <v>0</v>
      </c>
      <c r="X23" s="87">
        <f>'5. PERSON'!BN19</f>
        <v>0</v>
      </c>
      <c r="Y23" s="87">
        <f>'5. PERSON'!BO19</f>
        <v>0</v>
      </c>
      <c r="Z23" s="87">
        <f t="shared" si="1"/>
        <v>0</v>
      </c>
    </row>
    <row r="24" spans="2:26" s="37" customFormat="1" ht="13.5" customHeight="1" x14ac:dyDescent="0.2">
      <c r="B24" s="214" t="str">
        <f>IF('5. PERSON'!C20="","",'5. PERSON'!C20)</f>
        <v/>
      </c>
      <c r="C24" s="934">
        <f>('5. PERSON'!G20+'5. PERSON'!H20+'5. PERSON'!I20+'5. PERSON'!J20+'5. PERSON'!K20+'5. PERSON'!L20+'5. PERSON'!M20+'5. PERSON'!N20+'5. PERSON'!O20+'5. PERSON'!P20)/((YEAR('2. START'!$C$19)-YEAR('2. START'!$C$18))*12+MONTH('2. START'!$C$19)-MONTH('2. START'!$C$18)+1)</f>
        <v>0</v>
      </c>
      <c r="D24" s="934">
        <f>(('5. PERSON'!$G20+'5. PERSON'!$H20+'5. PERSON'!$I20+'5. PERSON'!$J20+'5. PERSON'!$K20+'5. PERSON'!$L20+'5. PERSON'!$M20+'5. PERSON'!$N20+'5. PERSON'!$O20+'5. PERSON'!$P20)*(1-'5. PERSON'!E20))/((YEAR('2. START'!$C$19)-YEAR('2. START'!$C$18))*12+MONTH('2. START'!$C$19)-MONTH('2. START'!$C$18)+1)</f>
        <v>0</v>
      </c>
      <c r="E24" s="98">
        <f>'5. PERSON'!AT20</f>
        <v>0</v>
      </c>
      <c r="F24" s="98">
        <f>'5. PERSON'!AU20</f>
        <v>0</v>
      </c>
      <c r="G24" s="98">
        <f>'5. PERSON'!AV20</f>
        <v>0</v>
      </c>
      <c r="H24" s="98">
        <f>'5. PERSON'!AW20</f>
        <v>0</v>
      </c>
      <c r="I24" s="98">
        <f>'5. PERSON'!AX20</f>
        <v>0</v>
      </c>
      <c r="J24" s="98">
        <f>'5. PERSON'!AY20</f>
        <v>0</v>
      </c>
      <c r="K24" s="98">
        <f>'5. PERSON'!AZ20</f>
        <v>0</v>
      </c>
      <c r="L24" s="98">
        <f>'5. PERSON'!BA20</f>
        <v>0</v>
      </c>
      <c r="M24" s="98">
        <f>'5. PERSON'!BB20</f>
        <v>0</v>
      </c>
      <c r="N24" s="98">
        <f>'5. PERSON'!BC20</f>
        <v>0</v>
      </c>
      <c r="O24" s="98">
        <f>'5. PERSON'!BD20</f>
        <v>0</v>
      </c>
      <c r="P24" s="98">
        <f>'5. PERSON'!BF20</f>
        <v>0</v>
      </c>
      <c r="Q24" s="98">
        <f>'5. PERSON'!BG20</f>
        <v>0</v>
      </c>
      <c r="R24" s="98">
        <f>'5. PERSON'!BH20</f>
        <v>0</v>
      </c>
      <c r="S24" s="98">
        <f>'5. PERSON'!BI20</f>
        <v>0</v>
      </c>
      <c r="T24" s="98">
        <f>'5. PERSON'!BJ20</f>
        <v>0</v>
      </c>
      <c r="U24" s="98">
        <f>'5. PERSON'!BK20</f>
        <v>0</v>
      </c>
      <c r="V24" s="98">
        <f>'5. PERSON'!BL20</f>
        <v>0</v>
      </c>
      <c r="W24" s="98">
        <f>'5. PERSON'!BM20</f>
        <v>0</v>
      </c>
      <c r="X24" s="98">
        <f>'5. PERSON'!BN20</f>
        <v>0</v>
      </c>
      <c r="Y24" s="98">
        <f>'5. PERSON'!BO20</f>
        <v>0</v>
      </c>
      <c r="Z24" s="98">
        <f t="shared" si="1"/>
        <v>0</v>
      </c>
    </row>
    <row r="25" spans="2:26" s="37" customFormat="1" ht="13.5" customHeight="1" x14ac:dyDescent="0.2">
      <c r="B25" s="206" t="str">
        <f>IF('5. PERSON'!C21="","",'5. PERSON'!C21)</f>
        <v/>
      </c>
      <c r="C25" s="933">
        <f>('5. PERSON'!G21+'5. PERSON'!H21+'5. PERSON'!I21+'5. PERSON'!J21+'5. PERSON'!K21+'5. PERSON'!L21+'5. PERSON'!M21+'5. PERSON'!N21+'5. PERSON'!O21+'5. PERSON'!P21)/((YEAR('2. START'!$C$19)-YEAR('2. START'!$C$18))*12+MONTH('2. START'!$C$19)-MONTH('2. START'!$C$18)+1)</f>
        <v>0</v>
      </c>
      <c r="D25" s="933">
        <f>(('5. PERSON'!$G21+'5. PERSON'!$H21+'5. PERSON'!$I21+'5. PERSON'!$J21+'5. PERSON'!$K21+'5. PERSON'!$L21+'5. PERSON'!$M21+'5. PERSON'!$N21+'5. PERSON'!$O21+'5. PERSON'!$P21)*(1-'5. PERSON'!E21))/((YEAR('2. START'!$C$19)-YEAR('2. START'!$C$18))*12+MONTH('2. START'!$C$19)-MONTH('2. START'!$C$18)+1)</f>
        <v>0</v>
      </c>
      <c r="E25" s="87">
        <f>'5. PERSON'!AT21</f>
        <v>0</v>
      </c>
      <c r="F25" s="87">
        <f>'5. PERSON'!AU21</f>
        <v>0</v>
      </c>
      <c r="G25" s="87">
        <f>'5. PERSON'!AV21</f>
        <v>0</v>
      </c>
      <c r="H25" s="87">
        <f>'5. PERSON'!AW21</f>
        <v>0</v>
      </c>
      <c r="I25" s="87">
        <f>'5. PERSON'!AX21</f>
        <v>0</v>
      </c>
      <c r="J25" s="87">
        <f>'5. PERSON'!AY21</f>
        <v>0</v>
      </c>
      <c r="K25" s="87">
        <f>'5. PERSON'!AZ21</f>
        <v>0</v>
      </c>
      <c r="L25" s="87">
        <f>'5. PERSON'!BA21</f>
        <v>0</v>
      </c>
      <c r="M25" s="87">
        <f>'5. PERSON'!BB21</f>
        <v>0</v>
      </c>
      <c r="N25" s="87">
        <f>'5. PERSON'!BC21</f>
        <v>0</v>
      </c>
      <c r="O25" s="87">
        <f>'5. PERSON'!BD21</f>
        <v>0</v>
      </c>
      <c r="P25" s="87">
        <f>'5. PERSON'!BF21</f>
        <v>0</v>
      </c>
      <c r="Q25" s="87">
        <f>'5. PERSON'!BG21</f>
        <v>0</v>
      </c>
      <c r="R25" s="87">
        <f>'5. PERSON'!BH21</f>
        <v>0</v>
      </c>
      <c r="S25" s="87">
        <f>'5. PERSON'!BI21</f>
        <v>0</v>
      </c>
      <c r="T25" s="87">
        <f>'5. PERSON'!BJ21</f>
        <v>0</v>
      </c>
      <c r="U25" s="87">
        <f>'5. PERSON'!BK21</f>
        <v>0</v>
      </c>
      <c r="V25" s="87">
        <f>'5. PERSON'!BL21</f>
        <v>0</v>
      </c>
      <c r="W25" s="87">
        <f>'5. PERSON'!BM21</f>
        <v>0</v>
      </c>
      <c r="X25" s="87">
        <f>'5. PERSON'!BN21</f>
        <v>0</v>
      </c>
      <c r="Y25" s="87">
        <f>'5. PERSON'!BO21</f>
        <v>0</v>
      </c>
      <c r="Z25" s="87">
        <f t="shared" si="1"/>
        <v>0</v>
      </c>
    </row>
    <row r="26" spans="2:26" s="37" customFormat="1" ht="13.5" customHeight="1" x14ac:dyDescent="0.2">
      <c r="B26" s="214" t="str">
        <f>IF('5. PERSON'!C22="","",'5. PERSON'!C22)</f>
        <v/>
      </c>
      <c r="C26" s="934">
        <f>('5. PERSON'!G22+'5. PERSON'!H22+'5. PERSON'!I22+'5. PERSON'!J22+'5. PERSON'!K22+'5. PERSON'!L22+'5. PERSON'!M22+'5. PERSON'!N22+'5. PERSON'!O22+'5. PERSON'!P22)/((YEAR('2. START'!$C$19)-YEAR('2. START'!$C$18))*12+MONTH('2. START'!$C$19)-MONTH('2. START'!$C$18)+1)</f>
        <v>0</v>
      </c>
      <c r="D26" s="934">
        <f>(('5. PERSON'!$G22+'5. PERSON'!$H22+'5. PERSON'!$I22+'5. PERSON'!$J22+'5. PERSON'!$K22+'5. PERSON'!$L22+'5. PERSON'!$M22+'5. PERSON'!$N22+'5. PERSON'!$O22+'5. PERSON'!$P22)*(1-'5. PERSON'!E22))/((YEAR('2. START'!$C$19)-YEAR('2. START'!$C$18))*12+MONTH('2. START'!$C$19)-MONTH('2. START'!$C$18)+1)</f>
        <v>0</v>
      </c>
      <c r="E26" s="98">
        <f>'5. PERSON'!AT22</f>
        <v>0</v>
      </c>
      <c r="F26" s="98">
        <f>'5. PERSON'!AU22</f>
        <v>0</v>
      </c>
      <c r="G26" s="98">
        <f>'5. PERSON'!AV22</f>
        <v>0</v>
      </c>
      <c r="H26" s="98">
        <f>'5. PERSON'!AW22</f>
        <v>0</v>
      </c>
      <c r="I26" s="98">
        <f>'5. PERSON'!AX22</f>
        <v>0</v>
      </c>
      <c r="J26" s="98">
        <f>'5. PERSON'!AY22</f>
        <v>0</v>
      </c>
      <c r="K26" s="98">
        <f>'5. PERSON'!AZ22</f>
        <v>0</v>
      </c>
      <c r="L26" s="98">
        <f>'5. PERSON'!BA22</f>
        <v>0</v>
      </c>
      <c r="M26" s="98">
        <f>'5. PERSON'!BB22</f>
        <v>0</v>
      </c>
      <c r="N26" s="98">
        <f>'5. PERSON'!BC22</f>
        <v>0</v>
      </c>
      <c r="O26" s="98">
        <f>'5. PERSON'!BD22</f>
        <v>0</v>
      </c>
      <c r="P26" s="98">
        <f>'5. PERSON'!BF22</f>
        <v>0</v>
      </c>
      <c r="Q26" s="98">
        <f>'5. PERSON'!BG22</f>
        <v>0</v>
      </c>
      <c r="R26" s="98">
        <f>'5. PERSON'!BH22</f>
        <v>0</v>
      </c>
      <c r="S26" s="98">
        <f>'5. PERSON'!BI22</f>
        <v>0</v>
      </c>
      <c r="T26" s="98">
        <f>'5. PERSON'!BJ22</f>
        <v>0</v>
      </c>
      <c r="U26" s="98">
        <f>'5. PERSON'!BK22</f>
        <v>0</v>
      </c>
      <c r="V26" s="98">
        <f>'5. PERSON'!BL22</f>
        <v>0</v>
      </c>
      <c r="W26" s="98">
        <f>'5. PERSON'!BM22</f>
        <v>0</v>
      </c>
      <c r="X26" s="98">
        <f>'5. PERSON'!BN22</f>
        <v>0</v>
      </c>
      <c r="Y26" s="98">
        <f>'5. PERSON'!BO22</f>
        <v>0</v>
      </c>
      <c r="Z26" s="98">
        <f t="shared" si="1"/>
        <v>0</v>
      </c>
    </row>
    <row r="27" spans="2:26" s="37" customFormat="1" ht="13.5" customHeight="1" x14ac:dyDescent="0.2">
      <c r="B27" s="206" t="str">
        <f>IF('5. PERSON'!C23="","",'5. PERSON'!C23)</f>
        <v/>
      </c>
      <c r="C27" s="933">
        <f>('5. PERSON'!G23+'5. PERSON'!H23+'5. PERSON'!I23+'5. PERSON'!J23+'5. PERSON'!K23+'5. PERSON'!L23+'5. PERSON'!M23+'5. PERSON'!N23+'5. PERSON'!O23+'5. PERSON'!P23)/((YEAR('2. START'!$C$19)-YEAR('2. START'!$C$18))*12+MONTH('2. START'!$C$19)-MONTH('2. START'!$C$18)+1)</f>
        <v>0</v>
      </c>
      <c r="D27" s="933">
        <f>(('5. PERSON'!$G23+'5. PERSON'!$H23+'5. PERSON'!$I23+'5. PERSON'!$J23+'5. PERSON'!$K23+'5. PERSON'!$L23+'5. PERSON'!$M23+'5. PERSON'!$N23+'5. PERSON'!$O23+'5. PERSON'!$P23)*(1-'5. PERSON'!E23))/((YEAR('2. START'!$C$19)-YEAR('2. START'!$C$18))*12+MONTH('2. START'!$C$19)-MONTH('2. START'!$C$18)+1)</f>
        <v>0</v>
      </c>
      <c r="E27" s="87">
        <f>'5. PERSON'!AT23</f>
        <v>0</v>
      </c>
      <c r="F27" s="87">
        <f>'5. PERSON'!AU23</f>
        <v>0</v>
      </c>
      <c r="G27" s="87">
        <f>'5. PERSON'!AV23</f>
        <v>0</v>
      </c>
      <c r="H27" s="87">
        <f>'5. PERSON'!AW23</f>
        <v>0</v>
      </c>
      <c r="I27" s="87">
        <f>'5. PERSON'!AX23</f>
        <v>0</v>
      </c>
      <c r="J27" s="87">
        <f>'5. PERSON'!AY23</f>
        <v>0</v>
      </c>
      <c r="K27" s="87">
        <f>'5. PERSON'!AZ23</f>
        <v>0</v>
      </c>
      <c r="L27" s="87">
        <f>'5. PERSON'!BA23</f>
        <v>0</v>
      </c>
      <c r="M27" s="87">
        <f>'5. PERSON'!BB23</f>
        <v>0</v>
      </c>
      <c r="N27" s="87">
        <f>'5. PERSON'!BC23</f>
        <v>0</v>
      </c>
      <c r="O27" s="87">
        <f>'5. PERSON'!BD23</f>
        <v>0</v>
      </c>
      <c r="P27" s="87">
        <f>'5. PERSON'!BF23</f>
        <v>0</v>
      </c>
      <c r="Q27" s="87">
        <f>'5. PERSON'!BG23</f>
        <v>0</v>
      </c>
      <c r="R27" s="87">
        <f>'5. PERSON'!BH23</f>
        <v>0</v>
      </c>
      <c r="S27" s="87">
        <f>'5. PERSON'!BI23</f>
        <v>0</v>
      </c>
      <c r="T27" s="87">
        <f>'5. PERSON'!BJ23</f>
        <v>0</v>
      </c>
      <c r="U27" s="87">
        <f>'5. PERSON'!BK23</f>
        <v>0</v>
      </c>
      <c r="V27" s="87">
        <f>'5. PERSON'!BL23</f>
        <v>0</v>
      </c>
      <c r="W27" s="87">
        <f>'5. PERSON'!BM23</f>
        <v>0</v>
      </c>
      <c r="X27" s="87">
        <f>'5. PERSON'!BN23</f>
        <v>0</v>
      </c>
      <c r="Y27" s="87">
        <f>'5. PERSON'!BO23</f>
        <v>0</v>
      </c>
      <c r="Z27" s="87">
        <f t="shared" si="1"/>
        <v>0</v>
      </c>
    </row>
    <row r="28" spans="2:26" s="37" customFormat="1" ht="13.5" customHeight="1" x14ac:dyDescent="0.2">
      <c r="B28" s="214" t="str">
        <f>IF('5. PERSON'!C24="","",'5. PERSON'!C24)</f>
        <v/>
      </c>
      <c r="C28" s="934">
        <f>('5. PERSON'!G24+'5. PERSON'!H24+'5. PERSON'!I24+'5. PERSON'!J24+'5. PERSON'!K24+'5. PERSON'!L24+'5. PERSON'!M24+'5. PERSON'!N24+'5. PERSON'!O24+'5. PERSON'!P24)/((YEAR('2. START'!$C$19)-YEAR('2. START'!$C$18))*12+MONTH('2. START'!$C$19)-MONTH('2. START'!$C$18)+1)</f>
        <v>0</v>
      </c>
      <c r="D28" s="934">
        <f>(('5. PERSON'!$G24+'5. PERSON'!$H24+'5. PERSON'!$I24+'5. PERSON'!$J24+'5. PERSON'!$K24+'5. PERSON'!$L24+'5. PERSON'!$M24+'5. PERSON'!$N24+'5. PERSON'!$O24+'5. PERSON'!$P24)*(1-'5. PERSON'!E24))/((YEAR('2. START'!$C$19)-YEAR('2. START'!$C$18))*12+MONTH('2. START'!$C$19)-MONTH('2. START'!$C$18)+1)</f>
        <v>0</v>
      </c>
      <c r="E28" s="98">
        <f>'5. PERSON'!AT24</f>
        <v>0</v>
      </c>
      <c r="F28" s="98">
        <f>'5. PERSON'!AU24</f>
        <v>0</v>
      </c>
      <c r="G28" s="98">
        <f>'5. PERSON'!AV24</f>
        <v>0</v>
      </c>
      <c r="H28" s="98">
        <f>'5. PERSON'!AW24</f>
        <v>0</v>
      </c>
      <c r="I28" s="98">
        <f>'5. PERSON'!AX24</f>
        <v>0</v>
      </c>
      <c r="J28" s="98">
        <f>'5. PERSON'!AY24</f>
        <v>0</v>
      </c>
      <c r="K28" s="98">
        <f>'5. PERSON'!AZ24</f>
        <v>0</v>
      </c>
      <c r="L28" s="98">
        <f>'5. PERSON'!BA24</f>
        <v>0</v>
      </c>
      <c r="M28" s="98">
        <f>'5. PERSON'!BB24</f>
        <v>0</v>
      </c>
      <c r="N28" s="98">
        <f>'5. PERSON'!BC24</f>
        <v>0</v>
      </c>
      <c r="O28" s="98">
        <f>'5. PERSON'!BD24</f>
        <v>0</v>
      </c>
      <c r="P28" s="98">
        <f>'5. PERSON'!BF24</f>
        <v>0</v>
      </c>
      <c r="Q28" s="98">
        <f>'5. PERSON'!BG24</f>
        <v>0</v>
      </c>
      <c r="R28" s="98">
        <f>'5. PERSON'!BH24</f>
        <v>0</v>
      </c>
      <c r="S28" s="98">
        <f>'5. PERSON'!BI24</f>
        <v>0</v>
      </c>
      <c r="T28" s="98">
        <f>'5. PERSON'!BJ24</f>
        <v>0</v>
      </c>
      <c r="U28" s="98">
        <f>'5. PERSON'!BK24</f>
        <v>0</v>
      </c>
      <c r="V28" s="98">
        <f>'5. PERSON'!BL24</f>
        <v>0</v>
      </c>
      <c r="W28" s="98">
        <f>'5. PERSON'!BM24</f>
        <v>0</v>
      </c>
      <c r="X28" s="98">
        <f>'5. PERSON'!BN24</f>
        <v>0</v>
      </c>
      <c r="Y28" s="98">
        <f>'5. PERSON'!BO24</f>
        <v>0</v>
      </c>
      <c r="Z28" s="98">
        <f t="shared" si="1"/>
        <v>0</v>
      </c>
    </row>
    <row r="29" spans="2:26" s="37" customFormat="1" ht="13.5" customHeight="1" x14ac:dyDescent="0.2">
      <c r="B29" s="206" t="str">
        <f>IF('5. PERSON'!C25="","",'5. PERSON'!C25)</f>
        <v/>
      </c>
      <c r="C29" s="933">
        <f>('5. PERSON'!G25+'5. PERSON'!H25+'5. PERSON'!I25+'5. PERSON'!J25+'5. PERSON'!K25+'5. PERSON'!L25+'5. PERSON'!M25+'5. PERSON'!N25+'5. PERSON'!O25+'5. PERSON'!P25)/((YEAR('2. START'!$C$19)-YEAR('2. START'!$C$18))*12+MONTH('2. START'!$C$19)-MONTH('2. START'!$C$18)+1)</f>
        <v>0</v>
      </c>
      <c r="D29" s="933">
        <f>(('5. PERSON'!$G25+'5. PERSON'!$H25+'5. PERSON'!$I25+'5. PERSON'!$J25+'5. PERSON'!$K25+'5. PERSON'!$L25+'5. PERSON'!$M25+'5. PERSON'!$N25+'5. PERSON'!$O25+'5. PERSON'!$P25)*(1-'5. PERSON'!E25))/((YEAR('2. START'!$C$19)-YEAR('2. START'!$C$18))*12+MONTH('2. START'!$C$19)-MONTH('2. START'!$C$18)+1)</f>
        <v>0</v>
      </c>
      <c r="E29" s="87">
        <f>'5. PERSON'!AT25</f>
        <v>0</v>
      </c>
      <c r="F29" s="87">
        <f>'5. PERSON'!AU25</f>
        <v>0</v>
      </c>
      <c r="G29" s="87">
        <f>'5. PERSON'!AV25</f>
        <v>0</v>
      </c>
      <c r="H29" s="87">
        <f>'5. PERSON'!AW25</f>
        <v>0</v>
      </c>
      <c r="I29" s="87">
        <f>'5. PERSON'!AX25</f>
        <v>0</v>
      </c>
      <c r="J29" s="87">
        <f>'5. PERSON'!AY25</f>
        <v>0</v>
      </c>
      <c r="K29" s="87">
        <f>'5. PERSON'!AZ25</f>
        <v>0</v>
      </c>
      <c r="L29" s="87">
        <f>'5. PERSON'!BA25</f>
        <v>0</v>
      </c>
      <c r="M29" s="87">
        <f>'5. PERSON'!BB25</f>
        <v>0</v>
      </c>
      <c r="N29" s="87">
        <f>'5. PERSON'!BC25</f>
        <v>0</v>
      </c>
      <c r="O29" s="87">
        <f>'5. PERSON'!BD25</f>
        <v>0</v>
      </c>
      <c r="P29" s="87">
        <f>'5. PERSON'!BF25</f>
        <v>0</v>
      </c>
      <c r="Q29" s="87">
        <f>'5. PERSON'!BG25</f>
        <v>0</v>
      </c>
      <c r="R29" s="87">
        <f>'5. PERSON'!BH25</f>
        <v>0</v>
      </c>
      <c r="S29" s="87">
        <f>'5. PERSON'!BI25</f>
        <v>0</v>
      </c>
      <c r="T29" s="87">
        <f>'5. PERSON'!BJ25</f>
        <v>0</v>
      </c>
      <c r="U29" s="87">
        <f>'5. PERSON'!BK25</f>
        <v>0</v>
      </c>
      <c r="V29" s="87">
        <f>'5. PERSON'!BL25</f>
        <v>0</v>
      </c>
      <c r="W29" s="87">
        <f>'5. PERSON'!BM25</f>
        <v>0</v>
      </c>
      <c r="X29" s="87">
        <f>'5. PERSON'!BN25</f>
        <v>0</v>
      </c>
      <c r="Y29" s="87">
        <f>'5. PERSON'!BO25</f>
        <v>0</v>
      </c>
      <c r="Z29" s="87">
        <f t="shared" si="1"/>
        <v>0</v>
      </c>
    </row>
    <row r="30" spans="2:26" s="37" customFormat="1" ht="13.5" customHeight="1" x14ac:dyDescent="0.2">
      <c r="B30" s="214" t="str">
        <f>IF('5. PERSON'!C26="","",'5. PERSON'!C26)</f>
        <v/>
      </c>
      <c r="C30" s="934">
        <f>('5. PERSON'!G26+'5. PERSON'!H26+'5. PERSON'!I26+'5. PERSON'!J26+'5. PERSON'!K26+'5. PERSON'!L26+'5. PERSON'!M26+'5. PERSON'!N26+'5. PERSON'!O26+'5. PERSON'!P26)/((YEAR('2. START'!$C$19)-YEAR('2. START'!$C$18))*12+MONTH('2. START'!$C$19)-MONTH('2. START'!$C$18)+1)</f>
        <v>0</v>
      </c>
      <c r="D30" s="934">
        <f>(('5. PERSON'!$G26+'5. PERSON'!$H26+'5. PERSON'!$I26+'5. PERSON'!$J26+'5. PERSON'!$K26+'5. PERSON'!$L26+'5. PERSON'!$M26+'5. PERSON'!$N26+'5. PERSON'!$O26+'5. PERSON'!$P26)*(1-'5. PERSON'!E26))/((YEAR('2. START'!$C$19)-YEAR('2. START'!$C$18))*12+MONTH('2. START'!$C$19)-MONTH('2. START'!$C$18)+1)</f>
        <v>0</v>
      </c>
      <c r="E30" s="98">
        <f>'5. PERSON'!AT26</f>
        <v>0</v>
      </c>
      <c r="F30" s="98">
        <f>'5. PERSON'!AU26</f>
        <v>0</v>
      </c>
      <c r="G30" s="98">
        <f>'5. PERSON'!AV26</f>
        <v>0</v>
      </c>
      <c r="H30" s="98">
        <f>'5. PERSON'!AW26</f>
        <v>0</v>
      </c>
      <c r="I30" s="98">
        <f>'5. PERSON'!AX26</f>
        <v>0</v>
      </c>
      <c r="J30" s="98">
        <f>'5. PERSON'!AY26</f>
        <v>0</v>
      </c>
      <c r="K30" s="98">
        <f>'5. PERSON'!AZ26</f>
        <v>0</v>
      </c>
      <c r="L30" s="98">
        <f>'5. PERSON'!BA26</f>
        <v>0</v>
      </c>
      <c r="M30" s="98">
        <f>'5. PERSON'!BB26</f>
        <v>0</v>
      </c>
      <c r="N30" s="98">
        <f>'5. PERSON'!BC26</f>
        <v>0</v>
      </c>
      <c r="O30" s="98">
        <f>'5. PERSON'!BD26</f>
        <v>0</v>
      </c>
      <c r="P30" s="98">
        <f>'5. PERSON'!BF26</f>
        <v>0</v>
      </c>
      <c r="Q30" s="98">
        <f>'5. PERSON'!BG26</f>
        <v>0</v>
      </c>
      <c r="R30" s="98">
        <f>'5. PERSON'!BH26</f>
        <v>0</v>
      </c>
      <c r="S30" s="98">
        <f>'5. PERSON'!BI26</f>
        <v>0</v>
      </c>
      <c r="T30" s="98">
        <f>'5. PERSON'!BJ26</f>
        <v>0</v>
      </c>
      <c r="U30" s="98">
        <f>'5. PERSON'!BK26</f>
        <v>0</v>
      </c>
      <c r="V30" s="98">
        <f>'5. PERSON'!BL26</f>
        <v>0</v>
      </c>
      <c r="W30" s="98">
        <f>'5. PERSON'!BM26</f>
        <v>0</v>
      </c>
      <c r="X30" s="98">
        <f>'5. PERSON'!BN26</f>
        <v>0</v>
      </c>
      <c r="Y30" s="98">
        <f>'5. PERSON'!BO26</f>
        <v>0</v>
      </c>
      <c r="Z30" s="98">
        <f t="shared" si="1"/>
        <v>0</v>
      </c>
    </row>
    <row r="31" spans="2:26" s="37" customFormat="1" ht="13.5" customHeight="1" x14ac:dyDescent="0.2">
      <c r="B31" s="206" t="str">
        <f>IF('5. PERSON'!C27="","",'5. PERSON'!C27)</f>
        <v/>
      </c>
      <c r="C31" s="933">
        <f>('5. PERSON'!G27+'5. PERSON'!H27+'5. PERSON'!I27+'5. PERSON'!J27+'5. PERSON'!K27+'5. PERSON'!L27+'5. PERSON'!M27+'5. PERSON'!N27+'5. PERSON'!O27+'5. PERSON'!P27)/((YEAR('2. START'!$C$19)-YEAR('2. START'!$C$18))*12+MONTH('2. START'!$C$19)-MONTH('2. START'!$C$18)+1)</f>
        <v>0</v>
      </c>
      <c r="D31" s="933">
        <f>(('5. PERSON'!$G27+'5. PERSON'!$H27+'5. PERSON'!$I27+'5. PERSON'!$J27+'5. PERSON'!$K27+'5. PERSON'!$L27+'5. PERSON'!$M27+'5. PERSON'!$N27+'5. PERSON'!$O27+'5. PERSON'!$P27)*(1-'5. PERSON'!E27))/((YEAR('2. START'!$C$19)-YEAR('2. START'!$C$18))*12+MONTH('2. START'!$C$19)-MONTH('2. START'!$C$18)+1)</f>
        <v>0</v>
      </c>
      <c r="E31" s="87">
        <f>'5. PERSON'!AT27</f>
        <v>0</v>
      </c>
      <c r="F31" s="87">
        <f>'5. PERSON'!AU27</f>
        <v>0</v>
      </c>
      <c r="G31" s="87">
        <f>'5. PERSON'!AV27</f>
        <v>0</v>
      </c>
      <c r="H31" s="87">
        <f>'5. PERSON'!AW27</f>
        <v>0</v>
      </c>
      <c r="I31" s="87">
        <f>'5. PERSON'!AX27</f>
        <v>0</v>
      </c>
      <c r="J31" s="87">
        <f>'5. PERSON'!AY27</f>
        <v>0</v>
      </c>
      <c r="K31" s="87">
        <f>'5. PERSON'!AZ27</f>
        <v>0</v>
      </c>
      <c r="L31" s="87">
        <f>'5. PERSON'!BA27</f>
        <v>0</v>
      </c>
      <c r="M31" s="87">
        <f>'5. PERSON'!BB27</f>
        <v>0</v>
      </c>
      <c r="N31" s="87">
        <f>'5. PERSON'!BC27</f>
        <v>0</v>
      </c>
      <c r="O31" s="87">
        <f>'5. PERSON'!BD27</f>
        <v>0</v>
      </c>
      <c r="P31" s="87">
        <f>'5. PERSON'!BF27</f>
        <v>0</v>
      </c>
      <c r="Q31" s="87">
        <f>'5. PERSON'!BG27</f>
        <v>0</v>
      </c>
      <c r="R31" s="87">
        <f>'5. PERSON'!BH27</f>
        <v>0</v>
      </c>
      <c r="S31" s="87">
        <f>'5. PERSON'!BI27</f>
        <v>0</v>
      </c>
      <c r="T31" s="87">
        <f>'5. PERSON'!BJ27</f>
        <v>0</v>
      </c>
      <c r="U31" s="87">
        <f>'5. PERSON'!BK27</f>
        <v>0</v>
      </c>
      <c r="V31" s="87">
        <f>'5. PERSON'!BL27</f>
        <v>0</v>
      </c>
      <c r="W31" s="87">
        <f>'5. PERSON'!BM27</f>
        <v>0</v>
      </c>
      <c r="X31" s="87">
        <f>'5. PERSON'!BN27</f>
        <v>0</v>
      </c>
      <c r="Y31" s="87">
        <f>'5. PERSON'!BO27</f>
        <v>0</v>
      </c>
      <c r="Z31" s="87">
        <f t="shared" si="1"/>
        <v>0</v>
      </c>
    </row>
    <row r="32" spans="2:26" s="37" customFormat="1" ht="13.5" customHeight="1" x14ac:dyDescent="0.2">
      <c r="B32" s="214" t="str">
        <f>IF('5. PERSON'!C28="","",'5. PERSON'!C28)</f>
        <v/>
      </c>
      <c r="C32" s="934">
        <f>('5. PERSON'!G28+'5. PERSON'!H28+'5. PERSON'!I28+'5. PERSON'!J28+'5. PERSON'!K28+'5. PERSON'!L28+'5. PERSON'!M28+'5. PERSON'!N28+'5. PERSON'!O28+'5. PERSON'!P28)/((YEAR('2. START'!$C$19)-YEAR('2. START'!$C$18))*12+MONTH('2. START'!$C$19)-MONTH('2. START'!$C$18)+1)</f>
        <v>0</v>
      </c>
      <c r="D32" s="934">
        <f>(('5. PERSON'!$G28+'5. PERSON'!$H28+'5. PERSON'!$I28+'5. PERSON'!$J28+'5. PERSON'!$K28+'5. PERSON'!$L28+'5. PERSON'!$M28+'5. PERSON'!$N28+'5. PERSON'!$O28+'5. PERSON'!$P28)*(1-'5. PERSON'!E28))/((YEAR('2. START'!$C$19)-YEAR('2. START'!$C$18))*12+MONTH('2. START'!$C$19)-MONTH('2. START'!$C$18)+1)</f>
        <v>0</v>
      </c>
      <c r="E32" s="98">
        <f>'5. PERSON'!AT28</f>
        <v>0</v>
      </c>
      <c r="F32" s="98">
        <f>'5. PERSON'!AU28</f>
        <v>0</v>
      </c>
      <c r="G32" s="98">
        <f>'5. PERSON'!AV28</f>
        <v>0</v>
      </c>
      <c r="H32" s="98">
        <f>'5. PERSON'!AW28</f>
        <v>0</v>
      </c>
      <c r="I32" s="98">
        <f>'5. PERSON'!AX28</f>
        <v>0</v>
      </c>
      <c r="J32" s="98">
        <f>'5. PERSON'!AY28</f>
        <v>0</v>
      </c>
      <c r="K32" s="98">
        <f>'5. PERSON'!AZ28</f>
        <v>0</v>
      </c>
      <c r="L32" s="98">
        <f>'5. PERSON'!BA28</f>
        <v>0</v>
      </c>
      <c r="M32" s="98">
        <f>'5. PERSON'!BB28</f>
        <v>0</v>
      </c>
      <c r="N32" s="98">
        <f>'5. PERSON'!BC28</f>
        <v>0</v>
      </c>
      <c r="O32" s="98">
        <f>'5. PERSON'!BD28</f>
        <v>0</v>
      </c>
      <c r="P32" s="98">
        <f>'5. PERSON'!BF28</f>
        <v>0</v>
      </c>
      <c r="Q32" s="98">
        <f>'5. PERSON'!BG28</f>
        <v>0</v>
      </c>
      <c r="R32" s="98">
        <f>'5. PERSON'!BH28</f>
        <v>0</v>
      </c>
      <c r="S32" s="98">
        <f>'5. PERSON'!BI28</f>
        <v>0</v>
      </c>
      <c r="T32" s="98">
        <f>'5. PERSON'!BJ28</f>
        <v>0</v>
      </c>
      <c r="U32" s="98">
        <f>'5. PERSON'!BK28</f>
        <v>0</v>
      </c>
      <c r="V32" s="98">
        <f>'5. PERSON'!BL28</f>
        <v>0</v>
      </c>
      <c r="W32" s="98">
        <f>'5. PERSON'!BM28</f>
        <v>0</v>
      </c>
      <c r="X32" s="98">
        <f>'5. PERSON'!BN28</f>
        <v>0</v>
      </c>
      <c r="Y32" s="98">
        <f>'5. PERSON'!BO28</f>
        <v>0</v>
      </c>
      <c r="Z32" s="98">
        <f t="shared" si="1"/>
        <v>0</v>
      </c>
    </row>
    <row r="33" spans="2:26" s="37" customFormat="1" ht="13.5" customHeight="1" x14ac:dyDescent="0.2">
      <c r="B33" s="206" t="str">
        <f>IF('5. PERSON'!C29="","",'5. PERSON'!C29)</f>
        <v/>
      </c>
      <c r="C33" s="933">
        <f>('5. PERSON'!G29+'5. PERSON'!H29+'5. PERSON'!I29+'5. PERSON'!J29+'5. PERSON'!K29+'5. PERSON'!L29+'5. PERSON'!M29+'5. PERSON'!N29+'5. PERSON'!O29+'5. PERSON'!P29)/((YEAR('2. START'!$C$19)-YEAR('2. START'!$C$18))*12+MONTH('2. START'!$C$19)-MONTH('2. START'!$C$18)+1)</f>
        <v>0</v>
      </c>
      <c r="D33" s="933">
        <f>(('5. PERSON'!$G29+'5. PERSON'!$H29+'5. PERSON'!$I29+'5. PERSON'!$J29+'5. PERSON'!$K29+'5. PERSON'!$L29+'5. PERSON'!$M29+'5. PERSON'!$N29+'5. PERSON'!$O29+'5. PERSON'!$P29)*(1-'5. PERSON'!E29))/((YEAR('2. START'!$C$19)-YEAR('2. START'!$C$18))*12+MONTH('2. START'!$C$19)-MONTH('2. START'!$C$18)+1)</f>
        <v>0</v>
      </c>
      <c r="E33" s="87">
        <f>'5. PERSON'!AT29</f>
        <v>0</v>
      </c>
      <c r="F33" s="87">
        <f>'5. PERSON'!AU29</f>
        <v>0</v>
      </c>
      <c r="G33" s="87">
        <f>'5. PERSON'!AV29</f>
        <v>0</v>
      </c>
      <c r="H33" s="87">
        <f>'5. PERSON'!AW29</f>
        <v>0</v>
      </c>
      <c r="I33" s="87">
        <f>'5. PERSON'!AX29</f>
        <v>0</v>
      </c>
      <c r="J33" s="87">
        <f>'5. PERSON'!AY29</f>
        <v>0</v>
      </c>
      <c r="K33" s="87">
        <f>'5. PERSON'!AZ29</f>
        <v>0</v>
      </c>
      <c r="L33" s="87">
        <f>'5. PERSON'!BA29</f>
        <v>0</v>
      </c>
      <c r="M33" s="87">
        <f>'5. PERSON'!BB29</f>
        <v>0</v>
      </c>
      <c r="N33" s="87">
        <f>'5. PERSON'!BC29</f>
        <v>0</v>
      </c>
      <c r="O33" s="87">
        <f>'5. PERSON'!BD29</f>
        <v>0</v>
      </c>
      <c r="P33" s="87">
        <f>'5. PERSON'!BF29</f>
        <v>0</v>
      </c>
      <c r="Q33" s="87">
        <f>'5. PERSON'!BG29</f>
        <v>0</v>
      </c>
      <c r="R33" s="87">
        <f>'5. PERSON'!BH29</f>
        <v>0</v>
      </c>
      <c r="S33" s="87">
        <f>'5. PERSON'!BI29</f>
        <v>0</v>
      </c>
      <c r="T33" s="87">
        <f>'5. PERSON'!BJ29</f>
        <v>0</v>
      </c>
      <c r="U33" s="87">
        <f>'5. PERSON'!BK29</f>
        <v>0</v>
      </c>
      <c r="V33" s="87">
        <f>'5. PERSON'!BL29</f>
        <v>0</v>
      </c>
      <c r="W33" s="87">
        <f>'5. PERSON'!BM29</f>
        <v>0</v>
      </c>
      <c r="X33" s="87">
        <f>'5. PERSON'!BN29</f>
        <v>0</v>
      </c>
      <c r="Y33" s="87">
        <f>'5. PERSON'!BO29</f>
        <v>0</v>
      </c>
      <c r="Z33" s="87">
        <f t="shared" si="1"/>
        <v>0</v>
      </c>
    </row>
    <row r="34" spans="2:26" s="37" customFormat="1" ht="13.5" customHeight="1" x14ac:dyDescent="0.2">
      <c r="B34" s="214" t="str">
        <f>IF('5. PERSON'!C30="","",'5. PERSON'!C30)</f>
        <v/>
      </c>
      <c r="C34" s="934">
        <f>('5. PERSON'!G30+'5. PERSON'!H30+'5. PERSON'!I30+'5. PERSON'!J30+'5. PERSON'!K30+'5. PERSON'!L30+'5. PERSON'!M30+'5. PERSON'!N30+'5. PERSON'!O30+'5. PERSON'!P30)/((YEAR('2. START'!$C$19)-YEAR('2. START'!$C$18))*12+MONTH('2. START'!$C$19)-MONTH('2. START'!$C$18)+1)</f>
        <v>0</v>
      </c>
      <c r="D34" s="934">
        <f>(('5. PERSON'!$G30+'5. PERSON'!$H30+'5. PERSON'!$I30+'5. PERSON'!$J30+'5. PERSON'!$K30+'5. PERSON'!$L30+'5. PERSON'!$M30+'5. PERSON'!$N30+'5. PERSON'!$O30+'5. PERSON'!$P30)*(1-'5. PERSON'!E30))/((YEAR('2. START'!$C$19)-YEAR('2. START'!$C$18))*12+MONTH('2. START'!$C$19)-MONTH('2. START'!$C$18)+1)</f>
        <v>0</v>
      </c>
      <c r="E34" s="98">
        <f>'5. PERSON'!AT30</f>
        <v>0</v>
      </c>
      <c r="F34" s="98">
        <f>'5. PERSON'!AU30</f>
        <v>0</v>
      </c>
      <c r="G34" s="98">
        <f>'5. PERSON'!AV30</f>
        <v>0</v>
      </c>
      <c r="H34" s="98">
        <f>'5. PERSON'!AW30</f>
        <v>0</v>
      </c>
      <c r="I34" s="98">
        <f>'5. PERSON'!AX30</f>
        <v>0</v>
      </c>
      <c r="J34" s="98">
        <f>'5. PERSON'!AY30</f>
        <v>0</v>
      </c>
      <c r="K34" s="98">
        <f>'5. PERSON'!AZ30</f>
        <v>0</v>
      </c>
      <c r="L34" s="98">
        <f>'5. PERSON'!BA30</f>
        <v>0</v>
      </c>
      <c r="M34" s="98">
        <f>'5. PERSON'!BB30</f>
        <v>0</v>
      </c>
      <c r="N34" s="98">
        <f>'5. PERSON'!BC30</f>
        <v>0</v>
      </c>
      <c r="O34" s="98">
        <f>'5. PERSON'!BD30</f>
        <v>0</v>
      </c>
      <c r="P34" s="98">
        <f>'5. PERSON'!BF30</f>
        <v>0</v>
      </c>
      <c r="Q34" s="98">
        <f>'5. PERSON'!BG30</f>
        <v>0</v>
      </c>
      <c r="R34" s="98">
        <f>'5. PERSON'!BH30</f>
        <v>0</v>
      </c>
      <c r="S34" s="98">
        <f>'5. PERSON'!BI30</f>
        <v>0</v>
      </c>
      <c r="T34" s="98">
        <f>'5. PERSON'!BJ30</f>
        <v>0</v>
      </c>
      <c r="U34" s="98">
        <f>'5. PERSON'!BK30</f>
        <v>0</v>
      </c>
      <c r="V34" s="98">
        <f>'5. PERSON'!BL30</f>
        <v>0</v>
      </c>
      <c r="W34" s="98">
        <f>'5. PERSON'!BM30</f>
        <v>0</v>
      </c>
      <c r="X34" s="98">
        <f>'5. PERSON'!BN30</f>
        <v>0</v>
      </c>
      <c r="Y34" s="98">
        <f>'5. PERSON'!BO30</f>
        <v>0</v>
      </c>
      <c r="Z34" s="98">
        <f t="shared" si="1"/>
        <v>0</v>
      </c>
    </row>
    <row r="35" spans="2:26" s="37" customFormat="1" ht="13.5" customHeight="1" x14ac:dyDescent="0.2">
      <c r="B35" s="206" t="str">
        <f>IF('5. PERSON'!C31="","",'5. PERSON'!C31)</f>
        <v/>
      </c>
      <c r="C35" s="933">
        <f>('5. PERSON'!G31+'5. PERSON'!H31+'5. PERSON'!I31+'5. PERSON'!J31+'5. PERSON'!K31+'5. PERSON'!L31+'5. PERSON'!M31+'5. PERSON'!N31+'5. PERSON'!O31+'5. PERSON'!P31)/((YEAR('2. START'!$C$19)-YEAR('2. START'!$C$18))*12+MONTH('2. START'!$C$19)-MONTH('2. START'!$C$18)+1)</f>
        <v>0</v>
      </c>
      <c r="D35" s="933">
        <f>(('5. PERSON'!$G31+'5. PERSON'!$H31+'5. PERSON'!$I31+'5. PERSON'!$J31+'5. PERSON'!$K31+'5. PERSON'!$L31+'5. PERSON'!$M31+'5. PERSON'!$N31+'5. PERSON'!$O31+'5. PERSON'!$P31)*(1-'5. PERSON'!E31))/((YEAR('2. START'!$C$19)-YEAR('2. START'!$C$18))*12+MONTH('2. START'!$C$19)-MONTH('2. START'!$C$18)+1)</f>
        <v>0</v>
      </c>
      <c r="E35" s="87">
        <f>'5. PERSON'!AT31</f>
        <v>0</v>
      </c>
      <c r="F35" s="87">
        <f>'5. PERSON'!AU31</f>
        <v>0</v>
      </c>
      <c r="G35" s="87">
        <f>'5. PERSON'!AV31</f>
        <v>0</v>
      </c>
      <c r="H35" s="87">
        <f>'5. PERSON'!AW31</f>
        <v>0</v>
      </c>
      <c r="I35" s="87">
        <f>'5. PERSON'!AX31</f>
        <v>0</v>
      </c>
      <c r="J35" s="87">
        <f>'5. PERSON'!AY31</f>
        <v>0</v>
      </c>
      <c r="K35" s="87">
        <f>'5. PERSON'!AZ31</f>
        <v>0</v>
      </c>
      <c r="L35" s="87">
        <f>'5. PERSON'!BA31</f>
        <v>0</v>
      </c>
      <c r="M35" s="87">
        <f>'5. PERSON'!BB31</f>
        <v>0</v>
      </c>
      <c r="N35" s="87">
        <f>'5. PERSON'!BC31</f>
        <v>0</v>
      </c>
      <c r="O35" s="87">
        <f>'5. PERSON'!BD31</f>
        <v>0</v>
      </c>
      <c r="P35" s="87">
        <f>'5. PERSON'!BF31</f>
        <v>0</v>
      </c>
      <c r="Q35" s="87">
        <f>'5. PERSON'!BG31</f>
        <v>0</v>
      </c>
      <c r="R35" s="87">
        <f>'5. PERSON'!BH31</f>
        <v>0</v>
      </c>
      <c r="S35" s="87">
        <f>'5. PERSON'!BI31</f>
        <v>0</v>
      </c>
      <c r="T35" s="87">
        <f>'5. PERSON'!BJ31</f>
        <v>0</v>
      </c>
      <c r="U35" s="87">
        <f>'5. PERSON'!BK31</f>
        <v>0</v>
      </c>
      <c r="V35" s="87">
        <f>'5. PERSON'!BL31</f>
        <v>0</v>
      </c>
      <c r="W35" s="87">
        <f>'5. PERSON'!BM31</f>
        <v>0</v>
      </c>
      <c r="X35" s="87">
        <f>'5. PERSON'!BN31</f>
        <v>0</v>
      </c>
      <c r="Y35" s="87">
        <f>'5. PERSON'!BO31</f>
        <v>0</v>
      </c>
      <c r="Z35" s="87">
        <f t="shared" si="1"/>
        <v>0</v>
      </c>
    </row>
    <row r="36" spans="2:26" s="37" customFormat="1" ht="13.5" customHeight="1" x14ac:dyDescent="0.2">
      <c r="B36" s="214" t="str">
        <f>IF('5. PERSON'!C32="","",'5. PERSON'!C32)</f>
        <v/>
      </c>
      <c r="C36" s="934">
        <f>('5. PERSON'!G32+'5. PERSON'!H32+'5. PERSON'!I32+'5. PERSON'!J32+'5. PERSON'!K32+'5. PERSON'!L32+'5. PERSON'!M32+'5. PERSON'!N32+'5. PERSON'!O32+'5. PERSON'!P32)/((YEAR('2. START'!$C$19)-YEAR('2. START'!$C$18))*12+MONTH('2. START'!$C$19)-MONTH('2. START'!$C$18)+1)</f>
        <v>0</v>
      </c>
      <c r="D36" s="934">
        <f>(('5. PERSON'!$G32+'5. PERSON'!$H32+'5. PERSON'!$I32+'5. PERSON'!$J32+'5. PERSON'!$K32+'5. PERSON'!$L32+'5. PERSON'!$M32+'5. PERSON'!$N32+'5. PERSON'!$O32+'5. PERSON'!$P32)*(1-'5. PERSON'!E32))/((YEAR('2. START'!$C$19)-YEAR('2. START'!$C$18))*12+MONTH('2. START'!$C$19)-MONTH('2. START'!$C$18)+1)</f>
        <v>0</v>
      </c>
      <c r="E36" s="98">
        <f>'5. PERSON'!AT32</f>
        <v>0</v>
      </c>
      <c r="F36" s="98">
        <f>'5. PERSON'!AU32</f>
        <v>0</v>
      </c>
      <c r="G36" s="98">
        <f>'5. PERSON'!AV32</f>
        <v>0</v>
      </c>
      <c r="H36" s="98">
        <f>'5. PERSON'!AW32</f>
        <v>0</v>
      </c>
      <c r="I36" s="98">
        <f>'5. PERSON'!AX32</f>
        <v>0</v>
      </c>
      <c r="J36" s="98">
        <f>'5. PERSON'!AY32</f>
        <v>0</v>
      </c>
      <c r="K36" s="98">
        <f>'5. PERSON'!AZ32</f>
        <v>0</v>
      </c>
      <c r="L36" s="98">
        <f>'5. PERSON'!BA32</f>
        <v>0</v>
      </c>
      <c r="M36" s="98">
        <f>'5. PERSON'!BB32</f>
        <v>0</v>
      </c>
      <c r="N36" s="98">
        <f>'5. PERSON'!BC32</f>
        <v>0</v>
      </c>
      <c r="O36" s="98">
        <f>'5. PERSON'!BD32</f>
        <v>0</v>
      </c>
      <c r="P36" s="98">
        <f>'5. PERSON'!BF32</f>
        <v>0</v>
      </c>
      <c r="Q36" s="98">
        <f>'5. PERSON'!BG32</f>
        <v>0</v>
      </c>
      <c r="R36" s="98">
        <f>'5. PERSON'!BH32</f>
        <v>0</v>
      </c>
      <c r="S36" s="98">
        <f>'5. PERSON'!BI32</f>
        <v>0</v>
      </c>
      <c r="T36" s="98">
        <f>'5. PERSON'!BJ32</f>
        <v>0</v>
      </c>
      <c r="U36" s="98">
        <f>'5. PERSON'!BK32</f>
        <v>0</v>
      </c>
      <c r="V36" s="98">
        <f>'5. PERSON'!BL32</f>
        <v>0</v>
      </c>
      <c r="W36" s="98">
        <f>'5. PERSON'!BM32</f>
        <v>0</v>
      </c>
      <c r="X36" s="98">
        <f>'5. PERSON'!BN32</f>
        <v>0</v>
      </c>
      <c r="Y36" s="98">
        <f>'5. PERSON'!BO32</f>
        <v>0</v>
      </c>
      <c r="Z36" s="98">
        <f t="shared" si="1"/>
        <v>0</v>
      </c>
    </row>
    <row r="37" spans="2:26" s="37" customFormat="1" ht="13.5" customHeight="1" x14ac:dyDescent="0.2">
      <c r="B37" s="206" t="str">
        <f>IF('5. PERSON'!C33="","",'5. PERSON'!C33)</f>
        <v/>
      </c>
      <c r="C37" s="933">
        <f>('5. PERSON'!G33+'5. PERSON'!H33+'5. PERSON'!I33+'5. PERSON'!J33+'5. PERSON'!K33+'5. PERSON'!L33+'5. PERSON'!M33+'5. PERSON'!N33+'5. PERSON'!O33+'5. PERSON'!P33)/((YEAR('2. START'!$C$19)-YEAR('2. START'!$C$18))*12+MONTH('2. START'!$C$19)-MONTH('2. START'!$C$18)+1)</f>
        <v>0</v>
      </c>
      <c r="D37" s="933">
        <f>(('5. PERSON'!$G33+'5. PERSON'!$H33+'5. PERSON'!$I33+'5. PERSON'!$J33+'5. PERSON'!$K33+'5. PERSON'!$L33+'5. PERSON'!$M33+'5. PERSON'!$N33+'5. PERSON'!$O33+'5. PERSON'!$P33)*(1-'5. PERSON'!E33))/((YEAR('2. START'!$C$19)-YEAR('2. START'!$C$18))*12+MONTH('2. START'!$C$19)-MONTH('2. START'!$C$18)+1)</f>
        <v>0</v>
      </c>
      <c r="E37" s="87">
        <f>'5. PERSON'!AT33</f>
        <v>0</v>
      </c>
      <c r="F37" s="87">
        <f>'5. PERSON'!AU33</f>
        <v>0</v>
      </c>
      <c r="G37" s="87">
        <f>'5. PERSON'!AV33</f>
        <v>0</v>
      </c>
      <c r="H37" s="87">
        <f>'5. PERSON'!AW33</f>
        <v>0</v>
      </c>
      <c r="I37" s="87">
        <f>'5. PERSON'!AX33</f>
        <v>0</v>
      </c>
      <c r="J37" s="87">
        <f>'5. PERSON'!AY33</f>
        <v>0</v>
      </c>
      <c r="K37" s="87">
        <f>'5. PERSON'!AZ33</f>
        <v>0</v>
      </c>
      <c r="L37" s="87">
        <f>'5. PERSON'!BA33</f>
        <v>0</v>
      </c>
      <c r="M37" s="87">
        <f>'5. PERSON'!BB33</f>
        <v>0</v>
      </c>
      <c r="N37" s="87">
        <f>'5. PERSON'!BC33</f>
        <v>0</v>
      </c>
      <c r="O37" s="87">
        <f>'5. PERSON'!BD33</f>
        <v>0</v>
      </c>
      <c r="P37" s="87">
        <f>'5. PERSON'!BF33</f>
        <v>0</v>
      </c>
      <c r="Q37" s="87">
        <f>'5. PERSON'!BG33</f>
        <v>0</v>
      </c>
      <c r="R37" s="87">
        <f>'5. PERSON'!BH33</f>
        <v>0</v>
      </c>
      <c r="S37" s="87">
        <f>'5. PERSON'!BI33</f>
        <v>0</v>
      </c>
      <c r="T37" s="87">
        <f>'5. PERSON'!BJ33</f>
        <v>0</v>
      </c>
      <c r="U37" s="87">
        <f>'5. PERSON'!BK33</f>
        <v>0</v>
      </c>
      <c r="V37" s="87">
        <f>'5. PERSON'!BL33</f>
        <v>0</v>
      </c>
      <c r="W37" s="87">
        <f>'5. PERSON'!BM33</f>
        <v>0</v>
      </c>
      <c r="X37" s="87">
        <f>'5. PERSON'!BN33</f>
        <v>0</v>
      </c>
      <c r="Y37" s="87">
        <f>'5. PERSON'!BO33</f>
        <v>0</v>
      </c>
      <c r="Z37" s="87">
        <f t="shared" si="1"/>
        <v>0</v>
      </c>
    </row>
    <row r="38" spans="2:26" s="37" customFormat="1" ht="13.5" customHeight="1" x14ac:dyDescent="0.2">
      <c r="B38" s="214" t="str">
        <f>IF('5. PERSON'!C34="","",'5. PERSON'!C34)</f>
        <v/>
      </c>
      <c r="C38" s="934">
        <f>('5. PERSON'!G34+'5. PERSON'!H34+'5. PERSON'!I34+'5. PERSON'!J34+'5. PERSON'!K34+'5. PERSON'!L34+'5. PERSON'!M34+'5. PERSON'!N34+'5. PERSON'!O34+'5. PERSON'!P34)/((YEAR('2. START'!$C$19)-YEAR('2. START'!$C$18))*12+MONTH('2. START'!$C$19)-MONTH('2. START'!$C$18)+1)</f>
        <v>0</v>
      </c>
      <c r="D38" s="934">
        <f>(('5. PERSON'!$G34+'5. PERSON'!$H34+'5. PERSON'!$I34+'5. PERSON'!$J34+'5. PERSON'!$K34+'5. PERSON'!$L34+'5. PERSON'!$M34+'5. PERSON'!$N34+'5. PERSON'!$O34+'5. PERSON'!$P34)*(1-'5. PERSON'!E34))/((YEAR('2. START'!$C$19)-YEAR('2. START'!$C$18))*12+MONTH('2. START'!$C$19)-MONTH('2. START'!$C$18)+1)</f>
        <v>0</v>
      </c>
      <c r="E38" s="98">
        <f>'5. PERSON'!AT34</f>
        <v>0</v>
      </c>
      <c r="F38" s="98">
        <f>'5. PERSON'!AU34</f>
        <v>0</v>
      </c>
      <c r="G38" s="98">
        <f>'5. PERSON'!AV34</f>
        <v>0</v>
      </c>
      <c r="H38" s="98">
        <f>'5. PERSON'!AW34</f>
        <v>0</v>
      </c>
      <c r="I38" s="98">
        <f>'5. PERSON'!AX34</f>
        <v>0</v>
      </c>
      <c r="J38" s="98">
        <f>'5. PERSON'!AY34</f>
        <v>0</v>
      </c>
      <c r="K38" s="98">
        <f>'5. PERSON'!AZ34</f>
        <v>0</v>
      </c>
      <c r="L38" s="98">
        <f>'5. PERSON'!BA34</f>
        <v>0</v>
      </c>
      <c r="M38" s="98">
        <f>'5. PERSON'!BB34</f>
        <v>0</v>
      </c>
      <c r="N38" s="98">
        <f>'5. PERSON'!BC34</f>
        <v>0</v>
      </c>
      <c r="O38" s="98">
        <f>'5. PERSON'!BD34</f>
        <v>0</v>
      </c>
      <c r="P38" s="98">
        <f>'5. PERSON'!BF34</f>
        <v>0</v>
      </c>
      <c r="Q38" s="98">
        <f>'5. PERSON'!BG34</f>
        <v>0</v>
      </c>
      <c r="R38" s="98">
        <f>'5. PERSON'!BH34</f>
        <v>0</v>
      </c>
      <c r="S38" s="98">
        <f>'5. PERSON'!BI34</f>
        <v>0</v>
      </c>
      <c r="T38" s="98">
        <f>'5. PERSON'!BJ34</f>
        <v>0</v>
      </c>
      <c r="U38" s="98">
        <f>'5. PERSON'!BK34</f>
        <v>0</v>
      </c>
      <c r="V38" s="98">
        <f>'5. PERSON'!BL34</f>
        <v>0</v>
      </c>
      <c r="W38" s="98">
        <f>'5. PERSON'!BM34</f>
        <v>0</v>
      </c>
      <c r="X38" s="98">
        <f>'5. PERSON'!BN34</f>
        <v>0</v>
      </c>
      <c r="Y38" s="98">
        <f>'5. PERSON'!BO34</f>
        <v>0</v>
      </c>
      <c r="Z38" s="98">
        <f t="shared" si="1"/>
        <v>0</v>
      </c>
    </row>
    <row r="39" spans="2:26" s="37" customFormat="1" ht="13.5" customHeight="1" x14ac:dyDescent="0.2">
      <c r="B39" s="206" t="str">
        <f>IF('5. PERSON'!C35="","",'5. PERSON'!C35)</f>
        <v/>
      </c>
      <c r="C39" s="933">
        <f>('5. PERSON'!G35+'5. PERSON'!H35+'5. PERSON'!I35+'5. PERSON'!J35+'5. PERSON'!K35+'5. PERSON'!L35+'5. PERSON'!M35+'5. PERSON'!N35+'5. PERSON'!O35+'5. PERSON'!P35)/((YEAR('2. START'!$C$19)-YEAR('2. START'!$C$18))*12+MONTH('2. START'!$C$19)-MONTH('2. START'!$C$18)+1)</f>
        <v>0</v>
      </c>
      <c r="D39" s="933">
        <f>(('5. PERSON'!$G35+'5. PERSON'!$H35+'5. PERSON'!$I35+'5. PERSON'!$J35+'5. PERSON'!$K35+'5. PERSON'!$L35+'5. PERSON'!$M35+'5. PERSON'!$N35+'5. PERSON'!$O35+'5. PERSON'!$P35)*(1-'5. PERSON'!E35))/((YEAR('2. START'!$C$19)-YEAR('2. START'!$C$18))*12+MONTH('2. START'!$C$19)-MONTH('2. START'!$C$18)+1)</f>
        <v>0</v>
      </c>
      <c r="E39" s="87">
        <f>'5. PERSON'!AT35</f>
        <v>0</v>
      </c>
      <c r="F39" s="87">
        <f>'5. PERSON'!AU35</f>
        <v>0</v>
      </c>
      <c r="G39" s="87">
        <f>'5. PERSON'!AV35</f>
        <v>0</v>
      </c>
      <c r="H39" s="87">
        <f>'5. PERSON'!AW35</f>
        <v>0</v>
      </c>
      <c r="I39" s="87">
        <f>'5. PERSON'!AX35</f>
        <v>0</v>
      </c>
      <c r="J39" s="87">
        <f>'5. PERSON'!AY35</f>
        <v>0</v>
      </c>
      <c r="K39" s="87">
        <f>'5. PERSON'!AZ35</f>
        <v>0</v>
      </c>
      <c r="L39" s="87">
        <f>'5. PERSON'!BA35</f>
        <v>0</v>
      </c>
      <c r="M39" s="87">
        <f>'5. PERSON'!BB35</f>
        <v>0</v>
      </c>
      <c r="N39" s="87">
        <f>'5. PERSON'!BC35</f>
        <v>0</v>
      </c>
      <c r="O39" s="87">
        <f>'5. PERSON'!BD35</f>
        <v>0</v>
      </c>
      <c r="P39" s="87">
        <f>'5. PERSON'!BF35</f>
        <v>0</v>
      </c>
      <c r="Q39" s="87">
        <f>'5. PERSON'!BG35</f>
        <v>0</v>
      </c>
      <c r="R39" s="87">
        <f>'5. PERSON'!BH35</f>
        <v>0</v>
      </c>
      <c r="S39" s="87">
        <f>'5. PERSON'!BI35</f>
        <v>0</v>
      </c>
      <c r="T39" s="87">
        <f>'5. PERSON'!BJ35</f>
        <v>0</v>
      </c>
      <c r="U39" s="87">
        <f>'5. PERSON'!BK35</f>
        <v>0</v>
      </c>
      <c r="V39" s="87">
        <f>'5. PERSON'!BL35</f>
        <v>0</v>
      </c>
      <c r="W39" s="87">
        <f>'5. PERSON'!BM35</f>
        <v>0</v>
      </c>
      <c r="X39" s="87">
        <f>'5. PERSON'!BN35</f>
        <v>0</v>
      </c>
      <c r="Y39" s="87">
        <f>'5. PERSON'!BO35</f>
        <v>0</v>
      </c>
      <c r="Z39" s="87">
        <f t="shared" si="1"/>
        <v>0</v>
      </c>
    </row>
    <row r="40" spans="2:26" s="37" customFormat="1" ht="13.5" customHeight="1" x14ac:dyDescent="0.2">
      <c r="B40" s="214" t="str">
        <f>IF('5. PERSON'!C36="","",'5. PERSON'!C36)</f>
        <v/>
      </c>
      <c r="C40" s="934">
        <f>('5. PERSON'!G36+'5. PERSON'!H36+'5. PERSON'!I36+'5. PERSON'!J36+'5. PERSON'!K36+'5. PERSON'!L36+'5. PERSON'!M36+'5. PERSON'!N36+'5. PERSON'!O36+'5. PERSON'!P36)/((YEAR('2. START'!$C$19)-YEAR('2. START'!$C$18))*12+MONTH('2. START'!$C$19)-MONTH('2. START'!$C$18)+1)</f>
        <v>0</v>
      </c>
      <c r="D40" s="934">
        <f>(('5. PERSON'!$G36+'5. PERSON'!$H36+'5. PERSON'!$I36+'5. PERSON'!$J36+'5. PERSON'!$K36+'5. PERSON'!$L36+'5. PERSON'!$M36+'5. PERSON'!$N36+'5. PERSON'!$O36+'5. PERSON'!$P36)*(1-'5. PERSON'!E36))/((YEAR('2. START'!$C$19)-YEAR('2. START'!$C$18))*12+MONTH('2. START'!$C$19)-MONTH('2. START'!$C$18)+1)</f>
        <v>0</v>
      </c>
      <c r="E40" s="98">
        <f>'5. PERSON'!AT36</f>
        <v>0</v>
      </c>
      <c r="F40" s="98">
        <f>'5. PERSON'!AU36</f>
        <v>0</v>
      </c>
      <c r="G40" s="98">
        <f>'5. PERSON'!AV36</f>
        <v>0</v>
      </c>
      <c r="H40" s="98">
        <f>'5. PERSON'!AW36</f>
        <v>0</v>
      </c>
      <c r="I40" s="98">
        <f>'5. PERSON'!AX36</f>
        <v>0</v>
      </c>
      <c r="J40" s="98">
        <f>'5. PERSON'!AY36</f>
        <v>0</v>
      </c>
      <c r="K40" s="98">
        <f>'5. PERSON'!AZ36</f>
        <v>0</v>
      </c>
      <c r="L40" s="98">
        <f>'5. PERSON'!BA36</f>
        <v>0</v>
      </c>
      <c r="M40" s="98">
        <f>'5. PERSON'!BB36</f>
        <v>0</v>
      </c>
      <c r="N40" s="98">
        <f>'5. PERSON'!BC36</f>
        <v>0</v>
      </c>
      <c r="O40" s="98">
        <f>'5. PERSON'!BD36</f>
        <v>0</v>
      </c>
      <c r="P40" s="98">
        <f>'5. PERSON'!BF36</f>
        <v>0</v>
      </c>
      <c r="Q40" s="98">
        <f>'5. PERSON'!BG36</f>
        <v>0</v>
      </c>
      <c r="R40" s="98">
        <f>'5. PERSON'!BH36</f>
        <v>0</v>
      </c>
      <c r="S40" s="98">
        <f>'5. PERSON'!BI36</f>
        <v>0</v>
      </c>
      <c r="T40" s="98">
        <f>'5. PERSON'!BJ36</f>
        <v>0</v>
      </c>
      <c r="U40" s="98">
        <f>'5. PERSON'!BK36</f>
        <v>0</v>
      </c>
      <c r="V40" s="98">
        <f>'5. PERSON'!BL36</f>
        <v>0</v>
      </c>
      <c r="W40" s="98">
        <f>'5. PERSON'!BM36</f>
        <v>0</v>
      </c>
      <c r="X40" s="98">
        <f>'5. PERSON'!BN36</f>
        <v>0</v>
      </c>
      <c r="Y40" s="98">
        <f>'5. PERSON'!BO36</f>
        <v>0</v>
      </c>
      <c r="Z40" s="98">
        <f t="shared" si="1"/>
        <v>0</v>
      </c>
    </row>
    <row r="41" spans="2:26" s="37" customFormat="1" ht="13.5" customHeight="1" x14ac:dyDescent="0.2">
      <c r="B41" s="206" t="str">
        <f>IF('5. PERSON'!C37="","",'5. PERSON'!C37)</f>
        <v/>
      </c>
      <c r="C41" s="933">
        <f>('5. PERSON'!G37+'5. PERSON'!H37+'5. PERSON'!I37+'5. PERSON'!J37+'5. PERSON'!K37+'5. PERSON'!L37+'5. PERSON'!M37+'5. PERSON'!N37+'5. PERSON'!O37+'5. PERSON'!P37)/((YEAR('2. START'!$C$19)-YEAR('2. START'!$C$18))*12+MONTH('2. START'!$C$19)-MONTH('2. START'!$C$18)+1)</f>
        <v>0</v>
      </c>
      <c r="D41" s="933">
        <f>(('5. PERSON'!$G37+'5. PERSON'!$H37+'5. PERSON'!$I37+'5. PERSON'!$J37+'5. PERSON'!$K37+'5. PERSON'!$L37+'5. PERSON'!$M37+'5. PERSON'!$N37+'5. PERSON'!$O37+'5. PERSON'!$P37)*(1-'5. PERSON'!E37))/((YEAR('2. START'!$C$19)-YEAR('2. START'!$C$18))*12+MONTH('2. START'!$C$19)-MONTH('2. START'!$C$18)+1)</f>
        <v>0</v>
      </c>
      <c r="E41" s="87">
        <f>'5. PERSON'!AT37</f>
        <v>0</v>
      </c>
      <c r="F41" s="87">
        <f>'5. PERSON'!AU37</f>
        <v>0</v>
      </c>
      <c r="G41" s="87">
        <f>'5. PERSON'!AV37</f>
        <v>0</v>
      </c>
      <c r="H41" s="87">
        <f>'5. PERSON'!AW37</f>
        <v>0</v>
      </c>
      <c r="I41" s="87">
        <f>'5. PERSON'!AX37</f>
        <v>0</v>
      </c>
      <c r="J41" s="87">
        <f>'5. PERSON'!AY37</f>
        <v>0</v>
      </c>
      <c r="K41" s="87">
        <f>'5. PERSON'!AZ37</f>
        <v>0</v>
      </c>
      <c r="L41" s="87">
        <f>'5. PERSON'!BA37</f>
        <v>0</v>
      </c>
      <c r="M41" s="87">
        <f>'5. PERSON'!BB37</f>
        <v>0</v>
      </c>
      <c r="N41" s="87">
        <f>'5. PERSON'!BC37</f>
        <v>0</v>
      </c>
      <c r="O41" s="87">
        <f>'5. PERSON'!BD37</f>
        <v>0</v>
      </c>
      <c r="P41" s="87">
        <f>'5. PERSON'!BF37</f>
        <v>0</v>
      </c>
      <c r="Q41" s="87">
        <f>'5. PERSON'!BG37</f>
        <v>0</v>
      </c>
      <c r="R41" s="87">
        <f>'5. PERSON'!BH37</f>
        <v>0</v>
      </c>
      <c r="S41" s="87">
        <f>'5. PERSON'!BI37</f>
        <v>0</v>
      </c>
      <c r="T41" s="87">
        <f>'5. PERSON'!BJ37</f>
        <v>0</v>
      </c>
      <c r="U41" s="87">
        <f>'5. PERSON'!BK37</f>
        <v>0</v>
      </c>
      <c r="V41" s="87">
        <f>'5. PERSON'!BL37</f>
        <v>0</v>
      </c>
      <c r="W41" s="87">
        <f>'5. PERSON'!BM37</f>
        <v>0</v>
      </c>
      <c r="X41" s="87">
        <f>'5. PERSON'!BN37</f>
        <v>0</v>
      </c>
      <c r="Y41" s="87">
        <f>'5. PERSON'!BO37</f>
        <v>0</v>
      </c>
      <c r="Z41" s="87">
        <f t="shared" si="1"/>
        <v>0</v>
      </c>
    </row>
    <row r="42" spans="2:26" s="37" customFormat="1" ht="13.5" customHeight="1" x14ac:dyDescent="0.2">
      <c r="B42" s="214" t="str">
        <f>IF('5. PERSON'!C38="","",'5. PERSON'!C38)</f>
        <v/>
      </c>
      <c r="C42" s="934">
        <f>('5. PERSON'!G38+'5. PERSON'!H38+'5. PERSON'!I38+'5. PERSON'!J38+'5. PERSON'!K38+'5. PERSON'!L38+'5. PERSON'!M38+'5. PERSON'!N38+'5. PERSON'!O38+'5. PERSON'!P38)/((YEAR('2. START'!$C$19)-YEAR('2. START'!$C$18))*12+MONTH('2. START'!$C$19)-MONTH('2. START'!$C$18)+1)</f>
        <v>0</v>
      </c>
      <c r="D42" s="934">
        <f>(('5. PERSON'!$G38+'5. PERSON'!$H38+'5. PERSON'!$I38+'5. PERSON'!$J38+'5. PERSON'!$K38+'5. PERSON'!$L38+'5. PERSON'!$M38+'5. PERSON'!$N38+'5. PERSON'!$O38+'5. PERSON'!$P38)*(1-'5. PERSON'!E38))/((YEAR('2. START'!$C$19)-YEAR('2. START'!$C$18))*12+MONTH('2. START'!$C$19)-MONTH('2. START'!$C$18)+1)</f>
        <v>0</v>
      </c>
      <c r="E42" s="98">
        <f>'5. PERSON'!AT38</f>
        <v>0</v>
      </c>
      <c r="F42" s="98">
        <f>'5. PERSON'!AU38</f>
        <v>0</v>
      </c>
      <c r="G42" s="98">
        <f>'5. PERSON'!AV38</f>
        <v>0</v>
      </c>
      <c r="H42" s="98">
        <f>'5. PERSON'!AW38</f>
        <v>0</v>
      </c>
      <c r="I42" s="98">
        <f>'5. PERSON'!AX38</f>
        <v>0</v>
      </c>
      <c r="J42" s="98">
        <f>'5. PERSON'!AY38</f>
        <v>0</v>
      </c>
      <c r="K42" s="98">
        <f>'5. PERSON'!AZ38</f>
        <v>0</v>
      </c>
      <c r="L42" s="98">
        <f>'5. PERSON'!BA38</f>
        <v>0</v>
      </c>
      <c r="M42" s="98">
        <f>'5. PERSON'!BB38</f>
        <v>0</v>
      </c>
      <c r="N42" s="98">
        <f>'5. PERSON'!BC38</f>
        <v>0</v>
      </c>
      <c r="O42" s="98">
        <f>'5. PERSON'!BD38</f>
        <v>0</v>
      </c>
      <c r="P42" s="98">
        <f>'5. PERSON'!BF38</f>
        <v>0</v>
      </c>
      <c r="Q42" s="98">
        <f>'5. PERSON'!BG38</f>
        <v>0</v>
      </c>
      <c r="R42" s="98">
        <f>'5. PERSON'!BH38</f>
        <v>0</v>
      </c>
      <c r="S42" s="98">
        <f>'5. PERSON'!BI38</f>
        <v>0</v>
      </c>
      <c r="T42" s="98">
        <f>'5. PERSON'!BJ38</f>
        <v>0</v>
      </c>
      <c r="U42" s="98">
        <f>'5. PERSON'!BK38</f>
        <v>0</v>
      </c>
      <c r="V42" s="98">
        <f>'5. PERSON'!BL38</f>
        <v>0</v>
      </c>
      <c r="W42" s="98">
        <f>'5. PERSON'!BM38</f>
        <v>0</v>
      </c>
      <c r="X42" s="98">
        <f>'5. PERSON'!BN38</f>
        <v>0</v>
      </c>
      <c r="Y42" s="98">
        <f>'5. PERSON'!BO38</f>
        <v>0</v>
      </c>
      <c r="Z42" s="98">
        <f t="shared" si="1"/>
        <v>0</v>
      </c>
    </row>
    <row r="43" spans="2:26" s="37" customFormat="1" ht="13.5" customHeight="1" x14ac:dyDescent="0.2">
      <c r="B43" s="206" t="str">
        <f>IF('5. PERSON'!C39="","",'5. PERSON'!C39)</f>
        <v/>
      </c>
      <c r="C43" s="933">
        <f>('5. PERSON'!G39+'5. PERSON'!H39+'5. PERSON'!I39+'5. PERSON'!J39+'5. PERSON'!K39+'5. PERSON'!L39+'5. PERSON'!M39+'5. PERSON'!N39+'5. PERSON'!O39+'5. PERSON'!P39)/((YEAR('2. START'!$C$19)-YEAR('2. START'!$C$18))*12+MONTH('2. START'!$C$19)-MONTH('2. START'!$C$18)+1)</f>
        <v>0</v>
      </c>
      <c r="D43" s="933">
        <f>(('5. PERSON'!$G39+'5. PERSON'!$H39+'5. PERSON'!$I39+'5. PERSON'!$J39+'5. PERSON'!$K39+'5. PERSON'!$L39+'5. PERSON'!$M39+'5. PERSON'!$N39+'5. PERSON'!$O39+'5. PERSON'!$P39)*(1-'5. PERSON'!E39))/((YEAR('2. START'!$C$19)-YEAR('2. START'!$C$18))*12+MONTH('2. START'!$C$19)-MONTH('2. START'!$C$18)+1)</f>
        <v>0</v>
      </c>
      <c r="E43" s="87">
        <f>'5. PERSON'!AT39</f>
        <v>0</v>
      </c>
      <c r="F43" s="87">
        <f>'5. PERSON'!AU39</f>
        <v>0</v>
      </c>
      <c r="G43" s="87">
        <f>'5. PERSON'!AV39</f>
        <v>0</v>
      </c>
      <c r="H43" s="87">
        <f>'5. PERSON'!AW39</f>
        <v>0</v>
      </c>
      <c r="I43" s="87">
        <f>'5. PERSON'!AX39</f>
        <v>0</v>
      </c>
      <c r="J43" s="87">
        <f>'5. PERSON'!AY39</f>
        <v>0</v>
      </c>
      <c r="K43" s="87">
        <f>'5. PERSON'!AZ39</f>
        <v>0</v>
      </c>
      <c r="L43" s="87">
        <f>'5. PERSON'!BA39</f>
        <v>0</v>
      </c>
      <c r="M43" s="87">
        <f>'5. PERSON'!BB39</f>
        <v>0</v>
      </c>
      <c r="N43" s="87">
        <f>'5. PERSON'!BC39</f>
        <v>0</v>
      </c>
      <c r="O43" s="87">
        <f>'5. PERSON'!BD39</f>
        <v>0</v>
      </c>
      <c r="P43" s="87">
        <f>'5. PERSON'!BF39</f>
        <v>0</v>
      </c>
      <c r="Q43" s="87">
        <f>'5. PERSON'!BG39</f>
        <v>0</v>
      </c>
      <c r="R43" s="87">
        <f>'5. PERSON'!BH39</f>
        <v>0</v>
      </c>
      <c r="S43" s="87">
        <f>'5. PERSON'!BI39</f>
        <v>0</v>
      </c>
      <c r="T43" s="87">
        <f>'5. PERSON'!BJ39</f>
        <v>0</v>
      </c>
      <c r="U43" s="87">
        <f>'5. PERSON'!BK39</f>
        <v>0</v>
      </c>
      <c r="V43" s="87">
        <f>'5. PERSON'!BL39</f>
        <v>0</v>
      </c>
      <c r="W43" s="87">
        <f>'5. PERSON'!BM39</f>
        <v>0</v>
      </c>
      <c r="X43" s="87">
        <f>'5. PERSON'!BN39</f>
        <v>0</v>
      </c>
      <c r="Y43" s="87">
        <f>'5. PERSON'!BO39</f>
        <v>0</v>
      </c>
      <c r="Z43" s="87">
        <f t="shared" si="1"/>
        <v>0</v>
      </c>
    </row>
    <row r="44" spans="2:26" s="37" customFormat="1" ht="13.5" customHeight="1" x14ac:dyDescent="0.2">
      <c r="B44" s="214" t="str">
        <f>IF('5. PERSON'!C40="","",'5. PERSON'!C40)</f>
        <v/>
      </c>
      <c r="C44" s="934">
        <f>('5. PERSON'!G40+'5. PERSON'!H40+'5. PERSON'!I40+'5. PERSON'!J40+'5. PERSON'!K40+'5. PERSON'!L40+'5. PERSON'!M40+'5. PERSON'!N40+'5. PERSON'!O40+'5. PERSON'!P40)/((YEAR('2. START'!$C$19)-YEAR('2. START'!$C$18))*12+MONTH('2. START'!$C$19)-MONTH('2. START'!$C$18)+1)</f>
        <v>0</v>
      </c>
      <c r="D44" s="934">
        <f>(('5. PERSON'!$G40+'5. PERSON'!$H40+'5. PERSON'!$I40+'5. PERSON'!$J40+'5. PERSON'!$K40+'5. PERSON'!$L40+'5. PERSON'!$M40+'5. PERSON'!$N40+'5. PERSON'!$O40+'5. PERSON'!$P40)*(1-'5. PERSON'!E40))/((YEAR('2. START'!$C$19)-YEAR('2. START'!$C$18))*12+MONTH('2. START'!$C$19)-MONTH('2. START'!$C$18)+1)</f>
        <v>0</v>
      </c>
      <c r="E44" s="98">
        <f>'5. PERSON'!AT40</f>
        <v>0</v>
      </c>
      <c r="F44" s="98">
        <f>'5. PERSON'!AU40</f>
        <v>0</v>
      </c>
      <c r="G44" s="98">
        <f>'5. PERSON'!AV40</f>
        <v>0</v>
      </c>
      <c r="H44" s="98">
        <f>'5. PERSON'!AW40</f>
        <v>0</v>
      </c>
      <c r="I44" s="98">
        <f>'5. PERSON'!AX40</f>
        <v>0</v>
      </c>
      <c r="J44" s="98">
        <f>'5. PERSON'!AY40</f>
        <v>0</v>
      </c>
      <c r="K44" s="98">
        <f>'5. PERSON'!AZ40</f>
        <v>0</v>
      </c>
      <c r="L44" s="98">
        <f>'5. PERSON'!BA40</f>
        <v>0</v>
      </c>
      <c r="M44" s="98">
        <f>'5. PERSON'!BB40</f>
        <v>0</v>
      </c>
      <c r="N44" s="98">
        <f>'5. PERSON'!BC40</f>
        <v>0</v>
      </c>
      <c r="O44" s="98">
        <f>'5. PERSON'!BD40</f>
        <v>0</v>
      </c>
      <c r="P44" s="98">
        <f>'5. PERSON'!BF40</f>
        <v>0</v>
      </c>
      <c r="Q44" s="98">
        <f>'5. PERSON'!BG40</f>
        <v>0</v>
      </c>
      <c r="R44" s="98">
        <f>'5. PERSON'!BH40</f>
        <v>0</v>
      </c>
      <c r="S44" s="98">
        <f>'5. PERSON'!BI40</f>
        <v>0</v>
      </c>
      <c r="T44" s="98">
        <f>'5. PERSON'!BJ40</f>
        <v>0</v>
      </c>
      <c r="U44" s="98">
        <f>'5. PERSON'!BK40</f>
        <v>0</v>
      </c>
      <c r="V44" s="98">
        <f>'5. PERSON'!BL40</f>
        <v>0</v>
      </c>
      <c r="W44" s="98">
        <f>'5. PERSON'!BM40</f>
        <v>0</v>
      </c>
      <c r="X44" s="98">
        <f>'5. PERSON'!BN40</f>
        <v>0</v>
      </c>
      <c r="Y44" s="98">
        <f>'5. PERSON'!BO40</f>
        <v>0</v>
      </c>
      <c r="Z44" s="98">
        <f t="shared" si="1"/>
        <v>0</v>
      </c>
    </row>
    <row r="45" spans="2:26" s="37" customFormat="1" ht="13.5" customHeight="1" x14ac:dyDescent="0.2">
      <c r="B45" s="206" t="str">
        <f>IF('5. PERSON'!C41="","",'5. PERSON'!C41)</f>
        <v/>
      </c>
      <c r="C45" s="933">
        <f>('5. PERSON'!G41+'5. PERSON'!H41+'5. PERSON'!I41+'5. PERSON'!J41+'5. PERSON'!K41+'5. PERSON'!L41+'5. PERSON'!M41+'5. PERSON'!N41+'5. PERSON'!O41+'5. PERSON'!P41)/((YEAR('2. START'!$C$19)-YEAR('2. START'!$C$18))*12+MONTH('2. START'!$C$19)-MONTH('2. START'!$C$18)+1)</f>
        <v>0</v>
      </c>
      <c r="D45" s="933">
        <f>(('5. PERSON'!$G41+'5. PERSON'!$H41+'5. PERSON'!$I41+'5. PERSON'!$J41+'5. PERSON'!$K41+'5. PERSON'!$L41+'5. PERSON'!$M41+'5. PERSON'!$N41+'5. PERSON'!$O41+'5. PERSON'!$P41)*(1-'5. PERSON'!E41))/((YEAR('2. START'!$C$19)-YEAR('2. START'!$C$18))*12+MONTH('2. START'!$C$19)-MONTH('2. START'!$C$18)+1)</f>
        <v>0</v>
      </c>
      <c r="E45" s="87">
        <f>'5. PERSON'!AT41</f>
        <v>0</v>
      </c>
      <c r="F45" s="87">
        <f>'5. PERSON'!AU41</f>
        <v>0</v>
      </c>
      <c r="G45" s="87">
        <f>'5. PERSON'!AV41</f>
        <v>0</v>
      </c>
      <c r="H45" s="87">
        <f>'5. PERSON'!AW41</f>
        <v>0</v>
      </c>
      <c r="I45" s="87">
        <f>'5. PERSON'!AX41</f>
        <v>0</v>
      </c>
      <c r="J45" s="87">
        <f>'5. PERSON'!AY41</f>
        <v>0</v>
      </c>
      <c r="K45" s="87">
        <f>'5. PERSON'!AZ41</f>
        <v>0</v>
      </c>
      <c r="L45" s="87">
        <f>'5. PERSON'!BA41</f>
        <v>0</v>
      </c>
      <c r="M45" s="87">
        <f>'5. PERSON'!BB41</f>
        <v>0</v>
      </c>
      <c r="N45" s="87">
        <f>'5. PERSON'!BC41</f>
        <v>0</v>
      </c>
      <c r="O45" s="87">
        <f>'5. PERSON'!BD41</f>
        <v>0</v>
      </c>
      <c r="P45" s="87">
        <f>'5. PERSON'!BF41</f>
        <v>0</v>
      </c>
      <c r="Q45" s="87">
        <f>'5. PERSON'!BG41</f>
        <v>0</v>
      </c>
      <c r="R45" s="87">
        <f>'5. PERSON'!BH41</f>
        <v>0</v>
      </c>
      <c r="S45" s="87">
        <f>'5. PERSON'!BI41</f>
        <v>0</v>
      </c>
      <c r="T45" s="87">
        <f>'5. PERSON'!BJ41</f>
        <v>0</v>
      </c>
      <c r="U45" s="87">
        <f>'5. PERSON'!BK41</f>
        <v>0</v>
      </c>
      <c r="V45" s="87">
        <f>'5. PERSON'!BL41</f>
        <v>0</v>
      </c>
      <c r="W45" s="87">
        <f>'5. PERSON'!BM41</f>
        <v>0</v>
      </c>
      <c r="X45" s="87">
        <f>'5. PERSON'!BN41</f>
        <v>0</v>
      </c>
      <c r="Y45" s="87">
        <f>'5. PERSON'!BO41</f>
        <v>0</v>
      </c>
      <c r="Z45" s="87">
        <f t="shared" si="1"/>
        <v>0</v>
      </c>
    </row>
    <row r="46" spans="2:26" s="37" customFormat="1" ht="13.5" customHeight="1" x14ac:dyDescent="0.2">
      <c r="B46" s="214" t="str">
        <f>IF('5. PERSON'!C42="","",'5. PERSON'!C42)</f>
        <v/>
      </c>
      <c r="C46" s="934">
        <f>('5. PERSON'!G42+'5. PERSON'!H42+'5. PERSON'!I42+'5. PERSON'!J42+'5. PERSON'!K42+'5. PERSON'!L42+'5. PERSON'!M42+'5. PERSON'!N42+'5. PERSON'!O42+'5. PERSON'!P42)/((YEAR('2. START'!$C$19)-YEAR('2. START'!$C$18))*12+MONTH('2. START'!$C$19)-MONTH('2. START'!$C$18)+1)</f>
        <v>0</v>
      </c>
      <c r="D46" s="934">
        <f>(('5. PERSON'!$G42+'5. PERSON'!$H42+'5. PERSON'!$I42+'5. PERSON'!$J42+'5. PERSON'!$K42+'5. PERSON'!$L42+'5. PERSON'!$M42+'5. PERSON'!$N42+'5. PERSON'!$O42+'5. PERSON'!$P42)*(1-'5. PERSON'!E42))/((YEAR('2. START'!$C$19)-YEAR('2. START'!$C$18))*12+MONTH('2. START'!$C$19)-MONTH('2. START'!$C$18)+1)</f>
        <v>0</v>
      </c>
      <c r="E46" s="98">
        <f>'5. PERSON'!AT42</f>
        <v>0</v>
      </c>
      <c r="F46" s="98">
        <f>'5. PERSON'!AU42</f>
        <v>0</v>
      </c>
      <c r="G46" s="98">
        <f>'5. PERSON'!AV42</f>
        <v>0</v>
      </c>
      <c r="H46" s="98">
        <f>'5. PERSON'!AW42</f>
        <v>0</v>
      </c>
      <c r="I46" s="98">
        <f>'5. PERSON'!AX42</f>
        <v>0</v>
      </c>
      <c r="J46" s="98">
        <f>'5. PERSON'!AY42</f>
        <v>0</v>
      </c>
      <c r="K46" s="98">
        <f>'5. PERSON'!AZ42</f>
        <v>0</v>
      </c>
      <c r="L46" s="98">
        <f>'5. PERSON'!BA42</f>
        <v>0</v>
      </c>
      <c r="M46" s="98">
        <f>'5. PERSON'!BB42</f>
        <v>0</v>
      </c>
      <c r="N46" s="98">
        <f>'5. PERSON'!BC42</f>
        <v>0</v>
      </c>
      <c r="O46" s="98">
        <f>'5. PERSON'!BD42</f>
        <v>0</v>
      </c>
      <c r="P46" s="98">
        <f>'5. PERSON'!BF42</f>
        <v>0</v>
      </c>
      <c r="Q46" s="98">
        <f>'5. PERSON'!BG42</f>
        <v>0</v>
      </c>
      <c r="R46" s="98">
        <f>'5. PERSON'!BH42</f>
        <v>0</v>
      </c>
      <c r="S46" s="98">
        <f>'5. PERSON'!BI42</f>
        <v>0</v>
      </c>
      <c r="T46" s="98">
        <f>'5. PERSON'!BJ42</f>
        <v>0</v>
      </c>
      <c r="U46" s="98">
        <f>'5. PERSON'!BK42</f>
        <v>0</v>
      </c>
      <c r="V46" s="98">
        <f>'5. PERSON'!BL42</f>
        <v>0</v>
      </c>
      <c r="W46" s="98">
        <f>'5. PERSON'!BM42</f>
        <v>0</v>
      </c>
      <c r="X46" s="98">
        <f>'5. PERSON'!BN42</f>
        <v>0</v>
      </c>
      <c r="Y46" s="98">
        <f>'5. PERSON'!BO42</f>
        <v>0</v>
      </c>
      <c r="Z46" s="98">
        <f t="shared" si="1"/>
        <v>0</v>
      </c>
    </row>
    <row r="47" spans="2:26" s="37" customFormat="1" ht="13.5" customHeight="1" x14ac:dyDescent="0.2">
      <c r="B47" s="206" t="str">
        <f>IF('5. PERSON'!C43="","",'5. PERSON'!C43)</f>
        <v/>
      </c>
      <c r="C47" s="933">
        <f>('5. PERSON'!G43+'5. PERSON'!H43+'5. PERSON'!I43+'5. PERSON'!J43+'5. PERSON'!K43+'5. PERSON'!L43+'5. PERSON'!M43+'5. PERSON'!N43+'5. PERSON'!O43+'5. PERSON'!P43)/((YEAR('2. START'!$C$19)-YEAR('2. START'!$C$18))*12+MONTH('2. START'!$C$19)-MONTH('2. START'!$C$18)+1)</f>
        <v>0</v>
      </c>
      <c r="D47" s="933">
        <f>(('5. PERSON'!$G43+'5. PERSON'!$H43+'5. PERSON'!$I43+'5. PERSON'!$J43+'5. PERSON'!$K43+'5. PERSON'!$L43+'5. PERSON'!$M43+'5. PERSON'!$N43+'5. PERSON'!$O43+'5. PERSON'!$P43)*(1-'5. PERSON'!E43))/((YEAR('2. START'!$C$19)-YEAR('2. START'!$C$18))*12+MONTH('2. START'!$C$19)-MONTH('2. START'!$C$18)+1)</f>
        <v>0</v>
      </c>
      <c r="E47" s="87">
        <f>'5. PERSON'!AT43</f>
        <v>0</v>
      </c>
      <c r="F47" s="87">
        <f>'5. PERSON'!AU43</f>
        <v>0</v>
      </c>
      <c r="G47" s="87">
        <f>'5. PERSON'!AV43</f>
        <v>0</v>
      </c>
      <c r="H47" s="87">
        <f>'5. PERSON'!AW43</f>
        <v>0</v>
      </c>
      <c r="I47" s="87">
        <f>'5. PERSON'!AX43</f>
        <v>0</v>
      </c>
      <c r="J47" s="87">
        <f>'5. PERSON'!AY43</f>
        <v>0</v>
      </c>
      <c r="K47" s="87">
        <f>'5. PERSON'!AZ43</f>
        <v>0</v>
      </c>
      <c r="L47" s="87">
        <f>'5. PERSON'!BA43</f>
        <v>0</v>
      </c>
      <c r="M47" s="87">
        <f>'5. PERSON'!BB43</f>
        <v>0</v>
      </c>
      <c r="N47" s="87">
        <f>'5. PERSON'!BC43</f>
        <v>0</v>
      </c>
      <c r="O47" s="87">
        <f>'5. PERSON'!BD43</f>
        <v>0</v>
      </c>
      <c r="P47" s="87">
        <f>'5. PERSON'!BF43</f>
        <v>0</v>
      </c>
      <c r="Q47" s="87">
        <f>'5. PERSON'!BG43</f>
        <v>0</v>
      </c>
      <c r="R47" s="87">
        <f>'5. PERSON'!BH43</f>
        <v>0</v>
      </c>
      <c r="S47" s="87">
        <f>'5. PERSON'!BI43</f>
        <v>0</v>
      </c>
      <c r="T47" s="87">
        <f>'5. PERSON'!BJ43</f>
        <v>0</v>
      </c>
      <c r="U47" s="87">
        <f>'5. PERSON'!BK43</f>
        <v>0</v>
      </c>
      <c r="V47" s="87">
        <f>'5. PERSON'!BL43</f>
        <v>0</v>
      </c>
      <c r="W47" s="87">
        <f>'5. PERSON'!BM43</f>
        <v>0</v>
      </c>
      <c r="X47" s="87">
        <f>'5. PERSON'!BN43</f>
        <v>0</v>
      </c>
      <c r="Y47" s="87">
        <f>'5. PERSON'!BO43</f>
        <v>0</v>
      </c>
      <c r="Z47" s="87">
        <f t="shared" si="1"/>
        <v>0</v>
      </c>
    </row>
    <row r="48" spans="2:26" s="37" customFormat="1" ht="13.5" customHeight="1" x14ac:dyDescent="0.2">
      <c r="B48" s="214" t="str">
        <f>IF('5. PERSON'!C44="","",'5. PERSON'!C44)</f>
        <v/>
      </c>
      <c r="C48" s="934">
        <f>('5. PERSON'!G44+'5. PERSON'!H44+'5. PERSON'!I44+'5. PERSON'!J44+'5. PERSON'!K44+'5. PERSON'!L44+'5. PERSON'!M44+'5. PERSON'!N44+'5. PERSON'!O44+'5. PERSON'!P44)/((YEAR('2. START'!$C$19)-YEAR('2. START'!$C$18))*12+MONTH('2. START'!$C$19)-MONTH('2. START'!$C$18)+1)</f>
        <v>0</v>
      </c>
      <c r="D48" s="934">
        <f>(('5. PERSON'!$G44+'5. PERSON'!$H44+'5. PERSON'!$I44+'5. PERSON'!$J44+'5. PERSON'!$K44+'5. PERSON'!$L44+'5. PERSON'!$M44+'5. PERSON'!$N44+'5. PERSON'!$O44+'5. PERSON'!$P44)*(1-'5. PERSON'!E44))/((YEAR('2. START'!$C$19)-YEAR('2. START'!$C$18))*12+MONTH('2. START'!$C$19)-MONTH('2. START'!$C$18)+1)</f>
        <v>0</v>
      </c>
      <c r="E48" s="98">
        <f>'5. PERSON'!AT44</f>
        <v>0</v>
      </c>
      <c r="F48" s="98">
        <f>'5. PERSON'!AU44</f>
        <v>0</v>
      </c>
      <c r="G48" s="98">
        <f>'5. PERSON'!AV44</f>
        <v>0</v>
      </c>
      <c r="H48" s="98">
        <f>'5. PERSON'!AW44</f>
        <v>0</v>
      </c>
      <c r="I48" s="98">
        <f>'5. PERSON'!AX44</f>
        <v>0</v>
      </c>
      <c r="J48" s="98">
        <f>'5. PERSON'!AY44</f>
        <v>0</v>
      </c>
      <c r="K48" s="98">
        <f>'5. PERSON'!AZ44</f>
        <v>0</v>
      </c>
      <c r="L48" s="98">
        <f>'5. PERSON'!BA44</f>
        <v>0</v>
      </c>
      <c r="M48" s="98">
        <f>'5. PERSON'!BB44</f>
        <v>0</v>
      </c>
      <c r="N48" s="98">
        <f>'5. PERSON'!BC44</f>
        <v>0</v>
      </c>
      <c r="O48" s="98">
        <f>'5. PERSON'!BD44</f>
        <v>0</v>
      </c>
      <c r="P48" s="98">
        <f>'5. PERSON'!BF44</f>
        <v>0</v>
      </c>
      <c r="Q48" s="98">
        <f>'5. PERSON'!BG44</f>
        <v>0</v>
      </c>
      <c r="R48" s="98">
        <f>'5. PERSON'!BH44</f>
        <v>0</v>
      </c>
      <c r="S48" s="98">
        <f>'5. PERSON'!BI44</f>
        <v>0</v>
      </c>
      <c r="T48" s="98">
        <f>'5. PERSON'!BJ44</f>
        <v>0</v>
      </c>
      <c r="U48" s="98">
        <f>'5. PERSON'!BK44</f>
        <v>0</v>
      </c>
      <c r="V48" s="98">
        <f>'5. PERSON'!BL44</f>
        <v>0</v>
      </c>
      <c r="W48" s="98">
        <f>'5. PERSON'!BM44</f>
        <v>0</v>
      </c>
      <c r="X48" s="98">
        <f>'5. PERSON'!BN44</f>
        <v>0</v>
      </c>
      <c r="Y48" s="98">
        <f>'5. PERSON'!BO44</f>
        <v>0</v>
      </c>
      <c r="Z48" s="98">
        <f t="shared" si="1"/>
        <v>0</v>
      </c>
    </row>
    <row r="49" spans="2:26" s="37" customFormat="1" ht="13.5" customHeight="1" x14ac:dyDescent="0.2">
      <c r="B49" s="206" t="str">
        <f>IF('5. PERSON'!C45="","",'5. PERSON'!C45)</f>
        <v/>
      </c>
      <c r="C49" s="933">
        <f>('5. PERSON'!G45+'5. PERSON'!H45+'5. PERSON'!I45+'5. PERSON'!J45+'5. PERSON'!K45+'5. PERSON'!L45+'5. PERSON'!M45+'5. PERSON'!N45+'5. PERSON'!O45+'5. PERSON'!P45)/((YEAR('2. START'!$C$19)-YEAR('2. START'!$C$18))*12+MONTH('2. START'!$C$19)-MONTH('2. START'!$C$18)+1)</f>
        <v>0</v>
      </c>
      <c r="D49" s="933">
        <f>(('5. PERSON'!$G45+'5. PERSON'!$H45+'5. PERSON'!$I45+'5. PERSON'!$J45+'5. PERSON'!$K45+'5. PERSON'!$L45+'5. PERSON'!$M45+'5. PERSON'!$N45+'5. PERSON'!$O45+'5. PERSON'!$P45)*(1-'5. PERSON'!E45))/((YEAR('2. START'!$C$19)-YEAR('2. START'!$C$18))*12+MONTH('2. START'!$C$19)-MONTH('2. START'!$C$18)+1)</f>
        <v>0</v>
      </c>
      <c r="E49" s="87">
        <f>'5. PERSON'!AT45</f>
        <v>0</v>
      </c>
      <c r="F49" s="87">
        <f>'5. PERSON'!AU45</f>
        <v>0</v>
      </c>
      <c r="G49" s="87">
        <f>'5. PERSON'!AV45</f>
        <v>0</v>
      </c>
      <c r="H49" s="87">
        <f>'5. PERSON'!AW45</f>
        <v>0</v>
      </c>
      <c r="I49" s="87">
        <f>'5. PERSON'!AX45</f>
        <v>0</v>
      </c>
      <c r="J49" s="87">
        <f>'5. PERSON'!AY45</f>
        <v>0</v>
      </c>
      <c r="K49" s="87">
        <f>'5. PERSON'!AZ45</f>
        <v>0</v>
      </c>
      <c r="L49" s="87">
        <f>'5. PERSON'!BA45</f>
        <v>0</v>
      </c>
      <c r="M49" s="87">
        <f>'5. PERSON'!BB45</f>
        <v>0</v>
      </c>
      <c r="N49" s="87">
        <f>'5. PERSON'!BC45</f>
        <v>0</v>
      </c>
      <c r="O49" s="87">
        <f>'5. PERSON'!BD45</f>
        <v>0</v>
      </c>
      <c r="P49" s="87">
        <f>'5. PERSON'!BF45</f>
        <v>0</v>
      </c>
      <c r="Q49" s="87">
        <f>'5. PERSON'!BG45</f>
        <v>0</v>
      </c>
      <c r="R49" s="87">
        <f>'5. PERSON'!BH45</f>
        <v>0</v>
      </c>
      <c r="S49" s="87">
        <f>'5. PERSON'!BI45</f>
        <v>0</v>
      </c>
      <c r="T49" s="87">
        <f>'5. PERSON'!BJ45</f>
        <v>0</v>
      </c>
      <c r="U49" s="87">
        <f>'5. PERSON'!BK45</f>
        <v>0</v>
      </c>
      <c r="V49" s="87">
        <f>'5. PERSON'!BL45</f>
        <v>0</v>
      </c>
      <c r="W49" s="87">
        <f>'5. PERSON'!BM45</f>
        <v>0</v>
      </c>
      <c r="X49" s="87">
        <f>'5. PERSON'!BN45</f>
        <v>0</v>
      </c>
      <c r="Y49" s="87">
        <f>'5. PERSON'!BO45</f>
        <v>0</v>
      </c>
      <c r="Z49" s="87">
        <f t="shared" si="1"/>
        <v>0</v>
      </c>
    </row>
    <row r="50" spans="2:26" s="37" customFormat="1" ht="13.5" customHeight="1" x14ac:dyDescent="0.2">
      <c r="B50" s="214" t="str">
        <f>IF('5. PERSON'!C46="","",'5. PERSON'!C46)</f>
        <v/>
      </c>
      <c r="C50" s="934">
        <f>('5. PERSON'!G46+'5. PERSON'!H46+'5. PERSON'!I46+'5. PERSON'!J46+'5. PERSON'!K46+'5. PERSON'!L46+'5. PERSON'!M46+'5. PERSON'!N46+'5. PERSON'!O46+'5. PERSON'!P46)/((YEAR('2. START'!$C$19)-YEAR('2. START'!$C$18))*12+MONTH('2. START'!$C$19)-MONTH('2. START'!$C$18)+1)</f>
        <v>0</v>
      </c>
      <c r="D50" s="934">
        <f>(('5. PERSON'!$G46+'5. PERSON'!$H46+'5. PERSON'!$I46+'5. PERSON'!$J46+'5. PERSON'!$K46+'5. PERSON'!$L46+'5. PERSON'!$M46+'5. PERSON'!$N46+'5. PERSON'!$O46+'5. PERSON'!$P46)*(1-'5. PERSON'!E46))/((YEAR('2. START'!$C$19)-YEAR('2. START'!$C$18))*12+MONTH('2. START'!$C$19)-MONTH('2. START'!$C$18)+1)</f>
        <v>0</v>
      </c>
      <c r="E50" s="98">
        <f>'5. PERSON'!AT46</f>
        <v>0</v>
      </c>
      <c r="F50" s="98">
        <f>'5. PERSON'!AU46</f>
        <v>0</v>
      </c>
      <c r="G50" s="98">
        <f>'5. PERSON'!AV46</f>
        <v>0</v>
      </c>
      <c r="H50" s="98">
        <f>'5. PERSON'!AW46</f>
        <v>0</v>
      </c>
      <c r="I50" s="98">
        <f>'5. PERSON'!AX46</f>
        <v>0</v>
      </c>
      <c r="J50" s="98">
        <f>'5. PERSON'!AY46</f>
        <v>0</v>
      </c>
      <c r="K50" s="98">
        <f>'5. PERSON'!AZ46</f>
        <v>0</v>
      </c>
      <c r="L50" s="98">
        <f>'5. PERSON'!BA46</f>
        <v>0</v>
      </c>
      <c r="M50" s="98">
        <f>'5. PERSON'!BB46</f>
        <v>0</v>
      </c>
      <c r="N50" s="98">
        <f>'5. PERSON'!BC46</f>
        <v>0</v>
      </c>
      <c r="O50" s="98">
        <f>'5. PERSON'!BD46</f>
        <v>0</v>
      </c>
      <c r="P50" s="98">
        <f>'5. PERSON'!BF46</f>
        <v>0</v>
      </c>
      <c r="Q50" s="98">
        <f>'5. PERSON'!BG46</f>
        <v>0</v>
      </c>
      <c r="R50" s="98">
        <f>'5. PERSON'!BH46</f>
        <v>0</v>
      </c>
      <c r="S50" s="98">
        <f>'5. PERSON'!BI46</f>
        <v>0</v>
      </c>
      <c r="T50" s="98">
        <f>'5. PERSON'!BJ46</f>
        <v>0</v>
      </c>
      <c r="U50" s="98">
        <f>'5. PERSON'!BK46</f>
        <v>0</v>
      </c>
      <c r="V50" s="98">
        <f>'5. PERSON'!BL46</f>
        <v>0</v>
      </c>
      <c r="W50" s="98">
        <f>'5. PERSON'!BM46</f>
        <v>0</v>
      </c>
      <c r="X50" s="98">
        <f>'5. PERSON'!BN46</f>
        <v>0</v>
      </c>
      <c r="Y50" s="98">
        <f>'5. PERSON'!BO46</f>
        <v>0</v>
      </c>
      <c r="Z50" s="98">
        <f t="shared" si="1"/>
        <v>0</v>
      </c>
    </row>
    <row r="51" spans="2:26" s="37" customFormat="1" ht="13.5" customHeight="1" x14ac:dyDescent="0.2">
      <c r="B51" s="206" t="str">
        <f>IF('5. PERSON'!C47="","",'5. PERSON'!C47)</f>
        <v/>
      </c>
      <c r="C51" s="933">
        <f>('5. PERSON'!G47+'5. PERSON'!H47+'5. PERSON'!I47+'5. PERSON'!J47+'5. PERSON'!K47+'5. PERSON'!L47+'5. PERSON'!M47+'5. PERSON'!N47+'5. PERSON'!O47+'5. PERSON'!P47)/((YEAR('2. START'!$C$19)-YEAR('2. START'!$C$18))*12+MONTH('2. START'!$C$19)-MONTH('2. START'!$C$18)+1)</f>
        <v>0</v>
      </c>
      <c r="D51" s="933">
        <f>(('5. PERSON'!$G47+'5. PERSON'!$H47+'5. PERSON'!$I47+'5. PERSON'!$J47+'5. PERSON'!$K47+'5. PERSON'!$L47+'5. PERSON'!$M47+'5. PERSON'!$N47+'5. PERSON'!$O47+'5. PERSON'!$P47)*(1-'5. PERSON'!E47))/((YEAR('2. START'!$C$19)-YEAR('2. START'!$C$18))*12+MONTH('2. START'!$C$19)-MONTH('2. START'!$C$18)+1)</f>
        <v>0</v>
      </c>
      <c r="E51" s="87">
        <f>'5. PERSON'!AT47</f>
        <v>0</v>
      </c>
      <c r="F51" s="87">
        <f>'5. PERSON'!AU47</f>
        <v>0</v>
      </c>
      <c r="G51" s="87">
        <f>'5. PERSON'!AV47</f>
        <v>0</v>
      </c>
      <c r="H51" s="87">
        <f>'5. PERSON'!AW47</f>
        <v>0</v>
      </c>
      <c r="I51" s="87">
        <f>'5. PERSON'!AX47</f>
        <v>0</v>
      </c>
      <c r="J51" s="87">
        <f>'5. PERSON'!AY47</f>
        <v>0</v>
      </c>
      <c r="K51" s="87">
        <f>'5. PERSON'!AZ47</f>
        <v>0</v>
      </c>
      <c r="L51" s="87">
        <f>'5. PERSON'!BA47</f>
        <v>0</v>
      </c>
      <c r="M51" s="87">
        <f>'5. PERSON'!BB47</f>
        <v>0</v>
      </c>
      <c r="N51" s="87">
        <f>'5. PERSON'!BC47</f>
        <v>0</v>
      </c>
      <c r="O51" s="87">
        <f>'5. PERSON'!BD47</f>
        <v>0</v>
      </c>
      <c r="P51" s="87">
        <f>'5. PERSON'!BF47</f>
        <v>0</v>
      </c>
      <c r="Q51" s="87">
        <f>'5. PERSON'!BG47</f>
        <v>0</v>
      </c>
      <c r="R51" s="87">
        <f>'5. PERSON'!BH47</f>
        <v>0</v>
      </c>
      <c r="S51" s="87">
        <f>'5. PERSON'!BI47</f>
        <v>0</v>
      </c>
      <c r="T51" s="87">
        <f>'5. PERSON'!BJ47</f>
        <v>0</v>
      </c>
      <c r="U51" s="87">
        <f>'5. PERSON'!BK47</f>
        <v>0</v>
      </c>
      <c r="V51" s="87">
        <f>'5. PERSON'!BL47</f>
        <v>0</v>
      </c>
      <c r="W51" s="87">
        <f>'5. PERSON'!BM47</f>
        <v>0</v>
      </c>
      <c r="X51" s="87">
        <f>'5. PERSON'!BN47</f>
        <v>0</v>
      </c>
      <c r="Y51" s="87">
        <f>'5. PERSON'!BO47</f>
        <v>0</v>
      </c>
      <c r="Z51" s="87">
        <f t="shared" si="1"/>
        <v>0</v>
      </c>
    </row>
    <row r="52" spans="2:26" s="37" customFormat="1" ht="13.5" customHeight="1" x14ac:dyDescent="0.2">
      <c r="B52" s="214" t="str">
        <f>IF('5. PERSON'!C48="","",'5. PERSON'!C48)</f>
        <v/>
      </c>
      <c r="C52" s="934">
        <f>('5. PERSON'!G48+'5. PERSON'!H48+'5. PERSON'!I48+'5. PERSON'!J48+'5. PERSON'!K48+'5. PERSON'!L48+'5. PERSON'!M48+'5. PERSON'!N48+'5. PERSON'!O48+'5. PERSON'!P48)/((YEAR('2. START'!$C$19)-YEAR('2. START'!$C$18))*12+MONTH('2. START'!$C$19)-MONTH('2. START'!$C$18)+1)</f>
        <v>0</v>
      </c>
      <c r="D52" s="934">
        <f>(('5. PERSON'!$G48+'5. PERSON'!$H48+'5. PERSON'!$I48+'5. PERSON'!$J48+'5. PERSON'!$K48+'5. PERSON'!$L48+'5. PERSON'!$M48+'5. PERSON'!$N48+'5. PERSON'!$O48+'5. PERSON'!$P48)*(1-'5. PERSON'!E48))/((YEAR('2. START'!$C$19)-YEAR('2. START'!$C$18))*12+MONTH('2. START'!$C$19)-MONTH('2. START'!$C$18)+1)</f>
        <v>0</v>
      </c>
      <c r="E52" s="98">
        <f>'5. PERSON'!AT48</f>
        <v>0</v>
      </c>
      <c r="F52" s="98">
        <f>'5. PERSON'!AU48</f>
        <v>0</v>
      </c>
      <c r="G52" s="98">
        <f>'5. PERSON'!AV48</f>
        <v>0</v>
      </c>
      <c r="H52" s="98">
        <f>'5. PERSON'!AW48</f>
        <v>0</v>
      </c>
      <c r="I52" s="98">
        <f>'5. PERSON'!AX48</f>
        <v>0</v>
      </c>
      <c r="J52" s="98">
        <f>'5. PERSON'!AY48</f>
        <v>0</v>
      </c>
      <c r="K52" s="98">
        <f>'5. PERSON'!AZ48</f>
        <v>0</v>
      </c>
      <c r="L52" s="98">
        <f>'5. PERSON'!BA48</f>
        <v>0</v>
      </c>
      <c r="M52" s="98">
        <f>'5. PERSON'!BB48</f>
        <v>0</v>
      </c>
      <c r="N52" s="98">
        <f>'5. PERSON'!BC48</f>
        <v>0</v>
      </c>
      <c r="O52" s="98">
        <f>'5. PERSON'!BD48</f>
        <v>0</v>
      </c>
      <c r="P52" s="98">
        <f>'5. PERSON'!BF48</f>
        <v>0</v>
      </c>
      <c r="Q52" s="98">
        <f>'5. PERSON'!BG48</f>
        <v>0</v>
      </c>
      <c r="R52" s="98">
        <f>'5. PERSON'!BH48</f>
        <v>0</v>
      </c>
      <c r="S52" s="98">
        <f>'5. PERSON'!BI48</f>
        <v>0</v>
      </c>
      <c r="T52" s="98">
        <f>'5. PERSON'!BJ48</f>
        <v>0</v>
      </c>
      <c r="U52" s="98">
        <f>'5. PERSON'!BK48</f>
        <v>0</v>
      </c>
      <c r="V52" s="98">
        <f>'5. PERSON'!BL48</f>
        <v>0</v>
      </c>
      <c r="W52" s="98">
        <f>'5. PERSON'!BM48</f>
        <v>0</v>
      </c>
      <c r="X52" s="98">
        <f>'5. PERSON'!BN48</f>
        <v>0</v>
      </c>
      <c r="Y52" s="98">
        <f>'5. PERSON'!BO48</f>
        <v>0</v>
      </c>
      <c r="Z52" s="98">
        <f t="shared" si="1"/>
        <v>0</v>
      </c>
    </row>
    <row r="53" spans="2:26" s="37" customFormat="1" ht="13.5" customHeight="1" x14ac:dyDescent="0.2">
      <c r="B53" s="206" t="str">
        <f>IF('5. PERSON'!C49="","",'5. PERSON'!C49)</f>
        <v/>
      </c>
      <c r="C53" s="933">
        <f>('5. PERSON'!G49+'5. PERSON'!H49+'5. PERSON'!I49+'5. PERSON'!J49+'5. PERSON'!K49+'5. PERSON'!L49+'5. PERSON'!M49+'5. PERSON'!N49+'5. PERSON'!O49+'5. PERSON'!P49)/((YEAR('2. START'!$C$19)-YEAR('2. START'!$C$18))*12+MONTH('2. START'!$C$19)-MONTH('2. START'!$C$18)+1)</f>
        <v>0</v>
      </c>
      <c r="D53" s="933">
        <f>(('5. PERSON'!$G49+'5. PERSON'!$H49+'5. PERSON'!$I49+'5. PERSON'!$J49+'5. PERSON'!$K49+'5. PERSON'!$L49+'5. PERSON'!$M49+'5. PERSON'!$N49+'5. PERSON'!$O49+'5. PERSON'!$P49)*(1-'5. PERSON'!E49))/((YEAR('2. START'!$C$19)-YEAR('2. START'!$C$18))*12+MONTH('2. START'!$C$19)-MONTH('2. START'!$C$18)+1)</f>
        <v>0</v>
      </c>
      <c r="E53" s="87">
        <f>'5. PERSON'!AT49</f>
        <v>0</v>
      </c>
      <c r="F53" s="87">
        <f>'5. PERSON'!AU49</f>
        <v>0</v>
      </c>
      <c r="G53" s="87">
        <f>'5. PERSON'!AV49</f>
        <v>0</v>
      </c>
      <c r="H53" s="87">
        <f>'5. PERSON'!AW49</f>
        <v>0</v>
      </c>
      <c r="I53" s="87">
        <f>'5. PERSON'!AX49</f>
        <v>0</v>
      </c>
      <c r="J53" s="87">
        <f>'5. PERSON'!AY49</f>
        <v>0</v>
      </c>
      <c r="K53" s="87">
        <f>'5. PERSON'!AZ49</f>
        <v>0</v>
      </c>
      <c r="L53" s="87">
        <f>'5. PERSON'!BA49</f>
        <v>0</v>
      </c>
      <c r="M53" s="87">
        <f>'5. PERSON'!BB49</f>
        <v>0</v>
      </c>
      <c r="N53" s="87">
        <f>'5. PERSON'!BC49</f>
        <v>0</v>
      </c>
      <c r="O53" s="87">
        <f>'5. PERSON'!BD49</f>
        <v>0</v>
      </c>
      <c r="P53" s="87">
        <f>'5. PERSON'!BF49</f>
        <v>0</v>
      </c>
      <c r="Q53" s="87">
        <f>'5. PERSON'!BG49</f>
        <v>0</v>
      </c>
      <c r="R53" s="87">
        <f>'5. PERSON'!BH49</f>
        <v>0</v>
      </c>
      <c r="S53" s="87">
        <f>'5. PERSON'!BI49</f>
        <v>0</v>
      </c>
      <c r="T53" s="87">
        <f>'5. PERSON'!BJ49</f>
        <v>0</v>
      </c>
      <c r="U53" s="87">
        <f>'5. PERSON'!BK49</f>
        <v>0</v>
      </c>
      <c r="V53" s="87">
        <f>'5. PERSON'!BL49</f>
        <v>0</v>
      </c>
      <c r="W53" s="87">
        <f>'5. PERSON'!BM49</f>
        <v>0</v>
      </c>
      <c r="X53" s="87">
        <f>'5. PERSON'!BN49</f>
        <v>0</v>
      </c>
      <c r="Y53" s="87">
        <f>'5. PERSON'!BO49</f>
        <v>0</v>
      </c>
      <c r="Z53" s="87">
        <f t="shared" si="1"/>
        <v>0</v>
      </c>
    </row>
    <row r="54" spans="2:26" s="37" customFormat="1" ht="13.5" customHeight="1" x14ac:dyDescent="0.2">
      <c r="B54" s="214" t="str">
        <f>IF('5. PERSON'!C50="","",'5. PERSON'!C50)</f>
        <v/>
      </c>
      <c r="C54" s="934">
        <f>('5. PERSON'!G50+'5. PERSON'!H50+'5. PERSON'!I50+'5. PERSON'!J50+'5. PERSON'!K50+'5. PERSON'!L50+'5. PERSON'!M50+'5. PERSON'!N50+'5. PERSON'!O50+'5. PERSON'!P50)/((YEAR('2. START'!$C$19)-YEAR('2. START'!$C$18))*12+MONTH('2. START'!$C$19)-MONTH('2. START'!$C$18)+1)</f>
        <v>0</v>
      </c>
      <c r="D54" s="934">
        <f>(('5. PERSON'!$G50+'5. PERSON'!$H50+'5. PERSON'!$I50+'5. PERSON'!$J50+'5. PERSON'!$K50+'5. PERSON'!$L50+'5. PERSON'!$M50+'5. PERSON'!$N50+'5. PERSON'!$O50+'5. PERSON'!$P50)*(1-'5. PERSON'!E50))/((YEAR('2. START'!$C$19)-YEAR('2. START'!$C$18))*12+MONTH('2. START'!$C$19)-MONTH('2. START'!$C$18)+1)</f>
        <v>0</v>
      </c>
      <c r="E54" s="98">
        <f>'5. PERSON'!AT50</f>
        <v>0</v>
      </c>
      <c r="F54" s="98">
        <f>'5. PERSON'!AU50</f>
        <v>0</v>
      </c>
      <c r="G54" s="98">
        <f>'5. PERSON'!AV50</f>
        <v>0</v>
      </c>
      <c r="H54" s="98">
        <f>'5. PERSON'!AW50</f>
        <v>0</v>
      </c>
      <c r="I54" s="98">
        <f>'5. PERSON'!AX50</f>
        <v>0</v>
      </c>
      <c r="J54" s="98">
        <f>'5. PERSON'!AY50</f>
        <v>0</v>
      </c>
      <c r="K54" s="98">
        <f>'5. PERSON'!AZ50</f>
        <v>0</v>
      </c>
      <c r="L54" s="98">
        <f>'5. PERSON'!BA50</f>
        <v>0</v>
      </c>
      <c r="M54" s="98">
        <f>'5. PERSON'!BB50</f>
        <v>0</v>
      </c>
      <c r="N54" s="98">
        <f>'5. PERSON'!BC50</f>
        <v>0</v>
      </c>
      <c r="O54" s="98">
        <f>'5. PERSON'!BD50</f>
        <v>0</v>
      </c>
      <c r="P54" s="98">
        <f>'5. PERSON'!BF50</f>
        <v>0</v>
      </c>
      <c r="Q54" s="98">
        <f>'5. PERSON'!BG50</f>
        <v>0</v>
      </c>
      <c r="R54" s="98">
        <f>'5. PERSON'!BH50</f>
        <v>0</v>
      </c>
      <c r="S54" s="98">
        <f>'5. PERSON'!BI50</f>
        <v>0</v>
      </c>
      <c r="T54" s="98">
        <f>'5. PERSON'!BJ50</f>
        <v>0</v>
      </c>
      <c r="U54" s="98">
        <f>'5. PERSON'!BK50</f>
        <v>0</v>
      </c>
      <c r="V54" s="98">
        <f>'5. PERSON'!BL50</f>
        <v>0</v>
      </c>
      <c r="W54" s="98">
        <f>'5. PERSON'!BM50</f>
        <v>0</v>
      </c>
      <c r="X54" s="98">
        <f>'5. PERSON'!BN50</f>
        <v>0</v>
      </c>
      <c r="Y54" s="98">
        <f>'5. PERSON'!BO50</f>
        <v>0</v>
      </c>
      <c r="Z54" s="98">
        <f t="shared" si="1"/>
        <v>0</v>
      </c>
    </row>
    <row r="55" spans="2:26" s="37" customFormat="1" ht="13.5" customHeight="1" x14ac:dyDescent="0.2">
      <c r="B55" s="206" t="str">
        <f>IF('5. PERSON'!C51="","",'5. PERSON'!C51)</f>
        <v/>
      </c>
      <c r="C55" s="933">
        <f>('5. PERSON'!G51+'5. PERSON'!H51+'5. PERSON'!I51+'5. PERSON'!J51+'5. PERSON'!K51+'5. PERSON'!L51+'5. PERSON'!M51+'5. PERSON'!N51+'5. PERSON'!O51+'5. PERSON'!P51)/((YEAR('2. START'!$C$19)-YEAR('2. START'!$C$18))*12+MONTH('2. START'!$C$19)-MONTH('2. START'!$C$18)+1)</f>
        <v>0</v>
      </c>
      <c r="D55" s="933">
        <f>(('5. PERSON'!$G51+'5. PERSON'!$H51+'5. PERSON'!$I51+'5. PERSON'!$J51+'5. PERSON'!$K51+'5. PERSON'!$L51+'5. PERSON'!$M51+'5. PERSON'!$N51+'5. PERSON'!$O51+'5. PERSON'!$P51)*(1-'5. PERSON'!E51))/((YEAR('2. START'!$C$19)-YEAR('2. START'!$C$18))*12+MONTH('2. START'!$C$19)-MONTH('2. START'!$C$18)+1)</f>
        <v>0</v>
      </c>
      <c r="E55" s="87">
        <f>'5. PERSON'!AT51</f>
        <v>0</v>
      </c>
      <c r="F55" s="87">
        <f>'5. PERSON'!AU51</f>
        <v>0</v>
      </c>
      <c r="G55" s="87">
        <f>'5. PERSON'!AV51</f>
        <v>0</v>
      </c>
      <c r="H55" s="87">
        <f>'5. PERSON'!AW51</f>
        <v>0</v>
      </c>
      <c r="I55" s="87">
        <f>'5. PERSON'!AX51</f>
        <v>0</v>
      </c>
      <c r="J55" s="87">
        <f>'5. PERSON'!AY51</f>
        <v>0</v>
      </c>
      <c r="K55" s="87">
        <f>'5. PERSON'!AZ51</f>
        <v>0</v>
      </c>
      <c r="L55" s="87">
        <f>'5. PERSON'!BA51</f>
        <v>0</v>
      </c>
      <c r="M55" s="87">
        <f>'5. PERSON'!BB51</f>
        <v>0</v>
      </c>
      <c r="N55" s="87">
        <f>'5. PERSON'!BC51</f>
        <v>0</v>
      </c>
      <c r="O55" s="87">
        <f>'5. PERSON'!BD51</f>
        <v>0</v>
      </c>
      <c r="P55" s="87">
        <f>'5. PERSON'!BF51</f>
        <v>0</v>
      </c>
      <c r="Q55" s="87">
        <f>'5. PERSON'!BG51</f>
        <v>0</v>
      </c>
      <c r="R55" s="87">
        <f>'5. PERSON'!BH51</f>
        <v>0</v>
      </c>
      <c r="S55" s="87">
        <f>'5. PERSON'!BI51</f>
        <v>0</v>
      </c>
      <c r="T55" s="87">
        <f>'5. PERSON'!BJ51</f>
        <v>0</v>
      </c>
      <c r="U55" s="87">
        <f>'5. PERSON'!BK51</f>
        <v>0</v>
      </c>
      <c r="V55" s="87">
        <f>'5. PERSON'!BL51</f>
        <v>0</v>
      </c>
      <c r="W55" s="87">
        <f>'5. PERSON'!BM51</f>
        <v>0</v>
      </c>
      <c r="X55" s="87">
        <f>'5. PERSON'!BN51</f>
        <v>0</v>
      </c>
      <c r="Y55" s="87">
        <f>'5. PERSON'!BO51</f>
        <v>0</v>
      </c>
      <c r="Z55" s="87">
        <f t="shared" si="1"/>
        <v>0</v>
      </c>
    </row>
    <row r="56" spans="2:26" s="37" customFormat="1" ht="13.5" customHeight="1" x14ac:dyDescent="0.2">
      <c r="B56" s="214" t="str">
        <f>IF('5. PERSON'!C52="","",'5. PERSON'!C52)</f>
        <v/>
      </c>
      <c r="C56" s="934">
        <f>('5. PERSON'!G52+'5. PERSON'!H52+'5. PERSON'!I52+'5. PERSON'!J52+'5. PERSON'!K52+'5. PERSON'!L52+'5. PERSON'!M52+'5. PERSON'!N52+'5. PERSON'!O52+'5. PERSON'!P52)/((YEAR('2. START'!$C$19)-YEAR('2. START'!$C$18))*12+MONTH('2. START'!$C$19)-MONTH('2. START'!$C$18)+1)</f>
        <v>0</v>
      </c>
      <c r="D56" s="934">
        <f>(('5. PERSON'!$G52+'5. PERSON'!$H52+'5. PERSON'!$I52+'5. PERSON'!$J52+'5. PERSON'!$K52+'5. PERSON'!$L52+'5. PERSON'!$M52+'5. PERSON'!$N52+'5. PERSON'!$O52+'5. PERSON'!$P52)*(1-'5. PERSON'!E52))/((YEAR('2. START'!$C$19)-YEAR('2. START'!$C$18))*12+MONTH('2. START'!$C$19)-MONTH('2. START'!$C$18)+1)</f>
        <v>0</v>
      </c>
      <c r="E56" s="98">
        <f>'5. PERSON'!AT52</f>
        <v>0</v>
      </c>
      <c r="F56" s="98">
        <f>'5. PERSON'!AU52</f>
        <v>0</v>
      </c>
      <c r="G56" s="98">
        <f>'5. PERSON'!AV52</f>
        <v>0</v>
      </c>
      <c r="H56" s="98">
        <f>'5. PERSON'!AW52</f>
        <v>0</v>
      </c>
      <c r="I56" s="98">
        <f>'5. PERSON'!AX52</f>
        <v>0</v>
      </c>
      <c r="J56" s="98">
        <f>'5. PERSON'!AY52</f>
        <v>0</v>
      </c>
      <c r="K56" s="98">
        <f>'5. PERSON'!AZ52</f>
        <v>0</v>
      </c>
      <c r="L56" s="98">
        <f>'5. PERSON'!BA52</f>
        <v>0</v>
      </c>
      <c r="M56" s="98">
        <f>'5. PERSON'!BB52</f>
        <v>0</v>
      </c>
      <c r="N56" s="98">
        <f>'5. PERSON'!BC52</f>
        <v>0</v>
      </c>
      <c r="O56" s="98">
        <f>'5. PERSON'!BD52</f>
        <v>0</v>
      </c>
      <c r="P56" s="98">
        <f>'5. PERSON'!BF52</f>
        <v>0</v>
      </c>
      <c r="Q56" s="98">
        <f>'5. PERSON'!BG52</f>
        <v>0</v>
      </c>
      <c r="R56" s="98">
        <f>'5. PERSON'!BH52</f>
        <v>0</v>
      </c>
      <c r="S56" s="98">
        <f>'5. PERSON'!BI52</f>
        <v>0</v>
      </c>
      <c r="T56" s="98">
        <f>'5. PERSON'!BJ52</f>
        <v>0</v>
      </c>
      <c r="U56" s="98">
        <f>'5. PERSON'!BK52</f>
        <v>0</v>
      </c>
      <c r="V56" s="98">
        <f>'5. PERSON'!BL52</f>
        <v>0</v>
      </c>
      <c r="W56" s="98">
        <f>'5. PERSON'!BM52</f>
        <v>0</v>
      </c>
      <c r="X56" s="98">
        <f>'5. PERSON'!BN52</f>
        <v>0</v>
      </c>
      <c r="Y56" s="98">
        <f>'5. PERSON'!BO52</f>
        <v>0</v>
      </c>
      <c r="Z56" s="98">
        <f t="shared" si="1"/>
        <v>0</v>
      </c>
    </row>
    <row r="57" spans="2:26" s="37" customFormat="1" ht="13.5" customHeight="1" x14ac:dyDescent="0.2">
      <c r="B57" s="206" t="str">
        <f>IF('5. PERSON'!C53="","",'5. PERSON'!C53)</f>
        <v/>
      </c>
      <c r="C57" s="933">
        <f>('5. PERSON'!G53+'5. PERSON'!H53+'5. PERSON'!I53+'5. PERSON'!J53+'5. PERSON'!K53+'5. PERSON'!L53+'5. PERSON'!M53+'5. PERSON'!N53+'5. PERSON'!O53+'5. PERSON'!P53)/((YEAR('2. START'!$C$19)-YEAR('2. START'!$C$18))*12+MONTH('2. START'!$C$19)-MONTH('2. START'!$C$18)+1)</f>
        <v>0</v>
      </c>
      <c r="D57" s="933">
        <f>(('5. PERSON'!$G53+'5. PERSON'!$H53+'5. PERSON'!$I53+'5. PERSON'!$J53+'5. PERSON'!$K53+'5. PERSON'!$L53+'5. PERSON'!$M53+'5. PERSON'!$N53+'5. PERSON'!$O53+'5. PERSON'!$P53)*(1-'5. PERSON'!E53))/((YEAR('2. START'!$C$19)-YEAR('2. START'!$C$18))*12+MONTH('2. START'!$C$19)-MONTH('2. START'!$C$18)+1)</f>
        <v>0</v>
      </c>
      <c r="E57" s="87">
        <f>'5. PERSON'!AT53</f>
        <v>0</v>
      </c>
      <c r="F57" s="87">
        <f>'5. PERSON'!AU53</f>
        <v>0</v>
      </c>
      <c r="G57" s="87">
        <f>'5. PERSON'!AV53</f>
        <v>0</v>
      </c>
      <c r="H57" s="87">
        <f>'5. PERSON'!AW53</f>
        <v>0</v>
      </c>
      <c r="I57" s="87">
        <f>'5. PERSON'!AX53</f>
        <v>0</v>
      </c>
      <c r="J57" s="87">
        <f>'5. PERSON'!AY53</f>
        <v>0</v>
      </c>
      <c r="K57" s="87">
        <f>'5. PERSON'!AZ53</f>
        <v>0</v>
      </c>
      <c r="L57" s="87">
        <f>'5. PERSON'!BA53</f>
        <v>0</v>
      </c>
      <c r="M57" s="87">
        <f>'5. PERSON'!BB53</f>
        <v>0</v>
      </c>
      <c r="N57" s="87">
        <f>'5. PERSON'!BC53</f>
        <v>0</v>
      </c>
      <c r="O57" s="87">
        <f>'5. PERSON'!BD53</f>
        <v>0</v>
      </c>
      <c r="P57" s="87">
        <f>'5. PERSON'!BF53</f>
        <v>0</v>
      </c>
      <c r="Q57" s="87">
        <f>'5. PERSON'!BG53</f>
        <v>0</v>
      </c>
      <c r="R57" s="87">
        <f>'5. PERSON'!BH53</f>
        <v>0</v>
      </c>
      <c r="S57" s="87">
        <f>'5. PERSON'!BI53</f>
        <v>0</v>
      </c>
      <c r="T57" s="87">
        <f>'5. PERSON'!BJ53</f>
        <v>0</v>
      </c>
      <c r="U57" s="87">
        <f>'5. PERSON'!BK53</f>
        <v>0</v>
      </c>
      <c r="V57" s="87">
        <f>'5. PERSON'!BL53</f>
        <v>0</v>
      </c>
      <c r="W57" s="87">
        <f>'5. PERSON'!BM53</f>
        <v>0</v>
      </c>
      <c r="X57" s="87">
        <f>'5. PERSON'!BN53</f>
        <v>0</v>
      </c>
      <c r="Y57" s="87">
        <f>'5. PERSON'!BO53</f>
        <v>0</v>
      </c>
      <c r="Z57" s="87">
        <f t="shared" si="1"/>
        <v>0</v>
      </c>
    </row>
    <row r="58" spans="2:26" s="37" customFormat="1" ht="13.5" customHeight="1" x14ac:dyDescent="0.2">
      <c r="B58" s="214" t="str">
        <f>IF('5. PERSON'!C54="","",'5. PERSON'!C54)</f>
        <v/>
      </c>
      <c r="C58" s="934">
        <f>('5. PERSON'!G54+'5. PERSON'!H54+'5. PERSON'!I54+'5. PERSON'!J54+'5. PERSON'!K54+'5. PERSON'!L54+'5. PERSON'!M54+'5. PERSON'!N54+'5. PERSON'!O54+'5. PERSON'!P54)/((YEAR('2. START'!$C$19)-YEAR('2. START'!$C$18))*12+MONTH('2. START'!$C$19)-MONTH('2. START'!$C$18)+1)</f>
        <v>0</v>
      </c>
      <c r="D58" s="934">
        <f>(('5. PERSON'!$G54+'5. PERSON'!$H54+'5. PERSON'!$I54+'5. PERSON'!$J54+'5. PERSON'!$K54+'5. PERSON'!$L54+'5. PERSON'!$M54+'5. PERSON'!$N54+'5. PERSON'!$O54+'5. PERSON'!$P54)*(1-'5. PERSON'!E54))/((YEAR('2. START'!$C$19)-YEAR('2. START'!$C$18))*12+MONTH('2. START'!$C$19)-MONTH('2. START'!$C$18)+1)</f>
        <v>0</v>
      </c>
      <c r="E58" s="98">
        <f>'5. PERSON'!AT54</f>
        <v>0</v>
      </c>
      <c r="F58" s="98">
        <f>'5. PERSON'!AU54</f>
        <v>0</v>
      </c>
      <c r="G58" s="98">
        <f>'5. PERSON'!AV54</f>
        <v>0</v>
      </c>
      <c r="H58" s="98">
        <f>'5. PERSON'!AW54</f>
        <v>0</v>
      </c>
      <c r="I58" s="98">
        <f>'5. PERSON'!AX54</f>
        <v>0</v>
      </c>
      <c r="J58" s="98">
        <f>'5. PERSON'!AY54</f>
        <v>0</v>
      </c>
      <c r="K58" s="98">
        <f>'5. PERSON'!AZ54</f>
        <v>0</v>
      </c>
      <c r="L58" s="98">
        <f>'5. PERSON'!BA54</f>
        <v>0</v>
      </c>
      <c r="M58" s="98">
        <f>'5. PERSON'!BB54</f>
        <v>0</v>
      </c>
      <c r="N58" s="98">
        <f>'5. PERSON'!BC54</f>
        <v>0</v>
      </c>
      <c r="O58" s="98">
        <f>'5. PERSON'!BD54</f>
        <v>0</v>
      </c>
      <c r="P58" s="98">
        <f>'5. PERSON'!BF54</f>
        <v>0</v>
      </c>
      <c r="Q58" s="98">
        <f>'5. PERSON'!BG54</f>
        <v>0</v>
      </c>
      <c r="R58" s="98">
        <f>'5. PERSON'!BH54</f>
        <v>0</v>
      </c>
      <c r="S58" s="98">
        <f>'5. PERSON'!BI54</f>
        <v>0</v>
      </c>
      <c r="T58" s="98">
        <f>'5. PERSON'!BJ54</f>
        <v>0</v>
      </c>
      <c r="U58" s="98">
        <f>'5. PERSON'!BK54</f>
        <v>0</v>
      </c>
      <c r="V58" s="98">
        <f>'5. PERSON'!BL54</f>
        <v>0</v>
      </c>
      <c r="W58" s="98">
        <f>'5. PERSON'!BM54</f>
        <v>0</v>
      </c>
      <c r="X58" s="98">
        <f>'5. PERSON'!BN54</f>
        <v>0</v>
      </c>
      <c r="Y58" s="98">
        <f>'5. PERSON'!BO54</f>
        <v>0</v>
      </c>
      <c r="Z58" s="98">
        <f t="shared" si="1"/>
        <v>0</v>
      </c>
    </row>
    <row r="59" spans="2:26" s="37" customFormat="1" ht="13.5" customHeight="1" x14ac:dyDescent="0.2">
      <c r="B59" s="206" t="str">
        <f>IF('5. PERSON'!C55="","",'5. PERSON'!C55)</f>
        <v/>
      </c>
      <c r="C59" s="933">
        <f>('5. PERSON'!G55+'5. PERSON'!H55+'5. PERSON'!I55+'5. PERSON'!J55+'5. PERSON'!K55+'5. PERSON'!L55+'5. PERSON'!M55+'5. PERSON'!N55+'5. PERSON'!O55+'5. PERSON'!P55)/((YEAR('2. START'!$C$19)-YEAR('2. START'!$C$18))*12+MONTH('2. START'!$C$19)-MONTH('2. START'!$C$18)+1)</f>
        <v>0</v>
      </c>
      <c r="D59" s="933">
        <f>(('5. PERSON'!$G55+'5. PERSON'!$H55+'5. PERSON'!$I55+'5. PERSON'!$J55+'5. PERSON'!$K55+'5. PERSON'!$L55+'5. PERSON'!$M55+'5. PERSON'!$N55+'5. PERSON'!$O55+'5. PERSON'!$P55)*(1-'5. PERSON'!E55))/((YEAR('2. START'!$C$19)-YEAR('2. START'!$C$18))*12+MONTH('2. START'!$C$19)-MONTH('2. START'!$C$18)+1)</f>
        <v>0</v>
      </c>
      <c r="E59" s="87">
        <f>'5. PERSON'!AT55</f>
        <v>0</v>
      </c>
      <c r="F59" s="87">
        <f>'5. PERSON'!AU55</f>
        <v>0</v>
      </c>
      <c r="G59" s="87">
        <f>'5. PERSON'!AV55</f>
        <v>0</v>
      </c>
      <c r="H59" s="87">
        <f>'5. PERSON'!AW55</f>
        <v>0</v>
      </c>
      <c r="I59" s="87">
        <f>'5. PERSON'!AX55</f>
        <v>0</v>
      </c>
      <c r="J59" s="87">
        <f>'5. PERSON'!AY55</f>
        <v>0</v>
      </c>
      <c r="K59" s="87">
        <f>'5. PERSON'!AZ55</f>
        <v>0</v>
      </c>
      <c r="L59" s="87">
        <f>'5. PERSON'!BA55</f>
        <v>0</v>
      </c>
      <c r="M59" s="87">
        <f>'5. PERSON'!BB55</f>
        <v>0</v>
      </c>
      <c r="N59" s="87">
        <f>'5. PERSON'!BC55</f>
        <v>0</v>
      </c>
      <c r="O59" s="87">
        <f>'5. PERSON'!BD55</f>
        <v>0</v>
      </c>
      <c r="P59" s="87">
        <f>'5. PERSON'!BF55</f>
        <v>0</v>
      </c>
      <c r="Q59" s="87">
        <f>'5. PERSON'!BG55</f>
        <v>0</v>
      </c>
      <c r="R59" s="87">
        <f>'5. PERSON'!BH55</f>
        <v>0</v>
      </c>
      <c r="S59" s="87">
        <f>'5. PERSON'!BI55</f>
        <v>0</v>
      </c>
      <c r="T59" s="87">
        <f>'5. PERSON'!BJ55</f>
        <v>0</v>
      </c>
      <c r="U59" s="87">
        <f>'5. PERSON'!BK55</f>
        <v>0</v>
      </c>
      <c r="V59" s="87">
        <f>'5. PERSON'!BL55</f>
        <v>0</v>
      </c>
      <c r="W59" s="87">
        <f>'5. PERSON'!BM55</f>
        <v>0</v>
      </c>
      <c r="X59" s="87">
        <f>'5. PERSON'!BN55</f>
        <v>0</v>
      </c>
      <c r="Y59" s="87">
        <f>'5. PERSON'!BO55</f>
        <v>0</v>
      </c>
      <c r="Z59" s="87">
        <f t="shared" si="1"/>
        <v>0</v>
      </c>
    </row>
    <row r="60" spans="2:26" s="37" customFormat="1" ht="13.5" customHeight="1" x14ac:dyDescent="0.2">
      <c r="B60" s="214" t="str">
        <f>IF('5. PERSON'!C56="","",'5. PERSON'!C56)</f>
        <v/>
      </c>
      <c r="C60" s="934">
        <f>('5. PERSON'!G56+'5. PERSON'!H56+'5. PERSON'!I56+'5. PERSON'!J56+'5. PERSON'!K56+'5. PERSON'!L56+'5. PERSON'!M56+'5. PERSON'!N56+'5. PERSON'!O56+'5. PERSON'!P56)/((YEAR('2. START'!$C$19)-YEAR('2. START'!$C$18))*12+MONTH('2. START'!$C$19)-MONTH('2. START'!$C$18)+1)</f>
        <v>0</v>
      </c>
      <c r="D60" s="934">
        <f>(('5. PERSON'!$G56+'5. PERSON'!$H56+'5. PERSON'!$I56+'5. PERSON'!$J56+'5. PERSON'!$K56+'5. PERSON'!$L56+'5. PERSON'!$M56+'5. PERSON'!$N56+'5. PERSON'!$O56+'5. PERSON'!$P56)*(1-'5. PERSON'!E56))/((YEAR('2. START'!$C$19)-YEAR('2. START'!$C$18))*12+MONTH('2. START'!$C$19)-MONTH('2. START'!$C$18)+1)</f>
        <v>0</v>
      </c>
      <c r="E60" s="98">
        <f>'5. PERSON'!AT56</f>
        <v>0</v>
      </c>
      <c r="F60" s="98">
        <f>'5. PERSON'!AU56</f>
        <v>0</v>
      </c>
      <c r="G60" s="98">
        <f>'5. PERSON'!AV56</f>
        <v>0</v>
      </c>
      <c r="H60" s="98">
        <f>'5. PERSON'!AW56</f>
        <v>0</v>
      </c>
      <c r="I60" s="98">
        <f>'5. PERSON'!AX56</f>
        <v>0</v>
      </c>
      <c r="J60" s="98">
        <f>'5. PERSON'!AY56</f>
        <v>0</v>
      </c>
      <c r="K60" s="98">
        <f>'5. PERSON'!AZ56</f>
        <v>0</v>
      </c>
      <c r="L60" s="98">
        <f>'5. PERSON'!BA56</f>
        <v>0</v>
      </c>
      <c r="M60" s="98">
        <f>'5. PERSON'!BB56</f>
        <v>0</v>
      </c>
      <c r="N60" s="98">
        <f>'5. PERSON'!BC56</f>
        <v>0</v>
      </c>
      <c r="O60" s="98">
        <f>'5. PERSON'!BD56</f>
        <v>0</v>
      </c>
      <c r="P60" s="98">
        <f>'5. PERSON'!BF56</f>
        <v>0</v>
      </c>
      <c r="Q60" s="98">
        <f>'5. PERSON'!BG56</f>
        <v>0</v>
      </c>
      <c r="R60" s="98">
        <f>'5. PERSON'!BH56</f>
        <v>0</v>
      </c>
      <c r="S60" s="98">
        <f>'5. PERSON'!BI56</f>
        <v>0</v>
      </c>
      <c r="T60" s="98">
        <f>'5. PERSON'!BJ56</f>
        <v>0</v>
      </c>
      <c r="U60" s="98">
        <f>'5. PERSON'!BK56</f>
        <v>0</v>
      </c>
      <c r="V60" s="98">
        <f>'5. PERSON'!BL56</f>
        <v>0</v>
      </c>
      <c r="W60" s="98">
        <f>'5. PERSON'!BM56</f>
        <v>0</v>
      </c>
      <c r="X60" s="98">
        <f>'5. PERSON'!BN56</f>
        <v>0</v>
      </c>
      <c r="Y60" s="98">
        <f>'5. PERSON'!BO56</f>
        <v>0</v>
      </c>
      <c r="Z60" s="98">
        <f t="shared" si="1"/>
        <v>0</v>
      </c>
    </row>
    <row r="61" spans="2:26" s="37" customFormat="1" ht="13.5" customHeight="1" x14ac:dyDescent="0.2">
      <c r="B61" s="206" t="str">
        <f>IF('5. PERSON'!C57="","",'5. PERSON'!C57)</f>
        <v/>
      </c>
      <c r="C61" s="933">
        <f>('5. PERSON'!G57+'5. PERSON'!H57+'5. PERSON'!I57+'5. PERSON'!J57+'5. PERSON'!K57+'5. PERSON'!L57+'5. PERSON'!M57+'5. PERSON'!N57+'5. PERSON'!O57+'5. PERSON'!P57)/((YEAR('2. START'!$C$19)-YEAR('2. START'!$C$18))*12+MONTH('2. START'!$C$19)-MONTH('2. START'!$C$18)+1)</f>
        <v>0</v>
      </c>
      <c r="D61" s="933">
        <f>(('5. PERSON'!$G57+'5. PERSON'!$H57+'5. PERSON'!$I57+'5. PERSON'!$J57+'5. PERSON'!$K57+'5. PERSON'!$L57+'5. PERSON'!$M57+'5. PERSON'!$N57+'5. PERSON'!$O57+'5. PERSON'!$P57)*(1-'5. PERSON'!E57))/((YEAR('2. START'!$C$19)-YEAR('2. START'!$C$18))*12+MONTH('2. START'!$C$19)-MONTH('2. START'!$C$18)+1)</f>
        <v>0</v>
      </c>
      <c r="E61" s="87">
        <f>'5. PERSON'!AT57</f>
        <v>0</v>
      </c>
      <c r="F61" s="87">
        <f>'5. PERSON'!AU57</f>
        <v>0</v>
      </c>
      <c r="G61" s="87">
        <f>'5. PERSON'!AV57</f>
        <v>0</v>
      </c>
      <c r="H61" s="87">
        <f>'5. PERSON'!AW57</f>
        <v>0</v>
      </c>
      <c r="I61" s="87">
        <f>'5. PERSON'!AX57</f>
        <v>0</v>
      </c>
      <c r="J61" s="87">
        <f>'5. PERSON'!AY57</f>
        <v>0</v>
      </c>
      <c r="K61" s="87">
        <f>'5. PERSON'!AZ57</f>
        <v>0</v>
      </c>
      <c r="L61" s="87">
        <f>'5. PERSON'!BA57</f>
        <v>0</v>
      </c>
      <c r="M61" s="87">
        <f>'5. PERSON'!BB57</f>
        <v>0</v>
      </c>
      <c r="N61" s="87">
        <f>'5. PERSON'!BC57</f>
        <v>0</v>
      </c>
      <c r="O61" s="87">
        <f>'5. PERSON'!BD57</f>
        <v>0</v>
      </c>
      <c r="P61" s="87">
        <f>'5. PERSON'!BF57</f>
        <v>0</v>
      </c>
      <c r="Q61" s="87">
        <f>'5. PERSON'!BG57</f>
        <v>0</v>
      </c>
      <c r="R61" s="87">
        <f>'5. PERSON'!BH57</f>
        <v>0</v>
      </c>
      <c r="S61" s="87">
        <f>'5. PERSON'!BI57</f>
        <v>0</v>
      </c>
      <c r="T61" s="87">
        <f>'5. PERSON'!BJ57</f>
        <v>0</v>
      </c>
      <c r="U61" s="87">
        <f>'5. PERSON'!BK57</f>
        <v>0</v>
      </c>
      <c r="V61" s="87">
        <f>'5. PERSON'!BL57</f>
        <v>0</v>
      </c>
      <c r="W61" s="87">
        <f>'5. PERSON'!BM57</f>
        <v>0</v>
      </c>
      <c r="X61" s="87">
        <f>'5. PERSON'!BN57</f>
        <v>0</v>
      </c>
      <c r="Y61" s="87">
        <f>'5. PERSON'!BO57</f>
        <v>0</v>
      </c>
      <c r="Z61" s="87">
        <f t="shared" si="1"/>
        <v>0</v>
      </c>
    </row>
    <row r="62" spans="2:26" s="37" customFormat="1" ht="13.5" customHeight="1" x14ac:dyDescent="0.2">
      <c r="B62" s="214" t="str">
        <f>IF('5. PERSON'!C58="","",'5. PERSON'!C58)</f>
        <v/>
      </c>
      <c r="C62" s="934">
        <f>('5. PERSON'!G58+'5. PERSON'!H58+'5. PERSON'!I58+'5. PERSON'!J58+'5. PERSON'!K58+'5. PERSON'!L58+'5. PERSON'!M58+'5. PERSON'!N58+'5. PERSON'!O58+'5. PERSON'!P58)/((YEAR('2. START'!$C$19)-YEAR('2. START'!$C$18))*12+MONTH('2. START'!$C$19)-MONTH('2. START'!$C$18)+1)</f>
        <v>0</v>
      </c>
      <c r="D62" s="934">
        <f>(('5. PERSON'!$G58+'5. PERSON'!$H58+'5. PERSON'!$I58+'5. PERSON'!$J58+'5. PERSON'!$K58+'5. PERSON'!$L58+'5. PERSON'!$M58+'5. PERSON'!$N58+'5. PERSON'!$O58+'5. PERSON'!$P58)*(1-'5. PERSON'!E58))/((YEAR('2. START'!$C$19)-YEAR('2. START'!$C$18))*12+MONTH('2. START'!$C$19)-MONTH('2. START'!$C$18)+1)</f>
        <v>0</v>
      </c>
      <c r="E62" s="98">
        <f>'5. PERSON'!AT58</f>
        <v>0</v>
      </c>
      <c r="F62" s="98">
        <f>'5. PERSON'!AU58</f>
        <v>0</v>
      </c>
      <c r="G62" s="98">
        <f>'5. PERSON'!AV58</f>
        <v>0</v>
      </c>
      <c r="H62" s="98">
        <f>'5. PERSON'!AW58</f>
        <v>0</v>
      </c>
      <c r="I62" s="98">
        <f>'5. PERSON'!AX58</f>
        <v>0</v>
      </c>
      <c r="J62" s="98">
        <f>'5. PERSON'!AY58</f>
        <v>0</v>
      </c>
      <c r="K62" s="98">
        <f>'5. PERSON'!AZ58</f>
        <v>0</v>
      </c>
      <c r="L62" s="98">
        <f>'5. PERSON'!BA58</f>
        <v>0</v>
      </c>
      <c r="M62" s="98">
        <f>'5. PERSON'!BB58</f>
        <v>0</v>
      </c>
      <c r="N62" s="98">
        <f>'5. PERSON'!BC58</f>
        <v>0</v>
      </c>
      <c r="O62" s="98">
        <f>'5. PERSON'!BD58</f>
        <v>0</v>
      </c>
      <c r="P62" s="98">
        <f>'5. PERSON'!BF58</f>
        <v>0</v>
      </c>
      <c r="Q62" s="98">
        <f>'5. PERSON'!BG58</f>
        <v>0</v>
      </c>
      <c r="R62" s="98">
        <f>'5. PERSON'!BH58</f>
        <v>0</v>
      </c>
      <c r="S62" s="98">
        <f>'5. PERSON'!BI58</f>
        <v>0</v>
      </c>
      <c r="T62" s="98">
        <f>'5. PERSON'!BJ58</f>
        <v>0</v>
      </c>
      <c r="U62" s="98">
        <f>'5. PERSON'!BK58</f>
        <v>0</v>
      </c>
      <c r="V62" s="98">
        <f>'5. PERSON'!BL58</f>
        <v>0</v>
      </c>
      <c r="W62" s="98">
        <f>'5. PERSON'!BM58</f>
        <v>0</v>
      </c>
      <c r="X62" s="98">
        <f>'5. PERSON'!BN58</f>
        <v>0</v>
      </c>
      <c r="Y62" s="98">
        <f>'5. PERSON'!BO58</f>
        <v>0</v>
      </c>
      <c r="Z62" s="98">
        <f t="shared" si="1"/>
        <v>0</v>
      </c>
    </row>
    <row r="63" spans="2:26" s="37" customFormat="1" ht="13.5" customHeight="1" x14ac:dyDescent="0.2">
      <c r="B63" s="206" t="str">
        <f>IF('5. PERSON'!C59="","",'5. PERSON'!C59)</f>
        <v/>
      </c>
      <c r="C63" s="933">
        <f>('5. PERSON'!G59+'5. PERSON'!H59+'5. PERSON'!I59+'5. PERSON'!J59+'5. PERSON'!K59+'5. PERSON'!L59+'5. PERSON'!M59+'5. PERSON'!N59+'5. PERSON'!O59+'5. PERSON'!P59)/((YEAR('2. START'!$C$19)-YEAR('2. START'!$C$18))*12+MONTH('2. START'!$C$19)-MONTH('2. START'!$C$18)+1)</f>
        <v>0</v>
      </c>
      <c r="D63" s="933">
        <f>(('5. PERSON'!$G59+'5. PERSON'!$H59+'5. PERSON'!$I59+'5. PERSON'!$J59+'5. PERSON'!$K59+'5. PERSON'!$L59+'5. PERSON'!$M59+'5. PERSON'!$N59+'5. PERSON'!$O59+'5. PERSON'!$P59)*(1-'5. PERSON'!E59))/((YEAR('2. START'!$C$19)-YEAR('2. START'!$C$18))*12+MONTH('2. START'!$C$19)-MONTH('2. START'!$C$18)+1)</f>
        <v>0</v>
      </c>
      <c r="E63" s="87">
        <f>'5. PERSON'!AT59</f>
        <v>0</v>
      </c>
      <c r="F63" s="87">
        <f>'5. PERSON'!AU59</f>
        <v>0</v>
      </c>
      <c r="G63" s="87">
        <f>'5. PERSON'!AV59</f>
        <v>0</v>
      </c>
      <c r="H63" s="87">
        <f>'5. PERSON'!AW59</f>
        <v>0</v>
      </c>
      <c r="I63" s="87">
        <f>'5. PERSON'!AX59</f>
        <v>0</v>
      </c>
      <c r="J63" s="87">
        <f>'5. PERSON'!AY59</f>
        <v>0</v>
      </c>
      <c r="K63" s="87">
        <f>'5. PERSON'!AZ59</f>
        <v>0</v>
      </c>
      <c r="L63" s="87">
        <f>'5. PERSON'!BA59</f>
        <v>0</v>
      </c>
      <c r="M63" s="87">
        <f>'5. PERSON'!BB59</f>
        <v>0</v>
      </c>
      <c r="N63" s="87">
        <f>'5. PERSON'!BC59</f>
        <v>0</v>
      </c>
      <c r="O63" s="87">
        <f>'5. PERSON'!BD59</f>
        <v>0</v>
      </c>
      <c r="P63" s="87">
        <f>'5. PERSON'!BF59</f>
        <v>0</v>
      </c>
      <c r="Q63" s="87">
        <f>'5. PERSON'!BG59</f>
        <v>0</v>
      </c>
      <c r="R63" s="87">
        <f>'5. PERSON'!BH59</f>
        <v>0</v>
      </c>
      <c r="S63" s="87">
        <f>'5. PERSON'!BI59</f>
        <v>0</v>
      </c>
      <c r="T63" s="87">
        <f>'5. PERSON'!BJ59</f>
        <v>0</v>
      </c>
      <c r="U63" s="87">
        <f>'5. PERSON'!BK59</f>
        <v>0</v>
      </c>
      <c r="V63" s="87">
        <f>'5. PERSON'!BL59</f>
        <v>0</v>
      </c>
      <c r="W63" s="87">
        <f>'5. PERSON'!BM59</f>
        <v>0</v>
      </c>
      <c r="X63" s="87">
        <f>'5. PERSON'!BN59</f>
        <v>0</v>
      </c>
      <c r="Y63" s="87">
        <f>'5. PERSON'!BO59</f>
        <v>0</v>
      </c>
      <c r="Z63" s="87">
        <f t="shared" si="1"/>
        <v>0</v>
      </c>
    </row>
    <row r="64" spans="2:26" s="37" customFormat="1" ht="13.5" customHeight="1" x14ac:dyDescent="0.2">
      <c r="B64" s="214" t="str">
        <f>IF('5. PERSON'!C60="","",'5. PERSON'!C60)</f>
        <v/>
      </c>
      <c r="C64" s="934">
        <f>('5. PERSON'!G60+'5. PERSON'!H60+'5. PERSON'!I60+'5. PERSON'!J60+'5. PERSON'!K60+'5. PERSON'!L60+'5. PERSON'!M60+'5. PERSON'!N60+'5. PERSON'!O60+'5. PERSON'!P60)/((YEAR('2. START'!$C$19)-YEAR('2. START'!$C$18))*12+MONTH('2. START'!$C$19)-MONTH('2. START'!$C$18)+1)</f>
        <v>0</v>
      </c>
      <c r="D64" s="934">
        <f>(('5. PERSON'!$G60+'5. PERSON'!$H60+'5. PERSON'!$I60+'5. PERSON'!$J60+'5. PERSON'!$K60+'5. PERSON'!$L60+'5. PERSON'!$M60+'5. PERSON'!$N60+'5. PERSON'!$O60+'5. PERSON'!$P60)*(1-'5. PERSON'!E60))/((YEAR('2. START'!$C$19)-YEAR('2. START'!$C$18))*12+MONTH('2. START'!$C$19)-MONTH('2. START'!$C$18)+1)</f>
        <v>0</v>
      </c>
      <c r="E64" s="98">
        <f>'5. PERSON'!AT60</f>
        <v>0</v>
      </c>
      <c r="F64" s="98">
        <f>'5. PERSON'!AU60</f>
        <v>0</v>
      </c>
      <c r="G64" s="98">
        <f>'5. PERSON'!AV60</f>
        <v>0</v>
      </c>
      <c r="H64" s="98">
        <f>'5. PERSON'!AW60</f>
        <v>0</v>
      </c>
      <c r="I64" s="98">
        <f>'5. PERSON'!AX60</f>
        <v>0</v>
      </c>
      <c r="J64" s="98">
        <f>'5. PERSON'!AY60</f>
        <v>0</v>
      </c>
      <c r="K64" s="98">
        <f>'5. PERSON'!AZ60</f>
        <v>0</v>
      </c>
      <c r="L64" s="98">
        <f>'5. PERSON'!BA60</f>
        <v>0</v>
      </c>
      <c r="M64" s="98">
        <f>'5. PERSON'!BB60</f>
        <v>0</v>
      </c>
      <c r="N64" s="98">
        <f>'5. PERSON'!BC60</f>
        <v>0</v>
      </c>
      <c r="O64" s="98">
        <f>'5. PERSON'!BD60</f>
        <v>0</v>
      </c>
      <c r="P64" s="98">
        <f>'5. PERSON'!BF60</f>
        <v>0</v>
      </c>
      <c r="Q64" s="98">
        <f>'5. PERSON'!BG60</f>
        <v>0</v>
      </c>
      <c r="R64" s="98">
        <f>'5. PERSON'!BH60</f>
        <v>0</v>
      </c>
      <c r="S64" s="98">
        <f>'5. PERSON'!BI60</f>
        <v>0</v>
      </c>
      <c r="T64" s="98">
        <f>'5. PERSON'!BJ60</f>
        <v>0</v>
      </c>
      <c r="U64" s="98">
        <f>'5. PERSON'!BK60</f>
        <v>0</v>
      </c>
      <c r="V64" s="98">
        <f>'5. PERSON'!BL60</f>
        <v>0</v>
      </c>
      <c r="W64" s="98">
        <f>'5. PERSON'!BM60</f>
        <v>0</v>
      </c>
      <c r="X64" s="98">
        <f>'5. PERSON'!BN60</f>
        <v>0</v>
      </c>
      <c r="Y64" s="98">
        <f>'5. PERSON'!BO60</f>
        <v>0</v>
      </c>
      <c r="Z64" s="98">
        <f t="shared" si="1"/>
        <v>0</v>
      </c>
    </row>
    <row r="65" spans="2:26" s="37" customFormat="1" ht="13.5" customHeight="1" x14ac:dyDescent="0.2">
      <c r="B65" s="206" t="str">
        <f>IF('5. PERSON'!C61="","",'5. PERSON'!C61)</f>
        <v/>
      </c>
      <c r="C65" s="933">
        <f>('5. PERSON'!G61+'5. PERSON'!H61+'5. PERSON'!I61+'5. PERSON'!J61+'5. PERSON'!K61+'5. PERSON'!L61+'5. PERSON'!M61+'5. PERSON'!N61+'5. PERSON'!O61+'5. PERSON'!P61)/((YEAR('2. START'!$C$19)-YEAR('2. START'!$C$18))*12+MONTH('2. START'!$C$19)-MONTH('2. START'!$C$18)+1)</f>
        <v>0</v>
      </c>
      <c r="D65" s="933">
        <f>(('5. PERSON'!$G61+'5. PERSON'!$H61+'5. PERSON'!$I61+'5. PERSON'!$J61+'5. PERSON'!$K61+'5. PERSON'!$L61+'5. PERSON'!$M61+'5. PERSON'!$N61+'5. PERSON'!$O61+'5. PERSON'!$P61)*(1-'5. PERSON'!E61))/((YEAR('2. START'!$C$19)-YEAR('2. START'!$C$18))*12+MONTH('2. START'!$C$19)-MONTH('2. START'!$C$18)+1)</f>
        <v>0</v>
      </c>
      <c r="E65" s="87">
        <f>'5. PERSON'!AT61</f>
        <v>0</v>
      </c>
      <c r="F65" s="87">
        <f>'5. PERSON'!AU61</f>
        <v>0</v>
      </c>
      <c r="G65" s="87">
        <f>'5. PERSON'!AV61</f>
        <v>0</v>
      </c>
      <c r="H65" s="87">
        <f>'5. PERSON'!AW61</f>
        <v>0</v>
      </c>
      <c r="I65" s="87">
        <f>'5. PERSON'!AX61</f>
        <v>0</v>
      </c>
      <c r="J65" s="87">
        <f>'5. PERSON'!AY61</f>
        <v>0</v>
      </c>
      <c r="K65" s="87">
        <f>'5. PERSON'!AZ61</f>
        <v>0</v>
      </c>
      <c r="L65" s="87">
        <f>'5. PERSON'!BA61</f>
        <v>0</v>
      </c>
      <c r="M65" s="87">
        <f>'5. PERSON'!BB61</f>
        <v>0</v>
      </c>
      <c r="N65" s="87">
        <f>'5. PERSON'!BC61</f>
        <v>0</v>
      </c>
      <c r="O65" s="87">
        <f>'5. PERSON'!BD61</f>
        <v>0</v>
      </c>
      <c r="P65" s="87">
        <f>'5. PERSON'!BF61</f>
        <v>0</v>
      </c>
      <c r="Q65" s="87">
        <f>'5. PERSON'!BG61</f>
        <v>0</v>
      </c>
      <c r="R65" s="87">
        <f>'5. PERSON'!BH61</f>
        <v>0</v>
      </c>
      <c r="S65" s="87">
        <f>'5. PERSON'!BI61</f>
        <v>0</v>
      </c>
      <c r="T65" s="87">
        <f>'5. PERSON'!BJ61</f>
        <v>0</v>
      </c>
      <c r="U65" s="87">
        <f>'5. PERSON'!BK61</f>
        <v>0</v>
      </c>
      <c r="V65" s="87">
        <f>'5. PERSON'!BL61</f>
        <v>0</v>
      </c>
      <c r="W65" s="87">
        <f>'5. PERSON'!BM61</f>
        <v>0</v>
      </c>
      <c r="X65" s="87">
        <f>'5. PERSON'!BN61</f>
        <v>0</v>
      </c>
      <c r="Y65" s="87">
        <f>'5. PERSON'!BO61</f>
        <v>0</v>
      </c>
      <c r="Z65" s="87">
        <f t="shared" si="1"/>
        <v>0</v>
      </c>
    </row>
    <row r="66" spans="2:26" s="37" customFormat="1" ht="13.5" customHeight="1" x14ac:dyDescent="0.2">
      <c r="B66" s="214" t="str">
        <f>IF('5. PERSON'!C62="","",'5. PERSON'!C62)</f>
        <v/>
      </c>
      <c r="C66" s="934">
        <f>('5. PERSON'!G62+'5. PERSON'!H62+'5. PERSON'!I62+'5. PERSON'!J62+'5. PERSON'!K62+'5. PERSON'!L62+'5. PERSON'!M62+'5. PERSON'!N62+'5. PERSON'!O62+'5. PERSON'!P62)/((YEAR('2. START'!$C$19)-YEAR('2. START'!$C$18))*12+MONTH('2. START'!$C$19)-MONTH('2. START'!$C$18)+1)</f>
        <v>0</v>
      </c>
      <c r="D66" s="934">
        <f>(('5. PERSON'!$G62+'5. PERSON'!$H62+'5. PERSON'!$I62+'5. PERSON'!$J62+'5. PERSON'!$K62+'5. PERSON'!$L62+'5. PERSON'!$M62+'5. PERSON'!$N62+'5. PERSON'!$O62+'5. PERSON'!$P62)*(1-'5. PERSON'!E62))/((YEAR('2. START'!$C$19)-YEAR('2. START'!$C$18))*12+MONTH('2. START'!$C$19)-MONTH('2. START'!$C$18)+1)</f>
        <v>0</v>
      </c>
      <c r="E66" s="98">
        <f>'5. PERSON'!AT62</f>
        <v>0</v>
      </c>
      <c r="F66" s="98">
        <f>'5. PERSON'!AU62</f>
        <v>0</v>
      </c>
      <c r="G66" s="98">
        <f>'5. PERSON'!AV62</f>
        <v>0</v>
      </c>
      <c r="H66" s="98">
        <f>'5. PERSON'!AW62</f>
        <v>0</v>
      </c>
      <c r="I66" s="98">
        <f>'5. PERSON'!AX62</f>
        <v>0</v>
      </c>
      <c r="J66" s="98">
        <f>'5. PERSON'!AY62</f>
        <v>0</v>
      </c>
      <c r="K66" s="98">
        <f>'5. PERSON'!AZ62</f>
        <v>0</v>
      </c>
      <c r="L66" s="98">
        <f>'5. PERSON'!BA62</f>
        <v>0</v>
      </c>
      <c r="M66" s="98">
        <f>'5. PERSON'!BB62</f>
        <v>0</v>
      </c>
      <c r="N66" s="98">
        <f>'5. PERSON'!BC62</f>
        <v>0</v>
      </c>
      <c r="O66" s="98">
        <f>'5. PERSON'!BD62</f>
        <v>0</v>
      </c>
      <c r="P66" s="98">
        <f>'5. PERSON'!BF62</f>
        <v>0</v>
      </c>
      <c r="Q66" s="98">
        <f>'5. PERSON'!BG62</f>
        <v>0</v>
      </c>
      <c r="R66" s="98">
        <f>'5. PERSON'!BH62</f>
        <v>0</v>
      </c>
      <c r="S66" s="98">
        <f>'5. PERSON'!BI62</f>
        <v>0</v>
      </c>
      <c r="T66" s="98">
        <f>'5. PERSON'!BJ62</f>
        <v>0</v>
      </c>
      <c r="U66" s="98">
        <f>'5. PERSON'!BK62</f>
        <v>0</v>
      </c>
      <c r="V66" s="98">
        <f>'5. PERSON'!BL62</f>
        <v>0</v>
      </c>
      <c r="W66" s="98">
        <f>'5. PERSON'!BM62</f>
        <v>0</v>
      </c>
      <c r="X66" s="98">
        <f>'5. PERSON'!BN62</f>
        <v>0</v>
      </c>
      <c r="Y66" s="98">
        <f>'5. PERSON'!BO62</f>
        <v>0</v>
      </c>
      <c r="Z66" s="98">
        <f t="shared" si="1"/>
        <v>0</v>
      </c>
    </row>
    <row r="67" spans="2:26" s="37" customFormat="1" ht="13.5" customHeight="1" x14ac:dyDescent="0.2">
      <c r="B67" s="206" t="str">
        <f>IF('5. PERSON'!C63="","",'5. PERSON'!C63)</f>
        <v/>
      </c>
      <c r="C67" s="933">
        <f>('5. PERSON'!G63+'5. PERSON'!H63+'5. PERSON'!I63+'5. PERSON'!J63+'5. PERSON'!K63+'5. PERSON'!L63+'5. PERSON'!M63+'5. PERSON'!N63+'5. PERSON'!O63+'5. PERSON'!P63)/((YEAR('2. START'!$C$19)-YEAR('2. START'!$C$18))*12+MONTH('2. START'!$C$19)-MONTH('2. START'!$C$18)+1)</f>
        <v>0</v>
      </c>
      <c r="D67" s="933">
        <f>(('5. PERSON'!$G63+'5. PERSON'!$H63+'5. PERSON'!$I63+'5. PERSON'!$J63+'5. PERSON'!$K63+'5. PERSON'!$L63+'5. PERSON'!$M63+'5. PERSON'!$N63+'5. PERSON'!$O63+'5. PERSON'!$P63)*(1-'5. PERSON'!E63))/((YEAR('2. START'!$C$19)-YEAR('2. START'!$C$18))*12+MONTH('2. START'!$C$19)-MONTH('2. START'!$C$18)+1)</f>
        <v>0</v>
      </c>
      <c r="E67" s="87">
        <f>'5. PERSON'!AT63</f>
        <v>0</v>
      </c>
      <c r="F67" s="87">
        <f>'5. PERSON'!AU63</f>
        <v>0</v>
      </c>
      <c r="G67" s="87">
        <f>'5. PERSON'!AV63</f>
        <v>0</v>
      </c>
      <c r="H67" s="87">
        <f>'5. PERSON'!AW63</f>
        <v>0</v>
      </c>
      <c r="I67" s="87">
        <f>'5. PERSON'!AX63</f>
        <v>0</v>
      </c>
      <c r="J67" s="87">
        <f>'5. PERSON'!AY63</f>
        <v>0</v>
      </c>
      <c r="K67" s="87">
        <f>'5. PERSON'!AZ63</f>
        <v>0</v>
      </c>
      <c r="L67" s="87">
        <f>'5. PERSON'!BA63</f>
        <v>0</v>
      </c>
      <c r="M67" s="87">
        <f>'5. PERSON'!BB63</f>
        <v>0</v>
      </c>
      <c r="N67" s="87">
        <f>'5. PERSON'!BC63</f>
        <v>0</v>
      </c>
      <c r="O67" s="87">
        <f>'5. PERSON'!BD63</f>
        <v>0</v>
      </c>
      <c r="P67" s="87">
        <f>'5. PERSON'!BF63</f>
        <v>0</v>
      </c>
      <c r="Q67" s="87">
        <f>'5. PERSON'!BG63</f>
        <v>0</v>
      </c>
      <c r="R67" s="87">
        <f>'5. PERSON'!BH63</f>
        <v>0</v>
      </c>
      <c r="S67" s="87">
        <f>'5. PERSON'!BI63</f>
        <v>0</v>
      </c>
      <c r="T67" s="87">
        <f>'5. PERSON'!BJ63</f>
        <v>0</v>
      </c>
      <c r="U67" s="87">
        <f>'5. PERSON'!BK63</f>
        <v>0</v>
      </c>
      <c r="V67" s="87">
        <f>'5. PERSON'!BL63</f>
        <v>0</v>
      </c>
      <c r="W67" s="87">
        <f>'5. PERSON'!BM63</f>
        <v>0</v>
      </c>
      <c r="X67" s="87">
        <f>'5. PERSON'!BN63</f>
        <v>0</v>
      </c>
      <c r="Y67" s="87">
        <f>'5. PERSON'!BO63</f>
        <v>0</v>
      </c>
      <c r="Z67" s="87">
        <f t="shared" si="1"/>
        <v>0</v>
      </c>
    </row>
    <row r="68" spans="2:26" s="37" customFormat="1" ht="13.5" customHeight="1" x14ac:dyDescent="0.2">
      <c r="B68" s="214" t="str">
        <f>IF('5. PERSON'!C64="","",'5. PERSON'!C64)</f>
        <v/>
      </c>
      <c r="C68" s="934">
        <f>('5. PERSON'!G64+'5. PERSON'!H64+'5. PERSON'!I64+'5. PERSON'!J64+'5. PERSON'!K64+'5. PERSON'!L64+'5. PERSON'!M64+'5. PERSON'!N64+'5. PERSON'!O64+'5. PERSON'!P64)/((YEAR('2. START'!$C$19)-YEAR('2. START'!$C$18))*12+MONTH('2. START'!$C$19)-MONTH('2. START'!$C$18)+1)</f>
        <v>0</v>
      </c>
      <c r="D68" s="934">
        <f>(('5. PERSON'!$G64+'5. PERSON'!$H64+'5. PERSON'!$I64+'5. PERSON'!$J64+'5. PERSON'!$K64+'5. PERSON'!$L64+'5. PERSON'!$M64+'5. PERSON'!$N64+'5. PERSON'!$O64+'5. PERSON'!$P64)*(1-'5. PERSON'!E64))/((YEAR('2. START'!$C$19)-YEAR('2. START'!$C$18))*12+MONTH('2. START'!$C$19)-MONTH('2. START'!$C$18)+1)</f>
        <v>0</v>
      </c>
      <c r="E68" s="98">
        <f>'5. PERSON'!AT64</f>
        <v>0</v>
      </c>
      <c r="F68" s="98">
        <f>'5. PERSON'!AU64</f>
        <v>0</v>
      </c>
      <c r="G68" s="98">
        <f>'5. PERSON'!AV64</f>
        <v>0</v>
      </c>
      <c r="H68" s="98">
        <f>'5. PERSON'!AW64</f>
        <v>0</v>
      </c>
      <c r="I68" s="98">
        <f>'5. PERSON'!AX64</f>
        <v>0</v>
      </c>
      <c r="J68" s="98">
        <f>'5. PERSON'!AY64</f>
        <v>0</v>
      </c>
      <c r="K68" s="98">
        <f>'5. PERSON'!AZ64</f>
        <v>0</v>
      </c>
      <c r="L68" s="98">
        <f>'5. PERSON'!BA64</f>
        <v>0</v>
      </c>
      <c r="M68" s="98">
        <f>'5. PERSON'!BB64</f>
        <v>0</v>
      </c>
      <c r="N68" s="98">
        <f>'5. PERSON'!BC64</f>
        <v>0</v>
      </c>
      <c r="O68" s="98">
        <f>'5. PERSON'!BD64</f>
        <v>0</v>
      </c>
      <c r="P68" s="98">
        <f>'5. PERSON'!BF64</f>
        <v>0</v>
      </c>
      <c r="Q68" s="98">
        <f>'5. PERSON'!BG64</f>
        <v>0</v>
      </c>
      <c r="R68" s="98">
        <f>'5. PERSON'!BH64</f>
        <v>0</v>
      </c>
      <c r="S68" s="98">
        <f>'5. PERSON'!BI64</f>
        <v>0</v>
      </c>
      <c r="T68" s="98">
        <f>'5. PERSON'!BJ64</f>
        <v>0</v>
      </c>
      <c r="U68" s="98">
        <f>'5. PERSON'!BK64</f>
        <v>0</v>
      </c>
      <c r="V68" s="98">
        <f>'5. PERSON'!BL64</f>
        <v>0</v>
      </c>
      <c r="W68" s="98">
        <f>'5. PERSON'!BM64</f>
        <v>0</v>
      </c>
      <c r="X68" s="98">
        <f>'5. PERSON'!BN64</f>
        <v>0</v>
      </c>
      <c r="Y68" s="98">
        <f>'5. PERSON'!BO64</f>
        <v>0</v>
      </c>
      <c r="Z68" s="98">
        <f t="shared" si="1"/>
        <v>0</v>
      </c>
    </row>
    <row r="69" spans="2:26" s="37" customFormat="1" ht="13.5" customHeight="1" x14ac:dyDescent="0.2">
      <c r="B69" s="206" t="str">
        <f>IF('5. PERSON'!C65="","",'5. PERSON'!C65)</f>
        <v/>
      </c>
      <c r="C69" s="933">
        <f>('5. PERSON'!G65+'5. PERSON'!H65+'5. PERSON'!I65+'5. PERSON'!J65+'5. PERSON'!K65+'5. PERSON'!L65+'5. PERSON'!M65+'5. PERSON'!N65+'5. PERSON'!O65+'5. PERSON'!P65)/((YEAR('2. START'!$C$19)-YEAR('2. START'!$C$18))*12+MONTH('2. START'!$C$19)-MONTH('2. START'!$C$18)+1)</f>
        <v>0</v>
      </c>
      <c r="D69" s="933">
        <f>(('5. PERSON'!$G65+'5. PERSON'!$H65+'5. PERSON'!$I65+'5. PERSON'!$J65+'5. PERSON'!$K65+'5. PERSON'!$L65+'5. PERSON'!$M65+'5. PERSON'!$N65+'5. PERSON'!$O65+'5. PERSON'!$P65)*(1-'5. PERSON'!E65))/((YEAR('2. START'!$C$19)-YEAR('2. START'!$C$18))*12+MONTH('2. START'!$C$19)-MONTH('2. START'!$C$18)+1)</f>
        <v>0</v>
      </c>
      <c r="E69" s="87">
        <f>'5. PERSON'!AT65</f>
        <v>0</v>
      </c>
      <c r="F69" s="87">
        <f>'5. PERSON'!AU65</f>
        <v>0</v>
      </c>
      <c r="G69" s="87">
        <f>'5. PERSON'!AV65</f>
        <v>0</v>
      </c>
      <c r="H69" s="87">
        <f>'5. PERSON'!AW65</f>
        <v>0</v>
      </c>
      <c r="I69" s="87">
        <f>'5. PERSON'!AX65</f>
        <v>0</v>
      </c>
      <c r="J69" s="87">
        <f>'5. PERSON'!AY65</f>
        <v>0</v>
      </c>
      <c r="K69" s="87">
        <f>'5. PERSON'!AZ65</f>
        <v>0</v>
      </c>
      <c r="L69" s="87">
        <f>'5. PERSON'!BA65</f>
        <v>0</v>
      </c>
      <c r="M69" s="87">
        <f>'5. PERSON'!BB65</f>
        <v>0</v>
      </c>
      <c r="N69" s="87">
        <f>'5. PERSON'!BC65</f>
        <v>0</v>
      </c>
      <c r="O69" s="87">
        <f>'5. PERSON'!BD65</f>
        <v>0</v>
      </c>
      <c r="P69" s="87">
        <f>'5. PERSON'!BF65</f>
        <v>0</v>
      </c>
      <c r="Q69" s="87">
        <f>'5. PERSON'!BG65</f>
        <v>0</v>
      </c>
      <c r="R69" s="87">
        <f>'5. PERSON'!BH65</f>
        <v>0</v>
      </c>
      <c r="S69" s="87">
        <f>'5. PERSON'!BI65</f>
        <v>0</v>
      </c>
      <c r="T69" s="87">
        <f>'5. PERSON'!BJ65</f>
        <v>0</v>
      </c>
      <c r="U69" s="87">
        <f>'5. PERSON'!BK65</f>
        <v>0</v>
      </c>
      <c r="V69" s="87">
        <f>'5. PERSON'!BL65</f>
        <v>0</v>
      </c>
      <c r="W69" s="87">
        <f>'5. PERSON'!BM65</f>
        <v>0</v>
      </c>
      <c r="X69" s="87">
        <f>'5. PERSON'!BN65</f>
        <v>0</v>
      </c>
      <c r="Y69" s="87">
        <f>'5. PERSON'!BO65</f>
        <v>0</v>
      </c>
      <c r="Z69" s="87">
        <f t="shared" si="1"/>
        <v>0</v>
      </c>
    </row>
    <row r="70" spans="2:26" s="37" customFormat="1" ht="13.5" customHeight="1" x14ac:dyDescent="0.2">
      <c r="B70" s="214" t="str">
        <f>IF('5. PERSON'!C66="","",'5. PERSON'!C66)</f>
        <v/>
      </c>
      <c r="C70" s="934">
        <f>('5. PERSON'!G66+'5. PERSON'!H66+'5. PERSON'!I66+'5. PERSON'!J66+'5. PERSON'!K66+'5. PERSON'!L66+'5. PERSON'!M66+'5. PERSON'!N66+'5. PERSON'!O66+'5. PERSON'!P66)/((YEAR('2. START'!$C$19)-YEAR('2. START'!$C$18))*12+MONTH('2. START'!$C$19)-MONTH('2. START'!$C$18)+1)</f>
        <v>0</v>
      </c>
      <c r="D70" s="934">
        <f>(('5. PERSON'!$G66+'5. PERSON'!$H66+'5. PERSON'!$I66+'5. PERSON'!$J66+'5. PERSON'!$K66+'5. PERSON'!$L66+'5. PERSON'!$M66+'5. PERSON'!$N66+'5. PERSON'!$O66+'5. PERSON'!$P66)*(1-'5. PERSON'!E66))/((YEAR('2. START'!$C$19)-YEAR('2. START'!$C$18))*12+MONTH('2. START'!$C$19)-MONTH('2. START'!$C$18)+1)</f>
        <v>0</v>
      </c>
      <c r="E70" s="98">
        <f>'5. PERSON'!AT66</f>
        <v>0</v>
      </c>
      <c r="F70" s="98">
        <f>'5. PERSON'!AU66</f>
        <v>0</v>
      </c>
      <c r="G70" s="98">
        <f>'5. PERSON'!AV66</f>
        <v>0</v>
      </c>
      <c r="H70" s="98">
        <f>'5. PERSON'!AW66</f>
        <v>0</v>
      </c>
      <c r="I70" s="98">
        <f>'5. PERSON'!AX66</f>
        <v>0</v>
      </c>
      <c r="J70" s="98">
        <f>'5. PERSON'!AY66</f>
        <v>0</v>
      </c>
      <c r="K70" s="98">
        <f>'5. PERSON'!AZ66</f>
        <v>0</v>
      </c>
      <c r="L70" s="98">
        <f>'5. PERSON'!BA66</f>
        <v>0</v>
      </c>
      <c r="M70" s="98">
        <f>'5. PERSON'!BB66</f>
        <v>0</v>
      </c>
      <c r="N70" s="98">
        <f>'5. PERSON'!BC66</f>
        <v>0</v>
      </c>
      <c r="O70" s="98">
        <f>'5. PERSON'!BD66</f>
        <v>0</v>
      </c>
      <c r="P70" s="98">
        <f>'5. PERSON'!BF66</f>
        <v>0</v>
      </c>
      <c r="Q70" s="98">
        <f>'5. PERSON'!BG66</f>
        <v>0</v>
      </c>
      <c r="R70" s="98">
        <f>'5. PERSON'!BH66</f>
        <v>0</v>
      </c>
      <c r="S70" s="98">
        <f>'5. PERSON'!BI66</f>
        <v>0</v>
      </c>
      <c r="T70" s="98">
        <f>'5. PERSON'!BJ66</f>
        <v>0</v>
      </c>
      <c r="U70" s="98">
        <f>'5. PERSON'!BK66</f>
        <v>0</v>
      </c>
      <c r="V70" s="98">
        <f>'5. PERSON'!BL66</f>
        <v>0</v>
      </c>
      <c r="W70" s="98">
        <f>'5. PERSON'!BM66</f>
        <v>0</v>
      </c>
      <c r="X70" s="98">
        <f>'5. PERSON'!BN66</f>
        <v>0</v>
      </c>
      <c r="Y70" s="98">
        <f>'5. PERSON'!BO66</f>
        <v>0</v>
      </c>
      <c r="Z70" s="98">
        <f t="shared" si="1"/>
        <v>0</v>
      </c>
    </row>
    <row r="71" spans="2:26" s="37" customFormat="1" ht="13.5" customHeight="1" x14ac:dyDescent="0.2">
      <c r="B71" s="206" t="str">
        <f>IF('5. PERSON'!C67="","",'5. PERSON'!C67)</f>
        <v/>
      </c>
      <c r="C71" s="933">
        <f>('5. PERSON'!G67+'5. PERSON'!H67+'5. PERSON'!I67+'5. PERSON'!J67+'5. PERSON'!K67+'5. PERSON'!L67+'5. PERSON'!M67+'5. PERSON'!N67+'5. PERSON'!O67+'5. PERSON'!P67)/((YEAR('2. START'!$C$19)-YEAR('2. START'!$C$18))*12+MONTH('2. START'!$C$19)-MONTH('2. START'!$C$18)+1)</f>
        <v>0</v>
      </c>
      <c r="D71" s="933">
        <f>(('5. PERSON'!$G67+'5. PERSON'!$H67+'5. PERSON'!$I67+'5. PERSON'!$J67+'5. PERSON'!$K67+'5. PERSON'!$L67+'5. PERSON'!$M67+'5. PERSON'!$N67+'5. PERSON'!$O67+'5. PERSON'!$P67)*(1-'5. PERSON'!E67))/((YEAR('2. START'!$C$19)-YEAR('2. START'!$C$18))*12+MONTH('2. START'!$C$19)-MONTH('2. START'!$C$18)+1)</f>
        <v>0</v>
      </c>
      <c r="E71" s="87">
        <f>'5. PERSON'!AT67</f>
        <v>0</v>
      </c>
      <c r="F71" s="87">
        <f>'5. PERSON'!AU67</f>
        <v>0</v>
      </c>
      <c r="G71" s="87">
        <f>'5. PERSON'!AV67</f>
        <v>0</v>
      </c>
      <c r="H71" s="87">
        <f>'5. PERSON'!AW67</f>
        <v>0</v>
      </c>
      <c r="I71" s="87">
        <f>'5. PERSON'!AX67</f>
        <v>0</v>
      </c>
      <c r="J71" s="87">
        <f>'5. PERSON'!AY67</f>
        <v>0</v>
      </c>
      <c r="K71" s="87">
        <f>'5. PERSON'!AZ67</f>
        <v>0</v>
      </c>
      <c r="L71" s="87">
        <f>'5. PERSON'!BA67</f>
        <v>0</v>
      </c>
      <c r="M71" s="87">
        <f>'5. PERSON'!BB67</f>
        <v>0</v>
      </c>
      <c r="N71" s="87">
        <f>'5. PERSON'!BC67</f>
        <v>0</v>
      </c>
      <c r="O71" s="87">
        <f>'5. PERSON'!BD67</f>
        <v>0</v>
      </c>
      <c r="P71" s="87">
        <f>'5. PERSON'!BF67</f>
        <v>0</v>
      </c>
      <c r="Q71" s="87">
        <f>'5. PERSON'!BG67</f>
        <v>0</v>
      </c>
      <c r="R71" s="87">
        <f>'5. PERSON'!BH67</f>
        <v>0</v>
      </c>
      <c r="S71" s="87">
        <f>'5. PERSON'!BI67</f>
        <v>0</v>
      </c>
      <c r="T71" s="87">
        <f>'5. PERSON'!BJ67</f>
        <v>0</v>
      </c>
      <c r="U71" s="87">
        <f>'5. PERSON'!BK67</f>
        <v>0</v>
      </c>
      <c r="V71" s="87">
        <f>'5. PERSON'!BL67</f>
        <v>0</v>
      </c>
      <c r="W71" s="87">
        <f>'5. PERSON'!BM67</f>
        <v>0</v>
      </c>
      <c r="X71" s="87">
        <f>'5. PERSON'!BN67</f>
        <v>0</v>
      </c>
      <c r="Y71" s="87">
        <f>'5. PERSON'!BO67</f>
        <v>0</v>
      </c>
      <c r="Z71" s="87">
        <f t="shared" si="1"/>
        <v>0</v>
      </c>
    </row>
    <row r="72" spans="2:26" s="37" customFormat="1" ht="13.5" customHeight="1" x14ac:dyDescent="0.2">
      <c r="B72" s="214" t="str">
        <f>IF('5. PERSON'!C68="","",'5. PERSON'!C68)</f>
        <v/>
      </c>
      <c r="C72" s="934">
        <f>('5. PERSON'!G68+'5. PERSON'!H68+'5. PERSON'!I68+'5. PERSON'!J68+'5. PERSON'!K68+'5. PERSON'!L68+'5. PERSON'!M68+'5. PERSON'!N68+'5. PERSON'!O68+'5. PERSON'!P68)/((YEAR('2. START'!$C$19)-YEAR('2. START'!$C$18))*12+MONTH('2. START'!$C$19)-MONTH('2. START'!$C$18)+1)</f>
        <v>0</v>
      </c>
      <c r="D72" s="934">
        <f>(('5. PERSON'!$G68+'5. PERSON'!$H68+'5. PERSON'!$I68+'5. PERSON'!$J68+'5. PERSON'!$K68+'5. PERSON'!$L68+'5. PERSON'!$M68+'5. PERSON'!$N68+'5. PERSON'!$O68+'5. PERSON'!$P68)*(1-'5. PERSON'!E68))/((YEAR('2. START'!$C$19)-YEAR('2. START'!$C$18))*12+MONTH('2. START'!$C$19)-MONTH('2. START'!$C$18)+1)</f>
        <v>0</v>
      </c>
      <c r="E72" s="98">
        <f>'5. PERSON'!AT68</f>
        <v>0</v>
      </c>
      <c r="F72" s="98">
        <f>'5. PERSON'!AU68</f>
        <v>0</v>
      </c>
      <c r="G72" s="98">
        <f>'5. PERSON'!AV68</f>
        <v>0</v>
      </c>
      <c r="H72" s="98">
        <f>'5. PERSON'!AW68</f>
        <v>0</v>
      </c>
      <c r="I72" s="98">
        <f>'5. PERSON'!AX68</f>
        <v>0</v>
      </c>
      <c r="J72" s="98">
        <f>'5. PERSON'!AY68</f>
        <v>0</v>
      </c>
      <c r="K72" s="98">
        <f>'5. PERSON'!AZ68</f>
        <v>0</v>
      </c>
      <c r="L72" s="98">
        <f>'5. PERSON'!BA68</f>
        <v>0</v>
      </c>
      <c r="M72" s="98">
        <f>'5. PERSON'!BB68</f>
        <v>0</v>
      </c>
      <c r="N72" s="98">
        <f>'5. PERSON'!BC68</f>
        <v>0</v>
      </c>
      <c r="O72" s="98">
        <f>'5. PERSON'!BD68</f>
        <v>0</v>
      </c>
      <c r="P72" s="98">
        <f>'5. PERSON'!BF68</f>
        <v>0</v>
      </c>
      <c r="Q72" s="98">
        <f>'5. PERSON'!BG68</f>
        <v>0</v>
      </c>
      <c r="R72" s="98">
        <f>'5. PERSON'!BH68</f>
        <v>0</v>
      </c>
      <c r="S72" s="98">
        <f>'5. PERSON'!BI68</f>
        <v>0</v>
      </c>
      <c r="T72" s="98">
        <f>'5. PERSON'!BJ68</f>
        <v>0</v>
      </c>
      <c r="U72" s="98">
        <f>'5. PERSON'!BK68</f>
        <v>0</v>
      </c>
      <c r="V72" s="98">
        <f>'5. PERSON'!BL68</f>
        <v>0</v>
      </c>
      <c r="W72" s="98">
        <f>'5. PERSON'!BM68</f>
        <v>0</v>
      </c>
      <c r="X72" s="98">
        <f>'5. PERSON'!BN68</f>
        <v>0</v>
      </c>
      <c r="Y72" s="98">
        <f>'5. PERSON'!BO68</f>
        <v>0</v>
      </c>
      <c r="Z72" s="98">
        <f t="shared" si="1"/>
        <v>0</v>
      </c>
    </row>
    <row r="73" spans="2:26" s="37" customFormat="1" ht="13.5" customHeight="1" x14ac:dyDescent="0.2">
      <c r="B73" s="206" t="str">
        <f>IF('5. PERSON'!C69="","",'5. PERSON'!C69)</f>
        <v/>
      </c>
      <c r="C73" s="933">
        <f>('5. PERSON'!G69+'5. PERSON'!H69+'5. PERSON'!I69+'5. PERSON'!J69+'5. PERSON'!K69+'5. PERSON'!L69+'5. PERSON'!M69+'5. PERSON'!N69+'5. PERSON'!O69+'5. PERSON'!P69)/((YEAR('2. START'!$C$19)-YEAR('2. START'!$C$18))*12+MONTH('2. START'!$C$19)-MONTH('2. START'!$C$18)+1)</f>
        <v>0</v>
      </c>
      <c r="D73" s="933">
        <f>(('5. PERSON'!$G69+'5. PERSON'!$H69+'5. PERSON'!$I69+'5. PERSON'!$J69+'5. PERSON'!$K69+'5. PERSON'!$L69+'5. PERSON'!$M69+'5. PERSON'!$N69+'5. PERSON'!$O69+'5. PERSON'!$P69)*(1-'5. PERSON'!E69))/((YEAR('2. START'!$C$19)-YEAR('2. START'!$C$18))*12+MONTH('2. START'!$C$19)-MONTH('2. START'!$C$18)+1)</f>
        <v>0</v>
      </c>
      <c r="E73" s="87">
        <f>'5. PERSON'!AT69</f>
        <v>0</v>
      </c>
      <c r="F73" s="87">
        <f>'5. PERSON'!AU69</f>
        <v>0</v>
      </c>
      <c r="G73" s="87">
        <f>'5. PERSON'!AV69</f>
        <v>0</v>
      </c>
      <c r="H73" s="87">
        <f>'5. PERSON'!AW69</f>
        <v>0</v>
      </c>
      <c r="I73" s="87">
        <f>'5. PERSON'!AX69</f>
        <v>0</v>
      </c>
      <c r="J73" s="87">
        <f>'5. PERSON'!AY69</f>
        <v>0</v>
      </c>
      <c r="K73" s="87">
        <f>'5. PERSON'!AZ69</f>
        <v>0</v>
      </c>
      <c r="L73" s="87">
        <f>'5. PERSON'!BA69</f>
        <v>0</v>
      </c>
      <c r="M73" s="87">
        <f>'5. PERSON'!BB69</f>
        <v>0</v>
      </c>
      <c r="N73" s="87">
        <f>'5. PERSON'!BC69</f>
        <v>0</v>
      </c>
      <c r="O73" s="87">
        <f>'5. PERSON'!BD69</f>
        <v>0</v>
      </c>
      <c r="P73" s="87">
        <f>'5. PERSON'!BF69</f>
        <v>0</v>
      </c>
      <c r="Q73" s="87">
        <f>'5. PERSON'!BG69</f>
        <v>0</v>
      </c>
      <c r="R73" s="87">
        <f>'5. PERSON'!BH69</f>
        <v>0</v>
      </c>
      <c r="S73" s="87">
        <f>'5. PERSON'!BI69</f>
        <v>0</v>
      </c>
      <c r="T73" s="87">
        <f>'5. PERSON'!BJ69</f>
        <v>0</v>
      </c>
      <c r="U73" s="87">
        <f>'5. PERSON'!BK69</f>
        <v>0</v>
      </c>
      <c r="V73" s="87">
        <f>'5. PERSON'!BL69</f>
        <v>0</v>
      </c>
      <c r="W73" s="87">
        <f>'5. PERSON'!BM69</f>
        <v>0</v>
      </c>
      <c r="X73" s="87">
        <f>'5. PERSON'!BN69</f>
        <v>0</v>
      </c>
      <c r="Y73" s="87">
        <f>'5. PERSON'!BO69</f>
        <v>0</v>
      </c>
      <c r="Z73" s="87">
        <f t="shared" si="1"/>
        <v>0</v>
      </c>
    </row>
    <row r="74" spans="2:26" s="37" customFormat="1" ht="13.5" customHeight="1" x14ac:dyDescent="0.2">
      <c r="B74" s="214" t="str">
        <f>IF('5. PERSON'!C70="","",'5. PERSON'!C70)</f>
        <v/>
      </c>
      <c r="C74" s="934">
        <f>('5. PERSON'!G70+'5. PERSON'!H70+'5. PERSON'!I70+'5. PERSON'!J70+'5. PERSON'!K70+'5. PERSON'!L70+'5. PERSON'!M70+'5. PERSON'!N70+'5. PERSON'!O70+'5. PERSON'!P70)/((YEAR('2. START'!$C$19)-YEAR('2. START'!$C$18))*12+MONTH('2. START'!$C$19)-MONTH('2. START'!$C$18)+1)</f>
        <v>0</v>
      </c>
      <c r="D74" s="934">
        <f>(('5. PERSON'!$G70+'5. PERSON'!$H70+'5. PERSON'!$I70+'5. PERSON'!$J70+'5. PERSON'!$K70+'5. PERSON'!$L70+'5. PERSON'!$M70+'5. PERSON'!$N70+'5. PERSON'!$O70+'5. PERSON'!$P70)*(1-'5. PERSON'!E70))/((YEAR('2. START'!$C$19)-YEAR('2. START'!$C$18))*12+MONTH('2. START'!$C$19)-MONTH('2. START'!$C$18)+1)</f>
        <v>0</v>
      </c>
      <c r="E74" s="98">
        <f>'5. PERSON'!AT70</f>
        <v>0</v>
      </c>
      <c r="F74" s="98">
        <f>'5. PERSON'!AU70</f>
        <v>0</v>
      </c>
      <c r="G74" s="98">
        <f>'5. PERSON'!AV70</f>
        <v>0</v>
      </c>
      <c r="H74" s="98">
        <f>'5. PERSON'!AW70</f>
        <v>0</v>
      </c>
      <c r="I74" s="98">
        <f>'5. PERSON'!AX70</f>
        <v>0</v>
      </c>
      <c r="J74" s="98">
        <f>'5. PERSON'!AY70</f>
        <v>0</v>
      </c>
      <c r="K74" s="98">
        <f>'5. PERSON'!AZ70</f>
        <v>0</v>
      </c>
      <c r="L74" s="98">
        <f>'5. PERSON'!BA70</f>
        <v>0</v>
      </c>
      <c r="M74" s="98">
        <f>'5. PERSON'!BB70</f>
        <v>0</v>
      </c>
      <c r="N74" s="98">
        <f>'5. PERSON'!BC70</f>
        <v>0</v>
      </c>
      <c r="O74" s="98">
        <f>'5. PERSON'!BD70</f>
        <v>0</v>
      </c>
      <c r="P74" s="98">
        <f>'5. PERSON'!BF70</f>
        <v>0</v>
      </c>
      <c r="Q74" s="98">
        <f>'5. PERSON'!BG70</f>
        <v>0</v>
      </c>
      <c r="R74" s="98">
        <f>'5. PERSON'!BH70</f>
        <v>0</v>
      </c>
      <c r="S74" s="98">
        <f>'5. PERSON'!BI70</f>
        <v>0</v>
      </c>
      <c r="T74" s="98">
        <f>'5. PERSON'!BJ70</f>
        <v>0</v>
      </c>
      <c r="U74" s="98">
        <f>'5. PERSON'!BK70</f>
        <v>0</v>
      </c>
      <c r="V74" s="98">
        <f>'5. PERSON'!BL70</f>
        <v>0</v>
      </c>
      <c r="W74" s="98">
        <f>'5. PERSON'!BM70</f>
        <v>0</v>
      </c>
      <c r="X74" s="98">
        <f>'5. PERSON'!BN70</f>
        <v>0</v>
      </c>
      <c r="Y74" s="98">
        <f>'5. PERSON'!BO70</f>
        <v>0</v>
      </c>
      <c r="Z74" s="98">
        <f t="shared" si="1"/>
        <v>0</v>
      </c>
    </row>
    <row r="75" spans="2:26" s="37" customFormat="1" ht="13.5" customHeight="1" x14ac:dyDescent="0.2">
      <c r="B75" s="206" t="str">
        <f>IF('5. PERSON'!C71="","",'5. PERSON'!C71)</f>
        <v/>
      </c>
      <c r="C75" s="933">
        <f>('5. PERSON'!G71+'5. PERSON'!H71+'5. PERSON'!I71+'5. PERSON'!J71+'5. PERSON'!K71+'5. PERSON'!L71+'5. PERSON'!M71+'5. PERSON'!N71+'5. PERSON'!O71+'5. PERSON'!P71)/((YEAR('2. START'!$C$19)-YEAR('2. START'!$C$18))*12+MONTH('2. START'!$C$19)-MONTH('2. START'!$C$18)+1)</f>
        <v>0</v>
      </c>
      <c r="D75" s="933">
        <f>(('5. PERSON'!$G71+'5. PERSON'!$H71+'5. PERSON'!$I71+'5. PERSON'!$J71+'5. PERSON'!$K71+'5. PERSON'!$L71+'5. PERSON'!$M71+'5. PERSON'!$N71+'5. PERSON'!$O71+'5. PERSON'!$P71)*(1-'5. PERSON'!E71))/((YEAR('2. START'!$C$19)-YEAR('2. START'!$C$18))*12+MONTH('2. START'!$C$19)-MONTH('2. START'!$C$18)+1)</f>
        <v>0</v>
      </c>
      <c r="E75" s="87">
        <f>'5. PERSON'!AT71</f>
        <v>0</v>
      </c>
      <c r="F75" s="87">
        <f>'5. PERSON'!AU71</f>
        <v>0</v>
      </c>
      <c r="G75" s="87">
        <f>'5. PERSON'!AV71</f>
        <v>0</v>
      </c>
      <c r="H75" s="87">
        <f>'5. PERSON'!AW71</f>
        <v>0</v>
      </c>
      <c r="I75" s="87">
        <f>'5. PERSON'!AX71</f>
        <v>0</v>
      </c>
      <c r="J75" s="87">
        <f>'5. PERSON'!AY71</f>
        <v>0</v>
      </c>
      <c r="K75" s="87">
        <f>'5. PERSON'!AZ71</f>
        <v>0</v>
      </c>
      <c r="L75" s="87">
        <f>'5. PERSON'!BA71</f>
        <v>0</v>
      </c>
      <c r="M75" s="87">
        <f>'5. PERSON'!BB71</f>
        <v>0</v>
      </c>
      <c r="N75" s="87">
        <f>'5. PERSON'!BC71</f>
        <v>0</v>
      </c>
      <c r="O75" s="87">
        <f>'5. PERSON'!BD71</f>
        <v>0</v>
      </c>
      <c r="P75" s="87">
        <f>'5. PERSON'!BF71</f>
        <v>0</v>
      </c>
      <c r="Q75" s="87">
        <f>'5. PERSON'!BG71</f>
        <v>0</v>
      </c>
      <c r="R75" s="87">
        <f>'5. PERSON'!BH71</f>
        <v>0</v>
      </c>
      <c r="S75" s="87">
        <f>'5. PERSON'!BI71</f>
        <v>0</v>
      </c>
      <c r="T75" s="87">
        <f>'5. PERSON'!BJ71</f>
        <v>0</v>
      </c>
      <c r="U75" s="87">
        <f>'5. PERSON'!BK71</f>
        <v>0</v>
      </c>
      <c r="V75" s="87">
        <f>'5. PERSON'!BL71</f>
        <v>0</v>
      </c>
      <c r="W75" s="87">
        <f>'5. PERSON'!BM71</f>
        <v>0</v>
      </c>
      <c r="X75" s="87">
        <f>'5. PERSON'!BN71</f>
        <v>0</v>
      </c>
      <c r="Y75" s="87">
        <f>'5. PERSON'!BO71</f>
        <v>0</v>
      </c>
      <c r="Z75" s="87">
        <f t="shared" si="1"/>
        <v>0</v>
      </c>
    </row>
    <row r="76" spans="2:26" s="37" customFormat="1" ht="13.5" customHeight="1" x14ac:dyDescent="0.2">
      <c r="B76" s="214" t="str">
        <f>IF('5. PERSON'!C72="","",'5. PERSON'!C72)</f>
        <v/>
      </c>
      <c r="C76" s="934">
        <f>('5. PERSON'!G72+'5. PERSON'!H72+'5. PERSON'!I72+'5. PERSON'!J72+'5. PERSON'!K72+'5. PERSON'!L72+'5. PERSON'!M72+'5. PERSON'!N72+'5. PERSON'!O72+'5. PERSON'!P72)/((YEAR('2. START'!$C$19)-YEAR('2. START'!$C$18))*12+MONTH('2. START'!$C$19)-MONTH('2. START'!$C$18)+1)</f>
        <v>0</v>
      </c>
      <c r="D76" s="934">
        <f>(('5. PERSON'!$G72+'5. PERSON'!$H72+'5. PERSON'!$I72+'5. PERSON'!$J72+'5. PERSON'!$K72+'5. PERSON'!$L72+'5. PERSON'!$M72+'5. PERSON'!$N72+'5. PERSON'!$O72+'5. PERSON'!$P72)*(1-'5. PERSON'!E72))/((YEAR('2. START'!$C$19)-YEAR('2. START'!$C$18))*12+MONTH('2. START'!$C$19)-MONTH('2. START'!$C$18)+1)</f>
        <v>0</v>
      </c>
      <c r="E76" s="98">
        <f>'5. PERSON'!AT72</f>
        <v>0</v>
      </c>
      <c r="F76" s="98">
        <f>'5. PERSON'!AU72</f>
        <v>0</v>
      </c>
      <c r="G76" s="98">
        <f>'5. PERSON'!AV72</f>
        <v>0</v>
      </c>
      <c r="H76" s="98">
        <f>'5. PERSON'!AW72</f>
        <v>0</v>
      </c>
      <c r="I76" s="98">
        <f>'5. PERSON'!AX72</f>
        <v>0</v>
      </c>
      <c r="J76" s="98">
        <f>'5. PERSON'!AY72</f>
        <v>0</v>
      </c>
      <c r="K76" s="98">
        <f>'5. PERSON'!AZ72</f>
        <v>0</v>
      </c>
      <c r="L76" s="98">
        <f>'5. PERSON'!BA72</f>
        <v>0</v>
      </c>
      <c r="M76" s="98">
        <f>'5. PERSON'!BB72</f>
        <v>0</v>
      </c>
      <c r="N76" s="98">
        <f>'5. PERSON'!BC72</f>
        <v>0</v>
      </c>
      <c r="O76" s="98">
        <f>'5. PERSON'!BD72</f>
        <v>0</v>
      </c>
      <c r="P76" s="98">
        <f>'5. PERSON'!BF72</f>
        <v>0</v>
      </c>
      <c r="Q76" s="98">
        <f>'5. PERSON'!BG72</f>
        <v>0</v>
      </c>
      <c r="R76" s="98">
        <f>'5. PERSON'!BH72</f>
        <v>0</v>
      </c>
      <c r="S76" s="98">
        <f>'5. PERSON'!BI72</f>
        <v>0</v>
      </c>
      <c r="T76" s="98">
        <f>'5. PERSON'!BJ72</f>
        <v>0</v>
      </c>
      <c r="U76" s="98">
        <f>'5. PERSON'!BK72</f>
        <v>0</v>
      </c>
      <c r="V76" s="98">
        <f>'5. PERSON'!BL72</f>
        <v>0</v>
      </c>
      <c r="W76" s="98">
        <f>'5. PERSON'!BM72</f>
        <v>0</v>
      </c>
      <c r="X76" s="98">
        <f>'5. PERSON'!BN72</f>
        <v>0</v>
      </c>
      <c r="Y76" s="98">
        <f>'5. PERSON'!BO72</f>
        <v>0</v>
      </c>
      <c r="Z76" s="98">
        <f t="shared" si="1"/>
        <v>0</v>
      </c>
    </row>
    <row r="77" spans="2:26" s="37" customFormat="1" ht="13.5" customHeight="1" x14ac:dyDescent="0.2">
      <c r="B77" s="206" t="str">
        <f>IF('5. PERSON'!C73="","",'5. PERSON'!C73)</f>
        <v/>
      </c>
      <c r="C77" s="933">
        <f>('5. PERSON'!G73+'5. PERSON'!H73+'5. PERSON'!I73+'5. PERSON'!J73+'5. PERSON'!K73+'5. PERSON'!L73+'5. PERSON'!M73+'5. PERSON'!N73+'5. PERSON'!O73+'5. PERSON'!P73)/((YEAR('2. START'!$C$19)-YEAR('2. START'!$C$18))*12+MONTH('2. START'!$C$19)-MONTH('2. START'!$C$18)+1)</f>
        <v>0</v>
      </c>
      <c r="D77" s="933">
        <f>(('5. PERSON'!$G73+'5. PERSON'!$H73+'5. PERSON'!$I73+'5. PERSON'!$J73+'5. PERSON'!$K73+'5. PERSON'!$L73+'5. PERSON'!$M73+'5. PERSON'!$N73+'5. PERSON'!$O73+'5. PERSON'!$P73)*(1-'5. PERSON'!E73))/((YEAR('2. START'!$C$19)-YEAR('2. START'!$C$18))*12+MONTH('2. START'!$C$19)-MONTH('2. START'!$C$18)+1)</f>
        <v>0</v>
      </c>
      <c r="E77" s="87">
        <f>'5. PERSON'!AT73</f>
        <v>0</v>
      </c>
      <c r="F77" s="87">
        <f>'5. PERSON'!AU73</f>
        <v>0</v>
      </c>
      <c r="G77" s="87">
        <f>'5. PERSON'!AV73</f>
        <v>0</v>
      </c>
      <c r="H77" s="87">
        <f>'5. PERSON'!AW73</f>
        <v>0</v>
      </c>
      <c r="I77" s="87">
        <f>'5. PERSON'!AX73</f>
        <v>0</v>
      </c>
      <c r="J77" s="87">
        <f>'5. PERSON'!AY73</f>
        <v>0</v>
      </c>
      <c r="K77" s="87">
        <f>'5. PERSON'!AZ73</f>
        <v>0</v>
      </c>
      <c r="L77" s="87">
        <f>'5. PERSON'!BA73</f>
        <v>0</v>
      </c>
      <c r="M77" s="87">
        <f>'5. PERSON'!BB73</f>
        <v>0</v>
      </c>
      <c r="N77" s="87">
        <f>'5. PERSON'!BC73</f>
        <v>0</v>
      </c>
      <c r="O77" s="87">
        <f>'5. PERSON'!BD73</f>
        <v>0</v>
      </c>
      <c r="P77" s="87">
        <f>'5. PERSON'!BF73</f>
        <v>0</v>
      </c>
      <c r="Q77" s="87">
        <f>'5. PERSON'!BG73</f>
        <v>0</v>
      </c>
      <c r="R77" s="87">
        <f>'5. PERSON'!BH73</f>
        <v>0</v>
      </c>
      <c r="S77" s="87">
        <f>'5. PERSON'!BI73</f>
        <v>0</v>
      </c>
      <c r="T77" s="87">
        <f>'5. PERSON'!BJ73</f>
        <v>0</v>
      </c>
      <c r="U77" s="87">
        <f>'5. PERSON'!BK73</f>
        <v>0</v>
      </c>
      <c r="V77" s="87">
        <f>'5. PERSON'!BL73</f>
        <v>0</v>
      </c>
      <c r="W77" s="87">
        <f>'5. PERSON'!BM73</f>
        <v>0</v>
      </c>
      <c r="X77" s="87">
        <f>'5. PERSON'!BN73</f>
        <v>0</v>
      </c>
      <c r="Y77" s="87">
        <f>'5. PERSON'!BO73</f>
        <v>0</v>
      </c>
      <c r="Z77" s="87">
        <f t="shared" si="1"/>
        <v>0</v>
      </c>
    </row>
    <row r="78" spans="2:26" s="37" customFormat="1" ht="13.5" customHeight="1" x14ac:dyDescent="0.2">
      <c r="B78" s="214" t="str">
        <f>IF('5. PERSON'!C74="","",'5. PERSON'!C74)</f>
        <v/>
      </c>
      <c r="C78" s="934">
        <f>('5. PERSON'!G74+'5. PERSON'!H74+'5. PERSON'!I74+'5. PERSON'!J74+'5. PERSON'!K74+'5. PERSON'!L74+'5. PERSON'!M74+'5. PERSON'!N74+'5. PERSON'!O74+'5. PERSON'!P74)/((YEAR('2. START'!$C$19)-YEAR('2. START'!$C$18))*12+MONTH('2. START'!$C$19)-MONTH('2. START'!$C$18)+1)</f>
        <v>0</v>
      </c>
      <c r="D78" s="934">
        <f>(('5. PERSON'!$G74+'5. PERSON'!$H74+'5. PERSON'!$I74+'5. PERSON'!$J74+'5. PERSON'!$K74+'5. PERSON'!$L74+'5. PERSON'!$M74+'5. PERSON'!$N74+'5. PERSON'!$O74+'5. PERSON'!$P74)*(1-'5. PERSON'!E74))/((YEAR('2. START'!$C$19)-YEAR('2. START'!$C$18))*12+MONTH('2. START'!$C$19)-MONTH('2. START'!$C$18)+1)</f>
        <v>0</v>
      </c>
      <c r="E78" s="98">
        <f>'5. PERSON'!AT74</f>
        <v>0</v>
      </c>
      <c r="F78" s="98">
        <f>'5. PERSON'!AU74</f>
        <v>0</v>
      </c>
      <c r="G78" s="98">
        <f>'5. PERSON'!AV74</f>
        <v>0</v>
      </c>
      <c r="H78" s="98">
        <f>'5. PERSON'!AW74</f>
        <v>0</v>
      </c>
      <c r="I78" s="98">
        <f>'5. PERSON'!AX74</f>
        <v>0</v>
      </c>
      <c r="J78" s="98">
        <f>'5. PERSON'!AY74</f>
        <v>0</v>
      </c>
      <c r="K78" s="98">
        <f>'5. PERSON'!AZ74</f>
        <v>0</v>
      </c>
      <c r="L78" s="98">
        <f>'5. PERSON'!BA74</f>
        <v>0</v>
      </c>
      <c r="M78" s="98">
        <f>'5. PERSON'!BB74</f>
        <v>0</v>
      </c>
      <c r="N78" s="98">
        <f>'5. PERSON'!BC74</f>
        <v>0</v>
      </c>
      <c r="O78" s="98">
        <f>'5. PERSON'!BD74</f>
        <v>0</v>
      </c>
      <c r="P78" s="98">
        <f>'5. PERSON'!BF74</f>
        <v>0</v>
      </c>
      <c r="Q78" s="98">
        <f>'5. PERSON'!BG74</f>
        <v>0</v>
      </c>
      <c r="R78" s="98">
        <f>'5. PERSON'!BH74</f>
        <v>0</v>
      </c>
      <c r="S78" s="98">
        <f>'5. PERSON'!BI74</f>
        <v>0</v>
      </c>
      <c r="T78" s="98">
        <f>'5. PERSON'!BJ74</f>
        <v>0</v>
      </c>
      <c r="U78" s="98">
        <f>'5. PERSON'!BK74</f>
        <v>0</v>
      </c>
      <c r="V78" s="98">
        <f>'5. PERSON'!BL74</f>
        <v>0</v>
      </c>
      <c r="W78" s="98">
        <f>'5. PERSON'!BM74</f>
        <v>0</v>
      </c>
      <c r="X78" s="98">
        <f>'5. PERSON'!BN74</f>
        <v>0</v>
      </c>
      <c r="Y78" s="98">
        <f>'5. PERSON'!BO74</f>
        <v>0</v>
      </c>
      <c r="Z78" s="98">
        <f t="shared" si="1"/>
        <v>0</v>
      </c>
    </row>
    <row r="79" spans="2:26" s="37" customFormat="1" ht="13.5" customHeight="1" x14ac:dyDescent="0.2">
      <c r="B79" s="206" t="str">
        <f>IF('5. PERSON'!C75="","",'5. PERSON'!C75)</f>
        <v/>
      </c>
      <c r="C79" s="933">
        <f>('5. PERSON'!G75+'5. PERSON'!H75+'5. PERSON'!I75+'5. PERSON'!J75+'5. PERSON'!K75+'5. PERSON'!L75+'5. PERSON'!M75+'5. PERSON'!N75+'5. PERSON'!O75+'5. PERSON'!P75)/((YEAR('2. START'!$C$19)-YEAR('2. START'!$C$18))*12+MONTH('2. START'!$C$19)-MONTH('2. START'!$C$18)+1)</f>
        <v>0</v>
      </c>
      <c r="D79" s="933">
        <f>(('5. PERSON'!$G75+'5. PERSON'!$H75+'5. PERSON'!$I75+'5. PERSON'!$J75+'5. PERSON'!$K75+'5. PERSON'!$L75+'5. PERSON'!$M75+'5. PERSON'!$N75+'5. PERSON'!$O75+'5. PERSON'!$P75)*(1-'5. PERSON'!E75))/((YEAR('2. START'!$C$19)-YEAR('2. START'!$C$18))*12+MONTH('2. START'!$C$19)-MONTH('2. START'!$C$18)+1)</f>
        <v>0</v>
      </c>
      <c r="E79" s="87">
        <f>'5. PERSON'!AT75</f>
        <v>0</v>
      </c>
      <c r="F79" s="87">
        <f>'5. PERSON'!AU75</f>
        <v>0</v>
      </c>
      <c r="G79" s="87">
        <f>'5. PERSON'!AV75</f>
        <v>0</v>
      </c>
      <c r="H79" s="87">
        <f>'5. PERSON'!AW75</f>
        <v>0</v>
      </c>
      <c r="I79" s="87">
        <f>'5. PERSON'!AX75</f>
        <v>0</v>
      </c>
      <c r="J79" s="87">
        <f>'5. PERSON'!AY75</f>
        <v>0</v>
      </c>
      <c r="K79" s="87">
        <f>'5. PERSON'!AZ75</f>
        <v>0</v>
      </c>
      <c r="L79" s="87">
        <f>'5. PERSON'!BA75</f>
        <v>0</v>
      </c>
      <c r="M79" s="87">
        <f>'5. PERSON'!BB75</f>
        <v>0</v>
      </c>
      <c r="N79" s="87">
        <f>'5. PERSON'!BC75</f>
        <v>0</v>
      </c>
      <c r="O79" s="87">
        <f>'5. PERSON'!BD75</f>
        <v>0</v>
      </c>
      <c r="P79" s="87">
        <f>'5. PERSON'!BF75</f>
        <v>0</v>
      </c>
      <c r="Q79" s="87">
        <f>'5. PERSON'!BG75</f>
        <v>0</v>
      </c>
      <c r="R79" s="87">
        <f>'5. PERSON'!BH75</f>
        <v>0</v>
      </c>
      <c r="S79" s="87">
        <f>'5. PERSON'!BI75</f>
        <v>0</v>
      </c>
      <c r="T79" s="87">
        <f>'5. PERSON'!BJ75</f>
        <v>0</v>
      </c>
      <c r="U79" s="87">
        <f>'5. PERSON'!BK75</f>
        <v>0</v>
      </c>
      <c r="V79" s="87">
        <f>'5. PERSON'!BL75</f>
        <v>0</v>
      </c>
      <c r="W79" s="87">
        <f>'5. PERSON'!BM75</f>
        <v>0</v>
      </c>
      <c r="X79" s="87">
        <f>'5. PERSON'!BN75</f>
        <v>0</v>
      </c>
      <c r="Y79" s="87">
        <f>'5. PERSON'!BO75</f>
        <v>0</v>
      </c>
      <c r="Z79" s="87">
        <f t="shared" si="1"/>
        <v>0</v>
      </c>
    </row>
    <row r="80" spans="2:26" s="37" customFormat="1" ht="13.5" customHeight="1" x14ac:dyDescent="0.2">
      <c r="B80" s="214" t="str">
        <f>IF('5. PERSON'!C76="","",'5. PERSON'!C76)</f>
        <v/>
      </c>
      <c r="C80" s="934">
        <f>('5. PERSON'!G76+'5. PERSON'!H76+'5. PERSON'!I76+'5. PERSON'!J76+'5. PERSON'!K76+'5. PERSON'!L76+'5. PERSON'!M76+'5. PERSON'!N76+'5. PERSON'!O76+'5. PERSON'!P76)/((YEAR('2. START'!$C$19)-YEAR('2. START'!$C$18))*12+MONTH('2. START'!$C$19)-MONTH('2. START'!$C$18)+1)</f>
        <v>0</v>
      </c>
      <c r="D80" s="934">
        <f>(('5. PERSON'!$G76+'5. PERSON'!$H76+'5. PERSON'!$I76+'5. PERSON'!$J76+'5. PERSON'!$K76+'5. PERSON'!$L76+'5. PERSON'!$M76+'5. PERSON'!$N76+'5. PERSON'!$O76+'5. PERSON'!$P76)*(1-'5. PERSON'!E76))/((YEAR('2. START'!$C$19)-YEAR('2. START'!$C$18))*12+MONTH('2. START'!$C$19)-MONTH('2. START'!$C$18)+1)</f>
        <v>0</v>
      </c>
      <c r="E80" s="98">
        <f>'5. PERSON'!AT76</f>
        <v>0</v>
      </c>
      <c r="F80" s="98">
        <f>'5. PERSON'!AU76</f>
        <v>0</v>
      </c>
      <c r="G80" s="98">
        <f>'5. PERSON'!AV76</f>
        <v>0</v>
      </c>
      <c r="H80" s="98">
        <f>'5. PERSON'!AW76</f>
        <v>0</v>
      </c>
      <c r="I80" s="98">
        <f>'5. PERSON'!AX76</f>
        <v>0</v>
      </c>
      <c r="J80" s="98">
        <f>'5. PERSON'!AY76</f>
        <v>0</v>
      </c>
      <c r="K80" s="98">
        <f>'5. PERSON'!AZ76</f>
        <v>0</v>
      </c>
      <c r="L80" s="98">
        <f>'5. PERSON'!BA76</f>
        <v>0</v>
      </c>
      <c r="M80" s="98">
        <f>'5. PERSON'!BB76</f>
        <v>0</v>
      </c>
      <c r="N80" s="98">
        <f>'5. PERSON'!BC76</f>
        <v>0</v>
      </c>
      <c r="O80" s="98">
        <f>'5. PERSON'!BD76</f>
        <v>0</v>
      </c>
      <c r="P80" s="98">
        <f>'5. PERSON'!BF76</f>
        <v>0</v>
      </c>
      <c r="Q80" s="98">
        <f>'5. PERSON'!BG76</f>
        <v>0</v>
      </c>
      <c r="R80" s="98">
        <f>'5. PERSON'!BH76</f>
        <v>0</v>
      </c>
      <c r="S80" s="98">
        <f>'5. PERSON'!BI76</f>
        <v>0</v>
      </c>
      <c r="T80" s="98">
        <f>'5. PERSON'!BJ76</f>
        <v>0</v>
      </c>
      <c r="U80" s="98">
        <f>'5. PERSON'!BK76</f>
        <v>0</v>
      </c>
      <c r="V80" s="98">
        <f>'5. PERSON'!BL76</f>
        <v>0</v>
      </c>
      <c r="W80" s="98">
        <f>'5. PERSON'!BM76</f>
        <v>0</v>
      </c>
      <c r="X80" s="98">
        <f>'5. PERSON'!BN76</f>
        <v>0</v>
      </c>
      <c r="Y80" s="98">
        <f>'5. PERSON'!BO76</f>
        <v>0</v>
      </c>
      <c r="Z80" s="98">
        <f t="shared" si="1"/>
        <v>0</v>
      </c>
    </row>
    <row r="81" spans="2:26" s="37" customFormat="1" ht="13.5" customHeight="1" x14ac:dyDescent="0.2">
      <c r="B81" s="206" t="str">
        <f>IF('5. PERSON'!C77="","",'5. PERSON'!C77)</f>
        <v/>
      </c>
      <c r="C81" s="933">
        <f>('5. PERSON'!G77+'5. PERSON'!H77+'5. PERSON'!I77+'5. PERSON'!J77+'5. PERSON'!K77+'5. PERSON'!L77+'5. PERSON'!M77+'5. PERSON'!N77+'5. PERSON'!O77+'5. PERSON'!P77)/((YEAR('2. START'!$C$19)-YEAR('2. START'!$C$18))*12+MONTH('2. START'!$C$19)-MONTH('2. START'!$C$18)+1)</f>
        <v>0</v>
      </c>
      <c r="D81" s="933">
        <f>(('5. PERSON'!$G77+'5. PERSON'!$H77+'5. PERSON'!$I77+'5. PERSON'!$J77+'5. PERSON'!$K77+'5. PERSON'!$L77+'5. PERSON'!$M77+'5. PERSON'!$N77+'5. PERSON'!$O77+'5. PERSON'!$P77)*(1-'5. PERSON'!E77))/((YEAR('2. START'!$C$19)-YEAR('2. START'!$C$18))*12+MONTH('2. START'!$C$19)-MONTH('2. START'!$C$18)+1)</f>
        <v>0</v>
      </c>
      <c r="E81" s="87">
        <f>'5. PERSON'!AT77</f>
        <v>0</v>
      </c>
      <c r="F81" s="87">
        <f>'5. PERSON'!AU77</f>
        <v>0</v>
      </c>
      <c r="G81" s="87">
        <f>'5. PERSON'!AV77</f>
        <v>0</v>
      </c>
      <c r="H81" s="87">
        <f>'5. PERSON'!AW77</f>
        <v>0</v>
      </c>
      <c r="I81" s="87">
        <f>'5. PERSON'!AX77</f>
        <v>0</v>
      </c>
      <c r="J81" s="87">
        <f>'5. PERSON'!AY77</f>
        <v>0</v>
      </c>
      <c r="K81" s="87">
        <f>'5. PERSON'!AZ77</f>
        <v>0</v>
      </c>
      <c r="L81" s="87">
        <f>'5. PERSON'!BA77</f>
        <v>0</v>
      </c>
      <c r="M81" s="87">
        <f>'5. PERSON'!BB77</f>
        <v>0</v>
      </c>
      <c r="N81" s="87">
        <f>'5. PERSON'!BC77</f>
        <v>0</v>
      </c>
      <c r="O81" s="87">
        <f>'5. PERSON'!BD77</f>
        <v>0</v>
      </c>
      <c r="P81" s="87">
        <f>'5. PERSON'!BF77</f>
        <v>0</v>
      </c>
      <c r="Q81" s="87">
        <f>'5. PERSON'!BG77</f>
        <v>0</v>
      </c>
      <c r="R81" s="87">
        <f>'5. PERSON'!BH77</f>
        <v>0</v>
      </c>
      <c r="S81" s="87">
        <f>'5. PERSON'!BI77</f>
        <v>0</v>
      </c>
      <c r="T81" s="87">
        <f>'5. PERSON'!BJ77</f>
        <v>0</v>
      </c>
      <c r="U81" s="87">
        <f>'5. PERSON'!BK77</f>
        <v>0</v>
      </c>
      <c r="V81" s="87">
        <f>'5. PERSON'!BL77</f>
        <v>0</v>
      </c>
      <c r="W81" s="87">
        <f>'5. PERSON'!BM77</f>
        <v>0</v>
      </c>
      <c r="X81" s="87">
        <f>'5. PERSON'!BN77</f>
        <v>0</v>
      </c>
      <c r="Y81" s="87">
        <f>'5. PERSON'!BO77</f>
        <v>0</v>
      </c>
      <c r="Z81" s="87">
        <f t="shared" si="1"/>
        <v>0</v>
      </c>
    </row>
    <row r="82" spans="2:26" s="37" customFormat="1" ht="13.5" customHeight="1" x14ac:dyDescent="0.2">
      <c r="B82" s="214" t="str">
        <f>IF('5. PERSON'!C78="","",'5. PERSON'!C78)</f>
        <v/>
      </c>
      <c r="C82" s="934">
        <f>('5. PERSON'!G78+'5. PERSON'!H78+'5. PERSON'!I78+'5. PERSON'!J78+'5. PERSON'!K78+'5. PERSON'!L78+'5. PERSON'!M78+'5. PERSON'!N78+'5. PERSON'!O78+'5. PERSON'!P78)/((YEAR('2. START'!$C$19)-YEAR('2. START'!$C$18))*12+MONTH('2. START'!$C$19)-MONTH('2. START'!$C$18)+1)</f>
        <v>0</v>
      </c>
      <c r="D82" s="934">
        <f>(('5. PERSON'!$G78+'5. PERSON'!$H78+'5. PERSON'!$I78+'5. PERSON'!$J78+'5. PERSON'!$K78+'5. PERSON'!$L78+'5. PERSON'!$M78+'5. PERSON'!$N78+'5. PERSON'!$O78+'5. PERSON'!$P78)*(1-'5. PERSON'!E78))/((YEAR('2. START'!$C$19)-YEAR('2. START'!$C$18))*12+MONTH('2. START'!$C$19)-MONTH('2. START'!$C$18)+1)</f>
        <v>0</v>
      </c>
      <c r="E82" s="98">
        <f>'5. PERSON'!AT78</f>
        <v>0</v>
      </c>
      <c r="F82" s="98">
        <f>'5. PERSON'!AU78</f>
        <v>0</v>
      </c>
      <c r="G82" s="98">
        <f>'5. PERSON'!AV78</f>
        <v>0</v>
      </c>
      <c r="H82" s="98">
        <f>'5. PERSON'!AW78</f>
        <v>0</v>
      </c>
      <c r="I82" s="98">
        <f>'5. PERSON'!AX78</f>
        <v>0</v>
      </c>
      <c r="J82" s="98">
        <f>'5. PERSON'!AY78</f>
        <v>0</v>
      </c>
      <c r="K82" s="98">
        <f>'5. PERSON'!AZ78</f>
        <v>0</v>
      </c>
      <c r="L82" s="98">
        <f>'5. PERSON'!BA78</f>
        <v>0</v>
      </c>
      <c r="M82" s="98">
        <f>'5. PERSON'!BB78</f>
        <v>0</v>
      </c>
      <c r="N82" s="98">
        <f>'5. PERSON'!BC78</f>
        <v>0</v>
      </c>
      <c r="O82" s="98">
        <f>'5. PERSON'!BD78</f>
        <v>0</v>
      </c>
      <c r="P82" s="98">
        <f>'5. PERSON'!BF78</f>
        <v>0</v>
      </c>
      <c r="Q82" s="98">
        <f>'5. PERSON'!BG78</f>
        <v>0</v>
      </c>
      <c r="R82" s="98">
        <f>'5. PERSON'!BH78</f>
        <v>0</v>
      </c>
      <c r="S82" s="98">
        <f>'5. PERSON'!BI78</f>
        <v>0</v>
      </c>
      <c r="T82" s="98">
        <f>'5. PERSON'!BJ78</f>
        <v>0</v>
      </c>
      <c r="U82" s="98">
        <f>'5. PERSON'!BK78</f>
        <v>0</v>
      </c>
      <c r="V82" s="98">
        <f>'5. PERSON'!BL78</f>
        <v>0</v>
      </c>
      <c r="W82" s="98">
        <f>'5. PERSON'!BM78</f>
        <v>0</v>
      </c>
      <c r="X82" s="98">
        <f>'5. PERSON'!BN78</f>
        <v>0</v>
      </c>
      <c r="Y82" s="98">
        <f>'5. PERSON'!BO78</f>
        <v>0</v>
      </c>
      <c r="Z82" s="98">
        <f t="shared" si="1"/>
        <v>0</v>
      </c>
    </row>
    <row r="83" spans="2:26" s="37" customFormat="1" ht="13.5" customHeight="1" x14ac:dyDescent="0.2">
      <c r="B83" s="206" t="str">
        <f>IF('5. PERSON'!C79="","",'5. PERSON'!C79)</f>
        <v/>
      </c>
      <c r="C83" s="933">
        <f>('5. PERSON'!G79+'5. PERSON'!H79+'5. PERSON'!I79+'5. PERSON'!J79+'5. PERSON'!K79+'5. PERSON'!L79+'5. PERSON'!M79+'5. PERSON'!N79+'5. PERSON'!O79+'5. PERSON'!P79)/((YEAR('2. START'!$C$19)-YEAR('2. START'!$C$18))*12+MONTH('2. START'!$C$19)-MONTH('2. START'!$C$18)+1)</f>
        <v>0</v>
      </c>
      <c r="D83" s="933">
        <f>(('5. PERSON'!$G79+'5. PERSON'!$H79+'5. PERSON'!$I79+'5. PERSON'!$J79+'5. PERSON'!$K79+'5. PERSON'!$L79+'5. PERSON'!$M79+'5. PERSON'!$N79+'5. PERSON'!$O79+'5. PERSON'!$P79)*(1-'5. PERSON'!E79))/((YEAR('2. START'!$C$19)-YEAR('2. START'!$C$18))*12+MONTH('2. START'!$C$19)-MONTH('2. START'!$C$18)+1)</f>
        <v>0</v>
      </c>
      <c r="E83" s="87">
        <f>'5. PERSON'!AT79</f>
        <v>0</v>
      </c>
      <c r="F83" s="87">
        <f>'5. PERSON'!AU79</f>
        <v>0</v>
      </c>
      <c r="G83" s="87">
        <f>'5. PERSON'!AV79</f>
        <v>0</v>
      </c>
      <c r="H83" s="87">
        <f>'5. PERSON'!AW79</f>
        <v>0</v>
      </c>
      <c r="I83" s="87">
        <f>'5. PERSON'!AX79</f>
        <v>0</v>
      </c>
      <c r="J83" s="87">
        <f>'5. PERSON'!AY79</f>
        <v>0</v>
      </c>
      <c r="K83" s="87">
        <f>'5. PERSON'!AZ79</f>
        <v>0</v>
      </c>
      <c r="L83" s="87">
        <f>'5. PERSON'!BA79</f>
        <v>0</v>
      </c>
      <c r="M83" s="87">
        <f>'5. PERSON'!BB79</f>
        <v>0</v>
      </c>
      <c r="N83" s="87">
        <f>'5. PERSON'!BC79</f>
        <v>0</v>
      </c>
      <c r="O83" s="87">
        <f>'5. PERSON'!BD79</f>
        <v>0</v>
      </c>
      <c r="P83" s="87">
        <f>'5. PERSON'!BF79</f>
        <v>0</v>
      </c>
      <c r="Q83" s="87">
        <f>'5. PERSON'!BG79</f>
        <v>0</v>
      </c>
      <c r="R83" s="87">
        <f>'5. PERSON'!BH79</f>
        <v>0</v>
      </c>
      <c r="S83" s="87">
        <f>'5. PERSON'!BI79</f>
        <v>0</v>
      </c>
      <c r="T83" s="87">
        <f>'5. PERSON'!BJ79</f>
        <v>0</v>
      </c>
      <c r="U83" s="87">
        <f>'5. PERSON'!BK79</f>
        <v>0</v>
      </c>
      <c r="V83" s="87">
        <f>'5. PERSON'!BL79</f>
        <v>0</v>
      </c>
      <c r="W83" s="87">
        <f>'5. PERSON'!BM79</f>
        <v>0</v>
      </c>
      <c r="X83" s="87">
        <f>'5. PERSON'!BN79</f>
        <v>0</v>
      </c>
      <c r="Y83" s="87">
        <f>'5. PERSON'!BO79</f>
        <v>0</v>
      </c>
      <c r="Z83" s="87">
        <f t="shared" si="1"/>
        <v>0</v>
      </c>
    </row>
    <row r="84" spans="2:26" s="37" customFormat="1" ht="13.5" customHeight="1" x14ac:dyDescent="0.2">
      <c r="B84" s="214" t="str">
        <f>IF('5. PERSON'!C80="","",'5. PERSON'!C80)</f>
        <v/>
      </c>
      <c r="C84" s="934">
        <f>('5. PERSON'!G80+'5. PERSON'!H80+'5. PERSON'!I80+'5. PERSON'!J80+'5. PERSON'!K80+'5. PERSON'!L80+'5. PERSON'!M80+'5. PERSON'!N80+'5. PERSON'!O80+'5. PERSON'!P80)/((YEAR('2. START'!$C$19)-YEAR('2. START'!$C$18))*12+MONTH('2. START'!$C$19)-MONTH('2. START'!$C$18)+1)</f>
        <v>0</v>
      </c>
      <c r="D84" s="934">
        <f>(('5. PERSON'!$G80+'5. PERSON'!$H80+'5. PERSON'!$I80+'5. PERSON'!$J80+'5. PERSON'!$K80+'5. PERSON'!$L80+'5. PERSON'!$M80+'5. PERSON'!$N80+'5. PERSON'!$O80+'5. PERSON'!$P80)*(1-'5. PERSON'!E80))/((YEAR('2. START'!$C$19)-YEAR('2. START'!$C$18))*12+MONTH('2. START'!$C$19)-MONTH('2. START'!$C$18)+1)</f>
        <v>0</v>
      </c>
      <c r="E84" s="98">
        <f>'5. PERSON'!AT80</f>
        <v>0</v>
      </c>
      <c r="F84" s="98">
        <f>'5. PERSON'!AU80</f>
        <v>0</v>
      </c>
      <c r="G84" s="98">
        <f>'5. PERSON'!AV80</f>
        <v>0</v>
      </c>
      <c r="H84" s="98">
        <f>'5. PERSON'!AW80</f>
        <v>0</v>
      </c>
      <c r="I84" s="98">
        <f>'5. PERSON'!AX80</f>
        <v>0</v>
      </c>
      <c r="J84" s="98">
        <f>'5. PERSON'!AY80</f>
        <v>0</v>
      </c>
      <c r="K84" s="98">
        <f>'5. PERSON'!AZ80</f>
        <v>0</v>
      </c>
      <c r="L84" s="98">
        <f>'5. PERSON'!BA80</f>
        <v>0</v>
      </c>
      <c r="M84" s="98">
        <f>'5. PERSON'!BB80</f>
        <v>0</v>
      </c>
      <c r="N84" s="98">
        <f>'5. PERSON'!BC80</f>
        <v>0</v>
      </c>
      <c r="O84" s="98">
        <f>'5. PERSON'!BD80</f>
        <v>0</v>
      </c>
      <c r="P84" s="98">
        <f>'5. PERSON'!BF80</f>
        <v>0</v>
      </c>
      <c r="Q84" s="98">
        <f>'5. PERSON'!BG80</f>
        <v>0</v>
      </c>
      <c r="R84" s="98">
        <f>'5. PERSON'!BH80</f>
        <v>0</v>
      </c>
      <c r="S84" s="98">
        <f>'5. PERSON'!BI80</f>
        <v>0</v>
      </c>
      <c r="T84" s="98">
        <f>'5. PERSON'!BJ80</f>
        <v>0</v>
      </c>
      <c r="U84" s="98">
        <f>'5. PERSON'!BK80</f>
        <v>0</v>
      </c>
      <c r="V84" s="98">
        <f>'5. PERSON'!BL80</f>
        <v>0</v>
      </c>
      <c r="W84" s="98">
        <f>'5. PERSON'!BM80</f>
        <v>0</v>
      </c>
      <c r="X84" s="98">
        <f>'5. PERSON'!BN80</f>
        <v>0</v>
      </c>
      <c r="Y84" s="98">
        <f>'5. PERSON'!BO80</f>
        <v>0</v>
      </c>
      <c r="Z84" s="98">
        <f t="shared" si="1"/>
        <v>0</v>
      </c>
    </row>
    <row r="85" spans="2:26" s="37" customFormat="1" ht="13.5" customHeight="1" x14ac:dyDescent="0.2">
      <c r="B85" s="206" t="str">
        <f>IF('5. PERSON'!C81="","",'5. PERSON'!C81)</f>
        <v/>
      </c>
      <c r="C85" s="933">
        <f>('5. PERSON'!G81+'5. PERSON'!H81+'5. PERSON'!I81+'5. PERSON'!J81+'5. PERSON'!K81+'5. PERSON'!L81+'5. PERSON'!M81+'5. PERSON'!N81+'5. PERSON'!O81+'5. PERSON'!P81)/((YEAR('2. START'!$C$19)-YEAR('2. START'!$C$18))*12+MONTH('2. START'!$C$19)-MONTH('2. START'!$C$18)+1)</f>
        <v>0</v>
      </c>
      <c r="D85" s="933">
        <f>(('5. PERSON'!$G81+'5. PERSON'!$H81+'5. PERSON'!$I81+'5. PERSON'!$J81+'5. PERSON'!$K81+'5. PERSON'!$L81+'5. PERSON'!$M81+'5. PERSON'!$N81+'5. PERSON'!$O81+'5. PERSON'!$P81)*(1-'5. PERSON'!E81))/((YEAR('2. START'!$C$19)-YEAR('2. START'!$C$18))*12+MONTH('2. START'!$C$19)-MONTH('2. START'!$C$18)+1)</f>
        <v>0</v>
      </c>
      <c r="E85" s="87">
        <f>'5. PERSON'!AT81</f>
        <v>0</v>
      </c>
      <c r="F85" s="87">
        <f>'5. PERSON'!AU81</f>
        <v>0</v>
      </c>
      <c r="G85" s="87">
        <f>'5. PERSON'!AV81</f>
        <v>0</v>
      </c>
      <c r="H85" s="87">
        <f>'5. PERSON'!AW81</f>
        <v>0</v>
      </c>
      <c r="I85" s="87">
        <f>'5. PERSON'!AX81</f>
        <v>0</v>
      </c>
      <c r="J85" s="87">
        <f>'5. PERSON'!AY81</f>
        <v>0</v>
      </c>
      <c r="K85" s="87">
        <f>'5. PERSON'!AZ81</f>
        <v>0</v>
      </c>
      <c r="L85" s="87">
        <f>'5. PERSON'!BA81</f>
        <v>0</v>
      </c>
      <c r="M85" s="87">
        <f>'5. PERSON'!BB81</f>
        <v>0</v>
      </c>
      <c r="N85" s="87">
        <f>'5. PERSON'!BC81</f>
        <v>0</v>
      </c>
      <c r="O85" s="87">
        <f>'5. PERSON'!BD81</f>
        <v>0</v>
      </c>
      <c r="P85" s="87">
        <f>'5. PERSON'!BF81</f>
        <v>0</v>
      </c>
      <c r="Q85" s="87">
        <f>'5. PERSON'!BG81</f>
        <v>0</v>
      </c>
      <c r="R85" s="87">
        <f>'5. PERSON'!BH81</f>
        <v>0</v>
      </c>
      <c r="S85" s="87">
        <f>'5. PERSON'!BI81</f>
        <v>0</v>
      </c>
      <c r="T85" s="87">
        <f>'5. PERSON'!BJ81</f>
        <v>0</v>
      </c>
      <c r="U85" s="87">
        <f>'5. PERSON'!BK81</f>
        <v>0</v>
      </c>
      <c r="V85" s="87">
        <f>'5. PERSON'!BL81</f>
        <v>0</v>
      </c>
      <c r="W85" s="87">
        <f>'5. PERSON'!BM81</f>
        <v>0</v>
      </c>
      <c r="X85" s="87">
        <f>'5. PERSON'!BN81</f>
        <v>0</v>
      </c>
      <c r="Y85" s="87">
        <f>'5. PERSON'!BO81</f>
        <v>0</v>
      </c>
      <c r="Z85" s="87">
        <f t="shared" si="1"/>
        <v>0</v>
      </c>
    </row>
    <row r="86" spans="2:26" s="37" customFormat="1" ht="13.5" customHeight="1" x14ac:dyDescent="0.2">
      <c r="B86" s="214" t="str">
        <f>IF('5. PERSON'!C82="","",'5. PERSON'!C82)</f>
        <v/>
      </c>
      <c r="C86" s="934">
        <f>('5. PERSON'!G82+'5. PERSON'!H82+'5. PERSON'!I82+'5. PERSON'!J82+'5. PERSON'!K82+'5. PERSON'!L82+'5. PERSON'!M82+'5. PERSON'!N82+'5. PERSON'!O82+'5. PERSON'!P82)/((YEAR('2. START'!$C$19)-YEAR('2. START'!$C$18))*12+MONTH('2. START'!$C$19)-MONTH('2. START'!$C$18)+1)</f>
        <v>0</v>
      </c>
      <c r="D86" s="934">
        <f>(('5. PERSON'!$G82+'5. PERSON'!$H82+'5. PERSON'!$I82+'5. PERSON'!$J82+'5. PERSON'!$K82+'5. PERSON'!$L82+'5. PERSON'!$M82+'5. PERSON'!$N82+'5. PERSON'!$O82+'5. PERSON'!$P82)*(1-'5. PERSON'!E82))/((YEAR('2. START'!$C$19)-YEAR('2. START'!$C$18))*12+MONTH('2. START'!$C$19)-MONTH('2. START'!$C$18)+1)</f>
        <v>0</v>
      </c>
      <c r="E86" s="98">
        <f>'5. PERSON'!AT82</f>
        <v>0</v>
      </c>
      <c r="F86" s="98">
        <f>'5. PERSON'!AU82</f>
        <v>0</v>
      </c>
      <c r="G86" s="98">
        <f>'5. PERSON'!AV82</f>
        <v>0</v>
      </c>
      <c r="H86" s="98">
        <f>'5. PERSON'!AW82</f>
        <v>0</v>
      </c>
      <c r="I86" s="98">
        <f>'5. PERSON'!AX82</f>
        <v>0</v>
      </c>
      <c r="J86" s="98">
        <f>'5. PERSON'!AY82</f>
        <v>0</v>
      </c>
      <c r="K86" s="98">
        <f>'5. PERSON'!AZ82</f>
        <v>0</v>
      </c>
      <c r="L86" s="98">
        <f>'5. PERSON'!BA82</f>
        <v>0</v>
      </c>
      <c r="M86" s="98">
        <f>'5. PERSON'!BB82</f>
        <v>0</v>
      </c>
      <c r="N86" s="98">
        <f>'5. PERSON'!BC82</f>
        <v>0</v>
      </c>
      <c r="O86" s="98">
        <f>'5. PERSON'!BD82</f>
        <v>0</v>
      </c>
      <c r="P86" s="98">
        <f>'5. PERSON'!BF82</f>
        <v>0</v>
      </c>
      <c r="Q86" s="98">
        <f>'5. PERSON'!BG82</f>
        <v>0</v>
      </c>
      <c r="R86" s="98">
        <f>'5. PERSON'!BH82</f>
        <v>0</v>
      </c>
      <c r="S86" s="98">
        <f>'5. PERSON'!BI82</f>
        <v>0</v>
      </c>
      <c r="T86" s="98">
        <f>'5. PERSON'!BJ82</f>
        <v>0</v>
      </c>
      <c r="U86" s="98">
        <f>'5. PERSON'!BK82</f>
        <v>0</v>
      </c>
      <c r="V86" s="98">
        <f>'5. PERSON'!BL82</f>
        <v>0</v>
      </c>
      <c r="W86" s="98">
        <f>'5. PERSON'!BM82</f>
        <v>0</v>
      </c>
      <c r="X86" s="98">
        <f>'5. PERSON'!BN82</f>
        <v>0</v>
      </c>
      <c r="Y86" s="98">
        <f>'5. PERSON'!BO82</f>
        <v>0</v>
      </c>
      <c r="Z86" s="98">
        <f t="shared" ref="Z86:Z196" si="2">SUM(P86:Y86)</f>
        <v>0</v>
      </c>
    </row>
    <row r="87" spans="2:26" s="37" customFormat="1" ht="13.5" customHeight="1" x14ac:dyDescent="0.2">
      <c r="B87" s="206" t="str">
        <f>IF('5. PERSON'!C83="","",'5. PERSON'!C83)</f>
        <v/>
      </c>
      <c r="C87" s="933">
        <f>('5. PERSON'!G83+'5. PERSON'!H83+'5. PERSON'!I83+'5. PERSON'!J83+'5. PERSON'!K83+'5. PERSON'!L83+'5. PERSON'!M83+'5. PERSON'!N83+'5. PERSON'!O83+'5. PERSON'!P83)/((YEAR('2. START'!$C$19)-YEAR('2. START'!$C$18))*12+MONTH('2. START'!$C$19)-MONTH('2. START'!$C$18)+1)</f>
        <v>0</v>
      </c>
      <c r="D87" s="933">
        <f>(('5. PERSON'!$G83+'5. PERSON'!$H83+'5. PERSON'!$I83+'5. PERSON'!$J83+'5. PERSON'!$K83+'5. PERSON'!$L83+'5. PERSON'!$M83+'5. PERSON'!$N83+'5. PERSON'!$O83+'5. PERSON'!$P83)*(1-'5. PERSON'!E83))/((YEAR('2. START'!$C$19)-YEAR('2. START'!$C$18))*12+MONTH('2. START'!$C$19)-MONTH('2. START'!$C$18)+1)</f>
        <v>0</v>
      </c>
      <c r="E87" s="87">
        <f>'5. PERSON'!AT83</f>
        <v>0</v>
      </c>
      <c r="F87" s="87">
        <f>'5. PERSON'!AU83</f>
        <v>0</v>
      </c>
      <c r="G87" s="87">
        <f>'5. PERSON'!AV83</f>
        <v>0</v>
      </c>
      <c r="H87" s="87">
        <f>'5. PERSON'!AW83</f>
        <v>0</v>
      </c>
      <c r="I87" s="87">
        <f>'5. PERSON'!AX83</f>
        <v>0</v>
      </c>
      <c r="J87" s="87">
        <f>'5. PERSON'!AY83</f>
        <v>0</v>
      </c>
      <c r="K87" s="87">
        <f>'5. PERSON'!AZ83</f>
        <v>0</v>
      </c>
      <c r="L87" s="87">
        <f>'5. PERSON'!BA83</f>
        <v>0</v>
      </c>
      <c r="M87" s="87">
        <f>'5. PERSON'!BB83</f>
        <v>0</v>
      </c>
      <c r="N87" s="87">
        <f>'5. PERSON'!BC83</f>
        <v>0</v>
      </c>
      <c r="O87" s="87">
        <f>'5. PERSON'!BD83</f>
        <v>0</v>
      </c>
      <c r="P87" s="87">
        <f>'5. PERSON'!BF83</f>
        <v>0</v>
      </c>
      <c r="Q87" s="87">
        <f>'5. PERSON'!BG83</f>
        <v>0</v>
      </c>
      <c r="R87" s="87">
        <f>'5. PERSON'!BH83</f>
        <v>0</v>
      </c>
      <c r="S87" s="87">
        <f>'5. PERSON'!BI83</f>
        <v>0</v>
      </c>
      <c r="T87" s="87">
        <f>'5. PERSON'!BJ83</f>
        <v>0</v>
      </c>
      <c r="U87" s="87">
        <f>'5. PERSON'!BK83</f>
        <v>0</v>
      </c>
      <c r="V87" s="87">
        <f>'5. PERSON'!BL83</f>
        <v>0</v>
      </c>
      <c r="W87" s="87">
        <f>'5. PERSON'!BM83</f>
        <v>0</v>
      </c>
      <c r="X87" s="87">
        <f>'5. PERSON'!BN83</f>
        <v>0</v>
      </c>
      <c r="Y87" s="87">
        <f>'5. PERSON'!BO83</f>
        <v>0</v>
      </c>
      <c r="Z87" s="87">
        <f t="shared" si="2"/>
        <v>0</v>
      </c>
    </row>
    <row r="88" spans="2:26" s="37" customFormat="1" ht="13.5" customHeight="1" x14ac:dyDescent="0.2">
      <c r="B88" s="214" t="str">
        <f>IF('5. PERSON'!C84="","",'5. PERSON'!C84)</f>
        <v/>
      </c>
      <c r="C88" s="934">
        <f>('5. PERSON'!G84+'5. PERSON'!H84+'5. PERSON'!I84+'5. PERSON'!J84+'5. PERSON'!K84+'5. PERSON'!L84+'5. PERSON'!M84+'5. PERSON'!N84+'5. PERSON'!O84+'5. PERSON'!P84)/((YEAR('2. START'!$C$19)-YEAR('2. START'!$C$18))*12+MONTH('2. START'!$C$19)-MONTH('2. START'!$C$18)+1)</f>
        <v>0</v>
      </c>
      <c r="D88" s="934">
        <f>(('5. PERSON'!$G84+'5. PERSON'!$H84+'5. PERSON'!$I84+'5. PERSON'!$J84+'5. PERSON'!$K84+'5. PERSON'!$L84+'5. PERSON'!$M84+'5. PERSON'!$N84+'5. PERSON'!$O84+'5. PERSON'!$P84)*(1-'5. PERSON'!E84))/((YEAR('2. START'!$C$19)-YEAR('2. START'!$C$18))*12+MONTH('2. START'!$C$19)-MONTH('2. START'!$C$18)+1)</f>
        <v>0</v>
      </c>
      <c r="E88" s="98">
        <f>'5. PERSON'!AT84</f>
        <v>0</v>
      </c>
      <c r="F88" s="98">
        <f>'5. PERSON'!AU84</f>
        <v>0</v>
      </c>
      <c r="G88" s="98">
        <f>'5. PERSON'!AV84</f>
        <v>0</v>
      </c>
      <c r="H88" s="98">
        <f>'5. PERSON'!AW84</f>
        <v>0</v>
      </c>
      <c r="I88" s="98">
        <f>'5. PERSON'!AX84</f>
        <v>0</v>
      </c>
      <c r="J88" s="98">
        <f>'5. PERSON'!AY84</f>
        <v>0</v>
      </c>
      <c r="K88" s="98">
        <f>'5. PERSON'!AZ84</f>
        <v>0</v>
      </c>
      <c r="L88" s="98">
        <f>'5. PERSON'!BA84</f>
        <v>0</v>
      </c>
      <c r="M88" s="98">
        <f>'5. PERSON'!BB84</f>
        <v>0</v>
      </c>
      <c r="N88" s="98">
        <f>'5. PERSON'!BC84</f>
        <v>0</v>
      </c>
      <c r="O88" s="98">
        <f>'5. PERSON'!BD84</f>
        <v>0</v>
      </c>
      <c r="P88" s="98">
        <f>'5. PERSON'!BF84</f>
        <v>0</v>
      </c>
      <c r="Q88" s="98">
        <f>'5. PERSON'!BG84</f>
        <v>0</v>
      </c>
      <c r="R88" s="98">
        <f>'5. PERSON'!BH84</f>
        <v>0</v>
      </c>
      <c r="S88" s="98">
        <f>'5. PERSON'!BI84</f>
        <v>0</v>
      </c>
      <c r="T88" s="98">
        <f>'5. PERSON'!BJ84</f>
        <v>0</v>
      </c>
      <c r="U88" s="98">
        <f>'5. PERSON'!BK84</f>
        <v>0</v>
      </c>
      <c r="V88" s="98">
        <f>'5. PERSON'!BL84</f>
        <v>0</v>
      </c>
      <c r="W88" s="98">
        <f>'5. PERSON'!BM84</f>
        <v>0</v>
      </c>
      <c r="X88" s="98">
        <f>'5. PERSON'!BN84</f>
        <v>0</v>
      </c>
      <c r="Y88" s="98">
        <f>'5. PERSON'!BO84</f>
        <v>0</v>
      </c>
      <c r="Z88" s="98">
        <f t="shared" si="2"/>
        <v>0</v>
      </c>
    </row>
    <row r="89" spans="2:26" s="37" customFormat="1" ht="13.5" customHeight="1" x14ac:dyDescent="0.2">
      <c r="B89" s="206" t="str">
        <f>IF('5. PERSON'!C85="","",'5. PERSON'!C85)</f>
        <v/>
      </c>
      <c r="C89" s="933">
        <f>('5. PERSON'!G85+'5. PERSON'!H85+'5. PERSON'!I85+'5. PERSON'!J85+'5. PERSON'!K85+'5. PERSON'!L85+'5. PERSON'!M85+'5. PERSON'!N85+'5. PERSON'!O85+'5. PERSON'!P85)/((YEAR('2. START'!$C$19)-YEAR('2. START'!$C$18))*12+MONTH('2. START'!$C$19)-MONTH('2. START'!$C$18)+1)</f>
        <v>0</v>
      </c>
      <c r="D89" s="933">
        <f>(('5. PERSON'!$G85+'5. PERSON'!$H85+'5. PERSON'!$I85+'5. PERSON'!$J85+'5. PERSON'!$K85+'5. PERSON'!$L85+'5. PERSON'!$M85+'5. PERSON'!$N85+'5. PERSON'!$O85+'5. PERSON'!$P85)*(1-'5. PERSON'!E85))/((YEAR('2. START'!$C$19)-YEAR('2. START'!$C$18))*12+MONTH('2. START'!$C$19)-MONTH('2. START'!$C$18)+1)</f>
        <v>0</v>
      </c>
      <c r="E89" s="87">
        <f>'5. PERSON'!AT85</f>
        <v>0</v>
      </c>
      <c r="F89" s="87">
        <f>'5. PERSON'!AU85</f>
        <v>0</v>
      </c>
      <c r="G89" s="87">
        <f>'5. PERSON'!AV85</f>
        <v>0</v>
      </c>
      <c r="H89" s="87">
        <f>'5. PERSON'!AW85</f>
        <v>0</v>
      </c>
      <c r="I89" s="87">
        <f>'5. PERSON'!AX85</f>
        <v>0</v>
      </c>
      <c r="J89" s="87">
        <f>'5. PERSON'!AY85</f>
        <v>0</v>
      </c>
      <c r="K89" s="87">
        <f>'5. PERSON'!AZ85</f>
        <v>0</v>
      </c>
      <c r="L89" s="87">
        <f>'5. PERSON'!BA85</f>
        <v>0</v>
      </c>
      <c r="M89" s="87">
        <f>'5. PERSON'!BB85</f>
        <v>0</v>
      </c>
      <c r="N89" s="87">
        <f>'5. PERSON'!BC85</f>
        <v>0</v>
      </c>
      <c r="O89" s="87">
        <f>'5. PERSON'!BD85</f>
        <v>0</v>
      </c>
      <c r="P89" s="87">
        <f>'5. PERSON'!BF85</f>
        <v>0</v>
      </c>
      <c r="Q89" s="87">
        <f>'5. PERSON'!BG85</f>
        <v>0</v>
      </c>
      <c r="R89" s="87">
        <f>'5. PERSON'!BH85</f>
        <v>0</v>
      </c>
      <c r="S89" s="87">
        <f>'5. PERSON'!BI85</f>
        <v>0</v>
      </c>
      <c r="T89" s="87">
        <f>'5. PERSON'!BJ85</f>
        <v>0</v>
      </c>
      <c r="U89" s="87">
        <f>'5. PERSON'!BK85</f>
        <v>0</v>
      </c>
      <c r="V89" s="87">
        <f>'5. PERSON'!BL85</f>
        <v>0</v>
      </c>
      <c r="W89" s="87">
        <f>'5. PERSON'!BM85</f>
        <v>0</v>
      </c>
      <c r="X89" s="87">
        <f>'5. PERSON'!BN85</f>
        <v>0</v>
      </c>
      <c r="Y89" s="87">
        <f>'5. PERSON'!BO85</f>
        <v>0</v>
      </c>
      <c r="Z89" s="87">
        <f t="shared" si="2"/>
        <v>0</v>
      </c>
    </row>
    <row r="90" spans="2:26" s="37" customFormat="1" ht="13.5" customHeight="1" x14ac:dyDescent="0.2">
      <c r="B90" s="214" t="str">
        <f>IF('5. PERSON'!C86="","",'5. PERSON'!C86)</f>
        <v/>
      </c>
      <c r="C90" s="934">
        <f>('5. PERSON'!G86+'5. PERSON'!H86+'5. PERSON'!I86+'5. PERSON'!J86+'5. PERSON'!K86+'5. PERSON'!L86+'5. PERSON'!M86+'5. PERSON'!N86+'5. PERSON'!O86+'5. PERSON'!P86)/((YEAR('2. START'!$C$19)-YEAR('2. START'!$C$18))*12+MONTH('2. START'!$C$19)-MONTH('2. START'!$C$18)+1)</f>
        <v>0</v>
      </c>
      <c r="D90" s="934">
        <f>(('5. PERSON'!$G86+'5. PERSON'!$H86+'5. PERSON'!$I86+'5. PERSON'!$J86+'5. PERSON'!$K86+'5. PERSON'!$L86+'5. PERSON'!$M86+'5. PERSON'!$N86+'5. PERSON'!$O86+'5. PERSON'!$P86)*(1-'5. PERSON'!E86))/((YEAR('2. START'!$C$19)-YEAR('2. START'!$C$18))*12+MONTH('2. START'!$C$19)-MONTH('2. START'!$C$18)+1)</f>
        <v>0</v>
      </c>
      <c r="E90" s="98">
        <f>'5. PERSON'!AT86</f>
        <v>0</v>
      </c>
      <c r="F90" s="98">
        <f>'5. PERSON'!AU86</f>
        <v>0</v>
      </c>
      <c r="G90" s="98">
        <f>'5. PERSON'!AV86</f>
        <v>0</v>
      </c>
      <c r="H90" s="98">
        <f>'5. PERSON'!AW86</f>
        <v>0</v>
      </c>
      <c r="I90" s="98">
        <f>'5. PERSON'!AX86</f>
        <v>0</v>
      </c>
      <c r="J90" s="98">
        <f>'5. PERSON'!AY86</f>
        <v>0</v>
      </c>
      <c r="K90" s="98">
        <f>'5. PERSON'!AZ86</f>
        <v>0</v>
      </c>
      <c r="L90" s="98">
        <f>'5. PERSON'!BA86</f>
        <v>0</v>
      </c>
      <c r="M90" s="98">
        <f>'5. PERSON'!BB86</f>
        <v>0</v>
      </c>
      <c r="N90" s="98">
        <f>'5. PERSON'!BC86</f>
        <v>0</v>
      </c>
      <c r="O90" s="98">
        <f>'5. PERSON'!BD86</f>
        <v>0</v>
      </c>
      <c r="P90" s="98">
        <f>'5. PERSON'!BF86</f>
        <v>0</v>
      </c>
      <c r="Q90" s="98">
        <f>'5. PERSON'!BG86</f>
        <v>0</v>
      </c>
      <c r="R90" s="98">
        <f>'5. PERSON'!BH86</f>
        <v>0</v>
      </c>
      <c r="S90" s="98">
        <f>'5. PERSON'!BI86</f>
        <v>0</v>
      </c>
      <c r="T90" s="98">
        <f>'5. PERSON'!BJ86</f>
        <v>0</v>
      </c>
      <c r="U90" s="98">
        <f>'5. PERSON'!BK86</f>
        <v>0</v>
      </c>
      <c r="V90" s="98">
        <f>'5. PERSON'!BL86</f>
        <v>0</v>
      </c>
      <c r="W90" s="98">
        <f>'5. PERSON'!BM86</f>
        <v>0</v>
      </c>
      <c r="X90" s="98">
        <f>'5. PERSON'!BN86</f>
        <v>0</v>
      </c>
      <c r="Y90" s="98">
        <f>'5. PERSON'!BO86</f>
        <v>0</v>
      </c>
      <c r="Z90" s="98">
        <f t="shared" si="2"/>
        <v>0</v>
      </c>
    </row>
    <row r="91" spans="2:26" s="37" customFormat="1" ht="13.5" customHeight="1" x14ac:dyDescent="0.2">
      <c r="B91" s="206" t="str">
        <f>IF('5. PERSON'!C87="","",'5. PERSON'!C87)</f>
        <v/>
      </c>
      <c r="C91" s="933">
        <f>('5. PERSON'!G87+'5. PERSON'!H87+'5. PERSON'!I87+'5. PERSON'!J87+'5. PERSON'!K87+'5. PERSON'!L87+'5. PERSON'!M87+'5. PERSON'!N87+'5. PERSON'!O87+'5. PERSON'!P87)/((YEAR('2. START'!$C$19)-YEAR('2. START'!$C$18))*12+MONTH('2. START'!$C$19)-MONTH('2. START'!$C$18)+1)</f>
        <v>0</v>
      </c>
      <c r="D91" s="933">
        <f>(('5. PERSON'!$G87+'5. PERSON'!$H87+'5. PERSON'!$I87+'5. PERSON'!$J87+'5. PERSON'!$K87+'5. PERSON'!$L87+'5. PERSON'!$M87+'5. PERSON'!$N87+'5. PERSON'!$O87+'5. PERSON'!$P87)*(1-'5. PERSON'!E87))/((YEAR('2. START'!$C$19)-YEAR('2. START'!$C$18))*12+MONTH('2. START'!$C$19)-MONTH('2. START'!$C$18)+1)</f>
        <v>0</v>
      </c>
      <c r="E91" s="87">
        <f>'5. PERSON'!AT87</f>
        <v>0</v>
      </c>
      <c r="F91" s="87">
        <f>'5. PERSON'!AU87</f>
        <v>0</v>
      </c>
      <c r="G91" s="87">
        <f>'5. PERSON'!AV87</f>
        <v>0</v>
      </c>
      <c r="H91" s="87">
        <f>'5. PERSON'!AW87</f>
        <v>0</v>
      </c>
      <c r="I91" s="87">
        <f>'5. PERSON'!AX87</f>
        <v>0</v>
      </c>
      <c r="J91" s="87">
        <f>'5. PERSON'!AY87</f>
        <v>0</v>
      </c>
      <c r="K91" s="87">
        <f>'5. PERSON'!AZ87</f>
        <v>0</v>
      </c>
      <c r="L91" s="87">
        <f>'5. PERSON'!BA87</f>
        <v>0</v>
      </c>
      <c r="M91" s="87">
        <f>'5. PERSON'!BB87</f>
        <v>0</v>
      </c>
      <c r="N91" s="87">
        <f>'5. PERSON'!BC87</f>
        <v>0</v>
      </c>
      <c r="O91" s="87">
        <f>'5. PERSON'!BD87</f>
        <v>0</v>
      </c>
      <c r="P91" s="87">
        <f>'5. PERSON'!BF87</f>
        <v>0</v>
      </c>
      <c r="Q91" s="87">
        <f>'5. PERSON'!BG87</f>
        <v>0</v>
      </c>
      <c r="R91" s="87">
        <f>'5. PERSON'!BH87</f>
        <v>0</v>
      </c>
      <c r="S91" s="87">
        <f>'5. PERSON'!BI87</f>
        <v>0</v>
      </c>
      <c r="T91" s="87">
        <f>'5. PERSON'!BJ87</f>
        <v>0</v>
      </c>
      <c r="U91" s="87">
        <f>'5. PERSON'!BK87</f>
        <v>0</v>
      </c>
      <c r="V91" s="87">
        <f>'5. PERSON'!BL87</f>
        <v>0</v>
      </c>
      <c r="W91" s="87">
        <f>'5. PERSON'!BM87</f>
        <v>0</v>
      </c>
      <c r="X91" s="87">
        <f>'5. PERSON'!BN87</f>
        <v>0</v>
      </c>
      <c r="Y91" s="87">
        <f>'5. PERSON'!BO87</f>
        <v>0</v>
      </c>
      <c r="Z91" s="87">
        <f t="shared" si="2"/>
        <v>0</v>
      </c>
    </row>
    <row r="92" spans="2:26" s="37" customFormat="1" ht="13.5" customHeight="1" x14ac:dyDescent="0.2">
      <c r="B92" s="214" t="str">
        <f>IF('5. PERSON'!C88="","",'5. PERSON'!C88)</f>
        <v/>
      </c>
      <c r="C92" s="934">
        <f>('5. PERSON'!G88+'5. PERSON'!H88+'5. PERSON'!I88+'5. PERSON'!J88+'5. PERSON'!K88+'5. PERSON'!L88+'5. PERSON'!M88+'5. PERSON'!N88+'5. PERSON'!O88+'5. PERSON'!P88)/((YEAR('2. START'!$C$19)-YEAR('2. START'!$C$18))*12+MONTH('2. START'!$C$19)-MONTH('2. START'!$C$18)+1)</f>
        <v>0</v>
      </c>
      <c r="D92" s="934">
        <f>(('5. PERSON'!$G88+'5. PERSON'!$H88+'5. PERSON'!$I88+'5. PERSON'!$J88+'5. PERSON'!$K88+'5. PERSON'!$L88+'5. PERSON'!$M88+'5. PERSON'!$N88+'5. PERSON'!$O88+'5. PERSON'!$P88)*(1-'5. PERSON'!E88))/((YEAR('2. START'!$C$19)-YEAR('2. START'!$C$18))*12+MONTH('2. START'!$C$19)-MONTH('2. START'!$C$18)+1)</f>
        <v>0</v>
      </c>
      <c r="E92" s="98">
        <f>'5. PERSON'!AT88</f>
        <v>0</v>
      </c>
      <c r="F92" s="98">
        <f>'5. PERSON'!AU88</f>
        <v>0</v>
      </c>
      <c r="G92" s="98">
        <f>'5. PERSON'!AV88</f>
        <v>0</v>
      </c>
      <c r="H92" s="98">
        <f>'5. PERSON'!AW88</f>
        <v>0</v>
      </c>
      <c r="I92" s="98">
        <f>'5. PERSON'!AX88</f>
        <v>0</v>
      </c>
      <c r="J92" s="98">
        <f>'5. PERSON'!AY88</f>
        <v>0</v>
      </c>
      <c r="K92" s="98">
        <f>'5. PERSON'!AZ88</f>
        <v>0</v>
      </c>
      <c r="L92" s="98">
        <f>'5. PERSON'!BA88</f>
        <v>0</v>
      </c>
      <c r="M92" s="98">
        <f>'5. PERSON'!BB88</f>
        <v>0</v>
      </c>
      <c r="N92" s="98">
        <f>'5. PERSON'!BC88</f>
        <v>0</v>
      </c>
      <c r="O92" s="98">
        <f>'5. PERSON'!BD88</f>
        <v>0</v>
      </c>
      <c r="P92" s="98">
        <f>'5. PERSON'!BF88</f>
        <v>0</v>
      </c>
      <c r="Q92" s="98">
        <f>'5. PERSON'!BG88</f>
        <v>0</v>
      </c>
      <c r="R92" s="98">
        <f>'5. PERSON'!BH88</f>
        <v>0</v>
      </c>
      <c r="S92" s="98">
        <f>'5. PERSON'!BI88</f>
        <v>0</v>
      </c>
      <c r="T92" s="98">
        <f>'5. PERSON'!BJ88</f>
        <v>0</v>
      </c>
      <c r="U92" s="98">
        <f>'5. PERSON'!BK88</f>
        <v>0</v>
      </c>
      <c r="V92" s="98">
        <f>'5. PERSON'!BL88</f>
        <v>0</v>
      </c>
      <c r="W92" s="98">
        <f>'5. PERSON'!BM88</f>
        <v>0</v>
      </c>
      <c r="X92" s="98">
        <f>'5. PERSON'!BN88</f>
        <v>0</v>
      </c>
      <c r="Y92" s="98">
        <f>'5. PERSON'!BO88</f>
        <v>0</v>
      </c>
      <c r="Z92" s="98">
        <f t="shared" si="2"/>
        <v>0</v>
      </c>
    </row>
    <row r="93" spans="2:26" s="37" customFormat="1" ht="13.5" customHeight="1" x14ac:dyDescent="0.2">
      <c r="B93" s="206" t="str">
        <f>IF('5. PERSON'!C89="","",'5. PERSON'!C89)</f>
        <v/>
      </c>
      <c r="C93" s="933">
        <f>('5. PERSON'!G89+'5. PERSON'!H89+'5. PERSON'!I89+'5. PERSON'!J89+'5. PERSON'!K89+'5. PERSON'!L89+'5. PERSON'!M89+'5. PERSON'!N89+'5. PERSON'!O89+'5. PERSON'!P89)/((YEAR('2. START'!$C$19)-YEAR('2. START'!$C$18))*12+MONTH('2. START'!$C$19)-MONTH('2. START'!$C$18)+1)</f>
        <v>0</v>
      </c>
      <c r="D93" s="933">
        <f>(('5. PERSON'!$G89+'5. PERSON'!$H89+'5. PERSON'!$I89+'5. PERSON'!$J89+'5. PERSON'!$K89+'5. PERSON'!$L89+'5. PERSON'!$M89+'5. PERSON'!$N89+'5. PERSON'!$O89+'5. PERSON'!$P89)*(1-'5. PERSON'!E89))/((YEAR('2. START'!$C$19)-YEAR('2. START'!$C$18))*12+MONTH('2. START'!$C$19)-MONTH('2. START'!$C$18)+1)</f>
        <v>0</v>
      </c>
      <c r="E93" s="87">
        <f>'5. PERSON'!AT89</f>
        <v>0</v>
      </c>
      <c r="F93" s="87">
        <f>'5. PERSON'!AU89</f>
        <v>0</v>
      </c>
      <c r="G93" s="87">
        <f>'5. PERSON'!AV89</f>
        <v>0</v>
      </c>
      <c r="H93" s="87">
        <f>'5. PERSON'!AW89</f>
        <v>0</v>
      </c>
      <c r="I93" s="87">
        <f>'5. PERSON'!AX89</f>
        <v>0</v>
      </c>
      <c r="J93" s="87">
        <f>'5. PERSON'!AY89</f>
        <v>0</v>
      </c>
      <c r="K93" s="87">
        <f>'5. PERSON'!AZ89</f>
        <v>0</v>
      </c>
      <c r="L93" s="87">
        <f>'5. PERSON'!BA89</f>
        <v>0</v>
      </c>
      <c r="M93" s="87">
        <f>'5. PERSON'!BB89</f>
        <v>0</v>
      </c>
      <c r="N93" s="87">
        <f>'5. PERSON'!BC89</f>
        <v>0</v>
      </c>
      <c r="O93" s="87">
        <f>'5. PERSON'!BD89</f>
        <v>0</v>
      </c>
      <c r="P93" s="87">
        <f>'5. PERSON'!BF89</f>
        <v>0</v>
      </c>
      <c r="Q93" s="87">
        <f>'5. PERSON'!BG89</f>
        <v>0</v>
      </c>
      <c r="R93" s="87">
        <f>'5. PERSON'!BH89</f>
        <v>0</v>
      </c>
      <c r="S93" s="87">
        <f>'5. PERSON'!BI89</f>
        <v>0</v>
      </c>
      <c r="T93" s="87">
        <f>'5. PERSON'!BJ89</f>
        <v>0</v>
      </c>
      <c r="U93" s="87">
        <f>'5. PERSON'!BK89</f>
        <v>0</v>
      </c>
      <c r="V93" s="87">
        <f>'5. PERSON'!BL89</f>
        <v>0</v>
      </c>
      <c r="W93" s="87">
        <f>'5. PERSON'!BM89</f>
        <v>0</v>
      </c>
      <c r="X93" s="87">
        <f>'5. PERSON'!BN89</f>
        <v>0</v>
      </c>
      <c r="Y93" s="87">
        <f>'5. PERSON'!BO89</f>
        <v>0</v>
      </c>
      <c r="Z93" s="87">
        <f t="shared" si="2"/>
        <v>0</v>
      </c>
    </row>
    <row r="94" spans="2:26" s="37" customFormat="1" ht="13.5" customHeight="1" x14ac:dyDescent="0.2">
      <c r="B94" s="214" t="str">
        <f>IF('5. PERSON'!C90="","",'5. PERSON'!C90)</f>
        <v/>
      </c>
      <c r="C94" s="934">
        <f>('5. PERSON'!G90+'5. PERSON'!H90+'5. PERSON'!I90+'5. PERSON'!J90+'5. PERSON'!K90+'5. PERSON'!L90+'5. PERSON'!M90+'5. PERSON'!N90+'5. PERSON'!O90+'5. PERSON'!P90)/((YEAR('2. START'!$C$19)-YEAR('2. START'!$C$18))*12+MONTH('2. START'!$C$19)-MONTH('2. START'!$C$18)+1)</f>
        <v>0</v>
      </c>
      <c r="D94" s="934">
        <f>(('5. PERSON'!$G90+'5. PERSON'!$H90+'5. PERSON'!$I90+'5. PERSON'!$J90+'5. PERSON'!$K90+'5. PERSON'!$L90+'5. PERSON'!$M90+'5. PERSON'!$N90+'5. PERSON'!$O90+'5. PERSON'!$P90)*(1-'5. PERSON'!E90))/((YEAR('2. START'!$C$19)-YEAR('2. START'!$C$18))*12+MONTH('2. START'!$C$19)-MONTH('2. START'!$C$18)+1)</f>
        <v>0</v>
      </c>
      <c r="E94" s="98">
        <f>'5. PERSON'!AT90</f>
        <v>0</v>
      </c>
      <c r="F94" s="98">
        <f>'5. PERSON'!AU90</f>
        <v>0</v>
      </c>
      <c r="G94" s="98">
        <f>'5. PERSON'!AV90</f>
        <v>0</v>
      </c>
      <c r="H94" s="98">
        <f>'5. PERSON'!AW90</f>
        <v>0</v>
      </c>
      <c r="I94" s="98">
        <f>'5. PERSON'!AX90</f>
        <v>0</v>
      </c>
      <c r="J94" s="98">
        <f>'5. PERSON'!AY90</f>
        <v>0</v>
      </c>
      <c r="K94" s="98">
        <f>'5. PERSON'!AZ90</f>
        <v>0</v>
      </c>
      <c r="L94" s="98">
        <f>'5. PERSON'!BA90</f>
        <v>0</v>
      </c>
      <c r="M94" s="98">
        <f>'5. PERSON'!BB90</f>
        <v>0</v>
      </c>
      <c r="N94" s="98">
        <f>'5. PERSON'!BC90</f>
        <v>0</v>
      </c>
      <c r="O94" s="98">
        <f>'5. PERSON'!BD90</f>
        <v>0</v>
      </c>
      <c r="P94" s="98">
        <f>'5. PERSON'!BF90</f>
        <v>0</v>
      </c>
      <c r="Q94" s="98">
        <f>'5. PERSON'!BG90</f>
        <v>0</v>
      </c>
      <c r="R94" s="98">
        <f>'5. PERSON'!BH90</f>
        <v>0</v>
      </c>
      <c r="S94" s="98">
        <f>'5. PERSON'!BI90</f>
        <v>0</v>
      </c>
      <c r="T94" s="98">
        <f>'5. PERSON'!BJ90</f>
        <v>0</v>
      </c>
      <c r="U94" s="98">
        <f>'5. PERSON'!BK90</f>
        <v>0</v>
      </c>
      <c r="V94" s="98">
        <f>'5. PERSON'!BL90</f>
        <v>0</v>
      </c>
      <c r="W94" s="98">
        <f>'5. PERSON'!BM90</f>
        <v>0</v>
      </c>
      <c r="X94" s="98">
        <f>'5. PERSON'!BN90</f>
        <v>0</v>
      </c>
      <c r="Y94" s="98">
        <f>'5. PERSON'!BO90</f>
        <v>0</v>
      </c>
      <c r="Z94" s="98">
        <f t="shared" si="2"/>
        <v>0</v>
      </c>
    </row>
    <row r="95" spans="2:26" s="37" customFormat="1" ht="13.5" customHeight="1" x14ac:dyDescent="0.2">
      <c r="B95" s="206" t="str">
        <f>IF('5. PERSON'!C91="","",'5. PERSON'!C91)</f>
        <v/>
      </c>
      <c r="C95" s="933">
        <f>('5. PERSON'!G91+'5. PERSON'!H91+'5. PERSON'!I91+'5. PERSON'!J91+'5. PERSON'!K91+'5. PERSON'!L91+'5. PERSON'!M91+'5. PERSON'!N91+'5. PERSON'!O91+'5. PERSON'!P91)/((YEAR('2. START'!$C$19)-YEAR('2. START'!$C$18))*12+MONTH('2. START'!$C$19)-MONTH('2. START'!$C$18)+1)</f>
        <v>0</v>
      </c>
      <c r="D95" s="933">
        <f>(('5. PERSON'!$G91+'5. PERSON'!$H91+'5. PERSON'!$I91+'5. PERSON'!$J91+'5. PERSON'!$K91+'5. PERSON'!$L91+'5. PERSON'!$M91+'5. PERSON'!$N91+'5. PERSON'!$O91+'5. PERSON'!$P91)*(1-'5. PERSON'!E91))/((YEAR('2. START'!$C$19)-YEAR('2. START'!$C$18))*12+MONTH('2. START'!$C$19)-MONTH('2. START'!$C$18)+1)</f>
        <v>0</v>
      </c>
      <c r="E95" s="87">
        <f>'5. PERSON'!AT91</f>
        <v>0</v>
      </c>
      <c r="F95" s="87">
        <f>'5. PERSON'!AU91</f>
        <v>0</v>
      </c>
      <c r="G95" s="87">
        <f>'5. PERSON'!AV91</f>
        <v>0</v>
      </c>
      <c r="H95" s="87">
        <f>'5. PERSON'!AW91</f>
        <v>0</v>
      </c>
      <c r="I95" s="87">
        <f>'5. PERSON'!AX91</f>
        <v>0</v>
      </c>
      <c r="J95" s="87">
        <f>'5. PERSON'!AY91</f>
        <v>0</v>
      </c>
      <c r="K95" s="87">
        <f>'5. PERSON'!AZ91</f>
        <v>0</v>
      </c>
      <c r="L95" s="87">
        <f>'5. PERSON'!BA91</f>
        <v>0</v>
      </c>
      <c r="M95" s="87">
        <f>'5. PERSON'!BB91</f>
        <v>0</v>
      </c>
      <c r="N95" s="87">
        <f>'5. PERSON'!BC91</f>
        <v>0</v>
      </c>
      <c r="O95" s="87">
        <f>'5. PERSON'!BD91</f>
        <v>0</v>
      </c>
      <c r="P95" s="87">
        <f>'5. PERSON'!BF91</f>
        <v>0</v>
      </c>
      <c r="Q95" s="87">
        <f>'5. PERSON'!BG91</f>
        <v>0</v>
      </c>
      <c r="R95" s="87">
        <f>'5. PERSON'!BH91</f>
        <v>0</v>
      </c>
      <c r="S95" s="87">
        <f>'5. PERSON'!BI91</f>
        <v>0</v>
      </c>
      <c r="T95" s="87">
        <f>'5. PERSON'!BJ91</f>
        <v>0</v>
      </c>
      <c r="U95" s="87">
        <f>'5. PERSON'!BK91</f>
        <v>0</v>
      </c>
      <c r="V95" s="87">
        <f>'5. PERSON'!BL91</f>
        <v>0</v>
      </c>
      <c r="W95" s="87">
        <f>'5. PERSON'!BM91</f>
        <v>0</v>
      </c>
      <c r="X95" s="87">
        <f>'5. PERSON'!BN91</f>
        <v>0</v>
      </c>
      <c r="Y95" s="87">
        <f>'5. PERSON'!BO91</f>
        <v>0</v>
      </c>
      <c r="Z95" s="87">
        <f t="shared" si="2"/>
        <v>0</v>
      </c>
    </row>
    <row r="96" spans="2:26" s="37" customFormat="1" ht="13.5" customHeight="1" x14ac:dyDescent="0.2">
      <c r="B96" s="214" t="str">
        <f>IF('5. PERSON'!C92="","",'5. PERSON'!C92)</f>
        <v/>
      </c>
      <c r="C96" s="934">
        <f>('5. PERSON'!G92+'5. PERSON'!H92+'5. PERSON'!I92+'5. PERSON'!J92+'5. PERSON'!K92+'5. PERSON'!L92+'5. PERSON'!M92+'5. PERSON'!N92+'5. PERSON'!O92+'5. PERSON'!P92)/((YEAR('2. START'!$C$19)-YEAR('2. START'!$C$18))*12+MONTH('2. START'!$C$19)-MONTH('2. START'!$C$18)+1)</f>
        <v>0</v>
      </c>
      <c r="D96" s="934">
        <f>(('5. PERSON'!$G92+'5. PERSON'!$H92+'5. PERSON'!$I92+'5. PERSON'!$J92+'5. PERSON'!$K92+'5. PERSON'!$L92+'5. PERSON'!$M92+'5. PERSON'!$N92+'5. PERSON'!$O92+'5. PERSON'!$P92)*(1-'5. PERSON'!E92))/((YEAR('2. START'!$C$19)-YEAR('2. START'!$C$18))*12+MONTH('2. START'!$C$19)-MONTH('2. START'!$C$18)+1)</f>
        <v>0</v>
      </c>
      <c r="E96" s="98">
        <f>'5. PERSON'!AT92</f>
        <v>0</v>
      </c>
      <c r="F96" s="98">
        <f>'5. PERSON'!AU92</f>
        <v>0</v>
      </c>
      <c r="G96" s="98">
        <f>'5. PERSON'!AV92</f>
        <v>0</v>
      </c>
      <c r="H96" s="98">
        <f>'5. PERSON'!AW92</f>
        <v>0</v>
      </c>
      <c r="I96" s="98">
        <f>'5. PERSON'!AX92</f>
        <v>0</v>
      </c>
      <c r="J96" s="98">
        <f>'5. PERSON'!AY92</f>
        <v>0</v>
      </c>
      <c r="K96" s="98">
        <f>'5. PERSON'!AZ92</f>
        <v>0</v>
      </c>
      <c r="L96" s="98">
        <f>'5. PERSON'!BA92</f>
        <v>0</v>
      </c>
      <c r="M96" s="98">
        <f>'5. PERSON'!BB92</f>
        <v>0</v>
      </c>
      <c r="N96" s="98">
        <f>'5. PERSON'!BC92</f>
        <v>0</v>
      </c>
      <c r="O96" s="98">
        <f>'5. PERSON'!BD92</f>
        <v>0</v>
      </c>
      <c r="P96" s="98">
        <f>'5. PERSON'!BF92</f>
        <v>0</v>
      </c>
      <c r="Q96" s="98">
        <f>'5. PERSON'!BG92</f>
        <v>0</v>
      </c>
      <c r="R96" s="98">
        <f>'5. PERSON'!BH92</f>
        <v>0</v>
      </c>
      <c r="S96" s="98">
        <f>'5. PERSON'!BI92</f>
        <v>0</v>
      </c>
      <c r="T96" s="98">
        <f>'5. PERSON'!BJ92</f>
        <v>0</v>
      </c>
      <c r="U96" s="98">
        <f>'5. PERSON'!BK92</f>
        <v>0</v>
      </c>
      <c r="V96" s="98">
        <f>'5. PERSON'!BL92</f>
        <v>0</v>
      </c>
      <c r="W96" s="98">
        <f>'5. PERSON'!BM92</f>
        <v>0</v>
      </c>
      <c r="X96" s="98">
        <f>'5. PERSON'!BN92</f>
        <v>0</v>
      </c>
      <c r="Y96" s="98">
        <f>'5. PERSON'!BO92</f>
        <v>0</v>
      </c>
      <c r="Z96" s="98">
        <f t="shared" si="2"/>
        <v>0</v>
      </c>
    </row>
    <row r="97" spans="2:26" s="37" customFormat="1" ht="13.5" customHeight="1" x14ac:dyDescent="0.2">
      <c r="B97" s="206" t="str">
        <f>IF('5. PERSON'!C93="","",'5. PERSON'!C93)</f>
        <v/>
      </c>
      <c r="C97" s="933">
        <f>('5. PERSON'!G93+'5. PERSON'!H93+'5. PERSON'!I93+'5. PERSON'!J93+'5. PERSON'!K93+'5. PERSON'!L93+'5. PERSON'!M93+'5. PERSON'!N93+'5. PERSON'!O93+'5. PERSON'!P93)/((YEAR('2. START'!$C$19)-YEAR('2. START'!$C$18))*12+MONTH('2. START'!$C$19)-MONTH('2. START'!$C$18)+1)</f>
        <v>0</v>
      </c>
      <c r="D97" s="933">
        <f>(('5. PERSON'!$G93+'5. PERSON'!$H93+'5. PERSON'!$I93+'5. PERSON'!$J93+'5. PERSON'!$K93+'5. PERSON'!$L93+'5. PERSON'!$M93+'5. PERSON'!$N93+'5. PERSON'!$O93+'5. PERSON'!$P93)*(1-'5. PERSON'!E93))/((YEAR('2. START'!$C$19)-YEAR('2. START'!$C$18))*12+MONTH('2. START'!$C$19)-MONTH('2. START'!$C$18)+1)</f>
        <v>0</v>
      </c>
      <c r="E97" s="87">
        <f>'5. PERSON'!AT93</f>
        <v>0</v>
      </c>
      <c r="F97" s="87">
        <f>'5. PERSON'!AU93</f>
        <v>0</v>
      </c>
      <c r="G97" s="87">
        <f>'5. PERSON'!AV93</f>
        <v>0</v>
      </c>
      <c r="H97" s="87">
        <f>'5. PERSON'!AW93</f>
        <v>0</v>
      </c>
      <c r="I97" s="87">
        <f>'5. PERSON'!AX93</f>
        <v>0</v>
      </c>
      <c r="J97" s="87">
        <f>'5. PERSON'!AY93</f>
        <v>0</v>
      </c>
      <c r="K97" s="87">
        <f>'5. PERSON'!AZ93</f>
        <v>0</v>
      </c>
      <c r="L97" s="87">
        <f>'5. PERSON'!BA93</f>
        <v>0</v>
      </c>
      <c r="M97" s="87">
        <f>'5. PERSON'!BB93</f>
        <v>0</v>
      </c>
      <c r="N97" s="87">
        <f>'5. PERSON'!BC93</f>
        <v>0</v>
      </c>
      <c r="O97" s="87">
        <f>'5. PERSON'!BD93</f>
        <v>0</v>
      </c>
      <c r="P97" s="87">
        <f>'5. PERSON'!BF93</f>
        <v>0</v>
      </c>
      <c r="Q97" s="87">
        <f>'5. PERSON'!BG93</f>
        <v>0</v>
      </c>
      <c r="R97" s="87">
        <f>'5. PERSON'!BH93</f>
        <v>0</v>
      </c>
      <c r="S97" s="87">
        <f>'5. PERSON'!BI93</f>
        <v>0</v>
      </c>
      <c r="T97" s="87">
        <f>'5. PERSON'!BJ93</f>
        <v>0</v>
      </c>
      <c r="U97" s="87">
        <f>'5. PERSON'!BK93</f>
        <v>0</v>
      </c>
      <c r="V97" s="87">
        <f>'5. PERSON'!BL93</f>
        <v>0</v>
      </c>
      <c r="W97" s="87">
        <f>'5. PERSON'!BM93</f>
        <v>0</v>
      </c>
      <c r="X97" s="87">
        <f>'5. PERSON'!BN93</f>
        <v>0</v>
      </c>
      <c r="Y97" s="87">
        <f>'5. PERSON'!BO93</f>
        <v>0</v>
      </c>
      <c r="Z97" s="87">
        <f t="shared" si="2"/>
        <v>0</v>
      </c>
    </row>
    <row r="98" spans="2:26" s="37" customFormat="1" ht="13.5" customHeight="1" x14ac:dyDescent="0.2">
      <c r="B98" s="214" t="str">
        <f>IF('5. PERSON'!C94="","",'5. PERSON'!C94)</f>
        <v/>
      </c>
      <c r="C98" s="934">
        <f>('5. PERSON'!G94+'5. PERSON'!H94+'5. PERSON'!I94+'5. PERSON'!J94+'5. PERSON'!K94+'5. PERSON'!L94+'5. PERSON'!M94+'5. PERSON'!N94+'5. PERSON'!O94+'5. PERSON'!P94)/((YEAR('2. START'!$C$19)-YEAR('2. START'!$C$18))*12+MONTH('2. START'!$C$19)-MONTH('2. START'!$C$18)+1)</f>
        <v>0</v>
      </c>
      <c r="D98" s="934">
        <f>(('5. PERSON'!$G94+'5. PERSON'!$H94+'5. PERSON'!$I94+'5. PERSON'!$J94+'5. PERSON'!$K94+'5. PERSON'!$L94+'5. PERSON'!$M94+'5. PERSON'!$N94+'5. PERSON'!$O94+'5. PERSON'!$P94)*(1-'5. PERSON'!E94))/((YEAR('2. START'!$C$19)-YEAR('2. START'!$C$18))*12+MONTH('2. START'!$C$19)-MONTH('2. START'!$C$18)+1)</f>
        <v>0</v>
      </c>
      <c r="E98" s="98">
        <f>'5. PERSON'!AT94</f>
        <v>0</v>
      </c>
      <c r="F98" s="98">
        <f>'5. PERSON'!AU94</f>
        <v>0</v>
      </c>
      <c r="G98" s="98">
        <f>'5. PERSON'!AV94</f>
        <v>0</v>
      </c>
      <c r="H98" s="98">
        <f>'5. PERSON'!AW94</f>
        <v>0</v>
      </c>
      <c r="I98" s="98">
        <f>'5. PERSON'!AX94</f>
        <v>0</v>
      </c>
      <c r="J98" s="98">
        <f>'5. PERSON'!AY94</f>
        <v>0</v>
      </c>
      <c r="K98" s="98">
        <f>'5. PERSON'!AZ94</f>
        <v>0</v>
      </c>
      <c r="L98" s="98">
        <f>'5. PERSON'!BA94</f>
        <v>0</v>
      </c>
      <c r="M98" s="98">
        <f>'5. PERSON'!BB94</f>
        <v>0</v>
      </c>
      <c r="N98" s="98">
        <f>'5. PERSON'!BC94</f>
        <v>0</v>
      </c>
      <c r="O98" s="98">
        <f>'5. PERSON'!BD94</f>
        <v>0</v>
      </c>
      <c r="P98" s="98">
        <f>'5. PERSON'!BF94</f>
        <v>0</v>
      </c>
      <c r="Q98" s="98">
        <f>'5. PERSON'!BG94</f>
        <v>0</v>
      </c>
      <c r="R98" s="98">
        <f>'5. PERSON'!BH94</f>
        <v>0</v>
      </c>
      <c r="S98" s="98">
        <f>'5. PERSON'!BI94</f>
        <v>0</v>
      </c>
      <c r="T98" s="98">
        <f>'5. PERSON'!BJ94</f>
        <v>0</v>
      </c>
      <c r="U98" s="98">
        <f>'5. PERSON'!BK94</f>
        <v>0</v>
      </c>
      <c r="V98" s="98">
        <f>'5. PERSON'!BL94</f>
        <v>0</v>
      </c>
      <c r="W98" s="98">
        <f>'5. PERSON'!BM94</f>
        <v>0</v>
      </c>
      <c r="X98" s="98">
        <f>'5. PERSON'!BN94</f>
        <v>0</v>
      </c>
      <c r="Y98" s="98">
        <f>'5. PERSON'!BO94</f>
        <v>0</v>
      </c>
      <c r="Z98" s="98">
        <f t="shared" si="2"/>
        <v>0</v>
      </c>
    </row>
    <row r="99" spans="2:26" s="37" customFormat="1" ht="13.5" customHeight="1" x14ac:dyDescent="0.2">
      <c r="B99" s="206" t="str">
        <f>IF('5. PERSON'!C95="","",'5. PERSON'!C95)</f>
        <v/>
      </c>
      <c r="C99" s="933">
        <f>('5. PERSON'!G95+'5. PERSON'!H95+'5. PERSON'!I95+'5. PERSON'!J95+'5. PERSON'!K95+'5. PERSON'!L95+'5. PERSON'!M95+'5. PERSON'!N95+'5. PERSON'!O95+'5. PERSON'!P95)/((YEAR('2. START'!$C$19)-YEAR('2. START'!$C$18))*12+MONTH('2. START'!$C$19)-MONTH('2. START'!$C$18)+1)</f>
        <v>0</v>
      </c>
      <c r="D99" s="933">
        <f>(('5. PERSON'!$G95+'5. PERSON'!$H95+'5. PERSON'!$I95+'5. PERSON'!$J95+'5. PERSON'!$K95+'5. PERSON'!$L95+'5. PERSON'!$M95+'5. PERSON'!$N95+'5. PERSON'!$O95+'5. PERSON'!$P95)*(1-'5. PERSON'!E95))/((YEAR('2. START'!$C$19)-YEAR('2. START'!$C$18))*12+MONTH('2. START'!$C$19)-MONTH('2. START'!$C$18)+1)</f>
        <v>0</v>
      </c>
      <c r="E99" s="87">
        <f>'5. PERSON'!AT95</f>
        <v>0</v>
      </c>
      <c r="F99" s="87">
        <f>'5. PERSON'!AU95</f>
        <v>0</v>
      </c>
      <c r="G99" s="87">
        <f>'5. PERSON'!AV95</f>
        <v>0</v>
      </c>
      <c r="H99" s="87">
        <f>'5. PERSON'!AW95</f>
        <v>0</v>
      </c>
      <c r="I99" s="87">
        <f>'5. PERSON'!AX95</f>
        <v>0</v>
      </c>
      <c r="J99" s="87">
        <f>'5. PERSON'!AY95</f>
        <v>0</v>
      </c>
      <c r="K99" s="87">
        <f>'5. PERSON'!AZ95</f>
        <v>0</v>
      </c>
      <c r="L99" s="87">
        <f>'5. PERSON'!BA95</f>
        <v>0</v>
      </c>
      <c r="M99" s="87">
        <f>'5. PERSON'!BB95</f>
        <v>0</v>
      </c>
      <c r="N99" s="87">
        <f>'5. PERSON'!BC95</f>
        <v>0</v>
      </c>
      <c r="O99" s="87">
        <f>'5. PERSON'!BD95</f>
        <v>0</v>
      </c>
      <c r="P99" s="87">
        <f>'5. PERSON'!BF95</f>
        <v>0</v>
      </c>
      <c r="Q99" s="87">
        <f>'5. PERSON'!BG95</f>
        <v>0</v>
      </c>
      <c r="R99" s="87">
        <f>'5. PERSON'!BH95</f>
        <v>0</v>
      </c>
      <c r="S99" s="87">
        <f>'5. PERSON'!BI95</f>
        <v>0</v>
      </c>
      <c r="T99" s="87">
        <f>'5. PERSON'!BJ95</f>
        <v>0</v>
      </c>
      <c r="U99" s="87">
        <f>'5. PERSON'!BK95</f>
        <v>0</v>
      </c>
      <c r="V99" s="87">
        <f>'5. PERSON'!BL95</f>
        <v>0</v>
      </c>
      <c r="W99" s="87">
        <f>'5. PERSON'!BM95</f>
        <v>0</v>
      </c>
      <c r="X99" s="87">
        <f>'5. PERSON'!BN95</f>
        <v>0</v>
      </c>
      <c r="Y99" s="87">
        <f>'5. PERSON'!BO95</f>
        <v>0</v>
      </c>
      <c r="Z99" s="87">
        <f t="shared" si="2"/>
        <v>0</v>
      </c>
    </row>
    <row r="100" spans="2:26" s="37" customFormat="1" ht="13.5" customHeight="1" x14ac:dyDescent="0.2">
      <c r="B100" s="214" t="str">
        <f>IF('5. PERSON'!C96="","",'5. PERSON'!C96)</f>
        <v/>
      </c>
      <c r="C100" s="934">
        <f>('5. PERSON'!G96+'5. PERSON'!H96+'5. PERSON'!I96+'5. PERSON'!J96+'5. PERSON'!K96+'5. PERSON'!L96+'5. PERSON'!M96+'5. PERSON'!N96+'5. PERSON'!O96+'5. PERSON'!P96)/((YEAR('2. START'!$C$19)-YEAR('2. START'!$C$18))*12+MONTH('2. START'!$C$19)-MONTH('2. START'!$C$18)+1)</f>
        <v>0</v>
      </c>
      <c r="D100" s="934">
        <f>(('5. PERSON'!$G96+'5. PERSON'!$H96+'5. PERSON'!$I96+'5. PERSON'!$J96+'5. PERSON'!$K96+'5. PERSON'!$L96+'5. PERSON'!$M96+'5. PERSON'!$N96+'5. PERSON'!$O96+'5. PERSON'!$P96)*(1-'5. PERSON'!E96))/((YEAR('2. START'!$C$19)-YEAR('2. START'!$C$18))*12+MONTH('2. START'!$C$19)-MONTH('2. START'!$C$18)+1)</f>
        <v>0</v>
      </c>
      <c r="E100" s="98">
        <f>'5. PERSON'!AT96</f>
        <v>0</v>
      </c>
      <c r="F100" s="98">
        <f>'5. PERSON'!AU96</f>
        <v>0</v>
      </c>
      <c r="G100" s="98">
        <f>'5. PERSON'!AV96</f>
        <v>0</v>
      </c>
      <c r="H100" s="98">
        <f>'5. PERSON'!AW96</f>
        <v>0</v>
      </c>
      <c r="I100" s="98">
        <f>'5. PERSON'!AX96</f>
        <v>0</v>
      </c>
      <c r="J100" s="98">
        <f>'5. PERSON'!AY96</f>
        <v>0</v>
      </c>
      <c r="K100" s="98">
        <f>'5. PERSON'!AZ96</f>
        <v>0</v>
      </c>
      <c r="L100" s="98">
        <f>'5. PERSON'!BA96</f>
        <v>0</v>
      </c>
      <c r="M100" s="98">
        <f>'5. PERSON'!BB96</f>
        <v>0</v>
      </c>
      <c r="N100" s="98">
        <f>'5. PERSON'!BC96</f>
        <v>0</v>
      </c>
      <c r="O100" s="98">
        <f>'5. PERSON'!BD96</f>
        <v>0</v>
      </c>
      <c r="P100" s="98">
        <f>'5. PERSON'!BF96</f>
        <v>0</v>
      </c>
      <c r="Q100" s="98">
        <f>'5. PERSON'!BG96</f>
        <v>0</v>
      </c>
      <c r="R100" s="98">
        <f>'5. PERSON'!BH96</f>
        <v>0</v>
      </c>
      <c r="S100" s="98">
        <f>'5. PERSON'!BI96</f>
        <v>0</v>
      </c>
      <c r="T100" s="98">
        <f>'5. PERSON'!BJ96</f>
        <v>0</v>
      </c>
      <c r="U100" s="98">
        <f>'5. PERSON'!BK96</f>
        <v>0</v>
      </c>
      <c r="V100" s="98">
        <f>'5. PERSON'!BL96</f>
        <v>0</v>
      </c>
      <c r="W100" s="98">
        <f>'5. PERSON'!BM96</f>
        <v>0</v>
      </c>
      <c r="X100" s="98">
        <f>'5. PERSON'!BN96</f>
        <v>0</v>
      </c>
      <c r="Y100" s="98">
        <f>'5. PERSON'!BO96</f>
        <v>0</v>
      </c>
      <c r="Z100" s="98">
        <f t="shared" si="2"/>
        <v>0</v>
      </c>
    </row>
    <row r="101" spans="2:26" s="37" customFormat="1" ht="13.5" customHeight="1" x14ac:dyDescent="0.2">
      <c r="B101" s="206" t="str">
        <f>IF('5. PERSON'!C97="","",'5. PERSON'!C97)</f>
        <v/>
      </c>
      <c r="C101" s="933">
        <f>('5. PERSON'!G97+'5. PERSON'!H97+'5. PERSON'!I97+'5. PERSON'!J97+'5. PERSON'!K97+'5. PERSON'!L97+'5. PERSON'!M97+'5. PERSON'!N97+'5. PERSON'!O97+'5. PERSON'!P97)/((YEAR('2. START'!$C$19)-YEAR('2. START'!$C$18))*12+MONTH('2. START'!$C$19)-MONTH('2. START'!$C$18)+1)</f>
        <v>0</v>
      </c>
      <c r="D101" s="933">
        <f>(('5. PERSON'!$G97+'5. PERSON'!$H97+'5. PERSON'!$I97+'5. PERSON'!$J97+'5. PERSON'!$K97+'5. PERSON'!$L97+'5. PERSON'!$M97+'5. PERSON'!$N97+'5. PERSON'!$O97+'5. PERSON'!$P97)*(1-'5. PERSON'!E97))/((YEAR('2. START'!$C$19)-YEAR('2. START'!$C$18))*12+MONTH('2. START'!$C$19)-MONTH('2. START'!$C$18)+1)</f>
        <v>0</v>
      </c>
      <c r="E101" s="87">
        <f>'5. PERSON'!AT97</f>
        <v>0</v>
      </c>
      <c r="F101" s="87">
        <f>'5. PERSON'!AU97</f>
        <v>0</v>
      </c>
      <c r="G101" s="87">
        <f>'5. PERSON'!AV97</f>
        <v>0</v>
      </c>
      <c r="H101" s="87">
        <f>'5. PERSON'!AW97</f>
        <v>0</v>
      </c>
      <c r="I101" s="87">
        <f>'5. PERSON'!AX97</f>
        <v>0</v>
      </c>
      <c r="J101" s="87">
        <f>'5. PERSON'!AY97</f>
        <v>0</v>
      </c>
      <c r="K101" s="87">
        <f>'5. PERSON'!AZ97</f>
        <v>0</v>
      </c>
      <c r="L101" s="87">
        <f>'5. PERSON'!BA97</f>
        <v>0</v>
      </c>
      <c r="M101" s="87">
        <f>'5. PERSON'!BB97</f>
        <v>0</v>
      </c>
      <c r="N101" s="87">
        <f>'5. PERSON'!BC97</f>
        <v>0</v>
      </c>
      <c r="O101" s="87">
        <f>'5. PERSON'!BD97</f>
        <v>0</v>
      </c>
      <c r="P101" s="87">
        <f>'5. PERSON'!BF97</f>
        <v>0</v>
      </c>
      <c r="Q101" s="87">
        <f>'5. PERSON'!BG97</f>
        <v>0</v>
      </c>
      <c r="R101" s="87">
        <f>'5. PERSON'!BH97</f>
        <v>0</v>
      </c>
      <c r="S101" s="87">
        <f>'5. PERSON'!BI97</f>
        <v>0</v>
      </c>
      <c r="T101" s="87">
        <f>'5. PERSON'!BJ97</f>
        <v>0</v>
      </c>
      <c r="U101" s="87">
        <f>'5. PERSON'!BK97</f>
        <v>0</v>
      </c>
      <c r="V101" s="87">
        <f>'5. PERSON'!BL97</f>
        <v>0</v>
      </c>
      <c r="W101" s="87">
        <f>'5. PERSON'!BM97</f>
        <v>0</v>
      </c>
      <c r="X101" s="87">
        <f>'5. PERSON'!BN97</f>
        <v>0</v>
      </c>
      <c r="Y101" s="87">
        <f>'5. PERSON'!BO97</f>
        <v>0</v>
      </c>
      <c r="Z101" s="87">
        <f t="shared" si="2"/>
        <v>0</v>
      </c>
    </row>
    <row r="102" spans="2:26" s="37" customFormat="1" ht="13.5" customHeight="1" x14ac:dyDescent="0.2">
      <c r="B102" s="214" t="str">
        <f>IF('5. PERSON'!C98="","",'5. PERSON'!C98)</f>
        <v/>
      </c>
      <c r="C102" s="934">
        <f>('5. PERSON'!G98+'5. PERSON'!H98+'5. PERSON'!I98+'5. PERSON'!J98+'5. PERSON'!K98+'5. PERSON'!L98+'5. PERSON'!M98+'5. PERSON'!N98+'5. PERSON'!O98+'5. PERSON'!P98)/((YEAR('2. START'!$C$19)-YEAR('2. START'!$C$18))*12+MONTH('2. START'!$C$19)-MONTH('2. START'!$C$18)+1)</f>
        <v>0</v>
      </c>
      <c r="D102" s="934">
        <f>(('5. PERSON'!$G98+'5. PERSON'!$H98+'5. PERSON'!$I98+'5. PERSON'!$J98+'5. PERSON'!$K98+'5. PERSON'!$L98+'5. PERSON'!$M98+'5. PERSON'!$N98+'5. PERSON'!$O98+'5. PERSON'!$P98)*(1-'5. PERSON'!E98))/((YEAR('2. START'!$C$19)-YEAR('2. START'!$C$18))*12+MONTH('2. START'!$C$19)-MONTH('2. START'!$C$18)+1)</f>
        <v>0</v>
      </c>
      <c r="E102" s="98">
        <f>'5. PERSON'!AT98</f>
        <v>0</v>
      </c>
      <c r="F102" s="98">
        <f>'5. PERSON'!AU98</f>
        <v>0</v>
      </c>
      <c r="G102" s="98">
        <f>'5. PERSON'!AV98</f>
        <v>0</v>
      </c>
      <c r="H102" s="98">
        <f>'5. PERSON'!AW98</f>
        <v>0</v>
      </c>
      <c r="I102" s="98">
        <f>'5. PERSON'!AX98</f>
        <v>0</v>
      </c>
      <c r="J102" s="98">
        <f>'5. PERSON'!AY98</f>
        <v>0</v>
      </c>
      <c r="K102" s="98">
        <f>'5. PERSON'!AZ98</f>
        <v>0</v>
      </c>
      <c r="L102" s="98">
        <f>'5. PERSON'!BA98</f>
        <v>0</v>
      </c>
      <c r="M102" s="98">
        <f>'5. PERSON'!BB98</f>
        <v>0</v>
      </c>
      <c r="N102" s="98">
        <f>'5. PERSON'!BC98</f>
        <v>0</v>
      </c>
      <c r="O102" s="98">
        <f>'5. PERSON'!BD98</f>
        <v>0</v>
      </c>
      <c r="P102" s="98">
        <f>'5. PERSON'!BF98</f>
        <v>0</v>
      </c>
      <c r="Q102" s="98">
        <f>'5. PERSON'!BG98</f>
        <v>0</v>
      </c>
      <c r="R102" s="98">
        <f>'5. PERSON'!BH98</f>
        <v>0</v>
      </c>
      <c r="S102" s="98">
        <f>'5. PERSON'!BI98</f>
        <v>0</v>
      </c>
      <c r="T102" s="98">
        <f>'5. PERSON'!BJ98</f>
        <v>0</v>
      </c>
      <c r="U102" s="98">
        <f>'5. PERSON'!BK98</f>
        <v>0</v>
      </c>
      <c r="V102" s="98">
        <f>'5. PERSON'!BL98</f>
        <v>0</v>
      </c>
      <c r="W102" s="98">
        <f>'5. PERSON'!BM98</f>
        <v>0</v>
      </c>
      <c r="X102" s="98">
        <f>'5. PERSON'!BN98</f>
        <v>0</v>
      </c>
      <c r="Y102" s="98">
        <f>'5. PERSON'!BO98</f>
        <v>0</v>
      </c>
      <c r="Z102" s="98">
        <f t="shared" si="2"/>
        <v>0</v>
      </c>
    </row>
    <row r="103" spans="2:26" s="37" customFormat="1" ht="13.5" customHeight="1" x14ac:dyDescent="0.2">
      <c r="B103" s="206" t="str">
        <f>IF('5. PERSON'!C99="","",'5. PERSON'!C99)</f>
        <v/>
      </c>
      <c r="C103" s="933">
        <f>('5. PERSON'!G99+'5. PERSON'!H99+'5. PERSON'!I99+'5. PERSON'!J99+'5. PERSON'!K99+'5. PERSON'!L99+'5. PERSON'!M99+'5. PERSON'!N99+'5. PERSON'!O99+'5. PERSON'!P99)/((YEAR('2. START'!$C$19)-YEAR('2. START'!$C$18))*12+MONTH('2. START'!$C$19)-MONTH('2. START'!$C$18)+1)</f>
        <v>0</v>
      </c>
      <c r="D103" s="933">
        <f>(('5. PERSON'!$G99+'5. PERSON'!$H99+'5. PERSON'!$I99+'5. PERSON'!$J99+'5. PERSON'!$K99+'5. PERSON'!$L99+'5. PERSON'!$M99+'5. PERSON'!$N99+'5. PERSON'!$O99+'5. PERSON'!$P99)*(1-'5. PERSON'!E99))/((YEAR('2. START'!$C$19)-YEAR('2. START'!$C$18))*12+MONTH('2. START'!$C$19)-MONTH('2. START'!$C$18)+1)</f>
        <v>0</v>
      </c>
      <c r="E103" s="87">
        <f>'5. PERSON'!AT99</f>
        <v>0</v>
      </c>
      <c r="F103" s="87">
        <f>'5. PERSON'!AU99</f>
        <v>0</v>
      </c>
      <c r="G103" s="87">
        <f>'5. PERSON'!AV99</f>
        <v>0</v>
      </c>
      <c r="H103" s="87">
        <f>'5. PERSON'!AW99</f>
        <v>0</v>
      </c>
      <c r="I103" s="87">
        <f>'5. PERSON'!AX99</f>
        <v>0</v>
      </c>
      <c r="J103" s="87">
        <f>'5. PERSON'!AY99</f>
        <v>0</v>
      </c>
      <c r="K103" s="87">
        <f>'5. PERSON'!AZ99</f>
        <v>0</v>
      </c>
      <c r="L103" s="87">
        <f>'5. PERSON'!BA99</f>
        <v>0</v>
      </c>
      <c r="M103" s="87">
        <f>'5. PERSON'!BB99</f>
        <v>0</v>
      </c>
      <c r="N103" s="87">
        <f>'5. PERSON'!BC99</f>
        <v>0</v>
      </c>
      <c r="O103" s="87">
        <f>'5. PERSON'!BD99</f>
        <v>0</v>
      </c>
      <c r="P103" s="87">
        <f>'5. PERSON'!BF99</f>
        <v>0</v>
      </c>
      <c r="Q103" s="87">
        <f>'5. PERSON'!BG99</f>
        <v>0</v>
      </c>
      <c r="R103" s="87">
        <f>'5. PERSON'!BH99</f>
        <v>0</v>
      </c>
      <c r="S103" s="87">
        <f>'5. PERSON'!BI99</f>
        <v>0</v>
      </c>
      <c r="T103" s="87">
        <f>'5. PERSON'!BJ99</f>
        <v>0</v>
      </c>
      <c r="U103" s="87">
        <f>'5. PERSON'!BK99</f>
        <v>0</v>
      </c>
      <c r="V103" s="87">
        <f>'5. PERSON'!BL99</f>
        <v>0</v>
      </c>
      <c r="W103" s="87">
        <f>'5. PERSON'!BM99</f>
        <v>0</v>
      </c>
      <c r="X103" s="87">
        <f>'5. PERSON'!BN99</f>
        <v>0</v>
      </c>
      <c r="Y103" s="87">
        <f>'5. PERSON'!BO99</f>
        <v>0</v>
      </c>
      <c r="Z103" s="87">
        <f t="shared" si="2"/>
        <v>0</v>
      </c>
    </row>
    <row r="104" spans="2:26" s="37" customFormat="1" ht="13.5" customHeight="1" x14ac:dyDescent="0.2">
      <c r="B104" s="214" t="str">
        <f>IF('5. PERSON'!C100="","",'5. PERSON'!C100)</f>
        <v/>
      </c>
      <c r="C104" s="934">
        <f>('5. PERSON'!G100+'5. PERSON'!H100+'5. PERSON'!I100+'5. PERSON'!J100+'5. PERSON'!K100+'5. PERSON'!L100+'5. PERSON'!M100+'5. PERSON'!N100+'5. PERSON'!O100+'5. PERSON'!P100)/((YEAR('2. START'!$C$19)-YEAR('2. START'!$C$18))*12+MONTH('2. START'!$C$19)-MONTH('2. START'!$C$18)+1)</f>
        <v>0</v>
      </c>
      <c r="D104" s="934">
        <f>(('5. PERSON'!$G100+'5. PERSON'!$H100+'5. PERSON'!$I100+'5. PERSON'!$J100+'5. PERSON'!$K100+'5. PERSON'!$L100+'5. PERSON'!$M100+'5. PERSON'!$N100+'5. PERSON'!$O100+'5. PERSON'!$P100)*(1-'5. PERSON'!E100))/((YEAR('2. START'!$C$19)-YEAR('2. START'!$C$18))*12+MONTH('2. START'!$C$19)-MONTH('2. START'!$C$18)+1)</f>
        <v>0</v>
      </c>
      <c r="E104" s="98">
        <f>'5. PERSON'!AT100</f>
        <v>0</v>
      </c>
      <c r="F104" s="98">
        <f>'5. PERSON'!AU100</f>
        <v>0</v>
      </c>
      <c r="G104" s="98">
        <f>'5. PERSON'!AV100</f>
        <v>0</v>
      </c>
      <c r="H104" s="98">
        <f>'5. PERSON'!AW100</f>
        <v>0</v>
      </c>
      <c r="I104" s="98">
        <f>'5. PERSON'!AX100</f>
        <v>0</v>
      </c>
      <c r="J104" s="98">
        <f>'5. PERSON'!AY100</f>
        <v>0</v>
      </c>
      <c r="K104" s="98">
        <f>'5. PERSON'!AZ100</f>
        <v>0</v>
      </c>
      <c r="L104" s="98">
        <f>'5. PERSON'!BA100</f>
        <v>0</v>
      </c>
      <c r="M104" s="98">
        <f>'5. PERSON'!BB100</f>
        <v>0</v>
      </c>
      <c r="N104" s="98">
        <f>'5. PERSON'!BC100</f>
        <v>0</v>
      </c>
      <c r="O104" s="98">
        <f>'5. PERSON'!BD100</f>
        <v>0</v>
      </c>
      <c r="P104" s="98">
        <f>'5. PERSON'!BF100</f>
        <v>0</v>
      </c>
      <c r="Q104" s="98">
        <f>'5. PERSON'!BG100</f>
        <v>0</v>
      </c>
      <c r="R104" s="98">
        <f>'5. PERSON'!BH100</f>
        <v>0</v>
      </c>
      <c r="S104" s="98">
        <f>'5. PERSON'!BI100</f>
        <v>0</v>
      </c>
      <c r="T104" s="98">
        <f>'5. PERSON'!BJ100</f>
        <v>0</v>
      </c>
      <c r="U104" s="98">
        <f>'5. PERSON'!BK100</f>
        <v>0</v>
      </c>
      <c r="V104" s="98">
        <f>'5. PERSON'!BL100</f>
        <v>0</v>
      </c>
      <c r="W104" s="98">
        <f>'5. PERSON'!BM100</f>
        <v>0</v>
      </c>
      <c r="X104" s="98">
        <f>'5. PERSON'!BN100</f>
        <v>0</v>
      </c>
      <c r="Y104" s="98">
        <f>'5. PERSON'!BO100</f>
        <v>0</v>
      </c>
      <c r="Z104" s="98">
        <f t="shared" si="2"/>
        <v>0</v>
      </c>
    </row>
    <row r="105" spans="2:26" s="37" customFormat="1" ht="13.5" customHeight="1" x14ac:dyDescent="0.2">
      <c r="B105" s="206" t="str">
        <f>IF('5. PERSON'!C101="","",'5. PERSON'!C101)</f>
        <v/>
      </c>
      <c r="C105" s="933">
        <f>('5. PERSON'!G101+'5. PERSON'!H101+'5. PERSON'!I101+'5. PERSON'!J101+'5. PERSON'!K101+'5. PERSON'!L101+'5. PERSON'!M101+'5. PERSON'!N101+'5. PERSON'!O101+'5. PERSON'!P101)/((YEAR('2. START'!$C$19)-YEAR('2. START'!$C$18))*12+MONTH('2. START'!$C$19)-MONTH('2. START'!$C$18)+1)</f>
        <v>0</v>
      </c>
      <c r="D105" s="933">
        <f>(('5. PERSON'!$G101+'5. PERSON'!$H101+'5. PERSON'!$I101+'5. PERSON'!$J101+'5. PERSON'!$K101+'5. PERSON'!$L101+'5. PERSON'!$M101+'5. PERSON'!$N101+'5. PERSON'!$O101+'5. PERSON'!$P101)*(1-'5. PERSON'!E101))/((YEAR('2. START'!$C$19)-YEAR('2. START'!$C$18))*12+MONTH('2. START'!$C$19)-MONTH('2. START'!$C$18)+1)</f>
        <v>0</v>
      </c>
      <c r="E105" s="87">
        <f>'5. PERSON'!AT101</f>
        <v>0</v>
      </c>
      <c r="F105" s="87">
        <f>'5. PERSON'!AU101</f>
        <v>0</v>
      </c>
      <c r="G105" s="87">
        <f>'5. PERSON'!AV101</f>
        <v>0</v>
      </c>
      <c r="H105" s="87">
        <f>'5. PERSON'!AW101</f>
        <v>0</v>
      </c>
      <c r="I105" s="87">
        <f>'5. PERSON'!AX101</f>
        <v>0</v>
      </c>
      <c r="J105" s="87">
        <f>'5. PERSON'!AY101</f>
        <v>0</v>
      </c>
      <c r="K105" s="87">
        <f>'5. PERSON'!AZ101</f>
        <v>0</v>
      </c>
      <c r="L105" s="87">
        <f>'5. PERSON'!BA101</f>
        <v>0</v>
      </c>
      <c r="M105" s="87">
        <f>'5. PERSON'!BB101</f>
        <v>0</v>
      </c>
      <c r="N105" s="87">
        <f>'5. PERSON'!BC101</f>
        <v>0</v>
      </c>
      <c r="O105" s="87">
        <f>'5. PERSON'!BD101</f>
        <v>0</v>
      </c>
      <c r="P105" s="87">
        <f>'5. PERSON'!BF101</f>
        <v>0</v>
      </c>
      <c r="Q105" s="87">
        <f>'5. PERSON'!BG101</f>
        <v>0</v>
      </c>
      <c r="R105" s="87">
        <f>'5. PERSON'!BH101</f>
        <v>0</v>
      </c>
      <c r="S105" s="87">
        <f>'5. PERSON'!BI101</f>
        <v>0</v>
      </c>
      <c r="T105" s="87">
        <f>'5. PERSON'!BJ101</f>
        <v>0</v>
      </c>
      <c r="U105" s="87">
        <f>'5. PERSON'!BK101</f>
        <v>0</v>
      </c>
      <c r="V105" s="87">
        <f>'5. PERSON'!BL101</f>
        <v>0</v>
      </c>
      <c r="W105" s="87">
        <f>'5. PERSON'!BM101</f>
        <v>0</v>
      </c>
      <c r="X105" s="87">
        <f>'5. PERSON'!BN101</f>
        <v>0</v>
      </c>
      <c r="Y105" s="87">
        <f>'5. PERSON'!BO101</f>
        <v>0</v>
      </c>
      <c r="Z105" s="87">
        <f t="shared" si="2"/>
        <v>0</v>
      </c>
    </row>
    <row r="106" spans="2:26" s="37" customFormat="1" ht="13.5" customHeight="1" x14ac:dyDescent="0.2">
      <c r="B106" s="214" t="str">
        <f>IF('5. PERSON'!C102="","",'5. PERSON'!C102)</f>
        <v/>
      </c>
      <c r="C106" s="934">
        <f>('5. PERSON'!G102+'5. PERSON'!H102+'5. PERSON'!I102+'5. PERSON'!J102+'5. PERSON'!K102+'5. PERSON'!L102+'5. PERSON'!M102+'5. PERSON'!N102+'5. PERSON'!O102+'5. PERSON'!P102)/((YEAR('2. START'!$C$19)-YEAR('2. START'!$C$18))*12+MONTH('2. START'!$C$19)-MONTH('2. START'!$C$18)+1)</f>
        <v>0</v>
      </c>
      <c r="D106" s="934">
        <f>(('5. PERSON'!$G102+'5. PERSON'!$H102+'5. PERSON'!$I102+'5. PERSON'!$J102+'5. PERSON'!$K102+'5. PERSON'!$L102+'5. PERSON'!$M102+'5. PERSON'!$N102+'5. PERSON'!$O102+'5. PERSON'!$P102)*(1-'5. PERSON'!E102))/((YEAR('2. START'!$C$19)-YEAR('2. START'!$C$18))*12+MONTH('2. START'!$C$19)-MONTH('2. START'!$C$18)+1)</f>
        <v>0</v>
      </c>
      <c r="E106" s="98">
        <f>'5. PERSON'!AT102</f>
        <v>0</v>
      </c>
      <c r="F106" s="98">
        <f>'5. PERSON'!AU102</f>
        <v>0</v>
      </c>
      <c r="G106" s="98">
        <f>'5. PERSON'!AV102</f>
        <v>0</v>
      </c>
      <c r="H106" s="98">
        <f>'5. PERSON'!AW102</f>
        <v>0</v>
      </c>
      <c r="I106" s="98">
        <f>'5. PERSON'!AX102</f>
        <v>0</v>
      </c>
      <c r="J106" s="98">
        <f>'5. PERSON'!AY102</f>
        <v>0</v>
      </c>
      <c r="K106" s="98">
        <f>'5. PERSON'!AZ102</f>
        <v>0</v>
      </c>
      <c r="L106" s="98">
        <f>'5. PERSON'!BA102</f>
        <v>0</v>
      </c>
      <c r="M106" s="98">
        <f>'5. PERSON'!BB102</f>
        <v>0</v>
      </c>
      <c r="N106" s="98">
        <f>'5. PERSON'!BC102</f>
        <v>0</v>
      </c>
      <c r="O106" s="98">
        <f>'5. PERSON'!BD102</f>
        <v>0</v>
      </c>
      <c r="P106" s="98">
        <f>'5. PERSON'!BF102</f>
        <v>0</v>
      </c>
      <c r="Q106" s="98">
        <f>'5. PERSON'!BG102</f>
        <v>0</v>
      </c>
      <c r="R106" s="98">
        <f>'5. PERSON'!BH102</f>
        <v>0</v>
      </c>
      <c r="S106" s="98">
        <f>'5. PERSON'!BI102</f>
        <v>0</v>
      </c>
      <c r="T106" s="98">
        <f>'5. PERSON'!BJ102</f>
        <v>0</v>
      </c>
      <c r="U106" s="98">
        <f>'5. PERSON'!BK102</f>
        <v>0</v>
      </c>
      <c r="V106" s="98">
        <f>'5. PERSON'!BL102</f>
        <v>0</v>
      </c>
      <c r="W106" s="98">
        <f>'5. PERSON'!BM102</f>
        <v>0</v>
      </c>
      <c r="X106" s="98">
        <f>'5. PERSON'!BN102</f>
        <v>0</v>
      </c>
      <c r="Y106" s="98">
        <f>'5. PERSON'!BO102</f>
        <v>0</v>
      </c>
      <c r="Z106" s="98">
        <f t="shared" si="2"/>
        <v>0</v>
      </c>
    </row>
    <row r="107" spans="2:26" s="37" customFormat="1" ht="13.5" customHeight="1" x14ac:dyDescent="0.2">
      <c r="B107" s="206" t="str">
        <f>IF('5. PERSON'!C103="","",'5. PERSON'!C103)</f>
        <v/>
      </c>
      <c r="C107" s="933">
        <f>('5. PERSON'!G103+'5. PERSON'!H103+'5. PERSON'!I103+'5. PERSON'!J103+'5. PERSON'!K103+'5. PERSON'!L103+'5. PERSON'!M103+'5. PERSON'!N103+'5. PERSON'!O103+'5. PERSON'!P103)/((YEAR('2. START'!$C$19)-YEAR('2. START'!$C$18))*12+MONTH('2. START'!$C$19)-MONTH('2. START'!$C$18)+1)</f>
        <v>0</v>
      </c>
      <c r="D107" s="933">
        <f>(('5. PERSON'!$G103+'5. PERSON'!$H103+'5. PERSON'!$I103+'5. PERSON'!$J103+'5. PERSON'!$K103+'5. PERSON'!$L103+'5. PERSON'!$M103+'5. PERSON'!$N103+'5. PERSON'!$O103+'5. PERSON'!$P103)*(1-'5. PERSON'!E103))/((YEAR('2. START'!$C$19)-YEAR('2. START'!$C$18))*12+MONTH('2. START'!$C$19)-MONTH('2. START'!$C$18)+1)</f>
        <v>0</v>
      </c>
      <c r="E107" s="87">
        <f>'5. PERSON'!AT103</f>
        <v>0</v>
      </c>
      <c r="F107" s="87">
        <f>'5. PERSON'!AU103</f>
        <v>0</v>
      </c>
      <c r="G107" s="87">
        <f>'5. PERSON'!AV103</f>
        <v>0</v>
      </c>
      <c r="H107" s="87">
        <f>'5. PERSON'!AW103</f>
        <v>0</v>
      </c>
      <c r="I107" s="87">
        <f>'5. PERSON'!AX103</f>
        <v>0</v>
      </c>
      <c r="J107" s="87">
        <f>'5. PERSON'!AY103</f>
        <v>0</v>
      </c>
      <c r="K107" s="87">
        <f>'5. PERSON'!AZ103</f>
        <v>0</v>
      </c>
      <c r="L107" s="87">
        <f>'5. PERSON'!BA103</f>
        <v>0</v>
      </c>
      <c r="M107" s="87">
        <f>'5. PERSON'!BB103</f>
        <v>0</v>
      </c>
      <c r="N107" s="87">
        <f>'5. PERSON'!BC103</f>
        <v>0</v>
      </c>
      <c r="O107" s="87">
        <f>'5. PERSON'!BD103</f>
        <v>0</v>
      </c>
      <c r="P107" s="87">
        <f>'5. PERSON'!BF103</f>
        <v>0</v>
      </c>
      <c r="Q107" s="87">
        <f>'5. PERSON'!BG103</f>
        <v>0</v>
      </c>
      <c r="R107" s="87">
        <f>'5. PERSON'!BH103</f>
        <v>0</v>
      </c>
      <c r="S107" s="87">
        <f>'5. PERSON'!BI103</f>
        <v>0</v>
      </c>
      <c r="T107" s="87">
        <f>'5. PERSON'!BJ103</f>
        <v>0</v>
      </c>
      <c r="U107" s="87">
        <f>'5. PERSON'!BK103</f>
        <v>0</v>
      </c>
      <c r="V107" s="87">
        <f>'5. PERSON'!BL103</f>
        <v>0</v>
      </c>
      <c r="W107" s="87">
        <f>'5. PERSON'!BM103</f>
        <v>0</v>
      </c>
      <c r="X107" s="87">
        <f>'5. PERSON'!BN103</f>
        <v>0</v>
      </c>
      <c r="Y107" s="87">
        <f>'5. PERSON'!BO103</f>
        <v>0</v>
      </c>
      <c r="Z107" s="87">
        <f t="shared" si="2"/>
        <v>0</v>
      </c>
    </row>
    <row r="108" spans="2:26" s="37" customFormat="1" ht="13.5" customHeight="1" x14ac:dyDescent="0.2">
      <c r="B108" s="214" t="str">
        <f>IF('5. PERSON'!C104="","",'5. PERSON'!C104)</f>
        <v/>
      </c>
      <c r="C108" s="934">
        <f>('5. PERSON'!G104+'5. PERSON'!H104+'5. PERSON'!I104+'5. PERSON'!J104+'5. PERSON'!K104+'5. PERSON'!L104+'5. PERSON'!M104+'5. PERSON'!N104+'5. PERSON'!O104+'5. PERSON'!P104)/((YEAR('2. START'!$C$19)-YEAR('2. START'!$C$18))*12+MONTH('2. START'!$C$19)-MONTH('2. START'!$C$18)+1)</f>
        <v>0</v>
      </c>
      <c r="D108" s="934">
        <f>(('5. PERSON'!$G104+'5. PERSON'!$H104+'5. PERSON'!$I104+'5. PERSON'!$J104+'5. PERSON'!$K104+'5. PERSON'!$L104+'5. PERSON'!$M104+'5. PERSON'!$N104+'5. PERSON'!$O104+'5. PERSON'!$P104)*(1-'5. PERSON'!E104))/((YEAR('2. START'!$C$19)-YEAR('2. START'!$C$18))*12+MONTH('2. START'!$C$19)-MONTH('2. START'!$C$18)+1)</f>
        <v>0</v>
      </c>
      <c r="E108" s="98">
        <f>'5. PERSON'!AT104</f>
        <v>0</v>
      </c>
      <c r="F108" s="98">
        <f>'5. PERSON'!AU104</f>
        <v>0</v>
      </c>
      <c r="G108" s="98">
        <f>'5. PERSON'!AV104</f>
        <v>0</v>
      </c>
      <c r="H108" s="98">
        <f>'5. PERSON'!AW104</f>
        <v>0</v>
      </c>
      <c r="I108" s="98">
        <f>'5. PERSON'!AX104</f>
        <v>0</v>
      </c>
      <c r="J108" s="98">
        <f>'5. PERSON'!AY104</f>
        <v>0</v>
      </c>
      <c r="K108" s="98">
        <f>'5. PERSON'!AZ104</f>
        <v>0</v>
      </c>
      <c r="L108" s="98">
        <f>'5. PERSON'!BA104</f>
        <v>0</v>
      </c>
      <c r="M108" s="98">
        <f>'5. PERSON'!BB104</f>
        <v>0</v>
      </c>
      <c r="N108" s="98">
        <f>'5. PERSON'!BC104</f>
        <v>0</v>
      </c>
      <c r="O108" s="98">
        <f>'5. PERSON'!BD104</f>
        <v>0</v>
      </c>
      <c r="P108" s="98">
        <f>'5. PERSON'!BF104</f>
        <v>0</v>
      </c>
      <c r="Q108" s="98">
        <f>'5. PERSON'!BG104</f>
        <v>0</v>
      </c>
      <c r="R108" s="98">
        <f>'5. PERSON'!BH104</f>
        <v>0</v>
      </c>
      <c r="S108" s="98">
        <f>'5. PERSON'!BI104</f>
        <v>0</v>
      </c>
      <c r="T108" s="98">
        <f>'5. PERSON'!BJ104</f>
        <v>0</v>
      </c>
      <c r="U108" s="98">
        <f>'5. PERSON'!BK104</f>
        <v>0</v>
      </c>
      <c r="V108" s="98">
        <f>'5. PERSON'!BL104</f>
        <v>0</v>
      </c>
      <c r="W108" s="98">
        <f>'5. PERSON'!BM104</f>
        <v>0</v>
      </c>
      <c r="X108" s="98">
        <f>'5. PERSON'!BN104</f>
        <v>0</v>
      </c>
      <c r="Y108" s="98">
        <f>'5. PERSON'!BO104</f>
        <v>0</v>
      </c>
      <c r="Z108" s="98">
        <f t="shared" si="2"/>
        <v>0</v>
      </c>
    </row>
    <row r="109" spans="2:26" s="37" customFormat="1" ht="13.5" customHeight="1" x14ac:dyDescent="0.2">
      <c r="B109" s="206" t="str">
        <f>IF('5. PERSON'!C105="","",'5. PERSON'!C105)</f>
        <v/>
      </c>
      <c r="C109" s="933">
        <f>('5. PERSON'!G105+'5. PERSON'!H105+'5. PERSON'!I105+'5. PERSON'!J105+'5. PERSON'!K105+'5. PERSON'!L105+'5. PERSON'!M105+'5. PERSON'!N105+'5. PERSON'!O105+'5. PERSON'!P105)/((YEAR('2. START'!$C$19)-YEAR('2. START'!$C$18))*12+MONTH('2. START'!$C$19)-MONTH('2. START'!$C$18)+1)</f>
        <v>0</v>
      </c>
      <c r="D109" s="933">
        <f>(('5. PERSON'!$G105+'5. PERSON'!$H105+'5. PERSON'!$I105+'5. PERSON'!$J105+'5. PERSON'!$K105+'5. PERSON'!$L105+'5. PERSON'!$M105+'5. PERSON'!$N105+'5. PERSON'!$O105+'5. PERSON'!$P105)*(1-'5. PERSON'!E105))/((YEAR('2. START'!$C$19)-YEAR('2. START'!$C$18))*12+MONTH('2. START'!$C$19)-MONTH('2. START'!$C$18)+1)</f>
        <v>0</v>
      </c>
      <c r="E109" s="87">
        <f>'5. PERSON'!AT105</f>
        <v>0</v>
      </c>
      <c r="F109" s="87">
        <f>'5. PERSON'!AU105</f>
        <v>0</v>
      </c>
      <c r="G109" s="87">
        <f>'5. PERSON'!AV105</f>
        <v>0</v>
      </c>
      <c r="H109" s="87">
        <f>'5. PERSON'!AW105</f>
        <v>0</v>
      </c>
      <c r="I109" s="87">
        <f>'5. PERSON'!AX105</f>
        <v>0</v>
      </c>
      <c r="J109" s="87">
        <f>'5. PERSON'!AY105</f>
        <v>0</v>
      </c>
      <c r="K109" s="87">
        <f>'5. PERSON'!AZ105</f>
        <v>0</v>
      </c>
      <c r="L109" s="87">
        <f>'5. PERSON'!BA105</f>
        <v>0</v>
      </c>
      <c r="M109" s="87">
        <f>'5. PERSON'!BB105</f>
        <v>0</v>
      </c>
      <c r="N109" s="87">
        <f>'5. PERSON'!BC105</f>
        <v>0</v>
      </c>
      <c r="O109" s="87">
        <f>'5. PERSON'!BD105</f>
        <v>0</v>
      </c>
      <c r="P109" s="87">
        <f>'5. PERSON'!BF105</f>
        <v>0</v>
      </c>
      <c r="Q109" s="87">
        <f>'5. PERSON'!BG105</f>
        <v>0</v>
      </c>
      <c r="R109" s="87">
        <f>'5. PERSON'!BH105</f>
        <v>0</v>
      </c>
      <c r="S109" s="87">
        <f>'5. PERSON'!BI105</f>
        <v>0</v>
      </c>
      <c r="T109" s="87">
        <f>'5. PERSON'!BJ105</f>
        <v>0</v>
      </c>
      <c r="U109" s="87">
        <f>'5. PERSON'!BK105</f>
        <v>0</v>
      </c>
      <c r="V109" s="87">
        <f>'5. PERSON'!BL105</f>
        <v>0</v>
      </c>
      <c r="W109" s="87">
        <f>'5. PERSON'!BM105</f>
        <v>0</v>
      </c>
      <c r="X109" s="87">
        <f>'5. PERSON'!BN105</f>
        <v>0</v>
      </c>
      <c r="Y109" s="87">
        <f>'5. PERSON'!BO105</f>
        <v>0</v>
      </c>
      <c r="Z109" s="87">
        <f t="shared" si="2"/>
        <v>0</v>
      </c>
    </row>
    <row r="110" spans="2:26" s="37" customFormat="1" ht="13.5" customHeight="1" x14ac:dyDescent="0.2">
      <c r="B110" s="214" t="str">
        <f>IF('5. PERSON'!C106="","",'5. PERSON'!C106)</f>
        <v/>
      </c>
      <c r="C110" s="934">
        <f>('5. PERSON'!G106+'5. PERSON'!H106+'5. PERSON'!I106+'5. PERSON'!J106+'5. PERSON'!K106+'5. PERSON'!L106+'5. PERSON'!M106+'5. PERSON'!N106+'5. PERSON'!O106+'5. PERSON'!P106)/((YEAR('2. START'!$C$19)-YEAR('2. START'!$C$18))*12+MONTH('2. START'!$C$19)-MONTH('2. START'!$C$18)+1)</f>
        <v>0</v>
      </c>
      <c r="D110" s="934">
        <f>(('5. PERSON'!$G106+'5. PERSON'!$H106+'5. PERSON'!$I106+'5. PERSON'!$J106+'5. PERSON'!$K106+'5. PERSON'!$L106+'5. PERSON'!$M106+'5. PERSON'!$N106+'5. PERSON'!$O106+'5. PERSON'!$P106)*(1-'5. PERSON'!E106))/((YEAR('2. START'!$C$19)-YEAR('2. START'!$C$18))*12+MONTH('2. START'!$C$19)-MONTH('2. START'!$C$18)+1)</f>
        <v>0</v>
      </c>
      <c r="E110" s="98">
        <f>'5. PERSON'!AT106</f>
        <v>0</v>
      </c>
      <c r="F110" s="98">
        <f>'5. PERSON'!AU106</f>
        <v>0</v>
      </c>
      <c r="G110" s="98">
        <f>'5. PERSON'!AV106</f>
        <v>0</v>
      </c>
      <c r="H110" s="98">
        <f>'5. PERSON'!AW106</f>
        <v>0</v>
      </c>
      <c r="I110" s="98">
        <f>'5. PERSON'!AX106</f>
        <v>0</v>
      </c>
      <c r="J110" s="98">
        <f>'5. PERSON'!AY106</f>
        <v>0</v>
      </c>
      <c r="K110" s="98">
        <f>'5. PERSON'!AZ106</f>
        <v>0</v>
      </c>
      <c r="L110" s="98">
        <f>'5. PERSON'!BA106</f>
        <v>0</v>
      </c>
      <c r="M110" s="98">
        <f>'5. PERSON'!BB106</f>
        <v>0</v>
      </c>
      <c r="N110" s="98">
        <f>'5. PERSON'!BC106</f>
        <v>0</v>
      </c>
      <c r="O110" s="98">
        <f>'5. PERSON'!BD106</f>
        <v>0</v>
      </c>
      <c r="P110" s="98">
        <f>'5. PERSON'!BF106</f>
        <v>0</v>
      </c>
      <c r="Q110" s="98">
        <f>'5. PERSON'!BG106</f>
        <v>0</v>
      </c>
      <c r="R110" s="98">
        <f>'5. PERSON'!BH106</f>
        <v>0</v>
      </c>
      <c r="S110" s="98">
        <f>'5. PERSON'!BI106</f>
        <v>0</v>
      </c>
      <c r="T110" s="98">
        <f>'5. PERSON'!BJ106</f>
        <v>0</v>
      </c>
      <c r="U110" s="98">
        <f>'5. PERSON'!BK106</f>
        <v>0</v>
      </c>
      <c r="V110" s="98">
        <f>'5. PERSON'!BL106</f>
        <v>0</v>
      </c>
      <c r="W110" s="98">
        <f>'5. PERSON'!BM106</f>
        <v>0</v>
      </c>
      <c r="X110" s="98">
        <f>'5. PERSON'!BN106</f>
        <v>0</v>
      </c>
      <c r="Y110" s="98">
        <f>'5. PERSON'!BO106</f>
        <v>0</v>
      </c>
      <c r="Z110" s="98">
        <f t="shared" si="2"/>
        <v>0</v>
      </c>
    </row>
    <row r="111" spans="2:26" s="37" customFormat="1" ht="13.5" customHeight="1" x14ac:dyDescent="0.2">
      <c r="B111" s="206" t="str">
        <f>IF('5. PERSON'!C107="","",'5. PERSON'!C107)</f>
        <v/>
      </c>
      <c r="C111" s="933">
        <f>('5. PERSON'!G107+'5. PERSON'!H107+'5. PERSON'!I107+'5. PERSON'!J107+'5. PERSON'!K107+'5. PERSON'!L107+'5. PERSON'!M107+'5. PERSON'!N107+'5. PERSON'!O107+'5. PERSON'!P107)/((YEAR('2. START'!$C$19)-YEAR('2. START'!$C$18))*12+MONTH('2. START'!$C$19)-MONTH('2. START'!$C$18)+1)</f>
        <v>0</v>
      </c>
      <c r="D111" s="933">
        <f>(('5. PERSON'!$G107+'5. PERSON'!$H107+'5. PERSON'!$I107+'5. PERSON'!$J107+'5. PERSON'!$K107+'5. PERSON'!$L107+'5. PERSON'!$M107+'5. PERSON'!$N107+'5. PERSON'!$O107+'5. PERSON'!$P107)*(1-'5. PERSON'!E107))/((YEAR('2. START'!$C$19)-YEAR('2. START'!$C$18))*12+MONTH('2. START'!$C$19)-MONTH('2. START'!$C$18)+1)</f>
        <v>0</v>
      </c>
      <c r="E111" s="87">
        <f>'5. PERSON'!AT107</f>
        <v>0</v>
      </c>
      <c r="F111" s="87">
        <f>'5. PERSON'!AU107</f>
        <v>0</v>
      </c>
      <c r="G111" s="87">
        <f>'5. PERSON'!AV107</f>
        <v>0</v>
      </c>
      <c r="H111" s="87">
        <f>'5. PERSON'!AW107</f>
        <v>0</v>
      </c>
      <c r="I111" s="87">
        <f>'5. PERSON'!AX107</f>
        <v>0</v>
      </c>
      <c r="J111" s="87">
        <f>'5. PERSON'!AY107</f>
        <v>0</v>
      </c>
      <c r="K111" s="87">
        <f>'5. PERSON'!AZ107</f>
        <v>0</v>
      </c>
      <c r="L111" s="87">
        <f>'5. PERSON'!BA107</f>
        <v>0</v>
      </c>
      <c r="M111" s="87">
        <f>'5. PERSON'!BB107</f>
        <v>0</v>
      </c>
      <c r="N111" s="87">
        <f>'5. PERSON'!BC107</f>
        <v>0</v>
      </c>
      <c r="O111" s="87">
        <f>'5. PERSON'!BD107</f>
        <v>0</v>
      </c>
      <c r="P111" s="87">
        <f>'5. PERSON'!BF107</f>
        <v>0</v>
      </c>
      <c r="Q111" s="87">
        <f>'5. PERSON'!BG107</f>
        <v>0</v>
      </c>
      <c r="R111" s="87">
        <f>'5. PERSON'!BH107</f>
        <v>0</v>
      </c>
      <c r="S111" s="87">
        <f>'5. PERSON'!BI107</f>
        <v>0</v>
      </c>
      <c r="T111" s="87">
        <f>'5. PERSON'!BJ107</f>
        <v>0</v>
      </c>
      <c r="U111" s="87">
        <f>'5. PERSON'!BK107</f>
        <v>0</v>
      </c>
      <c r="V111" s="87">
        <f>'5. PERSON'!BL107</f>
        <v>0</v>
      </c>
      <c r="W111" s="87">
        <f>'5. PERSON'!BM107</f>
        <v>0</v>
      </c>
      <c r="X111" s="87">
        <f>'5. PERSON'!BN107</f>
        <v>0</v>
      </c>
      <c r="Y111" s="87">
        <f>'5. PERSON'!BO107</f>
        <v>0</v>
      </c>
      <c r="Z111" s="87">
        <f t="shared" si="2"/>
        <v>0</v>
      </c>
    </row>
    <row r="112" spans="2:26" s="37" customFormat="1" ht="13.5" customHeight="1" x14ac:dyDescent="0.2">
      <c r="B112" s="214" t="str">
        <f>IF('5. PERSON'!C108="","",'5. PERSON'!C108)</f>
        <v/>
      </c>
      <c r="C112" s="934">
        <f>('5. PERSON'!G108+'5. PERSON'!H108+'5. PERSON'!I108+'5. PERSON'!J108+'5. PERSON'!K108+'5. PERSON'!L108+'5. PERSON'!M108+'5. PERSON'!N108+'5. PERSON'!O108+'5. PERSON'!P108)/((YEAR('2. START'!$C$19)-YEAR('2. START'!$C$18))*12+MONTH('2. START'!$C$19)-MONTH('2. START'!$C$18)+1)</f>
        <v>0</v>
      </c>
      <c r="D112" s="934">
        <f>(('5. PERSON'!$G108+'5. PERSON'!$H108+'5. PERSON'!$I108+'5. PERSON'!$J108+'5. PERSON'!$K108+'5. PERSON'!$L108+'5. PERSON'!$M108+'5. PERSON'!$N108+'5. PERSON'!$O108+'5. PERSON'!$P108)*(1-'5. PERSON'!E108))/((YEAR('2. START'!$C$19)-YEAR('2. START'!$C$18))*12+MONTH('2. START'!$C$19)-MONTH('2. START'!$C$18)+1)</f>
        <v>0</v>
      </c>
      <c r="E112" s="98">
        <f>'5. PERSON'!AT108</f>
        <v>0</v>
      </c>
      <c r="F112" s="98">
        <f>'5. PERSON'!AU108</f>
        <v>0</v>
      </c>
      <c r="G112" s="98">
        <f>'5. PERSON'!AV108</f>
        <v>0</v>
      </c>
      <c r="H112" s="98">
        <f>'5. PERSON'!AW108</f>
        <v>0</v>
      </c>
      <c r="I112" s="98">
        <f>'5. PERSON'!AX108</f>
        <v>0</v>
      </c>
      <c r="J112" s="98">
        <f>'5. PERSON'!AY108</f>
        <v>0</v>
      </c>
      <c r="K112" s="98">
        <f>'5. PERSON'!AZ108</f>
        <v>0</v>
      </c>
      <c r="L112" s="98">
        <f>'5. PERSON'!BA108</f>
        <v>0</v>
      </c>
      <c r="M112" s="98">
        <f>'5. PERSON'!BB108</f>
        <v>0</v>
      </c>
      <c r="N112" s="98">
        <f>'5. PERSON'!BC108</f>
        <v>0</v>
      </c>
      <c r="O112" s="98">
        <f>'5. PERSON'!BD108</f>
        <v>0</v>
      </c>
      <c r="P112" s="98">
        <f>'5. PERSON'!BF108</f>
        <v>0</v>
      </c>
      <c r="Q112" s="98">
        <f>'5. PERSON'!BG108</f>
        <v>0</v>
      </c>
      <c r="R112" s="98">
        <f>'5. PERSON'!BH108</f>
        <v>0</v>
      </c>
      <c r="S112" s="98">
        <f>'5. PERSON'!BI108</f>
        <v>0</v>
      </c>
      <c r="T112" s="98">
        <f>'5. PERSON'!BJ108</f>
        <v>0</v>
      </c>
      <c r="U112" s="98">
        <f>'5. PERSON'!BK108</f>
        <v>0</v>
      </c>
      <c r="V112" s="98">
        <f>'5. PERSON'!BL108</f>
        <v>0</v>
      </c>
      <c r="W112" s="98">
        <f>'5. PERSON'!BM108</f>
        <v>0</v>
      </c>
      <c r="X112" s="98">
        <f>'5. PERSON'!BN108</f>
        <v>0</v>
      </c>
      <c r="Y112" s="98">
        <f>'5. PERSON'!BO108</f>
        <v>0</v>
      </c>
      <c r="Z112" s="98">
        <f t="shared" si="2"/>
        <v>0</v>
      </c>
    </row>
    <row r="113" spans="2:26" s="37" customFormat="1" ht="13.5" customHeight="1" x14ac:dyDescent="0.2">
      <c r="B113" s="206" t="str">
        <f>IF('5. PERSON'!C109="","",'5. PERSON'!C109)</f>
        <v/>
      </c>
      <c r="C113" s="933">
        <f>('5. PERSON'!G109+'5. PERSON'!H109+'5. PERSON'!I109+'5. PERSON'!J109+'5. PERSON'!K109+'5. PERSON'!L109+'5. PERSON'!M109+'5. PERSON'!N109+'5. PERSON'!O109+'5. PERSON'!P109)/((YEAR('2. START'!$C$19)-YEAR('2. START'!$C$18))*12+MONTH('2. START'!$C$19)-MONTH('2. START'!$C$18)+1)</f>
        <v>0</v>
      </c>
      <c r="D113" s="933">
        <f>(('5. PERSON'!$G109+'5. PERSON'!$H109+'5. PERSON'!$I109+'5. PERSON'!$J109+'5. PERSON'!$K109+'5. PERSON'!$L109+'5. PERSON'!$M109+'5. PERSON'!$N109+'5. PERSON'!$O109+'5. PERSON'!$P109)*(1-'5. PERSON'!E109))/((YEAR('2. START'!$C$19)-YEAR('2. START'!$C$18))*12+MONTH('2. START'!$C$19)-MONTH('2. START'!$C$18)+1)</f>
        <v>0</v>
      </c>
      <c r="E113" s="87">
        <f>'5. PERSON'!AT109</f>
        <v>0</v>
      </c>
      <c r="F113" s="87">
        <f>'5. PERSON'!AU109</f>
        <v>0</v>
      </c>
      <c r="G113" s="87">
        <f>'5. PERSON'!AV109</f>
        <v>0</v>
      </c>
      <c r="H113" s="87">
        <f>'5. PERSON'!AW109</f>
        <v>0</v>
      </c>
      <c r="I113" s="87">
        <f>'5. PERSON'!AX109</f>
        <v>0</v>
      </c>
      <c r="J113" s="87">
        <f>'5. PERSON'!AY109</f>
        <v>0</v>
      </c>
      <c r="K113" s="87">
        <f>'5. PERSON'!AZ109</f>
        <v>0</v>
      </c>
      <c r="L113" s="87">
        <f>'5. PERSON'!BA109</f>
        <v>0</v>
      </c>
      <c r="M113" s="87">
        <f>'5. PERSON'!BB109</f>
        <v>0</v>
      </c>
      <c r="N113" s="87">
        <f>'5. PERSON'!BC109</f>
        <v>0</v>
      </c>
      <c r="O113" s="87">
        <f>'5. PERSON'!BD109</f>
        <v>0</v>
      </c>
      <c r="P113" s="87">
        <f>'5. PERSON'!BF109</f>
        <v>0</v>
      </c>
      <c r="Q113" s="87">
        <f>'5. PERSON'!BG109</f>
        <v>0</v>
      </c>
      <c r="R113" s="87">
        <f>'5. PERSON'!BH109</f>
        <v>0</v>
      </c>
      <c r="S113" s="87">
        <f>'5. PERSON'!BI109</f>
        <v>0</v>
      </c>
      <c r="T113" s="87">
        <f>'5. PERSON'!BJ109</f>
        <v>0</v>
      </c>
      <c r="U113" s="87">
        <f>'5. PERSON'!BK109</f>
        <v>0</v>
      </c>
      <c r="V113" s="87">
        <f>'5. PERSON'!BL109</f>
        <v>0</v>
      </c>
      <c r="W113" s="87">
        <f>'5. PERSON'!BM109</f>
        <v>0</v>
      </c>
      <c r="X113" s="87">
        <f>'5. PERSON'!BN109</f>
        <v>0</v>
      </c>
      <c r="Y113" s="87">
        <f>'5. PERSON'!BO109</f>
        <v>0</v>
      </c>
      <c r="Z113" s="87">
        <f t="shared" si="2"/>
        <v>0</v>
      </c>
    </row>
    <row r="114" spans="2:26" s="37" customFormat="1" ht="13.5" customHeight="1" x14ac:dyDescent="0.2">
      <c r="B114" s="214" t="str">
        <f>IF('5. PERSON'!C110="","",'5. PERSON'!C110)</f>
        <v/>
      </c>
      <c r="C114" s="934">
        <f>('5. PERSON'!G110+'5. PERSON'!H110+'5. PERSON'!I110+'5. PERSON'!J110+'5. PERSON'!K110+'5. PERSON'!L110+'5. PERSON'!M110+'5. PERSON'!N110+'5. PERSON'!O110+'5. PERSON'!P110)/((YEAR('2. START'!$C$19)-YEAR('2. START'!$C$18))*12+MONTH('2. START'!$C$19)-MONTH('2. START'!$C$18)+1)</f>
        <v>0</v>
      </c>
      <c r="D114" s="934">
        <f>(('5. PERSON'!$G110+'5. PERSON'!$H110+'5. PERSON'!$I110+'5. PERSON'!$J110+'5. PERSON'!$K110+'5. PERSON'!$L110+'5. PERSON'!$M110+'5. PERSON'!$N110+'5. PERSON'!$O110+'5. PERSON'!$P110)*(1-'5. PERSON'!E110))/((YEAR('2. START'!$C$19)-YEAR('2. START'!$C$18))*12+MONTH('2. START'!$C$19)-MONTH('2. START'!$C$18)+1)</f>
        <v>0</v>
      </c>
      <c r="E114" s="98">
        <f>'5. PERSON'!AT110</f>
        <v>0</v>
      </c>
      <c r="F114" s="98">
        <f>'5. PERSON'!AU110</f>
        <v>0</v>
      </c>
      <c r="G114" s="98">
        <f>'5. PERSON'!AV110</f>
        <v>0</v>
      </c>
      <c r="H114" s="98">
        <f>'5. PERSON'!AW110</f>
        <v>0</v>
      </c>
      <c r="I114" s="98">
        <f>'5. PERSON'!AX110</f>
        <v>0</v>
      </c>
      <c r="J114" s="98">
        <f>'5. PERSON'!AY110</f>
        <v>0</v>
      </c>
      <c r="K114" s="98">
        <f>'5. PERSON'!AZ110</f>
        <v>0</v>
      </c>
      <c r="L114" s="98">
        <f>'5. PERSON'!BA110</f>
        <v>0</v>
      </c>
      <c r="M114" s="98">
        <f>'5. PERSON'!BB110</f>
        <v>0</v>
      </c>
      <c r="N114" s="98">
        <f>'5. PERSON'!BC110</f>
        <v>0</v>
      </c>
      <c r="O114" s="98">
        <f>'5. PERSON'!BD110</f>
        <v>0</v>
      </c>
      <c r="P114" s="98">
        <f>'5. PERSON'!BF110</f>
        <v>0</v>
      </c>
      <c r="Q114" s="98">
        <f>'5. PERSON'!BG110</f>
        <v>0</v>
      </c>
      <c r="R114" s="98">
        <f>'5. PERSON'!BH110</f>
        <v>0</v>
      </c>
      <c r="S114" s="98">
        <f>'5. PERSON'!BI110</f>
        <v>0</v>
      </c>
      <c r="T114" s="98">
        <f>'5. PERSON'!BJ110</f>
        <v>0</v>
      </c>
      <c r="U114" s="98">
        <f>'5. PERSON'!BK110</f>
        <v>0</v>
      </c>
      <c r="V114" s="98">
        <f>'5. PERSON'!BL110</f>
        <v>0</v>
      </c>
      <c r="W114" s="98">
        <f>'5. PERSON'!BM110</f>
        <v>0</v>
      </c>
      <c r="X114" s="98">
        <f>'5. PERSON'!BN110</f>
        <v>0</v>
      </c>
      <c r="Y114" s="98">
        <f>'5. PERSON'!BO110</f>
        <v>0</v>
      </c>
      <c r="Z114" s="98">
        <f t="shared" si="2"/>
        <v>0</v>
      </c>
    </row>
    <row r="115" spans="2:26" s="37" customFormat="1" ht="13.5" customHeight="1" x14ac:dyDescent="0.2">
      <c r="B115" s="206" t="str">
        <f>IF('5. PERSON'!C111="","",'5. PERSON'!C111)</f>
        <v/>
      </c>
      <c r="C115" s="933">
        <f>('5. PERSON'!G111+'5. PERSON'!H111+'5. PERSON'!I111+'5. PERSON'!J111+'5. PERSON'!K111+'5. PERSON'!L111+'5. PERSON'!M111+'5. PERSON'!N111+'5. PERSON'!O111+'5. PERSON'!P111)/((YEAR('2. START'!$C$19)-YEAR('2. START'!$C$18))*12+MONTH('2. START'!$C$19)-MONTH('2. START'!$C$18)+1)</f>
        <v>0</v>
      </c>
      <c r="D115" s="933">
        <f>(('5. PERSON'!$G111+'5. PERSON'!$H111+'5. PERSON'!$I111+'5. PERSON'!$J111+'5. PERSON'!$K111+'5. PERSON'!$L111+'5. PERSON'!$M111+'5. PERSON'!$N111+'5. PERSON'!$O111+'5. PERSON'!$P111)*(1-'5. PERSON'!E111))/((YEAR('2. START'!$C$19)-YEAR('2. START'!$C$18))*12+MONTH('2. START'!$C$19)-MONTH('2. START'!$C$18)+1)</f>
        <v>0</v>
      </c>
      <c r="E115" s="87">
        <f>'5. PERSON'!AT111</f>
        <v>0</v>
      </c>
      <c r="F115" s="87">
        <f>'5. PERSON'!AU111</f>
        <v>0</v>
      </c>
      <c r="G115" s="87">
        <f>'5. PERSON'!AV111</f>
        <v>0</v>
      </c>
      <c r="H115" s="87">
        <f>'5. PERSON'!AW111</f>
        <v>0</v>
      </c>
      <c r="I115" s="87">
        <f>'5. PERSON'!AX111</f>
        <v>0</v>
      </c>
      <c r="J115" s="87">
        <f>'5. PERSON'!AY111</f>
        <v>0</v>
      </c>
      <c r="K115" s="87">
        <f>'5. PERSON'!AZ111</f>
        <v>0</v>
      </c>
      <c r="L115" s="87">
        <f>'5. PERSON'!BA111</f>
        <v>0</v>
      </c>
      <c r="M115" s="87">
        <f>'5. PERSON'!BB111</f>
        <v>0</v>
      </c>
      <c r="N115" s="87">
        <f>'5. PERSON'!BC111</f>
        <v>0</v>
      </c>
      <c r="O115" s="87">
        <f>'5. PERSON'!BD111</f>
        <v>0</v>
      </c>
      <c r="P115" s="87">
        <f>'5. PERSON'!BF111</f>
        <v>0</v>
      </c>
      <c r="Q115" s="87">
        <f>'5. PERSON'!BG111</f>
        <v>0</v>
      </c>
      <c r="R115" s="87">
        <f>'5. PERSON'!BH111</f>
        <v>0</v>
      </c>
      <c r="S115" s="87">
        <f>'5. PERSON'!BI111</f>
        <v>0</v>
      </c>
      <c r="T115" s="87">
        <f>'5. PERSON'!BJ111</f>
        <v>0</v>
      </c>
      <c r="U115" s="87">
        <f>'5. PERSON'!BK111</f>
        <v>0</v>
      </c>
      <c r="V115" s="87">
        <f>'5. PERSON'!BL111</f>
        <v>0</v>
      </c>
      <c r="W115" s="87">
        <f>'5. PERSON'!BM111</f>
        <v>0</v>
      </c>
      <c r="X115" s="87">
        <f>'5. PERSON'!BN111</f>
        <v>0</v>
      </c>
      <c r="Y115" s="87">
        <f>'5. PERSON'!BO111</f>
        <v>0</v>
      </c>
      <c r="Z115" s="87">
        <f t="shared" si="2"/>
        <v>0</v>
      </c>
    </row>
    <row r="116" spans="2:26" s="37" customFormat="1" ht="13.5" customHeight="1" x14ac:dyDescent="0.2">
      <c r="B116" s="214" t="str">
        <f>IF('5. PERSON'!C112="","",'5. PERSON'!C112)</f>
        <v/>
      </c>
      <c r="C116" s="934">
        <f>('5. PERSON'!G112+'5. PERSON'!H112+'5. PERSON'!I112+'5. PERSON'!J112+'5. PERSON'!K112+'5. PERSON'!L112+'5. PERSON'!M112+'5. PERSON'!N112+'5. PERSON'!O112+'5. PERSON'!P112)/((YEAR('2. START'!$C$19)-YEAR('2. START'!$C$18))*12+MONTH('2. START'!$C$19)-MONTH('2. START'!$C$18)+1)</f>
        <v>0</v>
      </c>
      <c r="D116" s="934">
        <f>(('5. PERSON'!$G112+'5. PERSON'!$H112+'5. PERSON'!$I112+'5. PERSON'!$J112+'5. PERSON'!$K112+'5. PERSON'!$L112+'5. PERSON'!$M112+'5. PERSON'!$N112+'5. PERSON'!$O112+'5. PERSON'!$P112)*(1-'5. PERSON'!E112))/((YEAR('2. START'!$C$19)-YEAR('2. START'!$C$18))*12+MONTH('2. START'!$C$19)-MONTH('2. START'!$C$18)+1)</f>
        <v>0</v>
      </c>
      <c r="E116" s="98">
        <f>'5. PERSON'!AT112</f>
        <v>0</v>
      </c>
      <c r="F116" s="98">
        <f>'5. PERSON'!AU112</f>
        <v>0</v>
      </c>
      <c r="G116" s="98">
        <f>'5. PERSON'!AV112</f>
        <v>0</v>
      </c>
      <c r="H116" s="98">
        <f>'5. PERSON'!AW112</f>
        <v>0</v>
      </c>
      <c r="I116" s="98">
        <f>'5. PERSON'!AX112</f>
        <v>0</v>
      </c>
      <c r="J116" s="98">
        <f>'5. PERSON'!AY112</f>
        <v>0</v>
      </c>
      <c r="K116" s="98">
        <f>'5. PERSON'!AZ112</f>
        <v>0</v>
      </c>
      <c r="L116" s="98">
        <f>'5. PERSON'!BA112</f>
        <v>0</v>
      </c>
      <c r="M116" s="98">
        <f>'5. PERSON'!BB112</f>
        <v>0</v>
      </c>
      <c r="N116" s="98">
        <f>'5. PERSON'!BC112</f>
        <v>0</v>
      </c>
      <c r="O116" s="98">
        <f>'5. PERSON'!BD112</f>
        <v>0</v>
      </c>
      <c r="P116" s="98">
        <f>'5. PERSON'!BF112</f>
        <v>0</v>
      </c>
      <c r="Q116" s="98">
        <f>'5. PERSON'!BG112</f>
        <v>0</v>
      </c>
      <c r="R116" s="98">
        <f>'5. PERSON'!BH112</f>
        <v>0</v>
      </c>
      <c r="S116" s="98">
        <f>'5. PERSON'!BI112</f>
        <v>0</v>
      </c>
      <c r="T116" s="98">
        <f>'5. PERSON'!BJ112</f>
        <v>0</v>
      </c>
      <c r="U116" s="98">
        <f>'5. PERSON'!BK112</f>
        <v>0</v>
      </c>
      <c r="V116" s="98">
        <f>'5. PERSON'!BL112</f>
        <v>0</v>
      </c>
      <c r="W116" s="98">
        <f>'5. PERSON'!BM112</f>
        <v>0</v>
      </c>
      <c r="X116" s="98">
        <f>'5. PERSON'!BN112</f>
        <v>0</v>
      </c>
      <c r="Y116" s="98">
        <f>'5. PERSON'!BO112</f>
        <v>0</v>
      </c>
      <c r="Z116" s="98">
        <f t="shared" si="2"/>
        <v>0</v>
      </c>
    </row>
    <row r="117" spans="2:26" s="37" customFormat="1" ht="13.5" customHeight="1" x14ac:dyDescent="0.2">
      <c r="B117" s="206" t="str">
        <f>IF('5. PERSON'!C113="","",'5. PERSON'!C113)</f>
        <v/>
      </c>
      <c r="C117" s="933">
        <f>('5. PERSON'!G113+'5. PERSON'!H113+'5. PERSON'!I113+'5. PERSON'!J113+'5. PERSON'!K113+'5. PERSON'!L113+'5. PERSON'!M113+'5. PERSON'!N113+'5. PERSON'!O113+'5. PERSON'!P113)/((YEAR('2. START'!$C$19)-YEAR('2. START'!$C$18))*12+MONTH('2. START'!$C$19)-MONTH('2. START'!$C$18)+1)</f>
        <v>0</v>
      </c>
      <c r="D117" s="933">
        <f>(('5. PERSON'!$G113+'5. PERSON'!$H113+'5. PERSON'!$I113+'5. PERSON'!$J113+'5. PERSON'!$K113+'5. PERSON'!$L113+'5. PERSON'!$M113+'5. PERSON'!$N113+'5. PERSON'!$O113+'5. PERSON'!$P113)*(1-'5. PERSON'!E113))/((YEAR('2. START'!$C$19)-YEAR('2. START'!$C$18))*12+MONTH('2. START'!$C$19)-MONTH('2. START'!$C$18)+1)</f>
        <v>0</v>
      </c>
      <c r="E117" s="87">
        <f>'5. PERSON'!AT113</f>
        <v>0</v>
      </c>
      <c r="F117" s="87">
        <f>'5. PERSON'!AU113</f>
        <v>0</v>
      </c>
      <c r="G117" s="87">
        <f>'5. PERSON'!AV113</f>
        <v>0</v>
      </c>
      <c r="H117" s="87">
        <f>'5. PERSON'!AW113</f>
        <v>0</v>
      </c>
      <c r="I117" s="87">
        <f>'5. PERSON'!AX113</f>
        <v>0</v>
      </c>
      <c r="J117" s="87">
        <f>'5. PERSON'!AY113</f>
        <v>0</v>
      </c>
      <c r="K117" s="87">
        <f>'5. PERSON'!AZ113</f>
        <v>0</v>
      </c>
      <c r="L117" s="87">
        <f>'5. PERSON'!BA113</f>
        <v>0</v>
      </c>
      <c r="M117" s="87">
        <f>'5. PERSON'!BB113</f>
        <v>0</v>
      </c>
      <c r="N117" s="87">
        <f>'5. PERSON'!BC113</f>
        <v>0</v>
      </c>
      <c r="O117" s="87">
        <f>'5. PERSON'!BD113</f>
        <v>0</v>
      </c>
      <c r="P117" s="87">
        <f>'5. PERSON'!BF113</f>
        <v>0</v>
      </c>
      <c r="Q117" s="87">
        <f>'5. PERSON'!BG113</f>
        <v>0</v>
      </c>
      <c r="R117" s="87">
        <f>'5. PERSON'!BH113</f>
        <v>0</v>
      </c>
      <c r="S117" s="87">
        <f>'5. PERSON'!BI113</f>
        <v>0</v>
      </c>
      <c r="T117" s="87">
        <f>'5. PERSON'!BJ113</f>
        <v>0</v>
      </c>
      <c r="U117" s="87">
        <f>'5. PERSON'!BK113</f>
        <v>0</v>
      </c>
      <c r="V117" s="87">
        <f>'5. PERSON'!BL113</f>
        <v>0</v>
      </c>
      <c r="W117" s="87">
        <f>'5. PERSON'!BM113</f>
        <v>0</v>
      </c>
      <c r="X117" s="87">
        <f>'5. PERSON'!BN113</f>
        <v>0</v>
      </c>
      <c r="Y117" s="87">
        <f>'5. PERSON'!BO113</f>
        <v>0</v>
      </c>
      <c r="Z117" s="87">
        <f t="shared" si="2"/>
        <v>0</v>
      </c>
    </row>
    <row r="118" spans="2:26" s="37" customFormat="1" ht="13.5" customHeight="1" x14ac:dyDescent="0.2">
      <c r="B118" s="214" t="str">
        <f>IF('5. PERSON'!C114="","",'5. PERSON'!C114)</f>
        <v/>
      </c>
      <c r="C118" s="934">
        <f>('5. PERSON'!G114+'5. PERSON'!H114+'5. PERSON'!I114+'5. PERSON'!J114+'5. PERSON'!K114+'5. PERSON'!L114+'5. PERSON'!M114+'5. PERSON'!N114+'5. PERSON'!O114+'5. PERSON'!P114)/((YEAR('2. START'!$C$19)-YEAR('2. START'!$C$18))*12+MONTH('2. START'!$C$19)-MONTH('2. START'!$C$18)+1)</f>
        <v>0</v>
      </c>
      <c r="D118" s="934">
        <f>(('5. PERSON'!$G114+'5. PERSON'!$H114+'5. PERSON'!$I114+'5. PERSON'!$J114+'5. PERSON'!$K114+'5. PERSON'!$L114+'5. PERSON'!$M114+'5. PERSON'!$N114+'5. PERSON'!$O114+'5. PERSON'!$P114)*(1-'5. PERSON'!E114))/((YEAR('2. START'!$C$19)-YEAR('2. START'!$C$18))*12+MONTH('2. START'!$C$19)-MONTH('2. START'!$C$18)+1)</f>
        <v>0</v>
      </c>
      <c r="E118" s="98">
        <f>'5. PERSON'!AT114</f>
        <v>0</v>
      </c>
      <c r="F118" s="98">
        <f>'5. PERSON'!AU114</f>
        <v>0</v>
      </c>
      <c r="G118" s="98">
        <f>'5. PERSON'!AV114</f>
        <v>0</v>
      </c>
      <c r="H118" s="98">
        <f>'5. PERSON'!AW114</f>
        <v>0</v>
      </c>
      <c r="I118" s="98">
        <f>'5. PERSON'!AX114</f>
        <v>0</v>
      </c>
      <c r="J118" s="98">
        <f>'5. PERSON'!AY114</f>
        <v>0</v>
      </c>
      <c r="K118" s="98">
        <f>'5. PERSON'!AZ114</f>
        <v>0</v>
      </c>
      <c r="L118" s="98">
        <f>'5. PERSON'!BA114</f>
        <v>0</v>
      </c>
      <c r="M118" s="98">
        <f>'5. PERSON'!BB114</f>
        <v>0</v>
      </c>
      <c r="N118" s="98">
        <f>'5. PERSON'!BC114</f>
        <v>0</v>
      </c>
      <c r="O118" s="98">
        <f>'5. PERSON'!BD114</f>
        <v>0</v>
      </c>
      <c r="P118" s="98">
        <f>'5. PERSON'!BF114</f>
        <v>0</v>
      </c>
      <c r="Q118" s="98">
        <f>'5. PERSON'!BG114</f>
        <v>0</v>
      </c>
      <c r="R118" s="98">
        <f>'5. PERSON'!BH114</f>
        <v>0</v>
      </c>
      <c r="S118" s="98">
        <f>'5. PERSON'!BI114</f>
        <v>0</v>
      </c>
      <c r="T118" s="98">
        <f>'5. PERSON'!BJ114</f>
        <v>0</v>
      </c>
      <c r="U118" s="98">
        <f>'5. PERSON'!BK114</f>
        <v>0</v>
      </c>
      <c r="V118" s="98">
        <f>'5. PERSON'!BL114</f>
        <v>0</v>
      </c>
      <c r="W118" s="98">
        <f>'5. PERSON'!BM114</f>
        <v>0</v>
      </c>
      <c r="X118" s="98">
        <f>'5. PERSON'!BN114</f>
        <v>0</v>
      </c>
      <c r="Y118" s="98">
        <f>'5. PERSON'!BO114</f>
        <v>0</v>
      </c>
      <c r="Z118" s="98">
        <f t="shared" si="2"/>
        <v>0</v>
      </c>
    </row>
    <row r="119" spans="2:26" s="37" customFormat="1" ht="13.5" customHeight="1" x14ac:dyDescent="0.2">
      <c r="B119" s="206" t="str">
        <f>IF('5. PERSON'!C115="","",'5. PERSON'!C115)</f>
        <v/>
      </c>
      <c r="C119" s="933">
        <f>('5. PERSON'!G115+'5. PERSON'!H115+'5. PERSON'!I115+'5. PERSON'!J115+'5. PERSON'!K115+'5. PERSON'!L115+'5. PERSON'!M115+'5. PERSON'!N115+'5. PERSON'!O115+'5. PERSON'!P115)/((YEAR('2. START'!$C$19)-YEAR('2. START'!$C$18))*12+MONTH('2. START'!$C$19)-MONTH('2. START'!$C$18)+1)</f>
        <v>0</v>
      </c>
      <c r="D119" s="933">
        <f>(('5. PERSON'!$G115+'5. PERSON'!$H115+'5. PERSON'!$I115+'5. PERSON'!$J115+'5. PERSON'!$K115+'5. PERSON'!$L115+'5. PERSON'!$M115+'5. PERSON'!$N115+'5. PERSON'!$O115+'5. PERSON'!$P115)*(1-'5. PERSON'!E115))/((YEAR('2. START'!$C$19)-YEAR('2. START'!$C$18))*12+MONTH('2. START'!$C$19)-MONTH('2. START'!$C$18)+1)</f>
        <v>0</v>
      </c>
      <c r="E119" s="87">
        <f>'5. PERSON'!AT115</f>
        <v>0</v>
      </c>
      <c r="F119" s="87">
        <f>'5. PERSON'!AU115</f>
        <v>0</v>
      </c>
      <c r="G119" s="87">
        <f>'5. PERSON'!AV115</f>
        <v>0</v>
      </c>
      <c r="H119" s="87">
        <f>'5. PERSON'!AW115</f>
        <v>0</v>
      </c>
      <c r="I119" s="87">
        <f>'5. PERSON'!AX115</f>
        <v>0</v>
      </c>
      <c r="J119" s="87">
        <f>'5. PERSON'!AY115</f>
        <v>0</v>
      </c>
      <c r="K119" s="87">
        <f>'5. PERSON'!AZ115</f>
        <v>0</v>
      </c>
      <c r="L119" s="87">
        <f>'5. PERSON'!BA115</f>
        <v>0</v>
      </c>
      <c r="M119" s="87">
        <f>'5. PERSON'!BB115</f>
        <v>0</v>
      </c>
      <c r="N119" s="87">
        <f>'5. PERSON'!BC115</f>
        <v>0</v>
      </c>
      <c r="O119" s="87">
        <f>'5. PERSON'!BD115</f>
        <v>0</v>
      </c>
      <c r="P119" s="87">
        <f>'5. PERSON'!BF115</f>
        <v>0</v>
      </c>
      <c r="Q119" s="87">
        <f>'5. PERSON'!BG115</f>
        <v>0</v>
      </c>
      <c r="R119" s="87">
        <f>'5. PERSON'!BH115</f>
        <v>0</v>
      </c>
      <c r="S119" s="87">
        <f>'5. PERSON'!BI115</f>
        <v>0</v>
      </c>
      <c r="T119" s="87">
        <f>'5. PERSON'!BJ115</f>
        <v>0</v>
      </c>
      <c r="U119" s="87">
        <f>'5. PERSON'!BK115</f>
        <v>0</v>
      </c>
      <c r="V119" s="87">
        <f>'5. PERSON'!BL115</f>
        <v>0</v>
      </c>
      <c r="W119" s="87">
        <f>'5. PERSON'!BM115</f>
        <v>0</v>
      </c>
      <c r="X119" s="87">
        <f>'5. PERSON'!BN115</f>
        <v>0</v>
      </c>
      <c r="Y119" s="87">
        <f>'5. PERSON'!BO115</f>
        <v>0</v>
      </c>
      <c r="Z119" s="87">
        <f t="shared" si="2"/>
        <v>0</v>
      </c>
    </row>
    <row r="120" spans="2:26" s="37" customFormat="1" ht="13.5" customHeight="1" x14ac:dyDescent="0.2">
      <c r="B120" s="214" t="str">
        <f>IF('5. PERSON'!C116="","",'5. PERSON'!C116)</f>
        <v/>
      </c>
      <c r="C120" s="934">
        <f>('5. PERSON'!G116+'5. PERSON'!H116+'5. PERSON'!I116+'5. PERSON'!J116+'5. PERSON'!K116+'5. PERSON'!L116+'5. PERSON'!M116+'5. PERSON'!N116+'5. PERSON'!O116+'5. PERSON'!P116)/((YEAR('2. START'!$C$19)-YEAR('2. START'!$C$18))*12+MONTH('2. START'!$C$19)-MONTH('2. START'!$C$18)+1)</f>
        <v>0</v>
      </c>
      <c r="D120" s="934">
        <f>(('5. PERSON'!$G116+'5. PERSON'!$H116+'5. PERSON'!$I116+'5. PERSON'!$J116+'5. PERSON'!$K116+'5. PERSON'!$L116+'5. PERSON'!$M116+'5. PERSON'!$N116+'5. PERSON'!$O116+'5. PERSON'!$P116)*(1-'5. PERSON'!E116))/((YEAR('2. START'!$C$19)-YEAR('2. START'!$C$18))*12+MONTH('2. START'!$C$19)-MONTH('2. START'!$C$18)+1)</f>
        <v>0</v>
      </c>
      <c r="E120" s="98">
        <f>'5. PERSON'!AT116</f>
        <v>0</v>
      </c>
      <c r="F120" s="98">
        <f>'5. PERSON'!AU116</f>
        <v>0</v>
      </c>
      <c r="G120" s="98">
        <f>'5. PERSON'!AV116</f>
        <v>0</v>
      </c>
      <c r="H120" s="98">
        <f>'5. PERSON'!AW116</f>
        <v>0</v>
      </c>
      <c r="I120" s="98">
        <f>'5. PERSON'!AX116</f>
        <v>0</v>
      </c>
      <c r="J120" s="98">
        <f>'5. PERSON'!AY116</f>
        <v>0</v>
      </c>
      <c r="K120" s="98">
        <f>'5. PERSON'!AZ116</f>
        <v>0</v>
      </c>
      <c r="L120" s="98">
        <f>'5. PERSON'!BA116</f>
        <v>0</v>
      </c>
      <c r="M120" s="98">
        <f>'5. PERSON'!BB116</f>
        <v>0</v>
      </c>
      <c r="N120" s="98">
        <f>'5. PERSON'!BC116</f>
        <v>0</v>
      </c>
      <c r="O120" s="98">
        <f>'5. PERSON'!BD116</f>
        <v>0</v>
      </c>
      <c r="P120" s="98">
        <f>'5. PERSON'!BF116</f>
        <v>0</v>
      </c>
      <c r="Q120" s="98">
        <f>'5. PERSON'!BG116</f>
        <v>0</v>
      </c>
      <c r="R120" s="98">
        <f>'5. PERSON'!BH116</f>
        <v>0</v>
      </c>
      <c r="S120" s="98">
        <f>'5. PERSON'!BI116</f>
        <v>0</v>
      </c>
      <c r="T120" s="98">
        <f>'5. PERSON'!BJ116</f>
        <v>0</v>
      </c>
      <c r="U120" s="98">
        <f>'5. PERSON'!BK116</f>
        <v>0</v>
      </c>
      <c r="V120" s="98">
        <f>'5. PERSON'!BL116</f>
        <v>0</v>
      </c>
      <c r="W120" s="98">
        <f>'5. PERSON'!BM116</f>
        <v>0</v>
      </c>
      <c r="X120" s="98">
        <f>'5. PERSON'!BN116</f>
        <v>0</v>
      </c>
      <c r="Y120" s="98">
        <f>'5. PERSON'!BO116</f>
        <v>0</v>
      </c>
      <c r="Z120" s="98">
        <f t="shared" si="2"/>
        <v>0</v>
      </c>
    </row>
    <row r="121" spans="2:26" s="37" customFormat="1" ht="13.5" customHeight="1" x14ac:dyDescent="0.2">
      <c r="B121" s="206" t="str">
        <f>IF('5. PERSON'!C117="","",'5. PERSON'!C117)</f>
        <v/>
      </c>
      <c r="C121" s="933">
        <f>('5. PERSON'!G117+'5. PERSON'!H117+'5. PERSON'!I117+'5. PERSON'!J117+'5. PERSON'!K117+'5. PERSON'!L117+'5. PERSON'!M117+'5. PERSON'!N117+'5. PERSON'!O117+'5. PERSON'!P117)/((YEAR('2. START'!$C$19)-YEAR('2. START'!$C$18))*12+MONTH('2. START'!$C$19)-MONTH('2. START'!$C$18)+1)</f>
        <v>0</v>
      </c>
      <c r="D121" s="933">
        <f>(('5. PERSON'!$G117+'5. PERSON'!$H117+'5. PERSON'!$I117+'5. PERSON'!$J117+'5. PERSON'!$K117+'5. PERSON'!$L117+'5. PERSON'!$M117+'5. PERSON'!$N117+'5. PERSON'!$O117+'5. PERSON'!$P117)*(1-'5. PERSON'!E117))/((YEAR('2. START'!$C$19)-YEAR('2. START'!$C$18))*12+MONTH('2. START'!$C$19)-MONTH('2. START'!$C$18)+1)</f>
        <v>0</v>
      </c>
      <c r="E121" s="87">
        <f>'5. PERSON'!AT117</f>
        <v>0</v>
      </c>
      <c r="F121" s="87">
        <f>'5. PERSON'!AU117</f>
        <v>0</v>
      </c>
      <c r="G121" s="87">
        <f>'5. PERSON'!AV117</f>
        <v>0</v>
      </c>
      <c r="H121" s="87">
        <f>'5. PERSON'!AW117</f>
        <v>0</v>
      </c>
      <c r="I121" s="87">
        <f>'5. PERSON'!AX117</f>
        <v>0</v>
      </c>
      <c r="J121" s="87">
        <f>'5. PERSON'!AY117</f>
        <v>0</v>
      </c>
      <c r="K121" s="87">
        <f>'5. PERSON'!AZ117</f>
        <v>0</v>
      </c>
      <c r="L121" s="87">
        <f>'5. PERSON'!BA117</f>
        <v>0</v>
      </c>
      <c r="M121" s="87">
        <f>'5. PERSON'!BB117</f>
        <v>0</v>
      </c>
      <c r="N121" s="87">
        <f>'5. PERSON'!BC117</f>
        <v>0</v>
      </c>
      <c r="O121" s="87">
        <f>'5. PERSON'!BD117</f>
        <v>0</v>
      </c>
      <c r="P121" s="87">
        <f>'5. PERSON'!BF117</f>
        <v>0</v>
      </c>
      <c r="Q121" s="87">
        <f>'5. PERSON'!BG117</f>
        <v>0</v>
      </c>
      <c r="R121" s="87">
        <f>'5. PERSON'!BH117</f>
        <v>0</v>
      </c>
      <c r="S121" s="87">
        <f>'5. PERSON'!BI117</f>
        <v>0</v>
      </c>
      <c r="T121" s="87">
        <f>'5. PERSON'!BJ117</f>
        <v>0</v>
      </c>
      <c r="U121" s="87">
        <f>'5. PERSON'!BK117</f>
        <v>0</v>
      </c>
      <c r="V121" s="87">
        <f>'5. PERSON'!BL117</f>
        <v>0</v>
      </c>
      <c r="W121" s="87">
        <f>'5. PERSON'!BM117</f>
        <v>0</v>
      </c>
      <c r="X121" s="87">
        <f>'5. PERSON'!BN117</f>
        <v>0</v>
      </c>
      <c r="Y121" s="87">
        <f>'5. PERSON'!BO117</f>
        <v>0</v>
      </c>
      <c r="Z121" s="87">
        <f t="shared" si="2"/>
        <v>0</v>
      </c>
    </row>
    <row r="122" spans="2:26" s="37" customFormat="1" ht="13.5" customHeight="1" x14ac:dyDescent="0.2">
      <c r="B122" s="214" t="str">
        <f>IF('5. PERSON'!C118="","",'5. PERSON'!C118)</f>
        <v/>
      </c>
      <c r="C122" s="934">
        <f>('5. PERSON'!G118+'5. PERSON'!H118+'5. PERSON'!I118+'5. PERSON'!J118+'5. PERSON'!K118+'5. PERSON'!L118+'5. PERSON'!M118+'5. PERSON'!N118+'5. PERSON'!O118+'5. PERSON'!P118)/((YEAR('2. START'!$C$19)-YEAR('2. START'!$C$18))*12+MONTH('2. START'!$C$19)-MONTH('2. START'!$C$18)+1)</f>
        <v>0</v>
      </c>
      <c r="D122" s="934">
        <f>(('5. PERSON'!$G118+'5. PERSON'!$H118+'5. PERSON'!$I118+'5. PERSON'!$J118+'5. PERSON'!$K118+'5. PERSON'!$L118+'5. PERSON'!$M118+'5. PERSON'!$N118+'5. PERSON'!$O118+'5. PERSON'!$P118)*(1-'5. PERSON'!E118))/((YEAR('2. START'!$C$19)-YEAR('2. START'!$C$18))*12+MONTH('2. START'!$C$19)-MONTH('2. START'!$C$18)+1)</f>
        <v>0</v>
      </c>
      <c r="E122" s="98">
        <f>'5. PERSON'!AT118</f>
        <v>0</v>
      </c>
      <c r="F122" s="98">
        <f>'5. PERSON'!AU118</f>
        <v>0</v>
      </c>
      <c r="G122" s="98">
        <f>'5. PERSON'!AV118</f>
        <v>0</v>
      </c>
      <c r="H122" s="98">
        <f>'5. PERSON'!AW118</f>
        <v>0</v>
      </c>
      <c r="I122" s="98">
        <f>'5. PERSON'!AX118</f>
        <v>0</v>
      </c>
      <c r="J122" s="98">
        <f>'5. PERSON'!AY118</f>
        <v>0</v>
      </c>
      <c r="K122" s="98">
        <f>'5. PERSON'!AZ118</f>
        <v>0</v>
      </c>
      <c r="L122" s="98">
        <f>'5. PERSON'!BA118</f>
        <v>0</v>
      </c>
      <c r="M122" s="98">
        <f>'5. PERSON'!BB118</f>
        <v>0</v>
      </c>
      <c r="N122" s="98">
        <f>'5. PERSON'!BC118</f>
        <v>0</v>
      </c>
      <c r="O122" s="98">
        <f>'5. PERSON'!BD118</f>
        <v>0</v>
      </c>
      <c r="P122" s="98">
        <f>'5. PERSON'!BF118</f>
        <v>0</v>
      </c>
      <c r="Q122" s="98">
        <f>'5. PERSON'!BG118</f>
        <v>0</v>
      </c>
      <c r="R122" s="98">
        <f>'5. PERSON'!BH118</f>
        <v>0</v>
      </c>
      <c r="S122" s="98">
        <f>'5. PERSON'!BI118</f>
        <v>0</v>
      </c>
      <c r="T122" s="98">
        <f>'5. PERSON'!BJ118</f>
        <v>0</v>
      </c>
      <c r="U122" s="98">
        <f>'5. PERSON'!BK118</f>
        <v>0</v>
      </c>
      <c r="V122" s="98">
        <f>'5. PERSON'!BL118</f>
        <v>0</v>
      </c>
      <c r="W122" s="98">
        <f>'5. PERSON'!BM118</f>
        <v>0</v>
      </c>
      <c r="X122" s="98">
        <f>'5. PERSON'!BN118</f>
        <v>0</v>
      </c>
      <c r="Y122" s="98">
        <f>'5. PERSON'!BO118</f>
        <v>0</v>
      </c>
      <c r="Z122" s="98">
        <f t="shared" si="2"/>
        <v>0</v>
      </c>
    </row>
    <row r="123" spans="2:26" s="37" customFormat="1" ht="13.5" customHeight="1" x14ac:dyDescent="0.2">
      <c r="B123" s="206" t="str">
        <f>IF('5. PERSON'!C119="","",'5. PERSON'!C119)</f>
        <v/>
      </c>
      <c r="C123" s="933">
        <f>('5. PERSON'!G119+'5. PERSON'!H119+'5. PERSON'!I119+'5. PERSON'!J119+'5. PERSON'!K119+'5. PERSON'!L119+'5. PERSON'!M119+'5. PERSON'!N119+'5. PERSON'!O119+'5. PERSON'!P119)/((YEAR('2. START'!$C$19)-YEAR('2. START'!$C$18))*12+MONTH('2. START'!$C$19)-MONTH('2. START'!$C$18)+1)</f>
        <v>0</v>
      </c>
      <c r="D123" s="933">
        <f>(('5. PERSON'!$G119+'5. PERSON'!$H119+'5. PERSON'!$I119+'5. PERSON'!$J119+'5. PERSON'!$K119+'5. PERSON'!$L119+'5. PERSON'!$M119+'5. PERSON'!$N119+'5. PERSON'!$O119+'5. PERSON'!$P119)*(1-'5. PERSON'!E119))/((YEAR('2. START'!$C$19)-YEAR('2. START'!$C$18))*12+MONTH('2. START'!$C$19)-MONTH('2. START'!$C$18)+1)</f>
        <v>0</v>
      </c>
      <c r="E123" s="87">
        <f>'5. PERSON'!AT119</f>
        <v>0</v>
      </c>
      <c r="F123" s="87">
        <f>'5. PERSON'!AU119</f>
        <v>0</v>
      </c>
      <c r="G123" s="87">
        <f>'5. PERSON'!AV119</f>
        <v>0</v>
      </c>
      <c r="H123" s="87">
        <f>'5. PERSON'!AW119</f>
        <v>0</v>
      </c>
      <c r="I123" s="87">
        <f>'5. PERSON'!AX119</f>
        <v>0</v>
      </c>
      <c r="J123" s="87">
        <f>'5. PERSON'!AY119</f>
        <v>0</v>
      </c>
      <c r="K123" s="87">
        <f>'5. PERSON'!AZ119</f>
        <v>0</v>
      </c>
      <c r="L123" s="87">
        <f>'5. PERSON'!BA119</f>
        <v>0</v>
      </c>
      <c r="M123" s="87">
        <f>'5. PERSON'!BB119</f>
        <v>0</v>
      </c>
      <c r="N123" s="87">
        <f>'5. PERSON'!BC119</f>
        <v>0</v>
      </c>
      <c r="O123" s="87">
        <f>'5. PERSON'!BD119</f>
        <v>0</v>
      </c>
      <c r="P123" s="87">
        <f>'5. PERSON'!BF119</f>
        <v>0</v>
      </c>
      <c r="Q123" s="87">
        <f>'5. PERSON'!BG119</f>
        <v>0</v>
      </c>
      <c r="R123" s="87">
        <f>'5. PERSON'!BH119</f>
        <v>0</v>
      </c>
      <c r="S123" s="87">
        <f>'5. PERSON'!BI119</f>
        <v>0</v>
      </c>
      <c r="T123" s="87">
        <f>'5. PERSON'!BJ119</f>
        <v>0</v>
      </c>
      <c r="U123" s="87">
        <f>'5. PERSON'!BK119</f>
        <v>0</v>
      </c>
      <c r="V123" s="87">
        <f>'5. PERSON'!BL119</f>
        <v>0</v>
      </c>
      <c r="W123" s="87">
        <f>'5. PERSON'!BM119</f>
        <v>0</v>
      </c>
      <c r="X123" s="87">
        <f>'5. PERSON'!BN119</f>
        <v>0</v>
      </c>
      <c r="Y123" s="87">
        <f>'5. PERSON'!BO119</f>
        <v>0</v>
      </c>
      <c r="Z123" s="87">
        <f t="shared" si="2"/>
        <v>0</v>
      </c>
    </row>
    <row r="124" spans="2:26" s="37" customFormat="1" ht="13.5" customHeight="1" x14ac:dyDescent="0.2">
      <c r="B124" s="214" t="str">
        <f>IF('5. PERSON'!C120="","",'5. PERSON'!C120)</f>
        <v/>
      </c>
      <c r="C124" s="934">
        <f>('5. PERSON'!G120+'5. PERSON'!H120+'5. PERSON'!I120+'5. PERSON'!J120+'5. PERSON'!K120+'5. PERSON'!L120+'5. PERSON'!M120+'5. PERSON'!N120+'5. PERSON'!O120+'5. PERSON'!P120)/((YEAR('2. START'!$C$19)-YEAR('2. START'!$C$18))*12+MONTH('2. START'!$C$19)-MONTH('2. START'!$C$18)+1)</f>
        <v>0</v>
      </c>
      <c r="D124" s="934">
        <f>(('5. PERSON'!$G120+'5. PERSON'!$H120+'5. PERSON'!$I120+'5. PERSON'!$J120+'5. PERSON'!$K120+'5. PERSON'!$L120+'5. PERSON'!$M120+'5. PERSON'!$N120+'5. PERSON'!$O120+'5. PERSON'!$P120)*(1-'5. PERSON'!E120))/((YEAR('2. START'!$C$19)-YEAR('2. START'!$C$18))*12+MONTH('2. START'!$C$19)-MONTH('2. START'!$C$18)+1)</f>
        <v>0</v>
      </c>
      <c r="E124" s="98">
        <f>'5. PERSON'!AT120</f>
        <v>0</v>
      </c>
      <c r="F124" s="98">
        <f>'5. PERSON'!AU120</f>
        <v>0</v>
      </c>
      <c r="G124" s="98">
        <f>'5. PERSON'!AV120</f>
        <v>0</v>
      </c>
      <c r="H124" s="98">
        <f>'5. PERSON'!AW120</f>
        <v>0</v>
      </c>
      <c r="I124" s="98">
        <f>'5. PERSON'!AX120</f>
        <v>0</v>
      </c>
      <c r="J124" s="98">
        <f>'5. PERSON'!AY120</f>
        <v>0</v>
      </c>
      <c r="K124" s="98">
        <f>'5. PERSON'!AZ120</f>
        <v>0</v>
      </c>
      <c r="L124" s="98">
        <f>'5. PERSON'!BA120</f>
        <v>0</v>
      </c>
      <c r="M124" s="98">
        <f>'5. PERSON'!BB120</f>
        <v>0</v>
      </c>
      <c r="N124" s="98">
        <f>'5. PERSON'!BC120</f>
        <v>0</v>
      </c>
      <c r="O124" s="98">
        <f>'5. PERSON'!BD120</f>
        <v>0</v>
      </c>
      <c r="P124" s="98">
        <f>'5. PERSON'!BF120</f>
        <v>0</v>
      </c>
      <c r="Q124" s="98">
        <f>'5. PERSON'!BG120</f>
        <v>0</v>
      </c>
      <c r="R124" s="98">
        <f>'5. PERSON'!BH120</f>
        <v>0</v>
      </c>
      <c r="S124" s="98">
        <f>'5. PERSON'!BI120</f>
        <v>0</v>
      </c>
      <c r="T124" s="98">
        <f>'5. PERSON'!BJ120</f>
        <v>0</v>
      </c>
      <c r="U124" s="98">
        <f>'5. PERSON'!BK120</f>
        <v>0</v>
      </c>
      <c r="V124" s="98">
        <f>'5. PERSON'!BL120</f>
        <v>0</v>
      </c>
      <c r="W124" s="98">
        <f>'5. PERSON'!BM120</f>
        <v>0</v>
      </c>
      <c r="X124" s="98">
        <f>'5. PERSON'!BN120</f>
        <v>0</v>
      </c>
      <c r="Y124" s="98">
        <f>'5. PERSON'!BO120</f>
        <v>0</v>
      </c>
      <c r="Z124" s="98">
        <f t="shared" si="2"/>
        <v>0</v>
      </c>
    </row>
    <row r="125" spans="2:26" s="37" customFormat="1" ht="13.5" customHeight="1" x14ac:dyDescent="0.2">
      <c r="B125" s="206" t="str">
        <f>IF('5. PERSON'!C121="","",'5. PERSON'!C121)</f>
        <v/>
      </c>
      <c r="C125" s="933">
        <f>('5. PERSON'!G121+'5. PERSON'!H121+'5. PERSON'!I121+'5. PERSON'!J121+'5. PERSON'!K121+'5. PERSON'!L121+'5. PERSON'!M121+'5. PERSON'!N121+'5. PERSON'!O121+'5. PERSON'!P121)/((YEAR('2. START'!$C$19)-YEAR('2. START'!$C$18))*12+MONTH('2. START'!$C$19)-MONTH('2. START'!$C$18)+1)</f>
        <v>0</v>
      </c>
      <c r="D125" s="933">
        <f>(('5. PERSON'!$G121+'5. PERSON'!$H121+'5. PERSON'!$I121+'5. PERSON'!$J121+'5. PERSON'!$K121+'5. PERSON'!$L121+'5. PERSON'!$M121+'5. PERSON'!$N121+'5. PERSON'!$O121+'5. PERSON'!$P121)*(1-'5. PERSON'!E121))/((YEAR('2. START'!$C$19)-YEAR('2. START'!$C$18))*12+MONTH('2. START'!$C$19)-MONTH('2. START'!$C$18)+1)</f>
        <v>0</v>
      </c>
      <c r="E125" s="87">
        <f>'5. PERSON'!AT121</f>
        <v>0</v>
      </c>
      <c r="F125" s="87">
        <f>'5. PERSON'!AU121</f>
        <v>0</v>
      </c>
      <c r="G125" s="87">
        <f>'5. PERSON'!AV121</f>
        <v>0</v>
      </c>
      <c r="H125" s="87">
        <f>'5. PERSON'!AW121</f>
        <v>0</v>
      </c>
      <c r="I125" s="87">
        <f>'5. PERSON'!AX121</f>
        <v>0</v>
      </c>
      <c r="J125" s="87">
        <f>'5. PERSON'!AY121</f>
        <v>0</v>
      </c>
      <c r="K125" s="87">
        <f>'5. PERSON'!AZ121</f>
        <v>0</v>
      </c>
      <c r="L125" s="87">
        <f>'5. PERSON'!BA121</f>
        <v>0</v>
      </c>
      <c r="M125" s="87">
        <f>'5. PERSON'!BB121</f>
        <v>0</v>
      </c>
      <c r="N125" s="87">
        <f>'5. PERSON'!BC121</f>
        <v>0</v>
      </c>
      <c r="O125" s="87">
        <f>'5. PERSON'!BD121</f>
        <v>0</v>
      </c>
      <c r="P125" s="87">
        <f>'5. PERSON'!BF121</f>
        <v>0</v>
      </c>
      <c r="Q125" s="87">
        <f>'5. PERSON'!BG121</f>
        <v>0</v>
      </c>
      <c r="R125" s="87">
        <f>'5. PERSON'!BH121</f>
        <v>0</v>
      </c>
      <c r="S125" s="87">
        <f>'5. PERSON'!BI121</f>
        <v>0</v>
      </c>
      <c r="T125" s="87">
        <f>'5. PERSON'!BJ121</f>
        <v>0</v>
      </c>
      <c r="U125" s="87">
        <f>'5. PERSON'!BK121</f>
        <v>0</v>
      </c>
      <c r="V125" s="87">
        <f>'5. PERSON'!BL121</f>
        <v>0</v>
      </c>
      <c r="W125" s="87">
        <f>'5. PERSON'!BM121</f>
        <v>0</v>
      </c>
      <c r="X125" s="87">
        <f>'5. PERSON'!BN121</f>
        <v>0</v>
      </c>
      <c r="Y125" s="87">
        <f>'5. PERSON'!BO121</f>
        <v>0</v>
      </c>
      <c r="Z125" s="87">
        <f t="shared" si="2"/>
        <v>0</v>
      </c>
    </row>
    <row r="126" spans="2:26" s="37" customFormat="1" ht="13.5" customHeight="1" x14ac:dyDescent="0.2">
      <c r="B126" s="214" t="str">
        <f>IF('5. PERSON'!C122="","",'5. PERSON'!C122)</f>
        <v/>
      </c>
      <c r="C126" s="934">
        <f>('5. PERSON'!G122+'5. PERSON'!H122+'5. PERSON'!I122+'5. PERSON'!J122+'5. PERSON'!K122+'5. PERSON'!L122+'5. PERSON'!M122+'5. PERSON'!N122+'5. PERSON'!O122+'5. PERSON'!P122)/((YEAR('2. START'!$C$19)-YEAR('2. START'!$C$18))*12+MONTH('2. START'!$C$19)-MONTH('2. START'!$C$18)+1)</f>
        <v>0</v>
      </c>
      <c r="D126" s="934">
        <f>(('5. PERSON'!$G122+'5. PERSON'!$H122+'5. PERSON'!$I122+'5. PERSON'!$J122+'5. PERSON'!$K122+'5. PERSON'!$L122+'5. PERSON'!$M122+'5. PERSON'!$N122+'5. PERSON'!$O122+'5. PERSON'!$P122)*(1-'5. PERSON'!E122))/((YEAR('2. START'!$C$19)-YEAR('2. START'!$C$18))*12+MONTH('2. START'!$C$19)-MONTH('2. START'!$C$18)+1)</f>
        <v>0</v>
      </c>
      <c r="E126" s="98">
        <f>'5. PERSON'!AT122</f>
        <v>0</v>
      </c>
      <c r="F126" s="98">
        <f>'5. PERSON'!AU122</f>
        <v>0</v>
      </c>
      <c r="G126" s="98">
        <f>'5. PERSON'!AV122</f>
        <v>0</v>
      </c>
      <c r="H126" s="98">
        <f>'5. PERSON'!AW122</f>
        <v>0</v>
      </c>
      <c r="I126" s="98">
        <f>'5. PERSON'!AX122</f>
        <v>0</v>
      </c>
      <c r="J126" s="98">
        <f>'5. PERSON'!AY122</f>
        <v>0</v>
      </c>
      <c r="K126" s="98">
        <f>'5. PERSON'!AZ122</f>
        <v>0</v>
      </c>
      <c r="L126" s="98">
        <f>'5. PERSON'!BA122</f>
        <v>0</v>
      </c>
      <c r="M126" s="98">
        <f>'5. PERSON'!BB122</f>
        <v>0</v>
      </c>
      <c r="N126" s="98">
        <f>'5. PERSON'!BC122</f>
        <v>0</v>
      </c>
      <c r="O126" s="98">
        <f>'5. PERSON'!BD122</f>
        <v>0</v>
      </c>
      <c r="P126" s="98">
        <f>'5. PERSON'!BF122</f>
        <v>0</v>
      </c>
      <c r="Q126" s="98">
        <f>'5. PERSON'!BG122</f>
        <v>0</v>
      </c>
      <c r="R126" s="98">
        <f>'5. PERSON'!BH122</f>
        <v>0</v>
      </c>
      <c r="S126" s="98">
        <f>'5. PERSON'!BI122</f>
        <v>0</v>
      </c>
      <c r="T126" s="98">
        <f>'5. PERSON'!BJ122</f>
        <v>0</v>
      </c>
      <c r="U126" s="98">
        <f>'5. PERSON'!BK122</f>
        <v>0</v>
      </c>
      <c r="V126" s="98">
        <f>'5. PERSON'!BL122</f>
        <v>0</v>
      </c>
      <c r="W126" s="98">
        <f>'5. PERSON'!BM122</f>
        <v>0</v>
      </c>
      <c r="X126" s="98">
        <f>'5. PERSON'!BN122</f>
        <v>0</v>
      </c>
      <c r="Y126" s="98">
        <f>'5. PERSON'!BO122</f>
        <v>0</v>
      </c>
      <c r="Z126" s="98">
        <f t="shared" si="2"/>
        <v>0</v>
      </c>
    </row>
    <row r="127" spans="2:26" s="37" customFormat="1" ht="13.5" customHeight="1" x14ac:dyDescent="0.2">
      <c r="B127" s="206" t="str">
        <f>IF('5. PERSON'!C123="","",'5. PERSON'!C123)</f>
        <v/>
      </c>
      <c r="C127" s="933">
        <f>('5. PERSON'!G123+'5. PERSON'!H123+'5. PERSON'!I123+'5. PERSON'!J123+'5. PERSON'!K123+'5. PERSON'!L123+'5. PERSON'!M123+'5. PERSON'!N123+'5. PERSON'!O123+'5. PERSON'!P123)/((YEAR('2. START'!$C$19)-YEAR('2. START'!$C$18))*12+MONTH('2. START'!$C$19)-MONTH('2. START'!$C$18)+1)</f>
        <v>0</v>
      </c>
      <c r="D127" s="933">
        <f>(('5. PERSON'!$G123+'5. PERSON'!$H123+'5. PERSON'!$I123+'5. PERSON'!$J123+'5. PERSON'!$K123+'5. PERSON'!$L123+'5. PERSON'!$M123+'5. PERSON'!$N123+'5. PERSON'!$O123+'5. PERSON'!$P123)*(1-'5. PERSON'!E123))/((YEAR('2. START'!$C$19)-YEAR('2. START'!$C$18))*12+MONTH('2. START'!$C$19)-MONTH('2. START'!$C$18)+1)</f>
        <v>0</v>
      </c>
      <c r="E127" s="87">
        <f>'5. PERSON'!AT123</f>
        <v>0</v>
      </c>
      <c r="F127" s="87">
        <f>'5. PERSON'!AU123</f>
        <v>0</v>
      </c>
      <c r="G127" s="87">
        <f>'5. PERSON'!AV123</f>
        <v>0</v>
      </c>
      <c r="H127" s="87">
        <f>'5. PERSON'!AW123</f>
        <v>0</v>
      </c>
      <c r="I127" s="87">
        <f>'5. PERSON'!AX123</f>
        <v>0</v>
      </c>
      <c r="J127" s="87">
        <f>'5. PERSON'!AY123</f>
        <v>0</v>
      </c>
      <c r="K127" s="87">
        <f>'5. PERSON'!AZ123</f>
        <v>0</v>
      </c>
      <c r="L127" s="87">
        <f>'5. PERSON'!BA123</f>
        <v>0</v>
      </c>
      <c r="M127" s="87">
        <f>'5. PERSON'!BB123</f>
        <v>0</v>
      </c>
      <c r="N127" s="87">
        <f>'5. PERSON'!BC123</f>
        <v>0</v>
      </c>
      <c r="O127" s="87">
        <f>'5. PERSON'!BD123</f>
        <v>0</v>
      </c>
      <c r="P127" s="87">
        <f>'5. PERSON'!BF123</f>
        <v>0</v>
      </c>
      <c r="Q127" s="87">
        <f>'5. PERSON'!BG123</f>
        <v>0</v>
      </c>
      <c r="R127" s="87">
        <f>'5. PERSON'!BH123</f>
        <v>0</v>
      </c>
      <c r="S127" s="87">
        <f>'5. PERSON'!BI123</f>
        <v>0</v>
      </c>
      <c r="T127" s="87">
        <f>'5. PERSON'!BJ123</f>
        <v>0</v>
      </c>
      <c r="U127" s="87">
        <f>'5. PERSON'!BK123</f>
        <v>0</v>
      </c>
      <c r="V127" s="87">
        <f>'5. PERSON'!BL123</f>
        <v>0</v>
      </c>
      <c r="W127" s="87">
        <f>'5. PERSON'!BM123</f>
        <v>0</v>
      </c>
      <c r="X127" s="87">
        <f>'5. PERSON'!BN123</f>
        <v>0</v>
      </c>
      <c r="Y127" s="87">
        <f>'5. PERSON'!BO123</f>
        <v>0</v>
      </c>
      <c r="Z127" s="87">
        <f t="shared" si="2"/>
        <v>0</v>
      </c>
    </row>
    <row r="128" spans="2:26" s="37" customFormat="1" ht="13.5" customHeight="1" x14ac:dyDescent="0.2">
      <c r="B128" s="214" t="str">
        <f>IF('5. PERSON'!C124="","",'5. PERSON'!C124)</f>
        <v/>
      </c>
      <c r="C128" s="934">
        <f>('5. PERSON'!G124+'5. PERSON'!H124+'5. PERSON'!I124+'5. PERSON'!J124+'5. PERSON'!K124+'5. PERSON'!L124+'5. PERSON'!M124+'5. PERSON'!N124+'5. PERSON'!O124+'5. PERSON'!P124)/((YEAR('2. START'!$C$19)-YEAR('2. START'!$C$18))*12+MONTH('2. START'!$C$19)-MONTH('2. START'!$C$18)+1)</f>
        <v>0</v>
      </c>
      <c r="D128" s="934">
        <f>(('5. PERSON'!$G124+'5. PERSON'!$H124+'5. PERSON'!$I124+'5. PERSON'!$J124+'5. PERSON'!$K124+'5. PERSON'!$L124+'5. PERSON'!$M124+'5. PERSON'!$N124+'5. PERSON'!$O124+'5. PERSON'!$P124)*(1-'5. PERSON'!E124))/((YEAR('2. START'!$C$19)-YEAR('2. START'!$C$18))*12+MONTH('2. START'!$C$19)-MONTH('2. START'!$C$18)+1)</f>
        <v>0</v>
      </c>
      <c r="E128" s="98">
        <f>'5. PERSON'!AT124</f>
        <v>0</v>
      </c>
      <c r="F128" s="98">
        <f>'5. PERSON'!AU124</f>
        <v>0</v>
      </c>
      <c r="G128" s="98">
        <f>'5. PERSON'!AV124</f>
        <v>0</v>
      </c>
      <c r="H128" s="98">
        <f>'5. PERSON'!AW124</f>
        <v>0</v>
      </c>
      <c r="I128" s="98">
        <f>'5. PERSON'!AX124</f>
        <v>0</v>
      </c>
      <c r="J128" s="98">
        <f>'5. PERSON'!AY124</f>
        <v>0</v>
      </c>
      <c r="K128" s="98">
        <f>'5. PERSON'!AZ124</f>
        <v>0</v>
      </c>
      <c r="L128" s="98">
        <f>'5. PERSON'!BA124</f>
        <v>0</v>
      </c>
      <c r="M128" s="98">
        <f>'5. PERSON'!BB124</f>
        <v>0</v>
      </c>
      <c r="N128" s="98">
        <f>'5. PERSON'!BC124</f>
        <v>0</v>
      </c>
      <c r="O128" s="98">
        <f>'5. PERSON'!BD124</f>
        <v>0</v>
      </c>
      <c r="P128" s="98">
        <f>'5. PERSON'!BF124</f>
        <v>0</v>
      </c>
      <c r="Q128" s="98">
        <f>'5. PERSON'!BG124</f>
        <v>0</v>
      </c>
      <c r="R128" s="98">
        <f>'5. PERSON'!BH124</f>
        <v>0</v>
      </c>
      <c r="S128" s="98">
        <f>'5. PERSON'!BI124</f>
        <v>0</v>
      </c>
      <c r="T128" s="98">
        <f>'5. PERSON'!BJ124</f>
        <v>0</v>
      </c>
      <c r="U128" s="98">
        <f>'5. PERSON'!BK124</f>
        <v>0</v>
      </c>
      <c r="V128" s="98">
        <f>'5. PERSON'!BL124</f>
        <v>0</v>
      </c>
      <c r="W128" s="98">
        <f>'5. PERSON'!BM124</f>
        <v>0</v>
      </c>
      <c r="X128" s="98">
        <f>'5. PERSON'!BN124</f>
        <v>0</v>
      </c>
      <c r="Y128" s="98">
        <f>'5. PERSON'!BO124</f>
        <v>0</v>
      </c>
      <c r="Z128" s="98">
        <f t="shared" si="2"/>
        <v>0</v>
      </c>
    </row>
    <row r="129" spans="2:26" s="37" customFormat="1" ht="13.5" customHeight="1" x14ac:dyDescent="0.2">
      <c r="B129" s="206" t="str">
        <f>IF('5. PERSON'!C125="","",'5. PERSON'!C125)</f>
        <v/>
      </c>
      <c r="C129" s="933">
        <f>('5. PERSON'!G125+'5. PERSON'!H125+'5. PERSON'!I125+'5. PERSON'!J125+'5. PERSON'!K125+'5. PERSON'!L125+'5. PERSON'!M125+'5. PERSON'!N125+'5. PERSON'!O125+'5. PERSON'!P125)/((YEAR('2. START'!$C$19)-YEAR('2. START'!$C$18))*12+MONTH('2. START'!$C$19)-MONTH('2. START'!$C$18)+1)</f>
        <v>0</v>
      </c>
      <c r="D129" s="933">
        <f>(('5. PERSON'!$G125+'5. PERSON'!$H125+'5. PERSON'!$I125+'5. PERSON'!$J125+'5. PERSON'!$K125+'5. PERSON'!$L125+'5. PERSON'!$M125+'5. PERSON'!$N125+'5. PERSON'!$O125+'5. PERSON'!$P125)*(1-'5. PERSON'!E125))/((YEAR('2. START'!$C$19)-YEAR('2. START'!$C$18))*12+MONTH('2. START'!$C$19)-MONTH('2. START'!$C$18)+1)</f>
        <v>0</v>
      </c>
      <c r="E129" s="87">
        <f>'5. PERSON'!AT125</f>
        <v>0</v>
      </c>
      <c r="F129" s="87">
        <f>'5. PERSON'!AU125</f>
        <v>0</v>
      </c>
      <c r="G129" s="87">
        <f>'5. PERSON'!AV125</f>
        <v>0</v>
      </c>
      <c r="H129" s="87">
        <f>'5. PERSON'!AW125</f>
        <v>0</v>
      </c>
      <c r="I129" s="87">
        <f>'5. PERSON'!AX125</f>
        <v>0</v>
      </c>
      <c r="J129" s="87">
        <f>'5. PERSON'!AY125</f>
        <v>0</v>
      </c>
      <c r="K129" s="87">
        <f>'5. PERSON'!AZ125</f>
        <v>0</v>
      </c>
      <c r="L129" s="87">
        <f>'5. PERSON'!BA125</f>
        <v>0</v>
      </c>
      <c r="M129" s="87">
        <f>'5. PERSON'!BB125</f>
        <v>0</v>
      </c>
      <c r="N129" s="87">
        <f>'5. PERSON'!BC125</f>
        <v>0</v>
      </c>
      <c r="O129" s="87">
        <f>'5. PERSON'!BD125</f>
        <v>0</v>
      </c>
      <c r="P129" s="87">
        <f>'5. PERSON'!BF125</f>
        <v>0</v>
      </c>
      <c r="Q129" s="87">
        <f>'5. PERSON'!BG125</f>
        <v>0</v>
      </c>
      <c r="R129" s="87">
        <f>'5. PERSON'!BH125</f>
        <v>0</v>
      </c>
      <c r="S129" s="87">
        <f>'5. PERSON'!BI125</f>
        <v>0</v>
      </c>
      <c r="T129" s="87">
        <f>'5. PERSON'!BJ125</f>
        <v>0</v>
      </c>
      <c r="U129" s="87">
        <f>'5. PERSON'!BK125</f>
        <v>0</v>
      </c>
      <c r="V129" s="87">
        <f>'5. PERSON'!BL125</f>
        <v>0</v>
      </c>
      <c r="W129" s="87">
        <f>'5. PERSON'!BM125</f>
        <v>0</v>
      </c>
      <c r="X129" s="87">
        <f>'5. PERSON'!BN125</f>
        <v>0</v>
      </c>
      <c r="Y129" s="87">
        <f>'5. PERSON'!BO125</f>
        <v>0</v>
      </c>
      <c r="Z129" s="87">
        <f t="shared" si="2"/>
        <v>0</v>
      </c>
    </row>
    <row r="130" spans="2:26" s="37" customFormat="1" ht="13.5" customHeight="1" x14ac:dyDescent="0.2">
      <c r="B130" s="214" t="str">
        <f>IF('5. PERSON'!C126="","",'5. PERSON'!C126)</f>
        <v/>
      </c>
      <c r="C130" s="934">
        <f>('5. PERSON'!G126+'5. PERSON'!H126+'5. PERSON'!I126+'5. PERSON'!J126+'5. PERSON'!K126+'5. PERSON'!L126+'5. PERSON'!M126+'5. PERSON'!N126+'5. PERSON'!O126+'5. PERSON'!P126)/((YEAR('2. START'!$C$19)-YEAR('2. START'!$C$18))*12+MONTH('2. START'!$C$19)-MONTH('2. START'!$C$18)+1)</f>
        <v>0</v>
      </c>
      <c r="D130" s="934">
        <f>(('5. PERSON'!$G126+'5. PERSON'!$H126+'5. PERSON'!$I126+'5. PERSON'!$J126+'5. PERSON'!$K126+'5. PERSON'!$L126+'5. PERSON'!$M126+'5. PERSON'!$N126+'5. PERSON'!$O126+'5. PERSON'!$P126)*(1-'5. PERSON'!E126))/((YEAR('2. START'!$C$19)-YEAR('2. START'!$C$18))*12+MONTH('2. START'!$C$19)-MONTH('2. START'!$C$18)+1)</f>
        <v>0</v>
      </c>
      <c r="E130" s="98">
        <f>'5. PERSON'!AT126</f>
        <v>0</v>
      </c>
      <c r="F130" s="98">
        <f>'5. PERSON'!AU126</f>
        <v>0</v>
      </c>
      <c r="G130" s="98">
        <f>'5. PERSON'!AV126</f>
        <v>0</v>
      </c>
      <c r="H130" s="98">
        <f>'5. PERSON'!AW126</f>
        <v>0</v>
      </c>
      <c r="I130" s="98">
        <f>'5. PERSON'!AX126</f>
        <v>0</v>
      </c>
      <c r="J130" s="98">
        <f>'5. PERSON'!AY126</f>
        <v>0</v>
      </c>
      <c r="K130" s="98">
        <f>'5. PERSON'!AZ126</f>
        <v>0</v>
      </c>
      <c r="L130" s="98">
        <f>'5. PERSON'!BA126</f>
        <v>0</v>
      </c>
      <c r="M130" s="98">
        <f>'5. PERSON'!BB126</f>
        <v>0</v>
      </c>
      <c r="N130" s="98">
        <f>'5. PERSON'!BC126</f>
        <v>0</v>
      </c>
      <c r="O130" s="98">
        <f>'5. PERSON'!BD126</f>
        <v>0</v>
      </c>
      <c r="P130" s="98">
        <f>'5. PERSON'!BF126</f>
        <v>0</v>
      </c>
      <c r="Q130" s="98">
        <f>'5. PERSON'!BG126</f>
        <v>0</v>
      </c>
      <c r="R130" s="98">
        <f>'5. PERSON'!BH126</f>
        <v>0</v>
      </c>
      <c r="S130" s="98">
        <f>'5. PERSON'!BI126</f>
        <v>0</v>
      </c>
      <c r="T130" s="98">
        <f>'5. PERSON'!BJ126</f>
        <v>0</v>
      </c>
      <c r="U130" s="98">
        <f>'5. PERSON'!BK126</f>
        <v>0</v>
      </c>
      <c r="V130" s="98">
        <f>'5. PERSON'!BL126</f>
        <v>0</v>
      </c>
      <c r="W130" s="98">
        <f>'5. PERSON'!BM126</f>
        <v>0</v>
      </c>
      <c r="X130" s="98">
        <f>'5. PERSON'!BN126</f>
        <v>0</v>
      </c>
      <c r="Y130" s="98">
        <f>'5. PERSON'!BO126</f>
        <v>0</v>
      </c>
      <c r="Z130" s="98">
        <f t="shared" si="2"/>
        <v>0</v>
      </c>
    </row>
    <row r="131" spans="2:26" s="37" customFormat="1" ht="13.5" customHeight="1" x14ac:dyDescent="0.2">
      <c r="B131" s="206" t="str">
        <f>IF('5. PERSON'!C127="","",'5. PERSON'!C127)</f>
        <v/>
      </c>
      <c r="C131" s="933">
        <f>('5. PERSON'!G127+'5. PERSON'!H127+'5. PERSON'!I127+'5. PERSON'!J127+'5. PERSON'!K127+'5. PERSON'!L127+'5. PERSON'!M127+'5. PERSON'!N127+'5. PERSON'!O127+'5. PERSON'!P127)/((YEAR('2. START'!$C$19)-YEAR('2. START'!$C$18))*12+MONTH('2. START'!$C$19)-MONTH('2. START'!$C$18)+1)</f>
        <v>0</v>
      </c>
      <c r="D131" s="933">
        <f>(('5. PERSON'!$G127+'5. PERSON'!$H127+'5. PERSON'!$I127+'5. PERSON'!$J127+'5. PERSON'!$K127+'5. PERSON'!$L127+'5. PERSON'!$M127+'5. PERSON'!$N127+'5. PERSON'!$O127+'5. PERSON'!$P127)*(1-'5. PERSON'!E127))/((YEAR('2. START'!$C$19)-YEAR('2. START'!$C$18))*12+MONTH('2. START'!$C$19)-MONTH('2. START'!$C$18)+1)</f>
        <v>0</v>
      </c>
      <c r="E131" s="87">
        <f>'5. PERSON'!AT127</f>
        <v>0</v>
      </c>
      <c r="F131" s="87">
        <f>'5. PERSON'!AU127</f>
        <v>0</v>
      </c>
      <c r="G131" s="87">
        <f>'5. PERSON'!AV127</f>
        <v>0</v>
      </c>
      <c r="H131" s="87">
        <f>'5. PERSON'!AW127</f>
        <v>0</v>
      </c>
      <c r="I131" s="87">
        <f>'5. PERSON'!AX127</f>
        <v>0</v>
      </c>
      <c r="J131" s="87">
        <f>'5. PERSON'!AY127</f>
        <v>0</v>
      </c>
      <c r="K131" s="87">
        <f>'5. PERSON'!AZ127</f>
        <v>0</v>
      </c>
      <c r="L131" s="87">
        <f>'5. PERSON'!BA127</f>
        <v>0</v>
      </c>
      <c r="M131" s="87">
        <f>'5. PERSON'!BB127</f>
        <v>0</v>
      </c>
      <c r="N131" s="87">
        <f>'5. PERSON'!BC127</f>
        <v>0</v>
      </c>
      <c r="O131" s="87">
        <f>'5. PERSON'!BD127</f>
        <v>0</v>
      </c>
      <c r="P131" s="87">
        <f>'5. PERSON'!BF127</f>
        <v>0</v>
      </c>
      <c r="Q131" s="87">
        <f>'5. PERSON'!BG127</f>
        <v>0</v>
      </c>
      <c r="R131" s="87">
        <f>'5. PERSON'!BH127</f>
        <v>0</v>
      </c>
      <c r="S131" s="87">
        <f>'5. PERSON'!BI127</f>
        <v>0</v>
      </c>
      <c r="T131" s="87">
        <f>'5. PERSON'!BJ127</f>
        <v>0</v>
      </c>
      <c r="U131" s="87">
        <f>'5. PERSON'!BK127</f>
        <v>0</v>
      </c>
      <c r="V131" s="87">
        <f>'5. PERSON'!BL127</f>
        <v>0</v>
      </c>
      <c r="W131" s="87">
        <f>'5. PERSON'!BM127</f>
        <v>0</v>
      </c>
      <c r="X131" s="87">
        <f>'5. PERSON'!BN127</f>
        <v>0</v>
      </c>
      <c r="Y131" s="87">
        <f>'5. PERSON'!BO127</f>
        <v>0</v>
      </c>
      <c r="Z131" s="87">
        <f t="shared" si="2"/>
        <v>0</v>
      </c>
    </row>
    <row r="132" spans="2:26" s="37" customFormat="1" ht="13.5" customHeight="1" x14ac:dyDescent="0.2">
      <c r="B132" s="214" t="str">
        <f>IF('5. PERSON'!C128="","",'5. PERSON'!C128)</f>
        <v/>
      </c>
      <c r="C132" s="934">
        <f>('5. PERSON'!G128+'5. PERSON'!H128+'5. PERSON'!I128+'5. PERSON'!J128+'5. PERSON'!K128+'5. PERSON'!L128+'5. PERSON'!M128+'5. PERSON'!N128+'5. PERSON'!O128+'5. PERSON'!P128)/((YEAR('2. START'!$C$19)-YEAR('2. START'!$C$18))*12+MONTH('2. START'!$C$19)-MONTH('2. START'!$C$18)+1)</f>
        <v>0</v>
      </c>
      <c r="D132" s="934">
        <f>(('5. PERSON'!$G128+'5. PERSON'!$H128+'5. PERSON'!$I128+'5. PERSON'!$J128+'5. PERSON'!$K128+'5. PERSON'!$L128+'5. PERSON'!$M128+'5. PERSON'!$N128+'5. PERSON'!$O128+'5. PERSON'!$P128)*(1-'5. PERSON'!E128))/((YEAR('2. START'!$C$19)-YEAR('2. START'!$C$18))*12+MONTH('2. START'!$C$19)-MONTH('2. START'!$C$18)+1)</f>
        <v>0</v>
      </c>
      <c r="E132" s="98">
        <f>'5. PERSON'!AT128</f>
        <v>0</v>
      </c>
      <c r="F132" s="98">
        <f>'5. PERSON'!AU128</f>
        <v>0</v>
      </c>
      <c r="G132" s="98">
        <f>'5. PERSON'!AV128</f>
        <v>0</v>
      </c>
      <c r="H132" s="98">
        <f>'5. PERSON'!AW128</f>
        <v>0</v>
      </c>
      <c r="I132" s="98">
        <f>'5. PERSON'!AX128</f>
        <v>0</v>
      </c>
      <c r="J132" s="98">
        <f>'5. PERSON'!AY128</f>
        <v>0</v>
      </c>
      <c r="K132" s="98">
        <f>'5. PERSON'!AZ128</f>
        <v>0</v>
      </c>
      <c r="L132" s="98">
        <f>'5. PERSON'!BA128</f>
        <v>0</v>
      </c>
      <c r="M132" s="98">
        <f>'5. PERSON'!BB128</f>
        <v>0</v>
      </c>
      <c r="N132" s="98">
        <f>'5. PERSON'!BC128</f>
        <v>0</v>
      </c>
      <c r="O132" s="98">
        <f>'5. PERSON'!BD128</f>
        <v>0</v>
      </c>
      <c r="P132" s="98">
        <f>'5. PERSON'!BF128</f>
        <v>0</v>
      </c>
      <c r="Q132" s="98">
        <f>'5. PERSON'!BG128</f>
        <v>0</v>
      </c>
      <c r="R132" s="98">
        <f>'5. PERSON'!BH128</f>
        <v>0</v>
      </c>
      <c r="S132" s="98">
        <f>'5. PERSON'!BI128</f>
        <v>0</v>
      </c>
      <c r="T132" s="98">
        <f>'5. PERSON'!BJ128</f>
        <v>0</v>
      </c>
      <c r="U132" s="98">
        <f>'5. PERSON'!BK128</f>
        <v>0</v>
      </c>
      <c r="V132" s="98">
        <f>'5. PERSON'!BL128</f>
        <v>0</v>
      </c>
      <c r="W132" s="98">
        <f>'5. PERSON'!BM128</f>
        <v>0</v>
      </c>
      <c r="X132" s="98">
        <f>'5. PERSON'!BN128</f>
        <v>0</v>
      </c>
      <c r="Y132" s="98">
        <f>'5. PERSON'!BO128</f>
        <v>0</v>
      </c>
      <c r="Z132" s="98">
        <f t="shared" si="2"/>
        <v>0</v>
      </c>
    </row>
    <row r="133" spans="2:26" s="37" customFormat="1" ht="13.5" customHeight="1" x14ac:dyDescent="0.2">
      <c r="B133" s="206" t="str">
        <f>IF('5. PERSON'!C129="","",'5. PERSON'!C129)</f>
        <v/>
      </c>
      <c r="C133" s="933">
        <f>('5. PERSON'!G129+'5. PERSON'!H129+'5. PERSON'!I129+'5. PERSON'!J129+'5. PERSON'!K129+'5. PERSON'!L129+'5. PERSON'!M129+'5. PERSON'!N129+'5. PERSON'!O129+'5. PERSON'!P129)/((YEAR('2. START'!$C$19)-YEAR('2. START'!$C$18))*12+MONTH('2. START'!$C$19)-MONTH('2. START'!$C$18)+1)</f>
        <v>0</v>
      </c>
      <c r="D133" s="933">
        <f>(('5. PERSON'!$G129+'5. PERSON'!$H129+'5. PERSON'!$I129+'5. PERSON'!$J129+'5. PERSON'!$K129+'5. PERSON'!$L129+'5. PERSON'!$M129+'5. PERSON'!$N129+'5. PERSON'!$O129+'5. PERSON'!$P129)*(1-'5. PERSON'!E129))/((YEAR('2. START'!$C$19)-YEAR('2. START'!$C$18))*12+MONTH('2. START'!$C$19)-MONTH('2. START'!$C$18)+1)</f>
        <v>0</v>
      </c>
      <c r="E133" s="87">
        <f>'5. PERSON'!AT129</f>
        <v>0</v>
      </c>
      <c r="F133" s="87">
        <f>'5. PERSON'!AU129</f>
        <v>0</v>
      </c>
      <c r="G133" s="87">
        <f>'5. PERSON'!AV129</f>
        <v>0</v>
      </c>
      <c r="H133" s="87">
        <f>'5. PERSON'!AW129</f>
        <v>0</v>
      </c>
      <c r="I133" s="87">
        <f>'5. PERSON'!AX129</f>
        <v>0</v>
      </c>
      <c r="J133" s="87">
        <f>'5. PERSON'!AY129</f>
        <v>0</v>
      </c>
      <c r="K133" s="87">
        <f>'5. PERSON'!AZ129</f>
        <v>0</v>
      </c>
      <c r="L133" s="87">
        <f>'5. PERSON'!BA129</f>
        <v>0</v>
      </c>
      <c r="M133" s="87">
        <f>'5. PERSON'!BB129</f>
        <v>0</v>
      </c>
      <c r="N133" s="87">
        <f>'5. PERSON'!BC129</f>
        <v>0</v>
      </c>
      <c r="O133" s="87">
        <f>'5. PERSON'!BD129</f>
        <v>0</v>
      </c>
      <c r="P133" s="87">
        <f>'5. PERSON'!BF129</f>
        <v>0</v>
      </c>
      <c r="Q133" s="87">
        <f>'5. PERSON'!BG129</f>
        <v>0</v>
      </c>
      <c r="R133" s="87">
        <f>'5. PERSON'!BH129</f>
        <v>0</v>
      </c>
      <c r="S133" s="87">
        <f>'5. PERSON'!BI129</f>
        <v>0</v>
      </c>
      <c r="T133" s="87">
        <f>'5. PERSON'!BJ129</f>
        <v>0</v>
      </c>
      <c r="U133" s="87">
        <f>'5. PERSON'!BK129</f>
        <v>0</v>
      </c>
      <c r="V133" s="87">
        <f>'5. PERSON'!BL129</f>
        <v>0</v>
      </c>
      <c r="W133" s="87">
        <f>'5. PERSON'!BM129</f>
        <v>0</v>
      </c>
      <c r="X133" s="87">
        <f>'5. PERSON'!BN129</f>
        <v>0</v>
      </c>
      <c r="Y133" s="87">
        <f>'5. PERSON'!BO129</f>
        <v>0</v>
      </c>
      <c r="Z133" s="87">
        <f t="shared" si="2"/>
        <v>0</v>
      </c>
    </row>
    <row r="134" spans="2:26" s="37" customFormat="1" ht="13.5" customHeight="1" x14ac:dyDescent="0.2">
      <c r="B134" s="214" t="str">
        <f>IF('5. PERSON'!C130="","",'5. PERSON'!C130)</f>
        <v/>
      </c>
      <c r="C134" s="934">
        <f>('5. PERSON'!G130+'5. PERSON'!H130+'5. PERSON'!I130+'5. PERSON'!J130+'5. PERSON'!K130+'5. PERSON'!L130+'5. PERSON'!M130+'5. PERSON'!N130+'5. PERSON'!O130+'5. PERSON'!P130)/((YEAR('2. START'!$C$19)-YEAR('2. START'!$C$18))*12+MONTH('2. START'!$C$19)-MONTH('2. START'!$C$18)+1)</f>
        <v>0</v>
      </c>
      <c r="D134" s="934">
        <f>(('5. PERSON'!$G130+'5. PERSON'!$H130+'5. PERSON'!$I130+'5. PERSON'!$J130+'5. PERSON'!$K130+'5. PERSON'!$L130+'5. PERSON'!$M130+'5. PERSON'!$N130+'5. PERSON'!$O130+'5. PERSON'!$P130)*(1-'5. PERSON'!E130))/((YEAR('2. START'!$C$19)-YEAR('2. START'!$C$18))*12+MONTH('2. START'!$C$19)-MONTH('2. START'!$C$18)+1)</f>
        <v>0</v>
      </c>
      <c r="E134" s="98">
        <f>'5. PERSON'!AT130</f>
        <v>0</v>
      </c>
      <c r="F134" s="98">
        <f>'5. PERSON'!AU130</f>
        <v>0</v>
      </c>
      <c r="G134" s="98">
        <f>'5. PERSON'!AV130</f>
        <v>0</v>
      </c>
      <c r="H134" s="98">
        <f>'5. PERSON'!AW130</f>
        <v>0</v>
      </c>
      <c r="I134" s="98">
        <f>'5. PERSON'!AX130</f>
        <v>0</v>
      </c>
      <c r="J134" s="98">
        <f>'5. PERSON'!AY130</f>
        <v>0</v>
      </c>
      <c r="K134" s="98">
        <f>'5. PERSON'!AZ130</f>
        <v>0</v>
      </c>
      <c r="L134" s="98">
        <f>'5. PERSON'!BA130</f>
        <v>0</v>
      </c>
      <c r="M134" s="98">
        <f>'5. PERSON'!BB130</f>
        <v>0</v>
      </c>
      <c r="N134" s="98">
        <f>'5. PERSON'!BC130</f>
        <v>0</v>
      </c>
      <c r="O134" s="98">
        <f>'5. PERSON'!BD130</f>
        <v>0</v>
      </c>
      <c r="P134" s="98">
        <f>'5. PERSON'!BF130</f>
        <v>0</v>
      </c>
      <c r="Q134" s="98">
        <f>'5. PERSON'!BG130</f>
        <v>0</v>
      </c>
      <c r="R134" s="98">
        <f>'5. PERSON'!BH130</f>
        <v>0</v>
      </c>
      <c r="S134" s="98">
        <f>'5. PERSON'!BI130</f>
        <v>0</v>
      </c>
      <c r="T134" s="98">
        <f>'5. PERSON'!BJ130</f>
        <v>0</v>
      </c>
      <c r="U134" s="98">
        <f>'5. PERSON'!BK130</f>
        <v>0</v>
      </c>
      <c r="V134" s="98">
        <f>'5. PERSON'!BL130</f>
        <v>0</v>
      </c>
      <c r="W134" s="98">
        <f>'5. PERSON'!BM130</f>
        <v>0</v>
      </c>
      <c r="X134" s="98">
        <f>'5. PERSON'!BN130</f>
        <v>0</v>
      </c>
      <c r="Y134" s="98">
        <f>'5. PERSON'!BO130</f>
        <v>0</v>
      </c>
      <c r="Z134" s="98">
        <f t="shared" si="2"/>
        <v>0</v>
      </c>
    </row>
    <row r="135" spans="2:26" s="37" customFormat="1" ht="13.5" customHeight="1" x14ac:dyDescent="0.2">
      <c r="B135" s="206" t="str">
        <f>IF('5. PERSON'!C131="","",'5. PERSON'!C131)</f>
        <v/>
      </c>
      <c r="C135" s="933">
        <f>('5. PERSON'!G131+'5. PERSON'!H131+'5. PERSON'!I131+'5. PERSON'!J131+'5. PERSON'!K131+'5. PERSON'!L131+'5. PERSON'!M131+'5. PERSON'!N131+'5. PERSON'!O131+'5. PERSON'!P131)/((YEAR('2. START'!$C$19)-YEAR('2. START'!$C$18))*12+MONTH('2. START'!$C$19)-MONTH('2. START'!$C$18)+1)</f>
        <v>0</v>
      </c>
      <c r="D135" s="933">
        <f>(('5. PERSON'!$G131+'5. PERSON'!$H131+'5. PERSON'!$I131+'5. PERSON'!$J131+'5. PERSON'!$K131+'5. PERSON'!$L131+'5. PERSON'!$M131+'5. PERSON'!$N131+'5. PERSON'!$O131+'5. PERSON'!$P131)*(1-'5. PERSON'!E131))/((YEAR('2. START'!$C$19)-YEAR('2. START'!$C$18))*12+MONTH('2. START'!$C$19)-MONTH('2. START'!$C$18)+1)</f>
        <v>0</v>
      </c>
      <c r="E135" s="87">
        <f>'5. PERSON'!AT131</f>
        <v>0</v>
      </c>
      <c r="F135" s="87">
        <f>'5. PERSON'!AU131</f>
        <v>0</v>
      </c>
      <c r="G135" s="87">
        <f>'5. PERSON'!AV131</f>
        <v>0</v>
      </c>
      <c r="H135" s="87">
        <f>'5. PERSON'!AW131</f>
        <v>0</v>
      </c>
      <c r="I135" s="87">
        <f>'5. PERSON'!AX131</f>
        <v>0</v>
      </c>
      <c r="J135" s="87">
        <f>'5. PERSON'!AY131</f>
        <v>0</v>
      </c>
      <c r="K135" s="87">
        <f>'5. PERSON'!AZ131</f>
        <v>0</v>
      </c>
      <c r="L135" s="87">
        <f>'5. PERSON'!BA131</f>
        <v>0</v>
      </c>
      <c r="M135" s="87">
        <f>'5. PERSON'!BB131</f>
        <v>0</v>
      </c>
      <c r="N135" s="87">
        <f>'5. PERSON'!BC131</f>
        <v>0</v>
      </c>
      <c r="O135" s="87">
        <f>'5. PERSON'!BD131</f>
        <v>0</v>
      </c>
      <c r="P135" s="87">
        <f>'5. PERSON'!BF131</f>
        <v>0</v>
      </c>
      <c r="Q135" s="87">
        <f>'5. PERSON'!BG131</f>
        <v>0</v>
      </c>
      <c r="R135" s="87">
        <f>'5. PERSON'!BH131</f>
        <v>0</v>
      </c>
      <c r="S135" s="87">
        <f>'5. PERSON'!BI131</f>
        <v>0</v>
      </c>
      <c r="T135" s="87">
        <f>'5. PERSON'!BJ131</f>
        <v>0</v>
      </c>
      <c r="U135" s="87">
        <f>'5. PERSON'!BK131</f>
        <v>0</v>
      </c>
      <c r="V135" s="87">
        <f>'5. PERSON'!BL131</f>
        <v>0</v>
      </c>
      <c r="W135" s="87">
        <f>'5. PERSON'!BM131</f>
        <v>0</v>
      </c>
      <c r="X135" s="87">
        <f>'5. PERSON'!BN131</f>
        <v>0</v>
      </c>
      <c r="Y135" s="87">
        <f>'5. PERSON'!BO131</f>
        <v>0</v>
      </c>
      <c r="Z135" s="87">
        <f t="shared" si="2"/>
        <v>0</v>
      </c>
    </row>
    <row r="136" spans="2:26" s="37" customFormat="1" ht="13.5" customHeight="1" x14ac:dyDescent="0.2">
      <c r="B136" s="214" t="str">
        <f>IF('5. PERSON'!C132="","",'5. PERSON'!C132)</f>
        <v/>
      </c>
      <c r="C136" s="934">
        <f>('5. PERSON'!G132+'5. PERSON'!H132+'5. PERSON'!I132+'5. PERSON'!J132+'5. PERSON'!K132+'5. PERSON'!L132+'5. PERSON'!M132+'5. PERSON'!N132+'5. PERSON'!O132+'5. PERSON'!P132)/((YEAR('2. START'!$C$19)-YEAR('2. START'!$C$18))*12+MONTH('2. START'!$C$19)-MONTH('2. START'!$C$18)+1)</f>
        <v>0</v>
      </c>
      <c r="D136" s="934">
        <f>(('5. PERSON'!$G132+'5. PERSON'!$H132+'5. PERSON'!$I132+'5. PERSON'!$J132+'5. PERSON'!$K132+'5. PERSON'!$L132+'5. PERSON'!$M132+'5. PERSON'!$N132+'5. PERSON'!$O132+'5. PERSON'!$P132)*(1-'5. PERSON'!E132))/((YEAR('2. START'!$C$19)-YEAR('2. START'!$C$18))*12+MONTH('2. START'!$C$19)-MONTH('2. START'!$C$18)+1)</f>
        <v>0</v>
      </c>
      <c r="E136" s="98">
        <f>'5. PERSON'!AT132</f>
        <v>0</v>
      </c>
      <c r="F136" s="98">
        <f>'5. PERSON'!AU132</f>
        <v>0</v>
      </c>
      <c r="G136" s="98">
        <f>'5. PERSON'!AV132</f>
        <v>0</v>
      </c>
      <c r="H136" s="98">
        <f>'5. PERSON'!AW132</f>
        <v>0</v>
      </c>
      <c r="I136" s="98">
        <f>'5. PERSON'!AX132</f>
        <v>0</v>
      </c>
      <c r="J136" s="98">
        <f>'5. PERSON'!AY132</f>
        <v>0</v>
      </c>
      <c r="K136" s="98">
        <f>'5. PERSON'!AZ132</f>
        <v>0</v>
      </c>
      <c r="L136" s="98">
        <f>'5. PERSON'!BA132</f>
        <v>0</v>
      </c>
      <c r="M136" s="98">
        <f>'5. PERSON'!BB132</f>
        <v>0</v>
      </c>
      <c r="N136" s="98">
        <f>'5. PERSON'!BC132</f>
        <v>0</v>
      </c>
      <c r="O136" s="98">
        <f>'5. PERSON'!BD132</f>
        <v>0</v>
      </c>
      <c r="P136" s="98">
        <f>'5. PERSON'!BF132</f>
        <v>0</v>
      </c>
      <c r="Q136" s="98">
        <f>'5. PERSON'!BG132</f>
        <v>0</v>
      </c>
      <c r="R136" s="98">
        <f>'5. PERSON'!BH132</f>
        <v>0</v>
      </c>
      <c r="S136" s="98">
        <f>'5. PERSON'!BI132</f>
        <v>0</v>
      </c>
      <c r="T136" s="98">
        <f>'5. PERSON'!BJ132</f>
        <v>0</v>
      </c>
      <c r="U136" s="98">
        <f>'5. PERSON'!BK132</f>
        <v>0</v>
      </c>
      <c r="V136" s="98">
        <f>'5. PERSON'!BL132</f>
        <v>0</v>
      </c>
      <c r="W136" s="98">
        <f>'5. PERSON'!BM132</f>
        <v>0</v>
      </c>
      <c r="X136" s="98">
        <f>'5. PERSON'!BN132</f>
        <v>0</v>
      </c>
      <c r="Y136" s="98">
        <f>'5. PERSON'!BO132</f>
        <v>0</v>
      </c>
      <c r="Z136" s="98">
        <f t="shared" si="2"/>
        <v>0</v>
      </c>
    </row>
    <row r="137" spans="2:26" s="37" customFormat="1" ht="13.5" customHeight="1" x14ac:dyDescent="0.2">
      <c r="B137" s="206" t="str">
        <f>IF('5. PERSON'!C133="","",'5. PERSON'!C133)</f>
        <v/>
      </c>
      <c r="C137" s="933">
        <f>('5. PERSON'!G133+'5. PERSON'!H133+'5. PERSON'!I133+'5. PERSON'!J133+'5. PERSON'!K133+'5. PERSON'!L133+'5. PERSON'!M133+'5. PERSON'!N133+'5. PERSON'!O133+'5. PERSON'!P133)/((YEAR('2. START'!$C$19)-YEAR('2. START'!$C$18))*12+MONTH('2. START'!$C$19)-MONTH('2. START'!$C$18)+1)</f>
        <v>0</v>
      </c>
      <c r="D137" s="933">
        <f>(('5. PERSON'!$G133+'5. PERSON'!$H133+'5. PERSON'!$I133+'5. PERSON'!$J133+'5. PERSON'!$K133+'5. PERSON'!$L133+'5. PERSON'!$M133+'5. PERSON'!$N133+'5. PERSON'!$O133+'5. PERSON'!$P133)*(1-'5. PERSON'!E133))/((YEAR('2. START'!$C$19)-YEAR('2. START'!$C$18))*12+MONTH('2. START'!$C$19)-MONTH('2. START'!$C$18)+1)</f>
        <v>0</v>
      </c>
      <c r="E137" s="87">
        <f>'5. PERSON'!AT133</f>
        <v>0</v>
      </c>
      <c r="F137" s="87">
        <f>'5. PERSON'!AU133</f>
        <v>0</v>
      </c>
      <c r="G137" s="87">
        <f>'5. PERSON'!AV133</f>
        <v>0</v>
      </c>
      <c r="H137" s="87">
        <f>'5. PERSON'!AW133</f>
        <v>0</v>
      </c>
      <c r="I137" s="87">
        <f>'5. PERSON'!AX133</f>
        <v>0</v>
      </c>
      <c r="J137" s="87">
        <f>'5. PERSON'!AY133</f>
        <v>0</v>
      </c>
      <c r="K137" s="87">
        <f>'5. PERSON'!AZ133</f>
        <v>0</v>
      </c>
      <c r="L137" s="87">
        <f>'5. PERSON'!BA133</f>
        <v>0</v>
      </c>
      <c r="M137" s="87">
        <f>'5. PERSON'!BB133</f>
        <v>0</v>
      </c>
      <c r="N137" s="87">
        <f>'5. PERSON'!BC133</f>
        <v>0</v>
      </c>
      <c r="O137" s="87">
        <f>'5. PERSON'!BD133</f>
        <v>0</v>
      </c>
      <c r="P137" s="87">
        <f>'5. PERSON'!BF133</f>
        <v>0</v>
      </c>
      <c r="Q137" s="87">
        <f>'5. PERSON'!BG133</f>
        <v>0</v>
      </c>
      <c r="R137" s="87">
        <f>'5. PERSON'!BH133</f>
        <v>0</v>
      </c>
      <c r="S137" s="87">
        <f>'5. PERSON'!BI133</f>
        <v>0</v>
      </c>
      <c r="T137" s="87">
        <f>'5. PERSON'!BJ133</f>
        <v>0</v>
      </c>
      <c r="U137" s="87">
        <f>'5. PERSON'!BK133</f>
        <v>0</v>
      </c>
      <c r="V137" s="87">
        <f>'5. PERSON'!BL133</f>
        <v>0</v>
      </c>
      <c r="W137" s="87">
        <f>'5. PERSON'!BM133</f>
        <v>0</v>
      </c>
      <c r="X137" s="87">
        <f>'5. PERSON'!BN133</f>
        <v>0</v>
      </c>
      <c r="Y137" s="87">
        <f>'5. PERSON'!BO133</f>
        <v>0</v>
      </c>
      <c r="Z137" s="87">
        <f t="shared" si="2"/>
        <v>0</v>
      </c>
    </row>
    <row r="138" spans="2:26" s="37" customFormat="1" ht="13.5" customHeight="1" x14ac:dyDescent="0.2">
      <c r="B138" s="214" t="str">
        <f>IF('5. PERSON'!C134="","",'5. PERSON'!C134)</f>
        <v/>
      </c>
      <c r="C138" s="934">
        <f>('5. PERSON'!G134+'5. PERSON'!H134+'5. PERSON'!I134+'5. PERSON'!J134+'5. PERSON'!K134+'5. PERSON'!L134+'5. PERSON'!M134+'5. PERSON'!N134+'5. PERSON'!O134+'5. PERSON'!P134)/((YEAR('2. START'!$C$19)-YEAR('2. START'!$C$18))*12+MONTH('2. START'!$C$19)-MONTH('2. START'!$C$18)+1)</f>
        <v>0</v>
      </c>
      <c r="D138" s="934">
        <f>(('5. PERSON'!$G134+'5. PERSON'!$H134+'5. PERSON'!$I134+'5. PERSON'!$J134+'5. PERSON'!$K134+'5. PERSON'!$L134+'5. PERSON'!$M134+'5. PERSON'!$N134+'5. PERSON'!$O134+'5. PERSON'!$P134)*(1-'5. PERSON'!E134))/((YEAR('2. START'!$C$19)-YEAR('2. START'!$C$18))*12+MONTH('2. START'!$C$19)-MONTH('2. START'!$C$18)+1)</f>
        <v>0</v>
      </c>
      <c r="E138" s="98">
        <f>'5. PERSON'!AT134</f>
        <v>0</v>
      </c>
      <c r="F138" s="98">
        <f>'5. PERSON'!AU134</f>
        <v>0</v>
      </c>
      <c r="G138" s="98">
        <f>'5. PERSON'!AV134</f>
        <v>0</v>
      </c>
      <c r="H138" s="98">
        <f>'5. PERSON'!AW134</f>
        <v>0</v>
      </c>
      <c r="I138" s="98">
        <f>'5. PERSON'!AX134</f>
        <v>0</v>
      </c>
      <c r="J138" s="98">
        <f>'5. PERSON'!AY134</f>
        <v>0</v>
      </c>
      <c r="K138" s="98">
        <f>'5. PERSON'!AZ134</f>
        <v>0</v>
      </c>
      <c r="L138" s="98">
        <f>'5. PERSON'!BA134</f>
        <v>0</v>
      </c>
      <c r="M138" s="98">
        <f>'5. PERSON'!BB134</f>
        <v>0</v>
      </c>
      <c r="N138" s="98">
        <f>'5. PERSON'!BC134</f>
        <v>0</v>
      </c>
      <c r="O138" s="98">
        <f>'5. PERSON'!BD134</f>
        <v>0</v>
      </c>
      <c r="P138" s="98">
        <f>'5. PERSON'!BF134</f>
        <v>0</v>
      </c>
      <c r="Q138" s="98">
        <f>'5. PERSON'!BG134</f>
        <v>0</v>
      </c>
      <c r="R138" s="98">
        <f>'5. PERSON'!BH134</f>
        <v>0</v>
      </c>
      <c r="S138" s="98">
        <f>'5. PERSON'!BI134</f>
        <v>0</v>
      </c>
      <c r="T138" s="98">
        <f>'5. PERSON'!BJ134</f>
        <v>0</v>
      </c>
      <c r="U138" s="98">
        <f>'5. PERSON'!BK134</f>
        <v>0</v>
      </c>
      <c r="V138" s="98">
        <f>'5. PERSON'!BL134</f>
        <v>0</v>
      </c>
      <c r="W138" s="98">
        <f>'5. PERSON'!BM134</f>
        <v>0</v>
      </c>
      <c r="X138" s="98">
        <f>'5. PERSON'!BN134</f>
        <v>0</v>
      </c>
      <c r="Y138" s="98">
        <f>'5. PERSON'!BO134</f>
        <v>0</v>
      </c>
      <c r="Z138" s="98">
        <f t="shared" si="2"/>
        <v>0</v>
      </c>
    </row>
    <row r="139" spans="2:26" s="37" customFormat="1" ht="13.5" customHeight="1" x14ac:dyDescent="0.2">
      <c r="B139" s="206" t="str">
        <f>IF('5. PERSON'!C135="","",'5. PERSON'!C135)</f>
        <v/>
      </c>
      <c r="C139" s="933">
        <f>('5. PERSON'!G135+'5. PERSON'!H135+'5. PERSON'!I135+'5. PERSON'!J135+'5. PERSON'!K135+'5. PERSON'!L135+'5. PERSON'!M135+'5. PERSON'!N135+'5. PERSON'!O135+'5. PERSON'!P135)/((YEAR('2. START'!$C$19)-YEAR('2. START'!$C$18))*12+MONTH('2. START'!$C$19)-MONTH('2. START'!$C$18)+1)</f>
        <v>0</v>
      </c>
      <c r="D139" s="933">
        <f>(('5. PERSON'!$G135+'5. PERSON'!$H135+'5. PERSON'!$I135+'5. PERSON'!$J135+'5. PERSON'!$K135+'5. PERSON'!$L135+'5. PERSON'!$M135+'5. PERSON'!$N135+'5. PERSON'!$O135+'5. PERSON'!$P135)*(1-'5. PERSON'!E135))/((YEAR('2. START'!$C$19)-YEAR('2. START'!$C$18))*12+MONTH('2. START'!$C$19)-MONTH('2. START'!$C$18)+1)</f>
        <v>0</v>
      </c>
      <c r="E139" s="87">
        <f>'5. PERSON'!AT135</f>
        <v>0</v>
      </c>
      <c r="F139" s="87">
        <f>'5. PERSON'!AU135</f>
        <v>0</v>
      </c>
      <c r="G139" s="87">
        <f>'5. PERSON'!AV135</f>
        <v>0</v>
      </c>
      <c r="H139" s="87">
        <f>'5. PERSON'!AW135</f>
        <v>0</v>
      </c>
      <c r="I139" s="87">
        <f>'5. PERSON'!AX135</f>
        <v>0</v>
      </c>
      <c r="J139" s="87">
        <f>'5. PERSON'!AY135</f>
        <v>0</v>
      </c>
      <c r="K139" s="87">
        <f>'5. PERSON'!AZ135</f>
        <v>0</v>
      </c>
      <c r="L139" s="87">
        <f>'5. PERSON'!BA135</f>
        <v>0</v>
      </c>
      <c r="M139" s="87">
        <f>'5. PERSON'!BB135</f>
        <v>0</v>
      </c>
      <c r="N139" s="87">
        <f>'5. PERSON'!BC135</f>
        <v>0</v>
      </c>
      <c r="O139" s="87">
        <f>'5. PERSON'!BD135</f>
        <v>0</v>
      </c>
      <c r="P139" s="87">
        <f>'5. PERSON'!BF135</f>
        <v>0</v>
      </c>
      <c r="Q139" s="87">
        <f>'5. PERSON'!BG135</f>
        <v>0</v>
      </c>
      <c r="R139" s="87">
        <f>'5. PERSON'!BH135</f>
        <v>0</v>
      </c>
      <c r="S139" s="87">
        <f>'5. PERSON'!BI135</f>
        <v>0</v>
      </c>
      <c r="T139" s="87">
        <f>'5. PERSON'!BJ135</f>
        <v>0</v>
      </c>
      <c r="U139" s="87">
        <f>'5. PERSON'!BK135</f>
        <v>0</v>
      </c>
      <c r="V139" s="87">
        <f>'5. PERSON'!BL135</f>
        <v>0</v>
      </c>
      <c r="W139" s="87">
        <f>'5. PERSON'!BM135</f>
        <v>0</v>
      </c>
      <c r="X139" s="87">
        <f>'5. PERSON'!BN135</f>
        <v>0</v>
      </c>
      <c r="Y139" s="87">
        <f>'5. PERSON'!BO135</f>
        <v>0</v>
      </c>
      <c r="Z139" s="87">
        <f t="shared" si="2"/>
        <v>0</v>
      </c>
    </row>
    <row r="140" spans="2:26" s="37" customFormat="1" ht="13.5" customHeight="1" x14ac:dyDescent="0.2">
      <c r="B140" s="214" t="str">
        <f>IF('5. PERSON'!C136="","",'5. PERSON'!C136)</f>
        <v/>
      </c>
      <c r="C140" s="934">
        <f>('5. PERSON'!G136+'5. PERSON'!H136+'5. PERSON'!I136+'5. PERSON'!J136+'5. PERSON'!K136+'5. PERSON'!L136+'5. PERSON'!M136+'5. PERSON'!N136+'5. PERSON'!O136+'5. PERSON'!P136)/((YEAR('2. START'!$C$19)-YEAR('2. START'!$C$18))*12+MONTH('2. START'!$C$19)-MONTH('2. START'!$C$18)+1)</f>
        <v>0</v>
      </c>
      <c r="D140" s="934">
        <f>(('5. PERSON'!$G136+'5. PERSON'!$H136+'5. PERSON'!$I136+'5. PERSON'!$J136+'5. PERSON'!$K136+'5. PERSON'!$L136+'5. PERSON'!$M136+'5. PERSON'!$N136+'5. PERSON'!$O136+'5. PERSON'!$P136)*(1-'5. PERSON'!E136))/((YEAR('2. START'!$C$19)-YEAR('2. START'!$C$18))*12+MONTH('2. START'!$C$19)-MONTH('2. START'!$C$18)+1)</f>
        <v>0</v>
      </c>
      <c r="E140" s="98">
        <f>'5. PERSON'!AT136</f>
        <v>0</v>
      </c>
      <c r="F140" s="98">
        <f>'5. PERSON'!AU136</f>
        <v>0</v>
      </c>
      <c r="G140" s="98">
        <f>'5. PERSON'!AV136</f>
        <v>0</v>
      </c>
      <c r="H140" s="98">
        <f>'5. PERSON'!AW136</f>
        <v>0</v>
      </c>
      <c r="I140" s="98">
        <f>'5. PERSON'!AX136</f>
        <v>0</v>
      </c>
      <c r="J140" s="98">
        <f>'5. PERSON'!AY136</f>
        <v>0</v>
      </c>
      <c r="K140" s="98">
        <f>'5. PERSON'!AZ136</f>
        <v>0</v>
      </c>
      <c r="L140" s="98">
        <f>'5. PERSON'!BA136</f>
        <v>0</v>
      </c>
      <c r="M140" s="98">
        <f>'5. PERSON'!BB136</f>
        <v>0</v>
      </c>
      <c r="N140" s="98">
        <f>'5. PERSON'!BC136</f>
        <v>0</v>
      </c>
      <c r="O140" s="98">
        <f>'5. PERSON'!BD136</f>
        <v>0</v>
      </c>
      <c r="P140" s="98">
        <f>'5. PERSON'!BF136</f>
        <v>0</v>
      </c>
      <c r="Q140" s="98">
        <f>'5. PERSON'!BG136</f>
        <v>0</v>
      </c>
      <c r="R140" s="98">
        <f>'5. PERSON'!BH136</f>
        <v>0</v>
      </c>
      <c r="S140" s="98">
        <f>'5. PERSON'!BI136</f>
        <v>0</v>
      </c>
      <c r="T140" s="98">
        <f>'5. PERSON'!BJ136</f>
        <v>0</v>
      </c>
      <c r="U140" s="98">
        <f>'5. PERSON'!BK136</f>
        <v>0</v>
      </c>
      <c r="V140" s="98">
        <f>'5. PERSON'!BL136</f>
        <v>0</v>
      </c>
      <c r="W140" s="98">
        <f>'5. PERSON'!BM136</f>
        <v>0</v>
      </c>
      <c r="X140" s="98">
        <f>'5. PERSON'!BN136</f>
        <v>0</v>
      </c>
      <c r="Y140" s="98">
        <f>'5. PERSON'!BO136</f>
        <v>0</v>
      </c>
      <c r="Z140" s="98">
        <f t="shared" si="2"/>
        <v>0</v>
      </c>
    </row>
    <row r="141" spans="2:26" s="37" customFormat="1" ht="13.5" customHeight="1" x14ac:dyDescent="0.2">
      <c r="B141" s="206" t="str">
        <f>IF('5. PERSON'!C137="","",'5. PERSON'!C137)</f>
        <v/>
      </c>
      <c r="C141" s="933">
        <f>('5. PERSON'!G137+'5. PERSON'!H137+'5. PERSON'!I137+'5. PERSON'!J137+'5. PERSON'!K137+'5. PERSON'!L137+'5. PERSON'!M137+'5. PERSON'!N137+'5. PERSON'!O137+'5. PERSON'!P137)/((YEAR('2. START'!$C$19)-YEAR('2. START'!$C$18))*12+MONTH('2. START'!$C$19)-MONTH('2. START'!$C$18)+1)</f>
        <v>0</v>
      </c>
      <c r="D141" s="933">
        <f>(('5. PERSON'!$G137+'5. PERSON'!$H137+'5. PERSON'!$I137+'5. PERSON'!$J137+'5. PERSON'!$K137+'5. PERSON'!$L137+'5. PERSON'!$M137+'5. PERSON'!$N137+'5. PERSON'!$O137+'5. PERSON'!$P137)*(1-'5. PERSON'!E137))/((YEAR('2. START'!$C$19)-YEAR('2. START'!$C$18))*12+MONTH('2. START'!$C$19)-MONTH('2. START'!$C$18)+1)</f>
        <v>0</v>
      </c>
      <c r="E141" s="87">
        <f>'5. PERSON'!AT137</f>
        <v>0</v>
      </c>
      <c r="F141" s="87">
        <f>'5. PERSON'!AU137</f>
        <v>0</v>
      </c>
      <c r="G141" s="87">
        <f>'5. PERSON'!AV137</f>
        <v>0</v>
      </c>
      <c r="H141" s="87">
        <f>'5. PERSON'!AW137</f>
        <v>0</v>
      </c>
      <c r="I141" s="87">
        <f>'5. PERSON'!AX137</f>
        <v>0</v>
      </c>
      <c r="J141" s="87">
        <f>'5. PERSON'!AY137</f>
        <v>0</v>
      </c>
      <c r="K141" s="87">
        <f>'5. PERSON'!AZ137</f>
        <v>0</v>
      </c>
      <c r="L141" s="87">
        <f>'5. PERSON'!BA137</f>
        <v>0</v>
      </c>
      <c r="M141" s="87">
        <f>'5. PERSON'!BB137</f>
        <v>0</v>
      </c>
      <c r="N141" s="87">
        <f>'5. PERSON'!BC137</f>
        <v>0</v>
      </c>
      <c r="O141" s="87">
        <f>'5. PERSON'!BD137</f>
        <v>0</v>
      </c>
      <c r="P141" s="87">
        <f>'5. PERSON'!BF137</f>
        <v>0</v>
      </c>
      <c r="Q141" s="87">
        <f>'5. PERSON'!BG137</f>
        <v>0</v>
      </c>
      <c r="R141" s="87">
        <f>'5. PERSON'!BH137</f>
        <v>0</v>
      </c>
      <c r="S141" s="87">
        <f>'5. PERSON'!BI137</f>
        <v>0</v>
      </c>
      <c r="T141" s="87">
        <f>'5. PERSON'!BJ137</f>
        <v>0</v>
      </c>
      <c r="U141" s="87">
        <f>'5. PERSON'!BK137</f>
        <v>0</v>
      </c>
      <c r="V141" s="87">
        <f>'5. PERSON'!BL137</f>
        <v>0</v>
      </c>
      <c r="W141" s="87">
        <f>'5. PERSON'!BM137</f>
        <v>0</v>
      </c>
      <c r="X141" s="87">
        <f>'5. PERSON'!BN137</f>
        <v>0</v>
      </c>
      <c r="Y141" s="87">
        <f>'5. PERSON'!BO137</f>
        <v>0</v>
      </c>
      <c r="Z141" s="87">
        <f t="shared" si="2"/>
        <v>0</v>
      </c>
    </row>
    <row r="142" spans="2:26" s="37" customFormat="1" ht="13.5" customHeight="1" x14ac:dyDescent="0.2">
      <c r="B142" s="214" t="str">
        <f>IF('5. PERSON'!C138="","",'5. PERSON'!C138)</f>
        <v/>
      </c>
      <c r="C142" s="934">
        <f>('5. PERSON'!G138+'5. PERSON'!H138+'5. PERSON'!I138+'5. PERSON'!J138+'5. PERSON'!K138+'5. PERSON'!L138+'5. PERSON'!M138+'5. PERSON'!N138+'5. PERSON'!O138+'5. PERSON'!P138)/((YEAR('2. START'!$C$19)-YEAR('2. START'!$C$18))*12+MONTH('2. START'!$C$19)-MONTH('2. START'!$C$18)+1)</f>
        <v>0</v>
      </c>
      <c r="D142" s="934">
        <f>(('5. PERSON'!$G138+'5. PERSON'!$H138+'5. PERSON'!$I138+'5. PERSON'!$J138+'5. PERSON'!$K138+'5. PERSON'!$L138+'5. PERSON'!$M138+'5. PERSON'!$N138+'5. PERSON'!$O138+'5. PERSON'!$P138)*(1-'5. PERSON'!E138))/((YEAR('2. START'!$C$19)-YEAR('2. START'!$C$18))*12+MONTH('2. START'!$C$19)-MONTH('2. START'!$C$18)+1)</f>
        <v>0</v>
      </c>
      <c r="E142" s="98">
        <f>'5. PERSON'!AT138</f>
        <v>0</v>
      </c>
      <c r="F142" s="98">
        <f>'5. PERSON'!AU138</f>
        <v>0</v>
      </c>
      <c r="G142" s="98">
        <f>'5. PERSON'!AV138</f>
        <v>0</v>
      </c>
      <c r="H142" s="98">
        <f>'5. PERSON'!AW138</f>
        <v>0</v>
      </c>
      <c r="I142" s="98">
        <f>'5. PERSON'!AX138</f>
        <v>0</v>
      </c>
      <c r="J142" s="98">
        <f>'5. PERSON'!AY138</f>
        <v>0</v>
      </c>
      <c r="K142" s="98">
        <f>'5. PERSON'!AZ138</f>
        <v>0</v>
      </c>
      <c r="L142" s="98">
        <f>'5. PERSON'!BA138</f>
        <v>0</v>
      </c>
      <c r="M142" s="98">
        <f>'5. PERSON'!BB138</f>
        <v>0</v>
      </c>
      <c r="N142" s="98">
        <f>'5. PERSON'!BC138</f>
        <v>0</v>
      </c>
      <c r="O142" s="98">
        <f>'5. PERSON'!BD138</f>
        <v>0</v>
      </c>
      <c r="P142" s="98">
        <f>'5. PERSON'!BF138</f>
        <v>0</v>
      </c>
      <c r="Q142" s="98">
        <f>'5. PERSON'!BG138</f>
        <v>0</v>
      </c>
      <c r="R142" s="98">
        <f>'5. PERSON'!BH138</f>
        <v>0</v>
      </c>
      <c r="S142" s="98">
        <f>'5. PERSON'!BI138</f>
        <v>0</v>
      </c>
      <c r="T142" s="98">
        <f>'5. PERSON'!BJ138</f>
        <v>0</v>
      </c>
      <c r="U142" s="98">
        <f>'5. PERSON'!BK138</f>
        <v>0</v>
      </c>
      <c r="V142" s="98">
        <f>'5. PERSON'!BL138</f>
        <v>0</v>
      </c>
      <c r="W142" s="98">
        <f>'5. PERSON'!BM138</f>
        <v>0</v>
      </c>
      <c r="X142" s="98">
        <f>'5. PERSON'!BN138</f>
        <v>0</v>
      </c>
      <c r="Y142" s="98">
        <f>'5. PERSON'!BO138</f>
        <v>0</v>
      </c>
      <c r="Z142" s="98">
        <f t="shared" si="2"/>
        <v>0</v>
      </c>
    </row>
    <row r="143" spans="2:26" s="37" customFormat="1" ht="13.5" customHeight="1" x14ac:dyDescent="0.2">
      <c r="B143" s="206" t="str">
        <f>IF('5. PERSON'!C139="","",'5. PERSON'!C139)</f>
        <v/>
      </c>
      <c r="C143" s="933">
        <f>('5. PERSON'!G139+'5. PERSON'!H139+'5. PERSON'!I139+'5. PERSON'!J139+'5. PERSON'!K139+'5. PERSON'!L139+'5. PERSON'!M139+'5. PERSON'!N139+'5. PERSON'!O139+'5. PERSON'!P139)/((YEAR('2. START'!$C$19)-YEAR('2. START'!$C$18))*12+MONTH('2. START'!$C$19)-MONTH('2. START'!$C$18)+1)</f>
        <v>0</v>
      </c>
      <c r="D143" s="933">
        <f>(('5. PERSON'!$G139+'5. PERSON'!$H139+'5. PERSON'!$I139+'5. PERSON'!$J139+'5. PERSON'!$K139+'5. PERSON'!$L139+'5. PERSON'!$M139+'5. PERSON'!$N139+'5. PERSON'!$O139+'5. PERSON'!$P139)*(1-'5. PERSON'!E139))/((YEAR('2. START'!$C$19)-YEAR('2. START'!$C$18))*12+MONTH('2. START'!$C$19)-MONTH('2. START'!$C$18)+1)</f>
        <v>0</v>
      </c>
      <c r="E143" s="87">
        <f>'5. PERSON'!AT139</f>
        <v>0</v>
      </c>
      <c r="F143" s="87">
        <f>'5. PERSON'!AU139</f>
        <v>0</v>
      </c>
      <c r="G143" s="87">
        <f>'5. PERSON'!AV139</f>
        <v>0</v>
      </c>
      <c r="H143" s="87">
        <f>'5. PERSON'!AW139</f>
        <v>0</v>
      </c>
      <c r="I143" s="87">
        <f>'5. PERSON'!AX139</f>
        <v>0</v>
      </c>
      <c r="J143" s="87">
        <f>'5. PERSON'!AY139</f>
        <v>0</v>
      </c>
      <c r="K143" s="87">
        <f>'5. PERSON'!AZ139</f>
        <v>0</v>
      </c>
      <c r="L143" s="87">
        <f>'5. PERSON'!BA139</f>
        <v>0</v>
      </c>
      <c r="M143" s="87">
        <f>'5. PERSON'!BB139</f>
        <v>0</v>
      </c>
      <c r="N143" s="87">
        <f>'5. PERSON'!BC139</f>
        <v>0</v>
      </c>
      <c r="O143" s="87">
        <f>'5. PERSON'!BD139</f>
        <v>0</v>
      </c>
      <c r="P143" s="87">
        <f>'5. PERSON'!BF139</f>
        <v>0</v>
      </c>
      <c r="Q143" s="87">
        <f>'5. PERSON'!BG139</f>
        <v>0</v>
      </c>
      <c r="R143" s="87">
        <f>'5. PERSON'!BH139</f>
        <v>0</v>
      </c>
      <c r="S143" s="87">
        <f>'5. PERSON'!BI139</f>
        <v>0</v>
      </c>
      <c r="T143" s="87">
        <f>'5. PERSON'!BJ139</f>
        <v>0</v>
      </c>
      <c r="U143" s="87">
        <f>'5. PERSON'!BK139</f>
        <v>0</v>
      </c>
      <c r="V143" s="87">
        <f>'5. PERSON'!BL139</f>
        <v>0</v>
      </c>
      <c r="W143" s="87">
        <f>'5. PERSON'!BM139</f>
        <v>0</v>
      </c>
      <c r="X143" s="87">
        <f>'5. PERSON'!BN139</f>
        <v>0</v>
      </c>
      <c r="Y143" s="87">
        <f>'5. PERSON'!BO139</f>
        <v>0</v>
      </c>
      <c r="Z143" s="87">
        <f t="shared" si="2"/>
        <v>0</v>
      </c>
    </row>
    <row r="144" spans="2:26" s="37" customFormat="1" ht="13.5" customHeight="1" x14ac:dyDescent="0.2">
      <c r="B144" s="214" t="str">
        <f>IF('5. PERSON'!C140="","",'5. PERSON'!C140)</f>
        <v/>
      </c>
      <c r="C144" s="934">
        <f>('5. PERSON'!G140+'5. PERSON'!H140+'5. PERSON'!I140+'5. PERSON'!J140+'5. PERSON'!K140+'5. PERSON'!L140+'5. PERSON'!M140+'5. PERSON'!N140+'5. PERSON'!O140+'5. PERSON'!P140)/((YEAR('2. START'!$C$19)-YEAR('2. START'!$C$18))*12+MONTH('2. START'!$C$19)-MONTH('2. START'!$C$18)+1)</f>
        <v>0</v>
      </c>
      <c r="D144" s="934">
        <f>(('5. PERSON'!$G140+'5. PERSON'!$H140+'5. PERSON'!$I140+'5. PERSON'!$J140+'5. PERSON'!$K140+'5. PERSON'!$L140+'5. PERSON'!$M140+'5. PERSON'!$N140+'5. PERSON'!$O140+'5. PERSON'!$P140)*(1-'5. PERSON'!E140))/((YEAR('2. START'!$C$19)-YEAR('2. START'!$C$18))*12+MONTH('2. START'!$C$19)-MONTH('2. START'!$C$18)+1)</f>
        <v>0</v>
      </c>
      <c r="E144" s="98">
        <f>'5. PERSON'!AT140</f>
        <v>0</v>
      </c>
      <c r="F144" s="98">
        <f>'5. PERSON'!AU140</f>
        <v>0</v>
      </c>
      <c r="G144" s="98">
        <f>'5. PERSON'!AV140</f>
        <v>0</v>
      </c>
      <c r="H144" s="98">
        <f>'5. PERSON'!AW140</f>
        <v>0</v>
      </c>
      <c r="I144" s="98">
        <f>'5. PERSON'!AX140</f>
        <v>0</v>
      </c>
      <c r="J144" s="98">
        <f>'5. PERSON'!AY140</f>
        <v>0</v>
      </c>
      <c r="K144" s="98">
        <f>'5. PERSON'!AZ140</f>
        <v>0</v>
      </c>
      <c r="L144" s="98">
        <f>'5. PERSON'!BA140</f>
        <v>0</v>
      </c>
      <c r="M144" s="98">
        <f>'5. PERSON'!BB140</f>
        <v>0</v>
      </c>
      <c r="N144" s="98">
        <f>'5. PERSON'!BC140</f>
        <v>0</v>
      </c>
      <c r="O144" s="98">
        <f>'5. PERSON'!BD140</f>
        <v>0</v>
      </c>
      <c r="P144" s="98">
        <f>'5. PERSON'!BF140</f>
        <v>0</v>
      </c>
      <c r="Q144" s="98">
        <f>'5. PERSON'!BG140</f>
        <v>0</v>
      </c>
      <c r="R144" s="98">
        <f>'5. PERSON'!BH140</f>
        <v>0</v>
      </c>
      <c r="S144" s="98">
        <f>'5. PERSON'!BI140</f>
        <v>0</v>
      </c>
      <c r="T144" s="98">
        <f>'5. PERSON'!BJ140</f>
        <v>0</v>
      </c>
      <c r="U144" s="98">
        <f>'5. PERSON'!BK140</f>
        <v>0</v>
      </c>
      <c r="V144" s="98">
        <f>'5. PERSON'!BL140</f>
        <v>0</v>
      </c>
      <c r="W144" s="98">
        <f>'5. PERSON'!BM140</f>
        <v>0</v>
      </c>
      <c r="X144" s="98">
        <f>'5. PERSON'!BN140</f>
        <v>0</v>
      </c>
      <c r="Y144" s="98">
        <f>'5. PERSON'!BO140</f>
        <v>0</v>
      </c>
      <c r="Z144" s="98">
        <f t="shared" si="2"/>
        <v>0</v>
      </c>
    </row>
    <row r="145" spans="2:26" s="37" customFormat="1" ht="13.5" customHeight="1" x14ac:dyDescent="0.2">
      <c r="B145" s="206" t="str">
        <f>IF('5. PERSON'!C141="","",'5. PERSON'!C141)</f>
        <v/>
      </c>
      <c r="C145" s="933">
        <f>('5. PERSON'!G141+'5. PERSON'!H141+'5. PERSON'!I141+'5. PERSON'!J141+'5. PERSON'!K141+'5. PERSON'!L141+'5. PERSON'!M141+'5. PERSON'!N141+'5. PERSON'!O141+'5. PERSON'!P141)/((YEAR('2. START'!$C$19)-YEAR('2. START'!$C$18))*12+MONTH('2. START'!$C$19)-MONTH('2. START'!$C$18)+1)</f>
        <v>0</v>
      </c>
      <c r="D145" s="933">
        <f>(('5. PERSON'!$G141+'5. PERSON'!$H141+'5. PERSON'!$I141+'5. PERSON'!$J141+'5. PERSON'!$K141+'5. PERSON'!$L141+'5. PERSON'!$M141+'5. PERSON'!$N141+'5. PERSON'!$O141+'5. PERSON'!$P141)*(1-'5. PERSON'!E141))/((YEAR('2. START'!$C$19)-YEAR('2. START'!$C$18))*12+MONTH('2. START'!$C$19)-MONTH('2. START'!$C$18)+1)</f>
        <v>0</v>
      </c>
      <c r="E145" s="87">
        <f>'5. PERSON'!AT141</f>
        <v>0</v>
      </c>
      <c r="F145" s="87">
        <f>'5. PERSON'!AU141</f>
        <v>0</v>
      </c>
      <c r="G145" s="87">
        <f>'5. PERSON'!AV141</f>
        <v>0</v>
      </c>
      <c r="H145" s="87">
        <f>'5. PERSON'!AW141</f>
        <v>0</v>
      </c>
      <c r="I145" s="87">
        <f>'5. PERSON'!AX141</f>
        <v>0</v>
      </c>
      <c r="J145" s="87">
        <f>'5. PERSON'!AY141</f>
        <v>0</v>
      </c>
      <c r="K145" s="87">
        <f>'5. PERSON'!AZ141</f>
        <v>0</v>
      </c>
      <c r="L145" s="87">
        <f>'5. PERSON'!BA141</f>
        <v>0</v>
      </c>
      <c r="M145" s="87">
        <f>'5. PERSON'!BB141</f>
        <v>0</v>
      </c>
      <c r="N145" s="87">
        <f>'5. PERSON'!BC141</f>
        <v>0</v>
      </c>
      <c r="O145" s="87">
        <f>'5. PERSON'!BD141</f>
        <v>0</v>
      </c>
      <c r="P145" s="87">
        <f>'5. PERSON'!BF141</f>
        <v>0</v>
      </c>
      <c r="Q145" s="87">
        <f>'5. PERSON'!BG141</f>
        <v>0</v>
      </c>
      <c r="R145" s="87">
        <f>'5. PERSON'!BH141</f>
        <v>0</v>
      </c>
      <c r="S145" s="87">
        <f>'5. PERSON'!BI141</f>
        <v>0</v>
      </c>
      <c r="T145" s="87">
        <f>'5. PERSON'!BJ141</f>
        <v>0</v>
      </c>
      <c r="U145" s="87">
        <f>'5. PERSON'!BK141</f>
        <v>0</v>
      </c>
      <c r="V145" s="87">
        <f>'5. PERSON'!BL141</f>
        <v>0</v>
      </c>
      <c r="W145" s="87">
        <f>'5. PERSON'!BM141</f>
        <v>0</v>
      </c>
      <c r="X145" s="87">
        <f>'5. PERSON'!BN141</f>
        <v>0</v>
      </c>
      <c r="Y145" s="87">
        <f>'5. PERSON'!BO141</f>
        <v>0</v>
      </c>
      <c r="Z145" s="87">
        <f t="shared" si="2"/>
        <v>0</v>
      </c>
    </row>
    <row r="146" spans="2:26" s="37" customFormat="1" ht="13.5" customHeight="1" x14ac:dyDescent="0.2">
      <c r="B146" s="214" t="str">
        <f>IF('5. PERSON'!C142="","",'5. PERSON'!C142)</f>
        <v/>
      </c>
      <c r="C146" s="934">
        <f>('5. PERSON'!G142+'5. PERSON'!H142+'5. PERSON'!I142+'5. PERSON'!J142+'5. PERSON'!K142+'5. PERSON'!L142+'5. PERSON'!M142+'5. PERSON'!N142+'5. PERSON'!O142+'5. PERSON'!P142)/((YEAR('2. START'!$C$19)-YEAR('2. START'!$C$18))*12+MONTH('2. START'!$C$19)-MONTH('2. START'!$C$18)+1)</f>
        <v>0</v>
      </c>
      <c r="D146" s="934">
        <f>(('5. PERSON'!$G142+'5. PERSON'!$H142+'5. PERSON'!$I142+'5. PERSON'!$J142+'5. PERSON'!$K142+'5. PERSON'!$L142+'5. PERSON'!$M142+'5. PERSON'!$N142+'5. PERSON'!$O142+'5. PERSON'!$P142)*(1-'5. PERSON'!E142))/((YEAR('2. START'!$C$19)-YEAR('2. START'!$C$18))*12+MONTH('2. START'!$C$19)-MONTH('2. START'!$C$18)+1)</f>
        <v>0</v>
      </c>
      <c r="E146" s="98">
        <f>'5. PERSON'!AT142</f>
        <v>0</v>
      </c>
      <c r="F146" s="98">
        <f>'5. PERSON'!AU142</f>
        <v>0</v>
      </c>
      <c r="G146" s="98">
        <f>'5. PERSON'!AV142</f>
        <v>0</v>
      </c>
      <c r="H146" s="98">
        <f>'5. PERSON'!AW142</f>
        <v>0</v>
      </c>
      <c r="I146" s="98">
        <f>'5. PERSON'!AX142</f>
        <v>0</v>
      </c>
      <c r="J146" s="98">
        <f>'5. PERSON'!AY142</f>
        <v>0</v>
      </c>
      <c r="K146" s="98">
        <f>'5. PERSON'!AZ142</f>
        <v>0</v>
      </c>
      <c r="L146" s="98">
        <f>'5. PERSON'!BA142</f>
        <v>0</v>
      </c>
      <c r="M146" s="98">
        <f>'5. PERSON'!BB142</f>
        <v>0</v>
      </c>
      <c r="N146" s="98">
        <f>'5. PERSON'!BC142</f>
        <v>0</v>
      </c>
      <c r="O146" s="98">
        <f>'5. PERSON'!BD142</f>
        <v>0</v>
      </c>
      <c r="P146" s="98">
        <f>'5. PERSON'!BF142</f>
        <v>0</v>
      </c>
      <c r="Q146" s="98">
        <f>'5. PERSON'!BG142</f>
        <v>0</v>
      </c>
      <c r="R146" s="98">
        <f>'5. PERSON'!BH142</f>
        <v>0</v>
      </c>
      <c r="S146" s="98">
        <f>'5. PERSON'!BI142</f>
        <v>0</v>
      </c>
      <c r="T146" s="98">
        <f>'5. PERSON'!BJ142</f>
        <v>0</v>
      </c>
      <c r="U146" s="98">
        <f>'5. PERSON'!BK142</f>
        <v>0</v>
      </c>
      <c r="V146" s="98">
        <f>'5. PERSON'!BL142</f>
        <v>0</v>
      </c>
      <c r="W146" s="98">
        <f>'5. PERSON'!BM142</f>
        <v>0</v>
      </c>
      <c r="X146" s="98">
        <f>'5. PERSON'!BN142</f>
        <v>0</v>
      </c>
      <c r="Y146" s="98">
        <f>'5. PERSON'!BO142</f>
        <v>0</v>
      </c>
      <c r="Z146" s="98">
        <f t="shared" si="2"/>
        <v>0</v>
      </c>
    </row>
    <row r="147" spans="2:26" s="71" customFormat="1" ht="13.5" customHeight="1" x14ac:dyDescent="0.2">
      <c r="B147" s="280" t="str">
        <f>IF('5. PERSON'!C143="","",'5. PERSON'!C143)</f>
        <v/>
      </c>
      <c r="C147" s="935">
        <f>('5. PERSON'!G143+'5. PERSON'!H143+'5. PERSON'!I143+'5. PERSON'!J143+'5. PERSON'!K143+'5. PERSON'!L143+'5. PERSON'!M143+'5. PERSON'!N143+'5. PERSON'!O143+'5. PERSON'!P143)/((YEAR('2. START'!$C$19)-YEAR('2. START'!$C$18))*12+MONTH('2. START'!$C$19)-MONTH('2. START'!$C$18)+1)</f>
        <v>0</v>
      </c>
      <c r="D147" s="935">
        <f>(('5. PERSON'!$G143+'5. PERSON'!$H143+'5. PERSON'!$I143+'5. PERSON'!$J143+'5. PERSON'!$K143+'5. PERSON'!$L143+'5. PERSON'!$M143+'5. PERSON'!$N143+'5. PERSON'!$O143+'5. PERSON'!$P143)*(1-'5. PERSON'!E143))/((YEAR('2. START'!$C$19)-YEAR('2. START'!$C$18))*12+MONTH('2. START'!$C$19)-MONTH('2. START'!$C$18)+1)</f>
        <v>0</v>
      </c>
      <c r="E147" s="105">
        <f>'5. PERSON'!AT143</f>
        <v>0</v>
      </c>
      <c r="F147" s="105">
        <f>'5. PERSON'!AU143</f>
        <v>0</v>
      </c>
      <c r="G147" s="105">
        <f>'5. PERSON'!AV143</f>
        <v>0</v>
      </c>
      <c r="H147" s="105">
        <f>'5. PERSON'!AW143</f>
        <v>0</v>
      </c>
      <c r="I147" s="105">
        <f>'5. PERSON'!AX143</f>
        <v>0</v>
      </c>
      <c r="J147" s="105">
        <f>'5. PERSON'!AY143</f>
        <v>0</v>
      </c>
      <c r="K147" s="105">
        <f>'5. PERSON'!AZ143</f>
        <v>0</v>
      </c>
      <c r="L147" s="105">
        <f>'5. PERSON'!BA143</f>
        <v>0</v>
      </c>
      <c r="M147" s="105">
        <f>'5. PERSON'!BB143</f>
        <v>0</v>
      </c>
      <c r="N147" s="105">
        <f>'5. PERSON'!BC143</f>
        <v>0</v>
      </c>
      <c r="O147" s="105">
        <f>'5. PERSON'!BD143</f>
        <v>0</v>
      </c>
      <c r="P147" s="105"/>
      <c r="Q147" s="105"/>
      <c r="R147" s="105"/>
      <c r="S147" s="105"/>
      <c r="T147" s="105"/>
      <c r="U147" s="105"/>
      <c r="V147" s="105"/>
      <c r="W147" s="105"/>
      <c r="X147" s="105"/>
      <c r="Y147" s="105"/>
      <c r="Z147" s="105"/>
    </row>
    <row r="148" spans="2:26" s="37" customFormat="1" ht="13.5" customHeight="1" x14ac:dyDescent="0.2">
      <c r="B148" s="214" t="str">
        <f>IF('5. PERSON'!C144="","",'5. PERSON'!C144)</f>
        <v/>
      </c>
      <c r="C148" s="934">
        <f>('5. PERSON'!G144+'5. PERSON'!H144+'5. PERSON'!I144+'5. PERSON'!J144+'5. PERSON'!K144+'5. PERSON'!L144+'5. PERSON'!M144+'5. PERSON'!N144+'5. PERSON'!O144+'5. PERSON'!P144)/((YEAR('2. START'!$C$19)-YEAR('2. START'!$C$18))*12+MONTH('2. START'!$C$19)-MONTH('2. START'!$C$18)+1)</f>
        <v>0</v>
      </c>
      <c r="D148" s="934">
        <f>(('5. PERSON'!$G144+'5. PERSON'!$H144+'5. PERSON'!$I144+'5. PERSON'!$J144+'5. PERSON'!$K144+'5. PERSON'!$L144+'5. PERSON'!$M144+'5. PERSON'!$N144+'5. PERSON'!$O144+'5. PERSON'!$P144)*(1-'5. PERSON'!E144))/((YEAR('2. START'!$C$19)-YEAR('2. START'!$C$18))*12+MONTH('2. START'!$C$19)-MONTH('2. START'!$C$18)+1)</f>
        <v>0</v>
      </c>
      <c r="E148" s="98">
        <f>'5. PERSON'!AT144</f>
        <v>0</v>
      </c>
      <c r="F148" s="98">
        <f>'5. PERSON'!AU144</f>
        <v>0</v>
      </c>
      <c r="G148" s="98">
        <f>'5. PERSON'!AV144</f>
        <v>0</v>
      </c>
      <c r="H148" s="98">
        <f>'5. PERSON'!AW144</f>
        <v>0</v>
      </c>
      <c r="I148" s="98">
        <f>'5. PERSON'!AX144</f>
        <v>0</v>
      </c>
      <c r="J148" s="98">
        <f>'5. PERSON'!AY144</f>
        <v>0</v>
      </c>
      <c r="K148" s="98">
        <f>'5. PERSON'!AZ144</f>
        <v>0</v>
      </c>
      <c r="L148" s="98">
        <f>'5. PERSON'!BA144</f>
        <v>0</v>
      </c>
      <c r="M148" s="98">
        <f>'5. PERSON'!BB144</f>
        <v>0</v>
      </c>
      <c r="N148" s="98">
        <f>'5. PERSON'!BC144</f>
        <v>0</v>
      </c>
      <c r="O148" s="98">
        <f>'5. PERSON'!BD144</f>
        <v>0</v>
      </c>
      <c r="P148" s="98"/>
      <c r="Q148" s="98"/>
      <c r="R148" s="98"/>
      <c r="S148" s="98"/>
      <c r="T148" s="98"/>
      <c r="U148" s="98"/>
      <c r="V148" s="98"/>
      <c r="W148" s="98"/>
      <c r="X148" s="98"/>
      <c r="Y148" s="98"/>
      <c r="Z148" s="98"/>
    </row>
    <row r="149" spans="2:26" s="71" customFormat="1" ht="13.5" customHeight="1" x14ac:dyDescent="0.2">
      <c r="B149" s="280" t="str">
        <f>IF('5. PERSON'!C145="","",'5. PERSON'!C145)</f>
        <v/>
      </c>
      <c r="C149" s="935">
        <f>('5. PERSON'!G145+'5. PERSON'!H145+'5. PERSON'!I145+'5. PERSON'!J145+'5. PERSON'!K145+'5. PERSON'!L145+'5. PERSON'!M145+'5. PERSON'!N145+'5. PERSON'!O145+'5. PERSON'!P145)/((YEAR('2. START'!$C$19)-YEAR('2. START'!$C$18))*12+MONTH('2. START'!$C$19)-MONTH('2. START'!$C$18)+1)</f>
        <v>0</v>
      </c>
      <c r="D149" s="935">
        <f>(('5. PERSON'!$G145+'5. PERSON'!$H145+'5. PERSON'!$I145+'5. PERSON'!$J145+'5. PERSON'!$K145+'5. PERSON'!$L145+'5. PERSON'!$M145+'5. PERSON'!$N145+'5. PERSON'!$O145+'5. PERSON'!$P145)*(1-'5. PERSON'!E145))/((YEAR('2. START'!$C$19)-YEAR('2. START'!$C$18))*12+MONTH('2. START'!$C$19)-MONTH('2. START'!$C$18)+1)</f>
        <v>0</v>
      </c>
      <c r="E149" s="105">
        <f>'5. PERSON'!AT145</f>
        <v>0</v>
      </c>
      <c r="F149" s="105">
        <f>'5. PERSON'!AU145</f>
        <v>0</v>
      </c>
      <c r="G149" s="105">
        <f>'5. PERSON'!AV145</f>
        <v>0</v>
      </c>
      <c r="H149" s="105">
        <f>'5. PERSON'!AW145</f>
        <v>0</v>
      </c>
      <c r="I149" s="105">
        <f>'5. PERSON'!AX145</f>
        <v>0</v>
      </c>
      <c r="J149" s="105">
        <f>'5. PERSON'!AY145</f>
        <v>0</v>
      </c>
      <c r="K149" s="105">
        <f>'5. PERSON'!AZ145</f>
        <v>0</v>
      </c>
      <c r="L149" s="105">
        <f>'5. PERSON'!BA145</f>
        <v>0</v>
      </c>
      <c r="M149" s="105">
        <f>'5. PERSON'!BB145</f>
        <v>0</v>
      </c>
      <c r="N149" s="105">
        <f>'5. PERSON'!BC145</f>
        <v>0</v>
      </c>
      <c r="O149" s="105">
        <f>'5. PERSON'!BD145</f>
        <v>0</v>
      </c>
      <c r="P149" s="105"/>
      <c r="Q149" s="105"/>
      <c r="R149" s="105"/>
      <c r="S149" s="105"/>
      <c r="T149" s="105"/>
      <c r="U149" s="105"/>
      <c r="V149" s="105"/>
      <c r="W149" s="105"/>
      <c r="X149" s="105"/>
      <c r="Y149" s="105"/>
      <c r="Z149" s="105"/>
    </row>
    <row r="150" spans="2:26" s="37" customFormat="1" ht="13.5" customHeight="1" x14ac:dyDescent="0.2">
      <c r="B150" s="214" t="str">
        <f>IF('5. PERSON'!C146="","",'5. PERSON'!C146)</f>
        <v/>
      </c>
      <c r="C150" s="934">
        <f>('5. PERSON'!G146+'5. PERSON'!H146+'5. PERSON'!I146+'5. PERSON'!J146+'5. PERSON'!K146+'5. PERSON'!L146+'5. PERSON'!M146+'5. PERSON'!N146+'5. PERSON'!O146+'5. PERSON'!P146)/((YEAR('2. START'!$C$19)-YEAR('2. START'!$C$18))*12+MONTH('2. START'!$C$19)-MONTH('2. START'!$C$18)+1)</f>
        <v>0</v>
      </c>
      <c r="D150" s="934">
        <f>(('5. PERSON'!$G146+'5. PERSON'!$H146+'5. PERSON'!$I146+'5. PERSON'!$J146+'5. PERSON'!$K146+'5. PERSON'!$L146+'5. PERSON'!$M146+'5. PERSON'!$N146+'5. PERSON'!$O146+'5. PERSON'!$P146)*(1-'5. PERSON'!E146))/((YEAR('2. START'!$C$19)-YEAR('2. START'!$C$18))*12+MONTH('2. START'!$C$19)-MONTH('2. START'!$C$18)+1)</f>
        <v>0</v>
      </c>
      <c r="E150" s="98">
        <f>'5. PERSON'!AT146</f>
        <v>0</v>
      </c>
      <c r="F150" s="98">
        <f>'5. PERSON'!AU146</f>
        <v>0</v>
      </c>
      <c r="G150" s="98">
        <f>'5. PERSON'!AV146</f>
        <v>0</v>
      </c>
      <c r="H150" s="98">
        <f>'5. PERSON'!AW146</f>
        <v>0</v>
      </c>
      <c r="I150" s="98">
        <f>'5. PERSON'!AX146</f>
        <v>0</v>
      </c>
      <c r="J150" s="98">
        <f>'5. PERSON'!AY146</f>
        <v>0</v>
      </c>
      <c r="K150" s="98">
        <f>'5. PERSON'!AZ146</f>
        <v>0</v>
      </c>
      <c r="L150" s="98">
        <f>'5. PERSON'!BA146</f>
        <v>0</v>
      </c>
      <c r="M150" s="98">
        <f>'5. PERSON'!BB146</f>
        <v>0</v>
      </c>
      <c r="N150" s="98">
        <f>'5. PERSON'!BC146</f>
        <v>0</v>
      </c>
      <c r="O150" s="98">
        <f>'5. PERSON'!BD146</f>
        <v>0</v>
      </c>
      <c r="P150" s="98"/>
      <c r="Q150" s="98"/>
      <c r="R150" s="98"/>
      <c r="S150" s="98"/>
      <c r="T150" s="98"/>
      <c r="U150" s="98"/>
      <c r="V150" s="98"/>
      <c r="W150" s="98"/>
      <c r="X150" s="98"/>
      <c r="Y150" s="98"/>
      <c r="Z150" s="98"/>
    </row>
    <row r="151" spans="2:26" s="71" customFormat="1" ht="13.5" customHeight="1" x14ac:dyDescent="0.2">
      <c r="B151" s="280" t="str">
        <f>IF('5. PERSON'!C147="","",'5. PERSON'!C147)</f>
        <v/>
      </c>
      <c r="C151" s="935">
        <f>('5. PERSON'!G147+'5. PERSON'!H147+'5. PERSON'!I147+'5. PERSON'!J147+'5. PERSON'!K147+'5. PERSON'!L147+'5. PERSON'!M147+'5. PERSON'!N147+'5. PERSON'!O147+'5. PERSON'!P147)/((YEAR('2. START'!$C$19)-YEAR('2. START'!$C$18))*12+MONTH('2. START'!$C$19)-MONTH('2. START'!$C$18)+1)</f>
        <v>0</v>
      </c>
      <c r="D151" s="935">
        <f>(('5. PERSON'!$G147+'5. PERSON'!$H147+'5. PERSON'!$I147+'5. PERSON'!$J147+'5. PERSON'!$K147+'5. PERSON'!$L147+'5. PERSON'!$M147+'5. PERSON'!$N147+'5. PERSON'!$O147+'5. PERSON'!$P147)*(1-'5. PERSON'!E147))/((YEAR('2. START'!$C$19)-YEAR('2. START'!$C$18))*12+MONTH('2. START'!$C$19)-MONTH('2. START'!$C$18)+1)</f>
        <v>0</v>
      </c>
      <c r="E151" s="105">
        <f>'5. PERSON'!AT147</f>
        <v>0</v>
      </c>
      <c r="F151" s="105">
        <f>'5. PERSON'!AU147</f>
        <v>0</v>
      </c>
      <c r="G151" s="105">
        <f>'5. PERSON'!AV147</f>
        <v>0</v>
      </c>
      <c r="H151" s="105">
        <f>'5. PERSON'!AW147</f>
        <v>0</v>
      </c>
      <c r="I151" s="105">
        <f>'5. PERSON'!AX147</f>
        <v>0</v>
      </c>
      <c r="J151" s="105">
        <f>'5. PERSON'!AY147</f>
        <v>0</v>
      </c>
      <c r="K151" s="105">
        <f>'5. PERSON'!AZ147</f>
        <v>0</v>
      </c>
      <c r="L151" s="105">
        <f>'5. PERSON'!BA147</f>
        <v>0</v>
      </c>
      <c r="M151" s="105">
        <f>'5. PERSON'!BB147</f>
        <v>0</v>
      </c>
      <c r="N151" s="105">
        <f>'5. PERSON'!BC147</f>
        <v>0</v>
      </c>
      <c r="O151" s="105">
        <f>'5. PERSON'!BD147</f>
        <v>0</v>
      </c>
      <c r="P151" s="105"/>
      <c r="Q151" s="105"/>
      <c r="R151" s="105"/>
      <c r="S151" s="105"/>
      <c r="T151" s="105"/>
      <c r="U151" s="105"/>
      <c r="V151" s="105"/>
      <c r="W151" s="105"/>
      <c r="X151" s="105"/>
      <c r="Y151" s="105"/>
      <c r="Z151" s="105"/>
    </row>
    <row r="152" spans="2:26" s="37" customFormat="1" ht="13.5" customHeight="1" x14ac:dyDescent="0.2">
      <c r="B152" s="214" t="str">
        <f>IF('5. PERSON'!C148="","",'5. PERSON'!C148)</f>
        <v/>
      </c>
      <c r="C152" s="934">
        <f>('5. PERSON'!G148+'5. PERSON'!H148+'5. PERSON'!I148+'5. PERSON'!J148+'5. PERSON'!K148+'5. PERSON'!L148+'5. PERSON'!M148+'5. PERSON'!N148+'5. PERSON'!O148+'5. PERSON'!P148)/((YEAR('2. START'!$C$19)-YEAR('2. START'!$C$18))*12+MONTH('2. START'!$C$19)-MONTH('2. START'!$C$18)+1)</f>
        <v>0</v>
      </c>
      <c r="D152" s="934">
        <f>(('5. PERSON'!$G148+'5. PERSON'!$H148+'5. PERSON'!$I148+'5. PERSON'!$J148+'5. PERSON'!$K148+'5. PERSON'!$L148+'5. PERSON'!$M148+'5. PERSON'!$N148+'5. PERSON'!$O148+'5. PERSON'!$P148)*(1-'5. PERSON'!E148))/((YEAR('2. START'!$C$19)-YEAR('2. START'!$C$18))*12+MONTH('2. START'!$C$19)-MONTH('2. START'!$C$18)+1)</f>
        <v>0</v>
      </c>
      <c r="E152" s="98">
        <f>'5. PERSON'!AT148</f>
        <v>0</v>
      </c>
      <c r="F152" s="98">
        <f>'5. PERSON'!AU148</f>
        <v>0</v>
      </c>
      <c r="G152" s="98">
        <f>'5. PERSON'!AV148</f>
        <v>0</v>
      </c>
      <c r="H152" s="98">
        <f>'5. PERSON'!AW148</f>
        <v>0</v>
      </c>
      <c r="I152" s="98">
        <f>'5. PERSON'!AX148</f>
        <v>0</v>
      </c>
      <c r="J152" s="98">
        <f>'5. PERSON'!AY148</f>
        <v>0</v>
      </c>
      <c r="K152" s="98">
        <f>'5. PERSON'!AZ148</f>
        <v>0</v>
      </c>
      <c r="L152" s="98">
        <f>'5. PERSON'!BA148</f>
        <v>0</v>
      </c>
      <c r="M152" s="98">
        <f>'5. PERSON'!BB148</f>
        <v>0</v>
      </c>
      <c r="N152" s="98">
        <f>'5. PERSON'!BC148</f>
        <v>0</v>
      </c>
      <c r="O152" s="98">
        <f>'5. PERSON'!BD148</f>
        <v>0</v>
      </c>
      <c r="P152" s="98"/>
      <c r="Q152" s="98"/>
      <c r="R152" s="98"/>
      <c r="S152" s="98"/>
      <c r="T152" s="98"/>
      <c r="U152" s="98"/>
      <c r="V152" s="98"/>
      <c r="W152" s="98"/>
      <c r="X152" s="98"/>
      <c r="Y152" s="98"/>
      <c r="Z152" s="98"/>
    </row>
    <row r="153" spans="2:26" s="71" customFormat="1" ht="13.5" customHeight="1" x14ac:dyDescent="0.2">
      <c r="B153" s="280" t="str">
        <f>IF('5. PERSON'!C149="","",'5. PERSON'!C149)</f>
        <v/>
      </c>
      <c r="C153" s="935">
        <f>('5. PERSON'!G149+'5. PERSON'!H149+'5. PERSON'!I149+'5. PERSON'!J149+'5. PERSON'!K149+'5. PERSON'!L149+'5. PERSON'!M149+'5. PERSON'!N149+'5. PERSON'!O149+'5. PERSON'!P149)/((YEAR('2. START'!$C$19)-YEAR('2. START'!$C$18))*12+MONTH('2. START'!$C$19)-MONTH('2. START'!$C$18)+1)</f>
        <v>0</v>
      </c>
      <c r="D153" s="935">
        <f>(('5. PERSON'!$G149+'5. PERSON'!$H149+'5. PERSON'!$I149+'5. PERSON'!$J149+'5. PERSON'!$K149+'5. PERSON'!$L149+'5. PERSON'!$M149+'5. PERSON'!$N149+'5. PERSON'!$O149+'5. PERSON'!$P149)*(1-'5. PERSON'!E149))/((YEAR('2. START'!$C$19)-YEAR('2. START'!$C$18))*12+MONTH('2. START'!$C$19)-MONTH('2. START'!$C$18)+1)</f>
        <v>0</v>
      </c>
      <c r="E153" s="105">
        <f>'5. PERSON'!AT149</f>
        <v>0</v>
      </c>
      <c r="F153" s="105">
        <f>'5. PERSON'!AU149</f>
        <v>0</v>
      </c>
      <c r="G153" s="105">
        <f>'5. PERSON'!AV149</f>
        <v>0</v>
      </c>
      <c r="H153" s="105">
        <f>'5. PERSON'!AW149</f>
        <v>0</v>
      </c>
      <c r="I153" s="105">
        <f>'5. PERSON'!AX149</f>
        <v>0</v>
      </c>
      <c r="J153" s="105">
        <f>'5. PERSON'!AY149</f>
        <v>0</v>
      </c>
      <c r="K153" s="105">
        <f>'5. PERSON'!AZ149</f>
        <v>0</v>
      </c>
      <c r="L153" s="105">
        <f>'5. PERSON'!BA149</f>
        <v>0</v>
      </c>
      <c r="M153" s="105">
        <f>'5. PERSON'!BB149</f>
        <v>0</v>
      </c>
      <c r="N153" s="105">
        <f>'5. PERSON'!BC149</f>
        <v>0</v>
      </c>
      <c r="O153" s="105">
        <f>'5. PERSON'!BD149</f>
        <v>0</v>
      </c>
      <c r="P153" s="105"/>
      <c r="Q153" s="105"/>
      <c r="R153" s="105"/>
      <c r="S153" s="105"/>
      <c r="T153" s="105"/>
      <c r="U153" s="105"/>
      <c r="V153" s="105"/>
      <c r="W153" s="105"/>
      <c r="X153" s="105"/>
      <c r="Y153" s="105"/>
      <c r="Z153" s="105"/>
    </row>
    <row r="154" spans="2:26" s="37" customFormat="1" ht="13.5" customHeight="1" x14ac:dyDescent="0.2">
      <c r="B154" s="214" t="str">
        <f>IF('5. PERSON'!C150="","",'5. PERSON'!C150)</f>
        <v/>
      </c>
      <c r="C154" s="934">
        <f>('5. PERSON'!G150+'5. PERSON'!H150+'5. PERSON'!I150+'5. PERSON'!J150+'5. PERSON'!K150+'5. PERSON'!L150+'5. PERSON'!M150+'5. PERSON'!N150+'5. PERSON'!O150+'5. PERSON'!P150)/((YEAR('2. START'!$C$19)-YEAR('2. START'!$C$18))*12+MONTH('2. START'!$C$19)-MONTH('2. START'!$C$18)+1)</f>
        <v>0</v>
      </c>
      <c r="D154" s="934">
        <f>(('5. PERSON'!$G150+'5. PERSON'!$H150+'5. PERSON'!$I150+'5. PERSON'!$J150+'5. PERSON'!$K150+'5. PERSON'!$L150+'5. PERSON'!$M150+'5. PERSON'!$N150+'5. PERSON'!$O150+'5. PERSON'!$P150)*(1-'5. PERSON'!E150))/((YEAR('2. START'!$C$19)-YEAR('2. START'!$C$18))*12+MONTH('2. START'!$C$19)-MONTH('2. START'!$C$18)+1)</f>
        <v>0</v>
      </c>
      <c r="E154" s="98">
        <f>'5. PERSON'!AT150</f>
        <v>0</v>
      </c>
      <c r="F154" s="98">
        <f>'5. PERSON'!AU150</f>
        <v>0</v>
      </c>
      <c r="G154" s="98">
        <f>'5. PERSON'!AV150</f>
        <v>0</v>
      </c>
      <c r="H154" s="98">
        <f>'5. PERSON'!AW150</f>
        <v>0</v>
      </c>
      <c r="I154" s="98">
        <f>'5. PERSON'!AX150</f>
        <v>0</v>
      </c>
      <c r="J154" s="98">
        <f>'5. PERSON'!AY150</f>
        <v>0</v>
      </c>
      <c r="K154" s="98">
        <f>'5. PERSON'!AZ150</f>
        <v>0</v>
      </c>
      <c r="L154" s="98">
        <f>'5. PERSON'!BA150</f>
        <v>0</v>
      </c>
      <c r="M154" s="98">
        <f>'5. PERSON'!BB150</f>
        <v>0</v>
      </c>
      <c r="N154" s="98">
        <f>'5. PERSON'!BC150</f>
        <v>0</v>
      </c>
      <c r="O154" s="98">
        <f>'5. PERSON'!BD150</f>
        <v>0</v>
      </c>
      <c r="P154" s="98"/>
      <c r="Q154" s="98"/>
      <c r="R154" s="98"/>
      <c r="S154" s="98"/>
      <c r="T154" s="98"/>
      <c r="U154" s="98"/>
      <c r="V154" s="98"/>
      <c r="W154" s="98"/>
      <c r="X154" s="98"/>
      <c r="Y154" s="98"/>
      <c r="Z154" s="98"/>
    </row>
    <row r="155" spans="2:26" s="71" customFormat="1" ht="13.5" customHeight="1" x14ac:dyDescent="0.2">
      <c r="B155" s="280" t="str">
        <f>IF('5. PERSON'!C151="","",'5. PERSON'!C151)</f>
        <v/>
      </c>
      <c r="C155" s="935">
        <f>('5. PERSON'!G151+'5. PERSON'!H151+'5. PERSON'!I151+'5. PERSON'!J151+'5. PERSON'!K151+'5. PERSON'!L151+'5. PERSON'!M151+'5. PERSON'!N151+'5. PERSON'!O151+'5. PERSON'!P151)/((YEAR('2. START'!$C$19)-YEAR('2. START'!$C$18))*12+MONTH('2. START'!$C$19)-MONTH('2. START'!$C$18)+1)</f>
        <v>0</v>
      </c>
      <c r="D155" s="935">
        <f>(('5. PERSON'!$G151+'5. PERSON'!$H151+'5. PERSON'!$I151+'5. PERSON'!$J151+'5. PERSON'!$K151+'5. PERSON'!$L151+'5. PERSON'!$M151+'5. PERSON'!$N151+'5. PERSON'!$O151+'5. PERSON'!$P151)*(1-'5. PERSON'!E151))/((YEAR('2. START'!$C$19)-YEAR('2. START'!$C$18))*12+MONTH('2. START'!$C$19)-MONTH('2. START'!$C$18)+1)</f>
        <v>0</v>
      </c>
      <c r="E155" s="105">
        <f>'5. PERSON'!AT151</f>
        <v>0</v>
      </c>
      <c r="F155" s="105">
        <f>'5. PERSON'!AU151</f>
        <v>0</v>
      </c>
      <c r="G155" s="105">
        <f>'5. PERSON'!AV151</f>
        <v>0</v>
      </c>
      <c r="H155" s="105">
        <f>'5. PERSON'!AW151</f>
        <v>0</v>
      </c>
      <c r="I155" s="105">
        <f>'5. PERSON'!AX151</f>
        <v>0</v>
      </c>
      <c r="J155" s="105">
        <f>'5. PERSON'!AY151</f>
        <v>0</v>
      </c>
      <c r="K155" s="105">
        <f>'5. PERSON'!AZ151</f>
        <v>0</v>
      </c>
      <c r="L155" s="105">
        <f>'5. PERSON'!BA151</f>
        <v>0</v>
      </c>
      <c r="M155" s="105">
        <f>'5. PERSON'!BB151</f>
        <v>0</v>
      </c>
      <c r="N155" s="105">
        <f>'5. PERSON'!BC151</f>
        <v>0</v>
      </c>
      <c r="O155" s="105">
        <f>'5. PERSON'!BD151</f>
        <v>0</v>
      </c>
      <c r="P155" s="105"/>
      <c r="Q155" s="105"/>
      <c r="R155" s="105"/>
      <c r="S155" s="105"/>
      <c r="T155" s="105"/>
      <c r="U155" s="105"/>
      <c r="V155" s="105"/>
      <c r="W155" s="105"/>
      <c r="X155" s="105"/>
      <c r="Y155" s="105"/>
      <c r="Z155" s="105"/>
    </row>
    <row r="156" spans="2:26" s="37" customFormat="1" ht="13.5" customHeight="1" x14ac:dyDescent="0.2">
      <c r="B156" s="214" t="str">
        <f>IF('5. PERSON'!C152="","",'5. PERSON'!C152)</f>
        <v/>
      </c>
      <c r="C156" s="934">
        <f>('5. PERSON'!G152+'5. PERSON'!H152+'5. PERSON'!I152+'5. PERSON'!J152+'5. PERSON'!K152+'5. PERSON'!L152+'5. PERSON'!M152+'5. PERSON'!N152+'5. PERSON'!O152+'5. PERSON'!P152)/((YEAR('2. START'!$C$19)-YEAR('2. START'!$C$18))*12+MONTH('2. START'!$C$19)-MONTH('2. START'!$C$18)+1)</f>
        <v>0</v>
      </c>
      <c r="D156" s="934">
        <f>(('5. PERSON'!$G152+'5. PERSON'!$H152+'5. PERSON'!$I152+'5. PERSON'!$J152+'5. PERSON'!$K152+'5. PERSON'!$L152+'5. PERSON'!$M152+'5. PERSON'!$N152+'5. PERSON'!$O152+'5. PERSON'!$P152)*(1-'5. PERSON'!E152))/((YEAR('2. START'!$C$19)-YEAR('2. START'!$C$18))*12+MONTH('2. START'!$C$19)-MONTH('2. START'!$C$18)+1)</f>
        <v>0</v>
      </c>
      <c r="E156" s="98">
        <f>'5. PERSON'!AT152</f>
        <v>0</v>
      </c>
      <c r="F156" s="98">
        <f>'5. PERSON'!AU152</f>
        <v>0</v>
      </c>
      <c r="G156" s="98">
        <f>'5. PERSON'!AV152</f>
        <v>0</v>
      </c>
      <c r="H156" s="98">
        <f>'5. PERSON'!AW152</f>
        <v>0</v>
      </c>
      <c r="I156" s="98">
        <f>'5. PERSON'!AX152</f>
        <v>0</v>
      </c>
      <c r="J156" s="98">
        <f>'5. PERSON'!AY152</f>
        <v>0</v>
      </c>
      <c r="K156" s="98">
        <f>'5. PERSON'!AZ152</f>
        <v>0</v>
      </c>
      <c r="L156" s="98">
        <f>'5. PERSON'!BA152</f>
        <v>0</v>
      </c>
      <c r="M156" s="98">
        <f>'5. PERSON'!BB152</f>
        <v>0</v>
      </c>
      <c r="N156" s="98">
        <f>'5. PERSON'!BC152</f>
        <v>0</v>
      </c>
      <c r="O156" s="98">
        <f>'5. PERSON'!BD152</f>
        <v>0</v>
      </c>
      <c r="P156" s="98"/>
      <c r="Q156" s="98"/>
      <c r="R156" s="98"/>
      <c r="S156" s="98"/>
      <c r="T156" s="98"/>
      <c r="U156" s="98"/>
      <c r="V156" s="98"/>
      <c r="W156" s="98"/>
      <c r="X156" s="98"/>
      <c r="Y156" s="98"/>
      <c r="Z156" s="98"/>
    </row>
    <row r="157" spans="2:26" s="71" customFormat="1" ht="13.5" customHeight="1" x14ac:dyDescent="0.2">
      <c r="B157" s="280" t="str">
        <f>IF('5. PERSON'!C153="","",'5. PERSON'!C153)</f>
        <v/>
      </c>
      <c r="C157" s="935">
        <f>('5. PERSON'!G153+'5. PERSON'!H153+'5. PERSON'!I153+'5. PERSON'!J153+'5. PERSON'!K153+'5. PERSON'!L153+'5. PERSON'!M153+'5. PERSON'!N153+'5. PERSON'!O153+'5. PERSON'!P153)/((YEAR('2. START'!$C$19)-YEAR('2. START'!$C$18))*12+MONTH('2. START'!$C$19)-MONTH('2. START'!$C$18)+1)</f>
        <v>0</v>
      </c>
      <c r="D157" s="935">
        <f>(('5. PERSON'!$G153+'5. PERSON'!$H153+'5. PERSON'!$I153+'5. PERSON'!$J153+'5. PERSON'!$K153+'5. PERSON'!$L153+'5. PERSON'!$M153+'5. PERSON'!$N153+'5. PERSON'!$O153+'5. PERSON'!$P153)*(1-'5. PERSON'!E153))/((YEAR('2. START'!$C$19)-YEAR('2. START'!$C$18))*12+MONTH('2. START'!$C$19)-MONTH('2. START'!$C$18)+1)</f>
        <v>0</v>
      </c>
      <c r="E157" s="105">
        <f>'5. PERSON'!AT153</f>
        <v>0</v>
      </c>
      <c r="F157" s="105">
        <f>'5. PERSON'!AU153</f>
        <v>0</v>
      </c>
      <c r="G157" s="105">
        <f>'5. PERSON'!AV153</f>
        <v>0</v>
      </c>
      <c r="H157" s="105">
        <f>'5. PERSON'!AW153</f>
        <v>0</v>
      </c>
      <c r="I157" s="105">
        <f>'5. PERSON'!AX153</f>
        <v>0</v>
      </c>
      <c r="J157" s="105">
        <f>'5. PERSON'!AY153</f>
        <v>0</v>
      </c>
      <c r="K157" s="105">
        <f>'5. PERSON'!AZ153</f>
        <v>0</v>
      </c>
      <c r="L157" s="105">
        <f>'5. PERSON'!BA153</f>
        <v>0</v>
      </c>
      <c r="M157" s="105">
        <f>'5. PERSON'!BB153</f>
        <v>0</v>
      </c>
      <c r="N157" s="105">
        <f>'5. PERSON'!BC153</f>
        <v>0</v>
      </c>
      <c r="O157" s="105">
        <f>'5. PERSON'!BD153</f>
        <v>0</v>
      </c>
      <c r="P157" s="105"/>
      <c r="Q157" s="105"/>
      <c r="R157" s="105"/>
      <c r="S157" s="105"/>
      <c r="T157" s="105"/>
      <c r="U157" s="105"/>
      <c r="V157" s="105"/>
      <c r="W157" s="105"/>
      <c r="X157" s="105"/>
      <c r="Y157" s="105"/>
      <c r="Z157" s="105"/>
    </row>
    <row r="158" spans="2:26" s="37" customFormat="1" ht="13.5" customHeight="1" x14ac:dyDescent="0.2">
      <c r="B158" s="214" t="str">
        <f>IF('5. PERSON'!C154="","",'5. PERSON'!C154)</f>
        <v/>
      </c>
      <c r="C158" s="934">
        <f>('5. PERSON'!G154+'5. PERSON'!H154+'5. PERSON'!I154+'5. PERSON'!J154+'5. PERSON'!K154+'5. PERSON'!L154+'5. PERSON'!M154+'5. PERSON'!N154+'5. PERSON'!O154+'5. PERSON'!P154)/((YEAR('2. START'!$C$19)-YEAR('2. START'!$C$18))*12+MONTH('2. START'!$C$19)-MONTH('2. START'!$C$18)+1)</f>
        <v>0</v>
      </c>
      <c r="D158" s="934">
        <f>(('5. PERSON'!$G154+'5. PERSON'!$H154+'5. PERSON'!$I154+'5. PERSON'!$J154+'5. PERSON'!$K154+'5. PERSON'!$L154+'5. PERSON'!$M154+'5. PERSON'!$N154+'5. PERSON'!$O154+'5. PERSON'!$P154)*(1-'5. PERSON'!E154))/((YEAR('2. START'!$C$19)-YEAR('2. START'!$C$18))*12+MONTH('2. START'!$C$19)-MONTH('2. START'!$C$18)+1)</f>
        <v>0</v>
      </c>
      <c r="E158" s="98">
        <f>'5. PERSON'!AT154</f>
        <v>0</v>
      </c>
      <c r="F158" s="98">
        <f>'5. PERSON'!AU154</f>
        <v>0</v>
      </c>
      <c r="G158" s="98">
        <f>'5. PERSON'!AV154</f>
        <v>0</v>
      </c>
      <c r="H158" s="98">
        <f>'5. PERSON'!AW154</f>
        <v>0</v>
      </c>
      <c r="I158" s="98">
        <f>'5. PERSON'!AX154</f>
        <v>0</v>
      </c>
      <c r="J158" s="98">
        <f>'5. PERSON'!AY154</f>
        <v>0</v>
      </c>
      <c r="K158" s="98">
        <f>'5. PERSON'!AZ154</f>
        <v>0</v>
      </c>
      <c r="L158" s="98">
        <f>'5. PERSON'!BA154</f>
        <v>0</v>
      </c>
      <c r="M158" s="98">
        <f>'5. PERSON'!BB154</f>
        <v>0</v>
      </c>
      <c r="N158" s="98">
        <f>'5. PERSON'!BC154</f>
        <v>0</v>
      </c>
      <c r="O158" s="98">
        <f>'5. PERSON'!BD154</f>
        <v>0</v>
      </c>
      <c r="P158" s="98"/>
      <c r="Q158" s="98"/>
      <c r="R158" s="98"/>
      <c r="S158" s="98"/>
      <c r="T158" s="98"/>
      <c r="U158" s="98"/>
      <c r="V158" s="98"/>
      <c r="W158" s="98"/>
      <c r="X158" s="98"/>
      <c r="Y158" s="98"/>
      <c r="Z158" s="98"/>
    </row>
    <row r="159" spans="2:26" s="71" customFormat="1" ht="13.5" customHeight="1" x14ac:dyDescent="0.2">
      <c r="B159" s="280" t="str">
        <f>IF('5. PERSON'!C155="","",'5. PERSON'!C155)</f>
        <v/>
      </c>
      <c r="C159" s="935">
        <f>('5. PERSON'!G155+'5. PERSON'!H155+'5. PERSON'!I155+'5. PERSON'!J155+'5. PERSON'!K155+'5. PERSON'!L155+'5. PERSON'!M155+'5. PERSON'!N155+'5. PERSON'!O155+'5. PERSON'!P155)/((YEAR('2. START'!$C$19)-YEAR('2. START'!$C$18))*12+MONTH('2. START'!$C$19)-MONTH('2. START'!$C$18)+1)</f>
        <v>0</v>
      </c>
      <c r="D159" s="935">
        <f>(('5. PERSON'!$G155+'5. PERSON'!$H155+'5. PERSON'!$I155+'5. PERSON'!$J155+'5. PERSON'!$K155+'5. PERSON'!$L155+'5. PERSON'!$M155+'5. PERSON'!$N155+'5. PERSON'!$O155+'5. PERSON'!$P155)*(1-'5. PERSON'!E155))/((YEAR('2. START'!$C$19)-YEAR('2. START'!$C$18))*12+MONTH('2. START'!$C$19)-MONTH('2. START'!$C$18)+1)</f>
        <v>0</v>
      </c>
      <c r="E159" s="105">
        <f>'5. PERSON'!AT155</f>
        <v>0</v>
      </c>
      <c r="F159" s="105">
        <f>'5. PERSON'!AU155</f>
        <v>0</v>
      </c>
      <c r="G159" s="105">
        <f>'5. PERSON'!AV155</f>
        <v>0</v>
      </c>
      <c r="H159" s="105">
        <f>'5. PERSON'!AW155</f>
        <v>0</v>
      </c>
      <c r="I159" s="105">
        <f>'5. PERSON'!AX155</f>
        <v>0</v>
      </c>
      <c r="J159" s="105">
        <f>'5. PERSON'!AY155</f>
        <v>0</v>
      </c>
      <c r="K159" s="105">
        <f>'5. PERSON'!AZ155</f>
        <v>0</v>
      </c>
      <c r="L159" s="105">
        <f>'5. PERSON'!BA155</f>
        <v>0</v>
      </c>
      <c r="M159" s="105">
        <f>'5. PERSON'!BB155</f>
        <v>0</v>
      </c>
      <c r="N159" s="105">
        <f>'5. PERSON'!BC155</f>
        <v>0</v>
      </c>
      <c r="O159" s="105">
        <f>'5. PERSON'!BD155</f>
        <v>0</v>
      </c>
      <c r="P159" s="105"/>
      <c r="Q159" s="105"/>
      <c r="R159" s="105"/>
      <c r="S159" s="105"/>
      <c r="T159" s="105"/>
      <c r="U159" s="105"/>
      <c r="V159" s="105"/>
      <c r="W159" s="105"/>
      <c r="X159" s="105"/>
      <c r="Y159" s="105"/>
      <c r="Z159" s="105"/>
    </row>
    <row r="160" spans="2:26" s="37" customFormat="1" ht="13.5" customHeight="1" x14ac:dyDescent="0.2">
      <c r="B160" s="214" t="str">
        <f>IF('5. PERSON'!C156="","",'5. PERSON'!C156)</f>
        <v/>
      </c>
      <c r="C160" s="934">
        <f>('5. PERSON'!G156+'5. PERSON'!H156+'5. PERSON'!I156+'5. PERSON'!J156+'5. PERSON'!K156+'5. PERSON'!L156+'5. PERSON'!M156+'5. PERSON'!N156+'5. PERSON'!O156+'5. PERSON'!P156)/((YEAR('2. START'!$C$19)-YEAR('2. START'!$C$18))*12+MONTH('2. START'!$C$19)-MONTH('2. START'!$C$18)+1)</f>
        <v>0</v>
      </c>
      <c r="D160" s="934">
        <f>(('5. PERSON'!$G156+'5. PERSON'!$H156+'5. PERSON'!$I156+'5. PERSON'!$J156+'5. PERSON'!$K156+'5. PERSON'!$L156+'5. PERSON'!$M156+'5. PERSON'!$N156+'5. PERSON'!$O156+'5. PERSON'!$P156)*(1-'5. PERSON'!E156))/((YEAR('2. START'!$C$19)-YEAR('2. START'!$C$18))*12+MONTH('2. START'!$C$19)-MONTH('2. START'!$C$18)+1)</f>
        <v>0</v>
      </c>
      <c r="E160" s="98">
        <f>'5. PERSON'!AT156</f>
        <v>0</v>
      </c>
      <c r="F160" s="98">
        <f>'5. PERSON'!AU156</f>
        <v>0</v>
      </c>
      <c r="G160" s="98">
        <f>'5. PERSON'!AV156</f>
        <v>0</v>
      </c>
      <c r="H160" s="98">
        <f>'5. PERSON'!AW156</f>
        <v>0</v>
      </c>
      <c r="I160" s="98">
        <f>'5. PERSON'!AX156</f>
        <v>0</v>
      </c>
      <c r="J160" s="98">
        <f>'5. PERSON'!AY156</f>
        <v>0</v>
      </c>
      <c r="K160" s="98">
        <f>'5. PERSON'!AZ156</f>
        <v>0</v>
      </c>
      <c r="L160" s="98">
        <f>'5. PERSON'!BA156</f>
        <v>0</v>
      </c>
      <c r="M160" s="98">
        <f>'5. PERSON'!BB156</f>
        <v>0</v>
      </c>
      <c r="N160" s="98">
        <f>'5. PERSON'!BC156</f>
        <v>0</v>
      </c>
      <c r="O160" s="98">
        <f>'5. PERSON'!BD156</f>
        <v>0</v>
      </c>
      <c r="P160" s="98"/>
      <c r="Q160" s="98"/>
      <c r="R160" s="98"/>
      <c r="S160" s="98"/>
      <c r="T160" s="98"/>
      <c r="U160" s="98"/>
      <c r="V160" s="98"/>
      <c r="W160" s="98"/>
      <c r="X160" s="98"/>
      <c r="Y160" s="98"/>
      <c r="Z160" s="98"/>
    </row>
    <row r="161" spans="2:26" s="71" customFormat="1" ht="13.5" customHeight="1" x14ac:dyDescent="0.2">
      <c r="B161" s="280" t="str">
        <f>IF('5. PERSON'!C157="","",'5. PERSON'!C157)</f>
        <v/>
      </c>
      <c r="C161" s="935">
        <f>('5. PERSON'!G157+'5. PERSON'!H157+'5. PERSON'!I157+'5. PERSON'!J157+'5. PERSON'!K157+'5. PERSON'!L157+'5. PERSON'!M157+'5. PERSON'!N157+'5. PERSON'!O157+'5. PERSON'!P157)/((YEAR('2. START'!$C$19)-YEAR('2. START'!$C$18))*12+MONTH('2. START'!$C$19)-MONTH('2. START'!$C$18)+1)</f>
        <v>0</v>
      </c>
      <c r="D161" s="935">
        <f>(('5. PERSON'!$G157+'5. PERSON'!$H157+'5. PERSON'!$I157+'5. PERSON'!$J157+'5. PERSON'!$K157+'5. PERSON'!$L157+'5. PERSON'!$M157+'5. PERSON'!$N157+'5. PERSON'!$O157+'5. PERSON'!$P157)*(1-'5. PERSON'!E157))/((YEAR('2. START'!$C$19)-YEAR('2. START'!$C$18))*12+MONTH('2. START'!$C$19)-MONTH('2. START'!$C$18)+1)</f>
        <v>0</v>
      </c>
      <c r="E161" s="105">
        <f>'5. PERSON'!AT157</f>
        <v>0</v>
      </c>
      <c r="F161" s="105">
        <f>'5. PERSON'!AU157</f>
        <v>0</v>
      </c>
      <c r="G161" s="105">
        <f>'5. PERSON'!AV157</f>
        <v>0</v>
      </c>
      <c r="H161" s="105">
        <f>'5. PERSON'!AW157</f>
        <v>0</v>
      </c>
      <c r="I161" s="105">
        <f>'5. PERSON'!AX157</f>
        <v>0</v>
      </c>
      <c r="J161" s="105">
        <f>'5. PERSON'!AY157</f>
        <v>0</v>
      </c>
      <c r="K161" s="105">
        <f>'5. PERSON'!AZ157</f>
        <v>0</v>
      </c>
      <c r="L161" s="105">
        <f>'5. PERSON'!BA157</f>
        <v>0</v>
      </c>
      <c r="M161" s="105">
        <f>'5. PERSON'!BB157</f>
        <v>0</v>
      </c>
      <c r="N161" s="105">
        <f>'5. PERSON'!BC157</f>
        <v>0</v>
      </c>
      <c r="O161" s="105">
        <f>'5. PERSON'!BD157</f>
        <v>0</v>
      </c>
      <c r="P161" s="105"/>
      <c r="Q161" s="105"/>
      <c r="R161" s="105"/>
      <c r="S161" s="105"/>
      <c r="T161" s="105"/>
      <c r="U161" s="105"/>
      <c r="V161" s="105"/>
      <c r="W161" s="105"/>
      <c r="X161" s="105"/>
      <c r="Y161" s="105"/>
      <c r="Z161" s="105"/>
    </row>
    <row r="162" spans="2:26" s="37" customFormat="1" ht="13.5" customHeight="1" x14ac:dyDescent="0.2">
      <c r="B162" s="214" t="str">
        <f>IF('5. PERSON'!C158="","",'5. PERSON'!C158)</f>
        <v/>
      </c>
      <c r="C162" s="934">
        <f>('5. PERSON'!G158+'5. PERSON'!H158+'5. PERSON'!I158+'5. PERSON'!J158+'5. PERSON'!K158+'5. PERSON'!L158+'5. PERSON'!M158+'5. PERSON'!N158+'5. PERSON'!O158+'5. PERSON'!P158)/((YEAR('2. START'!$C$19)-YEAR('2. START'!$C$18))*12+MONTH('2. START'!$C$19)-MONTH('2. START'!$C$18)+1)</f>
        <v>0</v>
      </c>
      <c r="D162" s="934">
        <f>(('5. PERSON'!$G158+'5. PERSON'!$H158+'5. PERSON'!$I158+'5. PERSON'!$J158+'5. PERSON'!$K158+'5. PERSON'!$L158+'5. PERSON'!$M158+'5. PERSON'!$N158+'5. PERSON'!$O158+'5. PERSON'!$P158)*(1-'5. PERSON'!E158))/((YEAR('2. START'!$C$19)-YEAR('2. START'!$C$18))*12+MONTH('2. START'!$C$19)-MONTH('2. START'!$C$18)+1)</f>
        <v>0</v>
      </c>
      <c r="E162" s="98">
        <f>'5. PERSON'!AT158</f>
        <v>0</v>
      </c>
      <c r="F162" s="98">
        <f>'5. PERSON'!AU158</f>
        <v>0</v>
      </c>
      <c r="G162" s="98">
        <f>'5. PERSON'!AV158</f>
        <v>0</v>
      </c>
      <c r="H162" s="98">
        <f>'5. PERSON'!AW158</f>
        <v>0</v>
      </c>
      <c r="I162" s="98">
        <f>'5. PERSON'!AX158</f>
        <v>0</v>
      </c>
      <c r="J162" s="98">
        <f>'5. PERSON'!AY158</f>
        <v>0</v>
      </c>
      <c r="K162" s="98">
        <f>'5. PERSON'!AZ158</f>
        <v>0</v>
      </c>
      <c r="L162" s="98">
        <f>'5. PERSON'!BA158</f>
        <v>0</v>
      </c>
      <c r="M162" s="98">
        <f>'5. PERSON'!BB158</f>
        <v>0</v>
      </c>
      <c r="N162" s="98">
        <f>'5. PERSON'!BC158</f>
        <v>0</v>
      </c>
      <c r="O162" s="98">
        <f>'5. PERSON'!BD158</f>
        <v>0</v>
      </c>
      <c r="P162" s="98"/>
      <c r="Q162" s="98"/>
      <c r="R162" s="98"/>
      <c r="S162" s="98"/>
      <c r="T162" s="98"/>
      <c r="U162" s="98"/>
      <c r="V162" s="98"/>
      <c r="W162" s="98"/>
      <c r="X162" s="98"/>
      <c r="Y162" s="98"/>
      <c r="Z162" s="98"/>
    </row>
    <row r="163" spans="2:26" s="71" customFormat="1" ht="13.5" customHeight="1" x14ac:dyDescent="0.2">
      <c r="B163" s="280" t="str">
        <f>IF('5. PERSON'!C159="","",'5. PERSON'!C159)</f>
        <v/>
      </c>
      <c r="C163" s="935">
        <f>('5. PERSON'!G159+'5. PERSON'!H159+'5. PERSON'!I159+'5. PERSON'!J159+'5. PERSON'!K159+'5. PERSON'!L159+'5. PERSON'!M159+'5. PERSON'!N159+'5. PERSON'!O159+'5. PERSON'!P159)/((YEAR('2. START'!$C$19)-YEAR('2. START'!$C$18))*12+MONTH('2. START'!$C$19)-MONTH('2. START'!$C$18)+1)</f>
        <v>0</v>
      </c>
      <c r="D163" s="935">
        <f>(('5. PERSON'!$G159+'5. PERSON'!$H159+'5. PERSON'!$I159+'5. PERSON'!$J159+'5. PERSON'!$K159+'5. PERSON'!$L159+'5. PERSON'!$M159+'5. PERSON'!$N159+'5. PERSON'!$O159+'5. PERSON'!$P159)*(1-'5. PERSON'!E159))/((YEAR('2. START'!$C$19)-YEAR('2. START'!$C$18))*12+MONTH('2. START'!$C$19)-MONTH('2. START'!$C$18)+1)</f>
        <v>0</v>
      </c>
      <c r="E163" s="105">
        <f>'5. PERSON'!AT159</f>
        <v>0</v>
      </c>
      <c r="F163" s="105">
        <f>'5. PERSON'!AU159</f>
        <v>0</v>
      </c>
      <c r="G163" s="105">
        <f>'5. PERSON'!AV159</f>
        <v>0</v>
      </c>
      <c r="H163" s="105">
        <f>'5. PERSON'!AW159</f>
        <v>0</v>
      </c>
      <c r="I163" s="105">
        <f>'5. PERSON'!AX159</f>
        <v>0</v>
      </c>
      <c r="J163" s="105">
        <f>'5. PERSON'!AY159</f>
        <v>0</v>
      </c>
      <c r="K163" s="105">
        <f>'5. PERSON'!AZ159</f>
        <v>0</v>
      </c>
      <c r="L163" s="105">
        <f>'5. PERSON'!BA159</f>
        <v>0</v>
      </c>
      <c r="M163" s="105">
        <f>'5. PERSON'!BB159</f>
        <v>0</v>
      </c>
      <c r="N163" s="105">
        <f>'5. PERSON'!BC159</f>
        <v>0</v>
      </c>
      <c r="O163" s="105">
        <f>'5. PERSON'!BD159</f>
        <v>0</v>
      </c>
      <c r="P163" s="105"/>
      <c r="Q163" s="105"/>
      <c r="R163" s="105"/>
      <c r="S163" s="105"/>
      <c r="T163" s="105"/>
      <c r="U163" s="105"/>
      <c r="V163" s="105"/>
      <c r="W163" s="105"/>
      <c r="X163" s="105"/>
      <c r="Y163" s="105"/>
      <c r="Z163" s="105"/>
    </row>
    <row r="164" spans="2:26" s="37" customFormat="1" ht="13.5" customHeight="1" x14ac:dyDescent="0.2">
      <c r="B164" s="214" t="str">
        <f>IF('5. PERSON'!C160="","",'5. PERSON'!C160)</f>
        <v/>
      </c>
      <c r="C164" s="934">
        <f>('5. PERSON'!G160+'5. PERSON'!H160+'5. PERSON'!I160+'5. PERSON'!J160+'5. PERSON'!K160+'5. PERSON'!L160+'5. PERSON'!M160+'5. PERSON'!N160+'5. PERSON'!O160+'5. PERSON'!P160)/((YEAR('2. START'!$C$19)-YEAR('2. START'!$C$18))*12+MONTH('2. START'!$C$19)-MONTH('2. START'!$C$18)+1)</f>
        <v>0</v>
      </c>
      <c r="D164" s="934">
        <f>(('5. PERSON'!$G160+'5. PERSON'!$H160+'5. PERSON'!$I160+'5. PERSON'!$J160+'5. PERSON'!$K160+'5. PERSON'!$L160+'5. PERSON'!$M160+'5. PERSON'!$N160+'5. PERSON'!$O160+'5. PERSON'!$P160)*(1-'5. PERSON'!E160))/((YEAR('2. START'!$C$19)-YEAR('2. START'!$C$18))*12+MONTH('2. START'!$C$19)-MONTH('2. START'!$C$18)+1)</f>
        <v>0</v>
      </c>
      <c r="E164" s="98">
        <f>'5. PERSON'!AT160</f>
        <v>0</v>
      </c>
      <c r="F164" s="98">
        <f>'5. PERSON'!AU160</f>
        <v>0</v>
      </c>
      <c r="G164" s="98">
        <f>'5. PERSON'!AV160</f>
        <v>0</v>
      </c>
      <c r="H164" s="98">
        <f>'5. PERSON'!AW160</f>
        <v>0</v>
      </c>
      <c r="I164" s="98">
        <f>'5. PERSON'!AX160</f>
        <v>0</v>
      </c>
      <c r="J164" s="98">
        <f>'5. PERSON'!AY160</f>
        <v>0</v>
      </c>
      <c r="K164" s="98">
        <f>'5. PERSON'!AZ160</f>
        <v>0</v>
      </c>
      <c r="L164" s="98">
        <f>'5. PERSON'!BA160</f>
        <v>0</v>
      </c>
      <c r="M164" s="98">
        <f>'5. PERSON'!BB160</f>
        <v>0</v>
      </c>
      <c r="N164" s="98">
        <f>'5. PERSON'!BC160</f>
        <v>0</v>
      </c>
      <c r="O164" s="98">
        <f>'5. PERSON'!BD160</f>
        <v>0</v>
      </c>
      <c r="P164" s="98"/>
      <c r="Q164" s="98"/>
      <c r="R164" s="98"/>
      <c r="S164" s="98"/>
      <c r="T164" s="98"/>
      <c r="U164" s="98"/>
      <c r="V164" s="98"/>
      <c r="W164" s="98"/>
      <c r="X164" s="98"/>
      <c r="Y164" s="98"/>
      <c r="Z164" s="98"/>
    </row>
    <row r="165" spans="2:26" s="71" customFormat="1" ht="13.5" customHeight="1" x14ac:dyDescent="0.2">
      <c r="B165" s="280" t="str">
        <f>IF('5. PERSON'!C161="","",'5. PERSON'!C161)</f>
        <v/>
      </c>
      <c r="C165" s="935">
        <f>('5. PERSON'!G161+'5. PERSON'!H161+'5. PERSON'!I161+'5. PERSON'!J161+'5. PERSON'!K161+'5. PERSON'!L161+'5. PERSON'!M161+'5. PERSON'!N161+'5. PERSON'!O161+'5. PERSON'!P161)/((YEAR('2. START'!$C$19)-YEAR('2. START'!$C$18))*12+MONTH('2. START'!$C$19)-MONTH('2. START'!$C$18)+1)</f>
        <v>0</v>
      </c>
      <c r="D165" s="935">
        <f>(('5. PERSON'!$G161+'5. PERSON'!$H161+'5. PERSON'!$I161+'5. PERSON'!$J161+'5. PERSON'!$K161+'5. PERSON'!$L161+'5. PERSON'!$M161+'5. PERSON'!$N161+'5. PERSON'!$O161+'5. PERSON'!$P161)*(1-'5. PERSON'!E161))/((YEAR('2. START'!$C$19)-YEAR('2. START'!$C$18))*12+MONTH('2. START'!$C$19)-MONTH('2. START'!$C$18)+1)</f>
        <v>0</v>
      </c>
      <c r="E165" s="105">
        <f>'5. PERSON'!AT161</f>
        <v>0</v>
      </c>
      <c r="F165" s="105">
        <f>'5. PERSON'!AU161</f>
        <v>0</v>
      </c>
      <c r="G165" s="105">
        <f>'5. PERSON'!AV161</f>
        <v>0</v>
      </c>
      <c r="H165" s="105">
        <f>'5. PERSON'!AW161</f>
        <v>0</v>
      </c>
      <c r="I165" s="105">
        <f>'5. PERSON'!AX161</f>
        <v>0</v>
      </c>
      <c r="J165" s="105">
        <f>'5. PERSON'!AY161</f>
        <v>0</v>
      </c>
      <c r="K165" s="105">
        <f>'5. PERSON'!AZ161</f>
        <v>0</v>
      </c>
      <c r="L165" s="105">
        <f>'5. PERSON'!BA161</f>
        <v>0</v>
      </c>
      <c r="M165" s="105">
        <f>'5. PERSON'!BB161</f>
        <v>0</v>
      </c>
      <c r="N165" s="105">
        <f>'5. PERSON'!BC161</f>
        <v>0</v>
      </c>
      <c r="O165" s="105">
        <f>'5. PERSON'!BD161</f>
        <v>0</v>
      </c>
      <c r="P165" s="105"/>
      <c r="Q165" s="105"/>
      <c r="R165" s="105"/>
      <c r="S165" s="105"/>
      <c r="T165" s="105"/>
      <c r="U165" s="105"/>
      <c r="V165" s="105"/>
      <c r="W165" s="105"/>
      <c r="X165" s="105"/>
      <c r="Y165" s="105"/>
      <c r="Z165" s="105"/>
    </row>
    <row r="166" spans="2:26" s="37" customFormat="1" ht="13.5" customHeight="1" x14ac:dyDescent="0.2">
      <c r="B166" s="214" t="str">
        <f>IF('5. PERSON'!C162="","",'5. PERSON'!C162)</f>
        <v/>
      </c>
      <c r="C166" s="934">
        <f>('5. PERSON'!G162+'5. PERSON'!H162+'5. PERSON'!I162+'5. PERSON'!J162+'5. PERSON'!K162+'5. PERSON'!L162+'5. PERSON'!M162+'5. PERSON'!N162+'5. PERSON'!O162+'5. PERSON'!P162)/((YEAR('2. START'!$C$19)-YEAR('2. START'!$C$18))*12+MONTH('2. START'!$C$19)-MONTH('2. START'!$C$18)+1)</f>
        <v>0</v>
      </c>
      <c r="D166" s="934">
        <f>(('5. PERSON'!$G162+'5. PERSON'!$H162+'5. PERSON'!$I162+'5. PERSON'!$J162+'5. PERSON'!$K162+'5. PERSON'!$L162+'5. PERSON'!$M162+'5. PERSON'!$N162+'5. PERSON'!$O162+'5. PERSON'!$P162)*(1-'5. PERSON'!E162))/((YEAR('2. START'!$C$19)-YEAR('2. START'!$C$18))*12+MONTH('2. START'!$C$19)-MONTH('2. START'!$C$18)+1)</f>
        <v>0</v>
      </c>
      <c r="E166" s="98">
        <f>'5. PERSON'!AT162</f>
        <v>0</v>
      </c>
      <c r="F166" s="98">
        <f>'5. PERSON'!AU162</f>
        <v>0</v>
      </c>
      <c r="G166" s="98">
        <f>'5. PERSON'!AV162</f>
        <v>0</v>
      </c>
      <c r="H166" s="98">
        <f>'5. PERSON'!AW162</f>
        <v>0</v>
      </c>
      <c r="I166" s="98">
        <f>'5. PERSON'!AX162</f>
        <v>0</v>
      </c>
      <c r="J166" s="98">
        <f>'5. PERSON'!AY162</f>
        <v>0</v>
      </c>
      <c r="K166" s="98">
        <f>'5. PERSON'!AZ162</f>
        <v>0</v>
      </c>
      <c r="L166" s="98">
        <f>'5. PERSON'!BA162</f>
        <v>0</v>
      </c>
      <c r="M166" s="98">
        <f>'5. PERSON'!BB162</f>
        <v>0</v>
      </c>
      <c r="N166" s="98">
        <f>'5. PERSON'!BC162</f>
        <v>0</v>
      </c>
      <c r="O166" s="98">
        <f>'5. PERSON'!BD162</f>
        <v>0</v>
      </c>
      <c r="P166" s="98"/>
      <c r="Q166" s="98"/>
      <c r="R166" s="98"/>
      <c r="S166" s="98"/>
      <c r="T166" s="98"/>
      <c r="U166" s="98"/>
      <c r="V166" s="98"/>
      <c r="W166" s="98"/>
      <c r="X166" s="98"/>
      <c r="Y166" s="98"/>
      <c r="Z166" s="98"/>
    </row>
    <row r="167" spans="2:26" s="71" customFormat="1" ht="13.5" customHeight="1" x14ac:dyDescent="0.2">
      <c r="B167" s="280" t="str">
        <f>IF('5. PERSON'!C163="","",'5. PERSON'!C163)</f>
        <v/>
      </c>
      <c r="C167" s="935">
        <f>('5. PERSON'!G163+'5. PERSON'!H163+'5. PERSON'!I163+'5. PERSON'!J163+'5. PERSON'!K163+'5. PERSON'!L163+'5. PERSON'!M163+'5. PERSON'!N163+'5. PERSON'!O163+'5. PERSON'!P163)/((YEAR('2. START'!$C$19)-YEAR('2. START'!$C$18))*12+MONTH('2. START'!$C$19)-MONTH('2. START'!$C$18)+1)</f>
        <v>0</v>
      </c>
      <c r="D167" s="935">
        <f>(('5. PERSON'!$G163+'5. PERSON'!$H163+'5. PERSON'!$I163+'5. PERSON'!$J163+'5. PERSON'!$K163+'5. PERSON'!$L163+'5. PERSON'!$M163+'5. PERSON'!$N163+'5. PERSON'!$O163+'5. PERSON'!$P163)*(1-'5. PERSON'!E163))/((YEAR('2. START'!$C$19)-YEAR('2. START'!$C$18))*12+MONTH('2. START'!$C$19)-MONTH('2. START'!$C$18)+1)</f>
        <v>0</v>
      </c>
      <c r="E167" s="105">
        <f>'5. PERSON'!AT163</f>
        <v>0</v>
      </c>
      <c r="F167" s="105">
        <f>'5. PERSON'!AU163</f>
        <v>0</v>
      </c>
      <c r="G167" s="105">
        <f>'5. PERSON'!AV163</f>
        <v>0</v>
      </c>
      <c r="H167" s="105">
        <f>'5. PERSON'!AW163</f>
        <v>0</v>
      </c>
      <c r="I167" s="105">
        <f>'5. PERSON'!AX163</f>
        <v>0</v>
      </c>
      <c r="J167" s="105">
        <f>'5. PERSON'!AY163</f>
        <v>0</v>
      </c>
      <c r="K167" s="105">
        <f>'5. PERSON'!AZ163</f>
        <v>0</v>
      </c>
      <c r="L167" s="105">
        <f>'5. PERSON'!BA163</f>
        <v>0</v>
      </c>
      <c r="M167" s="105">
        <f>'5. PERSON'!BB163</f>
        <v>0</v>
      </c>
      <c r="N167" s="105">
        <f>'5. PERSON'!BC163</f>
        <v>0</v>
      </c>
      <c r="O167" s="105">
        <f>'5. PERSON'!BD163</f>
        <v>0</v>
      </c>
      <c r="P167" s="105"/>
      <c r="Q167" s="105"/>
      <c r="R167" s="105"/>
      <c r="S167" s="105"/>
      <c r="T167" s="105"/>
      <c r="U167" s="105"/>
      <c r="V167" s="105"/>
      <c r="W167" s="105"/>
      <c r="X167" s="105"/>
      <c r="Y167" s="105"/>
      <c r="Z167" s="105"/>
    </row>
    <row r="168" spans="2:26" s="37" customFormat="1" ht="13.5" customHeight="1" x14ac:dyDescent="0.2">
      <c r="B168" s="214" t="str">
        <f>IF('5. PERSON'!C164="","",'5. PERSON'!C164)</f>
        <v/>
      </c>
      <c r="C168" s="934">
        <f>('5. PERSON'!G164+'5. PERSON'!H164+'5. PERSON'!I164+'5. PERSON'!J164+'5. PERSON'!K164+'5. PERSON'!L164+'5. PERSON'!M164+'5. PERSON'!N164+'5. PERSON'!O164+'5. PERSON'!P164)/((YEAR('2. START'!$C$19)-YEAR('2. START'!$C$18))*12+MONTH('2. START'!$C$19)-MONTH('2. START'!$C$18)+1)</f>
        <v>0</v>
      </c>
      <c r="D168" s="934">
        <f>(('5. PERSON'!$G164+'5. PERSON'!$H164+'5. PERSON'!$I164+'5. PERSON'!$J164+'5. PERSON'!$K164+'5. PERSON'!$L164+'5. PERSON'!$M164+'5. PERSON'!$N164+'5. PERSON'!$O164+'5. PERSON'!$P164)*(1-'5. PERSON'!E164))/((YEAR('2. START'!$C$19)-YEAR('2. START'!$C$18))*12+MONTH('2. START'!$C$19)-MONTH('2. START'!$C$18)+1)</f>
        <v>0</v>
      </c>
      <c r="E168" s="98">
        <f>'5. PERSON'!AT164</f>
        <v>0</v>
      </c>
      <c r="F168" s="98">
        <f>'5. PERSON'!AU164</f>
        <v>0</v>
      </c>
      <c r="G168" s="98">
        <f>'5. PERSON'!AV164</f>
        <v>0</v>
      </c>
      <c r="H168" s="98">
        <f>'5. PERSON'!AW164</f>
        <v>0</v>
      </c>
      <c r="I168" s="98">
        <f>'5. PERSON'!AX164</f>
        <v>0</v>
      </c>
      <c r="J168" s="98">
        <f>'5. PERSON'!AY164</f>
        <v>0</v>
      </c>
      <c r="K168" s="98">
        <f>'5. PERSON'!AZ164</f>
        <v>0</v>
      </c>
      <c r="L168" s="98">
        <f>'5. PERSON'!BA164</f>
        <v>0</v>
      </c>
      <c r="M168" s="98">
        <f>'5. PERSON'!BB164</f>
        <v>0</v>
      </c>
      <c r="N168" s="98">
        <f>'5. PERSON'!BC164</f>
        <v>0</v>
      </c>
      <c r="O168" s="98">
        <f>'5. PERSON'!BD164</f>
        <v>0</v>
      </c>
      <c r="P168" s="98"/>
      <c r="Q168" s="98"/>
      <c r="R168" s="98"/>
      <c r="S168" s="98"/>
      <c r="T168" s="98"/>
      <c r="U168" s="98"/>
      <c r="V168" s="98"/>
      <c r="W168" s="98"/>
      <c r="X168" s="98"/>
      <c r="Y168" s="98"/>
      <c r="Z168" s="98"/>
    </row>
    <row r="169" spans="2:26" s="71" customFormat="1" ht="13.5" customHeight="1" x14ac:dyDescent="0.2">
      <c r="B169" s="280" t="str">
        <f>IF('5. PERSON'!C165="","",'5. PERSON'!C165)</f>
        <v/>
      </c>
      <c r="C169" s="935">
        <f>('5. PERSON'!G165+'5. PERSON'!H165+'5. PERSON'!I165+'5. PERSON'!J165+'5. PERSON'!K165+'5. PERSON'!L165+'5. PERSON'!M165+'5. PERSON'!N165+'5. PERSON'!O165+'5. PERSON'!P165)/((YEAR('2. START'!$C$19)-YEAR('2. START'!$C$18))*12+MONTH('2. START'!$C$19)-MONTH('2. START'!$C$18)+1)</f>
        <v>0</v>
      </c>
      <c r="D169" s="935">
        <f>(('5. PERSON'!$G165+'5. PERSON'!$H165+'5. PERSON'!$I165+'5. PERSON'!$J165+'5. PERSON'!$K165+'5. PERSON'!$L165+'5. PERSON'!$M165+'5. PERSON'!$N165+'5. PERSON'!$O165+'5. PERSON'!$P165)*(1-'5. PERSON'!E165))/((YEAR('2. START'!$C$19)-YEAR('2. START'!$C$18))*12+MONTH('2. START'!$C$19)-MONTH('2. START'!$C$18)+1)</f>
        <v>0</v>
      </c>
      <c r="E169" s="105">
        <f>'5. PERSON'!AT165</f>
        <v>0</v>
      </c>
      <c r="F169" s="105">
        <f>'5. PERSON'!AU165</f>
        <v>0</v>
      </c>
      <c r="G169" s="105">
        <f>'5. PERSON'!AV165</f>
        <v>0</v>
      </c>
      <c r="H169" s="105">
        <f>'5. PERSON'!AW165</f>
        <v>0</v>
      </c>
      <c r="I169" s="105">
        <f>'5. PERSON'!AX165</f>
        <v>0</v>
      </c>
      <c r="J169" s="105">
        <f>'5. PERSON'!AY165</f>
        <v>0</v>
      </c>
      <c r="K169" s="105">
        <f>'5. PERSON'!AZ165</f>
        <v>0</v>
      </c>
      <c r="L169" s="105">
        <f>'5. PERSON'!BA165</f>
        <v>0</v>
      </c>
      <c r="M169" s="105">
        <f>'5. PERSON'!BB165</f>
        <v>0</v>
      </c>
      <c r="N169" s="105">
        <f>'5. PERSON'!BC165</f>
        <v>0</v>
      </c>
      <c r="O169" s="105">
        <f>'5. PERSON'!BD165</f>
        <v>0</v>
      </c>
      <c r="P169" s="105"/>
      <c r="Q169" s="105"/>
      <c r="R169" s="105"/>
      <c r="S169" s="105"/>
      <c r="T169" s="105"/>
      <c r="U169" s="105"/>
      <c r="V169" s="105"/>
      <c r="W169" s="105"/>
      <c r="X169" s="105"/>
      <c r="Y169" s="105"/>
      <c r="Z169" s="105"/>
    </row>
    <row r="170" spans="2:26" s="37" customFormat="1" ht="13.5" customHeight="1" x14ac:dyDescent="0.2">
      <c r="B170" s="214" t="str">
        <f>IF('5. PERSON'!C166="","",'5. PERSON'!C166)</f>
        <v/>
      </c>
      <c r="C170" s="934">
        <f>('5. PERSON'!G166+'5. PERSON'!H166+'5. PERSON'!I166+'5. PERSON'!J166+'5. PERSON'!K166+'5. PERSON'!L166+'5. PERSON'!M166+'5. PERSON'!N166+'5. PERSON'!O166+'5. PERSON'!P166)/((YEAR('2. START'!$C$19)-YEAR('2. START'!$C$18))*12+MONTH('2. START'!$C$19)-MONTH('2. START'!$C$18)+1)</f>
        <v>0</v>
      </c>
      <c r="D170" s="934">
        <f>(('5. PERSON'!$G166+'5. PERSON'!$H166+'5. PERSON'!$I166+'5. PERSON'!$J166+'5. PERSON'!$K166+'5. PERSON'!$L166+'5. PERSON'!$M166+'5. PERSON'!$N166+'5. PERSON'!$O166+'5. PERSON'!$P166)*(1-'5. PERSON'!E166))/((YEAR('2. START'!$C$19)-YEAR('2. START'!$C$18))*12+MONTH('2. START'!$C$19)-MONTH('2. START'!$C$18)+1)</f>
        <v>0</v>
      </c>
      <c r="E170" s="98">
        <f>'5. PERSON'!AT166</f>
        <v>0</v>
      </c>
      <c r="F170" s="98">
        <f>'5. PERSON'!AU166</f>
        <v>0</v>
      </c>
      <c r="G170" s="98">
        <f>'5. PERSON'!AV166</f>
        <v>0</v>
      </c>
      <c r="H170" s="98">
        <f>'5. PERSON'!AW166</f>
        <v>0</v>
      </c>
      <c r="I170" s="98">
        <f>'5. PERSON'!AX166</f>
        <v>0</v>
      </c>
      <c r="J170" s="98">
        <f>'5. PERSON'!AY166</f>
        <v>0</v>
      </c>
      <c r="K170" s="98">
        <f>'5. PERSON'!AZ166</f>
        <v>0</v>
      </c>
      <c r="L170" s="98">
        <f>'5. PERSON'!BA166</f>
        <v>0</v>
      </c>
      <c r="M170" s="98">
        <f>'5. PERSON'!BB166</f>
        <v>0</v>
      </c>
      <c r="N170" s="98">
        <f>'5. PERSON'!BC166</f>
        <v>0</v>
      </c>
      <c r="O170" s="98">
        <f>'5. PERSON'!BD166</f>
        <v>0</v>
      </c>
      <c r="P170" s="98"/>
      <c r="Q170" s="98"/>
      <c r="R170" s="98"/>
      <c r="S170" s="98"/>
      <c r="T170" s="98"/>
      <c r="U170" s="98"/>
      <c r="V170" s="98"/>
      <c r="W170" s="98"/>
      <c r="X170" s="98"/>
      <c r="Y170" s="98"/>
      <c r="Z170" s="98"/>
    </row>
    <row r="171" spans="2:26" s="71" customFormat="1" ht="13.5" customHeight="1" x14ac:dyDescent="0.2">
      <c r="B171" s="280" t="str">
        <f>IF('5. PERSON'!C167="","",'5. PERSON'!C167)</f>
        <v/>
      </c>
      <c r="C171" s="935">
        <f>('5. PERSON'!G167+'5. PERSON'!H167+'5. PERSON'!I167+'5. PERSON'!J167+'5. PERSON'!K167+'5. PERSON'!L167+'5. PERSON'!M167+'5. PERSON'!N167+'5. PERSON'!O167+'5. PERSON'!P167)/((YEAR('2. START'!$C$19)-YEAR('2. START'!$C$18))*12+MONTH('2. START'!$C$19)-MONTH('2. START'!$C$18)+1)</f>
        <v>0</v>
      </c>
      <c r="D171" s="935">
        <f>(('5. PERSON'!$G167+'5. PERSON'!$H167+'5. PERSON'!$I167+'5. PERSON'!$J167+'5. PERSON'!$K167+'5. PERSON'!$L167+'5. PERSON'!$M167+'5. PERSON'!$N167+'5. PERSON'!$O167+'5. PERSON'!$P167)*(1-'5. PERSON'!E167))/((YEAR('2. START'!$C$19)-YEAR('2. START'!$C$18))*12+MONTH('2. START'!$C$19)-MONTH('2. START'!$C$18)+1)</f>
        <v>0</v>
      </c>
      <c r="E171" s="105">
        <f>'5. PERSON'!AT167</f>
        <v>0</v>
      </c>
      <c r="F171" s="105">
        <f>'5. PERSON'!AU167</f>
        <v>0</v>
      </c>
      <c r="G171" s="105">
        <f>'5. PERSON'!AV167</f>
        <v>0</v>
      </c>
      <c r="H171" s="105">
        <f>'5. PERSON'!AW167</f>
        <v>0</v>
      </c>
      <c r="I171" s="105">
        <f>'5. PERSON'!AX167</f>
        <v>0</v>
      </c>
      <c r="J171" s="105">
        <f>'5. PERSON'!AY167</f>
        <v>0</v>
      </c>
      <c r="K171" s="105">
        <f>'5. PERSON'!AZ167</f>
        <v>0</v>
      </c>
      <c r="L171" s="105">
        <f>'5. PERSON'!BA167</f>
        <v>0</v>
      </c>
      <c r="M171" s="105">
        <f>'5. PERSON'!BB167</f>
        <v>0</v>
      </c>
      <c r="N171" s="105">
        <f>'5. PERSON'!BC167</f>
        <v>0</v>
      </c>
      <c r="O171" s="105">
        <f>'5. PERSON'!BD167</f>
        <v>0</v>
      </c>
      <c r="P171" s="105"/>
      <c r="Q171" s="105"/>
      <c r="R171" s="105"/>
      <c r="S171" s="105"/>
      <c r="T171" s="105"/>
      <c r="U171" s="105"/>
      <c r="V171" s="105"/>
      <c r="W171" s="105"/>
      <c r="X171" s="105"/>
      <c r="Y171" s="105"/>
      <c r="Z171" s="105"/>
    </row>
    <row r="172" spans="2:26" s="37" customFormat="1" ht="13.5" customHeight="1" x14ac:dyDescent="0.2">
      <c r="B172" s="214" t="str">
        <f>IF('5. PERSON'!C168="","",'5. PERSON'!C168)</f>
        <v/>
      </c>
      <c r="C172" s="934">
        <f>('5. PERSON'!G168+'5. PERSON'!H168+'5. PERSON'!I168+'5. PERSON'!J168+'5. PERSON'!K168+'5. PERSON'!L168+'5. PERSON'!M168+'5. PERSON'!N168+'5. PERSON'!O168+'5. PERSON'!P168)/((YEAR('2. START'!$C$19)-YEAR('2. START'!$C$18))*12+MONTH('2. START'!$C$19)-MONTH('2. START'!$C$18)+1)</f>
        <v>0</v>
      </c>
      <c r="D172" s="934">
        <f>(('5. PERSON'!$G168+'5. PERSON'!$H168+'5. PERSON'!$I168+'5. PERSON'!$J168+'5. PERSON'!$K168+'5. PERSON'!$L168+'5. PERSON'!$M168+'5. PERSON'!$N168+'5. PERSON'!$O168+'5. PERSON'!$P168)*(1-'5. PERSON'!E168))/((YEAR('2. START'!$C$19)-YEAR('2. START'!$C$18))*12+MONTH('2. START'!$C$19)-MONTH('2. START'!$C$18)+1)</f>
        <v>0</v>
      </c>
      <c r="E172" s="98">
        <f>'5. PERSON'!AT168</f>
        <v>0</v>
      </c>
      <c r="F172" s="98">
        <f>'5. PERSON'!AU168</f>
        <v>0</v>
      </c>
      <c r="G172" s="98">
        <f>'5. PERSON'!AV168</f>
        <v>0</v>
      </c>
      <c r="H172" s="98">
        <f>'5. PERSON'!AW168</f>
        <v>0</v>
      </c>
      <c r="I172" s="98">
        <f>'5. PERSON'!AX168</f>
        <v>0</v>
      </c>
      <c r="J172" s="98">
        <f>'5. PERSON'!AY168</f>
        <v>0</v>
      </c>
      <c r="K172" s="98">
        <f>'5. PERSON'!AZ168</f>
        <v>0</v>
      </c>
      <c r="L172" s="98">
        <f>'5. PERSON'!BA168</f>
        <v>0</v>
      </c>
      <c r="M172" s="98">
        <f>'5. PERSON'!BB168</f>
        <v>0</v>
      </c>
      <c r="N172" s="98">
        <f>'5. PERSON'!BC168</f>
        <v>0</v>
      </c>
      <c r="O172" s="98">
        <f>'5. PERSON'!BD168</f>
        <v>0</v>
      </c>
      <c r="P172" s="98"/>
      <c r="Q172" s="98"/>
      <c r="R172" s="98"/>
      <c r="S172" s="98"/>
      <c r="T172" s="98"/>
      <c r="U172" s="98"/>
      <c r="V172" s="98"/>
      <c r="W172" s="98"/>
      <c r="X172" s="98"/>
      <c r="Y172" s="98"/>
      <c r="Z172" s="98"/>
    </row>
    <row r="173" spans="2:26" s="71" customFormat="1" ht="13.5" customHeight="1" x14ac:dyDescent="0.2">
      <c r="B173" s="280" t="str">
        <f>IF('5. PERSON'!C169="","",'5. PERSON'!C169)</f>
        <v/>
      </c>
      <c r="C173" s="935">
        <f>('5. PERSON'!G169+'5. PERSON'!H169+'5. PERSON'!I169+'5. PERSON'!J169+'5. PERSON'!K169+'5. PERSON'!L169+'5. PERSON'!M169+'5. PERSON'!N169+'5. PERSON'!O169+'5. PERSON'!P169)/((YEAR('2. START'!$C$19)-YEAR('2. START'!$C$18))*12+MONTH('2. START'!$C$19)-MONTH('2. START'!$C$18)+1)</f>
        <v>0</v>
      </c>
      <c r="D173" s="935">
        <f>(('5. PERSON'!$G169+'5. PERSON'!$H169+'5. PERSON'!$I169+'5. PERSON'!$J169+'5. PERSON'!$K169+'5. PERSON'!$L169+'5. PERSON'!$M169+'5. PERSON'!$N169+'5. PERSON'!$O169+'5. PERSON'!$P169)*(1-'5. PERSON'!E169))/((YEAR('2. START'!$C$19)-YEAR('2. START'!$C$18))*12+MONTH('2. START'!$C$19)-MONTH('2. START'!$C$18)+1)</f>
        <v>0</v>
      </c>
      <c r="E173" s="105">
        <f>'5. PERSON'!AT169</f>
        <v>0</v>
      </c>
      <c r="F173" s="105">
        <f>'5. PERSON'!AU169</f>
        <v>0</v>
      </c>
      <c r="G173" s="105">
        <f>'5. PERSON'!AV169</f>
        <v>0</v>
      </c>
      <c r="H173" s="105">
        <f>'5. PERSON'!AW169</f>
        <v>0</v>
      </c>
      <c r="I173" s="105">
        <f>'5. PERSON'!AX169</f>
        <v>0</v>
      </c>
      <c r="J173" s="105">
        <f>'5. PERSON'!AY169</f>
        <v>0</v>
      </c>
      <c r="K173" s="105">
        <f>'5. PERSON'!AZ169</f>
        <v>0</v>
      </c>
      <c r="L173" s="105">
        <f>'5. PERSON'!BA169</f>
        <v>0</v>
      </c>
      <c r="M173" s="105">
        <f>'5. PERSON'!BB169</f>
        <v>0</v>
      </c>
      <c r="N173" s="105">
        <f>'5. PERSON'!BC169</f>
        <v>0</v>
      </c>
      <c r="O173" s="105">
        <f>'5. PERSON'!BD169</f>
        <v>0</v>
      </c>
      <c r="P173" s="105"/>
      <c r="Q173" s="105"/>
      <c r="R173" s="105"/>
      <c r="S173" s="105"/>
      <c r="T173" s="105"/>
      <c r="U173" s="105"/>
      <c r="V173" s="105"/>
      <c r="W173" s="105"/>
      <c r="X173" s="105"/>
      <c r="Y173" s="105"/>
      <c r="Z173" s="105"/>
    </row>
    <row r="174" spans="2:26" s="37" customFormat="1" ht="13.5" customHeight="1" x14ac:dyDescent="0.2">
      <c r="B174" s="214" t="str">
        <f>IF('5. PERSON'!C170="","",'5. PERSON'!C170)</f>
        <v/>
      </c>
      <c r="C174" s="934">
        <f>('5. PERSON'!G170+'5. PERSON'!H170+'5. PERSON'!I170+'5. PERSON'!J170+'5. PERSON'!K170+'5. PERSON'!L170+'5. PERSON'!M170+'5. PERSON'!N170+'5. PERSON'!O170+'5. PERSON'!P170)/((YEAR('2. START'!$C$19)-YEAR('2. START'!$C$18))*12+MONTH('2. START'!$C$19)-MONTH('2. START'!$C$18)+1)</f>
        <v>0</v>
      </c>
      <c r="D174" s="934">
        <f>(('5. PERSON'!$G170+'5. PERSON'!$H170+'5. PERSON'!$I170+'5. PERSON'!$J170+'5. PERSON'!$K170+'5. PERSON'!$L170+'5. PERSON'!$M170+'5. PERSON'!$N170+'5. PERSON'!$O170+'5. PERSON'!$P170)*(1-'5. PERSON'!E170))/((YEAR('2. START'!$C$19)-YEAR('2. START'!$C$18))*12+MONTH('2. START'!$C$19)-MONTH('2. START'!$C$18)+1)</f>
        <v>0</v>
      </c>
      <c r="E174" s="98">
        <f>'5. PERSON'!AT170</f>
        <v>0</v>
      </c>
      <c r="F174" s="98">
        <f>'5. PERSON'!AU170</f>
        <v>0</v>
      </c>
      <c r="G174" s="98">
        <f>'5. PERSON'!AV170</f>
        <v>0</v>
      </c>
      <c r="H174" s="98">
        <f>'5. PERSON'!AW170</f>
        <v>0</v>
      </c>
      <c r="I174" s="98">
        <f>'5. PERSON'!AX170</f>
        <v>0</v>
      </c>
      <c r="J174" s="98">
        <f>'5. PERSON'!AY170</f>
        <v>0</v>
      </c>
      <c r="K174" s="98">
        <f>'5. PERSON'!AZ170</f>
        <v>0</v>
      </c>
      <c r="L174" s="98">
        <f>'5. PERSON'!BA170</f>
        <v>0</v>
      </c>
      <c r="M174" s="98">
        <f>'5. PERSON'!BB170</f>
        <v>0</v>
      </c>
      <c r="N174" s="98">
        <f>'5. PERSON'!BC170</f>
        <v>0</v>
      </c>
      <c r="O174" s="98">
        <f>'5. PERSON'!BD170</f>
        <v>0</v>
      </c>
      <c r="P174" s="98"/>
      <c r="Q174" s="98"/>
      <c r="R174" s="98"/>
      <c r="S174" s="98"/>
      <c r="T174" s="98"/>
      <c r="U174" s="98"/>
      <c r="V174" s="98"/>
      <c r="W174" s="98"/>
      <c r="X174" s="98"/>
      <c r="Y174" s="98"/>
      <c r="Z174" s="98"/>
    </row>
    <row r="175" spans="2:26" s="71" customFormat="1" ht="13.5" customHeight="1" x14ac:dyDescent="0.2">
      <c r="B175" s="280" t="str">
        <f>IF('5. PERSON'!C171="","",'5. PERSON'!C171)</f>
        <v/>
      </c>
      <c r="C175" s="935">
        <f>('5. PERSON'!G171+'5. PERSON'!H171+'5. PERSON'!I171+'5. PERSON'!J171+'5. PERSON'!K171+'5. PERSON'!L171+'5. PERSON'!M171+'5. PERSON'!N171+'5. PERSON'!O171+'5. PERSON'!P171)/((YEAR('2. START'!$C$19)-YEAR('2. START'!$C$18))*12+MONTH('2. START'!$C$19)-MONTH('2. START'!$C$18)+1)</f>
        <v>0</v>
      </c>
      <c r="D175" s="935">
        <f>(('5. PERSON'!$G171+'5. PERSON'!$H171+'5. PERSON'!$I171+'5. PERSON'!$J171+'5. PERSON'!$K171+'5. PERSON'!$L171+'5. PERSON'!$M171+'5. PERSON'!$N171+'5. PERSON'!$O171+'5. PERSON'!$P171)*(1-'5. PERSON'!E171))/((YEAR('2. START'!$C$19)-YEAR('2. START'!$C$18))*12+MONTH('2. START'!$C$19)-MONTH('2. START'!$C$18)+1)</f>
        <v>0</v>
      </c>
      <c r="E175" s="105">
        <f>'5. PERSON'!AT171</f>
        <v>0</v>
      </c>
      <c r="F175" s="105">
        <f>'5. PERSON'!AU171</f>
        <v>0</v>
      </c>
      <c r="G175" s="105">
        <f>'5. PERSON'!AV171</f>
        <v>0</v>
      </c>
      <c r="H175" s="105">
        <f>'5. PERSON'!AW171</f>
        <v>0</v>
      </c>
      <c r="I175" s="105">
        <f>'5. PERSON'!AX171</f>
        <v>0</v>
      </c>
      <c r="J175" s="105">
        <f>'5. PERSON'!AY171</f>
        <v>0</v>
      </c>
      <c r="K175" s="105">
        <f>'5. PERSON'!AZ171</f>
        <v>0</v>
      </c>
      <c r="L175" s="105">
        <f>'5. PERSON'!BA171</f>
        <v>0</v>
      </c>
      <c r="M175" s="105">
        <f>'5. PERSON'!BB171</f>
        <v>0</v>
      </c>
      <c r="N175" s="105">
        <f>'5. PERSON'!BC171</f>
        <v>0</v>
      </c>
      <c r="O175" s="105">
        <f>'5. PERSON'!BD171</f>
        <v>0</v>
      </c>
      <c r="P175" s="105"/>
      <c r="Q175" s="105"/>
      <c r="R175" s="105"/>
      <c r="S175" s="105"/>
      <c r="T175" s="105"/>
      <c r="U175" s="105"/>
      <c r="V175" s="105"/>
      <c r="W175" s="105"/>
      <c r="X175" s="105"/>
      <c r="Y175" s="105"/>
      <c r="Z175" s="105"/>
    </row>
    <row r="176" spans="2:26" s="37" customFormat="1" ht="13.5" customHeight="1" x14ac:dyDescent="0.2">
      <c r="B176" s="214" t="str">
        <f>IF('5. PERSON'!C172="","",'5. PERSON'!C172)</f>
        <v/>
      </c>
      <c r="C176" s="934">
        <f>('5. PERSON'!G172+'5. PERSON'!H172+'5. PERSON'!I172+'5. PERSON'!J172+'5. PERSON'!K172+'5. PERSON'!L172+'5. PERSON'!M172+'5. PERSON'!N172+'5. PERSON'!O172+'5. PERSON'!P172)/((YEAR('2. START'!$C$19)-YEAR('2. START'!$C$18))*12+MONTH('2. START'!$C$19)-MONTH('2. START'!$C$18)+1)</f>
        <v>0</v>
      </c>
      <c r="D176" s="934">
        <f>(('5. PERSON'!$G172+'5. PERSON'!$H172+'5. PERSON'!$I172+'5. PERSON'!$J172+'5. PERSON'!$K172+'5. PERSON'!$L172+'5. PERSON'!$M172+'5. PERSON'!$N172+'5. PERSON'!$O172+'5. PERSON'!$P172)*(1-'5. PERSON'!E172))/((YEAR('2. START'!$C$19)-YEAR('2. START'!$C$18))*12+MONTH('2. START'!$C$19)-MONTH('2. START'!$C$18)+1)</f>
        <v>0</v>
      </c>
      <c r="E176" s="98">
        <f>'5. PERSON'!AT172</f>
        <v>0</v>
      </c>
      <c r="F176" s="98">
        <f>'5. PERSON'!AU172</f>
        <v>0</v>
      </c>
      <c r="G176" s="98">
        <f>'5. PERSON'!AV172</f>
        <v>0</v>
      </c>
      <c r="H176" s="98">
        <f>'5. PERSON'!AW172</f>
        <v>0</v>
      </c>
      <c r="I176" s="98">
        <f>'5. PERSON'!AX172</f>
        <v>0</v>
      </c>
      <c r="J176" s="98">
        <f>'5. PERSON'!AY172</f>
        <v>0</v>
      </c>
      <c r="K176" s="98">
        <f>'5. PERSON'!AZ172</f>
        <v>0</v>
      </c>
      <c r="L176" s="98">
        <f>'5. PERSON'!BA172</f>
        <v>0</v>
      </c>
      <c r="M176" s="98">
        <f>'5. PERSON'!BB172</f>
        <v>0</v>
      </c>
      <c r="N176" s="98">
        <f>'5. PERSON'!BC172</f>
        <v>0</v>
      </c>
      <c r="O176" s="98">
        <f>'5. PERSON'!BD172</f>
        <v>0</v>
      </c>
      <c r="P176" s="98"/>
      <c r="Q176" s="98"/>
      <c r="R176" s="98"/>
      <c r="S176" s="98"/>
      <c r="T176" s="98"/>
      <c r="U176" s="98"/>
      <c r="V176" s="98"/>
      <c r="W176" s="98"/>
      <c r="X176" s="98"/>
      <c r="Y176" s="98"/>
      <c r="Z176" s="98"/>
    </row>
    <row r="177" spans="2:26" s="71" customFormat="1" ht="13.5" customHeight="1" x14ac:dyDescent="0.2">
      <c r="B177" s="280" t="str">
        <f>IF('5. PERSON'!C173="","",'5. PERSON'!C173)</f>
        <v/>
      </c>
      <c r="C177" s="935">
        <f>('5. PERSON'!G173+'5. PERSON'!H173+'5. PERSON'!I173+'5. PERSON'!J173+'5. PERSON'!K173+'5. PERSON'!L173+'5. PERSON'!M173+'5. PERSON'!N173+'5. PERSON'!O173+'5. PERSON'!P173)/((YEAR('2. START'!$C$19)-YEAR('2. START'!$C$18))*12+MONTH('2. START'!$C$19)-MONTH('2. START'!$C$18)+1)</f>
        <v>0</v>
      </c>
      <c r="D177" s="935">
        <f>(('5. PERSON'!$G173+'5. PERSON'!$H173+'5. PERSON'!$I173+'5. PERSON'!$J173+'5. PERSON'!$K173+'5. PERSON'!$L173+'5. PERSON'!$M173+'5. PERSON'!$N173+'5. PERSON'!$O173+'5. PERSON'!$P173)*(1-'5. PERSON'!E173))/((YEAR('2. START'!$C$19)-YEAR('2. START'!$C$18))*12+MONTH('2. START'!$C$19)-MONTH('2. START'!$C$18)+1)</f>
        <v>0</v>
      </c>
      <c r="E177" s="105">
        <f>'5. PERSON'!AT173</f>
        <v>0</v>
      </c>
      <c r="F177" s="105">
        <f>'5. PERSON'!AU173</f>
        <v>0</v>
      </c>
      <c r="G177" s="105">
        <f>'5. PERSON'!AV173</f>
        <v>0</v>
      </c>
      <c r="H177" s="105">
        <f>'5. PERSON'!AW173</f>
        <v>0</v>
      </c>
      <c r="I177" s="105">
        <f>'5. PERSON'!AX173</f>
        <v>0</v>
      </c>
      <c r="J177" s="105">
        <f>'5. PERSON'!AY173</f>
        <v>0</v>
      </c>
      <c r="K177" s="105">
        <f>'5. PERSON'!AZ173</f>
        <v>0</v>
      </c>
      <c r="L177" s="105">
        <f>'5. PERSON'!BA173</f>
        <v>0</v>
      </c>
      <c r="M177" s="105">
        <f>'5. PERSON'!BB173</f>
        <v>0</v>
      </c>
      <c r="N177" s="105">
        <f>'5. PERSON'!BC173</f>
        <v>0</v>
      </c>
      <c r="O177" s="105">
        <f>'5. PERSON'!BD173</f>
        <v>0</v>
      </c>
      <c r="P177" s="105"/>
      <c r="Q177" s="105"/>
      <c r="R177" s="105"/>
      <c r="S177" s="105"/>
      <c r="T177" s="105"/>
      <c r="U177" s="105"/>
      <c r="V177" s="105"/>
      <c r="W177" s="105"/>
      <c r="X177" s="105"/>
      <c r="Y177" s="105"/>
      <c r="Z177" s="105"/>
    </row>
    <row r="178" spans="2:26" s="37" customFormat="1" ht="13.5" customHeight="1" x14ac:dyDescent="0.2">
      <c r="B178" s="214" t="str">
        <f>IF('5. PERSON'!C174="","",'5. PERSON'!C174)</f>
        <v/>
      </c>
      <c r="C178" s="934">
        <f>('5. PERSON'!G174+'5. PERSON'!H174+'5. PERSON'!I174+'5. PERSON'!J174+'5. PERSON'!K174+'5. PERSON'!L174+'5. PERSON'!M174+'5. PERSON'!N174+'5. PERSON'!O174+'5. PERSON'!P174)/((YEAR('2. START'!$C$19)-YEAR('2. START'!$C$18))*12+MONTH('2. START'!$C$19)-MONTH('2. START'!$C$18)+1)</f>
        <v>0</v>
      </c>
      <c r="D178" s="934">
        <f>(('5. PERSON'!$G174+'5. PERSON'!$H174+'5. PERSON'!$I174+'5. PERSON'!$J174+'5. PERSON'!$K174+'5. PERSON'!$L174+'5. PERSON'!$M174+'5. PERSON'!$N174+'5. PERSON'!$O174+'5. PERSON'!$P174)*(1-'5. PERSON'!E174))/((YEAR('2. START'!$C$19)-YEAR('2. START'!$C$18))*12+MONTH('2. START'!$C$19)-MONTH('2. START'!$C$18)+1)</f>
        <v>0</v>
      </c>
      <c r="E178" s="98">
        <f>'5. PERSON'!AT174</f>
        <v>0</v>
      </c>
      <c r="F178" s="98">
        <f>'5. PERSON'!AU174</f>
        <v>0</v>
      </c>
      <c r="G178" s="98">
        <f>'5. PERSON'!AV174</f>
        <v>0</v>
      </c>
      <c r="H178" s="98">
        <f>'5. PERSON'!AW174</f>
        <v>0</v>
      </c>
      <c r="I178" s="98">
        <f>'5. PERSON'!AX174</f>
        <v>0</v>
      </c>
      <c r="J178" s="98">
        <f>'5. PERSON'!AY174</f>
        <v>0</v>
      </c>
      <c r="K178" s="98">
        <f>'5. PERSON'!AZ174</f>
        <v>0</v>
      </c>
      <c r="L178" s="98">
        <f>'5. PERSON'!BA174</f>
        <v>0</v>
      </c>
      <c r="M178" s="98">
        <f>'5. PERSON'!BB174</f>
        <v>0</v>
      </c>
      <c r="N178" s="98">
        <f>'5. PERSON'!BC174</f>
        <v>0</v>
      </c>
      <c r="O178" s="98">
        <f>'5. PERSON'!BD174</f>
        <v>0</v>
      </c>
      <c r="P178" s="98"/>
      <c r="Q178" s="98"/>
      <c r="R178" s="98"/>
      <c r="S178" s="98"/>
      <c r="T178" s="98"/>
      <c r="U178" s="98"/>
      <c r="V178" s="98"/>
      <c r="W178" s="98"/>
      <c r="X178" s="98"/>
      <c r="Y178" s="98"/>
      <c r="Z178" s="98"/>
    </row>
    <row r="179" spans="2:26" s="71" customFormat="1" ht="13.5" customHeight="1" x14ac:dyDescent="0.2">
      <c r="B179" s="280" t="str">
        <f>IF('5. PERSON'!C175="","",'5. PERSON'!C175)</f>
        <v/>
      </c>
      <c r="C179" s="935">
        <f>('5. PERSON'!G175+'5. PERSON'!H175+'5. PERSON'!I175+'5. PERSON'!J175+'5. PERSON'!K175+'5. PERSON'!L175+'5. PERSON'!M175+'5. PERSON'!N175+'5. PERSON'!O175+'5. PERSON'!P175)/((YEAR('2. START'!$C$19)-YEAR('2. START'!$C$18))*12+MONTH('2. START'!$C$19)-MONTH('2. START'!$C$18)+1)</f>
        <v>0</v>
      </c>
      <c r="D179" s="935">
        <f>(('5. PERSON'!$G175+'5. PERSON'!$H175+'5. PERSON'!$I175+'5. PERSON'!$J175+'5. PERSON'!$K175+'5. PERSON'!$L175+'5. PERSON'!$M175+'5. PERSON'!$N175+'5. PERSON'!$O175+'5. PERSON'!$P175)*(1-'5. PERSON'!E175))/((YEAR('2. START'!$C$19)-YEAR('2. START'!$C$18))*12+MONTH('2. START'!$C$19)-MONTH('2. START'!$C$18)+1)</f>
        <v>0</v>
      </c>
      <c r="E179" s="105">
        <f>'5. PERSON'!AT175</f>
        <v>0</v>
      </c>
      <c r="F179" s="105">
        <f>'5. PERSON'!AU175</f>
        <v>0</v>
      </c>
      <c r="G179" s="105">
        <f>'5. PERSON'!AV175</f>
        <v>0</v>
      </c>
      <c r="H179" s="105">
        <f>'5. PERSON'!AW175</f>
        <v>0</v>
      </c>
      <c r="I179" s="105">
        <f>'5. PERSON'!AX175</f>
        <v>0</v>
      </c>
      <c r="J179" s="105">
        <f>'5. PERSON'!AY175</f>
        <v>0</v>
      </c>
      <c r="K179" s="105">
        <f>'5. PERSON'!AZ175</f>
        <v>0</v>
      </c>
      <c r="L179" s="105">
        <f>'5. PERSON'!BA175</f>
        <v>0</v>
      </c>
      <c r="M179" s="105">
        <f>'5. PERSON'!BB175</f>
        <v>0</v>
      </c>
      <c r="N179" s="105">
        <f>'5. PERSON'!BC175</f>
        <v>0</v>
      </c>
      <c r="O179" s="105">
        <f>'5. PERSON'!BD175</f>
        <v>0</v>
      </c>
      <c r="P179" s="105"/>
      <c r="Q179" s="105"/>
      <c r="R179" s="105"/>
      <c r="S179" s="105"/>
      <c r="T179" s="105"/>
      <c r="U179" s="105"/>
      <c r="V179" s="105"/>
      <c r="W179" s="105"/>
      <c r="X179" s="105"/>
      <c r="Y179" s="105"/>
      <c r="Z179" s="105"/>
    </row>
    <row r="180" spans="2:26" s="37" customFormat="1" ht="13.5" customHeight="1" x14ac:dyDescent="0.2">
      <c r="B180" s="214" t="str">
        <f>IF('5. PERSON'!C176="","",'5. PERSON'!C176)</f>
        <v/>
      </c>
      <c r="C180" s="934">
        <f>('5. PERSON'!G176+'5. PERSON'!H176+'5. PERSON'!I176+'5. PERSON'!J176+'5. PERSON'!K176+'5. PERSON'!L176+'5. PERSON'!M176+'5. PERSON'!N176+'5. PERSON'!O176+'5. PERSON'!P176)/((YEAR('2. START'!$C$19)-YEAR('2. START'!$C$18))*12+MONTH('2. START'!$C$19)-MONTH('2. START'!$C$18)+1)</f>
        <v>0</v>
      </c>
      <c r="D180" s="934">
        <f>(('5. PERSON'!$G176+'5. PERSON'!$H176+'5. PERSON'!$I176+'5. PERSON'!$J176+'5. PERSON'!$K176+'5. PERSON'!$L176+'5. PERSON'!$M176+'5. PERSON'!$N176+'5. PERSON'!$O176+'5. PERSON'!$P176)*(1-'5. PERSON'!E176))/((YEAR('2. START'!$C$19)-YEAR('2. START'!$C$18))*12+MONTH('2. START'!$C$19)-MONTH('2. START'!$C$18)+1)</f>
        <v>0</v>
      </c>
      <c r="E180" s="98">
        <f>'5. PERSON'!AT176</f>
        <v>0</v>
      </c>
      <c r="F180" s="98">
        <f>'5. PERSON'!AU176</f>
        <v>0</v>
      </c>
      <c r="G180" s="98">
        <f>'5. PERSON'!AV176</f>
        <v>0</v>
      </c>
      <c r="H180" s="98">
        <f>'5. PERSON'!AW176</f>
        <v>0</v>
      </c>
      <c r="I180" s="98">
        <f>'5. PERSON'!AX176</f>
        <v>0</v>
      </c>
      <c r="J180" s="98">
        <f>'5. PERSON'!AY176</f>
        <v>0</v>
      </c>
      <c r="K180" s="98">
        <f>'5. PERSON'!AZ176</f>
        <v>0</v>
      </c>
      <c r="L180" s="98">
        <f>'5. PERSON'!BA176</f>
        <v>0</v>
      </c>
      <c r="M180" s="98">
        <f>'5. PERSON'!BB176</f>
        <v>0</v>
      </c>
      <c r="N180" s="98">
        <f>'5. PERSON'!BC176</f>
        <v>0</v>
      </c>
      <c r="O180" s="98">
        <f>'5. PERSON'!BD176</f>
        <v>0</v>
      </c>
      <c r="P180" s="98"/>
      <c r="Q180" s="98"/>
      <c r="R180" s="98"/>
      <c r="S180" s="98"/>
      <c r="T180" s="98"/>
      <c r="U180" s="98"/>
      <c r="V180" s="98"/>
      <c r="W180" s="98"/>
      <c r="X180" s="98"/>
      <c r="Y180" s="98"/>
      <c r="Z180" s="98"/>
    </row>
    <row r="181" spans="2:26" s="71" customFormat="1" ht="13.5" customHeight="1" x14ac:dyDescent="0.2">
      <c r="B181" s="280" t="str">
        <f>IF('5. PERSON'!C177="","",'5. PERSON'!C177)</f>
        <v/>
      </c>
      <c r="C181" s="935">
        <f>('5. PERSON'!G177+'5. PERSON'!H177+'5. PERSON'!I177+'5. PERSON'!J177+'5. PERSON'!K177+'5. PERSON'!L177+'5. PERSON'!M177+'5. PERSON'!N177+'5. PERSON'!O177+'5. PERSON'!P177)/((YEAR('2. START'!$C$19)-YEAR('2. START'!$C$18))*12+MONTH('2. START'!$C$19)-MONTH('2. START'!$C$18)+1)</f>
        <v>0</v>
      </c>
      <c r="D181" s="935">
        <f>(('5. PERSON'!$G177+'5. PERSON'!$H177+'5. PERSON'!$I177+'5. PERSON'!$J177+'5. PERSON'!$K177+'5. PERSON'!$L177+'5. PERSON'!$M177+'5. PERSON'!$N177+'5. PERSON'!$O177+'5. PERSON'!$P177)*(1-'5. PERSON'!E177))/((YEAR('2. START'!$C$19)-YEAR('2. START'!$C$18))*12+MONTH('2. START'!$C$19)-MONTH('2. START'!$C$18)+1)</f>
        <v>0</v>
      </c>
      <c r="E181" s="105">
        <f>'5. PERSON'!AT177</f>
        <v>0</v>
      </c>
      <c r="F181" s="105">
        <f>'5. PERSON'!AU177</f>
        <v>0</v>
      </c>
      <c r="G181" s="105">
        <f>'5. PERSON'!AV177</f>
        <v>0</v>
      </c>
      <c r="H181" s="105">
        <f>'5. PERSON'!AW177</f>
        <v>0</v>
      </c>
      <c r="I181" s="105">
        <f>'5. PERSON'!AX177</f>
        <v>0</v>
      </c>
      <c r="J181" s="105">
        <f>'5. PERSON'!AY177</f>
        <v>0</v>
      </c>
      <c r="K181" s="105">
        <f>'5. PERSON'!AZ177</f>
        <v>0</v>
      </c>
      <c r="L181" s="105">
        <f>'5. PERSON'!BA177</f>
        <v>0</v>
      </c>
      <c r="M181" s="105">
        <f>'5. PERSON'!BB177</f>
        <v>0</v>
      </c>
      <c r="N181" s="105">
        <f>'5. PERSON'!BC177</f>
        <v>0</v>
      </c>
      <c r="O181" s="105">
        <f>'5. PERSON'!BD177</f>
        <v>0</v>
      </c>
      <c r="P181" s="105"/>
      <c r="Q181" s="105"/>
      <c r="R181" s="105"/>
      <c r="S181" s="105"/>
      <c r="T181" s="105"/>
      <c r="U181" s="105"/>
      <c r="V181" s="105"/>
      <c r="W181" s="105"/>
      <c r="X181" s="105"/>
      <c r="Y181" s="105"/>
      <c r="Z181" s="105"/>
    </row>
    <row r="182" spans="2:26" s="37" customFormat="1" ht="13.5" customHeight="1" x14ac:dyDescent="0.2">
      <c r="B182" s="214" t="str">
        <f>IF('5. PERSON'!C178="","",'5. PERSON'!C178)</f>
        <v/>
      </c>
      <c r="C182" s="934">
        <f>('5. PERSON'!G178+'5. PERSON'!H178+'5. PERSON'!I178+'5. PERSON'!J178+'5. PERSON'!K178+'5. PERSON'!L178+'5. PERSON'!M178+'5. PERSON'!N178+'5. PERSON'!O178+'5. PERSON'!P178)/((YEAR('2. START'!$C$19)-YEAR('2. START'!$C$18))*12+MONTH('2. START'!$C$19)-MONTH('2. START'!$C$18)+1)</f>
        <v>0</v>
      </c>
      <c r="D182" s="934">
        <f>(('5. PERSON'!$G178+'5. PERSON'!$H178+'5. PERSON'!$I178+'5. PERSON'!$J178+'5. PERSON'!$K178+'5. PERSON'!$L178+'5. PERSON'!$M178+'5. PERSON'!$N178+'5. PERSON'!$O178+'5. PERSON'!$P178)*(1-'5. PERSON'!E178))/((YEAR('2. START'!$C$19)-YEAR('2. START'!$C$18))*12+MONTH('2. START'!$C$19)-MONTH('2. START'!$C$18)+1)</f>
        <v>0</v>
      </c>
      <c r="E182" s="98">
        <f>'5. PERSON'!AT178</f>
        <v>0</v>
      </c>
      <c r="F182" s="98">
        <f>'5. PERSON'!AU178</f>
        <v>0</v>
      </c>
      <c r="G182" s="98">
        <f>'5. PERSON'!AV178</f>
        <v>0</v>
      </c>
      <c r="H182" s="98">
        <f>'5. PERSON'!AW178</f>
        <v>0</v>
      </c>
      <c r="I182" s="98">
        <f>'5. PERSON'!AX178</f>
        <v>0</v>
      </c>
      <c r="J182" s="98">
        <f>'5. PERSON'!AY178</f>
        <v>0</v>
      </c>
      <c r="K182" s="98">
        <f>'5. PERSON'!AZ178</f>
        <v>0</v>
      </c>
      <c r="L182" s="98">
        <f>'5. PERSON'!BA178</f>
        <v>0</v>
      </c>
      <c r="M182" s="98">
        <f>'5. PERSON'!BB178</f>
        <v>0</v>
      </c>
      <c r="N182" s="98">
        <f>'5. PERSON'!BC178</f>
        <v>0</v>
      </c>
      <c r="O182" s="98">
        <f>'5. PERSON'!BD178</f>
        <v>0</v>
      </c>
      <c r="P182" s="98"/>
      <c r="Q182" s="98"/>
      <c r="R182" s="98"/>
      <c r="S182" s="98"/>
      <c r="T182" s="98"/>
      <c r="U182" s="98"/>
      <c r="V182" s="98"/>
      <c r="W182" s="98"/>
      <c r="X182" s="98"/>
      <c r="Y182" s="98"/>
      <c r="Z182" s="98"/>
    </row>
    <row r="183" spans="2:26" s="71" customFormat="1" ht="13.5" customHeight="1" x14ac:dyDescent="0.2">
      <c r="B183" s="280" t="str">
        <f>IF('5. PERSON'!C179="","",'5. PERSON'!C179)</f>
        <v/>
      </c>
      <c r="C183" s="935">
        <f>('5. PERSON'!G179+'5. PERSON'!H179+'5. PERSON'!I179+'5. PERSON'!J179+'5. PERSON'!K179+'5. PERSON'!L179+'5. PERSON'!M179+'5. PERSON'!N179+'5. PERSON'!O179+'5. PERSON'!P179)/((YEAR('2. START'!$C$19)-YEAR('2. START'!$C$18))*12+MONTH('2. START'!$C$19)-MONTH('2. START'!$C$18)+1)</f>
        <v>0</v>
      </c>
      <c r="D183" s="935">
        <f>(('5. PERSON'!$G179+'5. PERSON'!$H179+'5. PERSON'!$I179+'5. PERSON'!$J179+'5. PERSON'!$K179+'5. PERSON'!$L179+'5. PERSON'!$M179+'5. PERSON'!$N179+'5. PERSON'!$O179+'5. PERSON'!$P179)*(1-'5. PERSON'!E179))/((YEAR('2. START'!$C$19)-YEAR('2. START'!$C$18))*12+MONTH('2. START'!$C$19)-MONTH('2. START'!$C$18)+1)</f>
        <v>0</v>
      </c>
      <c r="E183" s="105">
        <f>'5. PERSON'!AT179</f>
        <v>0</v>
      </c>
      <c r="F183" s="105">
        <f>'5. PERSON'!AU179</f>
        <v>0</v>
      </c>
      <c r="G183" s="105">
        <f>'5. PERSON'!AV179</f>
        <v>0</v>
      </c>
      <c r="H183" s="105">
        <f>'5. PERSON'!AW179</f>
        <v>0</v>
      </c>
      <c r="I183" s="105">
        <f>'5. PERSON'!AX179</f>
        <v>0</v>
      </c>
      <c r="J183" s="105">
        <f>'5. PERSON'!AY179</f>
        <v>0</v>
      </c>
      <c r="K183" s="105">
        <f>'5. PERSON'!AZ179</f>
        <v>0</v>
      </c>
      <c r="L183" s="105">
        <f>'5. PERSON'!BA179</f>
        <v>0</v>
      </c>
      <c r="M183" s="105">
        <f>'5. PERSON'!BB179</f>
        <v>0</v>
      </c>
      <c r="N183" s="105">
        <f>'5. PERSON'!BC179</f>
        <v>0</v>
      </c>
      <c r="O183" s="105">
        <f>'5. PERSON'!BD179</f>
        <v>0</v>
      </c>
      <c r="P183" s="105"/>
      <c r="Q183" s="105"/>
      <c r="R183" s="105"/>
      <c r="S183" s="105"/>
      <c r="T183" s="105"/>
      <c r="U183" s="105"/>
      <c r="V183" s="105"/>
      <c r="W183" s="105"/>
      <c r="X183" s="105"/>
      <c r="Y183" s="105"/>
      <c r="Z183" s="105"/>
    </row>
    <row r="184" spans="2:26" s="37" customFormat="1" ht="13.5" customHeight="1" x14ac:dyDescent="0.2">
      <c r="B184" s="214" t="str">
        <f>IF('5. PERSON'!C180="","",'5. PERSON'!C180)</f>
        <v/>
      </c>
      <c r="C184" s="934">
        <f>('5. PERSON'!G180+'5. PERSON'!H180+'5. PERSON'!I180+'5. PERSON'!J180+'5. PERSON'!K180+'5. PERSON'!L180+'5. PERSON'!M180+'5. PERSON'!N180+'5. PERSON'!O180+'5. PERSON'!P180)/((YEAR('2. START'!$C$19)-YEAR('2. START'!$C$18))*12+MONTH('2. START'!$C$19)-MONTH('2. START'!$C$18)+1)</f>
        <v>0</v>
      </c>
      <c r="D184" s="934">
        <f>(('5. PERSON'!$G180+'5. PERSON'!$H180+'5. PERSON'!$I180+'5. PERSON'!$J180+'5. PERSON'!$K180+'5. PERSON'!$L180+'5. PERSON'!$M180+'5. PERSON'!$N180+'5. PERSON'!$O180+'5. PERSON'!$P180)*(1-'5. PERSON'!E180))/((YEAR('2. START'!$C$19)-YEAR('2. START'!$C$18))*12+MONTH('2. START'!$C$19)-MONTH('2. START'!$C$18)+1)</f>
        <v>0</v>
      </c>
      <c r="E184" s="98">
        <f>'5. PERSON'!AT180</f>
        <v>0</v>
      </c>
      <c r="F184" s="98">
        <f>'5. PERSON'!AU180</f>
        <v>0</v>
      </c>
      <c r="G184" s="98">
        <f>'5. PERSON'!AV180</f>
        <v>0</v>
      </c>
      <c r="H184" s="98">
        <f>'5. PERSON'!AW180</f>
        <v>0</v>
      </c>
      <c r="I184" s="98">
        <f>'5. PERSON'!AX180</f>
        <v>0</v>
      </c>
      <c r="J184" s="98">
        <f>'5. PERSON'!AY180</f>
        <v>0</v>
      </c>
      <c r="K184" s="98">
        <f>'5. PERSON'!AZ180</f>
        <v>0</v>
      </c>
      <c r="L184" s="98">
        <f>'5. PERSON'!BA180</f>
        <v>0</v>
      </c>
      <c r="M184" s="98">
        <f>'5. PERSON'!BB180</f>
        <v>0</v>
      </c>
      <c r="N184" s="98">
        <f>'5. PERSON'!BC180</f>
        <v>0</v>
      </c>
      <c r="O184" s="98">
        <f>'5. PERSON'!BD180</f>
        <v>0</v>
      </c>
      <c r="P184" s="98"/>
      <c r="Q184" s="98"/>
      <c r="R184" s="98"/>
      <c r="S184" s="98"/>
      <c r="T184" s="98"/>
      <c r="U184" s="98"/>
      <c r="V184" s="98"/>
      <c r="W184" s="98"/>
      <c r="X184" s="98"/>
      <c r="Y184" s="98"/>
      <c r="Z184" s="98"/>
    </row>
    <row r="185" spans="2:26" s="71" customFormat="1" ht="13.5" customHeight="1" x14ac:dyDescent="0.2">
      <c r="B185" s="280" t="str">
        <f>IF('5. PERSON'!C181="","",'5. PERSON'!C181)</f>
        <v/>
      </c>
      <c r="C185" s="935">
        <f>('5. PERSON'!G181+'5. PERSON'!H181+'5. PERSON'!I181+'5. PERSON'!J181+'5. PERSON'!K181+'5. PERSON'!L181+'5. PERSON'!M181+'5. PERSON'!N181+'5. PERSON'!O181+'5. PERSON'!P181)/((YEAR('2. START'!$C$19)-YEAR('2. START'!$C$18))*12+MONTH('2. START'!$C$19)-MONTH('2. START'!$C$18)+1)</f>
        <v>0</v>
      </c>
      <c r="D185" s="935">
        <f>(('5. PERSON'!$G181+'5. PERSON'!$H181+'5. PERSON'!$I181+'5. PERSON'!$J181+'5. PERSON'!$K181+'5. PERSON'!$L181+'5. PERSON'!$M181+'5. PERSON'!$N181+'5. PERSON'!$O181+'5. PERSON'!$P181)*(1-'5. PERSON'!E181))/((YEAR('2. START'!$C$19)-YEAR('2. START'!$C$18))*12+MONTH('2. START'!$C$19)-MONTH('2. START'!$C$18)+1)</f>
        <v>0</v>
      </c>
      <c r="E185" s="105">
        <f>'5. PERSON'!AT181</f>
        <v>0</v>
      </c>
      <c r="F185" s="105">
        <f>'5. PERSON'!AU181</f>
        <v>0</v>
      </c>
      <c r="G185" s="105">
        <f>'5. PERSON'!AV181</f>
        <v>0</v>
      </c>
      <c r="H185" s="105">
        <f>'5. PERSON'!AW181</f>
        <v>0</v>
      </c>
      <c r="I185" s="105">
        <f>'5. PERSON'!AX181</f>
        <v>0</v>
      </c>
      <c r="J185" s="105">
        <f>'5. PERSON'!AY181</f>
        <v>0</v>
      </c>
      <c r="K185" s="105">
        <f>'5. PERSON'!AZ181</f>
        <v>0</v>
      </c>
      <c r="L185" s="105">
        <f>'5. PERSON'!BA181</f>
        <v>0</v>
      </c>
      <c r="M185" s="105">
        <f>'5. PERSON'!BB181</f>
        <v>0</v>
      </c>
      <c r="N185" s="105">
        <f>'5. PERSON'!BC181</f>
        <v>0</v>
      </c>
      <c r="O185" s="105">
        <f>'5. PERSON'!BD181</f>
        <v>0</v>
      </c>
      <c r="P185" s="105"/>
      <c r="Q185" s="105"/>
      <c r="R185" s="105"/>
      <c r="S185" s="105"/>
      <c r="T185" s="105"/>
      <c r="U185" s="105"/>
      <c r="V185" s="105"/>
      <c r="W185" s="105"/>
      <c r="X185" s="105"/>
      <c r="Y185" s="105"/>
      <c r="Z185" s="105"/>
    </row>
    <row r="186" spans="2:26" s="37" customFormat="1" ht="13.5" customHeight="1" x14ac:dyDescent="0.2">
      <c r="B186" s="214" t="str">
        <f>IF('5. PERSON'!C182="","",'5. PERSON'!C182)</f>
        <v/>
      </c>
      <c r="C186" s="934">
        <f>('5. PERSON'!G182+'5. PERSON'!H182+'5. PERSON'!I182+'5. PERSON'!J182+'5. PERSON'!K182+'5. PERSON'!L182+'5. PERSON'!M182+'5. PERSON'!N182+'5. PERSON'!O182+'5. PERSON'!P182)/((YEAR('2. START'!$C$19)-YEAR('2. START'!$C$18))*12+MONTH('2. START'!$C$19)-MONTH('2. START'!$C$18)+1)</f>
        <v>0</v>
      </c>
      <c r="D186" s="934">
        <f>(('5. PERSON'!$G182+'5. PERSON'!$H182+'5. PERSON'!$I182+'5. PERSON'!$J182+'5. PERSON'!$K182+'5. PERSON'!$L182+'5. PERSON'!$M182+'5. PERSON'!$N182+'5. PERSON'!$O182+'5. PERSON'!$P182)*(1-'5. PERSON'!E182))/((YEAR('2. START'!$C$19)-YEAR('2. START'!$C$18))*12+MONTH('2. START'!$C$19)-MONTH('2. START'!$C$18)+1)</f>
        <v>0</v>
      </c>
      <c r="E186" s="98">
        <f>'5. PERSON'!AT182</f>
        <v>0</v>
      </c>
      <c r="F186" s="98">
        <f>'5. PERSON'!AU182</f>
        <v>0</v>
      </c>
      <c r="G186" s="98">
        <f>'5. PERSON'!AV182</f>
        <v>0</v>
      </c>
      <c r="H186" s="98">
        <f>'5. PERSON'!AW182</f>
        <v>0</v>
      </c>
      <c r="I186" s="98">
        <f>'5. PERSON'!AX182</f>
        <v>0</v>
      </c>
      <c r="J186" s="98">
        <f>'5. PERSON'!AY182</f>
        <v>0</v>
      </c>
      <c r="K186" s="98">
        <f>'5. PERSON'!AZ182</f>
        <v>0</v>
      </c>
      <c r="L186" s="98">
        <f>'5. PERSON'!BA182</f>
        <v>0</v>
      </c>
      <c r="M186" s="98">
        <f>'5. PERSON'!BB182</f>
        <v>0</v>
      </c>
      <c r="N186" s="98">
        <f>'5. PERSON'!BC182</f>
        <v>0</v>
      </c>
      <c r="O186" s="98">
        <f>'5. PERSON'!BD182</f>
        <v>0</v>
      </c>
      <c r="P186" s="98"/>
      <c r="Q186" s="98"/>
      <c r="R186" s="98"/>
      <c r="S186" s="98"/>
      <c r="T186" s="98"/>
      <c r="U186" s="98"/>
      <c r="V186" s="98"/>
      <c r="W186" s="98"/>
      <c r="X186" s="98"/>
      <c r="Y186" s="98"/>
      <c r="Z186" s="98"/>
    </row>
    <row r="187" spans="2:26" s="71" customFormat="1" ht="13.5" customHeight="1" x14ac:dyDescent="0.2">
      <c r="B187" s="280" t="str">
        <f>IF('5. PERSON'!C183="","",'5. PERSON'!C183)</f>
        <v/>
      </c>
      <c r="C187" s="935">
        <f>('5. PERSON'!G183+'5. PERSON'!H183+'5. PERSON'!I183+'5. PERSON'!J183+'5. PERSON'!K183+'5. PERSON'!L183+'5. PERSON'!M183+'5. PERSON'!N183+'5. PERSON'!O183+'5. PERSON'!P183)/((YEAR('2. START'!$C$19)-YEAR('2. START'!$C$18))*12+MONTH('2. START'!$C$19)-MONTH('2. START'!$C$18)+1)</f>
        <v>0</v>
      </c>
      <c r="D187" s="935">
        <f>(('5. PERSON'!$G183+'5. PERSON'!$H183+'5. PERSON'!$I183+'5. PERSON'!$J183+'5. PERSON'!$K183+'5. PERSON'!$L183+'5. PERSON'!$M183+'5. PERSON'!$N183+'5. PERSON'!$O183+'5. PERSON'!$P183)*(1-'5. PERSON'!E183))/((YEAR('2. START'!$C$19)-YEAR('2. START'!$C$18))*12+MONTH('2. START'!$C$19)-MONTH('2. START'!$C$18)+1)</f>
        <v>0</v>
      </c>
      <c r="E187" s="105">
        <f>'5. PERSON'!AT183</f>
        <v>0</v>
      </c>
      <c r="F187" s="105">
        <f>'5. PERSON'!AU183</f>
        <v>0</v>
      </c>
      <c r="G187" s="105">
        <f>'5. PERSON'!AV183</f>
        <v>0</v>
      </c>
      <c r="H187" s="105">
        <f>'5. PERSON'!AW183</f>
        <v>0</v>
      </c>
      <c r="I187" s="105">
        <f>'5. PERSON'!AX183</f>
        <v>0</v>
      </c>
      <c r="J187" s="105">
        <f>'5. PERSON'!AY183</f>
        <v>0</v>
      </c>
      <c r="K187" s="105">
        <f>'5. PERSON'!AZ183</f>
        <v>0</v>
      </c>
      <c r="L187" s="105">
        <f>'5. PERSON'!BA183</f>
        <v>0</v>
      </c>
      <c r="M187" s="105">
        <f>'5. PERSON'!BB183</f>
        <v>0</v>
      </c>
      <c r="N187" s="105">
        <f>'5. PERSON'!BC183</f>
        <v>0</v>
      </c>
      <c r="O187" s="105">
        <f>'5. PERSON'!BD183</f>
        <v>0</v>
      </c>
      <c r="P187" s="105"/>
      <c r="Q187" s="105"/>
      <c r="R187" s="105"/>
      <c r="S187" s="105"/>
      <c r="T187" s="105"/>
      <c r="U187" s="105"/>
      <c r="V187" s="105"/>
      <c r="W187" s="105"/>
      <c r="X187" s="105"/>
      <c r="Y187" s="105"/>
      <c r="Z187" s="105"/>
    </row>
    <row r="188" spans="2:26" s="37" customFormat="1" ht="13.5" customHeight="1" x14ac:dyDescent="0.2">
      <c r="B188" s="214" t="str">
        <f>IF('5. PERSON'!C184="","",'5. PERSON'!C184)</f>
        <v/>
      </c>
      <c r="C188" s="934">
        <f>('5. PERSON'!G184+'5. PERSON'!H184+'5. PERSON'!I184+'5. PERSON'!J184+'5. PERSON'!K184+'5. PERSON'!L184+'5. PERSON'!M184+'5. PERSON'!N184+'5. PERSON'!O184+'5. PERSON'!P184)/((YEAR('2. START'!$C$19)-YEAR('2. START'!$C$18))*12+MONTH('2. START'!$C$19)-MONTH('2. START'!$C$18)+1)</f>
        <v>0</v>
      </c>
      <c r="D188" s="934">
        <f>(('5. PERSON'!$G184+'5. PERSON'!$H184+'5. PERSON'!$I184+'5. PERSON'!$J184+'5. PERSON'!$K184+'5. PERSON'!$L184+'5. PERSON'!$M184+'5. PERSON'!$N184+'5. PERSON'!$O184+'5. PERSON'!$P184)*(1-'5. PERSON'!E184))/((YEAR('2. START'!$C$19)-YEAR('2. START'!$C$18))*12+MONTH('2. START'!$C$19)-MONTH('2. START'!$C$18)+1)</f>
        <v>0</v>
      </c>
      <c r="E188" s="98">
        <f>'5. PERSON'!AT184</f>
        <v>0</v>
      </c>
      <c r="F188" s="98">
        <f>'5. PERSON'!AU184</f>
        <v>0</v>
      </c>
      <c r="G188" s="98">
        <f>'5. PERSON'!AV184</f>
        <v>0</v>
      </c>
      <c r="H188" s="98">
        <f>'5. PERSON'!AW184</f>
        <v>0</v>
      </c>
      <c r="I188" s="98">
        <f>'5. PERSON'!AX184</f>
        <v>0</v>
      </c>
      <c r="J188" s="98">
        <f>'5. PERSON'!AY184</f>
        <v>0</v>
      </c>
      <c r="K188" s="98">
        <f>'5. PERSON'!AZ184</f>
        <v>0</v>
      </c>
      <c r="L188" s="98">
        <f>'5. PERSON'!BA184</f>
        <v>0</v>
      </c>
      <c r="M188" s="98">
        <f>'5. PERSON'!BB184</f>
        <v>0</v>
      </c>
      <c r="N188" s="98">
        <f>'5. PERSON'!BC184</f>
        <v>0</v>
      </c>
      <c r="O188" s="98">
        <f>'5. PERSON'!BD184</f>
        <v>0</v>
      </c>
      <c r="P188" s="98"/>
      <c r="Q188" s="98"/>
      <c r="R188" s="98"/>
      <c r="S188" s="98"/>
      <c r="T188" s="98"/>
      <c r="U188" s="98"/>
      <c r="V188" s="98"/>
      <c r="W188" s="98"/>
      <c r="X188" s="98"/>
      <c r="Y188" s="98"/>
      <c r="Z188" s="98"/>
    </row>
    <row r="189" spans="2:26" s="71" customFormat="1" ht="13.5" customHeight="1" x14ac:dyDescent="0.2">
      <c r="B189" s="280" t="str">
        <f>IF('5. PERSON'!C185="","",'5. PERSON'!C185)</f>
        <v/>
      </c>
      <c r="C189" s="935">
        <f>('5. PERSON'!G185+'5. PERSON'!H185+'5. PERSON'!I185+'5. PERSON'!J185+'5. PERSON'!K185+'5. PERSON'!L185+'5. PERSON'!M185+'5. PERSON'!N185+'5. PERSON'!O185+'5. PERSON'!P185)/((YEAR('2. START'!$C$19)-YEAR('2. START'!$C$18))*12+MONTH('2. START'!$C$19)-MONTH('2. START'!$C$18)+1)</f>
        <v>0</v>
      </c>
      <c r="D189" s="935">
        <f>(('5. PERSON'!$G185+'5. PERSON'!$H185+'5. PERSON'!$I185+'5. PERSON'!$J185+'5. PERSON'!$K185+'5. PERSON'!$L185+'5. PERSON'!$M185+'5. PERSON'!$N185+'5. PERSON'!$O185+'5. PERSON'!$P185)*(1-'5. PERSON'!E185))/((YEAR('2. START'!$C$19)-YEAR('2. START'!$C$18))*12+MONTH('2. START'!$C$19)-MONTH('2. START'!$C$18)+1)</f>
        <v>0</v>
      </c>
      <c r="E189" s="105">
        <f>'5. PERSON'!AT185</f>
        <v>0</v>
      </c>
      <c r="F189" s="105">
        <f>'5. PERSON'!AU185</f>
        <v>0</v>
      </c>
      <c r="G189" s="105">
        <f>'5. PERSON'!AV185</f>
        <v>0</v>
      </c>
      <c r="H189" s="105">
        <f>'5. PERSON'!AW185</f>
        <v>0</v>
      </c>
      <c r="I189" s="105">
        <f>'5. PERSON'!AX185</f>
        <v>0</v>
      </c>
      <c r="J189" s="105">
        <f>'5. PERSON'!AY185</f>
        <v>0</v>
      </c>
      <c r="K189" s="105">
        <f>'5. PERSON'!AZ185</f>
        <v>0</v>
      </c>
      <c r="L189" s="105">
        <f>'5. PERSON'!BA185</f>
        <v>0</v>
      </c>
      <c r="M189" s="105">
        <f>'5. PERSON'!BB185</f>
        <v>0</v>
      </c>
      <c r="N189" s="105">
        <f>'5. PERSON'!BC185</f>
        <v>0</v>
      </c>
      <c r="O189" s="105">
        <f>'5. PERSON'!BD185</f>
        <v>0</v>
      </c>
      <c r="P189" s="105"/>
      <c r="Q189" s="105"/>
      <c r="R189" s="105"/>
      <c r="S189" s="105"/>
      <c r="T189" s="105"/>
      <c r="U189" s="105"/>
      <c r="V189" s="105"/>
      <c r="W189" s="105"/>
      <c r="X189" s="105"/>
      <c r="Y189" s="105"/>
      <c r="Z189" s="105"/>
    </row>
    <row r="190" spans="2:26" s="37" customFormat="1" ht="13.5" customHeight="1" x14ac:dyDescent="0.2">
      <c r="B190" s="214" t="str">
        <f>IF('5. PERSON'!C186="","",'5. PERSON'!C186)</f>
        <v/>
      </c>
      <c r="C190" s="934">
        <f>('5. PERSON'!G186+'5. PERSON'!H186+'5. PERSON'!I186+'5. PERSON'!J186+'5. PERSON'!K186+'5. PERSON'!L186+'5. PERSON'!M186+'5. PERSON'!N186+'5. PERSON'!O186+'5. PERSON'!P186)/((YEAR('2. START'!$C$19)-YEAR('2. START'!$C$18))*12+MONTH('2. START'!$C$19)-MONTH('2. START'!$C$18)+1)</f>
        <v>0</v>
      </c>
      <c r="D190" s="934">
        <f>(('5. PERSON'!$G186+'5. PERSON'!$H186+'5. PERSON'!$I186+'5. PERSON'!$J186+'5. PERSON'!$K186+'5. PERSON'!$L186+'5. PERSON'!$M186+'5. PERSON'!$N186+'5. PERSON'!$O186+'5. PERSON'!$P186)*(1-'5. PERSON'!E186))/((YEAR('2. START'!$C$19)-YEAR('2. START'!$C$18))*12+MONTH('2. START'!$C$19)-MONTH('2. START'!$C$18)+1)</f>
        <v>0</v>
      </c>
      <c r="E190" s="98">
        <f>'5. PERSON'!AT186</f>
        <v>0</v>
      </c>
      <c r="F190" s="98">
        <f>'5. PERSON'!AU186</f>
        <v>0</v>
      </c>
      <c r="G190" s="98">
        <f>'5. PERSON'!AV186</f>
        <v>0</v>
      </c>
      <c r="H190" s="98">
        <f>'5. PERSON'!AW186</f>
        <v>0</v>
      </c>
      <c r="I190" s="98">
        <f>'5. PERSON'!AX186</f>
        <v>0</v>
      </c>
      <c r="J190" s="98">
        <f>'5. PERSON'!AY186</f>
        <v>0</v>
      </c>
      <c r="K190" s="98">
        <f>'5. PERSON'!AZ186</f>
        <v>0</v>
      </c>
      <c r="L190" s="98">
        <f>'5. PERSON'!BA186</f>
        <v>0</v>
      </c>
      <c r="M190" s="98">
        <f>'5. PERSON'!BB186</f>
        <v>0</v>
      </c>
      <c r="N190" s="98">
        <f>'5. PERSON'!BC186</f>
        <v>0</v>
      </c>
      <c r="O190" s="98">
        <f>'5. PERSON'!BD186</f>
        <v>0</v>
      </c>
      <c r="P190" s="98"/>
      <c r="Q190" s="98"/>
      <c r="R190" s="98"/>
      <c r="S190" s="98"/>
      <c r="T190" s="98"/>
      <c r="U190" s="98"/>
      <c r="V190" s="98"/>
      <c r="W190" s="98"/>
      <c r="X190" s="98"/>
      <c r="Y190" s="98"/>
      <c r="Z190" s="98"/>
    </row>
    <row r="191" spans="2:26" s="71" customFormat="1" ht="13.5" customHeight="1" x14ac:dyDescent="0.2">
      <c r="B191" s="280" t="str">
        <f>IF('5. PERSON'!C187="","",'5. PERSON'!C187)</f>
        <v/>
      </c>
      <c r="C191" s="935">
        <f>('5. PERSON'!G187+'5. PERSON'!H187+'5. PERSON'!I187+'5. PERSON'!J187+'5. PERSON'!K187+'5. PERSON'!L187+'5. PERSON'!M187+'5. PERSON'!N187+'5. PERSON'!O187+'5. PERSON'!P187)/((YEAR('2. START'!$C$19)-YEAR('2. START'!$C$18))*12+MONTH('2. START'!$C$19)-MONTH('2. START'!$C$18)+1)</f>
        <v>0</v>
      </c>
      <c r="D191" s="935">
        <f>(('5. PERSON'!$G187+'5. PERSON'!$H187+'5. PERSON'!$I187+'5. PERSON'!$J187+'5. PERSON'!$K187+'5. PERSON'!$L187+'5. PERSON'!$M187+'5. PERSON'!$N187+'5. PERSON'!$O187+'5. PERSON'!$P187)*(1-'5. PERSON'!E187))/((YEAR('2. START'!$C$19)-YEAR('2. START'!$C$18))*12+MONTH('2. START'!$C$19)-MONTH('2. START'!$C$18)+1)</f>
        <v>0</v>
      </c>
      <c r="E191" s="105">
        <f>'5. PERSON'!AT187</f>
        <v>0</v>
      </c>
      <c r="F191" s="105">
        <f>'5. PERSON'!AU187</f>
        <v>0</v>
      </c>
      <c r="G191" s="105">
        <f>'5. PERSON'!AV187</f>
        <v>0</v>
      </c>
      <c r="H191" s="105">
        <f>'5. PERSON'!AW187</f>
        <v>0</v>
      </c>
      <c r="I191" s="105">
        <f>'5. PERSON'!AX187</f>
        <v>0</v>
      </c>
      <c r="J191" s="105">
        <f>'5. PERSON'!AY187</f>
        <v>0</v>
      </c>
      <c r="K191" s="105">
        <f>'5. PERSON'!AZ187</f>
        <v>0</v>
      </c>
      <c r="L191" s="105">
        <f>'5. PERSON'!BA187</f>
        <v>0</v>
      </c>
      <c r="M191" s="105">
        <f>'5. PERSON'!BB187</f>
        <v>0</v>
      </c>
      <c r="N191" s="105">
        <f>'5. PERSON'!BC187</f>
        <v>0</v>
      </c>
      <c r="O191" s="105">
        <f>'5. PERSON'!BD187</f>
        <v>0</v>
      </c>
      <c r="P191" s="105"/>
      <c r="Q191" s="105"/>
      <c r="R191" s="105"/>
      <c r="S191" s="105"/>
      <c r="T191" s="105"/>
      <c r="U191" s="105"/>
      <c r="V191" s="105"/>
      <c r="W191" s="105"/>
      <c r="X191" s="105"/>
      <c r="Y191" s="105"/>
      <c r="Z191" s="105"/>
    </row>
    <row r="192" spans="2:26" s="37" customFormat="1" ht="13.5" customHeight="1" x14ac:dyDescent="0.2">
      <c r="B192" s="214" t="str">
        <f>IF('5. PERSON'!C188="","",'5. PERSON'!C188)</f>
        <v/>
      </c>
      <c r="C192" s="934">
        <f>('5. PERSON'!G188+'5. PERSON'!H188+'5. PERSON'!I188+'5. PERSON'!J188+'5. PERSON'!K188+'5. PERSON'!L188+'5. PERSON'!M188+'5. PERSON'!N188+'5. PERSON'!O188+'5. PERSON'!P188)/((YEAR('2. START'!$C$19)-YEAR('2. START'!$C$18))*12+MONTH('2. START'!$C$19)-MONTH('2. START'!$C$18)+1)</f>
        <v>0</v>
      </c>
      <c r="D192" s="934">
        <f>(('5. PERSON'!$G188+'5. PERSON'!$H188+'5. PERSON'!$I188+'5. PERSON'!$J188+'5. PERSON'!$K188+'5. PERSON'!$L188+'5. PERSON'!$M188+'5. PERSON'!$N188+'5. PERSON'!$O188+'5. PERSON'!$P188)*(1-'5. PERSON'!E188))/((YEAR('2. START'!$C$19)-YEAR('2. START'!$C$18))*12+MONTH('2. START'!$C$19)-MONTH('2. START'!$C$18)+1)</f>
        <v>0</v>
      </c>
      <c r="E192" s="98">
        <f>'5. PERSON'!AT188</f>
        <v>0</v>
      </c>
      <c r="F192" s="98">
        <f>'5. PERSON'!AU188</f>
        <v>0</v>
      </c>
      <c r="G192" s="98">
        <f>'5. PERSON'!AV188</f>
        <v>0</v>
      </c>
      <c r="H192" s="98">
        <f>'5. PERSON'!AW188</f>
        <v>0</v>
      </c>
      <c r="I192" s="98">
        <f>'5. PERSON'!AX188</f>
        <v>0</v>
      </c>
      <c r="J192" s="98">
        <f>'5. PERSON'!AY188</f>
        <v>0</v>
      </c>
      <c r="K192" s="98">
        <f>'5. PERSON'!AZ188</f>
        <v>0</v>
      </c>
      <c r="L192" s="98">
        <f>'5. PERSON'!BA188</f>
        <v>0</v>
      </c>
      <c r="M192" s="98">
        <f>'5. PERSON'!BB188</f>
        <v>0</v>
      </c>
      <c r="N192" s="98">
        <f>'5. PERSON'!BC188</f>
        <v>0</v>
      </c>
      <c r="O192" s="98">
        <f>'5. PERSON'!BD188</f>
        <v>0</v>
      </c>
      <c r="P192" s="98"/>
      <c r="Q192" s="98"/>
      <c r="R192" s="98"/>
      <c r="S192" s="98"/>
      <c r="T192" s="98"/>
      <c r="U192" s="98"/>
      <c r="V192" s="98"/>
      <c r="W192" s="98"/>
      <c r="X192" s="98"/>
      <c r="Y192" s="98"/>
      <c r="Z192" s="98"/>
    </row>
    <row r="193" spans="2:26" s="71" customFormat="1" ht="13.5" customHeight="1" x14ac:dyDescent="0.2">
      <c r="B193" s="280" t="str">
        <f>IF('5. PERSON'!C189="","",'5. PERSON'!C189)</f>
        <v/>
      </c>
      <c r="C193" s="935">
        <f>('5. PERSON'!G189+'5. PERSON'!H189+'5. PERSON'!I189+'5. PERSON'!J189+'5. PERSON'!K189+'5. PERSON'!L189+'5. PERSON'!M189+'5. PERSON'!N189+'5. PERSON'!O189+'5. PERSON'!P189)/((YEAR('2. START'!$C$19)-YEAR('2. START'!$C$18))*12+MONTH('2. START'!$C$19)-MONTH('2. START'!$C$18)+1)</f>
        <v>0</v>
      </c>
      <c r="D193" s="935">
        <f>(('5. PERSON'!$G189+'5. PERSON'!$H189+'5. PERSON'!$I189+'5. PERSON'!$J189+'5. PERSON'!$K189+'5. PERSON'!$L189+'5. PERSON'!$M189+'5. PERSON'!$N189+'5. PERSON'!$O189+'5. PERSON'!$P189)*(1-'5. PERSON'!E189))/((YEAR('2. START'!$C$19)-YEAR('2. START'!$C$18))*12+MONTH('2. START'!$C$19)-MONTH('2. START'!$C$18)+1)</f>
        <v>0</v>
      </c>
      <c r="E193" s="105">
        <f>'5. PERSON'!AT189</f>
        <v>0</v>
      </c>
      <c r="F193" s="105">
        <f>'5. PERSON'!AU189</f>
        <v>0</v>
      </c>
      <c r="G193" s="105">
        <f>'5. PERSON'!AV189</f>
        <v>0</v>
      </c>
      <c r="H193" s="105">
        <f>'5. PERSON'!AW189</f>
        <v>0</v>
      </c>
      <c r="I193" s="105">
        <f>'5. PERSON'!AX189</f>
        <v>0</v>
      </c>
      <c r="J193" s="105">
        <f>'5. PERSON'!AY189</f>
        <v>0</v>
      </c>
      <c r="K193" s="105">
        <f>'5. PERSON'!AZ189</f>
        <v>0</v>
      </c>
      <c r="L193" s="105">
        <f>'5. PERSON'!BA189</f>
        <v>0</v>
      </c>
      <c r="M193" s="105">
        <f>'5. PERSON'!BB189</f>
        <v>0</v>
      </c>
      <c r="N193" s="105">
        <f>'5. PERSON'!BC189</f>
        <v>0</v>
      </c>
      <c r="O193" s="105">
        <f>'5. PERSON'!BD189</f>
        <v>0</v>
      </c>
      <c r="P193" s="105"/>
      <c r="Q193" s="105"/>
      <c r="R193" s="105"/>
      <c r="S193" s="105"/>
      <c r="T193" s="105"/>
      <c r="U193" s="105"/>
      <c r="V193" s="105"/>
      <c r="W193" s="105"/>
      <c r="X193" s="105"/>
      <c r="Y193" s="105"/>
      <c r="Z193" s="105"/>
    </row>
    <row r="194" spans="2:26" s="37" customFormat="1" ht="13.5" customHeight="1" x14ac:dyDescent="0.2">
      <c r="B194" s="214" t="str">
        <f>IF('5. PERSON'!C190="","",'5. PERSON'!C190)</f>
        <v/>
      </c>
      <c r="C194" s="934">
        <f>('5. PERSON'!G190+'5. PERSON'!H190+'5. PERSON'!I190+'5. PERSON'!J190+'5. PERSON'!K190+'5. PERSON'!L190+'5. PERSON'!M190+'5. PERSON'!N190+'5. PERSON'!O190+'5. PERSON'!P190)/((YEAR('2. START'!$C$19)-YEAR('2. START'!$C$18))*12+MONTH('2. START'!$C$19)-MONTH('2. START'!$C$18)+1)</f>
        <v>0</v>
      </c>
      <c r="D194" s="934">
        <f>(('5. PERSON'!$G190+'5. PERSON'!$H190+'5. PERSON'!$I190+'5. PERSON'!$J190+'5. PERSON'!$K190+'5. PERSON'!$L190+'5. PERSON'!$M190+'5. PERSON'!$N190+'5. PERSON'!$O190+'5. PERSON'!$P190)*(1-'5. PERSON'!E190))/((YEAR('2. START'!$C$19)-YEAR('2. START'!$C$18))*12+MONTH('2. START'!$C$19)-MONTH('2. START'!$C$18)+1)</f>
        <v>0</v>
      </c>
      <c r="E194" s="98">
        <f>'5. PERSON'!AT190</f>
        <v>0</v>
      </c>
      <c r="F194" s="98">
        <f>'5. PERSON'!AU190</f>
        <v>0</v>
      </c>
      <c r="G194" s="98">
        <f>'5. PERSON'!AV190</f>
        <v>0</v>
      </c>
      <c r="H194" s="98">
        <f>'5. PERSON'!AW190</f>
        <v>0</v>
      </c>
      <c r="I194" s="98">
        <f>'5. PERSON'!AX190</f>
        <v>0</v>
      </c>
      <c r="J194" s="98">
        <f>'5. PERSON'!AY190</f>
        <v>0</v>
      </c>
      <c r="K194" s="98">
        <f>'5. PERSON'!AZ190</f>
        <v>0</v>
      </c>
      <c r="L194" s="98">
        <f>'5. PERSON'!BA190</f>
        <v>0</v>
      </c>
      <c r="M194" s="98">
        <f>'5. PERSON'!BB190</f>
        <v>0</v>
      </c>
      <c r="N194" s="98">
        <f>'5. PERSON'!BC190</f>
        <v>0</v>
      </c>
      <c r="O194" s="98">
        <f>'5. PERSON'!BD190</f>
        <v>0</v>
      </c>
      <c r="P194" s="98"/>
      <c r="Q194" s="98"/>
      <c r="R194" s="98"/>
      <c r="S194" s="98"/>
      <c r="T194" s="98"/>
      <c r="U194" s="98"/>
      <c r="V194" s="98"/>
      <c r="W194" s="98"/>
      <c r="X194" s="98"/>
      <c r="Y194" s="98"/>
      <c r="Z194" s="98"/>
    </row>
    <row r="195" spans="2:26" s="71" customFormat="1" ht="13.5" customHeight="1" x14ac:dyDescent="0.2">
      <c r="B195" s="280" t="str">
        <f>IF('5. PERSON'!C191="","",'5. PERSON'!C191)</f>
        <v/>
      </c>
      <c r="C195" s="935">
        <f>('5. PERSON'!G191+'5. PERSON'!H191+'5. PERSON'!I191+'5. PERSON'!J191+'5. PERSON'!K191+'5. PERSON'!L191+'5. PERSON'!M191+'5. PERSON'!N191+'5. PERSON'!O191+'5. PERSON'!P191)/((YEAR('2. START'!$C$19)-YEAR('2. START'!$C$18))*12+MONTH('2. START'!$C$19)-MONTH('2. START'!$C$18)+1)</f>
        <v>0</v>
      </c>
      <c r="D195" s="935">
        <f>(('5. PERSON'!$G191+'5. PERSON'!$H191+'5. PERSON'!$I191+'5. PERSON'!$J191+'5. PERSON'!$K191+'5. PERSON'!$L191+'5. PERSON'!$M191+'5. PERSON'!$N191+'5. PERSON'!$O191+'5. PERSON'!$P191)*(1-'5. PERSON'!E191))/((YEAR('2. START'!$C$19)-YEAR('2. START'!$C$18))*12+MONTH('2. START'!$C$19)-MONTH('2. START'!$C$18)+1)</f>
        <v>0</v>
      </c>
      <c r="E195" s="105">
        <f>'5. PERSON'!AT191</f>
        <v>0</v>
      </c>
      <c r="F195" s="105">
        <f>'5. PERSON'!AU191</f>
        <v>0</v>
      </c>
      <c r="G195" s="105">
        <f>'5. PERSON'!AV191</f>
        <v>0</v>
      </c>
      <c r="H195" s="105">
        <f>'5. PERSON'!AW191</f>
        <v>0</v>
      </c>
      <c r="I195" s="105">
        <f>'5. PERSON'!AX191</f>
        <v>0</v>
      </c>
      <c r="J195" s="105">
        <f>'5. PERSON'!AY191</f>
        <v>0</v>
      </c>
      <c r="K195" s="105">
        <f>'5. PERSON'!AZ191</f>
        <v>0</v>
      </c>
      <c r="L195" s="105">
        <f>'5. PERSON'!BA191</f>
        <v>0</v>
      </c>
      <c r="M195" s="105">
        <f>'5. PERSON'!BB191</f>
        <v>0</v>
      </c>
      <c r="N195" s="105">
        <f>'5. PERSON'!BC191</f>
        <v>0</v>
      </c>
      <c r="O195" s="105">
        <f>'5. PERSON'!BD191</f>
        <v>0</v>
      </c>
      <c r="P195" s="105"/>
      <c r="Q195" s="105"/>
      <c r="R195" s="105"/>
      <c r="S195" s="105"/>
      <c r="T195" s="105"/>
      <c r="U195" s="105"/>
      <c r="V195" s="105"/>
      <c r="W195" s="105"/>
      <c r="X195" s="105"/>
      <c r="Y195" s="105"/>
      <c r="Z195" s="105"/>
    </row>
    <row r="196" spans="2:26" s="37" customFormat="1" ht="13.5" customHeight="1" x14ac:dyDescent="0.2">
      <c r="B196" s="214" t="str">
        <f>IF('5. PERSON'!C192="","",'5. PERSON'!C192)</f>
        <v/>
      </c>
      <c r="C196" s="934">
        <f>('5. PERSON'!G192+'5. PERSON'!H192+'5. PERSON'!I192+'5. PERSON'!J192+'5. PERSON'!K192+'5. PERSON'!L192+'5. PERSON'!M192+'5. PERSON'!N192+'5. PERSON'!O192+'5. PERSON'!P192)/((YEAR('2. START'!$C$19)-YEAR('2. START'!$C$18))*12+MONTH('2. START'!$C$19)-MONTH('2. START'!$C$18)+1)</f>
        <v>0</v>
      </c>
      <c r="D196" s="934">
        <f>(('5. PERSON'!$G192+'5. PERSON'!$H192+'5. PERSON'!$I192+'5. PERSON'!$J192+'5. PERSON'!$K192+'5. PERSON'!$L192+'5. PERSON'!$M192+'5. PERSON'!$N192+'5. PERSON'!$O192+'5. PERSON'!$P192)*(1-'5. PERSON'!E192))/((YEAR('2. START'!$C$19)-YEAR('2. START'!$C$18))*12+MONTH('2. START'!$C$19)-MONTH('2. START'!$C$18)+1)</f>
        <v>0</v>
      </c>
      <c r="E196" s="98">
        <f>'5. PERSON'!AT192</f>
        <v>0</v>
      </c>
      <c r="F196" s="98">
        <f>'5. PERSON'!AU192</f>
        <v>0</v>
      </c>
      <c r="G196" s="98">
        <f>'5. PERSON'!AV192</f>
        <v>0</v>
      </c>
      <c r="H196" s="98">
        <f>'5. PERSON'!AW192</f>
        <v>0</v>
      </c>
      <c r="I196" s="98">
        <f>'5. PERSON'!AX192</f>
        <v>0</v>
      </c>
      <c r="J196" s="98">
        <f>'5. PERSON'!AY192</f>
        <v>0</v>
      </c>
      <c r="K196" s="98">
        <f>'5. PERSON'!AZ192</f>
        <v>0</v>
      </c>
      <c r="L196" s="98">
        <f>'5. PERSON'!BA192</f>
        <v>0</v>
      </c>
      <c r="M196" s="98">
        <f>'5. PERSON'!BB192</f>
        <v>0</v>
      </c>
      <c r="N196" s="98">
        <f>'5. PERSON'!BC192</f>
        <v>0</v>
      </c>
      <c r="O196" s="98">
        <f>'5. PERSON'!BD192</f>
        <v>0</v>
      </c>
      <c r="P196" s="87">
        <f>'5. PERSON'!BF192</f>
        <v>0</v>
      </c>
      <c r="Q196" s="87">
        <f>'5. PERSON'!BG192</f>
        <v>0</v>
      </c>
      <c r="R196" s="87">
        <f>'5. PERSON'!BH192</f>
        <v>0</v>
      </c>
      <c r="S196" s="87">
        <f>'5. PERSON'!BI192</f>
        <v>0</v>
      </c>
      <c r="T196" s="87">
        <f>'5. PERSON'!BJ192</f>
        <v>0</v>
      </c>
      <c r="U196" s="87">
        <f>'5. PERSON'!BK192</f>
        <v>0</v>
      </c>
      <c r="V196" s="87">
        <f>'5. PERSON'!BL192</f>
        <v>0</v>
      </c>
      <c r="W196" s="87">
        <f>'5. PERSON'!BM192</f>
        <v>0</v>
      </c>
      <c r="X196" s="87">
        <f>'5. PERSON'!BN192</f>
        <v>0</v>
      </c>
      <c r="Y196" s="87">
        <f>'5. PERSON'!BO192</f>
        <v>0</v>
      </c>
      <c r="Z196" s="87">
        <f t="shared" si="2"/>
        <v>0</v>
      </c>
    </row>
    <row r="197" spans="2:26" ht="13.5" customHeight="1" x14ac:dyDescent="0.25">
      <c r="B197" s="415" t="str">
        <f>B20</f>
        <v>SUMS &gt;&gt;</v>
      </c>
      <c r="C197" s="210"/>
      <c r="D197" s="211"/>
      <c r="E197" s="212">
        <f>SUM(E21:E196)</f>
        <v>0</v>
      </c>
      <c r="F197" s="212">
        <f t="shared" ref="F197:Z197" si="3">SUM(F21:F196)</f>
        <v>0</v>
      </c>
      <c r="G197" s="212">
        <f t="shared" si="3"/>
        <v>0</v>
      </c>
      <c r="H197" s="212">
        <f t="shared" si="3"/>
        <v>0</v>
      </c>
      <c r="I197" s="212">
        <f t="shared" si="3"/>
        <v>0</v>
      </c>
      <c r="J197" s="212">
        <f t="shared" si="3"/>
        <v>0</v>
      </c>
      <c r="K197" s="212">
        <f t="shared" si="3"/>
        <v>0</v>
      </c>
      <c r="L197" s="212">
        <f t="shared" si="3"/>
        <v>0</v>
      </c>
      <c r="M197" s="212">
        <f t="shared" si="3"/>
        <v>0</v>
      </c>
      <c r="N197" s="212">
        <f t="shared" si="3"/>
        <v>0</v>
      </c>
      <c r="O197" s="212">
        <f t="shared" si="3"/>
        <v>0</v>
      </c>
      <c r="P197" s="212">
        <f t="shared" si="3"/>
        <v>0</v>
      </c>
      <c r="Q197" s="212">
        <f t="shared" si="3"/>
        <v>0</v>
      </c>
      <c r="R197" s="212">
        <f t="shared" si="3"/>
        <v>0</v>
      </c>
      <c r="S197" s="212">
        <f t="shared" si="3"/>
        <v>0</v>
      </c>
      <c r="T197" s="212">
        <f t="shared" si="3"/>
        <v>0</v>
      </c>
      <c r="U197" s="212">
        <f t="shared" si="3"/>
        <v>0</v>
      </c>
      <c r="V197" s="212">
        <f t="shared" si="3"/>
        <v>0</v>
      </c>
      <c r="W197" s="212">
        <f t="shared" si="3"/>
        <v>0</v>
      </c>
      <c r="X197" s="212">
        <f t="shared" si="3"/>
        <v>0</v>
      </c>
      <c r="Y197" s="212">
        <f t="shared" si="3"/>
        <v>0</v>
      </c>
      <c r="Z197" s="212">
        <f t="shared" si="3"/>
        <v>0</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09375" defaultRowHeight="11.4" outlineLevelCol="1" x14ac:dyDescent="0.2"/>
  <cols>
    <col min="1" max="1" width="3.5546875" style="37" customWidth="1"/>
    <col min="2" max="2" width="25.109375" style="37" customWidth="1" collapsed="1"/>
    <col min="3" max="3" width="11.109375" style="37" customWidth="1" collapsed="1"/>
    <col min="4" max="22" width="10.88671875" style="37" hidden="1" customWidth="1" outlineLevel="1"/>
    <col min="23" max="23" width="0.33203125" style="37" hidden="1" customWidth="1" outlineLevel="1"/>
    <col min="24" max="24" width="10.88671875" style="37" customWidth="1" collapsed="1"/>
    <col min="25" max="44" width="10.88671875" style="37" hidden="1" customWidth="1" outlineLevel="1"/>
    <col min="45" max="45" width="10.88671875" style="37" customWidth="1" collapsed="1"/>
    <col min="46" max="65" width="10.88671875" style="37" hidden="1" customWidth="1" outlineLevel="1"/>
    <col min="66" max="66" width="10.88671875" style="37" customWidth="1" collapsed="1"/>
    <col min="67" max="86" width="10.88671875" style="37" hidden="1" customWidth="1" outlineLevel="1"/>
    <col min="87" max="87" width="12" style="37" customWidth="1" collapsed="1"/>
    <col min="88" max="107" width="10.88671875" style="37" hidden="1" customWidth="1" outlineLevel="1"/>
    <col min="108" max="108" width="10.88671875" style="37" customWidth="1" collapsed="1"/>
    <col min="109" max="128" width="10.88671875" style="37" hidden="1" customWidth="1" outlineLevel="1"/>
    <col min="129" max="129" width="10.88671875" style="37" customWidth="1" collapsed="1"/>
    <col min="130" max="149" width="10.88671875" style="37" hidden="1" customWidth="1" outlineLevel="1"/>
    <col min="150" max="150" width="10.88671875" style="37" customWidth="1" collapsed="1"/>
    <col min="151" max="170" width="10.88671875" style="37" hidden="1" customWidth="1" outlineLevel="1"/>
    <col min="171" max="171" width="10.88671875" style="37" customWidth="1" collapsed="1"/>
    <col min="172" max="172" width="10.88671875" style="37" customWidth="1"/>
    <col min="173" max="173" width="11.88671875" style="37" customWidth="1"/>
    <col min="174" max="176" width="7.88671875" style="37" customWidth="1" collapsed="1"/>
    <col min="177" max="193" width="7.88671875" style="37" customWidth="1"/>
    <col min="194" max="200" width="9.109375" style="37"/>
    <col min="201" max="201" width="9.109375" style="37" collapsed="1"/>
    <col min="202" max="219" width="9.109375" style="37"/>
    <col min="220" max="16384" width="9.109375" style="37" collapsed="1"/>
  </cols>
  <sheetData>
    <row r="1" spans="2:176" s="268" customFormat="1" ht="15" customHeight="1" x14ac:dyDescent="0.25">
      <c r="B1" s="274"/>
      <c r="C1" s="275" t="s">
        <v>134</v>
      </c>
      <c r="D1" s="274"/>
      <c r="E1" s="274"/>
      <c r="F1" s="274"/>
      <c r="G1" s="274"/>
      <c r="H1" s="274"/>
      <c r="I1" s="274"/>
      <c r="J1" s="274"/>
      <c r="K1" s="274"/>
      <c r="L1" s="274"/>
      <c r="M1" s="274"/>
      <c r="N1" s="274"/>
      <c r="O1" s="274"/>
      <c r="P1" s="274"/>
      <c r="Q1" s="274"/>
      <c r="R1" s="274"/>
      <c r="S1" s="274"/>
      <c r="T1" s="274"/>
      <c r="U1" s="274"/>
      <c r="V1" s="274"/>
      <c r="W1" s="274"/>
      <c r="X1" s="276" t="s">
        <v>132</v>
      </c>
      <c r="Y1" s="274"/>
      <c r="Z1" s="274"/>
      <c r="AA1" s="274"/>
      <c r="AB1" s="274"/>
      <c r="AC1" s="274"/>
      <c r="AD1" s="274"/>
      <c r="AE1" s="274"/>
      <c r="AF1" s="274"/>
      <c r="AG1" s="274"/>
      <c r="AH1" s="274"/>
      <c r="AI1" s="274"/>
      <c r="AJ1" s="274"/>
      <c r="AK1" s="274"/>
      <c r="AL1" s="274"/>
      <c r="AM1" s="274"/>
      <c r="AN1" s="274"/>
      <c r="AO1" s="274"/>
      <c r="AP1" s="274"/>
      <c r="AQ1" s="274"/>
      <c r="AR1" s="274"/>
      <c r="AS1" s="276" t="s">
        <v>137</v>
      </c>
      <c r="AT1" s="274"/>
      <c r="AU1" s="274"/>
      <c r="AV1" s="274"/>
      <c r="AW1" s="274"/>
      <c r="AX1" s="274"/>
      <c r="AY1" s="274"/>
      <c r="AZ1" s="274"/>
      <c r="BA1" s="274"/>
      <c r="BB1" s="274"/>
      <c r="BC1" s="274"/>
      <c r="BD1" s="274"/>
      <c r="BE1" s="274"/>
      <c r="BF1" s="274"/>
      <c r="BG1" s="274"/>
      <c r="BH1" s="274"/>
      <c r="BI1" s="274"/>
      <c r="BJ1" s="274"/>
      <c r="BK1" s="274"/>
      <c r="BL1" s="274"/>
      <c r="BM1" s="274"/>
      <c r="BN1" s="276" t="s">
        <v>126</v>
      </c>
      <c r="BO1" s="274"/>
      <c r="BP1" s="274"/>
      <c r="BQ1" s="274"/>
      <c r="BR1" s="274"/>
      <c r="BS1" s="274"/>
      <c r="BT1" s="274"/>
      <c r="BU1" s="274"/>
      <c r="BV1" s="274"/>
      <c r="BW1" s="274"/>
      <c r="BX1" s="274"/>
      <c r="BY1" s="274"/>
      <c r="BZ1" s="274"/>
      <c r="CA1" s="274"/>
      <c r="CB1" s="274"/>
      <c r="CC1" s="274"/>
      <c r="CD1" s="274"/>
      <c r="CE1" s="274"/>
      <c r="CF1" s="274"/>
      <c r="CG1" s="274"/>
      <c r="CH1" s="274"/>
      <c r="CI1" s="276" t="s">
        <v>103</v>
      </c>
      <c r="CJ1" s="274"/>
      <c r="CK1" s="274"/>
      <c r="CL1" s="274"/>
      <c r="CM1" s="274"/>
      <c r="CN1" s="274"/>
      <c r="CO1" s="274"/>
      <c r="CP1" s="274"/>
      <c r="CQ1" s="274"/>
      <c r="CR1" s="274"/>
      <c r="CS1" s="274"/>
      <c r="CT1" s="274"/>
      <c r="CU1" s="274"/>
      <c r="CV1" s="274"/>
      <c r="CW1" s="274"/>
      <c r="CX1" s="274"/>
      <c r="CY1" s="274"/>
      <c r="CZ1" s="274"/>
      <c r="DA1" s="274"/>
      <c r="DB1" s="274"/>
      <c r="DC1" s="274"/>
      <c r="DD1" s="276" t="s">
        <v>38</v>
      </c>
      <c r="DE1" s="274"/>
      <c r="DF1" s="274"/>
      <c r="DG1" s="274"/>
      <c r="DH1" s="274"/>
      <c r="DI1" s="274"/>
      <c r="DJ1" s="274"/>
      <c r="DK1" s="274"/>
      <c r="DL1" s="274"/>
      <c r="DM1" s="274"/>
      <c r="DN1" s="274"/>
      <c r="DO1" s="274"/>
      <c r="DP1" s="274"/>
      <c r="DQ1" s="274"/>
      <c r="DR1" s="274"/>
      <c r="DS1" s="274"/>
      <c r="DT1" s="274"/>
      <c r="DU1" s="274"/>
      <c r="DV1" s="274"/>
      <c r="DW1" s="274"/>
      <c r="DX1" s="274"/>
      <c r="DY1" s="276" t="s">
        <v>133</v>
      </c>
      <c r="DZ1" s="274"/>
      <c r="EA1" s="274"/>
      <c r="EB1" s="274"/>
      <c r="EC1" s="274"/>
      <c r="ED1" s="274"/>
      <c r="EE1" s="274"/>
      <c r="EF1" s="274"/>
      <c r="EG1" s="274"/>
      <c r="EH1" s="274"/>
      <c r="EI1" s="274"/>
      <c r="EJ1" s="274"/>
      <c r="EK1" s="274"/>
      <c r="EL1" s="274"/>
      <c r="EM1" s="274"/>
      <c r="EN1" s="274"/>
      <c r="EO1" s="274"/>
      <c r="EP1" s="274"/>
      <c r="EQ1" s="274"/>
      <c r="ER1" s="274"/>
      <c r="ES1" s="274"/>
      <c r="ET1" s="276" t="s">
        <v>43</v>
      </c>
      <c r="EU1" s="274"/>
      <c r="EV1" s="274"/>
      <c r="EW1" s="274"/>
      <c r="EX1" s="274"/>
      <c r="EY1" s="274"/>
      <c r="EZ1" s="274"/>
      <c r="FA1" s="274"/>
      <c r="FB1" s="274"/>
      <c r="FC1" s="274"/>
      <c r="FD1" s="274"/>
      <c r="FE1" s="274"/>
      <c r="FF1" s="274"/>
      <c r="FG1" s="274"/>
      <c r="FH1" s="274"/>
      <c r="FI1" s="274"/>
      <c r="FJ1" s="274"/>
      <c r="FK1" s="274"/>
      <c r="FL1" s="274"/>
      <c r="FM1" s="274"/>
      <c r="FN1" s="274"/>
      <c r="FO1" s="276" t="s">
        <v>2</v>
      </c>
      <c r="FP1" s="270"/>
    </row>
    <row r="2" spans="2:176" s="268" customFormat="1" ht="13.2" customHeight="1" x14ac:dyDescent="0.25">
      <c r="B2" s="274"/>
      <c r="C2" s="275"/>
      <c r="D2" s="274"/>
      <c r="E2" s="274"/>
      <c r="F2" s="274"/>
      <c r="G2" s="274"/>
      <c r="H2" s="274"/>
      <c r="I2" s="274"/>
      <c r="J2" s="274"/>
      <c r="K2" s="274"/>
      <c r="L2" s="274"/>
      <c r="M2" s="274"/>
      <c r="N2" s="274"/>
      <c r="O2" s="274"/>
      <c r="P2" s="274"/>
      <c r="Q2" s="274"/>
      <c r="R2" s="274"/>
      <c r="S2" s="274"/>
      <c r="T2" s="274"/>
      <c r="U2" s="274"/>
      <c r="V2" s="274"/>
      <c r="W2" s="274"/>
      <c r="X2" s="276"/>
      <c r="Y2" s="274"/>
      <c r="Z2" s="274"/>
      <c r="AA2" s="274"/>
      <c r="AB2" s="274"/>
      <c r="AC2" s="274"/>
      <c r="AD2" s="274"/>
      <c r="AE2" s="274"/>
      <c r="AF2" s="274"/>
      <c r="AG2" s="274"/>
      <c r="AH2" s="274"/>
      <c r="AI2" s="274"/>
      <c r="AJ2" s="274"/>
      <c r="AK2" s="274"/>
      <c r="AL2" s="274"/>
      <c r="AM2" s="274"/>
      <c r="AN2" s="274"/>
      <c r="AO2" s="274"/>
      <c r="AP2" s="274"/>
      <c r="AQ2" s="274"/>
      <c r="AR2" s="274"/>
      <c r="AS2" s="276"/>
      <c r="AT2" s="274"/>
      <c r="AU2" s="274"/>
      <c r="AV2" s="274"/>
      <c r="AW2" s="274"/>
      <c r="AX2" s="274"/>
      <c r="AY2" s="274"/>
      <c r="AZ2" s="274"/>
      <c r="BA2" s="274"/>
      <c r="BB2" s="274"/>
      <c r="BC2" s="274"/>
      <c r="BD2" s="274"/>
      <c r="BE2" s="274"/>
      <c r="BF2" s="274"/>
      <c r="BG2" s="274"/>
      <c r="BH2" s="274"/>
      <c r="BI2" s="274"/>
      <c r="BJ2" s="274"/>
      <c r="BK2" s="274"/>
      <c r="BL2" s="274"/>
      <c r="BM2" s="274"/>
      <c r="BN2" s="276"/>
      <c r="BO2" s="274"/>
      <c r="BP2" s="274"/>
      <c r="BQ2" s="274"/>
      <c r="BR2" s="274"/>
      <c r="BS2" s="274"/>
      <c r="BT2" s="274"/>
      <c r="BU2" s="274"/>
      <c r="BV2" s="274"/>
      <c r="BW2" s="274"/>
      <c r="BX2" s="274"/>
      <c r="BY2" s="274"/>
      <c r="BZ2" s="274"/>
      <c r="CA2" s="274"/>
      <c r="CB2" s="274"/>
      <c r="CC2" s="274"/>
      <c r="CD2" s="274"/>
      <c r="CE2" s="274"/>
      <c r="CF2" s="274"/>
      <c r="CG2" s="274"/>
      <c r="CH2" s="274"/>
      <c r="CI2" s="276"/>
      <c r="CJ2" s="274"/>
      <c r="CK2" s="274"/>
      <c r="CL2" s="274"/>
      <c r="CM2" s="274"/>
      <c r="CN2" s="274"/>
      <c r="CO2" s="274"/>
      <c r="CP2" s="274"/>
      <c r="CQ2" s="274"/>
      <c r="CR2" s="274"/>
      <c r="CS2" s="274"/>
      <c r="CT2" s="274"/>
      <c r="CU2" s="274"/>
      <c r="CV2" s="274"/>
      <c r="CW2" s="274"/>
      <c r="CX2" s="274"/>
      <c r="CY2" s="274"/>
      <c r="CZ2" s="274"/>
      <c r="DA2" s="274"/>
      <c r="DB2" s="274"/>
      <c r="DC2" s="274"/>
      <c r="DD2" s="276"/>
      <c r="DE2" s="274"/>
      <c r="DF2" s="274"/>
      <c r="DG2" s="274"/>
      <c r="DH2" s="274"/>
      <c r="DI2" s="274"/>
      <c r="DJ2" s="274"/>
      <c r="DK2" s="274"/>
      <c r="DL2" s="274"/>
      <c r="DM2" s="274"/>
      <c r="DN2" s="274"/>
      <c r="DO2" s="274"/>
      <c r="DP2" s="274"/>
      <c r="DQ2" s="274"/>
      <c r="DR2" s="274"/>
      <c r="DS2" s="274"/>
      <c r="DT2" s="274"/>
      <c r="DU2" s="274"/>
      <c r="DV2" s="274"/>
      <c r="DW2" s="274"/>
      <c r="DX2" s="274"/>
      <c r="DY2" s="276"/>
      <c r="DZ2" s="274"/>
      <c r="EA2" s="274"/>
      <c r="EB2" s="274"/>
      <c r="EC2" s="274"/>
      <c r="ED2" s="274"/>
      <c r="EE2" s="274"/>
      <c r="EF2" s="274"/>
      <c r="EG2" s="274"/>
      <c r="EH2" s="274"/>
      <c r="EI2" s="274"/>
      <c r="EJ2" s="274"/>
      <c r="EK2" s="274"/>
      <c r="EL2" s="274"/>
      <c r="EM2" s="274"/>
      <c r="EN2" s="274"/>
      <c r="EO2" s="274"/>
      <c r="EP2" s="274"/>
      <c r="EQ2" s="274"/>
      <c r="ER2" s="274"/>
      <c r="ES2" s="274"/>
      <c r="ET2" s="276"/>
      <c r="EU2" s="274"/>
      <c r="EV2" s="274"/>
      <c r="EW2" s="274"/>
      <c r="EX2" s="274"/>
      <c r="EY2" s="274"/>
      <c r="EZ2" s="274"/>
      <c r="FA2" s="274"/>
      <c r="FB2" s="274"/>
      <c r="FC2" s="274"/>
      <c r="FD2" s="274"/>
      <c r="FE2" s="274"/>
      <c r="FF2" s="274"/>
      <c r="FG2" s="274"/>
      <c r="FH2" s="274"/>
      <c r="FI2" s="274"/>
      <c r="FJ2" s="274"/>
      <c r="FK2" s="274"/>
      <c r="FL2" s="274"/>
      <c r="FM2" s="274"/>
      <c r="FN2" s="274"/>
      <c r="FO2" s="276"/>
      <c r="FP2" s="1346" t="s">
        <v>337</v>
      </c>
      <c r="FQ2" s="1135"/>
    </row>
    <row r="3" spans="2:176" s="3" customFormat="1" ht="15.6" x14ac:dyDescent="0.3">
      <c r="B3" s="156" t="s">
        <v>352</v>
      </c>
      <c r="C3" s="108" t="s">
        <v>334</v>
      </c>
      <c r="D3" s="108"/>
      <c r="E3" s="108"/>
      <c r="F3" s="108"/>
      <c r="G3" s="108"/>
      <c r="H3" s="108"/>
      <c r="I3" s="108"/>
      <c r="J3" s="108"/>
      <c r="K3" s="108"/>
      <c r="L3" s="108"/>
      <c r="M3" s="108"/>
      <c r="N3" s="108"/>
      <c r="O3" s="108"/>
      <c r="P3" s="108"/>
      <c r="Q3" s="108"/>
      <c r="R3" s="108"/>
      <c r="S3" s="108"/>
      <c r="T3" s="108"/>
      <c r="U3" s="108"/>
      <c r="V3" s="108"/>
      <c r="W3" s="108"/>
      <c r="Y3" s="22"/>
      <c r="Z3" s="22"/>
      <c r="AA3" s="22"/>
      <c r="AB3" s="22"/>
      <c r="AC3" s="22"/>
      <c r="AD3" s="22"/>
      <c r="AE3" s="22"/>
      <c r="AF3" s="22"/>
      <c r="AG3" s="22"/>
      <c r="AH3" s="22"/>
      <c r="AI3" s="22"/>
      <c r="AJ3" s="22"/>
      <c r="AK3" s="22"/>
      <c r="AL3" s="22"/>
      <c r="AM3" s="22"/>
      <c r="AN3" s="22"/>
      <c r="AO3" s="22"/>
      <c r="AP3" s="22"/>
      <c r="AQ3" s="22"/>
      <c r="AR3" s="22"/>
      <c r="AS3" s="1122" t="s">
        <v>335</v>
      </c>
      <c r="AT3" s="1310"/>
      <c r="AU3" s="1310"/>
      <c r="AV3" s="1310"/>
      <c r="AW3" s="1310"/>
      <c r="AX3" s="1310"/>
      <c r="AY3" s="1310"/>
      <c r="AZ3" s="1310"/>
      <c r="BA3" s="1310"/>
      <c r="BB3" s="1310"/>
      <c r="BC3" s="1310"/>
      <c r="BD3" s="1310"/>
      <c r="BE3" s="1310"/>
      <c r="BF3" s="1310"/>
      <c r="BG3" s="1310"/>
      <c r="BH3" s="1310"/>
      <c r="BI3" s="1310"/>
      <c r="BJ3" s="1310"/>
      <c r="BK3" s="1310"/>
      <c r="BL3" s="1310"/>
      <c r="BM3" s="1310"/>
      <c r="BN3" s="1310"/>
      <c r="BO3" s="1310"/>
      <c r="BP3" s="1310"/>
      <c r="BQ3" s="1310"/>
      <c r="BR3" s="1310"/>
      <c r="BS3" s="1310"/>
      <c r="BT3" s="1310"/>
      <c r="BU3" s="1310"/>
      <c r="BV3" s="1310"/>
      <c r="BW3" s="1310"/>
      <c r="BX3" s="1310"/>
      <c r="BY3" s="1310"/>
      <c r="BZ3" s="1310"/>
      <c r="CA3" s="1310"/>
      <c r="CB3" s="1310"/>
      <c r="CC3" s="1310"/>
      <c r="CD3" s="1310"/>
      <c r="CE3" s="1310"/>
      <c r="CF3" s="1310"/>
      <c r="CG3" s="1310"/>
      <c r="CH3" s="1310"/>
      <c r="CI3" s="1310"/>
      <c r="CJ3" s="1310"/>
      <c r="CK3" s="1310"/>
      <c r="CL3" s="1310"/>
      <c r="CM3" s="1310"/>
      <c r="CN3" s="1310"/>
      <c r="CO3" s="1310"/>
      <c r="CP3" s="1310"/>
      <c r="CQ3" s="1310"/>
      <c r="CR3" s="1310"/>
      <c r="CS3" s="1310"/>
      <c r="CT3" s="1310"/>
      <c r="CU3" s="1310"/>
      <c r="CV3" s="1310"/>
      <c r="CW3" s="1310"/>
      <c r="CX3" s="1310"/>
      <c r="CY3" s="1310"/>
      <c r="CZ3" s="1310"/>
      <c r="DA3" s="1310"/>
      <c r="DB3" s="1310"/>
      <c r="DC3" s="1310"/>
      <c r="DD3" s="1310"/>
      <c r="DE3" s="1310"/>
      <c r="DF3" s="1310"/>
      <c r="DG3" s="1310"/>
      <c r="DH3" s="1310"/>
      <c r="DI3" s="1310"/>
      <c r="DJ3" s="1310"/>
      <c r="DK3" s="1310"/>
      <c r="DL3" s="1310"/>
      <c r="DM3" s="1310"/>
      <c r="DN3" s="1310"/>
      <c r="DO3" s="1310"/>
      <c r="DP3" s="1310"/>
      <c r="DQ3" s="1310"/>
      <c r="DR3" s="1310"/>
      <c r="DS3" s="1310"/>
      <c r="DT3" s="1310"/>
      <c r="DU3" s="1310"/>
      <c r="DV3" s="1310"/>
      <c r="DW3" s="1310"/>
      <c r="DX3" s="1310"/>
      <c r="DY3" s="1310"/>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677">
        <f>'1. INTRO'!J2</f>
        <v>45677</v>
      </c>
      <c r="FR3" s="266"/>
      <c r="FS3" s="266"/>
      <c r="FT3" s="266"/>
    </row>
    <row r="4" spans="2:176" s="3" customFormat="1" ht="9.9" customHeight="1" x14ac:dyDescent="0.3">
      <c r="B4" s="158"/>
      <c r="C4" s="108"/>
      <c r="D4" s="108"/>
      <c r="E4" s="108"/>
      <c r="F4" s="108"/>
      <c r="G4" s="108"/>
      <c r="H4" s="108"/>
      <c r="I4" s="108"/>
      <c r="J4" s="108"/>
      <c r="K4" s="108"/>
      <c r="L4" s="108"/>
      <c r="M4" s="108"/>
      <c r="N4" s="108"/>
      <c r="O4" s="108"/>
      <c r="P4" s="108"/>
      <c r="Q4" s="108"/>
      <c r="R4" s="108"/>
      <c r="S4" s="108"/>
      <c r="T4" s="108"/>
      <c r="U4" s="108"/>
      <c r="V4" s="108"/>
      <c r="W4" s="108"/>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row>
    <row r="5" spans="2:176" s="3" customFormat="1" ht="12.75" customHeight="1" x14ac:dyDescent="0.25">
      <c r="B5" s="254" t="s">
        <v>24</v>
      </c>
      <c r="C5" s="1334" t="s">
        <v>344</v>
      </c>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c r="AR5" s="998"/>
      <c r="AS5" s="998"/>
      <c r="AT5" s="998"/>
      <c r="AU5" s="998"/>
      <c r="AV5" s="998"/>
      <c r="AW5" s="998"/>
      <c r="AX5" s="998"/>
      <c r="AY5" s="998"/>
      <c r="AZ5" s="998"/>
      <c r="BA5" s="998"/>
      <c r="BB5" s="998"/>
      <c r="BC5" s="998"/>
      <c r="BD5" s="998"/>
      <c r="BE5" s="998"/>
      <c r="BF5" s="998"/>
      <c r="BG5" s="998"/>
      <c r="BH5" s="998"/>
      <c r="BI5" s="998"/>
      <c r="BJ5" s="998"/>
      <c r="BK5" s="998"/>
      <c r="BL5" s="998"/>
      <c r="BM5" s="998"/>
      <c r="BN5" s="998"/>
      <c r="BO5" s="998"/>
      <c r="BP5" s="998"/>
      <c r="BQ5" s="998"/>
      <c r="BR5" s="998"/>
      <c r="BS5" s="998"/>
      <c r="BT5" s="998"/>
      <c r="BU5" s="998"/>
      <c r="BV5" s="998"/>
      <c r="BW5" s="998"/>
      <c r="BX5" s="998"/>
      <c r="BY5" s="998"/>
      <c r="BZ5" s="998"/>
      <c r="CA5" s="998"/>
      <c r="CB5" s="998"/>
      <c r="CC5" s="998"/>
      <c r="CD5" s="998"/>
      <c r="CE5" s="998"/>
      <c r="CF5" s="998"/>
      <c r="CG5" s="998"/>
      <c r="CH5" s="998"/>
      <c r="CI5" s="998"/>
      <c r="CJ5" s="998"/>
      <c r="CK5" s="998"/>
      <c r="CL5" s="998"/>
      <c r="CM5" s="998"/>
      <c r="CN5" s="998"/>
      <c r="CO5" s="998"/>
      <c r="CP5" s="998"/>
      <c r="CQ5" s="998"/>
      <c r="CR5" s="998"/>
      <c r="CS5" s="998"/>
      <c r="CT5" s="998"/>
      <c r="CU5" s="998"/>
      <c r="CV5" s="998"/>
      <c r="CW5" s="998"/>
      <c r="CX5" s="998"/>
      <c r="CY5" s="998"/>
      <c r="CZ5" s="998"/>
      <c r="DA5" s="998"/>
      <c r="DB5" s="998"/>
      <c r="DC5" s="998"/>
      <c r="DD5" s="998"/>
      <c r="DE5" s="998"/>
      <c r="DF5" s="998"/>
      <c r="DG5" s="998"/>
      <c r="DH5" s="998"/>
      <c r="DI5" s="998"/>
      <c r="DJ5" s="998"/>
      <c r="DK5" s="998"/>
      <c r="DL5" s="998"/>
      <c r="DM5" s="998"/>
      <c r="DN5" s="998"/>
      <c r="DO5" s="998"/>
      <c r="DP5" s="998"/>
      <c r="DQ5" s="998"/>
      <c r="DR5" s="998"/>
      <c r="DS5" s="998"/>
      <c r="DT5" s="998"/>
      <c r="DU5" s="998"/>
      <c r="DV5" s="998"/>
      <c r="DW5" s="998"/>
      <c r="DX5" s="998"/>
      <c r="DY5" s="998"/>
      <c r="DZ5" s="998"/>
      <c r="EA5" s="998"/>
      <c r="EB5" s="998"/>
      <c r="EC5" s="998"/>
      <c r="ED5" s="998"/>
      <c r="EE5" s="998"/>
      <c r="EF5" s="998"/>
      <c r="EG5" s="998"/>
      <c r="EH5" s="998"/>
      <c r="EI5" s="998"/>
      <c r="EJ5" s="998"/>
      <c r="EK5" s="998"/>
      <c r="EL5" s="998"/>
      <c r="EM5" s="998"/>
      <c r="EN5" s="998"/>
      <c r="EO5" s="998"/>
      <c r="EP5" s="998"/>
      <c r="EQ5" s="998"/>
      <c r="ER5" s="998"/>
      <c r="ES5" s="998"/>
      <c r="ET5" s="998"/>
      <c r="EU5" s="998"/>
      <c r="EV5" s="998"/>
      <c r="EW5" s="998"/>
      <c r="EX5" s="998"/>
      <c r="EY5" s="998"/>
      <c r="EZ5" s="998"/>
      <c r="FA5" s="998"/>
      <c r="FB5" s="998"/>
      <c r="FC5" s="998"/>
      <c r="FD5" s="998"/>
      <c r="FE5" s="998"/>
      <c r="FF5" s="998"/>
      <c r="FG5" s="998"/>
      <c r="FH5" s="998"/>
      <c r="FI5" s="998"/>
      <c r="FJ5" s="998"/>
      <c r="FK5" s="998"/>
      <c r="FL5" s="998"/>
      <c r="FM5" s="998"/>
      <c r="FN5" s="998"/>
      <c r="FO5" s="998"/>
      <c r="FP5" s="998"/>
      <c r="FQ5" s="998"/>
      <c r="FR5" s="267"/>
      <c r="FS5" s="267"/>
      <c r="FT5" s="267"/>
    </row>
    <row r="6" spans="2:176" s="3" customFormat="1" ht="12.75" customHeight="1" x14ac:dyDescent="0.25">
      <c r="B6" s="254"/>
      <c r="C6" s="998"/>
      <c r="D6" s="998"/>
      <c r="E6" s="998"/>
      <c r="F6" s="998"/>
      <c r="G6" s="998"/>
      <c r="H6" s="998"/>
      <c r="I6" s="998"/>
      <c r="J6" s="998"/>
      <c r="K6" s="998"/>
      <c r="L6" s="998"/>
      <c r="M6" s="998"/>
      <c r="N6" s="998"/>
      <c r="O6" s="998"/>
      <c r="P6" s="998"/>
      <c r="Q6" s="998"/>
      <c r="R6" s="998"/>
      <c r="S6" s="998"/>
      <c r="T6" s="998"/>
      <c r="U6" s="998"/>
      <c r="V6" s="998"/>
      <c r="W6" s="998"/>
      <c r="X6" s="998"/>
      <c r="Y6" s="998"/>
      <c r="Z6" s="998"/>
      <c r="AA6" s="998"/>
      <c r="AB6" s="998"/>
      <c r="AC6" s="998"/>
      <c r="AD6" s="998"/>
      <c r="AE6" s="998"/>
      <c r="AF6" s="998"/>
      <c r="AG6" s="998"/>
      <c r="AH6" s="998"/>
      <c r="AI6" s="998"/>
      <c r="AJ6" s="998"/>
      <c r="AK6" s="998"/>
      <c r="AL6" s="998"/>
      <c r="AM6" s="998"/>
      <c r="AN6" s="998"/>
      <c r="AO6" s="998"/>
      <c r="AP6" s="998"/>
      <c r="AQ6" s="998"/>
      <c r="AR6" s="998"/>
      <c r="AS6" s="998"/>
      <c r="AT6" s="998"/>
      <c r="AU6" s="998"/>
      <c r="AV6" s="998"/>
      <c r="AW6" s="998"/>
      <c r="AX6" s="998"/>
      <c r="AY6" s="998"/>
      <c r="AZ6" s="998"/>
      <c r="BA6" s="998"/>
      <c r="BB6" s="998"/>
      <c r="BC6" s="998"/>
      <c r="BD6" s="998"/>
      <c r="BE6" s="998"/>
      <c r="BF6" s="998"/>
      <c r="BG6" s="998"/>
      <c r="BH6" s="998"/>
      <c r="BI6" s="998"/>
      <c r="BJ6" s="998"/>
      <c r="BK6" s="998"/>
      <c r="BL6" s="998"/>
      <c r="BM6" s="998"/>
      <c r="BN6" s="998"/>
      <c r="BO6" s="998"/>
      <c r="BP6" s="998"/>
      <c r="BQ6" s="998"/>
      <c r="BR6" s="998"/>
      <c r="BS6" s="998"/>
      <c r="BT6" s="998"/>
      <c r="BU6" s="998"/>
      <c r="BV6" s="998"/>
      <c r="BW6" s="998"/>
      <c r="BX6" s="998"/>
      <c r="BY6" s="998"/>
      <c r="BZ6" s="998"/>
      <c r="CA6" s="998"/>
      <c r="CB6" s="998"/>
      <c r="CC6" s="998"/>
      <c r="CD6" s="998"/>
      <c r="CE6" s="998"/>
      <c r="CF6" s="998"/>
      <c r="CG6" s="998"/>
      <c r="CH6" s="998"/>
      <c r="CI6" s="998"/>
      <c r="CJ6" s="998"/>
      <c r="CK6" s="998"/>
      <c r="CL6" s="998"/>
      <c r="CM6" s="998"/>
      <c r="CN6" s="998"/>
      <c r="CO6" s="998"/>
      <c r="CP6" s="998"/>
      <c r="CQ6" s="998"/>
      <c r="CR6" s="998"/>
      <c r="CS6" s="998"/>
      <c r="CT6" s="998"/>
      <c r="CU6" s="998"/>
      <c r="CV6" s="998"/>
      <c r="CW6" s="998"/>
      <c r="CX6" s="998"/>
      <c r="CY6" s="998"/>
      <c r="CZ6" s="998"/>
      <c r="DA6" s="998"/>
      <c r="DB6" s="998"/>
      <c r="DC6" s="998"/>
      <c r="DD6" s="998"/>
      <c r="DE6" s="998"/>
      <c r="DF6" s="998"/>
      <c r="DG6" s="998"/>
      <c r="DH6" s="998"/>
      <c r="DI6" s="998"/>
      <c r="DJ6" s="998"/>
      <c r="DK6" s="998"/>
      <c r="DL6" s="998"/>
      <c r="DM6" s="998"/>
      <c r="DN6" s="998"/>
      <c r="DO6" s="998"/>
      <c r="DP6" s="998"/>
      <c r="DQ6" s="998"/>
      <c r="DR6" s="998"/>
      <c r="DS6" s="998"/>
      <c r="DT6" s="998"/>
      <c r="DU6" s="998"/>
      <c r="DV6" s="998"/>
      <c r="DW6" s="998"/>
      <c r="DX6" s="998"/>
      <c r="DY6" s="998"/>
      <c r="DZ6" s="998"/>
      <c r="EA6" s="998"/>
      <c r="EB6" s="998"/>
      <c r="EC6" s="998"/>
      <c r="ED6" s="998"/>
      <c r="EE6" s="998"/>
      <c r="EF6" s="998"/>
      <c r="EG6" s="998"/>
      <c r="EH6" s="998"/>
      <c r="EI6" s="998"/>
      <c r="EJ6" s="998"/>
      <c r="EK6" s="998"/>
      <c r="EL6" s="998"/>
      <c r="EM6" s="998"/>
      <c r="EN6" s="998"/>
      <c r="EO6" s="998"/>
      <c r="EP6" s="998"/>
      <c r="EQ6" s="998"/>
      <c r="ER6" s="998"/>
      <c r="ES6" s="998"/>
      <c r="ET6" s="998"/>
      <c r="EU6" s="998"/>
      <c r="EV6" s="998"/>
      <c r="EW6" s="998"/>
      <c r="EX6" s="998"/>
      <c r="EY6" s="998"/>
      <c r="EZ6" s="998"/>
      <c r="FA6" s="998"/>
      <c r="FB6" s="998"/>
      <c r="FC6" s="998"/>
      <c r="FD6" s="998"/>
      <c r="FE6" s="998"/>
      <c r="FF6" s="998"/>
      <c r="FG6" s="998"/>
      <c r="FH6" s="998"/>
      <c r="FI6" s="998"/>
      <c r="FJ6" s="998"/>
      <c r="FK6" s="998"/>
      <c r="FL6" s="998"/>
      <c r="FM6" s="998"/>
      <c r="FN6" s="998"/>
      <c r="FO6" s="998"/>
      <c r="FP6" s="998"/>
      <c r="FQ6" s="998"/>
      <c r="FR6" s="267"/>
      <c r="FS6" s="267"/>
      <c r="FT6" s="267"/>
    </row>
    <row r="7" spans="2:176" s="3" customFormat="1" ht="12.75" customHeight="1" x14ac:dyDescent="0.25">
      <c r="B7" s="255"/>
      <c r="C7" s="998"/>
      <c r="D7" s="998"/>
      <c r="E7" s="998"/>
      <c r="F7" s="998"/>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998"/>
      <c r="AT7" s="998"/>
      <c r="AU7" s="998"/>
      <c r="AV7" s="998"/>
      <c r="AW7" s="998"/>
      <c r="AX7" s="998"/>
      <c r="AY7" s="998"/>
      <c r="AZ7" s="998"/>
      <c r="BA7" s="998"/>
      <c r="BB7" s="998"/>
      <c r="BC7" s="998"/>
      <c r="BD7" s="998"/>
      <c r="BE7" s="998"/>
      <c r="BF7" s="998"/>
      <c r="BG7" s="998"/>
      <c r="BH7" s="998"/>
      <c r="BI7" s="998"/>
      <c r="BJ7" s="998"/>
      <c r="BK7" s="998"/>
      <c r="BL7" s="998"/>
      <c r="BM7" s="998"/>
      <c r="BN7" s="998"/>
      <c r="BO7" s="998"/>
      <c r="BP7" s="998"/>
      <c r="BQ7" s="998"/>
      <c r="BR7" s="998"/>
      <c r="BS7" s="998"/>
      <c r="BT7" s="998"/>
      <c r="BU7" s="998"/>
      <c r="BV7" s="998"/>
      <c r="BW7" s="998"/>
      <c r="BX7" s="998"/>
      <c r="BY7" s="998"/>
      <c r="BZ7" s="998"/>
      <c r="CA7" s="998"/>
      <c r="CB7" s="998"/>
      <c r="CC7" s="998"/>
      <c r="CD7" s="998"/>
      <c r="CE7" s="998"/>
      <c r="CF7" s="998"/>
      <c r="CG7" s="998"/>
      <c r="CH7" s="998"/>
      <c r="CI7" s="998"/>
      <c r="CJ7" s="998"/>
      <c r="CK7" s="998"/>
      <c r="CL7" s="998"/>
      <c r="CM7" s="998"/>
      <c r="CN7" s="998"/>
      <c r="CO7" s="998"/>
      <c r="CP7" s="998"/>
      <c r="CQ7" s="998"/>
      <c r="CR7" s="998"/>
      <c r="CS7" s="998"/>
      <c r="CT7" s="998"/>
      <c r="CU7" s="998"/>
      <c r="CV7" s="998"/>
      <c r="CW7" s="998"/>
      <c r="CX7" s="998"/>
      <c r="CY7" s="998"/>
      <c r="CZ7" s="998"/>
      <c r="DA7" s="998"/>
      <c r="DB7" s="998"/>
      <c r="DC7" s="998"/>
      <c r="DD7" s="998"/>
      <c r="DE7" s="998"/>
      <c r="DF7" s="998"/>
      <c r="DG7" s="998"/>
      <c r="DH7" s="998"/>
      <c r="DI7" s="998"/>
      <c r="DJ7" s="998"/>
      <c r="DK7" s="998"/>
      <c r="DL7" s="998"/>
      <c r="DM7" s="998"/>
      <c r="DN7" s="998"/>
      <c r="DO7" s="998"/>
      <c r="DP7" s="998"/>
      <c r="DQ7" s="998"/>
      <c r="DR7" s="998"/>
      <c r="DS7" s="998"/>
      <c r="DT7" s="998"/>
      <c r="DU7" s="998"/>
      <c r="DV7" s="998"/>
      <c r="DW7" s="998"/>
      <c r="DX7" s="998"/>
      <c r="DY7" s="998"/>
      <c r="DZ7" s="998"/>
      <c r="EA7" s="998"/>
      <c r="EB7" s="998"/>
      <c r="EC7" s="998"/>
      <c r="ED7" s="998"/>
      <c r="EE7" s="998"/>
      <c r="EF7" s="998"/>
      <c r="EG7" s="998"/>
      <c r="EH7" s="998"/>
      <c r="EI7" s="998"/>
      <c r="EJ7" s="998"/>
      <c r="EK7" s="998"/>
      <c r="EL7" s="998"/>
      <c r="EM7" s="998"/>
      <c r="EN7" s="998"/>
      <c r="EO7" s="998"/>
      <c r="EP7" s="998"/>
      <c r="EQ7" s="998"/>
      <c r="ER7" s="998"/>
      <c r="ES7" s="998"/>
      <c r="ET7" s="998"/>
      <c r="EU7" s="998"/>
      <c r="EV7" s="998"/>
      <c r="EW7" s="998"/>
      <c r="EX7" s="998"/>
      <c r="EY7" s="998"/>
      <c r="EZ7" s="998"/>
      <c r="FA7" s="998"/>
      <c r="FB7" s="998"/>
      <c r="FC7" s="998"/>
      <c r="FD7" s="998"/>
      <c r="FE7" s="998"/>
      <c r="FF7" s="998"/>
      <c r="FG7" s="998"/>
      <c r="FH7" s="998"/>
      <c r="FI7" s="998"/>
      <c r="FJ7" s="998"/>
      <c r="FK7" s="998"/>
      <c r="FL7" s="998"/>
      <c r="FM7" s="998"/>
      <c r="FN7" s="998"/>
      <c r="FO7" s="998"/>
      <c r="FP7" s="998"/>
      <c r="FQ7" s="998"/>
      <c r="FR7" s="267"/>
      <c r="FS7" s="267"/>
      <c r="FT7" s="267"/>
    </row>
    <row r="8" spans="2:176" s="3" customFormat="1" ht="12.75" customHeight="1" x14ac:dyDescent="0.25">
      <c r="B8" s="255"/>
      <c r="C8" s="998"/>
      <c r="D8" s="998"/>
      <c r="E8" s="998"/>
      <c r="F8" s="998"/>
      <c r="G8" s="998"/>
      <c r="H8" s="998"/>
      <c r="I8" s="998"/>
      <c r="J8" s="998"/>
      <c r="K8" s="998"/>
      <c r="L8" s="998"/>
      <c r="M8" s="998"/>
      <c r="N8" s="998"/>
      <c r="O8" s="998"/>
      <c r="P8" s="998"/>
      <c r="Q8" s="998"/>
      <c r="R8" s="998"/>
      <c r="S8" s="998"/>
      <c r="T8" s="998"/>
      <c r="U8" s="998"/>
      <c r="V8" s="998"/>
      <c r="W8" s="998"/>
      <c r="X8" s="998"/>
      <c r="Y8" s="998"/>
      <c r="Z8" s="998"/>
      <c r="AA8" s="998"/>
      <c r="AB8" s="998"/>
      <c r="AC8" s="998"/>
      <c r="AD8" s="998"/>
      <c r="AE8" s="998"/>
      <c r="AF8" s="998"/>
      <c r="AG8" s="998"/>
      <c r="AH8" s="998"/>
      <c r="AI8" s="998"/>
      <c r="AJ8" s="998"/>
      <c r="AK8" s="998"/>
      <c r="AL8" s="998"/>
      <c r="AM8" s="998"/>
      <c r="AN8" s="998"/>
      <c r="AO8" s="998"/>
      <c r="AP8" s="998"/>
      <c r="AQ8" s="998"/>
      <c r="AR8" s="998"/>
      <c r="AS8" s="998"/>
      <c r="AT8" s="998"/>
      <c r="AU8" s="998"/>
      <c r="AV8" s="998"/>
      <c r="AW8" s="998"/>
      <c r="AX8" s="998"/>
      <c r="AY8" s="998"/>
      <c r="AZ8" s="998"/>
      <c r="BA8" s="998"/>
      <c r="BB8" s="998"/>
      <c r="BC8" s="998"/>
      <c r="BD8" s="998"/>
      <c r="BE8" s="998"/>
      <c r="BF8" s="998"/>
      <c r="BG8" s="998"/>
      <c r="BH8" s="998"/>
      <c r="BI8" s="998"/>
      <c r="BJ8" s="998"/>
      <c r="BK8" s="998"/>
      <c r="BL8" s="998"/>
      <c r="BM8" s="998"/>
      <c r="BN8" s="998"/>
      <c r="BO8" s="998"/>
      <c r="BP8" s="998"/>
      <c r="BQ8" s="998"/>
      <c r="BR8" s="998"/>
      <c r="BS8" s="998"/>
      <c r="BT8" s="998"/>
      <c r="BU8" s="998"/>
      <c r="BV8" s="998"/>
      <c r="BW8" s="998"/>
      <c r="BX8" s="998"/>
      <c r="BY8" s="998"/>
      <c r="BZ8" s="998"/>
      <c r="CA8" s="998"/>
      <c r="CB8" s="998"/>
      <c r="CC8" s="998"/>
      <c r="CD8" s="998"/>
      <c r="CE8" s="998"/>
      <c r="CF8" s="998"/>
      <c r="CG8" s="998"/>
      <c r="CH8" s="998"/>
      <c r="CI8" s="998"/>
      <c r="CJ8" s="998"/>
      <c r="CK8" s="998"/>
      <c r="CL8" s="998"/>
      <c r="CM8" s="998"/>
      <c r="CN8" s="998"/>
      <c r="CO8" s="998"/>
      <c r="CP8" s="998"/>
      <c r="CQ8" s="998"/>
      <c r="CR8" s="998"/>
      <c r="CS8" s="998"/>
      <c r="CT8" s="998"/>
      <c r="CU8" s="998"/>
      <c r="CV8" s="998"/>
      <c r="CW8" s="998"/>
      <c r="CX8" s="998"/>
      <c r="CY8" s="998"/>
      <c r="CZ8" s="998"/>
      <c r="DA8" s="998"/>
      <c r="DB8" s="998"/>
      <c r="DC8" s="998"/>
      <c r="DD8" s="998"/>
      <c r="DE8" s="998"/>
      <c r="DF8" s="998"/>
      <c r="DG8" s="998"/>
      <c r="DH8" s="998"/>
      <c r="DI8" s="998"/>
      <c r="DJ8" s="998"/>
      <c r="DK8" s="998"/>
      <c r="DL8" s="998"/>
      <c r="DM8" s="998"/>
      <c r="DN8" s="998"/>
      <c r="DO8" s="998"/>
      <c r="DP8" s="998"/>
      <c r="DQ8" s="998"/>
      <c r="DR8" s="998"/>
      <c r="DS8" s="998"/>
      <c r="DT8" s="998"/>
      <c r="DU8" s="998"/>
      <c r="DV8" s="998"/>
      <c r="DW8" s="998"/>
      <c r="DX8" s="998"/>
      <c r="DY8" s="998"/>
      <c r="DZ8" s="998"/>
      <c r="EA8" s="998"/>
      <c r="EB8" s="998"/>
      <c r="EC8" s="998"/>
      <c r="ED8" s="998"/>
      <c r="EE8" s="998"/>
      <c r="EF8" s="998"/>
      <c r="EG8" s="998"/>
      <c r="EH8" s="998"/>
      <c r="EI8" s="998"/>
      <c r="EJ8" s="998"/>
      <c r="EK8" s="998"/>
      <c r="EL8" s="998"/>
      <c r="EM8" s="998"/>
      <c r="EN8" s="998"/>
      <c r="EO8" s="998"/>
      <c r="EP8" s="998"/>
      <c r="EQ8" s="998"/>
      <c r="ER8" s="998"/>
      <c r="ES8" s="998"/>
      <c r="ET8" s="998"/>
      <c r="EU8" s="998"/>
      <c r="EV8" s="998"/>
      <c r="EW8" s="998"/>
      <c r="EX8" s="998"/>
      <c r="EY8" s="998"/>
      <c r="EZ8" s="998"/>
      <c r="FA8" s="998"/>
      <c r="FB8" s="998"/>
      <c r="FC8" s="998"/>
      <c r="FD8" s="998"/>
      <c r="FE8" s="998"/>
      <c r="FF8" s="998"/>
      <c r="FG8" s="998"/>
      <c r="FH8" s="998"/>
      <c r="FI8" s="998"/>
      <c r="FJ8" s="998"/>
      <c r="FK8" s="998"/>
      <c r="FL8" s="998"/>
      <c r="FM8" s="998"/>
      <c r="FN8" s="998"/>
      <c r="FO8" s="998"/>
      <c r="FP8" s="998"/>
      <c r="FQ8" s="998"/>
      <c r="FR8" s="267"/>
      <c r="FS8" s="267"/>
      <c r="FT8" s="267"/>
    </row>
    <row r="9" spans="2:176" s="3" customFormat="1" ht="12.75" customHeight="1" x14ac:dyDescent="0.25">
      <c r="B9" s="278"/>
      <c r="C9" s="998"/>
      <c r="D9" s="998"/>
      <c r="E9" s="998"/>
      <c r="F9" s="998"/>
      <c r="G9" s="998"/>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c r="EX9" s="998"/>
      <c r="EY9" s="998"/>
      <c r="EZ9" s="998"/>
      <c r="FA9" s="998"/>
      <c r="FB9" s="998"/>
      <c r="FC9" s="998"/>
      <c r="FD9" s="998"/>
      <c r="FE9" s="998"/>
      <c r="FF9" s="998"/>
      <c r="FG9" s="998"/>
      <c r="FH9" s="998"/>
      <c r="FI9" s="998"/>
      <c r="FJ9" s="998"/>
      <c r="FK9" s="998"/>
      <c r="FL9" s="998"/>
      <c r="FM9" s="998"/>
      <c r="FN9" s="998"/>
      <c r="FO9" s="998"/>
      <c r="FP9" s="998"/>
      <c r="FQ9" s="998"/>
      <c r="FR9" s="277"/>
      <c r="FS9" s="277"/>
      <c r="FT9" s="277"/>
    </row>
    <row r="10" spans="2:176" s="3" customFormat="1" ht="6" customHeight="1" x14ac:dyDescent="0.3">
      <c r="B10" s="42"/>
      <c r="C10" s="6"/>
      <c r="D10" s="6"/>
      <c r="E10" s="6"/>
      <c r="F10" s="6"/>
      <c r="G10" s="6"/>
      <c r="H10" s="6"/>
      <c r="I10" s="6"/>
      <c r="J10" s="6"/>
      <c r="K10" s="6"/>
      <c r="L10" s="6"/>
      <c r="M10" s="6"/>
      <c r="N10" s="6"/>
      <c r="O10" s="6"/>
      <c r="P10" s="6"/>
      <c r="Q10" s="6"/>
      <c r="R10" s="6"/>
      <c r="S10" s="6"/>
      <c r="T10" s="6"/>
      <c r="U10" s="6"/>
      <c r="V10" s="6"/>
      <c r="W10" s="6"/>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71"/>
      <c r="BO10" s="71"/>
      <c r="BP10" s="71"/>
      <c r="BQ10" s="71"/>
      <c r="BR10" s="71"/>
      <c r="BS10" s="71"/>
      <c r="BT10" s="71"/>
      <c r="BU10" s="71"/>
      <c r="BV10" s="71"/>
      <c r="BW10" s="71"/>
      <c r="BX10" s="71"/>
      <c r="BY10" s="71"/>
      <c r="BZ10" s="71"/>
      <c r="CA10" s="71"/>
      <c r="CB10" s="71"/>
      <c r="CC10" s="71"/>
      <c r="CD10" s="71"/>
      <c r="CE10" s="71"/>
      <c r="CF10" s="71"/>
      <c r="CG10" s="71"/>
      <c r="CH10" s="71"/>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row>
    <row r="11" spans="2:176" s="3" customFormat="1" ht="12.75" customHeight="1" x14ac:dyDescent="0.25">
      <c r="B11" s="313" t="s">
        <v>39</v>
      </c>
      <c r="C11" s="1062" t="str">
        <f>'3. PARTNER'!D4</f>
        <v/>
      </c>
      <c r="D11" s="1001"/>
      <c r="E11" s="1001"/>
      <c r="F11" s="1001"/>
      <c r="G11" s="1001"/>
      <c r="H11" s="1001"/>
      <c r="I11" s="1001"/>
      <c r="J11" s="1001"/>
      <c r="K11" s="1001"/>
      <c r="L11" s="1001"/>
      <c r="M11" s="1001"/>
      <c r="N11" s="1001"/>
      <c r="O11" s="1001"/>
      <c r="P11" s="1001"/>
      <c r="Q11" s="1001"/>
      <c r="R11" s="1001"/>
      <c r="S11" s="1001"/>
      <c r="T11" s="1001"/>
      <c r="U11" s="1001"/>
      <c r="V11" s="1001"/>
      <c r="W11" s="1001"/>
      <c r="X11" s="1001"/>
      <c r="Y11" s="1001"/>
      <c r="Z11" s="1001"/>
      <c r="AA11" s="1001"/>
      <c r="AB11" s="1001"/>
      <c r="AC11" s="1001"/>
      <c r="AD11" s="1001"/>
      <c r="AE11" s="1001"/>
      <c r="AF11" s="1001"/>
      <c r="AG11" s="1001"/>
      <c r="AH11" s="1001"/>
      <c r="AI11" s="1001"/>
      <c r="AJ11" s="1001"/>
      <c r="AK11" s="1001"/>
      <c r="AL11" s="1001"/>
      <c r="AM11" s="1001"/>
      <c r="AN11" s="1001"/>
      <c r="AO11" s="1001"/>
      <c r="AP11" s="1001"/>
      <c r="AQ11" s="1001"/>
      <c r="AR11" s="1001"/>
      <c r="AS11" s="1001"/>
      <c r="AT11" s="1001"/>
      <c r="AU11" s="1001"/>
      <c r="AV11" s="1001"/>
      <c r="AW11" s="1001"/>
      <c r="AX11" s="1001"/>
      <c r="AY11" s="1001"/>
      <c r="AZ11" s="1001"/>
      <c r="BA11" s="1001"/>
      <c r="BB11" s="1001"/>
      <c r="BC11" s="1001"/>
      <c r="BD11" s="1001"/>
      <c r="BE11" s="1001"/>
      <c r="BF11" s="1001"/>
      <c r="BG11" s="1001"/>
      <c r="BH11" s="1001"/>
      <c r="BI11" s="1001"/>
      <c r="BJ11" s="1001"/>
      <c r="BK11" s="1001"/>
      <c r="BL11" s="1001"/>
      <c r="BM11" s="1001"/>
      <c r="BN11" s="1001"/>
      <c r="BO11" s="1001"/>
      <c r="BP11" s="1001"/>
      <c r="BQ11" s="1001"/>
      <c r="BR11" s="1001"/>
      <c r="BS11" s="1001"/>
      <c r="BT11" s="1001"/>
      <c r="BU11" s="1001"/>
      <c r="BV11" s="1001"/>
      <c r="BW11" s="1001"/>
      <c r="BX11" s="1001"/>
      <c r="BY11" s="1001"/>
      <c r="BZ11" s="1001"/>
      <c r="CA11" s="1001"/>
      <c r="CB11" s="1001"/>
      <c r="CC11" s="1001"/>
      <c r="CD11" s="1001"/>
      <c r="CE11" s="1001"/>
      <c r="CF11" s="1001"/>
      <c r="CG11" s="1001"/>
      <c r="CH11" s="1001"/>
      <c r="CI11" s="1001"/>
      <c r="CJ11" s="1001"/>
      <c r="CK11" s="1001"/>
      <c r="CL11" s="1001"/>
      <c r="CM11" s="1001"/>
      <c r="CN11" s="1001"/>
      <c r="CO11" s="1001"/>
      <c r="CP11" s="1001"/>
      <c r="CQ11" s="1001"/>
      <c r="CR11" s="1001"/>
      <c r="CS11" s="1001"/>
      <c r="CT11" s="1001"/>
      <c r="CU11" s="1001"/>
      <c r="CV11" s="1001"/>
      <c r="CW11" s="1001"/>
      <c r="CX11" s="1001"/>
      <c r="CY11" s="1001"/>
      <c r="CZ11" s="1001"/>
      <c r="DA11" s="1001"/>
      <c r="DB11" s="1001"/>
      <c r="DC11" s="1001"/>
      <c r="DD11" s="1001"/>
      <c r="DE11" s="1001"/>
      <c r="DF11" s="1001"/>
      <c r="DG11" s="1001"/>
      <c r="DH11" s="1001"/>
      <c r="DI11" s="1001"/>
      <c r="DJ11" s="1001"/>
      <c r="DK11" s="1001"/>
      <c r="DL11" s="1001"/>
      <c r="DM11" s="1001"/>
      <c r="DN11" s="1001"/>
      <c r="DO11" s="1001"/>
      <c r="DP11" s="1001"/>
      <c r="DQ11" s="1001"/>
      <c r="DR11" s="1001"/>
      <c r="DS11" s="1001"/>
      <c r="DT11" s="1001"/>
      <c r="DU11" s="1001"/>
      <c r="DV11" s="1001"/>
      <c r="DW11" s="1001"/>
      <c r="DX11" s="1001"/>
      <c r="DY11" s="1001"/>
      <c r="DZ11" s="1001"/>
      <c r="EA11" s="1001"/>
      <c r="EB11" s="1001"/>
      <c r="EC11" s="1001"/>
      <c r="ED11" s="1001"/>
      <c r="EE11" s="1001"/>
      <c r="EF11" s="1001"/>
      <c r="EG11" s="1001"/>
      <c r="EH11" s="1001"/>
      <c r="EI11" s="1001"/>
      <c r="EJ11" s="1001"/>
      <c r="EK11" s="1001"/>
      <c r="EL11" s="1001"/>
      <c r="EM11" s="1001"/>
      <c r="EN11" s="1001"/>
      <c r="EO11" s="1001"/>
      <c r="EP11" s="1001"/>
      <c r="EQ11" s="1001"/>
      <c r="ER11" s="1001"/>
      <c r="ES11" s="1001"/>
      <c r="ET11" s="1001"/>
      <c r="EU11" s="1001"/>
      <c r="EV11" s="1001"/>
      <c r="EW11" s="1001"/>
      <c r="EX11" s="1001"/>
      <c r="EY11" s="1001"/>
      <c r="EZ11" s="1001"/>
      <c r="FA11" s="1001"/>
      <c r="FB11" s="1001"/>
      <c r="FC11" s="1001"/>
      <c r="FD11" s="1001"/>
      <c r="FE11" s="1001"/>
      <c r="FF11" s="1001"/>
      <c r="FG11" s="1001"/>
      <c r="FH11" s="1001"/>
      <c r="FI11" s="1001"/>
      <c r="FJ11" s="1001"/>
      <c r="FK11" s="1001"/>
      <c r="FL11" s="1001"/>
      <c r="FM11" s="1001"/>
      <c r="FN11" s="1001"/>
      <c r="FO11" s="1001"/>
      <c r="FP11" s="1001"/>
      <c r="FQ11" s="1001"/>
      <c r="FR11" s="670"/>
    </row>
    <row r="12" spans="2:176" s="3" customFormat="1" ht="13.2" x14ac:dyDescent="0.25">
      <c r="B12" s="313" t="s">
        <v>33</v>
      </c>
      <c r="C12" s="674" t="str">
        <f>'3. PARTNER'!D5</f>
        <v>APPLICATION</v>
      </c>
      <c r="D12" s="674"/>
      <c r="E12" s="674"/>
      <c r="F12" s="674"/>
      <c r="G12" s="674"/>
      <c r="H12" s="674"/>
      <c r="I12" s="674"/>
      <c r="J12" s="674"/>
      <c r="K12" s="674"/>
      <c r="L12" s="674"/>
      <c r="M12" s="674"/>
      <c r="N12" s="674"/>
      <c r="O12" s="674"/>
      <c r="P12" s="674"/>
      <c r="Q12" s="674"/>
      <c r="R12" s="674"/>
      <c r="S12" s="674"/>
      <c r="T12" s="674"/>
      <c r="U12" s="674"/>
      <c r="V12" s="674"/>
      <c r="W12" s="674"/>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68"/>
      <c r="BJ12" s="268"/>
      <c r="BK12" s="268"/>
      <c r="BL12" s="268"/>
      <c r="BM12" s="268"/>
      <c r="BN12" s="268"/>
      <c r="BO12" s="268"/>
      <c r="BP12" s="268"/>
      <c r="BQ12" s="268"/>
      <c r="BR12" s="268"/>
      <c r="BS12" s="268"/>
      <c r="BT12" s="268"/>
      <c r="BU12" s="268"/>
      <c r="BV12" s="268"/>
      <c r="BW12" s="268"/>
      <c r="BX12" s="268"/>
      <c r="BY12" s="268"/>
      <c r="BZ12" s="268"/>
      <c r="CA12" s="268"/>
      <c r="CB12" s="268"/>
      <c r="CC12" s="268"/>
      <c r="CD12" s="268"/>
      <c r="CE12" s="268"/>
      <c r="CF12" s="268"/>
      <c r="CG12" s="268"/>
      <c r="CH12" s="268"/>
      <c r="CI12" s="268"/>
      <c r="CJ12" s="268"/>
      <c r="CK12" s="268"/>
      <c r="CL12" s="268"/>
      <c r="CM12" s="268"/>
      <c r="CN12" s="268"/>
      <c r="CO12" s="268"/>
      <c r="CP12" s="268"/>
      <c r="CQ12" s="268"/>
      <c r="CR12" s="268"/>
      <c r="CS12" s="268"/>
      <c r="CT12" s="268"/>
      <c r="CU12" s="268"/>
      <c r="CV12" s="268"/>
      <c r="CW12" s="268"/>
      <c r="CX12" s="268"/>
      <c r="CY12" s="268"/>
      <c r="CZ12" s="268"/>
      <c r="DA12" s="268"/>
      <c r="DB12" s="268"/>
      <c r="DC12" s="268"/>
      <c r="DD12" s="268"/>
      <c r="DE12" s="268"/>
      <c r="DF12" s="268"/>
      <c r="DG12" s="268"/>
      <c r="DH12" s="268"/>
      <c r="DI12" s="268"/>
      <c r="DJ12" s="268"/>
      <c r="DK12" s="268"/>
      <c r="DL12" s="268"/>
      <c r="DM12" s="268"/>
      <c r="DN12" s="268"/>
      <c r="DO12" s="268"/>
      <c r="DP12" s="268"/>
      <c r="DQ12" s="268"/>
      <c r="DR12" s="268"/>
      <c r="DS12" s="268"/>
      <c r="DT12" s="268"/>
      <c r="DU12" s="268"/>
      <c r="DV12" s="268"/>
      <c r="DW12" s="268"/>
      <c r="DX12" s="268"/>
      <c r="DY12" s="268"/>
      <c r="DZ12" s="268"/>
      <c r="EA12" s="268"/>
      <c r="EB12" s="268"/>
      <c r="EC12" s="268"/>
      <c r="ED12" s="268"/>
      <c r="EE12" s="268"/>
      <c r="EF12" s="268"/>
      <c r="EG12" s="268"/>
      <c r="EH12" s="268"/>
      <c r="EI12" s="268"/>
      <c r="EJ12" s="268"/>
      <c r="EK12" s="268"/>
      <c r="EL12" s="268"/>
      <c r="EM12" s="268"/>
      <c r="EN12" s="268"/>
      <c r="EO12" s="268"/>
      <c r="EP12" s="268"/>
      <c r="EQ12" s="268"/>
      <c r="ER12" s="268"/>
      <c r="ES12" s="268"/>
      <c r="ET12" s="268"/>
      <c r="EU12" s="268"/>
      <c r="EV12" s="268"/>
      <c r="EW12" s="268"/>
      <c r="EX12" s="268"/>
      <c r="EY12" s="268"/>
      <c r="EZ12" s="268"/>
      <c r="FA12" s="268"/>
      <c r="FB12" s="268"/>
      <c r="FC12" s="268"/>
      <c r="FD12" s="268"/>
      <c r="FE12" s="268"/>
      <c r="FF12" s="268"/>
      <c r="FG12" s="268"/>
      <c r="FH12" s="268"/>
      <c r="FI12" s="268"/>
      <c r="FJ12" s="268"/>
      <c r="FK12" s="268"/>
      <c r="FL12" s="268"/>
      <c r="FM12" s="268"/>
      <c r="FN12" s="268"/>
      <c r="FO12" s="268"/>
      <c r="FP12" s="268"/>
      <c r="FQ12" s="268"/>
      <c r="FR12" s="268"/>
      <c r="FS12" s="37"/>
    </row>
    <row r="13" spans="2:176" s="3" customFormat="1" ht="13.2" x14ac:dyDescent="0.25">
      <c r="B13" s="35" t="s">
        <v>40</v>
      </c>
      <c r="C13" s="1062" t="str">
        <f>'3. PARTNER'!D6</f>
        <v/>
      </c>
      <c r="D13" s="1001"/>
      <c r="E13" s="1001"/>
      <c r="F13" s="1001"/>
      <c r="G13" s="1001"/>
      <c r="H13" s="1001"/>
      <c r="I13" s="1001"/>
      <c r="J13" s="1001"/>
      <c r="K13" s="1001"/>
      <c r="L13" s="1001"/>
      <c r="M13" s="1001"/>
      <c r="N13" s="1001"/>
      <c r="O13" s="1001"/>
      <c r="P13" s="1001"/>
      <c r="Q13" s="1001"/>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c r="AP13" s="1001"/>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1"/>
      <c r="CD13" s="1001"/>
      <c r="CE13" s="1001"/>
      <c r="CF13" s="1001"/>
      <c r="CG13" s="1001"/>
      <c r="CH13" s="1001"/>
      <c r="CI13" s="1001"/>
      <c r="CJ13" s="1001"/>
      <c r="CK13" s="1001"/>
      <c r="CL13" s="1001"/>
      <c r="CM13" s="1001"/>
      <c r="CN13" s="1001"/>
      <c r="CO13" s="1001"/>
      <c r="CP13" s="1001"/>
      <c r="CQ13" s="1001"/>
      <c r="CR13" s="1001"/>
      <c r="CS13" s="1001"/>
      <c r="CT13" s="1001"/>
      <c r="CU13" s="1001"/>
      <c r="CV13" s="1001"/>
      <c r="CW13" s="1001"/>
      <c r="CX13" s="1001"/>
      <c r="CY13" s="1001"/>
      <c r="CZ13" s="1001"/>
      <c r="DA13" s="1001"/>
      <c r="DB13" s="1001"/>
      <c r="DC13" s="1001"/>
      <c r="DD13" s="1001"/>
      <c r="DE13" s="1001"/>
      <c r="DF13" s="1001"/>
      <c r="DG13" s="1001"/>
      <c r="DH13" s="1001"/>
      <c r="DI13" s="1001"/>
      <c r="DJ13" s="1001"/>
      <c r="DK13" s="1001"/>
      <c r="DL13" s="1001"/>
      <c r="DM13" s="1001"/>
      <c r="DN13" s="1001"/>
      <c r="DO13" s="1001"/>
      <c r="DP13" s="1001"/>
      <c r="DQ13" s="1001"/>
      <c r="DR13" s="1001"/>
      <c r="DS13" s="1001"/>
      <c r="DT13" s="1001"/>
      <c r="DU13" s="1001"/>
      <c r="DV13" s="1001"/>
      <c r="DW13" s="1001"/>
      <c r="DX13" s="1001"/>
      <c r="DY13" s="1001"/>
      <c r="DZ13" s="1001"/>
      <c r="EA13" s="1001"/>
      <c r="EB13" s="1001"/>
      <c r="EC13" s="1001"/>
      <c r="ED13" s="1001"/>
      <c r="EE13" s="1001"/>
      <c r="EF13" s="1001"/>
      <c r="EG13" s="1001"/>
      <c r="EH13" s="1001"/>
      <c r="EI13" s="1001"/>
      <c r="EJ13" s="1001"/>
      <c r="EK13" s="1001"/>
      <c r="EL13" s="1001"/>
      <c r="EM13" s="1001"/>
      <c r="EN13" s="1001"/>
      <c r="EO13" s="1001"/>
      <c r="EP13" s="1001"/>
      <c r="EQ13" s="1001"/>
      <c r="ER13" s="1001"/>
      <c r="ES13" s="1001"/>
      <c r="ET13" s="1001"/>
      <c r="EU13" s="1001"/>
      <c r="EV13" s="1001"/>
      <c r="EW13" s="1001"/>
      <c r="EX13" s="1001"/>
      <c r="EY13" s="1001"/>
      <c r="EZ13" s="1001"/>
      <c r="FA13" s="1001"/>
      <c r="FB13" s="1001"/>
      <c r="FC13" s="1001"/>
      <c r="FD13" s="1001"/>
      <c r="FE13" s="1001"/>
      <c r="FF13" s="1001"/>
      <c r="FG13" s="1001"/>
      <c r="FH13" s="1001"/>
      <c r="FI13" s="1001"/>
      <c r="FJ13" s="1001"/>
      <c r="FK13" s="1001"/>
      <c r="FL13" s="1001"/>
      <c r="FM13" s="1001"/>
      <c r="FN13" s="1001"/>
      <c r="FO13" s="1001"/>
      <c r="FP13" s="1001"/>
      <c r="FQ13" s="1001"/>
      <c r="FR13" s="670"/>
    </row>
    <row r="14" spans="2:176" s="3" customFormat="1" ht="13.2" x14ac:dyDescent="0.25">
      <c r="B14" s="313" t="s">
        <v>42</v>
      </c>
      <c r="C14" s="672" t="str">
        <f>'5. PERSON'!C7</f>
        <v>SEK</v>
      </c>
      <c r="D14" s="672"/>
      <c r="E14" s="672"/>
      <c r="F14" s="672"/>
      <c r="G14" s="672"/>
      <c r="H14" s="672"/>
      <c r="I14" s="672"/>
      <c r="J14" s="672"/>
      <c r="K14" s="672"/>
      <c r="L14" s="672"/>
      <c r="M14" s="672"/>
      <c r="N14" s="672"/>
      <c r="O14" s="672"/>
      <c r="P14" s="672"/>
      <c r="Q14" s="672"/>
      <c r="R14" s="672"/>
      <c r="S14" s="672"/>
      <c r="T14" s="672"/>
      <c r="U14" s="672"/>
      <c r="V14" s="672"/>
      <c r="W14" s="672"/>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71"/>
    </row>
    <row r="15" spans="2:176" s="3" customFormat="1" ht="13.2" x14ac:dyDescent="0.25">
      <c r="B15" s="313"/>
      <c r="C15" s="1053" t="s">
        <v>41</v>
      </c>
      <c r="D15" s="1053"/>
      <c r="E15" s="1053"/>
      <c r="F15" s="1053"/>
      <c r="G15" s="1053"/>
      <c r="H15" s="1053"/>
      <c r="I15" s="1053"/>
      <c r="J15" s="1053"/>
      <c r="K15" s="1053"/>
      <c r="L15" s="1053"/>
      <c r="M15" s="1053"/>
      <c r="N15" s="1053"/>
      <c r="O15" s="1053"/>
      <c r="P15" s="1053"/>
      <c r="Q15" s="1053"/>
      <c r="R15" s="1053"/>
      <c r="S15" s="1053"/>
      <c r="T15" s="1053"/>
      <c r="U15" s="1053"/>
      <c r="V15" s="1053"/>
      <c r="W15" s="1053"/>
      <c r="X15" s="1001"/>
      <c r="Y15" s="1001"/>
      <c r="Z15" s="1001"/>
      <c r="AA15" s="1001"/>
      <c r="AB15" s="1001"/>
      <c r="AC15" s="1001"/>
      <c r="AD15" s="1001"/>
      <c r="AE15" s="1001"/>
      <c r="AF15" s="1001"/>
      <c r="AG15" s="1001"/>
      <c r="AH15" s="1001"/>
      <c r="AI15" s="1001"/>
      <c r="AJ15" s="1001"/>
      <c r="AK15" s="1001"/>
      <c r="AL15" s="1001"/>
      <c r="AM15" s="1001"/>
      <c r="AN15" s="1001"/>
      <c r="AO15" s="1001"/>
      <c r="AP15" s="1001"/>
      <c r="AQ15" s="1001"/>
      <c r="AR15" s="1001"/>
      <c r="AS15" s="1001"/>
      <c r="AT15" s="1001"/>
      <c r="AU15" s="1001"/>
      <c r="AV15" s="1001"/>
      <c r="AW15" s="1001"/>
      <c r="AX15" s="1001"/>
      <c r="AY15" s="1001"/>
      <c r="AZ15" s="1001"/>
      <c r="BA15" s="1001"/>
      <c r="BB15" s="1001"/>
      <c r="BC15" s="1001"/>
      <c r="BD15" s="1001"/>
      <c r="BE15" s="1001"/>
      <c r="BF15" s="1001"/>
      <c r="BG15" s="1001"/>
      <c r="BH15" s="1001"/>
      <c r="BI15" s="1001"/>
      <c r="BJ15" s="1001"/>
      <c r="BK15" s="1001"/>
      <c r="BL15" s="1001"/>
      <c r="BM15" s="1001"/>
      <c r="BN15" s="1001"/>
      <c r="BO15" s="670"/>
      <c r="BP15" s="670"/>
      <c r="BQ15" s="670"/>
      <c r="BR15" s="670"/>
      <c r="BS15" s="670"/>
      <c r="BT15" s="670"/>
      <c r="BU15" s="670"/>
      <c r="BV15" s="670"/>
      <c r="BW15" s="670"/>
      <c r="BX15" s="670"/>
      <c r="BY15" s="670"/>
      <c r="BZ15" s="670"/>
      <c r="CA15" s="670"/>
      <c r="CB15" s="670"/>
      <c r="CC15" s="670"/>
      <c r="CD15" s="670"/>
      <c r="CE15" s="670"/>
      <c r="CF15" s="670"/>
      <c r="CG15" s="670"/>
      <c r="CH15" s="670"/>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4"/>
      <c r="DN15" s="234"/>
      <c r="DO15" s="234"/>
      <c r="DP15" s="234"/>
      <c r="DQ15" s="234"/>
      <c r="DR15" s="234"/>
      <c r="DS15" s="234"/>
      <c r="DT15" s="234"/>
      <c r="DU15" s="234"/>
      <c r="DV15" s="234"/>
      <c r="DW15" s="234"/>
      <c r="DX15" s="234"/>
      <c r="DY15" s="270"/>
      <c r="DZ15" s="270"/>
      <c r="EA15" s="270"/>
      <c r="EB15" s="270"/>
      <c r="EC15" s="270"/>
      <c r="ED15" s="270"/>
      <c r="EE15" s="270"/>
      <c r="EF15" s="270"/>
      <c r="EG15" s="270"/>
      <c r="EH15" s="270"/>
      <c r="EI15" s="270"/>
      <c r="EJ15" s="270"/>
      <c r="EK15" s="270"/>
      <c r="EL15" s="270"/>
      <c r="EM15" s="270"/>
      <c r="EN15" s="270"/>
      <c r="EO15" s="270"/>
      <c r="EP15" s="270"/>
      <c r="EQ15" s="270"/>
      <c r="ER15" s="270"/>
      <c r="ES15" s="270"/>
      <c r="ET15" s="270"/>
      <c r="EU15" s="270"/>
      <c r="EV15" s="270"/>
      <c r="EW15" s="270"/>
      <c r="EX15" s="270"/>
      <c r="EY15" s="270"/>
      <c r="EZ15" s="270"/>
      <c r="FA15" s="270"/>
      <c r="FB15" s="270"/>
      <c r="FC15" s="270"/>
      <c r="FD15" s="270"/>
      <c r="FE15" s="270"/>
      <c r="FF15" s="270"/>
      <c r="FG15" s="270"/>
      <c r="FH15" s="270"/>
      <c r="FI15" s="270"/>
      <c r="FJ15" s="270"/>
      <c r="FK15" s="270"/>
      <c r="FL15" s="270"/>
      <c r="FM15" s="270"/>
      <c r="FN15" s="270"/>
      <c r="FO15" s="270"/>
      <c r="FP15" s="270"/>
      <c r="FQ15" s="270"/>
      <c r="FR15" s="270"/>
      <c r="FS15" s="71"/>
    </row>
    <row r="16" spans="2:176" ht="13.5" customHeight="1" x14ac:dyDescent="0.2"/>
    <row r="17" spans="2:194" ht="13.5" customHeight="1" x14ac:dyDescent="0.25">
      <c r="B17" s="1338" t="s">
        <v>336</v>
      </c>
      <c r="C17" s="1343" t="s">
        <v>345</v>
      </c>
      <c r="D17" s="1336" t="s">
        <v>128</v>
      </c>
      <c r="E17" s="1337"/>
      <c r="F17" s="1337"/>
      <c r="G17" s="1337"/>
      <c r="H17" s="1337"/>
      <c r="I17" s="1337"/>
      <c r="J17" s="1337"/>
      <c r="K17" s="1337"/>
      <c r="L17" s="1337"/>
      <c r="M17" s="1337"/>
      <c r="N17" s="284"/>
      <c r="O17" s="284"/>
      <c r="P17" s="284"/>
      <c r="Q17" s="284"/>
      <c r="R17" s="284"/>
      <c r="S17" s="284"/>
      <c r="T17" s="284"/>
      <c r="U17" s="284"/>
      <c r="V17" s="284"/>
      <c r="W17" s="284"/>
      <c r="X17" s="1318" t="s">
        <v>123</v>
      </c>
      <c r="Y17" s="1345" t="s">
        <v>123</v>
      </c>
      <c r="Z17" s="1323"/>
      <c r="AA17" s="1323"/>
      <c r="AB17" s="1323"/>
      <c r="AC17" s="1323"/>
      <c r="AD17" s="1323"/>
      <c r="AE17" s="1323"/>
      <c r="AF17" s="1323"/>
      <c r="AG17" s="1323"/>
      <c r="AH17" s="1323"/>
      <c r="AI17" s="285"/>
      <c r="AJ17" s="285"/>
      <c r="AK17" s="285"/>
      <c r="AL17" s="285"/>
      <c r="AM17" s="285"/>
      <c r="AN17" s="285"/>
      <c r="AO17" s="285"/>
      <c r="AP17" s="285"/>
      <c r="AQ17" s="285"/>
      <c r="AR17" s="285"/>
      <c r="AS17" s="1333" t="s">
        <v>129</v>
      </c>
      <c r="AT17" s="1342" t="s">
        <v>129</v>
      </c>
      <c r="AU17" s="1323"/>
      <c r="AV17" s="1323"/>
      <c r="AW17" s="1323"/>
      <c r="AX17" s="1323"/>
      <c r="AY17" s="1323"/>
      <c r="AZ17" s="1323"/>
      <c r="BA17" s="1323"/>
      <c r="BB17" s="1323"/>
      <c r="BC17" s="1323"/>
      <c r="BD17" s="285"/>
      <c r="BE17" s="285"/>
      <c r="BF17" s="285"/>
      <c r="BG17" s="285"/>
      <c r="BH17" s="285"/>
      <c r="BI17" s="285"/>
      <c r="BJ17" s="285"/>
      <c r="BK17" s="285"/>
      <c r="BL17" s="285"/>
      <c r="BM17" s="285"/>
      <c r="BN17" s="1318" t="s">
        <v>130</v>
      </c>
      <c r="BO17" s="1332" t="s">
        <v>148</v>
      </c>
      <c r="BP17" s="1323"/>
      <c r="BQ17" s="1323"/>
      <c r="BR17" s="1323"/>
      <c r="BS17" s="1323"/>
      <c r="BT17" s="1323"/>
      <c r="BU17" s="1323"/>
      <c r="BV17" s="1323"/>
      <c r="BW17" s="1323"/>
      <c r="BX17" s="1323"/>
      <c r="BY17" s="285"/>
      <c r="BZ17" s="285"/>
      <c r="CA17" s="285"/>
      <c r="CB17" s="285"/>
      <c r="CC17" s="285"/>
      <c r="CD17" s="285"/>
      <c r="CE17" s="285"/>
      <c r="CF17" s="285"/>
      <c r="CG17" s="285"/>
      <c r="CH17" s="285"/>
      <c r="CI17" s="1318" t="s">
        <v>131</v>
      </c>
      <c r="CJ17" s="1332" t="s">
        <v>131</v>
      </c>
      <c r="CK17" s="1323"/>
      <c r="CL17" s="1323"/>
      <c r="CM17" s="1323"/>
      <c r="CN17" s="1323"/>
      <c r="CO17" s="1323"/>
      <c r="CP17" s="1323"/>
      <c r="CQ17" s="1323"/>
      <c r="CR17" s="1323"/>
      <c r="CS17" s="1323"/>
      <c r="CT17" s="285"/>
      <c r="CU17" s="285"/>
      <c r="CV17" s="285"/>
      <c r="CW17" s="285"/>
      <c r="CX17" s="285"/>
      <c r="CY17" s="285"/>
      <c r="CZ17" s="285"/>
      <c r="DA17" s="285"/>
      <c r="DB17" s="285"/>
      <c r="DC17" s="285"/>
      <c r="DD17" s="1318" t="s">
        <v>122</v>
      </c>
      <c r="DE17" s="1332" t="s">
        <v>122</v>
      </c>
      <c r="DF17" s="1323"/>
      <c r="DG17" s="1323"/>
      <c r="DH17" s="1323"/>
      <c r="DI17" s="1323"/>
      <c r="DJ17" s="1323"/>
      <c r="DK17" s="1323"/>
      <c r="DL17" s="1323"/>
      <c r="DM17" s="1323"/>
      <c r="DN17" s="1323"/>
      <c r="DO17" s="285"/>
      <c r="DP17" s="285"/>
      <c r="DQ17" s="285"/>
      <c r="DR17" s="285"/>
      <c r="DS17" s="285"/>
      <c r="DT17" s="285"/>
      <c r="DU17" s="285"/>
      <c r="DV17" s="285"/>
      <c r="DW17" s="285"/>
      <c r="DX17" s="285"/>
      <c r="DY17" s="1318" t="s">
        <v>124</v>
      </c>
      <c r="DZ17" s="1329" t="s">
        <v>124</v>
      </c>
      <c r="EA17" s="1323"/>
      <c r="EB17" s="1323"/>
      <c r="EC17" s="1323"/>
      <c r="ED17" s="1323"/>
      <c r="EE17" s="1323"/>
      <c r="EF17" s="1323"/>
      <c r="EG17" s="1323"/>
      <c r="EH17" s="1323"/>
      <c r="EI17" s="1323"/>
      <c r="EJ17" s="285"/>
      <c r="EK17" s="285"/>
      <c r="EL17" s="285"/>
      <c r="EM17" s="285"/>
      <c r="EN17" s="285"/>
      <c r="EO17" s="285"/>
      <c r="EP17" s="285"/>
      <c r="EQ17" s="285"/>
      <c r="ER17" s="285"/>
      <c r="ES17" s="285"/>
      <c r="ET17" s="1095" t="s">
        <v>125</v>
      </c>
      <c r="EU17" s="1322" t="s">
        <v>125</v>
      </c>
      <c r="EV17" s="1323"/>
      <c r="EW17" s="1323"/>
      <c r="EX17" s="1323"/>
      <c r="EY17" s="1323"/>
      <c r="EZ17" s="1323"/>
      <c r="FA17" s="1323"/>
      <c r="FB17" s="1323"/>
      <c r="FC17" s="1323"/>
      <c r="FD17" s="1323"/>
      <c r="FE17" s="282"/>
      <c r="FF17" s="282"/>
      <c r="FG17" s="282"/>
      <c r="FH17" s="282"/>
      <c r="FI17" s="282"/>
      <c r="FJ17" s="282"/>
      <c r="FK17" s="282"/>
      <c r="FL17" s="282"/>
      <c r="FM17" s="282"/>
      <c r="FN17" s="283"/>
      <c r="FO17" s="1335" t="s">
        <v>135</v>
      </c>
      <c r="FP17" s="1318" t="s">
        <v>136</v>
      </c>
      <c r="FQ17" s="1318" t="s">
        <v>346</v>
      </c>
      <c r="FR17" s="1341" t="s">
        <v>111</v>
      </c>
      <c r="FS17" s="1040"/>
      <c r="FT17" s="1040"/>
      <c r="FU17" s="1040"/>
      <c r="FV17" s="1040"/>
      <c r="FW17" s="1040"/>
      <c r="FX17" s="1040"/>
      <c r="FY17" s="1040"/>
      <c r="FZ17" s="1040"/>
      <c r="GA17" s="1040"/>
      <c r="GB17" s="1040"/>
      <c r="GC17" s="1040"/>
      <c r="GD17" s="1040"/>
      <c r="GE17" s="1040"/>
      <c r="GF17" s="1040"/>
      <c r="GG17" s="1040"/>
      <c r="GH17" s="1040"/>
      <c r="GI17" s="1040"/>
      <c r="GJ17" s="1040"/>
      <c r="GK17" s="1040"/>
      <c r="GL17" s="1040"/>
    </row>
    <row r="18" spans="2:194" ht="13.5" customHeight="1" x14ac:dyDescent="0.2">
      <c r="B18" s="1339"/>
      <c r="C18" s="1344"/>
      <c r="D18" s="1331" t="s">
        <v>14</v>
      </c>
      <c r="E18" s="1331" t="s">
        <v>15</v>
      </c>
      <c r="F18" s="1331" t="s">
        <v>16</v>
      </c>
      <c r="G18" s="1331" t="s">
        <v>17</v>
      </c>
      <c r="H18" s="1331" t="s">
        <v>18</v>
      </c>
      <c r="I18" s="1331" t="s">
        <v>19</v>
      </c>
      <c r="J18" s="1331" t="s">
        <v>20</v>
      </c>
      <c r="K18" s="1331" t="s">
        <v>21</v>
      </c>
      <c r="L18" s="1331" t="s">
        <v>22</v>
      </c>
      <c r="M18" s="1321" t="s">
        <v>23</v>
      </c>
      <c r="N18" s="1331" t="s">
        <v>138</v>
      </c>
      <c r="O18" s="1321" t="s">
        <v>139</v>
      </c>
      <c r="P18" s="1331" t="s">
        <v>140</v>
      </c>
      <c r="Q18" s="1321" t="s">
        <v>141</v>
      </c>
      <c r="R18" s="1331" t="s">
        <v>142</v>
      </c>
      <c r="S18" s="1321" t="s">
        <v>143</v>
      </c>
      <c r="T18" s="1331" t="s">
        <v>144</v>
      </c>
      <c r="U18" s="1321" t="s">
        <v>145</v>
      </c>
      <c r="V18" s="1331" t="s">
        <v>146</v>
      </c>
      <c r="W18" s="1321" t="s">
        <v>147</v>
      </c>
      <c r="X18" s="1328"/>
      <c r="Y18" s="1330" t="s">
        <v>14</v>
      </c>
      <c r="Z18" s="1331" t="s">
        <v>15</v>
      </c>
      <c r="AA18" s="1331" t="s">
        <v>16</v>
      </c>
      <c r="AB18" s="1331" t="s">
        <v>17</v>
      </c>
      <c r="AC18" s="1331" t="s">
        <v>18</v>
      </c>
      <c r="AD18" s="1331" t="s">
        <v>19</v>
      </c>
      <c r="AE18" s="1331" t="s">
        <v>20</v>
      </c>
      <c r="AF18" s="1331" t="s">
        <v>21</v>
      </c>
      <c r="AG18" s="1331" t="s">
        <v>22</v>
      </c>
      <c r="AH18" s="1321" t="s">
        <v>23</v>
      </c>
      <c r="AI18" s="1321" t="s">
        <v>138</v>
      </c>
      <c r="AJ18" s="1321" t="s">
        <v>139</v>
      </c>
      <c r="AK18" s="1321" t="s">
        <v>140</v>
      </c>
      <c r="AL18" s="1321" t="s">
        <v>141</v>
      </c>
      <c r="AM18" s="1321" t="s">
        <v>142</v>
      </c>
      <c r="AN18" s="1321" t="s">
        <v>143</v>
      </c>
      <c r="AO18" s="1321" t="s">
        <v>144</v>
      </c>
      <c r="AP18" s="1321" t="s">
        <v>145</v>
      </c>
      <c r="AQ18" s="1321" t="s">
        <v>146</v>
      </c>
      <c r="AR18" s="1321" t="s">
        <v>147</v>
      </c>
      <c r="AS18" s="1328"/>
      <c r="AT18" s="1330" t="s">
        <v>14</v>
      </c>
      <c r="AU18" s="1331" t="s">
        <v>15</v>
      </c>
      <c r="AV18" s="1331" t="s">
        <v>16</v>
      </c>
      <c r="AW18" s="1331" t="s">
        <v>17</v>
      </c>
      <c r="AX18" s="1331" t="s">
        <v>18</v>
      </c>
      <c r="AY18" s="1331" t="s">
        <v>19</v>
      </c>
      <c r="AZ18" s="1331" t="s">
        <v>20</v>
      </c>
      <c r="BA18" s="1331" t="s">
        <v>21</v>
      </c>
      <c r="BB18" s="1331" t="s">
        <v>22</v>
      </c>
      <c r="BC18" s="1321" t="s">
        <v>23</v>
      </c>
      <c r="BD18" s="1321" t="s">
        <v>138</v>
      </c>
      <c r="BE18" s="1321" t="s">
        <v>139</v>
      </c>
      <c r="BF18" s="1321" t="s">
        <v>140</v>
      </c>
      <c r="BG18" s="1321" t="s">
        <v>141</v>
      </c>
      <c r="BH18" s="1321" t="s">
        <v>142</v>
      </c>
      <c r="BI18" s="1321" t="s">
        <v>143</v>
      </c>
      <c r="BJ18" s="1321" t="s">
        <v>144</v>
      </c>
      <c r="BK18" s="1321" t="s">
        <v>145</v>
      </c>
      <c r="BL18" s="1321" t="s">
        <v>146</v>
      </c>
      <c r="BM18" s="1321" t="s">
        <v>147</v>
      </c>
      <c r="BN18" s="1328"/>
      <c r="BO18" s="1330" t="s">
        <v>14</v>
      </c>
      <c r="BP18" s="1331" t="s">
        <v>15</v>
      </c>
      <c r="BQ18" s="1331" t="s">
        <v>16</v>
      </c>
      <c r="BR18" s="1331" t="s">
        <v>17</v>
      </c>
      <c r="BS18" s="1331" t="s">
        <v>18</v>
      </c>
      <c r="BT18" s="1331" t="s">
        <v>19</v>
      </c>
      <c r="BU18" s="1331" t="s">
        <v>20</v>
      </c>
      <c r="BV18" s="1331" t="s">
        <v>21</v>
      </c>
      <c r="BW18" s="1331" t="s">
        <v>22</v>
      </c>
      <c r="BX18" s="1321" t="s">
        <v>23</v>
      </c>
      <c r="BY18" s="1321" t="s">
        <v>138</v>
      </c>
      <c r="BZ18" s="1321" t="s">
        <v>139</v>
      </c>
      <c r="CA18" s="1321" t="s">
        <v>140</v>
      </c>
      <c r="CB18" s="1321" t="s">
        <v>141</v>
      </c>
      <c r="CC18" s="1321" t="s">
        <v>142</v>
      </c>
      <c r="CD18" s="1321" t="s">
        <v>143</v>
      </c>
      <c r="CE18" s="1321" t="s">
        <v>144</v>
      </c>
      <c r="CF18" s="1321" t="s">
        <v>145</v>
      </c>
      <c r="CG18" s="1321" t="s">
        <v>146</v>
      </c>
      <c r="CH18" s="1321" t="s">
        <v>147</v>
      </c>
      <c r="CI18" s="1328"/>
      <c r="CJ18" s="1330" t="s">
        <v>14</v>
      </c>
      <c r="CK18" s="1331" t="s">
        <v>15</v>
      </c>
      <c r="CL18" s="1331" t="s">
        <v>16</v>
      </c>
      <c r="CM18" s="1331" t="s">
        <v>17</v>
      </c>
      <c r="CN18" s="1331" t="s">
        <v>18</v>
      </c>
      <c r="CO18" s="1331" t="s">
        <v>19</v>
      </c>
      <c r="CP18" s="1331" t="s">
        <v>20</v>
      </c>
      <c r="CQ18" s="1331" t="s">
        <v>21</v>
      </c>
      <c r="CR18" s="1331" t="s">
        <v>22</v>
      </c>
      <c r="CS18" s="1321" t="s">
        <v>23</v>
      </c>
      <c r="CT18" s="1321" t="s">
        <v>138</v>
      </c>
      <c r="CU18" s="1321" t="s">
        <v>139</v>
      </c>
      <c r="CV18" s="1321" t="s">
        <v>140</v>
      </c>
      <c r="CW18" s="1321" t="s">
        <v>141</v>
      </c>
      <c r="CX18" s="1321" t="s">
        <v>142</v>
      </c>
      <c r="CY18" s="1321" t="s">
        <v>143</v>
      </c>
      <c r="CZ18" s="1321" t="s">
        <v>144</v>
      </c>
      <c r="DA18" s="1321" t="s">
        <v>145</v>
      </c>
      <c r="DB18" s="1321" t="s">
        <v>146</v>
      </c>
      <c r="DC18" s="1321" t="s">
        <v>147</v>
      </c>
      <c r="DD18" s="1328"/>
      <c r="DE18" s="1330" t="s">
        <v>14</v>
      </c>
      <c r="DF18" s="1331" t="s">
        <v>15</v>
      </c>
      <c r="DG18" s="1331" t="s">
        <v>16</v>
      </c>
      <c r="DH18" s="1331" t="s">
        <v>17</v>
      </c>
      <c r="DI18" s="1331" t="s">
        <v>18</v>
      </c>
      <c r="DJ18" s="1331" t="s">
        <v>19</v>
      </c>
      <c r="DK18" s="1331" t="s">
        <v>20</v>
      </c>
      <c r="DL18" s="1331" t="s">
        <v>21</v>
      </c>
      <c r="DM18" s="1331" t="s">
        <v>22</v>
      </c>
      <c r="DN18" s="1321" t="s">
        <v>23</v>
      </c>
      <c r="DO18" s="1321" t="s">
        <v>138</v>
      </c>
      <c r="DP18" s="1321" t="s">
        <v>139</v>
      </c>
      <c r="DQ18" s="1321" t="s">
        <v>140</v>
      </c>
      <c r="DR18" s="1321" t="s">
        <v>141</v>
      </c>
      <c r="DS18" s="1321" t="s">
        <v>142</v>
      </c>
      <c r="DT18" s="1321" t="s">
        <v>143</v>
      </c>
      <c r="DU18" s="1321" t="s">
        <v>144</v>
      </c>
      <c r="DV18" s="1321" t="s">
        <v>145</v>
      </c>
      <c r="DW18" s="1321" t="s">
        <v>146</v>
      </c>
      <c r="DX18" s="1321" t="s">
        <v>147</v>
      </c>
      <c r="DY18" s="1328"/>
      <c r="DZ18" s="1330" t="s">
        <v>14</v>
      </c>
      <c r="EA18" s="1331" t="s">
        <v>15</v>
      </c>
      <c r="EB18" s="1331" t="s">
        <v>16</v>
      </c>
      <c r="EC18" s="1331" t="s">
        <v>17</v>
      </c>
      <c r="ED18" s="1331" t="s">
        <v>18</v>
      </c>
      <c r="EE18" s="1331" t="s">
        <v>19</v>
      </c>
      <c r="EF18" s="1331" t="s">
        <v>20</v>
      </c>
      <c r="EG18" s="1331" t="s">
        <v>21</v>
      </c>
      <c r="EH18" s="1331" t="s">
        <v>22</v>
      </c>
      <c r="EI18" s="1321" t="s">
        <v>23</v>
      </c>
      <c r="EJ18" s="1321" t="s">
        <v>138</v>
      </c>
      <c r="EK18" s="1321" t="s">
        <v>139</v>
      </c>
      <c r="EL18" s="1321" t="s">
        <v>140</v>
      </c>
      <c r="EM18" s="1321" t="s">
        <v>141</v>
      </c>
      <c r="EN18" s="1321" t="s">
        <v>142</v>
      </c>
      <c r="EO18" s="1321" t="s">
        <v>143</v>
      </c>
      <c r="EP18" s="1321" t="s">
        <v>144</v>
      </c>
      <c r="EQ18" s="1321" t="s">
        <v>145</v>
      </c>
      <c r="ER18" s="1321" t="s">
        <v>146</v>
      </c>
      <c r="ES18" s="1321" t="s">
        <v>147</v>
      </c>
      <c r="ET18" s="1096"/>
      <c r="EU18" s="1324" t="s">
        <v>14</v>
      </c>
      <c r="EV18" s="1326" t="s">
        <v>15</v>
      </c>
      <c r="EW18" s="1326" t="s">
        <v>16</v>
      </c>
      <c r="EX18" s="1326" t="s">
        <v>17</v>
      </c>
      <c r="EY18" s="1326" t="s">
        <v>18</v>
      </c>
      <c r="EZ18" s="1326" t="s">
        <v>19</v>
      </c>
      <c r="FA18" s="1326" t="s">
        <v>20</v>
      </c>
      <c r="FB18" s="1326" t="s">
        <v>21</v>
      </c>
      <c r="FC18" s="1326" t="s">
        <v>22</v>
      </c>
      <c r="FD18" s="1316" t="s">
        <v>23</v>
      </c>
      <c r="FE18" s="1316" t="s">
        <v>138</v>
      </c>
      <c r="FF18" s="1316" t="s">
        <v>139</v>
      </c>
      <c r="FG18" s="1316" t="s">
        <v>140</v>
      </c>
      <c r="FH18" s="1316" t="s">
        <v>141</v>
      </c>
      <c r="FI18" s="1316" t="s">
        <v>142</v>
      </c>
      <c r="FJ18" s="1316" t="s">
        <v>143</v>
      </c>
      <c r="FK18" s="1316" t="s">
        <v>144</v>
      </c>
      <c r="FL18" s="1316" t="s">
        <v>145</v>
      </c>
      <c r="FM18" s="1316" t="s">
        <v>146</v>
      </c>
      <c r="FN18" s="1316" t="s">
        <v>147</v>
      </c>
      <c r="FO18" s="1319"/>
      <c r="FP18" s="1319"/>
      <c r="FQ18" s="1319"/>
      <c r="FR18" s="1314" t="s">
        <v>14</v>
      </c>
      <c r="FS18" s="1314" t="s">
        <v>15</v>
      </c>
      <c r="FT18" s="1314" t="s">
        <v>16</v>
      </c>
      <c r="FU18" s="1314" t="s">
        <v>17</v>
      </c>
      <c r="FV18" s="1314" t="s">
        <v>18</v>
      </c>
      <c r="FW18" s="1314" t="s">
        <v>19</v>
      </c>
      <c r="FX18" s="1314" t="s">
        <v>20</v>
      </c>
      <c r="FY18" s="1314" t="s">
        <v>21</v>
      </c>
      <c r="FZ18" s="1314" t="s">
        <v>22</v>
      </c>
      <c r="GA18" s="1314" t="s">
        <v>23</v>
      </c>
      <c r="GB18" s="1314" t="s">
        <v>138</v>
      </c>
      <c r="GC18" s="1314" t="s">
        <v>139</v>
      </c>
      <c r="GD18" s="1314" t="s">
        <v>140</v>
      </c>
      <c r="GE18" s="1314" t="s">
        <v>141</v>
      </c>
      <c r="GF18" s="1314" t="s">
        <v>142</v>
      </c>
      <c r="GG18" s="1314" t="s">
        <v>143</v>
      </c>
      <c r="GH18" s="1314" t="s">
        <v>144</v>
      </c>
      <c r="GI18" s="1314" t="s">
        <v>145</v>
      </c>
      <c r="GJ18" s="1314" t="s">
        <v>146</v>
      </c>
      <c r="GK18" s="1314" t="s">
        <v>147</v>
      </c>
      <c r="GL18" s="1314" t="s">
        <v>2</v>
      </c>
    </row>
    <row r="19" spans="2:194" ht="13.5" customHeight="1" x14ac:dyDescent="0.2">
      <c r="B19" s="1340"/>
      <c r="C19" s="1344"/>
      <c r="D19" s="1326"/>
      <c r="E19" s="1326"/>
      <c r="F19" s="1326"/>
      <c r="G19" s="1326"/>
      <c r="H19" s="1326"/>
      <c r="I19" s="1326"/>
      <c r="J19" s="1326"/>
      <c r="K19" s="1326"/>
      <c r="L19" s="1326"/>
      <c r="M19" s="1316"/>
      <c r="N19" s="1326"/>
      <c r="O19" s="1316"/>
      <c r="P19" s="1326"/>
      <c r="Q19" s="1316"/>
      <c r="R19" s="1326"/>
      <c r="S19" s="1316"/>
      <c r="T19" s="1326"/>
      <c r="U19" s="1316"/>
      <c r="V19" s="1326"/>
      <c r="W19" s="1316"/>
      <c r="X19" s="1328"/>
      <c r="Y19" s="1324"/>
      <c r="Z19" s="1326"/>
      <c r="AA19" s="1326"/>
      <c r="AB19" s="1326"/>
      <c r="AC19" s="1326"/>
      <c r="AD19" s="1326"/>
      <c r="AE19" s="1326"/>
      <c r="AF19" s="1326"/>
      <c r="AG19" s="1326"/>
      <c r="AH19" s="1316"/>
      <c r="AI19" s="1316"/>
      <c r="AJ19" s="1316"/>
      <c r="AK19" s="1316"/>
      <c r="AL19" s="1316"/>
      <c r="AM19" s="1316"/>
      <c r="AN19" s="1316"/>
      <c r="AO19" s="1316"/>
      <c r="AP19" s="1316"/>
      <c r="AQ19" s="1316"/>
      <c r="AR19" s="1316"/>
      <c r="AS19" s="1328"/>
      <c r="AT19" s="1324"/>
      <c r="AU19" s="1326"/>
      <c r="AV19" s="1326"/>
      <c r="AW19" s="1326"/>
      <c r="AX19" s="1326"/>
      <c r="AY19" s="1326"/>
      <c r="AZ19" s="1326"/>
      <c r="BA19" s="1326"/>
      <c r="BB19" s="1326"/>
      <c r="BC19" s="1316"/>
      <c r="BD19" s="1316"/>
      <c r="BE19" s="1316"/>
      <c r="BF19" s="1316"/>
      <c r="BG19" s="1316"/>
      <c r="BH19" s="1316"/>
      <c r="BI19" s="1316"/>
      <c r="BJ19" s="1316"/>
      <c r="BK19" s="1316"/>
      <c r="BL19" s="1316"/>
      <c r="BM19" s="1316"/>
      <c r="BN19" s="1328"/>
      <c r="BO19" s="1324"/>
      <c r="BP19" s="1326"/>
      <c r="BQ19" s="1326"/>
      <c r="BR19" s="1326"/>
      <c r="BS19" s="1326"/>
      <c r="BT19" s="1326"/>
      <c r="BU19" s="1326"/>
      <c r="BV19" s="1326"/>
      <c r="BW19" s="1326"/>
      <c r="BX19" s="1316"/>
      <c r="BY19" s="1316"/>
      <c r="BZ19" s="1316"/>
      <c r="CA19" s="1316"/>
      <c r="CB19" s="1316"/>
      <c r="CC19" s="1316"/>
      <c r="CD19" s="1316"/>
      <c r="CE19" s="1316"/>
      <c r="CF19" s="1316"/>
      <c r="CG19" s="1316"/>
      <c r="CH19" s="1316"/>
      <c r="CI19" s="1328"/>
      <c r="CJ19" s="1324"/>
      <c r="CK19" s="1326"/>
      <c r="CL19" s="1326"/>
      <c r="CM19" s="1326"/>
      <c r="CN19" s="1326"/>
      <c r="CO19" s="1326"/>
      <c r="CP19" s="1326"/>
      <c r="CQ19" s="1326"/>
      <c r="CR19" s="1326"/>
      <c r="CS19" s="1316"/>
      <c r="CT19" s="1316"/>
      <c r="CU19" s="1316"/>
      <c r="CV19" s="1316"/>
      <c r="CW19" s="1316"/>
      <c r="CX19" s="1316"/>
      <c r="CY19" s="1316"/>
      <c r="CZ19" s="1316"/>
      <c r="DA19" s="1316"/>
      <c r="DB19" s="1316"/>
      <c r="DC19" s="1316"/>
      <c r="DD19" s="1328"/>
      <c r="DE19" s="1324"/>
      <c r="DF19" s="1326"/>
      <c r="DG19" s="1326"/>
      <c r="DH19" s="1326"/>
      <c r="DI19" s="1326"/>
      <c r="DJ19" s="1326"/>
      <c r="DK19" s="1326"/>
      <c r="DL19" s="1326"/>
      <c r="DM19" s="1326"/>
      <c r="DN19" s="1316"/>
      <c r="DO19" s="1316"/>
      <c r="DP19" s="1316"/>
      <c r="DQ19" s="1316"/>
      <c r="DR19" s="1316"/>
      <c r="DS19" s="1316"/>
      <c r="DT19" s="1316"/>
      <c r="DU19" s="1316"/>
      <c r="DV19" s="1316"/>
      <c r="DW19" s="1316"/>
      <c r="DX19" s="1316"/>
      <c r="DY19" s="1328"/>
      <c r="DZ19" s="1324"/>
      <c r="EA19" s="1326"/>
      <c r="EB19" s="1326"/>
      <c r="EC19" s="1326"/>
      <c r="ED19" s="1326"/>
      <c r="EE19" s="1326"/>
      <c r="EF19" s="1326"/>
      <c r="EG19" s="1326"/>
      <c r="EH19" s="1326"/>
      <c r="EI19" s="1316"/>
      <c r="EJ19" s="1316"/>
      <c r="EK19" s="1316"/>
      <c r="EL19" s="1316"/>
      <c r="EM19" s="1316"/>
      <c r="EN19" s="1316"/>
      <c r="EO19" s="1316"/>
      <c r="EP19" s="1316"/>
      <c r="EQ19" s="1316"/>
      <c r="ER19" s="1316"/>
      <c r="ES19" s="1316"/>
      <c r="ET19" s="1096"/>
      <c r="EU19" s="1324"/>
      <c r="EV19" s="1326"/>
      <c r="EW19" s="1326"/>
      <c r="EX19" s="1326"/>
      <c r="EY19" s="1326"/>
      <c r="EZ19" s="1326"/>
      <c r="FA19" s="1326"/>
      <c r="FB19" s="1326"/>
      <c r="FC19" s="1326"/>
      <c r="FD19" s="1316"/>
      <c r="FE19" s="1316"/>
      <c r="FF19" s="1316"/>
      <c r="FG19" s="1316"/>
      <c r="FH19" s="1316"/>
      <c r="FI19" s="1316"/>
      <c r="FJ19" s="1316"/>
      <c r="FK19" s="1316"/>
      <c r="FL19" s="1316"/>
      <c r="FM19" s="1316"/>
      <c r="FN19" s="1316"/>
      <c r="FO19" s="1319"/>
      <c r="FP19" s="1319"/>
      <c r="FQ19" s="1319"/>
      <c r="FR19" s="1315"/>
      <c r="FS19" s="1315"/>
      <c r="FT19" s="1315"/>
      <c r="FU19" s="1315"/>
      <c r="FV19" s="1315"/>
      <c r="FW19" s="1315"/>
      <c r="FX19" s="1315"/>
      <c r="FY19" s="1315"/>
      <c r="FZ19" s="1315"/>
      <c r="GA19" s="1315"/>
      <c r="GB19" s="1315"/>
      <c r="GC19" s="1315"/>
      <c r="GD19" s="1315"/>
      <c r="GE19" s="1315"/>
      <c r="GF19" s="1315"/>
      <c r="GG19" s="1315"/>
      <c r="GH19" s="1315"/>
      <c r="GI19" s="1315"/>
      <c r="GJ19" s="1315"/>
      <c r="GK19" s="1315"/>
      <c r="GL19" s="1315"/>
    </row>
    <row r="20" spans="2:194" ht="13.5" customHeight="1" x14ac:dyDescent="0.2">
      <c r="B20" s="1340"/>
      <c r="C20" s="1344"/>
      <c r="D20" s="1326"/>
      <c r="E20" s="1326"/>
      <c r="F20" s="1326"/>
      <c r="G20" s="1326"/>
      <c r="H20" s="1326"/>
      <c r="I20" s="1326"/>
      <c r="J20" s="1326"/>
      <c r="K20" s="1326"/>
      <c r="L20" s="1326"/>
      <c r="M20" s="1316"/>
      <c r="N20" s="1326"/>
      <c r="O20" s="1316"/>
      <c r="P20" s="1326"/>
      <c r="Q20" s="1316"/>
      <c r="R20" s="1326"/>
      <c r="S20" s="1316"/>
      <c r="T20" s="1326"/>
      <c r="U20" s="1316"/>
      <c r="V20" s="1326"/>
      <c r="W20" s="1316"/>
      <c r="X20" s="1328"/>
      <c r="Y20" s="1324"/>
      <c r="Z20" s="1326"/>
      <c r="AA20" s="1326"/>
      <c r="AB20" s="1326"/>
      <c r="AC20" s="1326"/>
      <c r="AD20" s="1326"/>
      <c r="AE20" s="1326"/>
      <c r="AF20" s="1326"/>
      <c r="AG20" s="1326"/>
      <c r="AH20" s="1316"/>
      <c r="AI20" s="1316"/>
      <c r="AJ20" s="1316"/>
      <c r="AK20" s="1316"/>
      <c r="AL20" s="1316"/>
      <c r="AM20" s="1316"/>
      <c r="AN20" s="1316"/>
      <c r="AO20" s="1316"/>
      <c r="AP20" s="1316"/>
      <c r="AQ20" s="1316"/>
      <c r="AR20" s="1316"/>
      <c r="AS20" s="1328"/>
      <c r="AT20" s="1324"/>
      <c r="AU20" s="1326"/>
      <c r="AV20" s="1326"/>
      <c r="AW20" s="1326"/>
      <c r="AX20" s="1326"/>
      <c r="AY20" s="1326"/>
      <c r="AZ20" s="1326"/>
      <c r="BA20" s="1326"/>
      <c r="BB20" s="1326"/>
      <c r="BC20" s="1316"/>
      <c r="BD20" s="1316"/>
      <c r="BE20" s="1316"/>
      <c r="BF20" s="1316"/>
      <c r="BG20" s="1316"/>
      <c r="BH20" s="1316"/>
      <c r="BI20" s="1316"/>
      <c r="BJ20" s="1316"/>
      <c r="BK20" s="1316"/>
      <c r="BL20" s="1316"/>
      <c r="BM20" s="1316"/>
      <c r="BN20" s="1328"/>
      <c r="BO20" s="1324"/>
      <c r="BP20" s="1326"/>
      <c r="BQ20" s="1326"/>
      <c r="BR20" s="1326"/>
      <c r="BS20" s="1326"/>
      <c r="BT20" s="1326"/>
      <c r="BU20" s="1326"/>
      <c r="BV20" s="1326"/>
      <c r="BW20" s="1326"/>
      <c r="BX20" s="1316"/>
      <c r="BY20" s="1316"/>
      <c r="BZ20" s="1316"/>
      <c r="CA20" s="1316"/>
      <c r="CB20" s="1316"/>
      <c r="CC20" s="1316"/>
      <c r="CD20" s="1316"/>
      <c r="CE20" s="1316"/>
      <c r="CF20" s="1316"/>
      <c r="CG20" s="1316"/>
      <c r="CH20" s="1316"/>
      <c r="CI20" s="1328"/>
      <c r="CJ20" s="1324"/>
      <c r="CK20" s="1326"/>
      <c r="CL20" s="1326"/>
      <c r="CM20" s="1326"/>
      <c r="CN20" s="1326"/>
      <c r="CO20" s="1326"/>
      <c r="CP20" s="1326"/>
      <c r="CQ20" s="1326"/>
      <c r="CR20" s="1326"/>
      <c r="CS20" s="1316"/>
      <c r="CT20" s="1316"/>
      <c r="CU20" s="1316"/>
      <c r="CV20" s="1316"/>
      <c r="CW20" s="1316"/>
      <c r="CX20" s="1316"/>
      <c r="CY20" s="1316"/>
      <c r="CZ20" s="1316"/>
      <c r="DA20" s="1316"/>
      <c r="DB20" s="1316"/>
      <c r="DC20" s="1316"/>
      <c r="DD20" s="1328"/>
      <c r="DE20" s="1324"/>
      <c r="DF20" s="1326"/>
      <c r="DG20" s="1326"/>
      <c r="DH20" s="1326"/>
      <c r="DI20" s="1326"/>
      <c r="DJ20" s="1326"/>
      <c r="DK20" s="1326"/>
      <c r="DL20" s="1326"/>
      <c r="DM20" s="1326"/>
      <c r="DN20" s="1316"/>
      <c r="DO20" s="1316"/>
      <c r="DP20" s="1316"/>
      <c r="DQ20" s="1316"/>
      <c r="DR20" s="1316"/>
      <c r="DS20" s="1316"/>
      <c r="DT20" s="1316"/>
      <c r="DU20" s="1316"/>
      <c r="DV20" s="1316"/>
      <c r="DW20" s="1316"/>
      <c r="DX20" s="1316"/>
      <c r="DY20" s="1328"/>
      <c r="DZ20" s="1324"/>
      <c r="EA20" s="1326"/>
      <c r="EB20" s="1326"/>
      <c r="EC20" s="1326"/>
      <c r="ED20" s="1326"/>
      <c r="EE20" s="1326"/>
      <c r="EF20" s="1326"/>
      <c r="EG20" s="1326"/>
      <c r="EH20" s="1326"/>
      <c r="EI20" s="1316"/>
      <c r="EJ20" s="1316"/>
      <c r="EK20" s="1316"/>
      <c r="EL20" s="1316"/>
      <c r="EM20" s="1316"/>
      <c r="EN20" s="1316"/>
      <c r="EO20" s="1316"/>
      <c r="EP20" s="1316"/>
      <c r="EQ20" s="1316"/>
      <c r="ER20" s="1316"/>
      <c r="ES20" s="1316"/>
      <c r="ET20" s="1096"/>
      <c r="EU20" s="1324"/>
      <c r="EV20" s="1326"/>
      <c r="EW20" s="1326"/>
      <c r="EX20" s="1326"/>
      <c r="EY20" s="1326"/>
      <c r="EZ20" s="1326"/>
      <c r="FA20" s="1326"/>
      <c r="FB20" s="1326"/>
      <c r="FC20" s="1326"/>
      <c r="FD20" s="1316"/>
      <c r="FE20" s="1316"/>
      <c r="FF20" s="1316"/>
      <c r="FG20" s="1316"/>
      <c r="FH20" s="1316"/>
      <c r="FI20" s="1316"/>
      <c r="FJ20" s="1316"/>
      <c r="FK20" s="1316"/>
      <c r="FL20" s="1316"/>
      <c r="FM20" s="1316"/>
      <c r="FN20" s="1316"/>
      <c r="FO20" s="1319"/>
      <c r="FP20" s="1319"/>
      <c r="FQ20" s="1319"/>
      <c r="FR20" s="1315"/>
      <c r="FS20" s="1315"/>
      <c r="FT20" s="1315"/>
      <c r="FU20" s="1315"/>
      <c r="FV20" s="1315"/>
      <c r="FW20" s="1315"/>
      <c r="FX20" s="1315"/>
      <c r="FY20" s="1315"/>
      <c r="FZ20" s="1315"/>
      <c r="GA20" s="1315"/>
      <c r="GB20" s="1315"/>
      <c r="GC20" s="1315"/>
      <c r="GD20" s="1315"/>
      <c r="GE20" s="1315"/>
      <c r="GF20" s="1315"/>
      <c r="GG20" s="1315"/>
      <c r="GH20" s="1315"/>
      <c r="GI20" s="1315"/>
      <c r="GJ20" s="1315"/>
      <c r="GK20" s="1315"/>
      <c r="GL20" s="1315"/>
    </row>
    <row r="21" spans="2:194" ht="13.5" customHeight="1" x14ac:dyDescent="0.2">
      <c r="B21" s="1340"/>
      <c r="C21" s="265" t="s">
        <v>2</v>
      </c>
      <c r="D21" s="1327"/>
      <c r="E21" s="1327"/>
      <c r="F21" s="1327"/>
      <c r="G21" s="1327"/>
      <c r="H21" s="1327"/>
      <c r="I21" s="1327"/>
      <c r="J21" s="1327"/>
      <c r="K21" s="1327"/>
      <c r="L21" s="1327"/>
      <c r="M21" s="1317"/>
      <c r="N21" s="1327"/>
      <c r="O21" s="1317"/>
      <c r="P21" s="1327"/>
      <c r="Q21" s="1317"/>
      <c r="R21" s="1327"/>
      <c r="S21" s="1317"/>
      <c r="T21" s="1327"/>
      <c r="U21" s="1317"/>
      <c r="V21" s="1327"/>
      <c r="W21" s="1317"/>
      <c r="X21" s="265" t="s">
        <v>2</v>
      </c>
      <c r="Y21" s="1325"/>
      <c r="Z21" s="1327"/>
      <c r="AA21" s="1327"/>
      <c r="AB21" s="1327"/>
      <c r="AC21" s="1327"/>
      <c r="AD21" s="1327"/>
      <c r="AE21" s="1327"/>
      <c r="AF21" s="1327"/>
      <c r="AG21" s="1327"/>
      <c r="AH21" s="1317"/>
      <c r="AI21" s="1317"/>
      <c r="AJ21" s="1317"/>
      <c r="AK21" s="1317"/>
      <c r="AL21" s="1317"/>
      <c r="AM21" s="1317"/>
      <c r="AN21" s="1317"/>
      <c r="AO21" s="1317"/>
      <c r="AP21" s="1317"/>
      <c r="AQ21" s="1317"/>
      <c r="AR21" s="1317"/>
      <c r="AS21" s="265" t="s">
        <v>2</v>
      </c>
      <c r="AT21" s="1325"/>
      <c r="AU21" s="1327"/>
      <c r="AV21" s="1327"/>
      <c r="AW21" s="1327"/>
      <c r="AX21" s="1327"/>
      <c r="AY21" s="1327"/>
      <c r="AZ21" s="1327"/>
      <c r="BA21" s="1327"/>
      <c r="BB21" s="1327"/>
      <c r="BC21" s="1317"/>
      <c r="BD21" s="1317"/>
      <c r="BE21" s="1317"/>
      <c r="BF21" s="1317"/>
      <c r="BG21" s="1317"/>
      <c r="BH21" s="1317"/>
      <c r="BI21" s="1317"/>
      <c r="BJ21" s="1317"/>
      <c r="BK21" s="1317"/>
      <c r="BL21" s="1317"/>
      <c r="BM21" s="1317"/>
      <c r="BN21" s="265" t="s">
        <v>2</v>
      </c>
      <c r="BO21" s="1325"/>
      <c r="BP21" s="1327"/>
      <c r="BQ21" s="1327"/>
      <c r="BR21" s="1327"/>
      <c r="BS21" s="1327"/>
      <c r="BT21" s="1327"/>
      <c r="BU21" s="1327"/>
      <c r="BV21" s="1327"/>
      <c r="BW21" s="1327"/>
      <c r="BX21" s="1317"/>
      <c r="BY21" s="1317"/>
      <c r="BZ21" s="1317"/>
      <c r="CA21" s="1317"/>
      <c r="CB21" s="1317"/>
      <c r="CC21" s="1317"/>
      <c r="CD21" s="1317"/>
      <c r="CE21" s="1317"/>
      <c r="CF21" s="1317"/>
      <c r="CG21" s="1317"/>
      <c r="CH21" s="1317"/>
      <c r="CI21" s="265" t="s">
        <v>2</v>
      </c>
      <c r="CJ21" s="1325"/>
      <c r="CK21" s="1327"/>
      <c r="CL21" s="1327"/>
      <c r="CM21" s="1327"/>
      <c r="CN21" s="1327"/>
      <c r="CO21" s="1327"/>
      <c r="CP21" s="1327"/>
      <c r="CQ21" s="1327"/>
      <c r="CR21" s="1327"/>
      <c r="CS21" s="1317"/>
      <c r="CT21" s="1317"/>
      <c r="CU21" s="1317"/>
      <c r="CV21" s="1317"/>
      <c r="CW21" s="1317"/>
      <c r="CX21" s="1317"/>
      <c r="CY21" s="1317"/>
      <c r="CZ21" s="1317"/>
      <c r="DA21" s="1317"/>
      <c r="DB21" s="1317"/>
      <c r="DC21" s="1317"/>
      <c r="DD21" s="265" t="s">
        <v>2</v>
      </c>
      <c r="DE21" s="1325"/>
      <c r="DF21" s="1327"/>
      <c r="DG21" s="1327"/>
      <c r="DH21" s="1327"/>
      <c r="DI21" s="1327"/>
      <c r="DJ21" s="1327"/>
      <c r="DK21" s="1327"/>
      <c r="DL21" s="1327"/>
      <c r="DM21" s="1327"/>
      <c r="DN21" s="1317"/>
      <c r="DO21" s="1317"/>
      <c r="DP21" s="1317"/>
      <c r="DQ21" s="1317"/>
      <c r="DR21" s="1317"/>
      <c r="DS21" s="1317"/>
      <c r="DT21" s="1317"/>
      <c r="DU21" s="1317"/>
      <c r="DV21" s="1317"/>
      <c r="DW21" s="1317"/>
      <c r="DX21" s="1317"/>
      <c r="DY21" s="265" t="s">
        <v>2</v>
      </c>
      <c r="DZ21" s="1325"/>
      <c r="EA21" s="1327"/>
      <c r="EB21" s="1327"/>
      <c r="EC21" s="1327"/>
      <c r="ED21" s="1327"/>
      <c r="EE21" s="1327"/>
      <c r="EF21" s="1327"/>
      <c r="EG21" s="1327"/>
      <c r="EH21" s="1327"/>
      <c r="EI21" s="1317"/>
      <c r="EJ21" s="1317"/>
      <c r="EK21" s="1317"/>
      <c r="EL21" s="1317"/>
      <c r="EM21" s="1317"/>
      <c r="EN21" s="1317"/>
      <c r="EO21" s="1317"/>
      <c r="EP21" s="1317"/>
      <c r="EQ21" s="1317"/>
      <c r="ER21" s="1317"/>
      <c r="ES21" s="1317"/>
      <c r="ET21" s="265" t="s">
        <v>2</v>
      </c>
      <c r="EU21" s="1325"/>
      <c r="EV21" s="1327"/>
      <c r="EW21" s="1327"/>
      <c r="EX21" s="1327"/>
      <c r="EY21" s="1327"/>
      <c r="EZ21" s="1327"/>
      <c r="FA21" s="1327"/>
      <c r="FB21" s="1327"/>
      <c r="FC21" s="1327"/>
      <c r="FD21" s="1317"/>
      <c r="FE21" s="1317"/>
      <c r="FF21" s="1317"/>
      <c r="FG21" s="1317"/>
      <c r="FH21" s="1317"/>
      <c r="FI21" s="1317"/>
      <c r="FJ21" s="1317"/>
      <c r="FK21" s="1317"/>
      <c r="FL21" s="1317"/>
      <c r="FM21" s="1317"/>
      <c r="FN21" s="1317"/>
      <c r="FO21" s="1320"/>
      <c r="FP21" s="1320"/>
      <c r="FQ21" s="1320"/>
      <c r="FR21" s="1315"/>
      <c r="FS21" s="1315"/>
      <c r="FT21" s="1315"/>
      <c r="FU21" s="1315"/>
      <c r="FV21" s="1315"/>
      <c r="FW21" s="1315"/>
      <c r="FX21" s="1315"/>
      <c r="FY21" s="1315"/>
      <c r="FZ21" s="1315"/>
      <c r="GA21" s="1315"/>
      <c r="GB21" s="1315"/>
      <c r="GC21" s="1315"/>
      <c r="GD21" s="1315"/>
      <c r="GE21" s="1315"/>
      <c r="GF21" s="1315"/>
      <c r="GG21" s="1315"/>
      <c r="GH21" s="1315"/>
      <c r="GI21" s="1315"/>
      <c r="GJ21" s="1315"/>
      <c r="GK21" s="1315"/>
      <c r="GL21" s="1315"/>
    </row>
    <row r="22" spans="2:194" ht="13.5" customHeight="1" x14ac:dyDescent="0.25">
      <c r="B22" s="257" t="s">
        <v>107</v>
      </c>
      <c r="C22" s="264" t="str">
        <f>IF(C53=0,"",C53)</f>
        <v/>
      </c>
      <c r="D22" s="264" t="str">
        <f t="shared" ref="D22:W22" si="0">IF(D53=0,"",D53)</f>
        <v/>
      </c>
      <c r="E22" s="264" t="str">
        <f t="shared" si="0"/>
        <v/>
      </c>
      <c r="F22" s="264" t="str">
        <f t="shared" si="0"/>
        <v/>
      </c>
      <c r="G22" s="264" t="str">
        <f t="shared" si="0"/>
        <v/>
      </c>
      <c r="H22" s="264" t="str">
        <f t="shared" si="0"/>
        <v/>
      </c>
      <c r="I22" s="264" t="str">
        <f t="shared" si="0"/>
        <v/>
      </c>
      <c r="J22" s="264" t="str">
        <f t="shared" si="0"/>
        <v/>
      </c>
      <c r="K22" s="264" t="str">
        <f t="shared" si="0"/>
        <v/>
      </c>
      <c r="L22" s="264" t="str">
        <f t="shared" si="0"/>
        <v/>
      </c>
      <c r="M22" s="264" t="str">
        <f t="shared" si="0"/>
        <v/>
      </c>
      <c r="N22" s="264" t="str">
        <f t="shared" si="0"/>
        <v/>
      </c>
      <c r="O22" s="264" t="str">
        <f t="shared" si="0"/>
        <v/>
      </c>
      <c r="P22" s="264" t="str">
        <f t="shared" si="0"/>
        <v/>
      </c>
      <c r="Q22" s="264" t="str">
        <f t="shared" si="0"/>
        <v/>
      </c>
      <c r="R22" s="264" t="str">
        <f t="shared" si="0"/>
        <v/>
      </c>
      <c r="S22" s="264" t="str">
        <f t="shared" si="0"/>
        <v/>
      </c>
      <c r="T22" s="264" t="str">
        <f t="shared" si="0"/>
        <v/>
      </c>
      <c r="U22" s="264" t="str">
        <f t="shared" si="0"/>
        <v/>
      </c>
      <c r="V22" s="264" t="str">
        <f t="shared" si="0"/>
        <v/>
      </c>
      <c r="W22" s="264" t="str">
        <f t="shared" si="0"/>
        <v/>
      </c>
      <c r="X22" s="264" t="str">
        <f t="shared" ref="X22:EU22" si="1">IF(X53=0,"",X53)</f>
        <v/>
      </c>
      <c r="Y22" s="264" t="str">
        <f t="shared" si="1"/>
        <v/>
      </c>
      <c r="Z22" s="264" t="str">
        <f t="shared" si="1"/>
        <v/>
      </c>
      <c r="AA22" s="264" t="str">
        <f t="shared" si="1"/>
        <v/>
      </c>
      <c r="AB22" s="264" t="str">
        <f t="shared" si="1"/>
        <v/>
      </c>
      <c r="AC22" s="264" t="str">
        <f t="shared" si="1"/>
        <v/>
      </c>
      <c r="AD22" s="264" t="str">
        <f t="shared" si="1"/>
        <v/>
      </c>
      <c r="AE22" s="264" t="str">
        <f t="shared" si="1"/>
        <v/>
      </c>
      <c r="AF22" s="264" t="str">
        <f t="shared" si="1"/>
        <v/>
      </c>
      <c r="AG22" s="264" t="str">
        <f t="shared" si="1"/>
        <v/>
      </c>
      <c r="AH22" s="264" t="str">
        <f t="shared" si="1"/>
        <v/>
      </c>
      <c r="AI22" s="264" t="str">
        <f t="shared" si="1"/>
        <v/>
      </c>
      <c r="AJ22" s="264" t="str">
        <f t="shared" si="1"/>
        <v/>
      </c>
      <c r="AK22" s="264" t="str">
        <f t="shared" si="1"/>
        <v/>
      </c>
      <c r="AL22" s="264" t="str">
        <f t="shared" si="1"/>
        <v/>
      </c>
      <c r="AM22" s="264" t="str">
        <f t="shared" si="1"/>
        <v/>
      </c>
      <c r="AN22" s="264" t="str">
        <f t="shared" si="1"/>
        <v/>
      </c>
      <c r="AO22" s="264" t="str">
        <f t="shared" si="1"/>
        <v/>
      </c>
      <c r="AP22" s="264" t="str">
        <f t="shared" si="1"/>
        <v/>
      </c>
      <c r="AQ22" s="264" t="str">
        <f t="shared" si="1"/>
        <v/>
      </c>
      <c r="AR22" s="264" t="str">
        <f t="shared" si="1"/>
        <v/>
      </c>
      <c r="AS22" s="264" t="str">
        <f t="shared" si="1"/>
        <v/>
      </c>
      <c r="AT22" s="264" t="str">
        <f t="shared" si="1"/>
        <v/>
      </c>
      <c r="AU22" s="264" t="str">
        <f t="shared" si="1"/>
        <v/>
      </c>
      <c r="AV22" s="264" t="str">
        <f t="shared" si="1"/>
        <v/>
      </c>
      <c r="AW22" s="264" t="str">
        <f t="shared" si="1"/>
        <v/>
      </c>
      <c r="AX22" s="264" t="str">
        <f t="shared" si="1"/>
        <v/>
      </c>
      <c r="AY22" s="264" t="str">
        <f t="shared" si="1"/>
        <v/>
      </c>
      <c r="AZ22" s="264" t="str">
        <f t="shared" si="1"/>
        <v/>
      </c>
      <c r="BA22" s="264" t="str">
        <f t="shared" si="1"/>
        <v/>
      </c>
      <c r="BB22" s="264" t="str">
        <f t="shared" si="1"/>
        <v/>
      </c>
      <c r="BC22" s="264" t="str">
        <f t="shared" si="1"/>
        <v/>
      </c>
      <c r="BD22" s="264" t="str">
        <f t="shared" si="1"/>
        <v/>
      </c>
      <c r="BE22" s="264" t="str">
        <f t="shared" si="1"/>
        <v/>
      </c>
      <c r="BF22" s="264" t="str">
        <f t="shared" si="1"/>
        <v/>
      </c>
      <c r="BG22" s="264" t="str">
        <f t="shared" si="1"/>
        <v/>
      </c>
      <c r="BH22" s="264" t="str">
        <f t="shared" si="1"/>
        <v/>
      </c>
      <c r="BI22" s="264" t="str">
        <f t="shared" si="1"/>
        <v/>
      </c>
      <c r="BJ22" s="264" t="str">
        <f t="shared" si="1"/>
        <v/>
      </c>
      <c r="BK22" s="264" t="str">
        <f t="shared" si="1"/>
        <v/>
      </c>
      <c r="BL22" s="264" t="str">
        <f t="shared" si="1"/>
        <v/>
      </c>
      <c r="BM22" s="264" t="str">
        <f t="shared" si="1"/>
        <v/>
      </c>
      <c r="BN22" s="264" t="str">
        <f t="shared" si="1"/>
        <v/>
      </c>
      <c r="BO22" s="264" t="str">
        <f t="shared" si="1"/>
        <v/>
      </c>
      <c r="BP22" s="264" t="str">
        <f t="shared" si="1"/>
        <v/>
      </c>
      <c r="BQ22" s="264" t="str">
        <f t="shared" si="1"/>
        <v/>
      </c>
      <c r="BR22" s="264" t="str">
        <f t="shared" si="1"/>
        <v/>
      </c>
      <c r="BS22" s="264" t="str">
        <f t="shared" si="1"/>
        <v/>
      </c>
      <c r="BT22" s="264" t="str">
        <f t="shared" si="1"/>
        <v/>
      </c>
      <c r="BU22" s="264" t="str">
        <f t="shared" si="1"/>
        <v/>
      </c>
      <c r="BV22" s="264" t="str">
        <f t="shared" si="1"/>
        <v/>
      </c>
      <c r="BW22" s="264" t="str">
        <f t="shared" si="1"/>
        <v/>
      </c>
      <c r="BX22" s="264" t="str">
        <f t="shared" si="1"/>
        <v/>
      </c>
      <c r="BY22" s="264" t="str">
        <f t="shared" si="1"/>
        <v/>
      </c>
      <c r="BZ22" s="264" t="str">
        <f t="shared" si="1"/>
        <v/>
      </c>
      <c r="CA22" s="264" t="str">
        <f t="shared" si="1"/>
        <v/>
      </c>
      <c r="CB22" s="264" t="str">
        <f t="shared" si="1"/>
        <v/>
      </c>
      <c r="CC22" s="264" t="str">
        <f t="shared" si="1"/>
        <v/>
      </c>
      <c r="CD22" s="264" t="str">
        <f t="shared" si="1"/>
        <v/>
      </c>
      <c r="CE22" s="264" t="str">
        <f t="shared" si="1"/>
        <v/>
      </c>
      <c r="CF22" s="264" t="str">
        <f t="shared" si="1"/>
        <v/>
      </c>
      <c r="CG22" s="264" t="str">
        <f t="shared" si="1"/>
        <v/>
      </c>
      <c r="CH22" s="264" t="str">
        <f t="shared" si="1"/>
        <v/>
      </c>
      <c r="CI22" s="264" t="str">
        <f t="shared" si="1"/>
        <v/>
      </c>
      <c r="CJ22" s="264" t="str">
        <f t="shared" si="1"/>
        <v/>
      </c>
      <c r="CK22" s="264" t="str">
        <f t="shared" si="1"/>
        <v/>
      </c>
      <c r="CL22" s="264" t="str">
        <f t="shared" si="1"/>
        <v/>
      </c>
      <c r="CM22" s="264" t="str">
        <f t="shared" si="1"/>
        <v/>
      </c>
      <c r="CN22" s="264" t="str">
        <f t="shared" si="1"/>
        <v/>
      </c>
      <c r="CO22" s="264" t="str">
        <f t="shared" si="1"/>
        <v/>
      </c>
      <c r="CP22" s="264" t="str">
        <f t="shared" si="1"/>
        <v/>
      </c>
      <c r="CQ22" s="264" t="str">
        <f t="shared" si="1"/>
        <v/>
      </c>
      <c r="CR22" s="264" t="str">
        <f t="shared" si="1"/>
        <v/>
      </c>
      <c r="CS22" s="264" t="str">
        <f t="shared" si="1"/>
        <v/>
      </c>
      <c r="CT22" s="264" t="str">
        <f t="shared" si="1"/>
        <v/>
      </c>
      <c r="CU22" s="264" t="str">
        <f t="shared" si="1"/>
        <v/>
      </c>
      <c r="CV22" s="264" t="str">
        <f t="shared" si="1"/>
        <v/>
      </c>
      <c r="CW22" s="264" t="str">
        <f t="shared" si="1"/>
        <v/>
      </c>
      <c r="CX22" s="264" t="str">
        <f t="shared" si="1"/>
        <v/>
      </c>
      <c r="CY22" s="264" t="str">
        <f t="shared" si="1"/>
        <v/>
      </c>
      <c r="CZ22" s="264" t="str">
        <f t="shared" si="1"/>
        <v/>
      </c>
      <c r="DA22" s="264" t="str">
        <f t="shared" si="1"/>
        <v/>
      </c>
      <c r="DB22" s="264" t="str">
        <f t="shared" si="1"/>
        <v/>
      </c>
      <c r="DC22" s="264" t="str">
        <f t="shared" si="1"/>
        <v/>
      </c>
      <c r="DD22" s="264" t="str">
        <f t="shared" si="1"/>
        <v/>
      </c>
      <c r="DE22" s="264" t="str">
        <f t="shared" si="1"/>
        <v/>
      </c>
      <c r="DF22" s="264" t="str">
        <f t="shared" si="1"/>
        <v/>
      </c>
      <c r="DG22" s="264" t="str">
        <f t="shared" si="1"/>
        <v/>
      </c>
      <c r="DH22" s="264" t="str">
        <f t="shared" si="1"/>
        <v/>
      </c>
      <c r="DI22" s="264" t="str">
        <f t="shared" si="1"/>
        <v/>
      </c>
      <c r="DJ22" s="264" t="str">
        <f t="shared" si="1"/>
        <v/>
      </c>
      <c r="DK22" s="264" t="str">
        <f t="shared" si="1"/>
        <v/>
      </c>
      <c r="DL22" s="264" t="str">
        <f t="shared" si="1"/>
        <v/>
      </c>
      <c r="DM22" s="264" t="str">
        <f t="shared" si="1"/>
        <v/>
      </c>
      <c r="DN22" s="264" t="str">
        <f t="shared" si="1"/>
        <v/>
      </c>
      <c r="DO22" s="264" t="str">
        <f t="shared" si="1"/>
        <v/>
      </c>
      <c r="DP22" s="264" t="str">
        <f t="shared" si="1"/>
        <v/>
      </c>
      <c r="DQ22" s="264" t="str">
        <f t="shared" si="1"/>
        <v/>
      </c>
      <c r="DR22" s="264" t="str">
        <f t="shared" si="1"/>
        <v/>
      </c>
      <c r="DS22" s="264" t="str">
        <f t="shared" si="1"/>
        <v/>
      </c>
      <c r="DT22" s="264" t="str">
        <f t="shared" si="1"/>
        <v/>
      </c>
      <c r="DU22" s="264" t="str">
        <f t="shared" si="1"/>
        <v/>
      </c>
      <c r="DV22" s="264" t="str">
        <f t="shared" si="1"/>
        <v/>
      </c>
      <c r="DW22" s="264" t="str">
        <f t="shared" si="1"/>
        <v/>
      </c>
      <c r="DX22" s="264" t="str">
        <f t="shared" si="1"/>
        <v/>
      </c>
      <c r="DY22" s="264" t="str">
        <f t="shared" si="1"/>
        <v/>
      </c>
      <c r="DZ22" s="264" t="str">
        <f t="shared" si="1"/>
        <v/>
      </c>
      <c r="EA22" s="264" t="str">
        <f t="shared" si="1"/>
        <v/>
      </c>
      <c r="EB22" s="264" t="str">
        <f t="shared" si="1"/>
        <v/>
      </c>
      <c r="EC22" s="264" t="str">
        <f t="shared" si="1"/>
        <v/>
      </c>
      <c r="ED22" s="264" t="str">
        <f t="shared" si="1"/>
        <v/>
      </c>
      <c r="EE22" s="264" t="str">
        <f t="shared" si="1"/>
        <v/>
      </c>
      <c r="EF22" s="264" t="str">
        <f t="shared" si="1"/>
        <v/>
      </c>
      <c r="EG22" s="264" t="str">
        <f t="shared" si="1"/>
        <v/>
      </c>
      <c r="EH22" s="264" t="str">
        <f t="shared" si="1"/>
        <v/>
      </c>
      <c r="EI22" s="264" t="str">
        <f t="shared" si="1"/>
        <v/>
      </c>
      <c r="EJ22" s="264" t="str">
        <f t="shared" si="1"/>
        <v/>
      </c>
      <c r="EK22" s="264" t="str">
        <f t="shared" si="1"/>
        <v/>
      </c>
      <c r="EL22" s="264" t="str">
        <f t="shared" si="1"/>
        <v/>
      </c>
      <c r="EM22" s="264" t="str">
        <f t="shared" si="1"/>
        <v/>
      </c>
      <c r="EN22" s="264" t="str">
        <f t="shared" si="1"/>
        <v/>
      </c>
      <c r="EO22" s="264" t="str">
        <f t="shared" si="1"/>
        <v/>
      </c>
      <c r="EP22" s="264" t="str">
        <f t="shared" si="1"/>
        <v/>
      </c>
      <c r="EQ22" s="264" t="str">
        <f t="shared" si="1"/>
        <v/>
      </c>
      <c r="ER22" s="264" t="str">
        <f t="shared" si="1"/>
        <v/>
      </c>
      <c r="ES22" s="264" t="str">
        <f t="shared" si="1"/>
        <v/>
      </c>
      <c r="ET22" s="264" t="str">
        <f t="shared" si="1"/>
        <v/>
      </c>
      <c r="EU22" s="264" t="str">
        <f t="shared" si="1"/>
        <v/>
      </c>
      <c r="EV22" s="264" t="str">
        <f t="shared" ref="EV22:FP22" si="2">IF(EV53=0,"",EV53)</f>
        <v/>
      </c>
      <c r="EW22" s="264" t="str">
        <f t="shared" si="2"/>
        <v/>
      </c>
      <c r="EX22" s="264" t="str">
        <f t="shared" si="2"/>
        <v/>
      </c>
      <c r="EY22" s="264" t="str">
        <f t="shared" si="2"/>
        <v/>
      </c>
      <c r="EZ22" s="264" t="str">
        <f t="shared" si="2"/>
        <v/>
      </c>
      <c r="FA22" s="264" t="str">
        <f t="shared" si="2"/>
        <v/>
      </c>
      <c r="FB22" s="264" t="str">
        <f t="shared" si="2"/>
        <v/>
      </c>
      <c r="FC22" s="264" t="str">
        <f t="shared" si="2"/>
        <v/>
      </c>
      <c r="FD22" s="264" t="str">
        <f t="shared" si="2"/>
        <v/>
      </c>
      <c r="FE22" s="264" t="str">
        <f t="shared" si="2"/>
        <v/>
      </c>
      <c r="FF22" s="264" t="str">
        <f t="shared" si="2"/>
        <v/>
      </c>
      <c r="FG22" s="264" t="str">
        <f t="shared" si="2"/>
        <v/>
      </c>
      <c r="FH22" s="264" t="str">
        <f t="shared" si="2"/>
        <v/>
      </c>
      <c r="FI22" s="264" t="str">
        <f t="shared" si="2"/>
        <v/>
      </c>
      <c r="FJ22" s="264" t="str">
        <f t="shared" si="2"/>
        <v/>
      </c>
      <c r="FK22" s="264" t="str">
        <f t="shared" si="2"/>
        <v/>
      </c>
      <c r="FL22" s="264" t="str">
        <f t="shared" si="2"/>
        <v/>
      </c>
      <c r="FM22" s="264" t="str">
        <f t="shared" si="2"/>
        <v/>
      </c>
      <c r="FN22" s="264" t="str">
        <f t="shared" si="2"/>
        <v/>
      </c>
      <c r="FO22" s="264"/>
      <c r="FP22" s="264" t="str">
        <f t="shared" si="2"/>
        <v/>
      </c>
      <c r="FQ22" s="258"/>
      <c r="FR22" s="90" t="str">
        <f>IF(FR53=0,"",FR53)</f>
        <v/>
      </c>
      <c r="FS22" s="90" t="str">
        <f t="shared" ref="FS22:GL22" si="3">IF(FS53=0,"",FS53)</f>
        <v/>
      </c>
      <c r="FT22" s="90" t="str">
        <f t="shared" si="3"/>
        <v/>
      </c>
      <c r="FU22" s="90" t="str">
        <f t="shared" si="3"/>
        <v/>
      </c>
      <c r="FV22" s="90" t="str">
        <f t="shared" si="3"/>
        <v/>
      </c>
      <c r="FW22" s="90" t="str">
        <f t="shared" si="3"/>
        <v/>
      </c>
      <c r="FX22" s="90" t="str">
        <f t="shared" si="3"/>
        <v/>
      </c>
      <c r="FY22" s="90" t="str">
        <f t="shared" si="3"/>
        <v/>
      </c>
      <c r="FZ22" s="90" t="str">
        <f t="shared" si="3"/>
        <v/>
      </c>
      <c r="GA22" s="90" t="str">
        <f t="shared" si="3"/>
        <v/>
      </c>
      <c r="GB22" s="90" t="str">
        <f t="shared" si="3"/>
        <v/>
      </c>
      <c r="GC22" s="90" t="str">
        <f t="shared" si="3"/>
        <v/>
      </c>
      <c r="GD22" s="90" t="str">
        <f t="shared" si="3"/>
        <v/>
      </c>
      <c r="GE22" s="90" t="str">
        <f t="shared" si="3"/>
        <v/>
      </c>
      <c r="GF22" s="90" t="str">
        <f t="shared" si="3"/>
        <v/>
      </c>
      <c r="GG22" s="90" t="str">
        <f t="shared" si="3"/>
        <v/>
      </c>
      <c r="GH22" s="90" t="str">
        <f t="shared" si="3"/>
        <v/>
      </c>
      <c r="GI22" s="90" t="str">
        <f t="shared" si="3"/>
        <v/>
      </c>
      <c r="GJ22" s="90" t="str">
        <f t="shared" si="3"/>
        <v/>
      </c>
      <c r="GK22" s="90" t="str">
        <f t="shared" si="3"/>
        <v/>
      </c>
      <c r="GL22" s="90" t="str">
        <f t="shared" si="3"/>
        <v/>
      </c>
    </row>
    <row r="23" spans="2:194" s="71" customFormat="1" ht="13.5" customHeight="1" x14ac:dyDescent="0.2">
      <c r="B23" s="259" t="s">
        <v>127</v>
      </c>
      <c r="C23" s="263">
        <f>'5. PERSON'!AR193-SUM(C24:C52)</f>
        <v>0</v>
      </c>
      <c r="D23" s="263">
        <f>SUMIF('5. PERSON'!$D$17:$D$192,D$18,'5. PERSON'!$AR$17:$AR$192)-SUM(D24:D52)</f>
        <v>0</v>
      </c>
      <c r="E23" s="281">
        <f>SUMIF('5. PERSON'!$D$17:$D$192,E$18,'5. PERSON'!$AR$17:$AR$192)-SUM(E24:E52)</f>
        <v>0</v>
      </c>
      <c r="F23" s="281">
        <f>SUMIF('5. PERSON'!$D$17:$D$192,F$18,'5. PERSON'!$AR$17:$AR$192)-SUM(F24:F52)</f>
        <v>0</v>
      </c>
      <c r="G23" s="281">
        <f>SUMIF('5. PERSON'!$D$17:$D$192,G$18,'5. PERSON'!$AR$17:$AR$192)-SUM(G24:G52)</f>
        <v>0</v>
      </c>
      <c r="H23" s="281">
        <f>SUMIF('5. PERSON'!$D$17:$D$192,H$18,'5. PERSON'!$AR$17:$AR$192)-SUM(H24:H52)</f>
        <v>0</v>
      </c>
      <c r="I23" s="281">
        <f>SUMIF('5. PERSON'!$D$17:$D$192,I$18,'5. PERSON'!$AR$17:$AR$192)-SUM(I24:I52)</f>
        <v>0</v>
      </c>
      <c r="J23" s="281">
        <f>SUMIF('5. PERSON'!$D$17:$D$192,J$18,'5. PERSON'!$AR$17:$AR$192)-SUM(J24:J52)</f>
        <v>0</v>
      </c>
      <c r="K23" s="281">
        <f>SUMIF('5. PERSON'!$D$17:$D$192,K$18,'5. PERSON'!$AR$17:$AR$192)-SUM(K24:K52)</f>
        <v>0</v>
      </c>
      <c r="L23" s="281">
        <f>SUMIF('5. PERSON'!$D$17:$D$192,L$18,'5. PERSON'!$AR$17:$AR$192)-SUM(L24:L52)</f>
        <v>0</v>
      </c>
      <c r="M23" s="281">
        <f>SUMIF('5. PERSON'!$D$17:$D$192,M$18,'5. PERSON'!$AR$17:$AR$192)-SUM(M24:M52)</f>
        <v>0</v>
      </c>
      <c r="N23" s="281">
        <f>SUMIF('5. PERSON'!$D$17:$D$192,N$18,'5. PERSON'!$AR$17:$AR$192)-SUM(N24:N52)</f>
        <v>0</v>
      </c>
      <c r="O23" s="281">
        <f>SUMIF('5. PERSON'!$D$17:$D$192,O$18,'5. PERSON'!$AR$17:$AR$192)-SUM(O24:O52)</f>
        <v>0</v>
      </c>
      <c r="P23" s="281">
        <f>SUMIF('5. PERSON'!$D$17:$D$192,P$18,'5. PERSON'!$AR$17:$AR$192)-SUM(P24:P52)</f>
        <v>0</v>
      </c>
      <c r="Q23" s="281">
        <f>SUMIF('5. PERSON'!$D$17:$D$192,Q$18,'5. PERSON'!$AR$17:$AR$192)-SUM(Q24:Q52)</f>
        <v>0</v>
      </c>
      <c r="R23" s="281">
        <f>SUMIF('5. PERSON'!$D$17:$D$192,R$18,'5. PERSON'!$AR$17:$AR$192)-SUM(R24:R52)</f>
        <v>0</v>
      </c>
      <c r="S23" s="281">
        <f>SUMIF('5. PERSON'!$D$17:$D$192,S$18,'5. PERSON'!$AR$17:$AR$192)-SUM(S24:S52)</f>
        <v>0</v>
      </c>
      <c r="T23" s="281">
        <f>SUMIF('5. PERSON'!$D$17:$D$192,T$18,'5. PERSON'!$AR$17:$AR$192)-SUM(T24:T52)</f>
        <v>0</v>
      </c>
      <c r="U23" s="281">
        <f>SUMIF('5. PERSON'!$D$17:$D$192,U$18,'5. PERSON'!$AR$17:$AR$192)-SUM(U24:U52)</f>
        <v>0</v>
      </c>
      <c r="V23" s="281">
        <f>SUMIF('5. PERSON'!$D$17:$D$192,V$18,'5. PERSON'!$AR$17:$AR$192)-SUM(V24:V52)</f>
        <v>0</v>
      </c>
      <c r="W23" s="281">
        <f>SUMIF('5. PERSON'!$D$17:$D$192,W$18,'5. PERSON'!$AR$17:$AR$192)-SUM(W24:W52)</f>
        <v>0</v>
      </c>
      <c r="X23" s="263">
        <f>(SUMIF('6. OPERATION'!G17:G149,"SUBCON",'6. OPERATION'!R17:R149))-SUM(X24:X52)</f>
        <v>0</v>
      </c>
      <c r="Y23" s="263">
        <f>(SUMIFS('6. OPERATION'!$R$17:$R$149,'6. OPERATION'!$G$17:$G$149,"SUBCON",'6. OPERATION'!$D$17:$D$149,Y$18))-SUM(Y24:Y52)</f>
        <v>0</v>
      </c>
      <c r="Z23" s="263">
        <f>(SUMIFS('6. OPERATION'!$R$17:$R$149,'6. OPERATION'!$G$17:$G$149,"SUBCON",'6. OPERATION'!$D$17:$D$149,Z$18))-SUM(Z24:Z52)</f>
        <v>0</v>
      </c>
      <c r="AA23" s="263">
        <f>(SUMIFS('6. OPERATION'!$R$17:$R$149,'6. OPERATION'!$G$17:$G$149,"SUBCON",'6. OPERATION'!$D$17:$D$149,AA$18))-SUM(AA24:AA52)</f>
        <v>0</v>
      </c>
      <c r="AB23" s="263">
        <f>(SUMIFS('6. OPERATION'!$R$17:$R$149,'6. OPERATION'!$G$17:$G$149,"SUBCON",'6. OPERATION'!$D$17:$D$149,AB$18))-SUM(AB24:AB52)</f>
        <v>0</v>
      </c>
      <c r="AC23" s="263">
        <f>(SUMIFS('6. OPERATION'!$R$17:$R$149,'6. OPERATION'!$G$17:$G$149,"SUBCON",'6. OPERATION'!$D$17:$D$149,AC$18))-SUM(AC24:AC52)</f>
        <v>0</v>
      </c>
      <c r="AD23" s="263">
        <f>(SUMIFS('6. OPERATION'!$R$17:$R$149,'6. OPERATION'!$G$17:$G$149,"SUBCON",'6. OPERATION'!$D$17:$D$149,AD$18))-SUM(AD24:AD52)</f>
        <v>0</v>
      </c>
      <c r="AE23" s="263">
        <f>(SUMIFS('6. OPERATION'!$R$17:$R$149,'6. OPERATION'!$G$17:$G$149,"SUBCON",'6. OPERATION'!$D$17:$D$149,AE$18))-SUM(AE24:AE52)</f>
        <v>0</v>
      </c>
      <c r="AF23" s="263">
        <f>(SUMIFS('6. OPERATION'!$R$17:$R$149,'6. OPERATION'!$G$17:$G$149,"SUBCON",'6. OPERATION'!$D$17:$D$149,AF$18))-SUM(AF24:AF52)</f>
        <v>0</v>
      </c>
      <c r="AG23" s="263">
        <f>(SUMIFS('6. OPERATION'!$R$17:$R$149,'6. OPERATION'!$G$17:$G$149,"SUBCON",'6. OPERATION'!$D$17:$D$149,AG$18))-SUM(AG24:AG52)</f>
        <v>0</v>
      </c>
      <c r="AH23" s="263">
        <f>(SUMIFS('6. OPERATION'!$R$17:$R$149,'6. OPERATION'!$G$17:$G$149,"SUBCON",'6. OPERATION'!$D$17:$D$149,AH$18))-SUM(AH24:AH52)</f>
        <v>0</v>
      </c>
      <c r="AI23" s="281">
        <f>(SUMIFS('6. OPERATION'!$R$17:$R$149,'6. OPERATION'!$G$17:$G$149,"SUBCON",'6. OPERATION'!$D$17:$D$149,AI$18))-SUM(AI24:AI52)</f>
        <v>0</v>
      </c>
      <c r="AJ23" s="281">
        <f>(SUMIFS('6. OPERATION'!$R$17:$R$149,'6. OPERATION'!$G$17:$G$149,"SUBCON",'6. OPERATION'!$D$17:$D$149,AJ$18))-SUM(AJ24:AJ52)</f>
        <v>0</v>
      </c>
      <c r="AK23" s="281">
        <f>(SUMIFS('6. OPERATION'!$R$17:$R$149,'6. OPERATION'!$G$17:$G$149,"SUBCON",'6. OPERATION'!$D$17:$D$149,AK$18))-SUM(AK24:AK52)</f>
        <v>0</v>
      </c>
      <c r="AL23" s="281">
        <f>(SUMIFS('6. OPERATION'!$R$17:$R$149,'6. OPERATION'!$G$17:$G$149,"SUBCON",'6. OPERATION'!$D$17:$D$149,AL$18))-SUM(AL24:AL52)</f>
        <v>0</v>
      </c>
      <c r="AM23" s="281">
        <f>(SUMIFS('6. OPERATION'!$R$17:$R$149,'6. OPERATION'!$G$17:$G$149,"SUBCON",'6. OPERATION'!$D$17:$D$149,AM$18))-SUM(AM24:AM52)</f>
        <v>0</v>
      </c>
      <c r="AN23" s="281">
        <f>(SUMIFS('6. OPERATION'!$R$17:$R$149,'6. OPERATION'!$G$17:$G$149,"SUBCON",'6. OPERATION'!$D$17:$D$149,AN$18))-SUM(AN24:AN52)</f>
        <v>0</v>
      </c>
      <c r="AO23" s="281">
        <f>(SUMIFS('6. OPERATION'!$R$17:$R$149,'6. OPERATION'!$G$17:$G$149,"SUBCON",'6. OPERATION'!$D$17:$D$149,AO$18))-SUM(AO24:AO52)</f>
        <v>0</v>
      </c>
      <c r="AP23" s="281">
        <f>(SUMIFS('6. OPERATION'!$R$17:$R$149,'6. OPERATION'!$G$17:$G$149,"SUBCON",'6. OPERATION'!$D$17:$D$149,AP$18))-SUM(AP24:AP52)</f>
        <v>0</v>
      </c>
      <c r="AQ23" s="281">
        <f>(SUMIFS('6. OPERATION'!$R$17:$R$149,'6. OPERATION'!$G$17:$G$149,"SUBCON",'6. OPERATION'!$D$17:$D$149,AQ$18))-SUM(AQ24:AQ52)</f>
        <v>0</v>
      </c>
      <c r="AR23" s="281">
        <f>(SUMIFS('6. OPERATION'!$R$17:$R$149,'6. OPERATION'!$G$17:$G$149,"SUBCON",'6. OPERATION'!$D$17:$D$149,AR$18))-SUM(AR24:AR52)</f>
        <v>0</v>
      </c>
      <c r="AS23" s="263">
        <f>(SUMIF('6. OPERATION'!G17:G149,"TRAVEL",'6. OPERATION'!R17:R149))-SUM(AS24:AS52)</f>
        <v>0</v>
      </c>
      <c r="AT23" s="263">
        <f>(SUMIFS('6. OPERATION'!$R$17:$R$149,'6. OPERATION'!$G$17:$G$149,"TRAVEL",'6. OPERATION'!$D$17:$D$149,AT$18))-SUM(AT24:AT52)</f>
        <v>0</v>
      </c>
      <c r="AU23" s="263">
        <f>(SUMIFS('6. OPERATION'!$R$17:$R$149,'6. OPERATION'!$G$17:$G$149,"TRAVEL",'6. OPERATION'!$D$17:$D$149,AU$18))-SUM(AU24:AU52)</f>
        <v>0</v>
      </c>
      <c r="AV23" s="263">
        <f>(SUMIFS('6. OPERATION'!$R$17:$R$149,'6. OPERATION'!$G$17:$G$149,"TRAVEL",'6. OPERATION'!$D$17:$D$149,AV$18))-SUM(AV24:AV52)</f>
        <v>0</v>
      </c>
      <c r="AW23" s="263">
        <f>(SUMIFS('6. OPERATION'!$R$17:$R$149,'6. OPERATION'!$G$17:$G$149,"TRAVEL",'6. OPERATION'!$D$17:$D$149,AW$18))-SUM(AW24:AW52)</f>
        <v>0</v>
      </c>
      <c r="AX23" s="263">
        <f>(SUMIFS('6. OPERATION'!$R$17:$R$149,'6. OPERATION'!$G$17:$G$149,"TRAVEL",'6. OPERATION'!$D$17:$D$149,AX$18))-SUM(AX24:AX52)</f>
        <v>0</v>
      </c>
      <c r="AY23" s="263">
        <f>(SUMIFS('6. OPERATION'!$R$17:$R$149,'6. OPERATION'!$G$17:$G$149,"TRAVEL",'6. OPERATION'!$D$17:$D$149,AY$18))-SUM(AY24:AY52)</f>
        <v>0</v>
      </c>
      <c r="AZ23" s="263">
        <f>(SUMIFS('6. OPERATION'!$R$17:$R$149,'6. OPERATION'!$G$17:$G$149,"TRAVEL",'6. OPERATION'!$D$17:$D$149,AZ$18))-SUM(AZ24:AZ52)</f>
        <v>0</v>
      </c>
      <c r="BA23" s="263">
        <f>(SUMIFS('6. OPERATION'!$R$17:$R$149,'6. OPERATION'!$G$17:$G$149,"TRAVEL",'6. OPERATION'!$D$17:$D$149,BA$18))-SUM(BA24:BA52)</f>
        <v>0</v>
      </c>
      <c r="BB23" s="263">
        <f>(SUMIFS('6. OPERATION'!$R$17:$R$149,'6. OPERATION'!$G$17:$G$149,"TRAVEL",'6. OPERATION'!$D$17:$D$149,BB$18))-SUM(BB24:BB52)</f>
        <v>0</v>
      </c>
      <c r="BC23" s="263">
        <f>(SUMIFS('6. OPERATION'!$R$17:$R$149,'6. OPERATION'!$G$17:$G$149,"TRAVEL",'6. OPERATION'!$D$17:$D$149,BC$18))-SUM(BC24:BC52)</f>
        <v>0</v>
      </c>
      <c r="BD23" s="281">
        <f>(SUMIFS('6. OPERATION'!$R$17:$R$149,'6. OPERATION'!$G$17:$G$149,"TRAVEL",'6. OPERATION'!$D$17:$D$149,BD$18))-SUM(BD24:BD52)</f>
        <v>0</v>
      </c>
      <c r="BE23" s="281">
        <f>(SUMIFS('6. OPERATION'!$R$17:$R$149,'6. OPERATION'!$G$17:$G$149,"TRAVEL",'6. OPERATION'!$D$17:$D$149,BE$18))-SUM(BE24:BE52)</f>
        <v>0</v>
      </c>
      <c r="BF23" s="281">
        <f>(SUMIFS('6. OPERATION'!$R$17:$R$149,'6. OPERATION'!$G$17:$G$149,"TRAVEL",'6. OPERATION'!$D$17:$D$149,BF$18))-SUM(BF24:BF52)</f>
        <v>0</v>
      </c>
      <c r="BG23" s="281">
        <f>(SUMIFS('6. OPERATION'!$R$17:$R$149,'6. OPERATION'!$G$17:$G$149,"TRAVEL",'6. OPERATION'!$D$17:$D$149,BG$18))-SUM(BG24:BG52)</f>
        <v>0</v>
      </c>
      <c r="BH23" s="281">
        <f>(SUMIFS('6. OPERATION'!$R$17:$R$149,'6. OPERATION'!$G$17:$G$149,"TRAVEL",'6. OPERATION'!$D$17:$D$149,BH$18))-SUM(BH24:BH52)</f>
        <v>0</v>
      </c>
      <c r="BI23" s="281">
        <f>(SUMIFS('6. OPERATION'!$R$17:$R$149,'6. OPERATION'!$G$17:$G$149,"TRAVEL",'6. OPERATION'!$D$17:$D$149,BI$18))-SUM(BI24:BI52)</f>
        <v>0</v>
      </c>
      <c r="BJ23" s="281">
        <f>(SUMIFS('6. OPERATION'!$R$17:$R$149,'6. OPERATION'!$G$17:$G$149,"TRAVEL",'6. OPERATION'!$D$17:$D$149,BJ$18))-SUM(BJ24:BJ52)</f>
        <v>0</v>
      </c>
      <c r="BK23" s="281">
        <f>(SUMIFS('6. OPERATION'!$R$17:$R$149,'6. OPERATION'!$G$17:$G$149,"TRAVEL",'6. OPERATION'!$D$17:$D$149,BK$18))-SUM(BK24:BK52)</f>
        <v>0</v>
      </c>
      <c r="BL23" s="281">
        <f>(SUMIFS('6. OPERATION'!$R$17:$R$149,'6. OPERATION'!$G$17:$G$149,"TRAVEL",'6. OPERATION'!$D$17:$D$149,BL$18))-SUM(BL24:BL52)</f>
        <v>0</v>
      </c>
      <c r="BM23" s="281">
        <f>(SUMIFS('6. OPERATION'!$R$17:$R$149,'6. OPERATION'!$G$17:$G$149,"TRAVEL",'6. OPERATION'!$D$17:$D$149,BM$18))-SUM(BM24:BM52)</f>
        <v>0</v>
      </c>
      <c r="BN23" s="263">
        <f>'7. INVEST'!S50-SUM(BN24:BN52)</f>
        <v>0</v>
      </c>
      <c r="BO23" s="263">
        <f>(SUMIF('7. INVEST'!$D17:$D49,BO18,'7. INVEST'!$S17:$S49))-SUM(BO24:BO52)</f>
        <v>0</v>
      </c>
      <c r="BP23" s="263">
        <f>(SUMIF('7. INVEST'!$D17:$D49,BP18,'7. INVEST'!$S17:$S49))-SUM(BP24:BP52)</f>
        <v>0</v>
      </c>
      <c r="BQ23" s="263">
        <f>(SUMIF('7. INVEST'!$D17:$D49,BQ18,'7. INVEST'!$S17:$S49))-SUM(BQ24:BQ52)</f>
        <v>0</v>
      </c>
      <c r="BR23" s="263">
        <f>(SUMIF('7. INVEST'!$D17:$D49,BR18,'7. INVEST'!$S17:$S49))-SUM(BR24:BR52)</f>
        <v>0</v>
      </c>
      <c r="BS23" s="263">
        <f>(SUMIF('7. INVEST'!$D17:$D49,BS18,'7. INVEST'!$S17:$S49))-SUM(BS24:BS52)</f>
        <v>0</v>
      </c>
      <c r="BT23" s="263">
        <f>(SUMIF('7. INVEST'!$D17:$D49,BT18,'7. INVEST'!$S17:$S49))-SUM(BT24:BT52)</f>
        <v>0</v>
      </c>
      <c r="BU23" s="263">
        <f>(SUMIF('7. INVEST'!$D17:$D49,BU18,'7. INVEST'!$S17:$S49))-SUM(BU24:BU52)</f>
        <v>0</v>
      </c>
      <c r="BV23" s="263">
        <f>(SUMIF('7. INVEST'!$D17:$D49,BV18,'7. INVEST'!$S17:$S49))-SUM(BV24:BV52)</f>
        <v>0</v>
      </c>
      <c r="BW23" s="263">
        <f>(SUMIF('7. INVEST'!$D17:$D49,BW18,'7. INVEST'!$S17:$S49))-SUM(BW24:BW52)</f>
        <v>0</v>
      </c>
      <c r="BX23" s="263">
        <f>(SUMIF('7. INVEST'!$D17:$D49,BX18,'7. INVEST'!$S17:$S49))-SUM(BX24:BX52)</f>
        <v>0</v>
      </c>
      <c r="BY23" s="281">
        <f>(SUMIF('7. INVEST'!$D17:$D49,BY18,'7. INVEST'!$S17:$S49))-SUM(BY24:BY52)</f>
        <v>0</v>
      </c>
      <c r="BZ23" s="281">
        <f>(SUMIF('7. INVEST'!$D17:$D49,BZ18,'7. INVEST'!$S17:$S49))-SUM(BZ24:BZ52)</f>
        <v>0</v>
      </c>
      <c r="CA23" s="281">
        <f>(SUMIF('7. INVEST'!$D17:$D49,CA18,'7. INVEST'!$S17:$S49))-SUM(CA24:CA52)</f>
        <v>0</v>
      </c>
      <c r="CB23" s="281">
        <f>(SUMIF('7. INVEST'!$D17:$D49,CB18,'7. INVEST'!$S17:$S49))-SUM(CB24:CB52)</f>
        <v>0</v>
      </c>
      <c r="CC23" s="281">
        <f>(SUMIF('7. INVEST'!$D17:$D49,CC18,'7. INVEST'!$S17:$S49))-SUM(CC24:CC52)</f>
        <v>0</v>
      </c>
      <c r="CD23" s="281">
        <f>(SUMIF('7. INVEST'!$D17:$D49,CD18,'7. INVEST'!$S17:$S49))-SUM(CD24:CD52)</f>
        <v>0</v>
      </c>
      <c r="CE23" s="281">
        <f>(SUMIF('7. INVEST'!$D17:$D49,CE18,'7. INVEST'!$S17:$S49))-SUM(CE24:CE52)</f>
        <v>0</v>
      </c>
      <c r="CF23" s="281">
        <f>(SUMIF('7. INVEST'!$D17:$D49,CF18,'7. INVEST'!$S17:$S49))-SUM(CF24:CF52)</f>
        <v>0</v>
      </c>
      <c r="CG23" s="281">
        <f>(SUMIF('7. INVEST'!$D17:$D49,CG18,'7. INVEST'!$S17:$S49))-SUM(CG24:CG52)</f>
        <v>0</v>
      </c>
      <c r="CH23" s="281">
        <f>(SUMIF('7. INVEST'!$D17:$D49,CH18,'7. INVEST'!$S17:$S49))-SUM(CH24:CH52)</f>
        <v>0</v>
      </c>
      <c r="CI23" s="263">
        <f>SUMIF('6. OPERATION'!G17:G149,"OTHER",'6. OPERATION'!R17:R149)+SUM('8. FACILIT'!P18:P50)-SUM(CI24:CI52)</f>
        <v>0</v>
      </c>
      <c r="CJ23" s="263">
        <f>SUMIFS('6. OPERATION'!$R$17:$R$149,'6. OPERATION'!$G$17:$G$149,"OTHER",'6. OPERATION'!$D$17:$D$149,CJ$18)+SUMIF('8. FACILIT'!$D$18:$D$50,CJ$18,'8. FACILIT'!$P$18:$P$50)-SUM(CJ24:CJ52)</f>
        <v>0</v>
      </c>
      <c r="CK23" s="279">
        <f>SUMIFS('6. OPERATION'!$R$17:$R$149,'6. OPERATION'!$G$17:$G$149,"OTHER",'6. OPERATION'!$D$17:$D$149,CK$18)+SUMIF('8. FACILIT'!$D$18:$D$50,CK$18,'8. FACILIT'!$P$18:$P$50)-SUM(CK24:CK52)</f>
        <v>0</v>
      </c>
      <c r="CL23" s="279">
        <f>SUMIFS('6. OPERATION'!$R$17:$R$149,'6. OPERATION'!$G$17:$G$149,"OTHER",'6. OPERATION'!$D$17:$D$149,CL$18)+SUMIF('8. FACILIT'!$D$18:$D$50,CL$18,'8. FACILIT'!$P$18:$P$50)-SUM(CL24:CL52)</f>
        <v>0</v>
      </c>
      <c r="CM23" s="279">
        <f>SUMIFS('6. OPERATION'!$R$17:$R$149,'6. OPERATION'!$G$17:$G$149,"OTHER",'6. OPERATION'!$D$17:$D$149,CM$18)+SUMIF('8. FACILIT'!$D$18:$D$50,CM$18,'8. FACILIT'!$P$18:$P$50)-SUM(CM24:CM52)</f>
        <v>0</v>
      </c>
      <c r="CN23" s="279">
        <f>SUMIFS('6. OPERATION'!$R$17:$R$149,'6. OPERATION'!$G$17:$G$149,"OTHER",'6. OPERATION'!$D$17:$D$149,CN$18)+SUMIF('8. FACILIT'!$D$18:$D$50,CN$18,'8. FACILIT'!$P$18:$P$50)-SUM(CN24:CN52)</f>
        <v>0</v>
      </c>
      <c r="CO23" s="279">
        <f>SUMIFS('6. OPERATION'!$R$17:$R$149,'6. OPERATION'!$G$17:$G$149,"OTHER",'6. OPERATION'!$D$17:$D$149,CO$18)+SUMIF('8. FACILIT'!$D$18:$D$50,CO$18,'8. FACILIT'!$P$18:$P$50)-SUM(CO24:CO52)</f>
        <v>0</v>
      </c>
      <c r="CP23" s="279">
        <f>SUMIFS('6. OPERATION'!$R$17:$R$149,'6. OPERATION'!$G$17:$G$149,"OTHER",'6. OPERATION'!$D$17:$D$149,CP$18)+SUMIF('8. FACILIT'!$D$18:$D$50,CP$18,'8. FACILIT'!$P$18:$P$50)-SUM(CP24:CP52)</f>
        <v>0</v>
      </c>
      <c r="CQ23" s="279">
        <f>SUMIFS('6. OPERATION'!$R$17:$R$149,'6. OPERATION'!$G$17:$G$149,"OTHER",'6. OPERATION'!$D$17:$D$149,CQ$18)+SUMIF('8. FACILIT'!$D$18:$D$50,CQ$18,'8. FACILIT'!$P$18:$P$50)-SUM(CQ24:CQ52)</f>
        <v>0</v>
      </c>
      <c r="CR23" s="279">
        <f>SUMIFS('6. OPERATION'!$R$17:$R$149,'6. OPERATION'!$G$17:$G$149,"OTHER",'6. OPERATION'!$D$17:$D$149,CR$18)+SUMIF('8. FACILIT'!$D$18:$D$50,CR$18,'8. FACILIT'!$P$18:$P$50)-SUM(CR24:CR52)</f>
        <v>0</v>
      </c>
      <c r="CS23" s="279">
        <f>SUMIFS('6. OPERATION'!$R$17:$R$149,'6. OPERATION'!$G$17:$G$149,"OTHER",'6. OPERATION'!$D$17:$D$149,CS$18)+SUMIF('8. FACILIT'!$D$18:$D$50,CS$18,'8. FACILIT'!$P$18:$P$50)-SUM(CS24:CS52)</f>
        <v>0</v>
      </c>
      <c r="CT23" s="281">
        <f>SUMIFS('6. OPERATION'!$R$17:$R$149,'6. OPERATION'!$G$17:$G$149,"OTHER",'6. OPERATION'!$D$17:$D$149,CT$18)+SUMIF('8. FACILIT'!$D$18:$D$50,CT$18,'8. FACILIT'!$P$18:$P$50)-SUM(CT24:CT52)</f>
        <v>0</v>
      </c>
      <c r="CU23" s="281">
        <f>SUMIFS('6. OPERATION'!$R$17:$R$149,'6. OPERATION'!$G$17:$G$149,"OTHER",'6. OPERATION'!$D$17:$D$149,CU$18)+SUMIF('8. FACILIT'!$D$18:$D$50,CU$18,'8. FACILIT'!$P$18:$P$50)-SUM(CU24:CU52)</f>
        <v>0</v>
      </c>
      <c r="CV23" s="281">
        <f>SUMIFS('6. OPERATION'!$R$17:$R$149,'6. OPERATION'!$G$17:$G$149,"OTHER",'6. OPERATION'!$D$17:$D$149,CV$18)+SUMIF('8. FACILIT'!$D$18:$D$50,CV$18,'8. FACILIT'!$P$18:$P$50)-SUM(CV24:CV52)</f>
        <v>0</v>
      </c>
      <c r="CW23" s="281">
        <f>SUMIFS('6. OPERATION'!$R$17:$R$149,'6. OPERATION'!$G$17:$G$149,"OTHER",'6. OPERATION'!$D$17:$D$149,CW$18)+SUMIF('8. FACILIT'!$D$18:$D$50,CW$18,'8. FACILIT'!$P$18:$P$50)-SUM(CW24:CW52)</f>
        <v>0</v>
      </c>
      <c r="CX23" s="281">
        <f>SUMIFS('6. OPERATION'!$R$17:$R$149,'6. OPERATION'!$G$17:$G$149,"OTHER",'6. OPERATION'!$D$17:$D$149,CX$18)+SUMIF('8. FACILIT'!$D$18:$D$50,CX$18,'8. FACILIT'!$P$18:$P$50)-SUM(CX24:CX52)</f>
        <v>0</v>
      </c>
      <c r="CY23" s="281">
        <f>SUMIFS('6. OPERATION'!$R$17:$R$149,'6. OPERATION'!$G$17:$G$149,"OTHER",'6. OPERATION'!$D$17:$D$149,CY$18)+SUMIF('8. FACILIT'!$D$18:$D$50,CY$18,'8. FACILIT'!$P$18:$P$50)-SUM(CY24:CY52)</f>
        <v>0</v>
      </c>
      <c r="CZ23" s="281">
        <f>SUMIFS('6. OPERATION'!$R$17:$R$149,'6. OPERATION'!$G$17:$G$149,"OTHER",'6. OPERATION'!$D$17:$D$149,CZ$18)+SUMIF('8. FACILIT'!$D$18:$D$50,CZ$18,'8. FACILIT'!$P$18:$P$50)-SUM(CZ24:CZ52)</f>
        <v>0</v>
      </c>
      <c r="DA23" s="281">
        <f>SUMIFS('6. OPERATION'!$R$17:$R$149,'6. OPERATION'!$G$17:$G$149,"OTHER",'6. OPERATION'!$D$17:$D$149,DA$18)+SUMIF('8. FACILIT'!$D$18:$D$50,DA$18,'8. FACILIT'!$P$18:$P$50)-SUM(DA24:DA52)</f>
        <v>0</v>
      </c>
      <c r="DB23" s="281">
        <f>SUMIFS('6. OPERATION'!$R$17:$R$149,'6. OPERATION'!$G$17:$G$149,"OTHER",'6. OPERATION'!$D$17:$D$149,DB$18)+SUMIF('8. FACILIT'!$D$18:$D$50,DB$18,'8. FACILIT'!$P$18:$P$50)-SUM(DB24:DB52)</f>
        <v>0</v>
      </c>
      <c r="DC23" s="281">
        <f>SUMIFS('6. OPERATION'!$R$17:$R$149,'6. OPERATION'!$G$17:$G$149,"OTHER",'6. OPERATION'!$D$17:$D$149,DC$18)+SUMIF('8. FACILIT'!$D$18:$D$50,DC$18,'8. FACILIT'!$P$18:$P$50)-SUM(DC24:DC52)</f>
        <v>0</v>
      </c>
      <c r="DD23" s="263">
        <f>(SUMIF('6. OPERATION'!G17:G149,"INTERN",'6. OPERATION'!R17:R149))-SUM(DD24:DD52)</f>
        <v>0</v>
      </c>
      <c r="DE23" s="263">
        <f>(SUMIFS('6. OPERATION'!$R$17:$R$149,'6. OPERATION'!$G$17:$G$149,"INTERN",'6. OPERATION'!$D$17:$D$149,DE$18))-SUM(DE24:DE52)</f>
        <v>0</v>
      </c>
      <c r="DF23" s="263">
        <f>(SUMIFS('6. OPERATION'!$R$17:$R$149,'6. OPERATION'!$G$17:$G$149,"INTERN",'6. OPERATION'!$D$17:$D$149,DF$18))-SUM(DF24:DF52)</f>
        <v>0</v>
      </c>
      <c r="DG23" s="263">
        <f>(SUMIFS('6. OPERATION'!$R$17:$R$149,'6. OPERATION'!$G$17:$G$149,"INTERN",'6. OPERATION'!$D$17:$D$149,DG$18))-SUM(DG24:DG52)</f>
        <v>0</v>
      </c>
      <c r="DH23" s="263">
        <f>(SUMIFS('6. OPERATION'!$R$17:$R$149,'6. OPERATION'!$G$17:$G$149,"INTERN",'6. OPERATION'!$D$17:$D$149,DH$18))-SUM(DH24:DH52)</f>
        <v>0</v>
      </c>
      <c r="DI23" s="263">
        <f>(SUMIFS('6. OPERATION'!$R$17:$R$149,'6. OPERATION'!$G$17:$G$149,"INTERN",'6. OPERATION'!$D$17:$D$149,DI$18))-SUM(DI24:DI52)</f>
        <v>0</v>
      </c>
      <c r="DJ23" s="263">
        <f>(SUMIFS('6. OPERATION'!$R$17:$R$149,'6. OPERATION'!$G$17:$G$149,"INTERN",'6. OPERATION'!$D$17:$D$149,DJ$18))-SUM(DJ24:DJ52)</f>
        <v>0</v>
      </c>
      <c r="DK23" s="263">
        <f>(SUMIFS('6. OPERATION'!$R$17:$R$149,'6. OPERATION'!$G$17:$G$149,"INTERN",'6. OPERATION'!$D$17:$D$149,DK$18))-SUM(DK24:DK52)</f>
        <v>0</v>
      </c>
      <c r="DL23" s="263">
        <f>(SUMIFS('6. OPERATION'!$R$17:$R$149,'6. OPERATION'!$G$17:$G$149,"INTERN",'6. OPERATION'!$D$17:$D$149,DL$18))-SUM(DL24:DL52)</f>
        <v>0</v>
      </c>
      <c r="DM23" s="263">
        <f>(SUMIFS('6. OPERATION'!$R$17:$R$149,'6. OPERATION'!$G$17:$G$149,"INTERN",'6. OPERATION'!$D$17:$D$149,DM$18))-SUM(DM24:DM52)</f>
        <v>0</v>
      </c>
      <c r="DN23" s="263">
        <f>(SUMIFS('6. OPERATION'!$R$17:$R$149,'6. OPERATION'!$G$17:$G$149,"INTERN",'6. OPERATION'!$D$17:$D$149,DN$18))-SUM(DN24:DN52)</f>
        <v>0</v>
      </c>
      <c r="DO23" s="281">
        <f>(SUMIFS('6. OPERATION'!$R$17:$R$149,'6. OPERATION'!$G$17:$G$149,"INTERN",'6. OPERATION'!$D$17:$D$149,DO$18))-SUM(DO24:DO52)</f>
        <v>0</v>
      </c>
      <c r="DP23" s="281">
        <f>(SUMIFS('6. OPERATION'!$R$17:$R$149,'6. OPERATION'!$G$17:$G$149,"INTERN",'6. OPERATION'!$D$17:$D$149,DP$18))-SUM(DP24:DP52)</f>
        <v>0</v>
      </c>
      <c r="DQ23" s="281">
        <f>(SUMIFS('6. OPERATION'!$R$17:$R$149,'6. OPERATION'!$G$17:$G$149,"INTERN",'6. OPERATION'!$D$17:$D$149,DQ$18))-SUM(DQ24:DQ52)</f>
        <v>0</v>
      </c>
      <c r="DR23" s="281">
        <f>(SUMIFS('6. OPERATION'!$R$17:$R$149,'6. OPERATION'!$G$17:$G$149,"INTERN",'6. OPERATION'!$D$17:$D$149,DR$18))-SUM(DR24:DR52)</f>
        <v>0</v>
      </c>
      <c r="DS23" s="281">
        <f>(SUMIFS('6. OPERATION'!$R$17:$R$149,'6. OPERATION'!$G$17:$G$149,"INTERN",'6. OPERATION'!$D$17:$D$149,DS$18))-SUM(DS24:DS52)</f>
        <v>0</v>
      </c>
      <c r="DT23" s="281">
        <f>(SUMIFS('6. OPERATION'!$R$17:$R$149,'6. OPERATION'!$G$17:$G$149,"INTERN",'6. OPERATION'!$D$17:$D$149,DT$18))-SUM(DT24:DT52)</f>
        <v>0</v>
      </c>
      <c r="DU23" s="281">
        <f>(SUMIFS('6. OPERATION'!$R$17:$R$149,'6. OPERATION'!$G$17:$G$149,"INTERN",'6. OPERATION'!$D$17:$D$149,DU$18))-SUM(DU24:DU52)</f>
        <v>0</v>
      </c>
      <c r="DV23" s="281">
        <f>(SUMIFS('6. OPERATION'!$R$17:$R$149,'6. OPERATION'!$G$17:$G$149,"INTERN",'6. OPERATION'!$D$17:$D$149,DV$18))-SUM(DV24:DV52)</f>
        <v>0</v>
      </c>
      <c r="DW23" s="281">
        <f>(SUMIFS('6. OPERATION'!$R$17:$R$149,'6. OPERATION'!$G$17:$G$149,"INTERN",'6. OPERATION'!$D$17:$D$149,DW$18))-SUM(DW24:DW52)</f>
        <v>0</v>
      </c>
      <c r="DX23" s="281">
        <f>(SUMIFS('6. OPERATION'!$R$17:$R$149,'6. OPERATION'!$G$17:$G$149,"INTERN",'6. OPERATION'!$D$17:$D$149,DX$18))-SUM(DX24:DX52)</f>
        <v>0</v>
      </c>
      <c r="DY23" s="263">
        <f>(C23+AS23+BN23+CI23)*'2. START'!$C$12</f>
        <v>0</v>
      </c>
      <c r="DZ23" s="288">
        <f>(D23+AT23+BO23+CJ23)*'2. START'!$C$12</f>
        <v>0</v>
      </c>
      <c r="EA23" s="288">
        <f>(E23+AU23+BP23+CK23)*'2. START'!$C$12</f>
        <v>0</v>
      </c>
      <c r="EB23" s="288">
        <f>(F23+AV23+BQ23+CL23)*'2. START'!$C$12</f>
        <v>0</v>
      </c>
      <c r="EC23" s="288">
        <f>(G23+AW23+BR23+CM23)*'2. START'!$C$12</f>
        <v>0</v>
      </c>
      <c r="ED23" s="288">
        <f>(H23+AX23+BS23+CN23)*'2. START'!$C$12</f>
        <v>0</v>
      </c>
      <c r="EE23" s="288">
        <f>(I23+AY23+BT23+CO23)*'2. START'!$C$12</f>
        <v>0</v>
      </c>
      <c r="EF23" s="288">
        <f>(J23+AZ23+BU23+CP23)*'2. START'!$C$12</f>
        <v>0</v>
      </c>
      <c r="EG23" s="288">
        <f>(K23+BA23+BV23+CQ23)*'2. START'!$C$12</f>
        <v>0</v>
      </c>
      <c r="EH23" s="288">
        <f>(L23+BB23+BW23+CR23)*'2. START'!$C$12</f>
        <v>0</v>
      </c>
      <c r="EI23" s="288">
        <f>(M23+BC23+BX23+CS23)*'2. START'!$C$12</f>
        <v>0</v>
      </c>
      <c r="EJ23" s="288">
        <f>(N23+BD23+BY23+CT23)*'2. START'!$C$12</f>
        <v>0</v>
      </c>
      <c r="EK23" s="288">
        <f>(O23+BE23+BZ23+CU23)*'2. START'!$C$12</f>
        <v>0</v>
      </c>
      <c r="EL23" s="288">
        <f>(P23+BF23+CA23+CV23)*'2. START'!$C$12</f>
        <v>0</v>
      </c>
      <c r="EM23" s="288">
        <f>(Q23+BG23+CB23+CW23)*'2. START'!$C$12</f>
        <v>0</v>
      </c>
      <c r="EN23" s="288">
        <f>(R23+BH23+CC23+CX23)*'2. START'!$C$12</f>
        <v>0</v>
      </c>
      <c r="EO23" s="288">
        <f>(S23+BI23+CD23+CY23)*'2. START'!$C$12</f>
        <v>0</v>
      </c>
      <c r="EP23" s="288">
        <f>(T23+BJ23+CE23+CZ23)*'2. START'!$C$12</f>
        <v>0</v>
      </c>
      <c r="EQ23" s="288">
        <f>(U23+BK23+CF23+DA23)*'2. START'!$C$12</f>
        <v>0</v>
      </c>
      <c r="ER23" s="288">
        <f>(V23+BL23+CG23+DB23)*'2. START'!$C$12</f>
        <v>0</v>
      </c>
      <c r="ES23" s="288">
        <f>(W23+BM23+CH23+DC23)*'2. START'!$C$12</f>
        <v>0</v>
      </c>
      <c r="ET23" s="105">
        <f t="shared" ref="ET23:ET52" si="4">C23+X23+AS23+BN23+CI23+DD23+DY23</f>
        <v>0</v>
      </c>
      <c r="EU23" s="105">
        <f t="shared" ref="EU23:EU52" si="5">D23+Y23+AT23+BO23+CJ23+DE23+DZ23</f>
        <v>0</v>
      </c>
      <c r="EV23" s="105">
        <f t="shared" ref="EV23:EV52" si="6">E23+Z23+AU23+BP23+CK23+DF23+EA23</f>
        <v>0</v>
      </c>
      <c r="EW23" s="105">
        <f t="shared" ref="EW23:EW52" si="7">F23+AA23+AV23+BQ23+CL23+DG23+EB23</f>
        <v>0</v>
      </c>
      <c r="EX23" s="105">
        <f t="shared" ref="EX23:EX52" si="8">G23+AB23+AW23+BR23+CM23+DH23+EC23</f>
        <v>0</v>
      </c>
      <c r="EY23" s="105">
        <f t="shared" ref="EY23:EY52" si="9">H23+AC23+AX23+BS23+CN23+DI23+ED23</f>
        <v>0</v>
      </c>
      <c r="EZ23" s="105">
        <f t="shared" ref="EZ23:EZ52" si="10">I23+AD23+AY23+BT23+CO23+DJ23+EE23</f>
        <v>0</v>
      </c>
      <c r="FA23" s="105">
        <f t="shared" ref="FA23:FA52" si="11">J23+AE23+AZ23+BU23+CP23+DK23+EF23</f>
        <v>0</v>
      </c>
      <c r="FB23" s="105">
        <f t="shared" ref="FB23:FB52" si="12">K23+AF23+BA23+BV23+CQ23+DL23+EG23</f>
        <v>0</v>
      </c>
      <c r="FC23" s="105">
        <f t="shared" ref="FC23:FC52" si="13">L23+AG23+BB23+BW23+CR23+DM23+EH23</f>
        <v>0</v>
      </c>
      <c r="FD23" s="105">
        <f t="shared" ref="FD23:FD52" si="14">M23+AH23+BC23+BX23+CS23+DN23+EI23</f>
        <v>0</v>
      </c>
      <c r="FE23" s="105">
        <f t="shared" ref="FE23:FN24" si="15">N23+AI23+BD23+BY23+CT23+DO23+EJ23</f>
        <v>0</v>
      </c>
      <c r="FF23" s="105">
        <f t="shared" si="15"/>
        <v>0</v>
      </c>
      <c r="FG23" s="105">
        <f t="shared" si="15"/>
        <v>0</v>
      </c>
      <c r="FH23" s="105">
        <f t="shared" si="15"/>
        <v>0</v>
      </c>
      <c r="FI23" s="105">
        <f t="shared" si="15"/>
        <v>0</v>
      </c>
      <c r="FJ23" s="105">
        <f t="shared" si="15"/>
        <v>0</v>
      </c>
      <c r="FK23" s="105">
        <f t="shared" si="15"/>
        <v>0</v>
      </c>
      <c r="FL23" s="105">
        <f t="shared" si="15"/>
        <v>0</v>
      </c>
      <c r="FM23" s="105">
        <f t="shared" si="15"/>
        <v>0</v>
      </c>
      <c r="FN23" s="105">
        <f t="shared" si="15"/>
        <v>0</v>
      </c>
      <c r="FO23" s="273" t="str">
        <f>IF(ET23=0,"",FP23/ET23)</f>
        <v/>
      </c>
      <c r="FP23" s="105">
        <f>(('5. PERSON'!AR$193-'5. PERSON'!BP$193)+('6. OPERATION'!R$150-'6. OPERATION'!AS$150)+('7. INVEST'!S$50-'7. INVEST'!AS$50)+(('5. PERSON'!AR$193-'5. PERSON'!BP$193)+('6. OPERATION'!R$150-'6. OPERATION'!AS$150)+('7. INVEST'!S$50-'7. INVEST'!AS$50)-SUMIF('6. OPERATION'!$F$17:$F$149,"NO",'6. OPERATION'!R$17:R$149))*'2. START'!$C$12)-SUM(FP24:FP52)</f>
        <v>0</v>
      </c>
      <c r="FQ23" s="943">
        <f t="shared" ref="FQ23:FQ52" si="16">IF($C23=0,0,(AS23+BN23+CI23)/$C23)</f>
        <v>0</v>
      </c>
      <c r="FR23" s="940">
        <f>(SUMIF('5. PERSON'!$D17:$D192,FR$18,'5. PERSON'!$AE17:$AE192))-SUM(FR24:FR52)</f>
        <v>0</v>
      </c>
      <c r="FS23" s="940">
        <f>(SUMIF('5. PERSON'!$D17:$D192,FS$18,'5. PERSON'!$AE17:$AE192))-SUM(FS24:FS52)</f>
        <v>0</v>
      </c>
      <c r="FT23" s="940">
        <f>(SUMIF('5. PERSON'!$D17:$D192,FT$18,'5. PERSON'!$AE17:$AE192))-SUM(FT24:FT52)</f>
        <v>0</v>
      </c>
      <c r="FU23" s="940">
        <f>(SUMIF('5. PERSON'!$D17:$D192,FU$18,'5. PERSON'!$AE17:$AE192))-SUM(FU24:FU52)</f>
        <v>0</v>
      </c>
      <c r="FV23" s="940">
        <f>(SUMIF('5. PERSON'!$D17:$D192,FV$18,'5. PERSON'!$AE17:$AE192))-SUM(FV24:FV52)</f>
        <v>0</v>
      </c>
      <c r="FW23" s="940">
        <f>(SUMIF('5. PERSON'!$D17:$D192,FW$18,'5. PERSON'!$AE17:$AE192))-SUM(FW24:FW52)</f>
        <v>0</v>
      </c>
      <c r="FX23" s="940">
        <f>(SUMIF('5. PERSON'!$D17:$D192,FX$18,'5. PERSON'!$AE17:$AE192))-SUM(FX24:FX52)</f>
        <v>0</v>
      </c>
      <c r="FY23" s="940">
        <f>(SUMIF('5. PERSON'!$D17:$D192,FY$18,'5. PERSON'!$AE17:$AE192))-SUM(FY24:FY52)</f>
        <v>0</v>
      </c>
      <c r="FZ23" s="940">
        <f>(SUMIF('5. PERSON'!$D17:$D192,FZ$18,'5. PERSON'!$AE17:$AE192))-SUM(FZ24:FZ52)</f>
        <v>0</v>
      </c>
      <c r="GA23" s="940">
        <f>(SUMIF('5. PERSON'!$D17:$D192,GA$18,'5. PERSON'!$AE17:$AE192))-SUM(GA24:GA52)</f>
        <v>0</v>
      </c>
      <c r="GB23" s="940">
        <f>(SUMIF('5. PERSON'!$D17:$D192,GB$18,'5. PERSON'!$AE17:$AE192))-SUM(GB24:GB52)</f>
        <v>0</v>
      </c>
      <c r="GC23" s="940">
        <f>(SUMIF('5. PERSON'!$D17:$D192,GC$18,'5. PERSON'!$AE17:$AE192))-SUM(GC24:GC52)</f>
        <v>0</v>
      </c>
      <c r="GD23" s="940">
        <f>(SUMIF('5. PERSON'!$D17:$D192,GD$18,'5. PERSON'!$AE17:$AE192))-SUM(GD24:GD52)</f>
        <v>0</v>
      </c>
      <c r="GE23" s="940">
        <f>(SUMIF('5. PERSON'!$D17:$D192,GE$18,'5. PERSON'!$AE17:$AE192))-SUM(GE24:GE52)</f>
        <v>0</v>
      </c>
      <c r="GF23" s="940">
        <f>(SUMIF('5. PERSON'!$D17:$D192,GF$18,'5. PERSON'!$AE17:$AE192))-SUM(GF24:GF52)</f>
        <v>0</v>
      </c>
      <c r="GG23" s="940">
        <f>(SUMIF('5. PERSON'!$D17:$D192,GG$18,'5. PERSON'!$AE17:$AE192))-SUM(GG24:GG52)</f>
        <v>0</v>
      </c>
      <c r="GH23" s="940">
        <f>(SUMIF('5. PERSON'!$D17:$D192,GH$18,'5. PERSON'!$AE17:$AE192))-SUM(GH24:GH52)</f>
        <v>0</v>
      </c>
      <c r="GI23" s="940">
        <f>(SUMIF('5. PERSON'!$D17:$D192,GI$18,'5. PERSON'!$AE17:$AE192))-SUM(GI24:GI52)</f>
        <v>0</v>
      </c>
      <c r="GJ23" s="940">
        <f>(SUMIF('5. PERSON'!$D17:$D192,GJ$18,'5. PERSON'!$AE17:$AE192))-SUM(GJ24:GJ52)</f>
        <v>0</v>
      </c>
      <c r="GK23" s="940">
        <f>(SUMIF('5. PERSON'!$D17:$D192,GK$18,'5. PERSON'!$AE17:$AE192))-SUM(GK24:GK52)</f>
        <v>0</v>
      </c>
      <c r="GL23" s="940">
        <f>SUM(FR23:GA23)</f>
        <v>0</v>
      </c>
    </row>
    <row r="24" spans="2:194" ht="13.5" customHeight="1" x14ac:dyDescent="0.2">
      <c r="B24" s="261" t="str">
        <f>'3. PARTNER'!B51</f>
        <v>EXT101</v>
      </c>
      <c r="C24" s="262">
        <f>SUMIF('5. PERSON'!B$17:B$192,B24,'5. PERSON'!AR$17:AR$192)</f>
        <v>0</v>
      </c>
      <c r="D24" s="262">
        <f>SUMIFS('5. PERSON'!$AR$17:$AR$192,'5. PERSON'!$B$17:$B$192,$B24,'5. PERSON'!$D$17:$D$192,D$18)</f>
        <v>0</v>
      </c>
      <c r="E24" s="262">
        <f>SUMIFS('5. PERSON'!$AR$17:$AR$192,'5. PERSON'!$B$17:$B$192,$B24,'5. PERSON'!$D$17:$D$192,E$18)</f>
        <v>0</v>
      </c>
      <c r="F24" s="262">
        <f>SUMIFS('5. PERSON'!$AR$17:$AR$192,'5. PERSON'!$B$17:$B$192,$B24,'5. PERSON'!$D$17:$D$192,F$18)</f>
        <v>0</v>
      </c>
      <c r="G24" s="262">
        <f>SUMIFS('5. PERSON'!$AR$17:$AR$192,'5. PERSON'!$B$17:$B$192,$B24,'5. PERSON'!$D$17:$D$192,G$18)</f>
        <v>0</v>
      </c>
      <c r="H24" s="262">
        <f>SUMIFS('5. PERSON'!$AR$17:$AR$192,'5. PERSON'!$B$17:$B$192,$B24,'5. PERSON'!$D$17:$D$192,H$18)</f>
        <v>0</v>
      </c>
      <c r="I24" s="262">
        <f>SUMIFS('5. PERSON'!$AR$17:$AR$192,'5. PERSON'!$B$17:$B$192,$B24,'5. PERSON'!$D$17:$D$192,I$18)</f>
        <v>0</v>
      </c>
      <c r="J24" s="262">
        <f>SUMIFS('5. PERSON'!$AR$17:$AR$192,'5. PERSON'!$B$17:$B$192,$B24,'5. PERSON'!$D$17:$D$192,J$18)</f>
        <v>0</v>
      </c>
      <c r="K24" s="262">
        <f>SUMIFS('5. PERSON'!$AR$17:$AR$192,'5. PERSON'!$B$17:$B$192,$B24,'5. PERSON'!$D$17:$D$192,K$18)</f>
        <v>0</v>
      </c>
      <c r="L24" s="262">
        <f>SUMIFS('5. PERSON'!$AR$17:$AR$192,'5. PERSON'!$B$17:$B$192,$B24,'5. PERSON'!$D$17:$D$192,L$18)</f>
        <v>0</v>
      </c>
      <c r="M24" s="262">
        <f>SUMIFS('5. PERSON'!$AR$17:$AR$192,'5. PERSON'!$B$17:$B$192,$B24,'5. PERSON'!$D$17:$D$192,M$18)</f>
        <v>0</v>
      </c>
      <c r="N24" s="262">
        <f>SUMIFS('5. PERSON'!$AR$17:$AR$192,'5. PERSON'!$B$17:$B$192,$B24,'5. PERSON'!$D$17:$D$192,N$18)</f>
        <v>0</v>
      </c>
      <c r="O24" s="262">
        <f>SUMIFS('5. PERSON'!$AR$17:$AR$192,'5. PERSON'!$B$17:$B$192,$B24,'5. PERSON'!$D$17:$D$192,O$18)</f>
        <v>0</v>
      </c>
      <c r="P24" s="262">
        <f>SUMIFS('5. PERSON'!$AR$17:$AR$192,'5. PERSON'!$B$17:$B$192,$B24,'5. PERSON'!$D$17:$D$192,P$18)</f>
        <v>0</v>
      </c>
      <c r="Q24" s="262">
        <f>SUMIFS('5. PERSON'!$AR$17:$AR$192,'5. PERSON'!$B$17:$B$192,$B24,'5. PERSON'!$D$17:$D$192,Q$18)</f>
        <v>0</v>
      </c>
      <c r="R24" s="262">
        <f>SUMIFS('5. PERSON'!$AR$17:$AR$192,'5. PERSON'!$B$17:$B$192,$B24,'5. PERSON'!$D$17:$D$192,R$18)</f>
        <v>0</v>
      </c>
      <c r="S24" s="262">
        <f>SUMIFS('5. PERSON'!$AR$17:$AR$192,'5. PERSON'!$B$17:$B$192,$B24,'5. PERSON'!$D$17:$D$192,S$18)</f>
        <v>0</v>
      </c>
      <c r="T24" s="262">
        <f>SUMIFS('5. PERSON'!$AR$17:$AR$192,'5. PERSON'!$B$17:$B$192,$B24,'5. PERSON'!$D$17:$D$192,T$18)</f>
        <v>0</v>
      </c>
      <c r="U24" s="262">
        <f>SUMIFS('5. PERSON'!$AR$17:$AR$192,'5. PERSON'!$B$17:$B$192,$B24,'5. PERSON'!$D$17:$D$192,U$18)</f>
        <v>0</v>
      </c>
      <c r="V24" s="262">
        <f>SUMIFS('5. PERSON'!$AR$17:$AR$192,'5. PERSON'!$B$17:$B$192,$B24,'5. PERSON'!$D$17:$D$192,V$18)</f>
        <v>0</v>
      </c>
      <c r="W24" s="262">
        <f>SUMIFS('5. PERSON'!$AR$17:$AR$192,'5. PERSON'!$B$17:$B$192,$B24,'5. PERSON'!$D$17:$D$192,W$18)</f>
        <v>0</v>
      </c>
      <c r="X24" s="262">
        <f>SUMIFS('6. OPERATION'!R$17:R$149,'6. OPERATION'!B$17:B$149,B24,'6. OPERATION'!G$17:G$149,"SUBCON")</f>
        <v>0</v>
      </c>
      <c r="Y24" s="262">
        <f>SUMIFS('6. OPERATION'!$R$17:$R$149,'6. OPERATION'!$B$17:$B$149,$B24,'6. OPERATION'!$G$17:$G$149,"SUBCON",'6. OPERATION'!$D$17:$D$149,Y$18)</f>
        <v>0</v>
      </c>
      <c r="Z24" s="262">
        <f>SUMIFS('6. OPERATION'!$R$17:$R$149,'6. OPERATION'!$B$17:$B$149,$B24,'6. OPERATION'!$G$17:$G$149,"SUBCON",'6. OPERATION'!$D$17:$D$149,Z$18)</f>
        <v>0</v>
      </c>
      <c r="AA24" s="262">
        <f>SUMIFS('6. OPERATION'!$R$17:$R$149,'6. OPERATION'!$B$17:$B$149,$B24,'6. OPERATION'!$G$17:$G$149,"SUBCON",'6. OPERATION'!$D$17:$D$149,AA$18)</f>
        <v>0</v>
      </c>
      <c r="AB24" s="262">
        <f>SUMIFS('6. OPERATION'!$R$17:$R$149,'6. OPERATION'!$B$17:$B$149,$B24,'6. OPERATION'!$G$17:$G$149,"SUBCON",'6. OPERATION'!$D$17:$D$149,AB$18)</f>
        <v>0</v>
      </c>
      <c r="AC24" s="262">
        <f>SUMIFS('6. OPERATION'!$R$17:$R$149,'6. OPERATION'!$B$17:$B$149,$B24,'6. OPERATION'!$G$17:$G$149,"SUBCON",'6. OPERATION'!$D$17:$D$149,AC$18)</f>
        <v>0</v>
      </c>
      <c r="AD24" s="262">
        <f>SUMIFS('6. OPERATION'!$R$17:$R$149,'6. OPERATION'!$B$17:$B$149,$B24,'6. OPERATION'!$G$17:$G$149,"SUBCON",'6. OPERATION'!$D$17:$D$149,AD$18)</f>
        <v>0</v>
      </c>
      <c r="AE24" s="262">
        <f>SUMIFS('6. OPERATION'!$R$17:$R$149,'6. OPERATION'!$B$17:$B$149,$B24,'6. OPERATION'!$G$17:$G$149,"SUBCON",'6. OPERATION'!$D$17:$D$149,AE$18)</f>
        <v>0</v>
      </c>
      <c r="AF24" s="262">
        <f>SUMIFS('6. OPERATION'!$R$17:$R$149,'6. OPERATION'!$B$17:$B$149,$B24,'6. OPERATION'!$G$17:$G$149,"SUBCON",'6. OPERATION'!$D$17:$D$149,AF$18)</f>
        <v>0</v>
      </c>
      <c r="AG24" s="262">
        <f>SUMIFS('6. OPERATION'!$R$17:$R$149,'6. OPERATION'!$B$17:$B$149,$B24,'6. OPERATION'!$G$17:$G$149,"SUBCON",'6. OPERATION'!$D$17:$D$149,AG$18)</f>
        <v>0</v>
      </c>
      <c r="AH24" s="262">
        <f>SUMIFS('6. OPERATION'!$R$17:$R$149,'6. OPERATION'!$B$17:$B$149,$B24,'6. OPERATION'!$G$17:$G$149,"SUBCON",'6. OPERATION'!$D$17:$D$149,AH$18)</f>
        <v>0</v>
      </c>
      <c r="AI24" s="262">
        <f>SUMIFS('6. OPERATION'!$R$17:$R$149,'6. OPERATION'!$B$17:$B$149,$B24,'6. OPERATION'!$G$17:$G$149,"SUBCON",'6. OPERATION'!$D$17:$D$149,AI$18)</f>
        <v>0</v>
      </c>
      <c r="AJ24" s="262">
        <f>SUMIFS('6. OPERATION'!$R$17:$R$149,'6. OPERATION'!$B$17:$B$149,$B24,'6. OPERATION'!$G$17:$G$149,"SUBCON",'6. OPERATION'!$D$17:$D$149,AJ$18)</f>
        <v>0</v>
      </c>
      <c r="AK24" s="262">
        <f>SUMIFS('6. OPERATION'!$R$17:$R$149,'6. OPERATION'!$B$17:$B$149,$B24,'6. OPERATION'!$G$17:$G$149,"SUBCON",'6. OPERATION'!$D$17:$D$149,AK$18)</f>
        <v>0</v>
      </c>
      <c r="AL24" s="262">
        <f>SUMIFS('6. OPERATION'!$R$17:$R$149,'6. OPERATION'!$B$17:$B$149,$B24,'6. OPERATION'!$G$17:$G$149,"SUBCON",'6. OPERATION'!$D$17:$D$149,AL$18)</f>
        <v>0</v>
      </c>
      <c r="AM24" s="262">
        <f>SUMIFS('6. OPERATION'!$R$17:$R$149,'6. OPERATION'!$B$17:$B$149,$B24,'6. OPERATION'!$G$17:$G$149,"SUBCON",'6. OPERATION'!$D$17:$D$149,AM$18)</f>
        <v>0</v>
      </c>
      <c r="AN24" s="262">
        <f>SUMIFS('6. OPERATION'!$R$17:$R$149,'6. OPERATION'!$B$17:$B$149,$B24,'6. OPERATION'!$G$17:$G$149,"SUBCON",'6. OPERATION'!$D$17:$D$149,AN$18)</f>
        <v>0</v>
      </c>
      <c r="AO24" s="262">
        <f>SUMIFS('6. OPERATION'!$R$17:$R$149,'6. OPERATION'!$B$17:$B$149,$B24,'6. OPERATION'!$G$17:$G$149,"SUBCON",'6. OPERATION'!$D$17:$D$149,AO$18)</f>
        <v>0</v>
      </c>
      <c r="AP24" s="262">
        <f>SUMIFS('6. OPERATION'!$R$17:$R$149,'6. OPERATION'!$B$17:$B$149,$B24,'6. OPERATION'!$G$17:$G$149,"SUBCON",'6. OPERATION'!$D$17:$D$149,AP$18)</f>
        <v>0</v>
      </c>
      <c r="AQ24" s="262">
        <f>SUMIFS('6. OPERATION'!$R$17:$R$149,'6. OPERATION'!$B$17:$B$149,$B24,'6. OPERATION'!$G$17:$G$149,"SUBCON",'6. OPERATION'!$D$17:$D$149,AQ$18)</f>
        <v>0</v>
      </c>
      <c r="AR24" s="262">
        <f>SUMIFS('6. OPERATION'!$R$17:$R$149,'6. OPERATION'!$B$17:$B$149,$B24,'6. OPERATION'!$G$17:$G$149,"SUBCON",'6. OPERATION'!$D$17:$D$149,AR$18)</f>
        <v>0</v>
      </c>
      <c r="AS24" s="262">
        <f>SUMIFS('6. OPERATION'!R$17:R$149,'6. OPERATION'!$B$17:$B$149,$B24,'6. OPERATION'!$G$17:$G$149,"TRAVEL")</f>
        <v>0</v>
      </c>
      <c r="AT24" s="262">
        <f>SUMIFS('6. OPERATION'!$R$17:$R$149,'6. OPERATION'!$B$17:$B$149,$B24,'6. OPERATION'!$G$17:$G$149,"TRAVEL",'6. OPERATION'!$D$17:$D$149,AT$18)</f>
        <v>0</v>
      </c>
      <c r="AU24" s="262">
        <f>SUMIFS('6. OPERATION'!$R$17:$R$149,'6. OPERATION'!$B$17:$B$149,$B24,'6. OPERATION'!$G$17:$G$149,"TRAVEL",'6. OPERATION'!$D$17:$D$149,AU$18)</f>
        <v>0</v>
      </c>
      <c r="AV24" s="262">
        <f>SUMIFS('6. OPERATION'!$R$17:$R$149,'6. OPERATION'!$B$17:$B$149,$B24,'6. OPERATION'!$G$17:$G$149,"TRAVEL",'6. OPERATION'!$D$17:$D$149,AV$18)</f>
        <v>0</v>
      </c>
      <c r="AW24" s="262">
        <f>SUMIFS('6. OPERATION'!$R$17:$R$149,'6. OPERATION'!$B$17:$B$149,$B24,'6. OPERATION'!$G$17:$G$149,"TRAVEL",'6. OPERATION'!$D$17:$D$149,AW$18)</f>
        <v>0</v>
      </c>
      <c r="AX24" s="262">
        <f>SUMIFS('6. OPERATION'!$R$17:$R$149,'6. OPERATION'!$B$17:$B$149,$B24,'6. OPERATION'!$G$17:$G$149,"TRAVEL",'6. OPERATION'!$D$17:$D$149,AX$18)</f>
        <v>0</v>
      </c>
      <c r="AY24" s="262">
        <f>SUMIFS('6. OPERATION'!$R$17:$R$149,'6. OPERATION'!$B$17:$B$149,$B24,'6. OPERATION'!$G$17:$G$149,"TRAVEL",'6. OPERATION'!$D$17:$D$149,AY$18)</f>
        <v>0</v>
      </c>
      <c r="AZ24" s="262">
        <f>SUMIFS('6. OPERATION'!$R$17:$R$149,'6. OPERATION'!$B$17:$B$149,$B24,'6. OPERATION'!$G$17:$G$149,"TRAVEL",'6. OPERATION'!$D$17:$D$149,AZ$18)</f>
        <v>0</v>
      </c>
      <c r="BA24" s="262">
        <f>SUMIFS('6. OPERATION'!$R$17:$R$149,'6. OPERATION'!$B$17:$B$149,$B24,'6. OPERATION'!$G$17:$G$149,"TRAVEL",'6. OPERATION'!$D$17:$D$149,BA$18)</f>
        <v>0</v>
      </c>
      <c r="BB24" s="262">
        <f>SUMIFS('6. OPERATION'!$R$17:$R$149,'6. OPERATION'!$B$17:$B$149,$B24,'6. OPERATION'!$G$17:$G$149,"TRAVEL",'6. OPERATION'!$D$17:$D$149,BB$18)</f>
        <v>0</v>
      </c>
      <c r="BC24" s="262">
        <f>SUMIFS('6. OPERATION'!$R$17:$R$149,'6. OPERATION'!$B$17:$B$149,$B24,'6. OPERATION'!$G$17:$G$149,"TRAVEL",'6. OPERATION'!$D$17:$D$149,BC$18)</f>
        <v>0</v>
      </c>
      <c r="BD24" s="262">
        <f>SUMIFS('6. OPERATION'!$R$17:$R$149,'6. OPERATION'!$B$17:$B$149,$B24,'6. OPERATION'!$G$17:$G$149,"TRAVEL",'6. OPERATION'!$D$17:$D$149,BD$18)</f>
        <v>0</v>
      </c>
      <c r="BE24" s="262">
        <f>SUMIFS('6. OPERATION'!$R$17:$R$149,'6. OPERATION'!$B$17:$B$149,$B24,'6. OPERATION'!$G$17:$G$149,"TRAVEL",'6. OPERATION'!$D$17:$D$149,BE$18)</f>
        <v>0</v>
      </c>
      <c r="BF24" s="262">
        <f>SUMIFS('6. OPERATION'!$R$17:$R$149,'6. OPERATION'!$B$17:$B$149,$B24,'6. OPERATION'!$G$17:$G$149,"TRAVEL",'6. OPERATION'!$D$17:$D$149,BF$18)</f>
        <v>0</v>
      </c>
      <c r="BG24" s="262">
        <f>SUMIFS('6. OPERATION'!$R$17:$R$149,'6. OPERATION'!$B$17:$B$149,$B24,'6. OPERATION'!$G$17:$G$149,"TRAVEL",'6. OPERATION'!$D$17:$D$149,BG$18)</f>
        <v>0</v>
      </c>
      <c r="BH24" s="262">
        <f>SUMIFS('6. OPERATION'!$R$17:$R$149,'6. OPERATION'!$B$17:$B$149,$B24,'6. OPERATION'!$G$17:$G$149,"TRAVEL",'6. OPERATION'!$D$17:$D$149,BH$18)</f>
        <v>0</v>
      </c>
      <c r="BI24" s="262">
        <f>SUMIFS('6. OPERATION'!$R$17:$R$149,'6. OPERATION'!$B$17:$B$149,$B24,'6. OPERATION'!$G$17:$G$149,"TRAVEL",'6. OPERATION'!$D$17:$D$149,BI$18)</f>
        <v>0</v>
      </c>
      <c r="BJ24" s="262">
        <f>SUMIFS('6. OPERATION'!$R$17:$R$149,'6. OPERATION'!$B$17:$B$149,$B24,'6. OPERATION'!$G$17:$G$149,"TRAVEL",'6. OPERATION'!$D$17:$D$149,BJ$18)</f>
        <v>0</v>
      </c>
      <c r="BK24" s="262">
        <f>SUMIFS('6. OPERATION'!$R$17:$R$149,'6. OPERATION'!$B$17:$B$149,$B24,'6. OPERATION'!$G$17:$G$149,"TRAVEL",'6. OPERATION'!$D$17:$D$149,BK$18)</f>
        <v>0</v>
      </c>
      <c r="BL24" s="262">
        <f>SUMIFS('6. OPERATION'!$R$17:$R$149,'6. OPERATION'!$B$17:$B$149,$B24,'6. OPERATION'!$G$17:$G$149,"TRAVEL",'6. OPERATION'!$D$17:$D$149,BL$18)</f>
        <v>0</v>
      </c>
      <c r="BM24" s="262">
        <f>SUMIFS('6. OPERATION'!$R$17:$R$149,'6. OPERATION'!$B$17:$B$149,$B24,'6. OPERATION'!$G$17:$G$149,"TRAVEL",'6. OPERATION'!$D$17:$D$149,BM$18)</f>
        <v>0</v>
      </c>
      <c r="BN24" s="262">
        <f>SUMIF('7. INVEST'!B$17:B$49,B24,'7. INVEST'!S$17:S$49)</f>
        <v>0</v>
      </c>
      <c r="BO24" s="262">
        <f>SUMIFS('7. INVEST'!$S$17:$S$49,'7. INVEST'!$B$17:$B$49,$B24,'7. INVEST'!$D$17:$D$49,BO$18)</f>
        <v>0</v>
      </c>
      <c r="BP24" s="262">
        <f>SUMIFS('7. INVEST'!$S$17:$S$49,'7. INVEST'!$B$17:$B$49,$B24,'7. INVEST'!$D$17:$D$49,BP$18)</f>
        <v>0</v>
      </c>
      <c r="BQ24" s="262">
        <f>SUMIFS('7. INVEST'!$S$17:$S$49,'7. INVEST'!$B$17:$B$49,$B24,'7. INVEST'!$D$17:$D$49,BQ$18)</f>
        <v>0</v>
      </c>
      <c r="BR24" s="262">
        <f>SUMIFS('7. INVEST'!$S$17:$S$49,'7. INVEST'!$B$17:$B$49,$B24,'7. INVEST'!$D$17:$D$49,BR$18)</f>
        <v>0</v>
      </c>
      <c r="BS24" s="262">
        <f>SUMIFS('7. INVEST'!$S$17:$S$49,'7. INVEST'!$B$17:$B$49,$B24,'7. INVEST'!$D$17:$D$49,BS$18)</f>
        <v>0</v>
      </c>
      <c r="BT24" s="262">
        <f>SUMIFS('7. INVEST'!$S$17:$S$49,'7. INVEST'!$B$17:$B$49,$B24,'7. INVEST'!$D$17:$D$49,BT$18)</f>
        <v>0</v>
      </c>
      <c r="BU24" s="262">
        <f>SUMIFS('7. INVEST'!$S$17:$S$49,'7. INVEST'!$B$17:$B$49,$B24,'7. INVEST'!$D$17:$D$49,BU$18)</f>
        <v>0</v>
      </c>
      <c r="BV24" s="262">
        <f>SUMIFS('7. INVEST'!$S$17:$S$49,'7. INVEST'!$B$17:$B$49,$B24,'7. INVEST'!$D$17:$D$49,BV$18)</f>
        <v>0</v>
      </c>
      <c r="BW24" s="262">
        <f>SUMIFS('7. INVEST'!$S$17:$S$49,'7. INVEST'!$B$17:$B$49,$B24,'7. INVEST'!$D$17:$D$49,BW$18)</f>
        <v>0</v>
      </c>
      <c r="BX24" s="262">
        <f>SUMIFS('7. INVEST'!$S$17:$S$49,'7. INVEST'!$B$17:$B$49,$B24,'7. INVEST'!$D$17:$D$49,BX$18)</f>
        <v>0</v>
      </c>
      <c r="BY24" s="262">
        <f>SUMIFS('7. INVEST'!$S$17:$S$49,'7. INVEST'!$B$17:$B$49,$B24,'7. INVEST'!$D$17:$D$49,BY$18)</f>
        <v>0</v>
      </c>
      <c r="BZ24" s="262">
        <f>SUMIFS('7. INVEST'!$S$17:$S$49,'7. INVEST'!$B$17:$B$49,$B24,'7. INVEST'!$D$17:$D$49,BZ$18)</f>
        <v>0</v>
      </c>
      <c r="CA24" s="262">
        <f>SUMIFS('7. INVEST'!$S$17:$S$49,'7. INVEST'!$B$17:$B$49,$B24,'7. INVEST'!$D$17:$D$49,CA$18)</f>
        <v>0</v>
      </c>
      <c r="CB24" s="262">
        <f>SUMIFS('7. INVEST'!$S$17:$S$49,'7. INVEST'!$B$17:$B$49,$B24,'7. INVEST'!$D$17:$D$49,CB$18)</f>
        <v>0</v>
      </c>
      <c r="CC24" s="262">
        <f>SUMIFS('7. INVEST'!$S$17:$S$49,'7. INVEST'!$B$17:$B$49,$B24,'7. INVEST'!$D$17:$D$49,CC$18)</f>
        <v>0</v>
      </c>
      <c r="CD24" s="262">
        <f>SUMIFS('7. INVEST'!$S$17:$S$49,'7. INVEST'!$B$17:$B$49,$B24,'7. INVEST'!$D$17:$D$49,CD$18)</f>
        <v>0</v>
      </c>
      <c r="CE24" s="262">
        <f>SUMIFS('7. INVEST'!$S$17:$S$49,'7. INVEST'!$B$17:$B$49,$B24,'7. INVEST'!$D$17:$D$49,CE$18)</f>
        <v>0</v>
      </c>
      <c r="CF24" s="262">
        <f>SUMIFS('7. INVEST'!$S$17:$S$49,'7. INVEST'!$B$17:$B$49,$B24,'7. INVEST'!$D$17:$D$49,CF$18)</f>
        <v>0</v>
      </c>
      <c r="CG24" s="262">
        <f>SUMIFS('7. INVEST'!$S$17:$S$49,'7. INVEST'!$B$17:$B$49,$B24,'7. INVEST'!$D$17:$D$49,CG$18)</f>
        <v>0</v>
      </c>
      <c r="CH24" s="262">
        <f>SUMIFS('7. INVEST'!$S$17:$S$49,'7. INVEST'!$B$17:$B$49,$B24,'7. INVEST'!$D$17:$D$49,CH$18)</f>
        <v>0</v>
      </c>
      <c r="CI24" s="262">
        <f>SUMIFS('6. OPERATION'!$R$17:$R$149,'6. OPERATION'!$B$17:$B$149,$B24,'6. OPERATION'!$G$17:$G$149,"OTHER")+SUMIF('8. FACILIT'!$B$18:$B$50,$B24,'8. FACILIT'!$P$18:$P$50)</f>
        <v>0</v>
      </c>
      <c r="CJ24" s="262">
        <f>SUMIFS('6. OPERATION'!$R$17:$R$149,'6. OPERATION'!$B$17:$B$149,$B24,'6. OPERATION'!$G$17:$G$149,"OTHER",'6. OPERATION'!$D$17:$D$149,CJ$18)+SUMIFS('8. FACILIT'!$P$18:$P$50,'8. FACILIT'!$B$18:$B$50,$B24,'8. FACILIT'!$D$18:$D$50,CJ$18)</f>
        <v>0</v>
      </c>
      <c r="CK24" s="262">
        <f>SUMIFS('6. OPERATION'!$R$17:$R$149,'6. OPERATION'!$B$17:$B$149,$B24,'6. OPERATION'!$G$17:$G$149,"OTHER",'6. OPERATION'!$D$17:$D$149,CK$18)+SUMIFS('8. FACILIT'!$P$18:$P$50,'8. FACILIT'!$B$18:$B$50,$B24,'8. FACILIT'!$D$18:$D$50,CK$18)</f>
        <v>0</v>
      </c>
      <c r="CL24" s="262">
        <f>SUMIFS('6. OPERATION'!$R$17:$R$149,'6. OPERATION'!$B$17:$B$149,$B24,'6. OPERATION'!$G$17:$G$149,"OTHER",'6. OPERATION'!$D$17:$D$149,CL$18)+SUMIFS('8. FACILIT'!$P$18:$P$50,'8. FACILIT'!$B$18:$B$50,$B24,'8. FACILIT'!$D$18:$D$50,CL$18)</f>
        <v>0</v>
      </c>
      <c r="CM24" s="262">
        <f>SUMIFS('6. OPERATION'!$R$17:$R$149,'6. OPERATION'!$B$17:$B$149,$B24,'6. OPERATION'!$G$17:$G$149,"OTHER",'6. OPERATION'!$D$17:$D$149,CM$18)+SUMIFS('8. FACILIT'!$P$18:$P$50,'8. FACILIT'!$B$18:$B$50,$B24,'8. FACILIT'!$D$18:$D$50,CM$18)</f>
        <v>0</v>
      </c>
      <c r="CN24" s="262">
        <f>SUMIFS('6. OPERATION'!$R$17:$R$149,'6. OPERATION'!$B$17:$B$149,$B24,'6. OPERATION'!$G$17:$G$149,"OTHER",'6. OPERATION'!$D$17:$D$149,CN$18)+SUMIFS('8. FACILIT'!$P$18:$P$50,'8. FACILIT'!$B$18:$B$50,$B24,'8. FACILIT'!$D$18:$D$50,CN$18)</f>
        <v>0</v>
      </c>
      <c r="CO24" s="262">
        <f>SUMIFS('6. OPERATION'!$R$17:$R$149,'6. OPERATION'!$B$17:$B$149,$B24,'6. OPERATION'!$G$17:$G$149,"OTHER",'6. OPERATION'!$D$17:$D$149,CO$18)+SUMIFS('8. FACILIT'!$P$18:$P$50,'8. FACILIT'!$B$18:$B$50,$B24,'8. FACILIT'!$D$18:$D$50,CO$18)</f>
        <v>0</v>
      </c>
      <c r="CP24" s="262">
        <f>SUMIFS('6. OPERATION'!$R$17:$R$149,'6. OPERATION'!$B$17:$B$149,$B24,'6. OPERATION'!$G$17:$G$149,"OTHER",'6. OPERATION'!$D$17:$D$149,CP$18)+SUMIFS('8. FACILIT'!$P$18:$P$50,'8. FACILIT'!$B$18:$B$50,$B24,'8. FACILIT'!$D$18:$D$50,CP$18)</f>
        <v>0</v>
      </c>
      <c r="CQ24" s="262">
        <f>SUMIFS('6. OPERATION'!$R$17:$R$149,'6. OPERATION'!$B$17:$B$149,$B24,'6. OPERATION'!$G$17:$G$149,"OTHER",'6. OPERATION'!$D$17:$D$149,CQ$18)+SUMIFS('8. FACILIT'!$P$18:$P$50,'8. FACILIT'!$B$18:$B$50,$B24,'8. FACILIT'!$D$18:$D$50,CQ$18)</f>
        <v>0</v>
      </c>
      <c r="CR24" s="262">
        <f>SUMIFS('6. OPERATION'!$R$17:$R$149,'6. OPERATION'!$B$17:$B$149,$B24,'6. OPERATION'!$G$17:$G$149,"OTHER",'6. OPERATION'!$D$17:$D$149,CR$18)+SUMIFS('8. FACILIT'!$P$18:$P$50,'8. FACILIT'!$B$18:$B$50,$B24,'8. FACILIT'!$D$18:$D$50,CR$18)</f>
        <v>0</v>
      </c>
      <c r="CS24" s="262">
        <f>SUMIFS('6. OPERATION'!$R$17:$R$149,'6. OPERATION'!$B$17:$B$149,$B24,'6. OPERATION'!$G$17:$G$149,"OTHER",'6. OPERATION'!$D$17:$D$149,CS$18)+SUMIFS('8. FACILIT'!$P$18:$P$50,'8. FACILIT'!$B$18:$B$50,$B24,'8. FACILIT'!$D$18:$D$50,CS$18)</f>
        <v>0</v>
      </c>
      <c r="CT24" s="262">
        <f>SUMIFS('6. OPERATION'!$R$17:$R$149,'6. OPERATION'!$B$17:$B$149,$B24,'6. OPERATION'!$G$17:$G$149,"OTHER",'6. OPERATION'!$D$17:$D$149,CT$18)+SUMIFS('8. FACILIT'!$P$18:$P$50,'8. FACILIT'!$B$18:$B$50,$B24,'8. FACILIT'!$D$18:$D$50,CT$18)</f>
        <v>0</v>
      </c>
      <c r="CU24" s="262">
        <f>SUMIFS('6. OPERATION'!$R$17:$R$149,'6. OPERATION'!$B$17:$B$149,$B24,'6. OPERATION'!$G$17:$G$149,"OTHER",'6. OPERATION'!$D$17:$D$149,CU$18)+SUMIFS('8. FACILIT'!$P$18:$P$50,'8. FACILIT'!$B$18:$B$50,$B24,'8. FACILIT'!$D$18:$D$50,CU$18)</f>
        <v>0</v>
      </c>
      <c r="CV24" s="262">
        <f>SUMIFS('6. OPERATION'!$R$17:$R$149,'6. OPERATION'!$B$17:$B$149,$B24,'6. OPERATION'!$G$17:$G$149,"OTHER",'6. OPERATION'!$D$17:$D$149,CV$18)+SUMIFS('8. FACILIT'!$P$18:$P$50,'8. FACILIT'!$B$18:$B$50,$B24,'8. FACILIT'!$D$18:$D$50,CV$18)</f>
        <v>0</v>
      </c>
      <c r="CW24" s="262">
        <f>SUMIFS('6. OPERATION'!$R$17:$R$149,'6. OPERATION'!$B$17:$B$149,$B24,'6. OPERATION'!$G$17:$G$149,"OTHER",'6. OPERATION'!$D$17:$D$149,CW$18)+SUMIFS('8. FACILIT'!$P$18:$P$50,'8. FACILIT'!$B$18:$B$50,$B24,'8. FACILIT'!$D$18:$D$50,CW$18)</f>
        <v>0</v>
      </c>
      <c r="CX24" s="262">
        <f>SUMIFS('6. OPERATION'!$R$17:$R$149,'6. OPERATION'!$B$17:$B$149,$B24,'6. OPERATION'!$G$17:$G$149,"OTHER",'6. OPERATION'!$D$17:$D$149,CX$18)+SUMIFS('8. FACILIT'!$P$18:$P$50,'8. FACILIT'!$B$18:$B$50,$B24,'8. FACILIT'!$D$18:$D$50,CX$18)</f>
        <v>0</v>
      </c>
      <c r="CY24" s="262">
        <f>SUMIFS('6. OPERATION'!$R$17:$R$149,'6. OPERATION'!$B$17:$B$149,$B24,'6. OPERATION'!$G$17:$G$149,"OTHER",'6. OPERATION'!$D$17:$D$149,CY$18)+SUMIFS('8. FACILIT'!$P$18:$P$50,'8. FACILIT'!$B$18:$B$50,$B24,'8. FACILIT'!$D$18:$D$50,CY$18)</f>
        <v>0</v>
      </c>
      <c r="CZ24" s="262">
        <f>SUMIFS('6. OPERATION'!$R$17:$R$149,'6. OPERATION'!$B$17:$B$149,$B24,'6. OPERATION'!$G$17:$G$149,"OTHER",'6. OPERATION'!$D$17:$D$149,CZ$18)+SUMIFS('8. FACILIT'!$P$18:$P$50,'8. FACILIT'!$B$18:$B$50,$B24,'8. FACILIT'!$D$18:$D$50,CZ$18)</f>
        <v>0</v>
      </c>
      <c r="DA24" s="262">
        <f>SUMIFS('6. OPERATION'!$R$17:$R$149,'6. OPERATION'!$B$17:$B$149,$B24,'6. OPERATION'!$G$17:$G$149,"OTHER",'6. OPERATION'!$D$17:$D$149,DA$18)+SUMIFS('8. FACILIT'!$P$18:$P$50,'8. FACILIT'!$B$18:$B$50,$B24,'8. FACILIT'!$D$18:$D$50,DA$18)</f>
        <v>0</v>
      </c>
      <c r="DB24" s="262">
        <f>SUMIFS('6. OPERATION'!$R$17:$R$149,'6. OPERATION'!$B$17:$B$149,$B24,'6. OPERATION'!$G$17:$G$149,"OTHER",'6. OPERATION'!$D$17:$D$149,DB$18)+SUMIFS('8. FACILIT'!$P$18:$P$50,'8. FACILIT'!$B$18:$B$50,$B24,'8. FACILIT'!$D$18:$D$50,DB$18)</f>
        <v>0</v>
      </c>
      <c r="DC24" s="262">
        <f>SUMIFS('6. OPERATION'!$R$17:$R$149,'6. OPERATION'!$B$17:$B$149,$B24,'6. OPERATION'!$G$17:$G$149,"OTHER",'6. OPERATION'!$D$17:$D$149,DC$18)+SUMIFS('8. FACILIT'!$P$18:$P$50,'8. FACILIT'!$B$18:$B$50,$B24,'8. FACILIT'!$D$18:$D$50,DC$18)</f>
        <v>0</v>
      </c>
      <c r="DD24" s="262">
        <f>SUMIFS('6. OPERATION'!R$17:R$149,'6. OPERATION'!B$17:B$149,B24,'6. OPERATION'!G$17:G$149,"INTERN")</f>
        <v>0</v>
      </c>
      <c r="DE24" s="262">
        <f>SUMIFS('6. OPERATION'!$R$17:$R$149,'6. OPERATION'!$B$17:$B$149,$B24,'6. OPERATION'!$G$17:$G$149,"INTERN",'6. OPERATION'!$D$17:$D$149,DE$18)</f>
        <v>0</v>
      </c>
      <c r="DF24" s="262">
        <f>SUMIFS('6. OPERATION'!$R$17:$R$149,'6. OPERATION'!$B$17:$B$149,$B24,'6. OPERATION'!$G$17:$G$149,"INTERN",'6. OPERATION'!$D$17:$D$149,DF$18)</f>
        <v>0</v>
      </c>
      <c r="DG24" s="262">
        <f>SUMIFS('6. OPERATION'!$R$17:$R$149,'6. OPERATION'!$B$17:$B$149,$B24,'6. OPERATION'!$G$17:$G$149,"INTERN",'6. OPERATION'!$D$17:$D$149,DG$18)</f>
        <v>0</v>
      </c>
      <c r="DH24" s="262">
        <f>SUMIFS('6. OPERATION'!$R$17:$R$149,'6. OPERATION'!$B$17:$B$149,$B24,'6. OPERATION'!$G$17:$G$149,"INTERN",'6. OPERATION'!$D$17:$D$149,DH$18)</f>
        <v>0</v>
      </c>
      <c r="DI24" s="262">
        <f>SUMIFS('6. OPERATION'!$R$17:$R$149,'6. OPERATION'!$B$17:$B$149,$B24,'6. OPERATION'!$G$17:$G$149,"INTERN",'6. OPERATION'!$D$17:$D$149,DI$18)</f>
        <v>0</v>
      </c>
      <c r="DJ24" s="262">
        <f>SUMIFS('6. OPERATION'!$R$17:$R$149,'6. OPERATION'!$B$17:$B$149,$B24,'6. OPERATION'!$G$17:$G$149,"INTERN",'6. OPERATION'!$D$17:$D$149,DJ$18)</f>
        <v>0</v>
      </c>
      <c r="DK24" s="262">
        <f>SUMIFS('6. OPERATION'!$R$17:$R$149,'6. OPERATION'!$B$17:$B$149,$B24,'6. OPERATION'!$G$17:$G$149,"INTERN",'6. OPERATION'!$D$17:$D$149,DK$18)</f>
        <v>0</v>
      </c>
      <c r="DL24" s="262">
        <f>SUMIFS('6. OPERATION'!$R$17:$R$149,'6. OPERATION'!$B$17:$B$149,$B24,'6. OPERATION'!$G$17:$G$149,"INTERN",'6. OPERATION'!$D$17:$D$149,DL$18)</f>
        <v>0</v>
      </c>
      <c r="DM24" s="262">
        <f>SUMIFS('6. OPERATION'!$R$17:$R$149,'6. OPERATION'!$B$17:$B$149,$B24,'6. OPERATION'!$G$17:$G$149,"INTERN",'6. OPERATION'!$D$17:$D$149,DM$18)</f>
        <v>0</v>
      </c>
      <c r="DN24" s="262">
        <f>SUMIFS('6. OPERATION'!$R$17:$R$149,'6. OPERATION'!$B$17:$B$149,$B24,'6. OPERATION'!$G$17:$G$149,"INTERN",'6. OPERATION'!$D$17:$D$149,DN$18)</f>
        <v>0</v>
      </c>
      <c r="DO24" s="262">
        <f>SUMIFS('6. OPERATION'!$R$17:$R$149,'6. OPERATION'!$B$17:$B$149,$B24,'6. OPERATION'!$G$17:$G$149,"INTERN",'6. OPERATION'!$D$17:$D$149,DO$18)</f>
        <v>0</v>
      </c>
      <c r="DP24" s="262">
        <f>SUMIFS('6. OPERATION'!$R$17:$R$149,'6. OPERATION'!$B$17:$B$149,$B24,'6. OPERATION'!$G$17:$G$149,"INTERN",'6. OPERATION'!$D$17:$D$149,DP$18)</f>
        <v>0</v>
      </c>
      <c r="DQ24" s="262">
        <f>SUMIFS('6. OPERATION'!$R$17:$R$149,'6. OPERATION'!$B$17:$B$149,$B24,'6. OPERATION'!$G$17:$G$149,"INTERN",'6. OPERATION'!$D$17:$D$149,DQ$18)</f>
        <v>0</v>
      </c>
      <c r="DR24" s="262">
        <f>SUMIFS('6. OPERATION'!$R$17:$R$149,'6. OPERATION'!$B$17:$B$149,$B24,'6. OPERATION'!$G$17:$G$149,"INTERN",'6. OPERATION'!$D$17:$D$149,DR$18)</f>
        <v>0</v>
      </c>
      <c r="DS24" s="262">
        <f>SUMIFS('6. OPERATION'!$R$17:$R$149,'6. OPERATION'!$B$17:$B$149,$B24,'6. OPERATION'!$G$17:$G$149,"INTERN",'6. OPERATION'!$D$17:$D$149,DS$18)</f>
        <v>0</v>
      </c>
      <c r="DT24" s="262">
        <f>SUMIFS('6. OPERATION'!$R$17:$R$149,'6. OPERATION'!$B$17:$B$149,$B24,'6. OPERATION'!$G$17:$G$149,"INTERN",'6. OPERATION'!$D$17:$D$149,DT$18)</f>
        <v>0</v>
      </c>
      <c r="DU24" s="262">
        <f>SUMIFS('6. OPERATION'!$R$17:$R$149,'6. OPERATION'!$B$17:$B$149,$B24,'6. OPERATION'!$G$17:$G$149,"INTERN",'6. OPERATION'!$D$17:$D$149,DU$18)</f>
        <v>0</v>
      </c>
      <c r="DV24" s="262">
        <f>SUMIFS('6. OPERATION'!$R$17:$R$149,'6. OPERATION'!$B$17:$B$149,$B24,'6. OPERATION'!$G$17:$G$149,"INTERN",'6. OPERATION'!$D$17:$D$149,DV$18)</f>
        <v>0</v>
      </c>
      <c r="DW24" s="262">
        <f>SUMIFS('6. OPERATION'!$R$17:$R$149,'6. OPERATION'!$B$17:$B$149,$B24,'6. OPERATION'!$G$17:$G$149,"INTERN",'6. OPERATION'!$D$17:$D$149,DW$18)</f>
        <v>0</v>
      </c>
      <c r="DX24" s="262">
        <f>SUMIFS('6. OPERATION'!$R$17:$R$149,'6. OPERATION'!$B$17:$B$149,$B24,'6. OPERATION'!$G$17:$G$149,"INTERN",'6. OPERATION'!$D$17:$D$149,DX$18)</f>
        <v>0</v>
      </c>
      <c r="DY24" s="262">
        <f>(C24+AS24+BN24+CI24)*'2. START'!$C$12</f>
        <v>0</v>
      </c>
      <c r="DZ24" s="262">
        <f>(D24+AT24+BO24+CJ24)*'2. START'!$C$12</f>
        <v>0</v>
      </c>
      <c r="EA24" s="262">
        <f>(E24+AU24+BP24+CK24)*'2. START'!$C$12</f>
        <v>0</v>
      </c>
      <c r="EB24" s="262">
        <f>(F24+AV24+BQ24+CL24)*'2. START'!$C$12</f>
        <v>0</v>
      </c>
      <c r="EC24" s="262">
        <f>(G24+AW24+BR24+CM24)*'2. START'!$C$12</f>
        <v>0</v>
      </c>
      <c r="ED24" s="262">
        <f>(H24+AX24+BS24+CN24)*'2. START'!$C$12</f>
        <v>0</v>
      </c>
      <c r="EE24" s="262">
        <f>(I24+AY24+BT24+CO24)*'2. START'!$C$12</f>
        <v>0</v>
      </c>
      <c r="EF24" s="262">
        <f>(J24+AZ24+BU24+CP24)*'2. START'!$C$12</f>
        <v>0</v>
      </c>
      <c r="EG24" s="262">
        <f>(K24+BA24+BV24+CQ24)*'2. START'!$C$12</f>
        <v>0</v>
      </c>
      <c r="EH24" s="262">
        <f>(L24+BB24+BW24+CR24)*'2. START'!$C$12</f>
        <v>0</v>
      </c>
      <c r="EI24" s="262">
        <f>(M24+BC24+BX24+CS24)*'2. START'!$C$12</f>
        <v>0</v>
      </c>
      <c r="EJ24" s="262">
        <f>(N24+BD24+BY24+CT24)*'2. START'!$C$12</f>
        <v>0</v>
      </c>
      <c r="EK24" s="262">
        <f>(O24+BE24+BZ24+CU24)*'2. START'!$C$12</f>
        <v>0</v>
      </c>
      <c r="EL24" s="262">
        <f>(P24+BF24+CA24+CV24)*'2. START'!$C$12</f>
        <v>0</v>
      </c>
      <c r="EM24" s="262">
        <f>(Q24+BG24+CB24+CW24)*'2. START'!$C$12</f>
        <v>0</v>
      </c>
      <c r="EN24" s="262">
        <f>(R24+BH24+CC24+CX24)*'2. START'!$C$12</f>
        <v>0</v>
      </c>
      <c r="EO24" s="262">
        <f>(S24+BI24+CD24+CY24)*'2. START'!$C$12</f>
        <v>0</v>
      </c>
      <c r="EP24" s="262">
        <f>(T24+BJ24+CE24+CZ24)*'2. START'!$C$12</f>
        <v>0</v>
      </c>
      <c r="EQ24" s="262">
        <f>(U24+BK24+CF24+DA24)*'2. START'!$C$12</f>
        <v>0</v>
      </c>
      <c r="ER24" s="262">
        <f>(V24+BL24+CG24+DB24)*'2. START'!$C$12</f>
        <v>0</v>
      </c>
      <c r="ES24" s="262">
        <f>(W24+BM24+CH24+DC24)*'2. START'!$C$12</f>
        <v>0</v>
      </c>
      <c r="ET24" s="98">
        <f t="shared" si="4"/>
        <v>0</v>
      </c>
      <c r="EU24" s="98">
        <f t="shared" si="5"/>
        <v>0</v>
      </c>
      <c r="EV24" s="98">
        <f t="shared" si="6"/>
        <v>0</v>
      </c>
      <c r="EW24" s="98">
        <f t="shared" si="7"/>
        <v>0</v>
      </c>
      <c r="EX24" s="98">
        <f t="shared" si="8"/>
        <v>0</v>
      </c>
      <c r="EY24" s="98">
        <f t="shared" si="9"/>
        <v>0</v>
      </c>
      <c r="EZ24" s="98">
        <f t="shared" si="10"/>
        <v>0</v>
      </c>
      <c r="FA24" s="98">
        <f t="shared" si="11"/>
        <v>0</v>
      </c>
      <c r="FB24" s="98">
        <f t="shared" si="12"/>
        <v>0</v>
      </c>
      <c r="FC24" s="98">
        <f t="shared" si="13"/>
        <v>0</v>
      </c>
      <c r="FD24" s="98">
        <f t="shared" si="14"/>
        <v>0</v>
      </c>
      <c r="FE24" s="98">
        <f t="shared" si="15"/>
        <v>0</v>
      </c>
      <c r="FF24" s="98">
        <f t="shared" si="15"/>
        <v>0</v>
      </c>
      <c r="FG24" s="98">
        <f t="shared" si="15"/>
        <v>0</v>
      </c>
      <c r="FH24" s="98">
        <f t="shared" si="15"/>
        <v>0</v>
      </c>
      <c r="FI24" s="98">
        <f t="shared" si="15"/>
        <v>0</v>
      </c>
      <c r="FJ24" s="98">
        <f t="shared" si="15"/>
        <v>0</v>
      </c>
      <c r="FK24" s="98">
        <f t="shared" si="15"/>
        <v>0</v>
      </c>
      <c r="FL24" s="98">
        <f t="shared" si="15"/>
        <v>0</v>
      </c>
      <c r="FM24" s="98">
        <f t="shared" si="15"/>
        <v>0</v>
      </c>
      <c r="FN24" s="98">
        <f t="shared" si="15"/>
        <v>0</v>
      </c>
      <c r="FO24" s="272" t="str">
        <f t="shared" ref="FO24:FO52" si="17">IF(ET24=0,"",FP24/ET24)</f>
        <v/>
      </c>
      <c r="FP24" s="98">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0</v>
      </c>
      <c r="FQ24" s="944">
        <f t="shared" si="16"/>
        <v>0</v>
      </c>
      <c r="FR24" s="941">
        <f>SUMIFS('5. PERSON'!$AE$17:$AE$192,'5. PERSON'!$B$17:$B$192,'14. EUFP'!$B24,'5. PERSON'!$D$17:$D$192,FR$18)</f>
        <v>0</v>
      </c>
      <c r="FS24" s="941">
        <f>SUMIFS('5. PERSON'!$AE$17:$AE$192,'5. PERSON'!$B$17:$B$192,'14. EUFP'!$B24,'5. PERSON'!$D$17:$D$192,FS$18)</f>
        <v>0</v>
      </c>
      <c r="FT24" s="941">
        <f>SUMIFS('5. PERSON'!$AE$17:$AE$192,'5. PERSON'!$B$17:$B$192,'14. EUFP'!$B24,'5. PERSON'!$D$17:$D$192,FT$18)</f>
        <v>0</v>
      </c>
      <c r="FU24" s="941">
        <f>SUMIFS('5. PERSON'!$AE$17:$AE$192,'5. PERSON'!$B$17:$B$192,'14. EUFP'!$B24,'5. PERSON'!$D$17:$D$192,FU$18)</f>
        <v>0</v>
      </c>
      <c r="FV24" s="941">
        <f>SUMIFS('5. PERSON'!$AE$17:$AE$192,'5. PERSON'!$B$17:$B$192,'14. EUFP'!$B24,'5. PERSON'!$D$17:$D$192,FV$18)</f>
        <v>0</v>
      </c>
      <c r="FW24" s="941">
        <f>SUMIFS('5. PERSON'!$AE$17:$AE$192,'5. PERSON'!$B$17:$B$192,'14. EUFP'!$B24,'5. PERSON'!$D$17:$D$192,FW$18)</f>
        <v>0</v>
      </c>
      <c r="FX24" s="941">
        <f>SUMIFS('5. PERSON'!$AE$17:$AE$192,'5. PERSON'!$B$17:$B$192,'14. EUFP'!$B24,'5. PERSON'!$D$17:$D$192,FX$18)</f>
        <v>0</v>
      </c>
      <c r="FY24" s="941">
        <f>SUMIFS('5. PERSON'!$AE$17:$AE$192,'5. PERSON'!$B$17:$B$192,'14. EUFP'!$B24,'5. PERSON'!$D$17:$D$192,FY$18)</f>
        <v>0</v>
      </c>
      <c r="FZ24" s="941">
        <f>SUMIFS('5. PERSON'!$AE$17:$AE$192,'5. PERSON'!$B$17:$B$192,'14. EUFP'!$B24,'5. PERSON'!$D$17:$D$192,FZ$18)</f>
        <v>0</v>
      </c>
      <c r="GA24" s="941">
        <f>SUMIFS('5. PERSON'!$AE$17:$AE$192,'5. PERSON'!$B$17:$B$192,'14. EUFP'!$B24,'5. PERSON'!$D$17:$D$192,GA$18)</f>
        <v>0</v>
      </c>
      <c r="GB24" s="941">
        <f>SUMIFS('5. PERSON'!$AE$17:$AE$192,'5. PERSON'!$B$17:$B$192,'14. EUFP'!$B24,'5. PERSON'!$D$17:$D$192,GB$18)</f>
        <v>0</v>
      </c>
      <c r="GC24" s="941">
        <f>SUMIFS('5. PERSON'!$AE$17:$AE$192,'5. PERSON'!$B$17:$B$192,'14. EUFP'!$B24,'5. PERSON'!$D$17:$D$192,GC$18)</f>
        <v>0</v>
      </c>
      <c r="GD24" s="941">
        <f>SUMIFS('5. PERSON'!$AE$17:$AE$192,'5. PERSON'!$B$17:$B$192,'14. EUFP'!$B24,'5. PERSON'!$D$17:$D$192,GD$18)</f>
        <v>0</v>
      </c>
      <c r="GE24" s="941">
        <f>SUMIFS('5. PERSON'!$AE$17:$AE$192,'5. PERSON'!$B$17:$B$192,'14. EUFP'!$B24,'5. PERSON'!$D$17:$D$192,GE$18)</f>
        <v>0</v>
      </c>
      <c r="GF24" s="941">
        <f>SUMIFS('5. PERSON'!$AE$17:$AE$192,'5. PERSON'!$B$17:$B$192,'14. EUFP'!$B24,'5. PERSON'!$D$17:$D$192,GF$18)</f>
        <v>0</v>
      </c>
      <c r="GG24" s="941">
        <f>SUMIFS('5. PERSON'!$AE$17:$AE$192,'5. PERSON'!$B$17:$B$192,'14. EUFP'!$B24,'5. PERSON'!$D$17:$D$192,GG$18)</f>
        <v>0</v>
      </c>
      <c r="GH24" s="941">
        <f>SUMIFS('5. PERSON'!$AE$17:$AE$192,'5. PERSON'!$B$17:$B$192,'14. EUFP'!$B24,'5. PERSON'!$D$17:$D$192,GH$18)</f>
        <v>0</v>
      </c>
      <c r="GI24" s="941">
        <f>SUMIFS('5. PERSON'!$AE$17:$AE$192,'5. PERSON'!$B$17:$B$192,'14. EUFP'!$B24,'5. PERSON'!$D$17:$D$192,GI$18)</f>
        <v>0</v>
      </c>
      <c r="GJ24" s="941">
        <f>SUMIFS('5. PERSON'!$AE$17:$AE$192,'5. PERSON'!$B$17:$B$192,'14. EUFP'!$B24,'5. PERSON'!$D$17:$D$192,GJ$18)</f>
        <v>0</v>
      </c>
      <c r="GK24" s="941">
        <f>SUMIFS('5. PERSON'!$AE$17:$AE$192,'5. PERSON'!$B$17:$B$192,'14. EUFP'!$B24,'5. PERSON'!$D$17:$D$192,GK$18)</f>
        <v>0</v>
      </c>
      <c r="GL24" s="941">
        <f>SUM(FR24:GA24)</f>
        <v>0</v>
      </c>
    </row>
    <row r="25" spans="2:194" s="71" customFormat="1" ht="13.5" customHeight="1" x14ac:dyDescent="0.2">
      <c r="B25" s="259" t="str">
        <f>'3. PARTNER'!B52</f>
        <v>EXT102</v>
      </c>
      <c r="C25" s="281">
        <f>SUMIF('5. PERSON'!B$17:B$192,B25,'5. PERSON'!AR$17:AR$192)</f>
        <v>0</v>
      </c>
      <c r="D25" s="281">
        <f>SUMIFS('5. PERSON'!$AR$17:$AR$192,'5. PERSON'!$B$17:$B$192,$B25,'5. PERSON'!$D$17:$D$192,D$18)</f>
        <v>0</v>
      </c>
      <c r="E25" s="281">
        <f>SUMIFS('5. PERSON'!$AR$17:$AR$192,'5. PERSON'!$B$17:$B$192,$B25,'5. PERSON'!$D$17:$D$192,E$18)</f>
        <v>0</v>
      </c>
      <c r="F25" s="281">
        <f>SUMIFS('5. PERSON'!$AR$17:$AR$192,'5. PERSON'!$B$17:$B$192,$B25,'5. PERSON'!$D$17:$D$192,F$18)</f>
        <v>0</v>
      </c>
      <c r="G25" s="281">
        <f>SUMIFS('5. PERSON'!$AR$17:$AR$192,'5. PERSON'!$B$17:$B$192,$B25,'5. PERSON'!$D$17:$D$192,G$18)</f>
        <v>0</v>
      </c>
      <c r="H25" s="281">
        <f>SUMIFS('5. PERSON'!$AR$17:$AR$192,'5. PERSON'!$B$17:$B$192,$B25,'5. PERSON'!$D$17:$D$192,H$18)</f>
        <v>0</v>
      </c>
      <c r="I25" s="281">
        <f>SUMIFS('5. PERSON'!$AR$17:$AR$192,'5. PERSON'!$B$17:$B$192,$B25,'5. PERSON'!$D$17:$D$192,I$18)</f>
        <v>0</v>
      </c>
      <c r="J25" s="281">
        <f>SUMIFS('5. PERSON'!$AR$17:$AR$192,'5. PERSON'!$B$17:$B$192,$B25,'5. PERSON'!$D$17:$D$192,J$18)</f>
        <v>0</v>
      </c>
      <c r="K25" s="281">
        <f>SUMIFS('5. PERSON'!$AR$17:$AR$192,'5. PERSON'!$B$17:$B$192,$B25,'5. PERSON'!$D$17:$D$192,K$18)</f>
        <v>0</v>
      </c>
      <c r="L25" s="281">
        <f>SUMIFS('5. PERSON'!$AR$17:$AR$192,'5. PERSON'!$B$17:$B$192,$B25,'5. PERSON'!$D$17:$D$192,L$18)</f>
        <v>0</v>
      </c>
      <c r="M25" s="281">
        <f>SUMIFS('5. PERSON'!$AR$17:$AR$192,'5. PERSON'!$B$17:$B$192,$B25,'5. PERSON'!$D$17:$D$192,M$18)</f>
        <v>0</v>
      </c>
      <c r="N25" s="281">
        <f>SUMIFS('5. PERSON'!$AR$17:$AR$192,'5. PERSON'!$B$17:$B$192,$B25,'5. PERSON'!$D$17:$D$192,N$18)</f>
        <v>0</v>
      </c>
      <c r="O25" s="281">
        <f>SUMIFS('5. PERSON'!$AR$17:$AR$192,'5. PERSON'!$B$17:$B$192,$B25,'5. PERSON'!$D$17:$D$192,O$18)</f>
        <v>0</v>
      </c>
      <c r="P25" s="281">
        <f>SUMIFS('5. PERSON'!$AR$17:$AR$192,'5. PERSON'!$B$17:$B$192,$B25,'5. PERSON'!$D$17:$D$192,P$18)</f>
        <v>0</v>
      </c>
      <c r="Q25" s="281">
        <f>SUMIFS('5. PERSON'!$AR$17:$AR$192,'5. PERSON'!$B$17:$B$192,$B25,'5. PERSON'!$D$17:$D$192,Q$18)</f>
        <v>0</v>
      </c>
      <c r="R25" s="281">
        <f>SUMIFS('5. PERSON'!$AR$17:$AR$192,'5. PERSON'!$B$17:$B$192,$B25,'5. PERSON'!$D$17:$D$192,R$18)</f>
        <v>0</v>
      </c>
      <c r="S25" s="281">
        <f>SUMIFS('5. PERSON'!$AR$17:$AR$192,'5. PERSON'!$B$17:$B$192,$B25,'5. PERSON'!$D$17:$D$192,S$18)</f>
        <v>0</v>
      </c>
      <c r="T25" s="281">
        <f>SUMIFS('5. PERSON'!$AR$17:$AR$192,'5. PERSON'!$B$17:$B$192,$B25,'5. PERSON'!$D$17:$D$192,T$18)</f>
        <v>0</v>
      </c>
      <c r="U25" s="281">
        <f>SUMIFS('5. PERSON'!$AR$17:$AR$192,'5. PERSON'!$B$17:$B$192,$B25,'5. PERSON'!$D$17:$D$192,U$18)</f>
        <v>0</v>
      </c>
      <c r="V25" s="281">
        <f>SUMIFS('5. PERSON'!$AR$17:$AR$192,'5. PERSON'!$B$17:$B$192,$B25,'5. PERSON'!$D$17:$D$192,V$18)</f>
        <v>0</v>
      </c>
      <c r="W25" s="281">
        <f>SUMIFS('5. PERSON'!$AR$17:$AR$192,'5. PERSON'!$B$17:$B$192,$B25,'5. PERSON'!$D$17:$D$192,W$18)</f>
        <v>0</v>
      </c>
      <c r="X25" s="281">
        <f>SUMIFS('6. OPERATION'!R$17:R$149,'6. OPERATION'!B$17:B$149,B25,'6. OPERATION'!G$17:G$149,"SUBCON")</f>
        <v>0</v>
      </c>
      <c r="Y25" s="281">
        <f>SUMIFS('6. OPERATION'!$R$17:$R$149,'6. OPERATION'!$B$17:$B$149,$B25,'6. OPERATION'!$G$17:$G$149,"SUBCON",'6. OPERATION'!$D$17:$D$149,Y$18)</f>
        <v>0</v>
      </c>
      <c r="Z25" s="281">
        <f>SUMIFS('6. OPERATION'!$R$17:$R$149,'6. OPERATION'!$B$17:$B$149,$B25,'6. OPERATION'!$G$17:$G$149,"SUBCON",'6. OPERATION'!$D$17:$D$149,Z$18)</f>
        <v>0</v>
      </c>
      <c r="AA25" s="281">
        <f>SUMIFS('6. OPERATION'!$R$17:$R$149,'6. OPERATION'!$B$17:$B$149,$B25,'6. OPERATION'!$G$17:$G$149,"SUBCON",'6. OPERATION'!$D$17:$D$149,AA$18)</f>
        <v>0</v>
      </c>
      <c r="AB25" s="281">
        <f>SUMIFS('6. OPERATION'!$R$17:$R$149,'6. OPERATION'!$B$17:$B$149,$B25,'6. OPERATION'!$G$17:$G$149,"SUBCON",'6. OPERATION'!$D$17:$D$149,AB$18)</f>
        <v>0</v>
      </c>
      <c r="AC25" s="281">
        <f>SUMIFS('6. OPERATION'!$R$17:$R$149,'6. OPERATION'!$B$17:$B$149,$B25,'6. OPERATION'!$G$17:$G$149,"SUBCON",'6. OPERATION'!$D$17:$D$149,AC$18)</f>
        <v>0</v>
      </c>
      <c r="AD25" s="281">
        <f>SUMIFS('6. OPERATION'!$R$17:$R$149,'6. OPERATION'!$B$17:$B$149,$B25,'6. OPERATION'!$G$17:$G$149,"SUBCON",'6. OPERATION'!$D$17:$D$149,AD$18)</f>
        <v>0</v>
      </c>
      <c r="AE25" s="281">
        <f>SUMIFS('6. OPERATION'!$R$17:$R$149,'6. OPERATION'!$B$17:$B$149,$B25,'6. OPERATION'!$G$17:$G$149,"SUBCON",'6. OPERATION'!$D$17:$D$149,AE$18)</f>
        <v>0</v>
      </c>
      <c r="AF25" s="281">
        <f>SUMIFS('6. OPERATION'!$R$17:$R$149,'6. OPERATION'!$B$17:$B$149,$B25,'6. OPERATION'!$G$17:$G$149,"SUBCON",'6. OPERATION'!$D$17:$D$149,AF$18)</f>
        <v>0</v>
      </c>
      <c r="AG25" s="281">
        <f>SUMIFS('6. OPERATION'!$R$17:$R$149,'6. OPERATION'!$B$17:$B$149,$B25,'6. OPERATION'!$G$17:$G$149,"SUBCON",'6. OPERATION'!$D$17:$D$149,AG$18)</f>
        <v>0</v>
      </c>
      <c r="AH25" s="281">
        <f>SUMIFS('6. OPERATION'!$R$17:$R$149,'6. OPERATION'!$B$17:$B$149,$B25,'6. OPERATION'!$G$17:$G$149,"SUBCON",'6. OPERATION'!$D$17:$D$149,AH$18)</f>
        <v>0</v>
      </c>
      <c r="AI25" s="281">
        <f>SUMIFS('6. OPERATION'!$R$17:$R$149,'6. OPERATION'!$B$17:$B$149,$B25,'6. OPERATION'!$G$17:$G$149,"SUBCON",'6. OPERATION'!$D$17:$D$149,AI$18)</f>
        <v>0</v>
      </c>
      <c r="AJ25" s="281">
        <f>SUMIFS('6. OPERATION'!$R$17:$R$149,'6. OPERATION'!$B$17:$B$149,$B25,'6. OPERATION'!$G$17:$G$149,"SUBCON",'6. OPERATION'!$D$17:$D$149,AJ$18)</f>
        <v>0</v>
      </c>
      <c r="AK25" s="281">
        <f>SUMIFS('6. OPERATION'!$R$17:$R$149,'6. OPERATION'!$B$17:$B$149,$B25,'6. OPERATION'!$G$17:$G$149,"SUBCON",'6. OPERATION'!$D$17:$D$149,AK$18)</f>
        <v>0</v>
      </c>
      <c r="AL25" s="281">
        <f>SUMIFS('6. OPERATION'!$R$17:$R$149,'6. OPERATION'!$B$17:$B$149,$B25,'6. OPERATION'!$G$17:$G$149,"SUBCON",'6. OPERATION'!$D$17:$D$149,AL$18)</f>
        <v>0</v>
      </c>
      <c r="AM25" s="281">
        <f>SUMIFS('6. OPERATION'!$R$17:$R$149,'6. OPERATION'!$B$17:$B$149,$B25,'6. OPERATION'!$G$17:$G$149,"SUBCON",'6. OPERATION'!$D$17:$D$149,AM$18)</f>
        <v>0</v>
      </c>
      <c r="AN25" s="281">
        <f>SUMIFS('6. OPERATION'!$R$17:$R$149,'6. OPERATION'!$B$17:$B$149,$B25,'6. OPERATION'!$G$17:$G$149,"SUBCON",'6. OPERATION'!$D$17:$D$149,AN$18)</f>
        <v>0</v>
      </c>
      <c r="AO25" s="281">
        <f>SUMIFS('6. OPERATION'!$R$17:$R$149,'6. OPERATION'!$B$17:$B$149,$B25,'6. OPERATION'!$G$17:$G$149,"SUBCON",'6. OPERATION'!$D$17:$D$149,AO$18)</f>
        <v>0</v>
      </c>
      <c r="AP25" s="281">
        <f>SUMIFS('6. OPERATION'!$R$17:$R$149,'6. OPERATION'!$B$17:$B$149,$B25,'6. OPERATION'!$G$17:$G$149,"SUBCON",'6. OPERATION'!$D$17:$D$149,AP$18)</f>
        <v>0</v>
      </c>
      <c r="AQ25" s="281">
        <f>SUMIFS('6. OPERATION'!$R$17:$R$149,'6. OPERATION'!$B$17:$B$149,$B25,'6. OPERATION'!$G$17:$G$149,"SUBCON",'6. OPERATION'!$D$17:$D$149,AQ$18)</f>
        <v>0</v>
      </c>
      <c r="AR25" s="281">
        <f>SUMIFS('6. OPERATION'!$R$17:$R$149,'6. OPERATION'!$B$17:$B$149,$B25,'6. OPERATION'!$G$17:$G$149,"SUBCON",'6. OPERATION'!$D$17:$D$149,AR$18)</f>
        <v>0</v>
      </c>
      <c r="AS25" s="281">
        <f>SUMIFS('6. OPERATION'!R$17:R$149,'6. OPERATION'!B$17:B$149,B25,'6. OPERATION'!G$17:G$149,"TRAVEL")</f>
        <v>0</v>
      </c>
      <c r="AT25" s="281">
        <f>SUMIFS('6. OPERATION'!$R$17:$R$149,'6. OPERATION'!$B$17:$B$149,$B25,'6. OPERATION'!$G$17:$G$149,"TRAVEL",'6. OPERATION'!$D$17:$D$149,AT$18)</f>
        <v>0</v>
      </c>
      <c r="AU25" s="281">
        <f>SUMIFS('6. OPERATION'!$R$17:$R$149,'6. OPERATION'!$B$17:$B$149,$B25,'6. OPERATION'!$G$17:$G$149,"TRAVEL",'6. OPERATION'!$D$17:$D$149,AU$18)</f>
        <v>0</v>
      </c>
      <c r="AV25" s="281">
        <f>SUMIFS('6. OPERATION'!$R$17:$R$149,'6. OPERATION'!$B$17:$B$149,$B25,'6. OPERATION'!$G$17:$G$149,"TRAVEL",'6. OPERATION'!$D$17:$D$149,AV$18)</f>
        <v>0</v>
      </c>
      <c r="AW25" s="281">
        <f>SUMIFS('6. OPERATION'!$R$17:$R$149,'6. OPERATION'!$B$17:$B$149,$B25,'6. OPERATION'!$G$17:$G$149,"TRAVEL",'6. OPERATION'!$D$17:$D$149,AW$18)</f>
        <v>0</v>
      </c>
      <c r="AX25" s="281">
        <f>SUMIFS('6. OPERATION'!$R$17:$R$149,'6. OPERATION'!$B$17:$B$149,$B25,'6. OPERATION'!$G$17:$G$149,"TRAVEL",'6. OPERATION'!$D$17:$D$149,AX$18)</f>
        <v>0</v>
      </c>
      <c r="AY25" s="281">
        <f>SUMIFS('6. OPERATION'!$R$17:$R$149,'6. OPERATION'!$B$17:$B$149,$B25,'6. OPERATION'!$G$17:$G$149,"TRAVEL",'6. OPERATION'!$D$17:$D$149,AY$18)</f>
        <v>0</v>
      </c>
      <c r="AZ25" s="281">
        <f>SUMIFS('6. OPERATION'!$R$17:$R$149,'6. OPERATION'!$B$17:$B$149,$B25,'6. OPERATION'!$G$17:$G$149,"TRAVEL",'6. OPERATION'!$D$17:$D$149,AZ$18)</f>
        <v>0</v>
      </c>
      <c r="BA25" s="281">
        <f>SUMIFS('6. OPERATION'!$R$17:$R$149,'6. OPERATION'!$B$17:$B$149,$B25,'6. OPERATION'!$G$17:$G$149,"TRAVEL",'6. OPERATION'!$D$17:$D$149,BA$18)</f>
        <v>0</v>
      </c>
      <c r="BB25" s="281">
        <f>SUMIFS('6. OPERATION'!$R$17:$R$149,'6. OPERATION'!$B$17:$B$149,$B25,'6. OPERATION'!$G$17:$G$149,"TRAVEL",'6. OPERATION'!$D$17:$D$149,BB$18)</f>
        <v>0</v>
      </c>
      <c r="BC25" s="281">
        <f>SUMIFS('6. OPERATION'!$R$17:$R$149,'6. OPERATION'!$B$17:$B$149,$B25,'6. OPERATION'!$G$17:$G$149,"TRAVEL",'6. OPERATION'!$D$17:$D$149,BC$18)</f>
        <v>0</v>
      </c>
      <c r="BD25" s="281">
        <f>SUMIFS('6. OPERATION'!$R$17:$R$149,'6. OPERATION'!$B$17:$B$149,$B25,'6. OPERATION'!$G$17:$G$149,"TRAVEL",'6. OPERATION'!$D$17:$D$149,BD$18)</f>
        <v>0</v>
      </c>
      <c r="BE25" s="281">
        <f>SUMIFS('6. OPERATION'!$R$17:$R$149,'6. OPERATION'!$B$17:$B$149,$B25,'6. OPERATION'!$G$17:$G$149,"TRAVEL",'6. OPERATION'!$D$17:$D$149,BE$18)</f>
        <v>0</v>
      </c>
      <c r="BF25" s="281">
        <f>SUMIFS('6. OPERATION'!$R$17:$R$149,'6. OPERATION'!$B$17:$B$149,$B25,'6. OPERATION'!$G$17:$G$149,"TRAVEL",'6. OPERATION'!$D$17:$D$149,BF$18)</f>
        <v>0</v>
      </c>
      <c r="BG25" s="281">
        <f>SUMIFS('6. OPERATION'!$R$17:$R$149,'6. OPERATION'!$B$17:$B$149,$B25,'6. OPERATION'!$G$17:$G$149,"TRAVEL",'6. OPERATION'!$D$17:$D$149,BG$18)</f>
        <v>0</v>
      </c>
      <c r="BH25" s="281">
        <f>SUMIFS('6. OPERATION'!$R$17:$R$149,'6. OPERATION'!$B$17:$B$149,$B25,'6. OPERATION'!$G$17:$G$149,"TRAVEL",'6. OPERATION'!$D$17:$D$149,BH$18)</f>
        <v>0</v>
      </c>
      <c r="BI25" s="281">
        <f>SUMIFS('6. OPERATION'!$R$17:$R$149,'6. OPERATION'!$B$17:$B$149,$B25,'6. OPERATION'!$G$17:$G$149,"TRAVEL",'6. OPERATION'!$D$17:$D$149,BI$18)</f>
        <v>0</v>
      </c>
      <c r="BJ25" s="281">
        <f>SUMIFS('6. OPERATION'!$R$17:$R$149,'6. OPERATION'!$B$17:$B$149,$B25,'6. OPERATION'!$G$17:$G$149,"TRAVEL",'6. OPERATION'!$D$17:$D$149,BJ$18)</f>
        <v>0</v>
      </c>
      <c r="BK25" s="281">
        <f>SUMIFS('6. OPERATION'!$R$17:$R$149,'6. OPERATION'!$B$17:$B$149,$B25,'6. OPERATION'!$G$17:$G$149,"TRAVEL",'6. OPERATION'!$D$17:$D$149,BK$18)</f>
        <v>0</v>
      </c>
      <c r="BL25" s="281">
        <f>SUMIFS('6. OPERATION'!$R$17:$R$149,'6. OPERATION'!$B$17:$B$149,$B25,'6. OPERATION'!$G$17:$G$149,"TRAVEL",'6. OPERATION'!$D$17:$D$149,BL$18)</f>
        <v>0</v>
      </c>
      <c r="BM25" s="281">
        <f>SUMIFS('6. OPERATION'!$R$17:$R$149,'6. OPERATION'!$B$17:$B$149,$B25,'6. OPERATION'!$G$17:$G$149,"TRAVEL",'6. OPERATION'!$D$17:$D$149,BM$18)</f>
        <v>0</v>
      </c>
      <c r="BN25" s="281">
        <f>SUMIF('7. INVEST'!B$17:B$49,B25,'7. INVEST'!S$17:S$49)</f>
        <v>0</v>
      </c>
      <c r="BO25" s="281">
        <f>SUMIFS('7. INVEST'!$S$17:$S$49,'7. INVEST'!$B$17:$B$49,$B25,'7. INVEST'!$D$17:$D$49,BO$18)</f>
        <v>0</v>
      </c>
      <c r="BP25" s="281">
        <f>SUMIFS('7. INVEST'!$S$17:$S$49,'7. INVEST'!$B$17:$B$49,$B25,'7. INVEST'!$D$17:$D$49,BP$18)</f>
        <v>0</v>
      </c>
      <c r="BQ25" s="281">
        <f>SUMIFS('7. INVEST'!$S$17:$S$49,'7. INVEST'!$B$17:$B$49,$B25,'7. INVEST'!$D$17:$D$49,BQ$18)</f>
        <v>0</v>
      </c>
      <c r="BR25" s="281">
        <f>SUMIFS('7. INVEST'!$S$17:$S$49,'7. INVEST'!$B$17:$B$49,$B25,'7. INVEST'!$D$17:$D$49,BR$18)</f>
        <v>0</v>
      </c>
      <c r="BS25" s="281">
        <f>SUMIFS('7. INVEST'!$S$17:$S$49,'7. INVEST'!$B$17:$B$49,$B25,'7. INVEST'!$D$17:$D$49,BS$18)</f>
        <v>0</v>
      </c>
      <c r="BT25" s="281">
        <f>SUMIFS('7. INVEST'!$S$17:$S$49,'7. INVEST'!$B$17:$B$49,$B25,'7. INVEST'!$D$17:$D$49,BT$18)</f>
        <v>0</v>
      </c>
      <c r="BU25" s="281">
        <f>SUMIFS('7. INVEST'!$S$17:$S$49,'7. INVEST'!$B$17:$B$49,$B25,'7. INVEST'!$D$17:$D$49,BU$18)</f>
        <v>0</v>
      </c>
      <c r="BV25" s="281">
        <f>SUMIFS('7. INVEST'!$S$17:$S$49,'7. INVEST'!$B$17:$B$49,$B25,'7. INVEST'!$D$17:$D$49,BV$18)</f>
        <v>0</v>
      </c>
      <c r="BW25" s="281">
        <f>SUMIFS('7. INVEST'!$S$17:$S$49,'7. INVEST'!$B$17:$B$49,$B25,'7. INVEST'!$D$17:$D$49,BW$18)</f>
        <v>0</v>
      </c>
      <c r="BX25" s="281">
        <f>SUMIFS('7. INVEST'!$S$17:$S$49,'7. INVEST'!$B$17:$B$49,$B25,'7. INVEST'!$D$17:$D$49,BX$18)</f>
        <v>0</v>
      </c>
      <c r="BY25" s="281">
        <f>SUMIFS('7. INVEST'!$S$17:$S$49,'7. INVEST'!$B$17:$B$49,$B25,'7. INVEST'!$D$17:$D$49,BY$18)</f>
        <v>0</v>
      </c>
      <c r="BZ25" s="281">
        <f>SUMIFS('7. INVEST'!$S$17:$S$49,'7. INVEST'!$B$17:$B$49,$B25,'7. INVEST'!$D$17:$D$49,BZ$18)</f>
        <v>0</v>
      </c>
      <c r="CA25" s="281">
        <f>SUMIFS('7. INVEST'!$S$17:$S$49,'7. INVEST'!$B$17:$B$49,$B25,'7. INVEST'!$D$17:$D$49,CA$18)</f>
        <v>0</v>
      </c>
      <c r="CB25" s="281">
        <f>SUMIFS('7. INVEST'!$S$17:$S$49,'7. INVEST'!$B$17:$B$49,$B25,'7. INVEST'!$D$17:$D$49,CB$18)</f>
        <v>0</v>
      </c>
      <c r="CC25" s="281">
        <f>SUMIFS('7. INVEST'!$S$17:$S$49,'7. INVEST'!$B$17:$B$49,$B25,'7. INVEST'!$D$17:$D$49,CC$18)</f>
        <v>0</v>
      </c>
      <c r="CD25" s="281">
        <f>SUMIFS('7. INVEST'!$S$17:$S$49,'7. INVEST'!$B$17:$B$49,$B25,'7. INVEST'!$D$17:$D$49,CD$18)</f>
        <v>0</v>
      </c>
      <c r="CE25" s="281">
        <f>SUMIFS('7. INVEST'!$S$17:$S$49,'7. INVEST'!$B$17:$B$49,$B25,'7. INVEST'!$D$17:$D$49,CE$18)</f>
        <v>0</v>
      </c>
      <c r="CF25" s="281">
        <f>SUMIFS('7. INVEST'!$S$17:$S$49,'7. INVEST'!$B$17:$B$49,$B25,'7. INVEST'!$D$17:$D$49,CF$18)</f>
        <v>0</v>
      </c>
      <c r="CG25" s="281">
        <f>SUMIFS('7. INVEST'!$S$17:$S$49,'7. INVEST'!$B$17:$B$49,$B25,'7. INVEST'!$D$17:$D$49,CG$18)</f>
        <v>0</v>
      </c>
      <c r="CH25" s="281">
        <f>SUMIFS('7. INVEST'!$S$17:$S$49,'7. INVEST'!$B$17:$B$49,$B25,'7. INVEST'!$D$17:$D$49,CH$18)</f>
        <v>0</v>
      </c>
      <c r="CI25" s="281">
        <f>SUMIFS('6. OPERATION'!$R$17:$R$149,'6. OPERATION'!$B$17:$B$149,$B25,'6. OPERATION'!$G$17:$G$149,"OTHER")+SUMIF('8. FACILIT'!$B$18:$B$50,$B25,'8. FACILIT'!$P$18:$P$50)</f>
        <v>0</v>
      </c>
      <c r="CJ25" s="281">
        <f>SUMIFS('6. OPERATION'!$R$17:$R$149,'6. OPERATION'!$B$17:$B$149,$B25,'6. OPERATION'!$G$17:$G$149,"OTHER",'6. OPERATION'!$D$17:$D$149,CJ$18)+SUMIFS('8. FACILIT'!$P$18:$P$50,'8. FACILIT'!$B$18:$B$50,$B25,'8. FACILIT'!$D$18:$D$50,CJ$18)</f>
        <v>0</v>
      </c>
      <c r="CK25" s="281">
        <f>SUMIFS('6. OPERATION'!$R$17:$R$149,'6. OPERATION'!$B$17:$B$149,$B25,'6. OPERATION'!$G$17:$G$149,"OTHER",'6. OPERATION'!$D$17:$D$149,CK$18)+SUMIFS('8. FACILIT'!$P$18:$P$50,'8. FACILIT'!$B$18:$B$50,$B25,'8. FACILIT'!$D$18:$D$50,CK$18)</f>
        <v>0</v>
      </c>
      <c r="CL25" s="281">
        <f>SUMIFS('6. OPERATION'!$R$17:$R$149,'6. OPERATION'!$B$17:$B$149,$B25,'6. OPERATION'!$G$17:$G$149,"OTHER",'6. OPERATION'!$D$17:$D$149,CL$18)+SUMIFS('8. FACILIT'!$P$18:$P$50,'8. FACILIT'!$B$18:$B$50,$B25,'8. FACILIT'!$D$18:$D$50,CL$18)</f>
        <v>0</v>
      </c>
      <c r="CM25" s="281">
        <f>SUMIFS('6. OPERATION'!$R$17:$R$149,'6. OPERATION'!$B$17:$B$149,$B25,'6. OPERATION'!$G$17:$G$149,"OTHER",'6. OPERATION'!$D$17:$D$149,CM$18)+SUMIFS('8. FACILIT'!$P$18:$P$50,'8. FACILIT'!$B$18:$B$50,$B25,'8. FACILIT'!$D$18:$D$50,CM$18)</f>
        <v>0</v>
      </c>
      <c r="CN25" s="281">
        <f>SUMIFS('6. OPERATION'!$R$17:$R$149,'6. OPERATION'!$B$17:$B$149,$B25,'6. OPERATION'!$G$17:$G$149,"OTHER",'6. OPERATION'!$D$17:$D$149,CN$18)+SUMIFS('8. FACILIT'!$P$18:$P$50,'8. FACILIT'!$B$18:$B$50,$B25,'8. FACILIT'!$D$18:$D$50,CN$18)</f>
        <v>0</v>
      </c>
      <c r="CO25" s="281">
        <f>SUMIFS('6. OPERATION'!$R$17:$R$149,'6. OPERATION'!$B$17:$B$149,$B25,'6. OPERATION'!$G$17:$G$149,"OTHER",'6. OPERATION'!$D$17:$D$149,CO$18)+SUMIFS('8. FACILIT'!$P$18:$P$50,'8. FACILIT'!$B$18:$B$50,$B25,'8. FACILIT'!$D$18:$D$50,CO$18)</f>
        <v>0</v>
      </c>
      <c r="CP25" s="281">
        <f>SUMIFS('6. OPERATION'!$R$17:$R$149,'6. OPERATION'!$B$17:$B$149,$B25,'6. OPERATION'!$G$17:$G$149,"OTHER",'6. OPERATION'!$D$17:$D$149,CP$18)+SUMIFS('8. FACILIT'!$P$18:$P$50,'8. FACILIT'!$B$18:$B$50,$B25,'8. FACILIT'!$D$18:$D$50,CP$18)</f>
        <v>0</v>
      </c>
      <c r="CQ25" s="281">
        <f>SUMIFS('6. OPERATION'!$R$17:$R$149,'6. OPERATION'!$B$17:$B$149,$B25,'6. OPERATION'!$G$17:$G$149,"OTHER",'6. OPERATION'!$D$17:$D$149,CQ$18)+SUMIFS('8. FACILIT'!$P$18:$P$50,'8. FACILIT'!$B$18:$B$50,$B25,'8. FACILIT'!$D$18:$D$50,CQ$18)</f>
        <v>0</v>
      </c>
      <c r="CR25" s="281">
        <f>SUMIFS('6. OPERATION'!$R$17:$R$149,'6. OPERATION'!$B$17:$B$149,$B25,'6. OPERATION'!$G$17:$G$149,"OTHER",'6. OPERATION'!$D$17:$D$149,CR$18)+SUMIFS('8. FACILIT'!$P$18:$P$50,'8. FACILIT'!$B$18:$B$50,$B25,'8. FACILIT'!$D$18:$D$50,CR$18)</f>
        <v>0</v>
      </c>
      <c r="CS25" s="281">
        <f>SUMIFS('6. OPERATION'!$R$17:$R$149,'6. OPERATION'!$B$17:$B$149,$B25,'6. OPERATION'!$G$17:$G$149,"OTHER",'6. OPERATION'!$D$17:$D$149,CS$18)+SUMIFS('8. FACILIT'!$P$18:$P$50,'8. FACILIT'!$B$18:$B$50,$B25,'8. FACILIT'!$D$18:$D$50,CS$18)</f>
        <v>0</v>
      </c>
      <c r="CT25" s="281">
        <f>SUMIFS('6. OPERATION'!$R$17:$R$149,'6. OPERATION'!$B$17:$B$149,$B25,'6. OPERATION'!$G$17:$G$149,"OTHER",'6. OPERATION'!$D$17:$D$149,CT$18)+SUMIFS('8. FACILIT'!$P$18:$P$50,'8. FACILIT'!$B$18:$B$50,$B25,'8. FACILIT'!$D$18:$D$50,CT$18)</f>
        <v>0</v>
      </c>
      <c r="CU25" s="281">
        <f>SUMIFS('6. OPERATION'!$R$17:$R$149,'6. OPERATION'!$B$17:$B$149,$B25,'6. OPERATION'!$G$17:$G$149,"OTHER",'6. OPERATION'!$D$17:$D$149,CU$18)+SUMIFS('8. FACILIT'!$P$18:$P$50,'8. FACILIT'!$B$18:$B$50,$B25,'8. FACILIT'!$D$18:$D$50,CU$18)</f>
        <v>0</v>
      </c>
      <c r="CV25" s="281">
        <f>SUMIFS('6. OPERATION'!$R$17:$R$149,'6. OPERATION'!$B$17:$B$149,$B25,'6. OPERATION'!$G$17:$G$149,"OTHER",'6. OPERATION'!$D$17:$D$149,CV$18)+SUMIFS('8. FACILIT'!$P$18:$P$50,'8. FACILIT'!$B$18:$B$50,$B25,'8. FACILIT'!$D$18:$D$50,CV$18)</f>
        <v>0</v>
      </c>
      <c r="CW25" s="281">
        <f>SUMIFS('6. OPERATION'!$R$17:$R$149,'6. OPERATION'!$B$17:$B$149,$B25,'6. OPERATION'!$G$17:$G$149,"OTHER",'6. OPERATION'!$D$17:$D$149,CW$18)+SUMIFS('8. FACILIT'!$P$18:$P$50,'8. FACILIT'!$B$18:$B$50,$B25,'8. FACILIT'!$D$18:$D$50,CW$18)</f>
        <v>0</v>
      </c>
      <c r="CX25" s="281">
        <f>SUMIFS('6. OPERATION'!$R$17:$R$149,'6. OPERATION'!$B$17:$B$149,$B25,'6. OPERATION'!$G$17:$G$149,"OTHER",'6. OPERATION'!$D$17:$D$149,CX$18)+SUMIFS('8. FACILIT'!$P$18:$P$50,'8. FACILIT'!$B$18:$B$50,$B25,'8. FACILIT'!$D$18:$D$50,CX$18)</f>
        <v>0</v>
      </c>
      <c r="CY25" s="281">
        <f>SUMIFS('6. OPERATION'!$R$17:$R$149,'6. OPERATION'!$B$17:$B$149,$B25,'6. OPERATION'!$G$17:$G$149,"OTHER",'6. OPERATION'!$D$17:$D$149,CY$18)+SUMIFS('8. FACILIT'!$P$18:$P$50,'8. FACILIT'!$B$18:$B$50,$B25,'8. FACILIT'!$D$18:$D$50,CY$18)</f>
        <v>0</v>
      </c>
      <c r="CZ25" s="281">
        <f>SUMIFS('6. OPERATION'!$R$17:$R$149,'6. OPERATION'!$B$17:$B$149,$B25,'6. OPERATION'!$G$17:$G$149,"OTHER",'6. OPERATION'!$D$17:$D$149,CZ$18)+SUMIFS('8. FACILIT'!$P$18:$P$50,'8. FACILIT'!$B$18:$B$50,$B25,'8. FACILIT'!$D$18:$D$50,CZ$18)</f>
        <v>0</v>
      </c>
      <c r="DA25" s="281">
        <f>SUMIFS('6. OPERATION'!$R$17:$R$149,'6. OPERATION'!$B$17:$B$149,$B25,'6. OPERATION'!$G$17:$G$149,"OTHER",'6. OPERATION'!$D$17:$D$149,DA$18)+SUMIFS('8. FACILIT'!$P$18:$P$50,'8. FACILIT'!$B$18:$B$50,$B25,'8. FACILIT'!$D$18:$D$50,DA$18)</f>
        <v>0</v>
      </c>
      <c r="DB25" s="281">
        <f>SUMIFS('6. OPERATION'!$R$17:$R$149,'6. OPERATION'!$B$17:$B$149,$B25,'6. OPERATION'!$G$17:$G$149,"OTHER",'6. OPERATION'!$D$17:$D$149,DB$18)+SUMIFS('8. FACILIT'!$P$18:$P$50,'8. FACILIT'!$B$18:$B$50,$B25,'8. FACILIT'!$D$18:$D$50,DB$18)</f>
        <v>0</v>
      </c>
      <c r="DC25" s="281">
        <f>SUMIFS('6. OPERATION'!$R$17:$R$149,'6. OPERATION'!$B$17:$B$149,$B25,'6. OPERATION'!$G$17:$G$149,"OTHER",'6. OPERATION'!$D$17:$D$149,DC$18)+SUMIFS('8. FACILIT'!$P$18:$P$50,'8. FACILIT'!$B$18:$B$50,$B25,'8. FACILIT'!$D$18:$D$50,DC$18)</f>
        <v>0</v>
      </c>
      <c r="DD25" s="281">
        <f>SUMIFS('6. OPERATION'!R$17:R$149,'6. OPERATION'!B$17:B$149,B25,'6. OPERATION'!G$17:G$149,"INTERN")</f>
        <v>0</v>
      </c>
      <c r="DE25" s="281">
        <f>SUMIFS('6. OPERATION'!$R$17:$R$149,'6. OPERATION'!$B$17:$B$149,$B25,'6. OPERATION'!$G$17:$G$149,"INTERN",'6. OPERATION'!$D$17:$D$149,DE$18)</f>
        <v>0</v>
      </c>
      <c r="DF25" s="281">
        <f>SUMIFS('6. OPERATION'!$R$17:$R$149,'6. OPERATION'!$B$17:$B$149,$B25,'6. OPERATION'!$G$17:$G$149,"INTERN",'6. OPERATION'!$D$17:$D$149,DF$18)</f>
        <v>0</v>
      </c>
      <c r="DG25" s="281">
        <f>SUMIFS('6. OPERATION'!$R$17:$R$149,'6. OPERATION'!$B$17:$B$149,$B25,'6. OPERATION'!$G$17:$G$149,"INTERN",'6. OPERATION'!$D$17:$D$149,DG$18)</f>
        <v>0</v>
      </c>
      <c r="DH25" s="281">
        <f>SUMIFS('6. OPERATION'!$R$17:$R$149,'6. OPERATION'!$B$17:$B$149,$B25,'6. OPERATION'!$G$17:$G$149,"INTERN",'6. OPERATION'!$D$17:$D$149,DH$18)</f>
        <v>0</v>
      </c>
      <c r="DI25" s="281">
        <f>SUMIFS('6. OPERATION'!$R$17:$R$149,'6. OPERATION'!$B$17:$B$149,$B25,'6. OPERATION'!$G$17:$G$149,"INTERN",'6. OPERATION'!$D$17:$D$149,DI$18)</f>
        <v>0</v>
      </c>
      <c r="DJ25" s="281">
        <f>SUMIFS('6. OPERATION'!$R$17:$R$149,'6. OPERATION'!$B$17:$B$149,$B25,'6. OPERATION'!$G$17:$G$149,"INTERN",'6. OPERATION'!$D$17:$D$149,DJ$18)</f>
        <v>0</v>
      </c>
      <c r="DK25" s="281">
        <f>SUMIFS('6. OPERATION'!$R$17:$R$149,'6. OPERATION'!$B$17:$B$149,$B25,'6. OPERATION'!$G$17:$G$149,"INTERN",'6. OPERATION'!$D$17:$D$149,DK$18)</f>
        <v>0</v>
      </c>
      <c r="DL25" s="281">
        <f>SUMIFS('6. OPERATION'!$R$17:$R$149,'6. OPERATION'!$B$17:$B$149,$B25,'6. OPERATION'!$G$17:$G$149,"INTERN",'6. OPERATION'!$D$17:$D$149,DL$18)</f>
        <v>0</v>
      </c>
      <c r="DM25" s="281">
        <f>SUMIFS('6. OPERATION'!$R$17:$R$149,'6. OPERATION'!$B$17:$B$149,$B25,'6. OPERATION'!$G$17:$G$149,"INTERN",'6. OPERATION'!$D$17:$D$149,DM$18)</f>
        <v>0</v>
      </c>
      <c r="DN25" s="281">
        <f>SUMIFS('6. OPERATION'!$R$17:$R$149,'6. OPERATION'!$B$17:$B$149,$B25,'6. OPERATION'!$G$17:$G$149,"INTERN",'6. OPERATION'!$D$17:$D$149,DN$18)</f>
        <v>0</v>
      </c>
      <c r="DO25" s="281">
        <f>SUMIFS('6. OPERATION'!$R$17:$R$149,'6. OPERATION'!$B$17:$B$149,$B25,'6. OPERATION'!$G$17:$G$149,"INTERN",'6. OPERATION'!$D$17:$D$149,DO$18)</f>
        <v>0</v>
      </c>
      <c r="DP25" s="281">
        <f>SUMIFS('6. OPERATION'!$R$17:$R$149,'6. OPERATION'!$B$17:$B$149,$B25,'6. OPERATION'!$G$17:$G$149,"INTERN",'6. OPERATION'!$D$17:$D$149,DP$18)</f>
        <v>0</v>
      </c>
      <c r="DQ25" s="281">
        <f>SUMIFS('6. OPERATION'!$R$17:$R$149,'6. OPERATION'!$B$17:$B$149,$B25,'6. OPERATION'!$G$17:$G$149,"INTERN",'6. OPERATION'!$D$17:$D$149,DQ$18)</f>
        <v>0</v>
      </c>
      <c r="DR25" s="281">
        <f>SUMIFS('6. OPERATION'!$R$17:$R$149,'6. OPERATION'!$B$17:$B$149,$B25,'6. OPERATION'!$G$17:$G$149,"INTERN",'6. OPERATION'!$D$17:$D$149,DR$18)</f>
        <v>0</v>
      </c>
      <c r="DS25" s="281">
        <f>SUMIFS('6. OPERATION'!$R$17:$R$149,'6. OPERATION'!$B$17:$B$149,$B25,'6. OPERATION'!$G$17:$G$149,"INTERN",'6. OPERATION'!$D$17:$D$149,DS$18)</f>
        <v>0</v>
      </c>
      <c r="DT25" s="281">
        <f>SUMIFS('6. OPERATION'!$R$17:$R$149,'6. OPERATION'!$B$17:$B$149,$B25,'6. OPERATION'!$G$17:$G$149,"INTERN",'6. OPERATION'!$D$17:$D$149,DT$18)</f>
        <v>0</v>
      </c>
      <c r="DU25" s="281">
        <f>SUMIFS('6. OPERATION'!$R$17:$R$149,'6. OPERATION'!$B$17:$B$149,$B25,'6. OPERATION'!$G$17:$G$149,"INTERN",'6. OPERATION'!$D$17:$D$149,DU$18)</f>
        <v>0</v>
      </c>
      <c r="DV25" s="281">
        <f>SUMIFS('6. OPERATION'!$R$17:$R$149,'6. OPERATION'!$B$17:$B$149,$B25,'6. OPERATION'!$G$17:$G$149,"INTERN",'6. OPERATION'!$D$17:$D$149,DV$18)</f>
        <v>0</v>
      </c>
      <c r="DW25" s="281">
        <f>SUMIFS('6. OPERATION'!$R$17:$R$149,'6. OPERATION'!$B$17:$B$149,$B25,'6. OPERATION'!$G$17:$G$149,"INTERN",'6. OPERATION'!$D$17:$D$149,DW$18)</f>
        <v>0</v>
      </c>
      <c r="DX25" s="281">
        <f>SUMIFS('6. OPERATION'!$R$17:$R$149,'6. OPERATION'!$B$17:$B$149,$B25,'6. OPERATION'!$G$17:$G$149,"INTERN",'6. OPERATION'!$D$17:$D$149,DX$18)</f>
        <v>0</v>
      </c>
      <c r="DY25" s="288">
        <f>(C25+AS25+BN25+CI25)*'2. START'!$C$12</f>
        <v>0</v>
      </c>
      <c r="DZ25" s="288">
        <f>(D25+AT25+BO25+CJ25)*'2. START'!$C$12</f>
        <v>0</v>
      </c>
      <c r="EA25" s="288">
        <f>(E25+AU25+BP25+CK25)*'2. START'!$C$12</f>
        <v>0</v>
      </c>
      <c r="EB25" s="288">
        <f>(F25+AV25+BQ25+CL25)*'2. START'!$C$12</f>
        <v>0</v>
      </c>
      <c r="EC25" s="288">
        <f>(G25+AW25+BR25+CM25)*'2. START'!$C$12</f>
        <v>0</v>
      </c>
      <c r="ED25" s="288">
        <f>(H25+AX25+BS25+CN25)*'2. START'!$C$12</f>
        <v>0</v>
      </c>
      <c r="EE25" s="288">
        <f>(I25+AY25+BT25+CO25)*'2. START'!$C$12</f>
        <v>0</v>
      </c>
      <c r="EF25" s="288">
        <f>(J25+AZ25+BU25+CP25)*'2. START'!$C$12</f>
        <v>0</v>
      </c>
      <c r="EG25" s="288">
        <f>(K25+BA25+BV25+CQ25)*'2. START'!$C$12</f>
        <v>0</v>
      </c>
      <c r="EH25" s="288">
        <f>(L25+BB25+BW25+CR25)*'2. START'!$C$12</f>
        <v>0</v>
      </c>
      <c r="EI25" s="288">
        <f>(M25+BC25+BX25+CS25)*'2. START'!$C$12</f>
        <v>0</v>
      </c>
      <c r="EJ25" s="288">
        <f>(N25+BD25+BY25+CT25)*'2. START'!$C$12</f>
        <v>0</v>
      </c>
      <c r="EK25" s="288">
        <f>(O25+BE25+BZ25+CU25)*'2. START'!$C$12</f>
        <v>0</v>
      </c>
      <c r="EL25" s="288">
        <f>(P25+BF25+CA25+CV25)*'2. START'!$C$12</f>
        <v>0</v>
      </c>
      <c r="EM25" s="288">
        <f>(Q25+BG25+CB25+CW25)*'2. START'!$C$12</f>
        <v>0</v>
      </c>
      <c r="EN25" s="288">
        <f>(R25+BH25+CC25+CX25)*'2. START'!$C$12</f>
        <v>0</v>
      </c>
      <c r="EO25" s="288">
        <f>(S25+BI25+CD25+CY25)*'2. START'!$C$12</f>
        <v>0</v>
      </c>
      <c r="EP25" s="288">
        <f>(T25+BJ25+CE25+CZ25)*'2. START'!$C$12</f>
        <v>0</v>
      </c>
      <c r="EQ25" s="288">
        <f>(U25+BK25+CF25+DA25)*'2. START'!$C$12</f>
        <v>0</v>
      </c>
      <c r="ER25" s="288">
        <f>(V25+BL25+CG25+DB25)*'2. START'!$C$12</f>
        <v>0</v>
      </c>
      <c r="ES25" s="288">
        <f>(W25+BM25+CH25+DC25)*'2. START'!$C$12</f>
        <v>0</v>
      </c>
      <c r="ET25" s="105">
        <f t="shared" si="4"/>
        <v>0</v>
      </c>
      <c r="EU25" s="105">
        <f t="shared" si="5"/>
        <v>0</v>
      </c>
      <c r="EV25" s="105">
        <f t="shared" si="6"/>
        <v>0</v>
      </c>
      <c r="EW25" s="105">
        <f t="shared" si="7"/>
        <v>0</v>
      </c>
      <c r="EX25" s="105">
        <f t="shared" si="8"/>
        <v>0</v>
      </c>
      <c r="EY25" s="105">
        <f t="shared" si="9"/>
        <v>0</v>
      </c>
      <c r="EZ25" s="105">
        <f t="shared" si="10"/>
        <v>0</v>
      </c>
      <c r="FA25" s="105">
        <f t="shared" si="11"/>
        <v>0</v>
      </c>
      <c r="FB25" s="105">
        <f t="shared" si="12"/>
        <v>0</v>
      </c>
      <c r="FC25" s="105">
        <f t="shared" si="13"/>
        <v>0</v>
      </c>
      <c r="FD25" s="105">
        <f t="shared" si="14"/>
        <v>0</v>
      </c>
      <c r="FE25" s="105">
        <f t="shared" ref="FE25:FE52" si="18">N25+AI25+BD25+BY25+CT25+DO25+EJ25</f>
        <v>0</v>
      </c>
      <c r="FF25" s="105">
        <f t="shared" ref="FF25:FF52" si="19">O25+AJ25+BE25+BZ25+CU25+DP25+EK25</f>
        <v>0</v>
      </c>
      <c r="FG25" s="105">
        <f t="shared" ref="FG25:FG52" si="20">P25+AK25+BF25+CA25+CV25+DQ25+EL25</f>
        <v>0</v>
      </c>
      <c r="FH25" s="105">
        <f t="shared" ref="FH25:FH52" si="21">Q25+AL25+BG25+CB25+CW25+DR25+EM25</f>
        <v>0</v>
      </c>
      <c r="FI25" s="105">
        <f t="shared" ref="FI25:FI52" si="22">R25+AM25+BH25+CC25+CX25+DS25+EN25</f>
        <v>0</v>
      </c>
      <c r="FJ25" s="105">
        <f t="shared" ref="FJ25:FJ52" si="23">S25+AN25+BI25+CD25+CY25+DT25+EO25</f>
        <v>0</v>
      </c>
      <c r="FK25" s="105">
        <f t="shared" ref="FK25:FK52" si="24">T25+AO25+BJ25+CE25+CZ25+DU25+EP25</f>
        <v>0</v>
      </c>
      <c r="FL25" s="105">
        <f t="shared" ref="FL25:FL52" si="25">U25+AP25+BK25+CF25+DA25+DV25+EQ25</f>
        <v>0</v>
      </c>
      <c r="FM25" s="105">
        <f t="shared" ref="FM25:FM52" si="26">V25+AQ25+BL25+CG25+DB25+DW25+ER25</f>
        <v>0</v>
      </c>
      <c r="FN25" s="105">
        <f t="shared" ref="FN25:FN52" si="27">W25+AR25+BM25+CH25+DC25+DX25+ES25</f>
        <v>0</v>
      </c>
      <c r="FO25" s="273" t="str">
        <f t="shared" si="17"/>
        <v/>
      </c>
      <c r="FP25" s="105">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0</v>
      </c>
      <c r="FQ25" s="943">
        <f t="shared" si="16"/>
        <v>0</v>
      </c>
      <c r="FR25" s="940">
        <f>SUMIFS('5. PERSON'!$AE$17:$AE$192,'5. PERSON'!$B$17:$B$192,'14. EUFP'!$B25,'5. PERSON'!$D$17:$D$192,FR$18)</f>
        <v>0</v>
      </c>
      <c r="FS25" s="940">
        <f>SUMIFS('5. PERSON'!$AE$17:$AE$192,'5. PERSON'!$B$17:$B$192,'14. EUFP'!$B25,'5. PERSON'!$D$17:$D$192,FS$18)</f>
        <v>0</v>
      </c>
      <c r="FT25" s="940">
        <f>SUMIFS('5. PERSON'!$AE$17:$AE$192,'5. PERSON'!$B$17:$B$192,'14. EUFP'!$B25,'5. PERSON'!$D$17:$D$192,FT$18)</f>
        <v>0</v>
      </c>
      <c r="FU25" s="940">
        <f>SUMIFS('5. PERSON'!$AE$17:$AE$192,'5. PERSON'!$B$17:$B$192,'14. EUFP'!$B25,'5. PERSON'!$D$17:$D$192,FU$18)</f>
        <v>0</v>
      </c>
      <c r="FV25" s="940">
        <f>SUMIFS('5. PERSON'!$AE$17:$AE$192,'5. PERSON'!$B$17:$B$192,'14. EUFP'!$B25,'5. PERSON'!$D$17:$D$192,FV$18)</f>
        <v>0</v>
      </c>
      <c r="FW25" s="940">
        <f>SUMIFS('5. PERSON'!$AE$17:$AE$192,'5. PERSON'!$B$17:$B$192,'14. EUFP'!$B25,'5. PERSON'!$D$17:$D$192,FW$18)</f>
        <v>0</v>
      </c>
      <c r="FX25" s="940">
        <f>SUMIFS('5. PERSON'!$AE$17:$AE$192,'5. PERSON'!$B$17:$B$192,'14. EUFP'!$B25,'5. PERSON'!$D$17:$D$192,FX$18)</f>
        <v>0</v>
      </c>
      <c r="FY25" s="940">
        <f>SUMIFS('5. PERSON'!$AE$17:$AE$192,'5. PERSON'!$B$17:$B$192,'14. EUFP'!$B25,'5. PERSON'!$D$17:$D$192,FY$18)</f>
        <v>0</v>
      </c>
      <c r="FZ25" s="940">
        <f>SUMIFS('5. PERSON'!$AE$17:$AE$192,'5. PERSON'!$B$17:$B$192,'14. EUFP'!$B25,'5. PERSON'!$D$17:$D$192,FZ$18)</f>
        <v>0</v>
      </c>
      <c r="GA25" s="940">
        <f>SUMIFS('5. PERSON'!$AE$17:$AE$192,'5. PERSON'!$B$17:$B$192,'14. EUFP'!$B25,'5. PERSON'!$D$17:$D$192,GA$18)</f>
        <v>0</v>
      </c>
      <c r="GB25" s="940">
        <f>SUMIFS('5. PERSON'!$AE$17:$AE$192,'5. PERSON'!$B$17:$B$192,'14. EUFP'!$B25,'5. PERSON'!$D$17:$D$192,GB$18)</f>
        <v>0</v>
      </c>
      <c r="GC25" s="940">
        <f>SUMIFS('5. PERSON'!$AE$17:$AE$192,'5. PERSON'!$B$17:$B$192,'14. EUFP'!$B25,'5. PERSON'!$D$17:$D$192,GC$18)</f>
        <v>0</v>
      </c>
      <c r="GD25" s="940">
        <f>SUMIFS('5. PERSON'!$AE$17:$AE$192,'5. PERSON'!$B$17:$B$192,'14. EUFP'!$B25,'5. PERSON'!$D$17:$D$192,GD$18)</f>
        <v>0</v>
      </c>
      <c r="GE25" s="940">
        <f>SUMIFS('5. PERSON'!$AE$17:$AE$192,'5. PERSON'!$B$17:$B$192,'14. EUFP'!$B25,'5. PERSON'!$D$17:$D$192,GE$18)</f>
        <v>0</v>
      </c>
      <c r="GF25" s="940">
        <f>SUMIFS('5. PERSON'!$AE$17:$AE$192,'5. PERSON'!$B$17:$B$192,'14. EUFP'!$B25,'5. PERSON'!$D$17:$D$192,GF$18)</f>
        <v>0</v>
      </c>
      <c r="GG25" s="940">
        <f>SUMIFS('5. PERSON'!$AE$17:$AE$192,'5. PERSON'!$B$17:$B$192,'14. EUFP'!$B25,'5. PERSON'!$D$17:$D$192,GG$18)</f>
        <v>0</v>
      </c>
      <c r="GH25" s="940">
        <f>SUMIFS('5. PERSON'!$AE$17:$AE$192,'5. PERSON'!$B$17:$B$192,'14. EUFP'!$B25,'5. PERSON'!$D$17:$D$192,GH$18)</f>
        <v>0</v>
      </c>
      <c r="GI25" s="940">
        <f>SUMIFS('5. PERSON'!$AE$17:$AE$192,'5. PERSON'!$B$17:$B$192,'14. EUFP'!$B25,'5. PERSON'!$D$17:$D$192,GI$18)</f>
        <v>0</v>
      </c>
      <c r="GJ25" s="940">
        <f>SUMIFS('5. PERSON'!$AE$17:$AE$192,'5. PERSON'!$B$17:$B$192,'14. EUFP'!$B25,'5. PERSON'!$D$17:$D$192,GJ$18)</f>
        <v>0</v>
      </c>
      <c r="GK25" s="940">
        <f>SUMIFS('5. PERSON'!$AE$17:$AE$192,'5. PERSON'!$B$17:$B$192,'14. EUFP'!$B25,'5. PERSON'!$D$17:$D$192,GK$18)</f>
        <v>0</v>
      </c>
      <c r="GL25" s="940">
        <f t="shared" ref="GL25:GL53" si="28">SUM(FR25:GA25)</f>
        <v>0</v>
      </c>
    </row>
    <row r="26" spans="2:194" ht="13.5" customHeight="1" x14ac:dyDescent="0.2">
      <c r="B26" s="261" t="str">
        <f>'3. PARTNER'!B53</f>
        <v>EXT103</v>
      </c>
      <c r="C26" s="262">
        <f>SUMIF('5. PERSON'!B$17:B$192,B26,'5. PERSON'!AR$17:AR$192)</f>
        <v>0</v>
      </c>
      <c r="D26" s="262">
        <f>SUMIFS('5. PERSON'!$AR$17:$AR$192,'5. PERSON'!$B$17:$B$192,$B26,'5. PERSON'!$D$17:$D$192,D$18)</f>
        <v>0</v>
      </c>
      <c r="E26" s="262">
        <f>SUMIFS('5. PERSON'!$AR$17:$AR$192,'5. PERSON'!$B$17:$B$192,$B26,'5. PERSON'!$D$17:$D$192,E$18)</f>
        <v>0</v>
      </c>
      <c r="F26" s="262">
        <f>SUMIFS('5. PERSON'!$AR$17:$AR$192,'5. PERSON'!$B$17:$B$192,$B26,'5. PERSON'!$D$17:$D$192,F$18)</f>
        <v>0</v>
      </c>
      <c r="G26" s="262">
        <f>SUMIFS('5. PERSON'!$AR$17:$AR$192,'5. PERSON'!$B$17:$B$192,$B26,'5. PERSON'!$D$17:$D$192,G$18)</f>
        <v>0</v>
      </c>
      <c r="H26" s="262">
        <f>SUMIFS('5. PERSON'!$AR$17:$AR$192,'5. PERSON'!$B$17:$B$192,$B26,'5. PERSON'!$D$17:$D$192,H$18)</f>
        <v>0</v>
      </c>
      <c r="I26" s="262">
        <f>SUMIFS('5. PERSON'!$AR$17:$AR$192,'5. PERSON'!$B$17:$B$192,$B26,'5. PERSON'!$D$17:$D$192,I$18)</f>
        <v>0</v>
      </c>
      <c r="J26" s="262">
        <f>SUMIFS('5. PERSON'!$AR$17:$AR$192,'5. PERSON'!$B$17:$B$192,$B26,'5. PERSON'!$D$17:$D$192,J$18)</f>
        <v>0</v>
      </c>
      <c r="K26" s="262">
        <f>SUMIFS('5. PERSON'!$AR$17:$AR$192,'5. PERSON'!$B$17:$B$192,$B26,'5. PERSON'!$D$17:$D$192,K$18)</f>
        <v>0</v>
      </c>
      <c r="L26" s="262">
        <f>SUMIFS('5. PERSON'!$AR$17:$AR$192,'5. PERSON'!$B$17:$B$192,$B26,'5. PERSON'!$D$17:$D$192,L$18)</f>
        <v>0</v>
      </c>
      <c r="M26" s="262">
        <f>SUMIFS('5. PERSON'!$AR$17:$AR$192,'5. PERSON'!$B$17:$B$192,$B26,'5. PERSON'!$D$17:$D$192,M$18)</f>
        <v>0</v>
      </c>
      <c r="N26" s="262">
        <f>SUMIFS('5. PERSON'!$AR$17:$AR$192,'5. PERSON'!$B$17:$B$192,$B26,'5. PERSON'!$D$17:$D$192,N$18)</f>
        <v>0</v>
      </c>
      <c r="O26" s="262">
        <f>SUMIFS('5. PERSON'!$AR$17:$AR$192,'5. PERSON'!$B$17:$B$192,$B26,'5. PERSON'!$D$17:$D$192,O$18)</f>
        <v>0</v>
      </c>
      <c r="P26" s="262">
        <f>SUMIFS('5. PERSON'!$AR$17:$AR$192,'5. PERSON'!$B$17:$B$192,$B26,'5. PERSON'!$D$17:$D$192,P$18)</f>
        <v>0</v>
      </c>
      <c r="Q26" s="262">
        <f>SUMIFS('5. PERSON'!$AR$17:$AR$192,'5. PERSON'!$B$17:$B$192,$B26,'5. PERSON'!$D$17:$D$192,Q$18)</f>
        <v>0</v>
      </c>
      <c r="R26" s="262">
        <f>SUMIFS('5. PERSON'!$AR$17:$AR$192,'5. PERSON'!$B$17:$B$192,$B26,'5. PERSON'!$D$17:$D$192,R$18)</f>
        <v>0</v>
      </c>
      <c r="S26" s="262">
        <f>SUMIFS('5. PERSON'!$AR$17:$AR$192,'5. PERSON'!$B$17:$B$192,$B26,'5. PERSON'!$D$17:$D$192,S$18)</f>
        <v>0</v>
      </c>
      <c r="T26" s="262">
        <f>SUMIFS('5. PERSON'!$AR$17:$AR$192,'5. PERSON'!$B$17:$B$192,$B26,'5. PERSON'!$D$17:$D$192,T$18)</f>
        <v>0</v>
      </c>
      <c r="U26" s="262">
        <f>SUMIFS('5. PERSON'!$AR$17:$AR$192,'5. PERSON'!$B$17:$B$192,$B26,'5. PERSON'!$D$17:$D$192,U$18)</f>
        <v>0</v>
      </c>
      <c r="V26" s="262">
        <f>SUMIFS('5. PERSON'!$AR$17:$AR$192,'5. PERSON'!$B$17:$B$192,$B26,'5. PERSON'!$D$17:$D$192,V$18)</f>
        <v>0</v>
      </c>
      <c r="W26" s="262">
        <f>SUMIFS('5. PERSON'!$AR$17:$AR$192,'5. PERSON'!$B$17:$B$192,$B26,'5. PERSON'!$D$17:$D$192,W$18)</f>
        <v>0</v>
      </c>
      <c r="X26" s="262">
        <f>SUMIFS('6. OPERATION'!R$17:R$149,'6. OPERATION'!B$17:B$149,B26,'6. OPERATION'!G$17:G$149,"SUBCON")</f>
        <v>0</v>
      </c>
      <c r="Y26" s="262">
        <f>SUMIFS('6. OPERATION'!$R$17:$R$149,'6. OPERATION'!$B$17:$B$149,$B26,'6. OPERATION'!$G$17:$G$149,"SUBCON",'6. OPERATION'!$D$17:$D$149,Y$18)</f>
        <v>0</v>
      </c>
      <c r="Z26" s="262">
        <f>SUMIFS('6. OPERATION'!$R$17:$R$149,'6. OPERATION'!$B$17:$B$149,$B26,'6. OPERATION'!$G$17:$G$149,"SUBCON",'6. OPERATION'!$D$17:$D$149,Z$18)</f>
        <v>0</v>
      </c>
      <c r="AA26" s="262">
        <f>SUMIFS('6. OPERATION'!$R$17:$R$149,'6. OPERATION'!$B$17:$B$149,$B26,'6. OPERATION'!$G$17:$G$149,"SUBCON",'6. OPERATION'!$D$17:$D$149,AA$18)</f>
        <v>0</v>
      </c>
      <c r="AB26" s="262">
        <f>SUMIFS('6. OPERATION'!$R$17:$R$149,'6. OPERATION'!$B$17:$B$149,$B26,'6. OPERATION'!$G$17:$G$149,"SUBCON",'6. OPERATION'!$D$17:$D$149,AB$18)</f>
        <v>0</v>
      </c>
      <c r="AC26" s="262">
        <f>SUMIFS('6. OPERATION'!$R$17:$R$149,'6. OPERATION'!$B$17:$B$149,$B26,'6. OPERATION'!$G$17:$G$149,"SUBCON",'6. OPERATION'!$D$17:$D$149,AC$18)</f>
        <v>0</v>
      </c>
      <c r="AD26" s="262">
        <f>SUMIFS('6. OPERATION'!$R$17:$R$149,'6. OPERATION'!$B$17:$B$149,$B26,'6. OPERATION'!$G$17:$G$149,"SUBCON",'6. OPERATION'!$D$17:$D$149,AD$18)</f>
        <v>0</v>
      </c>
      <c r="AE26" s="262">
        <f>SUMIFS('6. OPERATION'!$R$17:$R$149,'6. OPERATION'!$B$17:$B$149,$B26,'6. OPERATION'!$G$17:$G$149,"SUBCON",'6. OPERATION'!$D$17:$D$149,AE$18)</f>
        <v>0</v>
      </c>
      <c r="AF26" s="262">
        <f>SUMIFS('6. OPERATION'!$R$17:$R$149,'6. OPERATION'!$B$17:$B$149,$B26,'6. OPERATION'!$G$17:$G$149,"SUBCON",'6. OPERATION'!$D$17:$D$149,AF$18)</f>
        <v>0</v>
      </c>
      <c r="AG26" s="262">
        <f>SUMIFS('6. OPERATION'!$R$17:$R$149,'6. OPERATION'!$B$17:$B$149,$B26,'6. OPERATION'!$G$17:$G$149,"SUBCON",'6. OPERATION'!$D$17:$D$149,AG$18)</f>
        <v>0</v>
      </c>
      <c r="AH26" s="262">
        <f>SUMIFS('6. OPERATION'!$R$17:$R$149,'6. OPERATION'!$B$17:$B$149,$B26,'6. OPERATION'!$G$17:$G$149,"SUBCON",'6. OPERATION'!$D$17:$D$149,AH$18)</f>
        <v>0</v>
      </c>
      <c r="AI26" s="262">
        <f>SUMIFS('6. OPERATION'!$R$17:$R$149,'6. OPERATION'!$B$17:$B$149,$B26,'6. OPERATION'!$G$17:$G$149,"SUBCON",'6. OPERATION'!$D$17:$D$149,AI$18)</f>
        <v>0</v>
      </c>
      <c r="AJ26" s="262">
        <f>SUMIFS('6. OPERATION'!$R$17:$R$149,'6. OPERATION'!$B$17:$B$149,$B26,'6. OPERATION'!$G$17:$G$149,"SUBCON",'6. OPERATION'!$D$17:$D$149,AJ$18)</f>
        <v>0</v>
      </c>
      <c r="AK26" s="262">
        <f>SUMIFS('6. OPERATION'!$R$17:$R$149,'6. OPERATION'!$B$17:$B$149,$B26,'6. OPERATION'!$G$17:$G$149,"SUBCON",'6. OPERATION'!$D$17:$D$149,AK$18)</f>
        <v>0</v>
      </c>
      <c r="AL26" s="262">
        <f>SUMIFS('6. OPERATION'!$R$17:$R$149,'6. OPERATION'!$B$17:$B$149,$B26,'6. OPERATION'!$G$17:$G$149,"SUBCON",'6. OPERATION'!$D$17:$D$149,AL$18)</f>
        <v>0</v>
      </c>
      <c r="AM26" s="262">
        <f>SUMIFS('6. OPERATION'!$R$17:$R$149,'6. OPERATION'!$B$17:$B$149,$B26,'6. OPERATION'!$G$17:$G$149,"SUBCON",'6. OPERATION'!$D$17:$D$149,AM$18)</f>
        <v>0</v>
      </c>
      <c r="AN26" s="262">
        <f>SUMIFS('6. OPERATION'!$R$17:$R$149,'6. OPERATION'!$B$17:$B$149,$B26,'6. OPERATION'!$G$17:$G$149,"SUBCON",'6. OPERATION'!$D$17:$D$149,AN$18)</f>
        <v>0</v>
      </c>
      <c r="AO26" s="262">
        <f>SUMIFS('6. OPERATION'!$R$17:$R$149,'6. OPERATION'!$B$17:$B$149,$B26,'6. OPERATION'!$G$17:$G$149,"SUBCON",'6. OPERATION'!$D$17:$D$149,AO$18)</f>
        <v>0</v>
      </c>
      <c r="AP26" s="262">
        <f>SUMIFS('6. OPERATION'!$R$17:$R$149,'6. OPERATION'!$B$17:$B$149,$B26,'6. OPERATION'!$G$17:$G$149,"SUBCON",'6. OPERATION'!$D$17:$D$149,AP$18)</f>
        <v>0</v>
      </c>
      <c r="AQ26" s="262">
        <f>SUMIFS('6. OPERATION'!$R$17:$R$149,'6. OPERATION'!$B$17:$B$149,$B26,'6. OPERATION'!$G$17:$G$149,"SUBCON",'6. OPERATION'!$D$17:$D$149,AQ$18)</f>
        <v>0</v>
      </c>
      <c r="AR26" s="262">
        <f>SUMIFS('6. OPERATION'!$R$17:$R$149,'6. OPERATION'!$B$17:$B$149,$B26,'6. OPERATION'!$G$17:$G$149,"SUBCON",'6. OPERATION'!$D$17:$D$149,AR$18)</f>
        <v>0</v>
      </c>
      <c r="AS26" s="262">
        <f>SUMIFS('6. OPERATION'!R$17:R$149,'6. OPERATION'!B$17:B$149,B26,'6. OPERATION'!G$17:G$149,"TRAVEL")</f>
        <v>0</v>
      </c>
      <c r="AT26" s="262">
        <f>SUMIFS('6. OPERATION'!$R$17:$R$149,'6. OPERATION'!$B$17:$B$149,$B26,'6. OPERATION'!$G$17:$G$149,"TRAVEL",'6. OPERATION'!$D$17:$D$149,AT$18)</f>
        <v>0</v>
      </c>
      <c r="AU26" s="262">
        <f>SUMIFS('6. OPERATION'!$R$17:$R$149,'6. OPERATION'!$B$17:$B$149,$B26,'6. OPERATION'!$G$17:$G$149,"TRAVEL",'6. OPERATION'!$D$17:$D$149,AU$18)</f>
        <v>0</v>
      </c>
      <c r="AV26" s="262">
        <f>SUMIFS('6. OPERATION'!$R$17:$R$149,'6. OPERATION'!$B$17:$B$149,$B26,'6. OPERATION'!$G$17:$G$149,"TRAVEL",'6. OPERATION'!$D$17:$D$149,AV$18)</f>
        <v>0</v>
      </c>
      <c r="AW26" s="262">
        <f>SUMIFS('6. OPERATION'!$R$17:$R$149,'6. OPERATION'!$B$17:$B$149,$B26,'6. OPERATION'!$G$17:$G$149,"TRAVEL",'6. OPERATION'!$D$17:$D$149,AW$18)</f>
        <v>0</v>
      </c>
      <c r="AX26" s="262">
        <f>SUMIFS('6. OPERATION'!$R$17:$R$149,'6. OPERATION'!$B$17:$B$149,$B26,'6. OPERATION'!$G$17:$G$149,"TRAVEL",'6. OPERATION'!$D$17:$D$149,AX$18)</f>
        <v>0</v>
      </c>
      <c r="AY26" s="262">
        <f>SUMIFS('6. OPERATION'!$R$17:$R$149,'6. OPERATION'!$B$17:$B$149,$B26,'6. OPERATION'!$G$17:$G$149,"TRAVEL",'6. OPERATION'!$D$17:$D$149,AY$18)</f>
        <v>0</v>
      </c>
      <c r="AZ26" s="262">
        <f>SUMIFS('6. OPERATION'!$R$17:$R$149,'6. OPERATION'!$B$17:$B$149,$B26,'6. OPERATION'!$G$17:$G$149,"TRAVEL",'6. OPERATION'!$D$17:$D$149,AZ$18)</f>
        <v>0</v>
      </c>
      <c r="BA26" s="262">
        <f>SUMIFS('6. OPERATION'!$R$17:$R$149,'6. OPERATION'!$B$17:$B$149,$B26,'6. OPERATION'!$G$17:$G$149,"TRAVEL",'6. OPERATION'!$D$17:$D$149,BA$18)</f>
        <v>0</v>
      </c>
      <c r="BB26" s="262">
        <f>SUMIFS('6. OPERATION'!$R$17:$R$149,'6. OPERATION'!$B$17:$B$149,$B26,'6. OPERATION'!$G$17:$G$149,"TRAVEL",'6. OPERATION'!$D$17:$D$149,BB$18)</f>
        <v>0</v>
      </c>
      <c r="BC26" s="262">
        <f>SUMIFS('6. OPERATION'!$R$17:$R$149,'6. OPERATION'!$B$17:$B$149,$B26,'6. OPERATION'!$G$17:$G$149,"TRAVEL",'6. OPERATION'!$D$17:$D$149,BC$18)</f>
        <v>0</v>
      </c>
      <c r="BD26" s="262">
        <f>SUMIFS('6. OPERATION'!$R$17:$R$149,'6. OPERATION'!$B$17:$B$149,$B26,'6. OPERATION'!$G$17:$G$149,"TRAVEL",'6. OPERATION'!$D$17:$D$149,BD$18)</f>
        <v>0</v>
      </c>
      <c r="BE26" s="262">
        <f>SUMIFS('6. OPERATION'!$R$17:$R$149,'6. OPERATION'!$B$17:$B$149,$B26,'6. OPERATION'!$G$17:$G$149,"TRAVEL",'6. OPERATION'!$D$17:$D$149,BE$18)</f>
        <v>0</v>
      </c>
      <c r="BF26" s="262">
        <f>SUMIFS('6. OPERATION'!$R$17:$R$149,'6. OPERATION'!$B$17:$B$149,$B26,'6. OPERATION'!$G$17:$G$149,"TRAVEL",'6. OPERATION'!$D$17:$D$149,BF$18)</f>
        <v>0</v>
      </c>
      <c r="BG26" s="262">
        <f>SUMIFS('6. OPERATION'!$R$17:$R$149,'6. OPERATION'!$B$17:$B$149,$B26,'6. OPERATION'!$G$17:$G$149,"TRAVEL",'6. OPERATION'!$D$17:$D$149,BG$18)</f>
        <v>0</v>
      </c>
      <c r="BH26" s="262">
        <f>SUMIFS('6. OPERATION'!$R$17:$R$149,'6. OPERATION'!$B$17:$B$149,$B26,'6. OPERATION'!$G$17:$G$149,"TRAVEL",'6. OPERATION'!$D$17:$D$149,BH$18)</f>
        <v>0</v>
      </c>
      <c r="BI26" s="262">
        <f>SUMIFS('6. OPERATION'!$R$17:$R$149,'6. OPERATION'!$B$17:$B$149,$B26,'6. OPERATION'!$G$17:$G$149,"TRAVEL",'6. OPERATION'!$D$17:$D$149,BI$18)</f>
        <v>0</v>
      </c>
      <c r="BJ26" s="262">
        <f>SUMIFS('6. OPERATION'!$R$17:$R$149,'6. OPERATION'!$B$17:$B$149,$B26,'6. OPERATION'!$G$17:$G$149,"TRAVEL",'6. OPERATION'!$D$17:$D$149,BJ$18)</f>
        <v>0</v>
      </c>
      <c r="BK26" s="262">
        <f>SUMIFS('6. OPERATION'!$R$17:$R$149,'6. OPERATION'!$B$17:$B$149,$B26,'6. OPERATION'!$G$17:$G$149,"TRAVEL",'6. OPERATION'!$D$17:$D$149,BK$18)</f>
        <v>0</v>
      </c>
      <c r="BL26" s="262">
        <f>SUMIFS('6. OPERATION'!$R$17:$R$149,'6. OPERATION'!$B$17:$B$149,$B26,'6. OPERATION'!$G$17:$G$149,"TRAVEL",'6. OPERATION'!$D$17:$D$149,BL$18)</f>
        <v>0</v>
      </c>
      <c r="BM26" s="262">
        <f>SUMIFS('6. OPERATION'!$R$17:$R$149,'6. OPERATION'!$B$17:$B$149,$B26,'6. OPERATION'!$G$17:$G$149,"TRAVEL",'6. OPERATION'!$D$17:$D$149,BM$18)</f>
        <v>0</v>
      </c>
      <c r="BN26" s="262">
        <f>SUMIF('7. INVEST'!B$17:B$49,B26,'7. INVEST'!S$17:S$49)</f>
        <v>0</v>
      </c>
      <c r="BO26" s="262">
        <f>SUMIFS('7. INVEST'!$S$17:$S$49,'7. INVEST'!$B$17:$B$49,$B26,'7. INVEST'!$D$17:$D$49,BO$18)</f>
        <v>0</v>
      </c>
      <c r="BP26" s="262">
        <f>SUMIFS('7. INVEST'!$S$17:$S$49,'7. INVEST'!$B$17:$B$49,$B26,'7. INVEST'!$D$17:$D$49,BP$18)</f>
        <v>0</v>
      </c>
      <c r="BQ26" s="262">
        <f>SUMIFS('7. INVEST'!$S$17:$S$49,'7. INVEST'!$B$17:$B$49,$B26,'7. INVEST'!$D$17:$D$49,BQ$18)</f>
        <v>0</v>
      </c>
      <c r="BR26" s="262">
        <f>SUMIFS('7. INVEST'!$S$17:$S$49,'7. INVEST'!$B$17:$B$49,$B26,'7. INVEST'!$D$17:$D$49,BR$18)</f>
        <v>0</v>
      </c>
      <c r="BS26" s="262">
        <f>SUMIFS('7. INVEST'!$S$17:$S$49,'7. INVEST'!$B$17:$B$49,$B26,'7. INVEST'!$D$17:$D$49,BS$18)</f>
        <v>0</v>
      </c>
      <c r="BT26" s="262">
        <f>SUMIFS('7. INVEST'!$S$17:$S$49,'7. INVEST'!$B$17:$B$49,$B26,'7. INVEST'!$D$17:$D$49,BT$18)</f>
        <v>0</v>
      </c>
      <c r="BU26" s="262">
        <f>SUMIFS('7. INVEST'!$S$17:$S$49,'7. INVEST'!$B$17:$B$49,$B26,'7. INVEST'!$D$17:$D$49,BU$18)</f>
        <v>0</v>
      </c>
      <c r="BV26" s="262">
        <f>SUMIFS('7. INVEST'!$S$17:$S$49,'7. INVEST'!$B$17:$B$49,$B26,'7. INVEST'!$D$17:$D$49,BV$18)</f>
        <v>0</v>
      </c>
      <c r="BW26" s="262">
        <f>SUMIFS('7. INVEST'!$S$17:$S$49,'7. INVEST'!$B$17:$B$49,$B26,'7. INVEST'!$D$17:$D$49,BW$18)</f>
        <v>0</v>
      </c>
      <c r="BX26" s="262">
        <f>SUMIFS('7. INVEST'!$S$17:$S$49,'7. INVEST'!$B$17:$B$49,$B26,'7. INVEST'!$D$17:$D$49,BX$18)</f>
        <v>0</v>
      </c>
      <c r="BY26" s="262">
        <f>SUMIFS('7. INVEST'!$S$17:$S$49,'7. INVEST'!$B$17:$B$49,$B26,'7. INVEST'!$D$17:$D$49,BY$18)</f>
        <v>0</v>
      </c>
      <c r="BZ26" s="262">
        <f>SUMIFS('7. INVEST'!$S$17:$S$49,'7. INVEST'!$B$17:$B$49,$B26,'7. INVEST'!$D$17:$D$49,BZ$18)</f>
        <v>0</v>
      </c>
      <c r="CA26" s="262">
        <f>SUMIFS('7. INVEST'!$S$17:$S$49,'7. INVEST'!$B$17:$B$49,$B26,'7. INVEST'!$D$17:$D$49,CA$18)</f>
        <v>0</v>
      </c>
      <c r="CB26" s="262">
        <f>SUMIFS('7. INVEST'!$S$17:$S$49,'7. INVEST'!$B$17:$B$49,$B26,'7. INVEST'!$D$17:$D$49,CB$18)</f>
        <v>0</v>
      </c>
      <c r="CC26" s="262">
        <f>SUMIFS('7. INVEST'!$S$17:$S$49,'7. INVEST'!$B$17:$B$49,$B26,'7. INVEST'!$D$17:$D$49,CC$18)</f>
        <v>0</v>
      </c>
      <c r="CD26" s="262">
        <f>SUMIFS('7. INVEST'!$S$17:$S$49,'7. INVEST'!$B$17:$B$49,$B26,'7. INVEST'!$D$17:$D$49,CD$18)</f>
        <v>0</v>
      </c>
      <c r="CE26" s="262">
        <f>SUMIFS('7. INVEST'!$S$17:$S$49,'7. INVEST'!$B$17:$B$49,$B26,'7. INVEST'!$D$17:$D$49,CE$18)</f>
        <v>0</v>
      </c>
      <c r="CF26" s="262">
        <f>SUMIFS('7. INVEST'!$S$17:$S$49,'7. INVEST'!$B$17:$B$49,$B26,'7. INVEST'!$D$17:$D$49,CF$18)</f>
        <v>0</v>
      </c>
      <c r="CG26" s="262">
        <f>SUMIFS('7. INVEST'!$S$17:$S$49,'7. INVEST'!$B$17:$B$49,$B26,'7. INVEST'!$D$17:$D$49,CG$18)</f>
        <v>0</v>
      </c>
      <c r="CH26" s="262">
        <f>SUMIFS('7. INVEST'!$S$17:$S$49,'7. INVEST'!$B$17:$B$49,$B26,'7. INVEST'!$D$17:$D$49,CH$18)</f>
        <v>0</v>
      </c>
      <c r="CI26" s="262">
        <f>SUMIFS('6. OPERATION'!$R$17:$R$149,'6. OPERATION'!$B$17:$B$149,$B26,'6. OPERATION'!$G$17:$G$149,"OTHER")+SUMIF('8. FACILIT'!$B$18:$B$50,$B26,'8. FACILIT'!$P$18:$P$50)</f>
        <v>0</v>
      </c>
      <c r="CJ26" s="262">
        <f>SUMIFS('6. OPERATION'!$R$17:$R$149,'6. OPERATION'!$B$17:$B$149,$B26,'6. OPERATION'!$G$17:$G$149,"OTHER",'6. OPERATION'!$D$17:$D$149,CJ$18)+SUMIFS('8. FACILIT'!$P$18:$P$50,'8. FACILIT'!$B$18:$B$50,$B26,'8. FACILIT'!$D$18:$D$50,CJ$18)</f>
        <v>0</v>
      </c>
      <c r="CK26" s="262">
        <f>SUMIFS('6. OPERATION'!$R$17:$R$149,'6. OPERATION'!$B$17:$B$149,$B26,'6. OPERATION'!$G$17:$G$149,"OTHER",'6. OPERATION'!$D$17:$D$149,CK$18)+SUMIFS('8. FACILIT'!$P$18:$P$50,'8. FACILIT'!$B$18:$B$50,$B26,'8. FACILIT'!$D$18:$D$50,CK$18)</f>
        <v>0</v>
      </c>
      <c r="CL26" s="262">
        <f>SUMIFS('6. OPERATION'!$R$17:$R$149,'6. OPERATION'!$B$17:$B$149,$B26,'6. OPERATION'!$G$17:$G$149,"OTHER",'6. OPERATION'!$D$17:$D$149,CL$18)+SUMIFS('8. FACILIT'!$P$18:$P$50,'8. FACILIT'!$B$18:$B$50,$B26,'8. FACILIT'!$D$18:$D$50,CL$18)</f>
        <v>0</v>
      </c>
      <c r="CM26" s="262">
        <f>SUMIFS('6. OPERATION'!$R$17:$R$149,'6. OPERATION'!$B$17:$B$149,$B26,'6. OPERATION'!$G$17:$G$149,"OTHER",'6. OPERATION'!$D$17:$D$149,CM$18)+SUMIFS('8. FACILIT'!$P$18:$P$50,'8. FACILIT'!$B$18:$B$50,$B26,'8. FACILIT'!$D$18:$D$50,CM$18)</f>
        <v>0</v>
      </c>
      <c r="CN26" s="262">
        <f>SUMIFS('6. OPERATION'!$R$17:$R$149,'6. OPERATION'!$B$17:$B$149,$B26,'6. OPERATION'!$G$17:$G$149,"OTHER",'6. OPERATION'!$D$17:$D$149,CN$18)+SUMIFS('8. FACILIT'!$P$18:$P$50,'8. FACILIT'!$B$18:$B$50,$B26,'8. FACILIT'!$D$18:$D$50,CN$18)</f>
        <v>0</v>
      </c>
      <c r="CO26" s="262">
        <f>SUMIFS('6. OPERATION'!$R$17:$R$149,'6. OPERATION'!$B$17:$B$149,$B26,'6. OPERATION'!$G$17:$G$149,"OTHER",'6. OPERATION'!$D$17:$D$149,CO$18)+SUMIFS('8. FACILIT'!$P$18:$P$50,'8. FACILIT'!$B$18:$B$50,$B26,'8. FACILIT'!$D$18:$D$50,CO$18)</f>
        <v>0</v>
      </c>
      <c r="CP26" s="262">
        <f>SUMIFS('6. OPERATION'!$R$17:$R$149,'6. OPERATION'!$B$17:$B$149,$B26,'6. OPERATION'!$G$17:$G$149,"OTHER",'6. OPERATION'!$D$17:$D$149,CP$18)+SUMIFS('8. FACILIT'!$P$18:$P$50,'8. FACILIT'!$B$18:$B$50,$B26,'8. FACILIT'!$D$18:$D$50,CP$18)</f>
        <v>0</v>
      </c>
      <c r="CQ26" s="262">
        <f>SUMIFS('6. OPERATION'!$R$17:$R$149,'6. OPERATION'!$B$17:$B$149,$B26,'6. OPERATION'!$G$17:$G$149,"OTHER",'6. OPERATION'!$D$17:$D$149,CQ$18)+SUMIFS('8. FACILIT'!$P$18:$P$50,'8. FACILIT'!$B$18:$B$50,$B26,'8. FACILIT'!$D$18:$D$50,CQ$18)</f>
        <v>0</v>
      </c>
      <c r="CR26" s="262">
        <f>SUMIFS('6. OPERATION'!$R$17:$R$149,'6. OPERATION'!$B$17:$B$149,$B26,'6. OPERATION'!$G$17:$G$149,"OTHER",'6. OPERATION'!$D$17:$D$149,CR$18)+SUMIFS('8. FACILIT'!$P$18:$P$50,'8. FACILIT'!$B$18:$B$50,$B26,'8. FACILIT'!$D$18:$D$50,CR$18)</f>
        <v>0</v>
      </c>
      <c r="CS26" s="262">
        <f>SUMIFS('6. OPERATION'!$R$17:$R$149,'6. OPERATION'!$B$17:$B$149,$B26,'6. OPERATION'!$G$17:$G$149,"OTHER",'6. OPERATION'!$D$17:$D$149,CS$18)+SUMIFS('8. FACILIT'!$P$18:$P$50,'8. FACILIT'!$B$18:$B$50,$B26,'8. FACILIT'!$D$18:$D$50,CS$18)</f>
        <v>0</v>
      </c>
      <c r="CT26" s="262">
        <f>SUMIFS('6. OPERATION'!$R$17:$R$149,'6. OPERATION'!$B$17:$B$149,$B26,'6. OPERATION'!$G$17:$G$149,"OTHER",'6. OPERATION'!$D$17:$D$149,CT$18)+SUMIFS('8. FACILIT'!$P$18:$P$50,'8. FACILIT'!$B$18:$B$50,$B26,'8. FACILIT'!$D$18:$D$50,CT$18)</f>
        <v>0</v>
      </c>
      <c r="CU26" s="262">
        <f>SUMIFS('6. OPERATION'!$R$17:$R$149,'6. OPERATION'!$B$17:$B$149,$B26,'6. OPERATION'!$G$17:$G$149,"OTHER",'6. OPERATION'!$D$17:$D$149,CU$18)+SUMIFS('8. FACILIT'!$P$18:$P$50,'8. FACILIT'!$B$18:$B$50,$B26,'8. FACILIT'!$D$18:$D$50,CU$18)</f>
        <v>0</v>
      </c>
      <c r="CV26" s="262">
        <f>SUMIFS('6. OPERATION'!$R$17:$R$149,'6. OPERATION'!$B$17:$B$149,$B26,'6. OPERATION'!$G$17:$G$149,"OTHER",'6. OPERATION'!$D$17:$D$149,CV$18)+SUMIFS('8. FACILIT'!$P$18:$P$50,'8. FACILIT'!$B$18:$B$50,$B26,'8. FACILIT'!$D$18:$D$50,CV$18)</f>
        <v>0</v>
      </c>
      <c r="CW26" s="262">
        <f>SUMIFS('6. OPERATION'!$R$17:$R$149,'6. OPERATION'!$B$17:$B$149,$B26,'6. OPERATION'!$G$17:$G$149,"OTHER",'6. OPERATION'!$D$17:$D$149,CW$18)+SUMIFS('8. FACILIT'!$P$18:$P$50,'8. FACILIT'!$B$18:$B$50,$B26,'8. FACILIT'!$D$18:$D$50,CW$18)</f>
        <v>0</v>
      </c>
      <c r="CX26" s="262">
        <f>SUMIFS('6. OPERATION'!$R$17:$R$149,'6. OPERATION'!$B$17:$B$149,$B26,'6. OPERATION'!$G$17:$G$149,"OTHER",'6. OPERATION'!$D$17:$D$149,CX$18)+SUMIFS('8. FACILIT'!$P$18:$P$50,'8. FACILIT'!$B$18:$B$50,$B26,'8. FACILIT'!$D$18:$D$50,CX$18)</f>
        <v>0</v>
      </c>
      <c r="CY26" s="262">
        <f>SUMIFS('6. OPERATION'!$R$17:$R$149,'6. OPERATION'!$B$17:$B$149,$B26,'6. OPERATION'!$G$17:$G$149,"OTHER",'6. OPERATION'!$D$17:$D$149,CY$18)+SUMIFS('8. FACILIT'!$P$18:$P$50,'8. FACILIT'!$B$18:$B$50,$B26,'8. FACILIT'!$D$18:$D$50,CY$18)</f>
        <v>0</v>
      </c>
      <c r="CZ26" s="262">
        <f>SUMIFS('6. OPERATION'!$R$17:$R$149,'6. OPERATION'!$B$17:$B$149,$B26,'6. OPERATION'!$G$17:$G$149,"OTHER",'6. OPERATION'!$D$17:$D$149,CZ$18)+SUMIFS('8. FACILIT'!$P$18:$P$50,'8. FACILIT'!$B$18:$B$50,$B26,'8. FACILIT'!$D$18:$D$50,CZ$18)</f>
        <v>0</v>
      </c>
      <c r="DA26" s="262">
        <f>SUMIFS('6. OPERATION'!$R$17:$R$149,'6. OPERATION'!$B$17:$B$149,$B26,'6. OPERATION'!$G$17:$G$149,"OTHER",'6. OPERATION'!$D$17:$D$149,DA$18)+SUMIFS('8. FACILIT'!$P$18:$P$50,'8. FACILIT'!$B$18:$B$50,$B26,'8. FACILIT'!$D$18:$D$50,DA$18)</f>
        <v>0</v>
      </c>
      <c r="DB26" s="262">
        <f>SUMIFS('6. OPERATION'!$R$17:$R$149,'6. OPERATION'!$B$17:$B$149,$B26,'6. OPERATION'!$G$17:$G$149,"OTHER",'6. OPERATION'!$D$17:$D$149,DB$18)+SUMIFS('8. FACILIT'!$P$18:$P$50,'8. FACILIT'!$B$18:$B$50,$B26,'8. FACILIT'!$D$18:$D$50,DB$18)</f>
        <v>0</v>
      </c>
      <c r="DC26" s="262">
        <f>SUMIFS('6. OPERATION'!$R$17:$R$149,'6. OPERATION'!$B$17:$B$149,$B26,'6. OPERATION'!$G$17:$G$149,"OTHER",'6. OPERATION'!$D$17:$D$149,DC$18)+SUMIFS('8. FACILIT'!$P$18:$P$50,'8. FACILIT'!$B$18:$B$50,$B26,'8. FACILIT'!$D$18:$D$50,DC$18)</f>
        <v>0</v>
      </c>
      <c r="DD26" s="262">
        <f>SUMIFS('6. OPERATION'!R$17:R$149,'6. OPERATION'!B$17:B$149,B26,'6. OPERATION'!G$17:G$149,"INTERN")</f>
        <v>0</v>
      </c>
      <c r="DE26" s="262">
        <f>SUMIFS('6. OPERATION'!$R$17:$R$149,'6. OPERATION'!$B$17:$B$149,$B26,'6. OPERATION'!$G$17:$G$149,"INTERN",'6. OPERATION'!$D$17:$D$149,DE$18)</f>
        <v>0</v>
      </c>
      <c r="DF26" s="262">
        <f>SUMIFS('6. OPERATION'!$R$17:$R$149,'6. OPERATION'!$B$17:$B$149,$B26,'6. OPERATION'!$G$17:$G$149,"INTERN",'6. OPERATION'!$D$17:$D$149,DF$18)</f>
        <v>0</v>
      </c>
      <c r="DG26" s="262">
        <f>SUMIFS('6. OPERATION'!$R$17:$R$149,'6. OPERATION'!$B$17:$B$149,$B26,'6. OPERATION'!$G$17:$G$149,"INTERN",'6. OPERATION'!$D$17:$D$149,DG$18)</f>
        <v>0</v>
      </c>
      <c r="DH26" s="262">
        <f>SUMIFS('6. OPERATION'!$R$17:$R$149,'6. OPERATION'!$B$17:$B$149,$B26,'6. OPERATION'!$G$17:$G$149,"INTERN",'6. OPERATION'!$D$17:$D$149,DH$18)</f>
        <v>0</v>
      </c>
      <c r="DI26" s="262">
        <f>SUMIFS('6. OPERATION'!$R$17:$R$149,'6. OPERATION'!$B$17:$B$149,$B26,'6. OPERATION'!$G$17:$G$149,"INTERN",'6. OPERATION'!$D$17:$D$149,DI$18)</f>
        <v>0</v>
      </c>
      <c r="DJ26" s="262">
        <f>SUMIFS('6. OPERATION'!$R$17:$R$149,'6. OPERATION'!$B$17:$B$149,$B26,'6. OPERATION'!$G$17:$G$149,"INTERN",'6. OPERATION'!$D$17:$D$149,DJ$18)</f>
        <v>0</v>
      </c>
      <c r="DK26" s="262">
        <f>SUMIFS('6. OPERATION'!$R$17:$R$149,'6. OPERATION'!$B$17:$B$149,$B26,'6. OPERATION'!$G$17:$G$149,"INTERN",'6. OPERATION'!$D$17:$D$149,DK$18)</f>
        <v>0</v>
      </c>
      <c r="DL26" s="262">
        <f>SUMIFS('6. OPERATION'!$R$17:$R$149,'6. OPERATION'!$B$17:$B$149,$B26,'6. OPERATION'!$G$17:$G$149,"INTERN",'6. OPERATION'!$D$17:$D$149,DL$18)</f>
        <v>0</v>
      </c>
      <c r="DM26" s="262">
        <f>SUMIFS('6. OPERATION'!$R$17:$R$149,'6. OPERATION'!$B$17:$B$149,$B26,'6. OPERATION'!$G$17:$G$149,"INTERN",'6. OPERATION'!$D$17:$D$149,DM$18)</f>
        <v>0</v>
      </c>
      <c r="DN26" s="262">
        <f>SUMIFS('6. OPERATION'!$R$17:$R$149,'6. OPERATION'!$B$17:$B$149,$B26,'6. OPERATION'!$G$17:$G$149,"INTERN",'6. OPERATION'!$D$17:$D$149,DN$18)</f>
        <v>0</v>
      </c>
      <c r="DO26" s="262">
        <f>SUMIFS('6. OPERATION'!$R$17:$R$149,'6. OPERATION'!$B$17:$B$149,$B26,'6. OPERATION'!$G$17:$G$149,"INTERN",'6. OPERATION'!$D$17:$D$149,DO$18)</f>
        <v>0</v>
      </c>
      <c r="DP26" s="262">
        <f>SUMIFS('6. OPERATION'!$R$17:$R$149,'6. OPERATION'!$B$17:$B$149,$B26,'6. OPERATION'!$G$17:$G$149,"INTERN",'6. OPERATION'!$D$17:$D$149,DP$18)</f>
        <v>0</v>
      </c>
      <c r="DQ26" s="262">
        <f>SUMIFS('6. OPERATION'!$R$17:$R$149,'6. OPERATION'!$B$17:$B$149,$B26,'6. OPERATION'!$G$17:$G$149,"INTERN",'6. OPERATION'!$D$17:$D$149,DQ$18)</f>
        <v>0</v>
      </c>
      <c r="DR26" s="262">
        <f>SUMIFS('6. OPERATION'!$R$17:$R$149,'6. OPERATION'!$B$17:$B$149,$B26,'6. OPERATION'!$G$17:$G$149,"INTERN",'6. OPERATION'!$D$17:$D$149,DR$18)</f>
        <v>0</v>
      </c>
      <c r="DS26" s="262">
        <f>SUMIFS('6. OPERATION'!$R$17:$R$149,'6. OPERATION'!$B$17:$B$149,$B26,'6. OPERATION'!$G$17:$G$149,"INTERN",'6. OPERATION'!$D$17:$D$149,DS$18)</f>
        <v>0</v>
      </c>
      <c r="DT26" s="262">
        <f>SUMIFS('6. OPERATION'!$R$17:$R$149,'6. OPERATION'!$B$17:$B$149,$B26,'6. OPERATION'!$G$17:$G$149,"INTERN",'6. OPERATION'!$D$17:$D$149,DT$18)</f>
        <v>0</v>
      </c>
      <c r="DU26" s="262">
        <f>SUMIFS('6. OPERATION'!$R$17:$R$149,'6. OPERATION'!$B$17:$B$149,$B26,'6. OPERATION'!$G$17:$G$149,"INTERN",'6. OPERATION'!$D$17:$D$149,DU$18)</f>
        <v>0</v>
      </c>
      <c r="DV26" s="262">
        <f>SUMIFS('6. OPERATION'!$R$17:$R$149,'6. OPERATION'!$B$17:$B$149,$B26,'6. OPERATION'!$G$17:$G$149,"INTERN",'6. OPERATION'!$D$17:$D$149,DV$18)</f>
        <v>0</v>
      </c>
      <c r="DW26" s="262">
        <f>SUMIFS('6. OPERATION'!$R$17:$R$149,'6. OPERATION'!$B$17:$B$149,$B26,'6. OPERATION'!$G$17:$G$149,"INTERN",'6. OPERATION'!$D$17:$D$149,DW$18)</f>
        <v>0</v>
      </c>
      <c r="DX26" s="262">
        <f>SUMIFS('6. OPERATION'!$R$17:$R$149,'6. OPERATION'!$B$17:$B$149,$B26,'6. OPERATION'!$G$17:$G$149,"INTERN",'6. OPERATION'!$D$17:$D$149,DX$18)</f>
        <v>0</v>
      </c>
      <c r="DY26" s="262">
        <f>(C26+AS26+BN26+CI26)*'2. START'!$C$12</f>
        <v>0</v>
      </c>
      <c r="DZ26" s="262">
        <f>(D26+AT26+BO26+CJ26)*'2. START'!$C$12</f>
        <v>0</v>
      </c>
      <c r="EA26" s="262">
        <f>(E26+AU26+BP26+CK26)*'2. START'!$C$12</f>
        <v>0</v>
      </c>
      <c r="EB26" s="262">
        <f>(F26+AV26+BQ26+CL26)*'2. START'!$C$12</f>
        <v>0</v>
      </c>
      <c r="EC26" s="262">
        <f>(G26+AW26+BR26+CM26)*'2. START'!$C$12</f>
        <v>0</v>
      </c>
      <c r="ED26" s="262">
        <f>(H26+AX26+BS26+CN26)*'2. START'!$C$12</f>
        <v>0</v>
      </c>
      <c r="EE26" s="262">
        <f>(I26+AY26+BT26+CO26)*'2. START'!$C$12</f>
        <v>0</v>
      </c>
      <c r="EF26" s="262">
        <f>(J26+AZ26+BU26+CP26)*'2. START'!$C$12</f>
        <v>0</v>
      </c>
      <c r="EG26" s="262">
        <f>(K26+BA26+BV26+CQ26)*'2. START'!$C$12</f>
        <v>0</v>
      </c>
      <c r="EH26" s="262">
        <f>(L26+BB26+BW26+CR26)*'2. START'!$C$12</f>
        <v>0</v>
      </c>
      <c r="EI26" s="262">
        <f>(M26+BC26+BX26+CS26)*'2. START'!$C$12</f>
        <v>0</v>
      </c>
      <c r="EJ26" s="262">
        <f>(N26+BD26+BY26+CT26)*'2. START'!$C$12</f>
        <v>0</v>
      </c>
      <c r="EK26" s="262">
        <f>(O26+BE26+BZ26+CU26)*'2. START'!$C$12</f>
        <v>0</v>
      </c>
      <c r="EL26" s="262">
        <f>(P26+BF26+CA26+CV26)*'2. START'!$C$12</f>
        <v>0</v>
      </c>
      <c r="EM26" s="262">
        <f>(Q26+BG26+CB26+CW26)*'2. START'!$C$12</f>
        <v>0</v>
      </c>
      <c r="EN26" s="262">
        <f>(R26+BH26+CC26+CX26)*'2. START'!$C$12</f>
        <v>0</v>
      </c>
      <c r="EO26" s="262">
        <f>(S26+BI26+CD26+CY26)*'2. START'!$C$12</f>
        <v>0</v>
      </c>
      <c r="EP26" s="262">
        <f>(T26+BJ26+CE26+CZ26)*'2. START'!$C$12</f>
        <v>0</v>
      </c>
      <c r="EQ26" s="262">
        <f>(U26+BK26+CF26+DA26)*'2. START'!$C$12</f>
        <v>0</v>
      </c>
      <c r="ER26" s="262">
        <f>(V26+BL26+CG26+DB26)*'2. START'!$C$12</f>
        <v>0</v>
      </c>
      <c r="ES26" s="262">
        <f>(W26+BM26+CH26+DC26)*'2. START'!$C$12</f>
        <v>0</v>
      </c>
      <c r="ET26" s="98">
        <f t="shared" si="4"/>
        <v>0</v>
      </c>
      <c r="EU26" s="98">
        <f t="shared" si="5"/>
        <v>0</v>
      </c>
      <c r="EV26" s="98">
        <f t="shared" si="6"/>
        <v>0</v>
      </c>
      <c r="EW26" s="98">
        <f t="shared" si="7"/>
        <v>0</v>
      </c>
      <c r="EX26" s="98">
        <f t="shared" si="8"/>
        <v>0</v>
      </c>
      <c r="EY26" s="98">
        <f t="shared" si="9"/>
        <v>0</v>
      </c>
      <c r="EZ26" s="98">
        <f t="shared" si="10"/>
        <v>0</v>
      </c>
      <c r="FA26" s="98">
        <f t="shared" si="11"/>
        <v>0</v>
      </c>
      <c r="FB26" s="98">
        <f t="shared" si="12"/>
        <v>0</v>
      </c>
      <c r="FC26" s="98">
        <f t="shared" si="13"/>
        <v>0</v>
      </c>
      <c r="FD26" s="98">
        <f t="shared" si="14"/>
        <v>0</v>
      </c>
      <c r="FE26" s="98">
        <f t="shared" si="18"/>
        <v>0</v>
      </c>
      <c r="FF26" s="98">
        <f t="shared" si="19"/>
        <v>0</v>
      </c>
      <c r="FG26" s="98">
        <f t="shared" si="20"/>
        <v>0</v>
      </c>
      <c r="FH26" s="98">
        <f t="shared" si="21"/>
        <v>0</v>
      </c>
      <c r="FI26" s="98">
        <f t="shared" si="22"/>
        <v>0</v>
      </c>
      <c r="FJ26" s="98">
        <f t="shared" si="23"/>
        <v>0</v>
      </c>
      <c r="FK26" s="98">
        <f t="shared" si="24"/>
        <v>0</v>
      </c>
      <c r="FL26" s="98">
        <f t="shared" si="25"/>
        <v>0</v>
      </c>
      <c r="FM26" s="98">
        <f t="shared" si="26"/>
        <v>0</v>
      </c>
      <c r="FN26" s="98">
        <f t="shared" si="27"/>
        <v>0</v>
      </c>
      <c r="FO26" s="272" t="str">
        <f t="shared" si="17"/>
        <v/>
      </c>
      <c r="FP26" s="98">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944">
        <f t="shared" si="16"/>
        <v>0</v>
      </c>
      <c r="FR26" s="941">
        <f>SUMIFS('5. PERSON'!$AE$17:$AE$192,'5. PERSON'!$B$17:$B$192,'14. EUFP'!$B26,'5. PERSON'!$D$17:$D$192,FR$18)</f>
        <v>0</v>
      </c>
      <c r="FS26" s="941">
        <f>SUMIFS('5. PERSON'!$AE$17:$AE$192,'5. PERSON'!$B$17:$B$192,'14. EUFP'!$B26,'5. PERSON'!$D$17:$D$192,FS$18)</f>
        <v>0</v>
      </c>
      <c r="FT26" s="941">
        <f>SUMIFS('5. PERSON'!$AE$17:$AE$192,'5. PERSON'!$B$17:$B$192,'14. EUFP'!$B26,'5. PERSON'!$D$17:$D$192,FT$18)</f>
        <v>0</v>
      </c>
      <c r="FU26" s="941">
        <f>SUMIFS('5. PERSON'!$AE$17:$AE$192,'5. PERSON'!$B$17:$B$192,'14. EUFP'!$B26,'5. PERSON'!$D$17:$D$192,FU$18)</f>
        <v>0</v>
      </c>
      <c r="FV26" s="941">
        <f>SUMIFS('5. PERSON'!$AE$17:$AE$192,'5. PERSON'!$B$17:$B$192,'14. EUFP'!$B26,'5. PERSON'!$D$17:$D$192,FV$18)</f>
        <v>0</v>
      </c>
      <c r="FW26" s="941">
        <f>SUMIFS('5. PERSON'!$AE$17:$AE$192,'5. PERSON'!$B$17:$B$192,'14. EUFP'!$B26,'5. PERSON'!$D$17:$D$192,FW$18)</f>
        <v>0</v>
      </c>
      <c r="FX26" s="941">
        <f>SUMIFS('5. PERSON'!$AE$17:$AE$192,'5. PERSON'!$B$17:$B$192,'14. EUFP'!$B26,'5. PERSON'!$D$17:$D$192,FX$18)</f>
        <v>0</v>
      </c>
      <c r="FY26" s="941">
        <f>SUMIFS('5. PERSON'!$AE$17:$AE$192,'5. PERSON'!$B$17:$B$192,'14. EUFP'!$B26,'5. PERSON'!$D$17:$D$192,FY$18)</f>
        <v>0</v>
      </c>
      <c r="FZ26" s="941">
        <f>SUMIFS('5. PERSON'!$AE$17:$AE$192,'5. PERSON'!$B$17:$B$192,'14. EUFP'!$B26,'5. PERSON'!$D$17:$D$192,FZ$18)</f>
        <v>0</v>
      </c>
      <c r="GA26" s="941">
        <f>SUMIFS('5. PERSON'!$AE$17:$AE$192,'5. PERSON'!$B$17:$B$192,'14. EUFP'!$B26,'5. PERSON'!$D$17:$D$192,GA$18)</f>
        <v>0</v>
      </c>
      <c r="GB26" s="941">
        <f>SUMIFS('5. PERSON'!$AE$17:$AE$192,'5. PERSON'!$B$17:$B$192,'14. EUFP'!$B26,'5. PERSON'!$D$17:$D$192,GB$18)</f>
        <v>0</v>
      </c>
      <c r="GC26" s="941">
        <f>SUMIFS('5. PERSON'!$AE$17:$AE$192,'5. PERSON'!$B$17:$B$192,'14. EUFP'!$B26,'5. PERSON'!$D$17:$D$192,GC$18)</f>
        <v>0</v>
      </c>
      <c r="GD26" s="941">
        <f>SUMIFS('5. PERSON'!$AE$17:$AE$192,'5. PERSON'!$B$17:$B$192,'14. EUFP'!$B26,'5. PERSON'!$D$17:$D$192,GD$18)</f>
        <v>0</v>
      </c>
      <c r="GE26" s="941">
        <f>SUMIFS('5. PERSON'!$AE$17:$AE$192,'5. PERSON'!$B$17:$B$192,'14. EUFP'!$B26,'5. PERSON'!$D$17:$D$192,GE$18)</f>
        <v>0</v>
      </c>
      <c r="GF26" s="941">
        <f>SUMIFS('5. PERSON'!$AE$17:$AE$192,'5. PERSON'!$B$17:$B$192,'14. EUFP'!$B26,'5. PERSON'!$D$17:$D$192,GF$18)</f>
        <v>0</v>
      </c>
      <c r="GG26" s="941">
        <f>SUMIFS('5. PERSON'!$AE$17:$AE$192,'5. PERSON'!$B$17:$B$192,'14. EUFP'!$B26,'5. PERSON'!$D$17:$D$192,GG$18)</f>
        <v>0</v>
      </c>
      <c r="GH26" s="941">
        <f>SUMIFS('5. PERSON'!$AE$17:$AE$192,'5. PERSON'!$B$17:$B$192,'14. EUFP'!$B26,'5. PERSON'!$D$17:$D$192,GH$18)</f>
        <v>0</v>
      </c>
      <c r="GI26" s="941">
        <f>SUMIFS('5. PERSON'!$AE$17:$AE$192,'5. PERSON'!$B$17:$B$192,'14. EUFP'!$B26,'5. PERSON'!$D$17:$D$192,GI$18)</f>
        <v>0</v>
      </c>
      <c r="GJ26" s="941">
        <f>SUMIFS('5. PERSON'!$AE$17:$AE$192,'5. PERSON'!$B$17:$B$192,'14. EUFP'!$B26,'5. PERSON'!$D$17:$D$192,GJ$18)</f>
        <v>0</v>
      </c>
      <c r="GK26" s="941">
        <f>SUMIFS('5. PERSON'!$AE$17:$AE$192,'5. PERSON'!$B$17:$B$192,'14. EUFP'!$B26,'5. PERSON'!$D$17:$D$192,GK$18)</f>
        <v>0</v>
      </c>
      <c r="GL26" s="941">
        <f t="shared" si="28"/>
        <v>0</v>
      </c>
    </row>
    <row r="27" spans="2:194" s="71" customFormat="1" ht="13.5" customHeight="1" x14ac:dyDescent="0.2">
      <c r="B27" s="259" t="str">
        <f>'3. PARTNER'!B54</f>
        <v>EXT104</v>
      </c>
      <c r="C27" s="281">
        <f>SUMIF('5. PERSON'!B$17:B$192,B27,'5. PERSON'!AR$17:AR$192)</f>
        <v>0</v>
      </c>
      <c r="D27" s="281">
        <f>SUMIFS('5. PERSON'!$AR$17:$AR$192,'5. PERSON'!$B$17:$B$192,$B27,'5. PERSON'!$D$17:$D$192,D$18)</f>
        <v>0</v>
      </c>
      <c r="E27" s="281">
        <f>SUMIFS('5. PERSON'!$AR$17:$AR$192,'5. PERSON'!$B$17:$B$192,$B27,'5. PERSON'!$D$17:$D$192,E$18)</f>
        <v>0</v>
      </c>
      <c r="F27" s="281">
        <f>SUMIFS('5. PERSON'!$AR$17:$AR$192,'5. PERSON'!$B$17:$B$192,$B27,'5. PERSON'!$D$17:$D$192,F$18)</f>
        <v>0</v>
      </c>
      <c r="G27" s="281">
        <f>SUMIFS('5. PERSON'!$AR$17:$AR$192,'5. PERSON'!$B$17:$B$192,$B27,'5. PERSON'!$D$17:$D$192,G$18)</f>
        <v>0</v>
      </c>
      <c r="H27" s="281">
        <f>SUMIFS('5. PERSON'!$AR$17:$AR$192,'5. PERSON'!$B$17:$B$192,$B27,'5. PERSON'!$D$17:$D$192,H$18)</f>
        <v>0</v>
      </c>
      <c r="I27" s="281">
        <f>SUMIFS('5. PERSON'!$AR$17:$AR$192,'5. PERSON'!$B$17:$B$192,$B27,'5. PERSON'!$D$17:$D$192,I$18)</f>
        <v>0</v>
      </c>
      <c r="J27" s="281">
        <f>SUMIFS('5. PERSON'!$AR$17:$AR$192,'5. PERSON'!$B$17:$B$192,$B27,'5. PERSON'!$D$17:$D$192,J$18)</f>
        <v>0</v>
      </c>
      <c r="K27" s="281">
        <f>SUMIFS('5. PERSON'!$AR$17:$AR$192,'5. PERSON'!$B$17:$B$192,$B27,'5. PERSON'!$D$17:$D$192,K$18)</f>
        <v>0</v>
      </c>
      <c r="L27" s="281">
        <f>SUMIFS('5. PERSON'!$AR$17:$AR$192,'5. PERSON'!$B$17:$B$192,$B27,'5. PERSON'!$D$17:$D$192,L$18)</f>
        <v>0</v>
      </c>
      <c r="M27" s="281">
        <f>SUMIFS('5. PERSON'!$AR$17:$AR$192,'5. PERSON'!$B$17:$B$192,$B27,'5. PERSON'!$D$17:$D$192,M$18)</f>
        <v>0</v>
      </c>
      <c r="N27" s="281">
        <f>SUMIFS('5. PERSON'!$AR$17:$AR$192,'5. PERSON'!$B$17:$B$192,$B27,'5. PERSON'!$D$17:$D$192,N$18)</f>
        <v>0</v>
      </c>
      <c r="O27" s="281">
        <f>SUMIFS('5. PERSON'!$AR$17:$AR$192,'5. PERSON'!$B$17:$B$192,$B27,'5. PERSON'!$D$17:$D$192,O$18)</f>
        <v>0</v>
      </c>
      <c r="P27" s="281">
        <f>SUMIFS('5. PERSON'!$AR$17:$AR$192,'5. PERSON'!$B$17:$B$192,$B27,'5. PERSON'!$D$17:$D$192,P$18)</f>
        <v>0</v>
      </c>
      <c r="Q27" s="281">
        <f>SUMIFS('5. PERSON'!$AR$17:$AR$192,'5. PERSON'!$B$17:$B$192,$B27,'5. PERSON'!$D$17:$D$192,Q$18)</f>
        <v>0</v>
      </c>
      <c r="R27" s="281">
        <f>SUMIFS('5. PERSON'!$AR$17:$AR$192,'5. PERSON'!$B$17:$B$192,$B27,'5. PERSON'!$D$17:$D$192,R$18)</f>
        <v>0</v>
      </c>
      <c r="S27" s="281">
        <f>SUMIFS('5. PERSON'!$AR$17:$AR$192,'5. PERSON'!$B$17:$B$192,$B27,'5. PERSON'!$D$17:$D$192,S$18)</f>
        <v>0</v>
      </c>
      <c r="T27" s="281">
        <f>SUMIFS('5. PERSON'!$AR$17:$AR$192,'5. PERSON'!$B$17:$B$192,$B27,'5. PERSON'!$D$17:$D$192,T$18)</f>
        <v>0</v>
      </c>
      <c r="U27" s="281">
        <f>SUMIFS('5. PERSON'!$AR$17:$AR$192,'5. PERSON'!$B$17:$B$192,$B27,'5. PERSON'!$D$17:$D$192,U$18)</f>
        <v>0</v>
      </c>
      <c r="V27" s="281">
        <f>SUMIFS('5. PERSON'!$AR$17:$AR$192,'5. PERSON'!$B$17:$B$192,$B27,'5. PERSON'!$D$17:$D$192,V$18)</f>
        <v>0</v>
      </c>
      <c r="W27" s="281">
        <f>SUMIFS('5. PERSON'!$AR$17:$AR$192,'5. PERSON'!$B$17:$B$192,$B27,'5. PERSON'!$D$17:$D$192,W$18)</f>
        <v>0</v>
      </c>
      <c r="X27" s="281">
        <f>SUMIFS('6. OPERATION'!R$17:R$149,'6. OPERATION'!B$17:B$149,B27,'6. OPERATION'!G$17:G$149,"SUBCON")</f>
        <v>0</v>
      </c>
      <c r="Y27" s="281">
        <f>SUMIFS('6. OPERATION'!$R$17:$R$149,'6. OPERATION'!$B$17:$B$149,$B27,'6. OPERATION'!$G$17:$G$149,"SUBCON",'6. OPERATION'!$D$17:$D$149,Y$18)</f>
        <v>0</v>
      </c>
      <c r="Z27" s="281">
        <f>SUMIFS('6. OPERATION'!$R$17:$R$149,'6. OPERATION'!$B$17:$B$149,$B27,'6. OPERATION'!$G$17:$G$149,"SUBCON",'6. OPERATION'!$D$17:$D$149,Z$18)</f>
        <v>0</v>
      </c>
      <c r="AA27" s="281">
        <f>SUMIFS('6. OPERATION'!$R$17:$R$149,'6. OPERATION'!$B$17:$B$149,$B27,'6. OPERATION'!$G$17:$G$149,"SUBCON",'6. OPERATION'!$D$17:$D$149,AA$18)</f>
        <v>0</v>
      </c>
      <c r="AB27" s="281">
        <f>SUMIFS('6. OPERATION'!$R$17:$R$149,'6. OPERATION'!$B$17:$B$149,$B27,'6. OPERATION'!$G$17:$G$149,"SUBCON",'6. OPERATION'!$D$17:$D$149,AB$18)</f>
        <v>0</v>
      </c>
      <c r="AC27" s="281">
        <f>SUMIFS('6. OPERATION'!$R$17:$R$149,'6. OPERATION'!$B$17:$B$149,$B27,'6. OPERATION'!$G$17:$G$149,"SUBCON",'6. OPERATION'!$D$17:$D$149,AC$18)</f>
        <v>0</v>
      </c>
      <c r="AD27" s="281">
        <f>SUMIFS('6. OPERATION'!$R$17:$R$149,'6. OPERATION'!$B$17:$B$149,$B27,'6. OPERATION'!$G$17:$G$149,"SUBCON",'6. OPERATION'!$D$17:$D$149,AD$18)</f>
        <v>0</v>
      </c>
      <c r="AE27" s="281">
        <f>SUMIFS('6. OPERATION'!$R$17:$R$149,'6. OPERATION'!$B$17:$B$149,$B27,'6. OPERATION'!$G$17:$G$149,"SUBCON",'6. OPERATION'!$D$17:$D$149,AE$18)</f>
        <v>0</v>
      </c>
      <c r="AF27" s="281">
        <f>SUMIFS('6. OPERATION'!$R$17:$R$149,'6. OPERATION'!$B$17:$B$149,$B27,'6. OPERATION'!$G$17:$G$149,"SUBCON",'6. OPERATION'!$D$17:$D$149,AF$18)</f>
        <v>0</v>
      </c>
      <c r="AG27" s="281">
        <f>SUMIFS('6. OPERATION'!$R$17:$R$149,'6. OPERATION'!$B$17:$B$149,$B27,'6. OPERATION'!$G$17:$G$149,"SUBCON",'6. OPERATION'!$D$17:$D$149,AG$18)</f>
        <v>0</v>
      </c>
      <c r="AH27" s="281">
        <f>SUMIFS('6. OPERATION'!$R$17:$R$149,'6. OPERATION'!$B$17:$B$149,$B27,'6. OPERATION'!$G$17:$G$149,"SUBCON",'6. OPERATION'!$D$17:$D$149,AH$18)</f>
        <v>0</v>
      </c>
      <c r="AI27" s="281">
        <f>SUMIFS('6. OPERATION'!$R$17:$R$149,'6. OPERATION'!$B$17:$B$149,$B27,'6. OPERATION'!$G$17:$G$149,"SUBCON",'6. OPERATION'!$D$17:$D$149,AI$18)</f>
        <v>0</v>
      </c>
      <c r="AJ27" s="281">
        <f>SUMIFS('6. OPERATION'!$R$17:$R$149,'6. OPERATION'!$B$17:$B$149,$B27,'6. OPERATION'!$G$17:$G$149,"SUBCON",'6. OPERATION'!$D$17:$D$149,AJ$18)</f>
        <v>0</v>
      </c>
      <c r="AK27" s="281">
        <f>SUMIFS('6. OPERATION'!$R$17:$R$149,'6. OPERATION'!$B$17:$B$149,$B27,'6. OPERATION'!$G$17:$G$149,"SUBCON",'6. OPERATION'!$D$17:$D$149,AK$18)</f>
        <v>0</v>
      </c>
      <c r="AL27" s="281">
        <f>SUMIFS('6. OPERATION'!$R$17:$R$149,'6. OPERATION'!$B$17:$B$149,$B27,'6. OPERATION'!$G$17:$G$149,"SUBCON",'6. OPERATION'!$D$17:$D$149,AL$18)</f>
        <v>0</v>
      </c>
      <c r="AM27" s="281">
        <f>SUMIFS('6. OPERATION'!$R$17:$R$149,'6. OPERATION'!$B$17:$B$149,$B27,'6. OPERATION'!$G$17:$G$149,"SUBCON",'6. OPERATION'!$D$17:$D$149,AM$18)</f>
        <v>0</v>
      </c>
      <c r="AN27" s="281">
        <f>SUMIFS('6. OPERATION'!$R$17:$R$149,'6. OPERATION'!$B$17:$B$149,$B27,'6. OPERATION'!$G$17:$G$149,"SUBCON",'6. OPERATION'!$D$17:$D$149,AN$18)</f>
        <v>0</v>
      </c>
      <c r="AO27" s="281">
        <f>SUMIFS('6. OPERATION'!$R$17:$R$149,'6. OPERATION'!$B$17:$B$149,$B27,'6. OPERATION'!$G$17:$G$149,"SUBCON",'6. OPERATION'!$D$17:$D$149,AO$18)</f>
        <v>0</v>
      </c>
      <c r="AP27" s="281">
        <f>SUMIFS('6. OPERATION'!$R$17:$R$149,'6. OPERATION'!$B$17:$B$149,$B27,'6. OPERATION'!$G$17:$G$149,"SUBCON",'6. OPERATION'!$D$17:$D$149,AP$18)</f>
        <v>0</v>
      </c>
      <c r="AQ27" s="281">
        <f>SUMIFS('6. OPERATION'!$R$17:$R$149,'6. OPERATION'!$B$17:$B$149,$B27,'6. OPERATION'!$G$17:$G$149,"SUBCON",'6. OPERATION'!$D$17:$D$149,AQ$18)</f>
        <v>0</v>
      </c>
      <c r="AR27" s="281">
        <f>SUMIFS('6. OPERATION'!$R$17:$R$149,'6. OPERATION'!$B$17:$B$149,$B27,'6. OPERATION'!$G$17:$G$149,"SUBCON",'6. OPERATION'!$D$17:$D$149,AR$18)</f>
        <v>0</v>
      </c>
      <c r="AS27" s="281">
        <f>SUMIFS('6. OPERATION'!R$17:R$149,'6. OPERATION'!B$17:B$149,B27,'6. OPERATION'!G$17:G$149,"TRAVEL")</f>
        <v>0</v>
      </c>
      <c r="AT27" s="281">
        <f>SUMIFS('6. OPERATION'!$R$17:$R$149,'6. OPERATION'!$B$17:$B$149,$B27,'6. OPERATION'!$G$17:$G$149,"TRAVEL",'6. OPERATION'!$D$17:$D$149,AT$18)</f>
        <v>0</v>
      </c>
      <c r="AU27" s="281">
        <f>SUMIFS('6. OPERATION'!$R$17:$R$149,'6. OPERATION'!$B$17:$B$149,$B27,'6. OPERATION'!$G$17:$G$149,"TRAVEL",'6. OPERATION'!$D$17:$D$149,AU$18)</f>
        <v>0</v>
      </c>
      <c r="AV27" s="281">
        <f>SUMIFS('6. OPERATION'!$R$17:$R$149,'6. OPERATION'!$B$17:$B$149,$B27,'6. OPERATION'!$G$17:$G$149,"TRAVEL",'6. OPERATION'!$D$17:$D$149,AV$18)</f>
        <v>0</v>
      </c>
      <c r="AW27" s="281">
        <f>SUMIFS('6. OPERATION'!$R$17:$R$149,'6. OPERATION'!$B$17:$B$149,$B27,'6. OPERATION'!$G$17:$G$149,"TRAVEL",'6. OPERATION'!$D$17:$D$149,AW$18)</f>
        <v>0</v>
      </c>
      <c r="AX27" s="281">
        <f>SUMIFS('6. OPERATION'!$R$17:$R$149,'6. OPERATION'!$B$17:$B$149,$B27,'6. OPERATION'!$G$17:$G$149,"TRAVEL",'6. OPERATION'!$D$17:$D$149,AX$18)</f>
        <v>0</v>
      </c>
      <c r="AY27" s="281">
        <f>SUMIFS('6. OPERATION'!$R$17:$R$149,'6. OPERATION'!$B$17:$B$149,$B27,'6. OPERATION'!$G$17:$G$149,"TRAVEL",'6. OPERATION'!$D$17:$D$149,AY$18)</f>
        <v>0</v>
      </c>
      <c r="AZ27" s="281">
        <f>SUMIFS('6. OPERATION'!$R$17:$R$149,'6. OPERATION'!$B$17:$B$149,$B27,'6. OPERATION'!$G$17:$G$149,"TRAVEL",'6. OPERATION'!$D$17:$D$149,AZ$18)</f>
        <v>0</v>
      </c>
      <c r="BA27" s="281">
        <f>SUMIFS('6. OPERATION'!$R$17:$R$149,'6. OPERATION'!$B$17:$B$149,$B27,'6. OPERATION'!$G$17:$G$149,"TRAVEL",'6. OPERATION'!$D$17:$D$149,BA$18)</f>
        <v>0</v>
      </c>
      <c r="BB27" s="281">
        <f>SUMIFS('6. OPERATION'!$R$17:$R$149,'6. OPERATION'!$B$17:$B$149,$B27,'6. OPERATION'!$G$17:$G$149,"TRAVEL",'6. OPERATION'!$D$17:$D$149,BB$18)</f>
        <v>0</v>
      </c>
      <c r="BC27" s="281">
        <f>SUMIFS('6. OPERATION'!$R$17:$R$149,'6. OPERATION'!$B$17:$B$149,$B27,'6. OPERATION'!$G$17:$G$149,"TRAVEL",'6. OPERATION'!$D$17:$D$149,BC$18)</f>
        <v>0</v>
      </c>
      <c r="BD27" s="281">
        <f>SUMIFS('6. OPERATION'!$R$17:$R$149,'6. OPERATION'!$B$17:$B$149,$B27,'6. OPERATION'!$G$17:$G$149,"TRAVEL",'6. OPERATION'!$D$17:$D$149,BD$18)</f>
        <v>0</v>
      </c>
      <c r="BE27" s="281">
        <f>SUMIFS('6. OPERATION'!$R$17:$R$149,'6. OPERATION'!$B$17:$B$149,$B27,'6. OPERATION'!$G$17:$G$149,"TRAVEL",'6. OPERATION'!$D$17:$D$149,BE$18)</f>
        <v>0</v>
      </c>
      <c r="BF27" s="281">
        <f>SUMIFS('6. OPERATION'!$R$17:$R$149,'6. OPERATION'!$B$17:$B$149,$B27,'6. OPERATION'!$G$17:$G$149,"TRAVEL",'6. OPERATION'!$D$17:$D$149,BF$18)</f>
        <v>0</v>
      </c>
      <c r="BG27" s="281">
        <f>SUMIFS('6. OPERATION'!$R$17:$R$149,'6. OPERATION'!$B$17:$B$149,$B27,'6. OPERATION'!$G$17:$G$149,"TRAVEL",'6. OPERATION'!$D$17:$D$149,BG$18)</f>
        <v>0</v>
      </c>
      <c r="BH27" s="281">
        <f>SUMIFS('6. OPERATION'!$R$17:$R$149,'6. OPERATION'!$B$17:$B$149,$B27,'6. OPERATION'!$G$17:$G$149,"TRAVEL",'6. OPERATION'!$D$17:$D$149,BH$18)</f>
        <v>0</v>
      </c>
      <c r="BI27" s="281">
        <f>SUMIFS('6. OPERATION'!$R$17:$R$149,'6. OPERATION'!$B$17:$B$149,$B27,'6. OPERATION'!$G$17:$G$149,"TRAVEL",'6. OPERATION'!$D$17:$D$149,BI$18)</f>
        <v>0</v>
      </c>
      <c r="BJ27" s="281">
        <f>SUMIFS('6. OPERATION'!$R$17:$R$149,'6. OPERATION'!$B$17:$B$149,$B27,'6. OPERATION'!$G$17:$G$149,"TRAVEL",'6. OPERATION'!$D$17:$D$149,BJ$18)</f>
        <v>0</v>
      </c>
      <c r="BK27" s="281">
        <f>SUMIFS('6. OPERATION'!$R$17:$R$149,'6. OPERATION'!$B$17:$B$149,$B27,'6. OPERATION'!$G$17:$G$149,"TRAVEL",'6. OPERATION'!$D$17:$D$149,BK$18)</f>
        <v>0</v>
      </c>
      <c r="BL27" s="281">
        <f>SUMIFS('6. OPERATION'!$R$17:$R$149,'6. OPERATION'!$B$17:$B$149,$B27,'6. OPERATION'!$G$17:$G$149,"TRAVEL",'6. OPERATION'!$D$17:$D$149,BL$18)</f>
        <v>0</v>
      </c>
      <c r="BM27" s="281">
        <f>SUMIFS('6. OPERATION'!$R$17:$R$149,'6. OPERATION'!$B$17:$B$149,$B27,'6. OPERATION'!$G$17:$G$149,"TRAVEL",'6. OPERATION'!$D$17:$D$149,BM$18)</f>
        <v>0</v>
      </c>
      <c r="BN27" s="281">
        <f>SUMIF('7. INVEST'!B$17:B$49,B27,'7. INVEST'!S$17:S$49)</f>
        <v>0</v>
      </c>
      <c r="BO27" s="281">
        <f>SUMIFS('7. INVEST'!$S$17:$S$49,'7. INVEST'!$B$17:$B$49,$B27,'7. INVEST'!$D$17:$D$49,BO$18)</f>
        <v>0</v>
      </c>
      <c r="BP27" s="281">
        <f>SUMIFS('7. INVEST'!$S$17:$S$49,'7. INVEST'!$B$17:$B$49,$B27,'7. INVEST'!$D$17:$D$49,BP$18)</f>
        <v>0</v>
      </c>
      <c r="BQ27" s="281">
        <f>SUMIFS('7. INVEST'!$S$17:$S$49,'7. INVEST'!$B$17:$B$49,$B27,'7. INVEST'!$D$17:$D$49,BQ$18)</f>
        <v>0</v>
      </c>
      <c r="BR27" s="281">
        <f>SUMIFS('7. INVEST'!$S$17:$S$49,'7. INVEST'!$B$17:$B$49,$B27,'7. INVEST'!$D$17:$D$49,BR$18)</f>
        <v>0</v>
      </c>
      <c r="BS27" s="281">
        <f>SUMIFS('7. INVEST'!$S$17:$S$49,'7. INVEST'!$B$17:$B$49,$B27,'7. INVEST'!$D$17:$D$49,BS$18)</f>
        <v>0</v>
      </c>
      <c r="BT27" s="281">
        <f>SUMIFS('7. INVEST'!$S$17:$S$49,'7. INVEST'!$B$17:$B$49,$B27,'7. INVEST'!$D$17:$D$49,BT$18)</f>
        <v>0</v>
      </c>
      <c r="BU27" s="281">
        <f>SUMIFS('7. INVEST'!$S$17:$S$49,'7. INVEST'!$B$17:$B$49,$B27,'7. INVEST'!$D$17:$D$49,BU$18)</f>
        <v>0</v>
      </c>
      <c r="BV27" s="281">
        <f>SUMIFS('7. INVEST'!$S$17:$S$49,'7. INVEST'!$B$17:$B$49,$B27,'7. INVEST'!$D$17:$D$49,BV$18)</f>
        <v>0</v>
      </c>
      <c r="BW27" s="281">
        <f>SUMIFS('7. INVEST'!$S$17:$S$49,'7. INVEST'!$B$17:$B$49,$B27,'7. INVEST'!$D$17:$D$49,BW$18)</f>
        <v>0</v>
      </c>
      <c r="BX27" s="281">
        <f>SUMIFS('7. INVEST'!$S$17:$S$49,'7. INVEST'!$B$17:$B$49,$B27,'7. INVEST'!$D$17:$D$49,BX$18)</f>
        <v>0</v>
      </c>
      <c r="BY27" s="281">
        <f>SUMIFS('7. INVEST'!$S$17:$S$49,'7. INVEST'!$B$17:$B$49,$B27,'7. INVEST'!$D$17:$D$49,BY$18)</f>
        <v>0</v>
      </c>
      <c r="BZ27" s="281">
        <f>SUMIFS('7. INVEST'!$S$17:$S$49,'7. INVEST'!$B$17:$B$49,$B27,'7. INVEST'!$D$17:$D$49,BZ$18)</f>
        <v>0</v>
      </c>
      <c r="CA27" s="281">
        <f>SUMIFS('7. INVEST'!$S$17:$S$49,'7. INVEST'!$B$17:$B$49,$B27,'7. INVEST'!$D$17:$D$49,CA$18)</f>
        <v>0</v>
      </c>
      <c r="CB27" s="281">
        <f>SUMIFS('7. INVEST'!$S$17:$S$49,'7. INVEST'!$B$17:$B$49,$B27,'7. INVEST'!$D$17:$D$49,CB$18)</f>
        <v>0</v>
      </c>
      <c r="CC27" s="281">
        <f>SUMIFS('7. INVEST'!$S$17:$S$49,'7. INVEST'!$B$17:$B$49,$B27,'7. INVEST'!$D$17:$D$49,CC$18)</f>
        <v>0</v>
      </c>
      <c r="CD27" s="281">
        <f>SUMIFS('7. INVEST'!$S$17:$S$49,'7. INVEST'!$B$17:$B$49,$B27,'7. INVEST'!$D$17:$D$49,CD$18)</f>
        <v>0</v>
      </c>
      <c r="CE27" s="281">
        <f>SUMIFS('7. INVEST'!$S$17:$S$49,'7. INVEST'!$B$17:$B$49,$B27,'7. INVEST'!$D$17:$D$49,CE$18)</f>
        <v>0</v>
      </c>
      <c r="CF27" s="281">
        <f>SUMIFS('7. INVEST'!$S$17:$S$49,'7. INVEST'!$B$17:$B$49,$B27,'7. INVEST'!$D$17:$D$49,CF$18)</f>
        <v>0</v>
      </c>
      <c r="CG27" s="281">
        <f>SUMIFS('7. INVEST'!$S$17:$S$49,'7. INVEST'!$B$17:$B$49,$B27,'7. INVEST'!$D$17:$D$49,CG$18)</f>
        <v>0</v>
      </c>
      <c r="CH27" s="281">
        <f>SUMIFS('7. INVEST'!$S$17:$S$49,'7. INVEST'!$B$17:$B$49,$B27,'7. INVEST'!$D$17:$D$49,CH$18)</f>
        <v>0</v>
      </c>
      <c r="CI27" s="281">
        <f>SUMIFS('6. OPERATION'!$R$17:$R$149,'6. OPERATION'!$B$17:$B$149,$B27,'6. OPERATION'!$G$17:$G$149,"OTHER")+SUMIF('8. FACILIT'!$B$18:$B$50,$B27,'8. FACILIT'!$P$18:$P$50)</f>
        <v>0</v>
      </c>
      <c r="CJ27" s="281">
        <f>SUMIFS('6. OPERATION'!$R$17:$R$149,'6. OPERATION'!$B$17:$B$149,$B27,'6. OPERATION'!$G$17:$G$149,"OTHER",'6. OPERATION'!$D$17:$D$149,CJ$18)+SUMIFS('8. FACILIT'!$P$18:$P$50,'8. FACILIT'!$B$18:$B$50,$B27,'8. FACILIT'!$D$18:$D$50,CJ$18)</f>
        <v>0</v>
      </c>
      <c r="CK27" s="281">
        <f>SUMIFS('6. OPERATION'!$R$17:$R$149,'6. OPERATION'!$B$17:$B$149,$B27,'6. OPERATION'!$G$17:$G$149,"OTHER",'6. OPERATION'!$D$17:$D$149,CK$18)+SUMIFS('8. FACILIT'!$P$18:$P$50,'8. FACILIT'!$B$18:$B$50,$B27,'8. FACILIT'!$D$18:$D$50,CK$18)</f>
        <v>0</v>
      </c>
      <c r="CL27" s="281">
        <f>SUMIFS('6. OPERATION'!$R$17:$R$149,'6. OPERATION'!$B$17:$B$149,$B27,'6. OPERATION'!$G$17:$G$149,"OTHER",'6. OPERATION'!$D$17:$D$149,CL$18)+SUMIFS('8. FACILIT'!$P$18:$P$50,'8. FACILIT'!$B$18:$B$50,$B27,'8. FACILIT'!$D$18:$D$50,CL$18)</f>
        <v>0</v>
      </c>
      <c r="CM27" s="281">
        <f>SUMIFS('6. OPERATION'!$R$17:$R$149,'6. OPERATION'!$B$17:$B$149,$B27,'6. OPERATION'!$G$17:$G$149,"OTHER",'6. OPERATION'!$D$17:$D$149,CM$18)+SUMIFS('8. FACILIT'!$P$18:$P$50,'8. FACILIT'!$B$18:$B$50,$B27,'8. FACILIT'!$D$18:$D$50,CM$18)</f>
        <v>0</v>
      </c>
      <c r="CN27" s="281">
        <f>SUMIFS('6. OPERATION'!$R$17:$R$149,'6. OPERATION'!$B$17:$B$149,$B27,'6. OPERATION'!$G$17:$G$149,"OTHER",'6. OPERATION'!$D$17:$D$149,CN$18)+SUMIFS('8. FACILIT'!$P$18:$P$50,'8. FACILIT'!$B$18:$B$50,$B27,'8. FACILIT'!$D$18:$D$50,CN$18)</f>
        <v>0</v>
      </c>
      <c r="CO27" s="281">
        <f>SUMIFS('6. OPERATION'!$R$17:$R$149,'6. OPERATION'!$B$17:$B$149,$B27,'6. OPERATION'!$G$17:$G$149,"OTHER",'6. OPERATION'!$D$17:$D$149,CO$18)+SUMIFS('8. FACILIT'!$P$18:$P$50,'8. FACILIT'!$B$18:$B$50,$B27,'8. FACILIT'!$D$18:$D$50,CO$18)</f>
        <v>0</v>
      </c>
      <c r="CP27" s="281">
        <f>SUMIFS('6. OPERATION'!$R$17:$R$149,'6. OPERATION'!$B$17:$B$149,$B27,'6. OPERATION'!$G$17:$G$149,"OTHER",'6. OPERATION'!$D$17:$D$149,CP$18)+SUMIFS('8. FACILIT'!$P$18:$P$50,'8. FACILIT'!$B$18:$B$50,$B27,'8. FACILIT'!$D$18:$D$50,CP$18)</f>
        <v>0</v>
      </c>
      <c r="CQ27" s="281">
        <f>SUMIFS('6. OPERATION'!$R$17:$R$149,'6. OPERATION'!$B$17:$B$149,$B27,'6. OPERATION'!$G$17:$G$149,"OTHER",'6. OPERATION'!$D$17:$D$149,CQ$18)+SUMIFS('8. FACILIT'!$P$18:$P$50,'8. FACILIT'!$B$18:$B$50,$B27,'8. FACILIT'!$D$18:$D$50,CQ$18)</f>
        <v>0</v>
      </c>
      <c r="CR27" s="281">
        <f>SUMIFS('6. OPERATION'!$R$17:$R$149,'6. OPERATION'!$B$17:$B$149,$B27,'6. OPERATION'!$G$17:$G$149,"OTHER",'6. OPERATION'!$D$17:$D$149,CR$18)+SUMIFS('8. FACILIT'!$P$18:$P$50,'8. FACILIT'!$B$18:$B$50,$B27,'8. FACILIT'!$D$18:$D$50,CR$18)</f>
        <v>0</v>
      </c>
      <c r="CS27" s="281">
        <f>SUMIFS('6. OPERATION'!$R$17:$R$149,'6. OPERATION'!$B$17:$B$149,$B27,'6. OPERATION'!$G$17:$G$149,"OTHER",'6. OPERATION'!$D$17:$D$149,CS$18)+SUMIFS('8. FACILIT'!$P$18:$P$50,'8. FACILIT'!$B$18:$B$50,$B27,'8. FACILIT'!$D$18:$D$50,CS$18)</f>
        <v>0</v>
      </c>
      <c r="CT27" s="281">
        <f>SUMIFS('6. OPERATION'!$R$17:$R$149,'6. OPERATION'!$B$17:$B$149,$B27,'6. OPERATION'!$G$17:$G$149,"OTHER",'6. OPERATION'!$D$17:$D$149,CT$18)+SUMIFS('8. FACILIT'!$P$18:$P$50,'8. FACILIT'!$B$18:$B$50,$B27,'8. FACILIT'!$D$18:$D$50,CT$18)</f>
        <v>0</v>
      </c>
      <c r="CU27" s="281">
        <f>SUMIFS('6. OPERATION'!$R$17:$R$149,'6. OPERATION'!$B$17:$B$149,$B27,'6. OPERATION'!$G$17:$G$149,"OTHER",'6. OPERATION'!$D$17:$D$149,CU$18)+SUMIFS('8. FACILIT'!$P$18:$P$50,'8. FACILIT'!$B$18:$B$50,$B27,'8. FACILIT'!$D$18:$D$50,CU$18)</f>
        <v>0</v>
      </c>
      <c r="CV27" s="281">
        <f>SUMIFS('6. OPERATION'!$R$17:$R$149,'6. OPERATION'!$B$17:$B$149,$B27,'6. OPERATION'!$G$17:$G$149,"OTHER",'6. OPERATION'!$D$17:$D$149,CV$18)+SUMIFS('8. FACILIT'!$P$18:$P$50,'8. FACILIT'!$B$18:$B$50,$B27,'8. FACILIT'!$D$18:$D$50,CV$18)</f>
        <v>0</v>
      </c>
      <c r="CW27" s="281">
        <f>SUMIFS('6. OPERATION'!$R$17:$R$149,'6. OPERATION'!$B$17:$B$149,$B27,'6. OPERATION'!$G$17:$G$149,"OTHER",'6. OPERATION'!$D$17:$D$149,CW$18)+SUMIFS('8. FACILIT'!$P$18:$P$50,'8. FACILIT'!$B$18:$B$50,$B27,'8. FACILIT'!$D$18:$D$50,CW$18)</f>
        <v>0</v>
      </c>
      <c r="CX27" s="281">
        <f>SUMIFS('6. OPERATION'!$R$17:$R$149,'6. OPERATION'!$B$17:$B$149,$B27,'6. OPERATION'!$G$17:$G$149,"OTHER",'6. OPERATION'!$D$17:$D$149,CX$18)+SUMIFS('8. FACILIT'!$P$18:$P$50,'8. FACILIT'!$B$18:$B$50,$B27,'8. FACILIT'!$D$18:$D$50,CX$18)</f>
        <v>0</v>
      </c>
      <c r="CY27" s="281">
        <f>SUMIFS('6. OPERATION'!$R$17:$R$149,'6. OPERATION'!$B$17:$B$149,$B27,'6. OPERATION'!$G$17:$G$149,"OTHER",'6. OPERATION'!$D$17:$D$149,CY$18)+SUMIFS('8. FACILIT'!$P$18:$P$50,'8. FACILIT'!$B$18:$B$50,$B27,'8. FACILIT'!$D$18:$D$50,CY$18)</f>
        <v>0</v>
      </c>
      <c r="CZ27" s="281">
        <f>SUMIFS('6. OPERATION'!$R$17:$R$149,'6. OPERATION'!$B$17:$B$149,$B27,'6. OPERATION'!$G$17:$G$149,"OTHER",'6. OPERATION'!$D$17:$D$149,CZ$18)+SUMIFS('8. FACILIT'!$P$18:$P$50,'8. FACILIT'!$B$18:$B$50,$B27,'8. FACILIT'!$D$18:$D$50,CZ$18)</f>
        <v>0</v>
      </c>
      <c r="DA27" s="281">
        <f>SUMIFS('6. OPERATION'!$R$17:$R$149,'6. OPERATION'!$B$17:$B$149,$B27,'6. OPERATION'!$G$17:$G$149,"OTHER",'6. OPERATION'!$D$17:$D$149,DA$18)+SUMIFS('8. FACILIT'!$P$18:$P$50,'8. FACILIT'!$B$18:$B$50,$B27,'8. FACILIT'!$D$18:$D$50,DA$18)</f>
        <v>0</v>
      </c>
      <c r="DB27" s="281">
        <f>SUMIFS('6. OPERATION'!$R$17:$R$149,'6. OPERATION'!$B$17:$B$149,$B27,'6. OPERATION'!$G$17:$G$149,"OTHER",'6. OPERATION'!$D$17:$D$149,DB$18)+SUMIFS('8. FACILIT'!$P$18:$P$50,'8. FACILIT'!$B$18:$B$50,$B27,'8. FACILIT'!$D$18:$D$50,DB$18)</f>
        <v>0</v>
      </c>
      <c r="DC27" s="281">
        <f>SUMIFS('6. OPERATION'!$R$17:$R$149,'6. OPERATION'!$B$17:$B$149,$B27,'6. OPERATION'!$G$17:$G$149,"OTHER",'6. OPERATION'!$D$17:$D$149,DC$18)+SUMIFS('8. FACILIT'!$P$18:$P$50,'8. FACILIT'!$B$18:$B$50,$B27,'8. FACILIT'!$D$18:$D$50,DC$18)</f>
        <v>0</v>
      </c>
      <c r="DD27" s="281">
        <f>SUMIFS('6. OPERATION'!R$17:R$149,'6. OPERATION'!B$17:B$149,B27,'6. OPERATION'!G$17:G$149,"INTERN")</f>
        <v>0</v>
      </c>
      <c r="DE27" s="281">
        <f>SUMIFS('6. OPERATION'!$R$17:$R$149,'6. OPERATION'!$B$17:$B$149,$B27,'6. OPERATION'!$G$17:$G$149,"INTERN",'6. OPERATION'!$D$17:$D$149,DE$18)</f>
        <v>0</v>
      </c>
      <c r="DF27" s="281">
        <f>SUMIFS('6. OPERATION'!$R$17:$R$149,'6. OPERATION'!$B$17:$B$149,$B27,'6. OPERATION'!$G$17:$G$149,"INTERN",'6. OPERATION'!$D$17:$D$149,DF$18)</f>
        <v>0</v>
      </c>
      <c r="DG27" s="281">
        <f>SUMIFS('6. OPERATION'!$R$17:$R$149,'6. OPERATION'!$B$17:$B$149,$B27,'6. OPERATION'!$G$17:$G$149,"INTERN",'6. OPERATION'!$D$17:$D$149,DG$18)</f>
        <v>0</v>
      </c>
      <c r="DH27" s="281">
        <f>SUMIFS('6. OPERATION'!$R$17:$R$149,'6. OPERATION'!$B$17:$B$149,$B27,'6. OPERATION'!$G$17:$G$149,"INTERN",'6. OPERATION'!$D$17:$D$149,DH$18)</f>
        <v>0</v>
      </c>
      <c r="DI27" s="281">
        <f>SUMIFS('6. OPERATION'!$R$17:$R$149,'6. OPERATION'!$B$17:$B$149,$B27,'6. OPERATION'!$G$17:$G$149,"INTERN",'6. OPERATION'!$D$17:$D$149,DI$18)</f>
        <v>0</v>
      </c>
      <c r="DJ27" s="281">
        <f>SUMIFS('6. OPERATION'!$R$17:$R$149,'6. OPERATION'!$B$17:$B$149,$B27,'6. OPERATION'!$G$17:$G$149,"INTERN",'6. OPERATION'!$D$17:$D$149,DJ$18)</f>
        <v>0</v>
      </c>
      <c r="DK27" s="281">
        <f>SUMIFS('6. OPERATION'!$R$17:$R$149,'6. OPERATION'!$B$17:$B$149,$B27,'6. OPERATION'!$G$17:$G$149,"INTERN",'6. OPERATION'!$D$17:$D$149,DK$18)</f>
        <v>0</v>
      </c>
      <c r="DL27" s="281">
        <f>SUMIFS('6. OPERATION'!$R$17:$R$149,'6. OPERATION'!$B$17:$B$149,$B27,'6. OPERATION'!$G$17:$G$149,"INTERN",'6. OPERATION'!$D$17:$D$149,DL$18)</f>
        <v>0</v>
      </c>
      <c r="DM27" s="281">
        <f>SUMIFS('6. OPERATION'!$R$17:$R$149,'6. OPERATION'!$B$17:$B$149,$B27,'6. OPERATION'!$G$17:$G$149,"INTERN",'6. OPERATION'!$D$17:$D$149,DM$18)</f>
        <v>0</v>
      </c>
      <c r="DN27" s="281">
        <f>SUMIFS('6. OPERATION'!$R$17:$R$149,'6. OPERATION'!$B$17:$B$149,$B27,'6. OPERATION'!$G$17:$G$149,"INTERN",'6. OPERATION'!$D$17:$D$149,DN$18)</f>
        <v>0</v>
      </c>
      <c r="DO27" s="281">
        <f>SUMIFS('6. OPERATION'!$R$17:$R$149,'6. OPERATION'!$B$17:$B$149,$B27,'6. OPERATION'!$G$17:$G$149,"INTERN",'6. OPERATION'!$D$17:$D$149,DO$18)</f>
        <v>0</v>
      </c>
      <c r="DP27" s="281">
        <f>SUMIFS('6. OPERATION'!$R$17:$R$149,'6. OPERATION'!$B$17:$B$149,$B27,'6. OPERATION'!$G$17:$G$149,"INTERN",'6. OPERATION'!$D$17:$D$149,DP$18)</f>
        <v>0</v>
      </c>
      <c r="DQ27" s="281">
        <f>SUMIFS('6. OPERATION'!$R$17:$R$149,'6. OPERATION'!$B$17:$B$149,$B27,'6. OPERATION'!$G$17:$G$149,"INTERN",'6. OPERATION'!$D$17:$D$149,DQ$18)</f>
        <v>0</v>
      </c>
      <c r="DR27" s="281">
        <f>SUMIFS('6. OPERATION'!$R$17:$R$149,'6. OPERATION'!$B$17:$B$149,$B27,'6. OPERATION'!$G$17:$G$149,"INTERN",'6. OPERATION'!$D$17:$D$149,DR$18)</f>
        <v>0</v>
      </c>
      <c r="DS27" s="281">
        <f>SUMIFS('6. OPERATION'!$R$17:$R$149,'6. OPERATION'!$B$17:$B$149,$B27,'6. OPERATION'!$G$17:$G$149,"INTERN",'6. OPERATION'!$D$17:$D$149,DS$18)</f>
        <v>0</v>
      </c>
      <c r="DT27" s="281">
        <f>SUMIFS('6. OPERATION'!$R$17:$R$149,'6. OPERATION'!$B$17:$B$149,$B27,'6. OPERATION'!$G$17:$G$149,"INTERN",'6. OPERATION'!$D$17:$D$149,DT$18)</f>
        <v>0</v>
      </c>
      <c r="DU27" s="281">
        <f>SUMIFS('6. OPERATION'!$R$17:$R$149,'6. OPERATION'!$B$17:$B$149,$B27,'6. OPERATION'!$G$17:$G$149,"INTERN",'6. OPERATION'!$D$17:$D$149,DU$18)</f>
        <v>0</v>
      </c>
      <c r="DV27" s="281">
        <f>SUMIFS('6. OPERATION'!$R$17:$R$149,'6. OPERATION'!$B$17:$B$149,$B27,'6. OPERATION'!$G$17:$G$149,"INTERN",'6. OPERATION'!$D$17:$D$149,DV$18)</f>
        <v>0</v>
      </c>
      <c r="DW27" s="281">
        <f>SUMIFS('6. OPERATION'!$R$17:$R$149,'6. OPERATION'!$B$17:$B$149,$B27,'6. OPERATION'!$G$17:$G$149,"INTERN",'6. OPERATION'!$D$17:$D$149,DW$18)</f>
        <v>0</v>
      </c>
      <c r="DX27" s="281">
        <f>SUMIFS('6. OPERATION'!$R$17:$R$149,'6. OPERATION'!$B$17:$B$149,$B27,'6. OPERATION'!$G$17:$G$149,"INTERN",'6. OPERATION'!$D$17:$D$149,DX$18)</f>
        <v>0</v>
      </c>
      <c r="DY27" s="288">
        <f>(C27+AS27+BN27+CI27)*'2. START'!$C$12</f>
        <v>0</v>
      </c>
      <c r="DZ27" s="288">
        <f>(D27+AT27+BO27+CJ27)*'2. START'!$C$12</f>
        <v>0</v>
      </c>
      <c r="EA27" s="288">
        <f>(E27+AU27+BP27+CK27)*'2. START'!$C$12</f>
        <v>0</v>
      </c>
      <c r="EB27" s="288">
        <f>(F27+AV27+BQ27+CL27)*'2. START'!$C$12</f>
        <v>0</v>
      </c>
      <c r="EC27" s="288">
        <f>(G27+AW27+BR27+CM27)*'2. START'!$C$12</f>
        <v>0</v>
      </c>
      <c r="ED27" s="288">
        <f>(H27+AX27+BS27+CN27)*'2. START'!$C$12</f>
        <v>0</v>
      </c>
      <c r="EE27" s="288">
        <f>(I27+AY27+BT27+CO27)*'2. START'!$C$12</f>
        <v>0</v>
      </c>
      <c r="EF27" s="288">
        <f>(J27+AZ27+BU27+CP27)*'2. START'!$C$12</f>
        <v>0</v>
      </c>
      <c r="EG27" s="288">
        <f>(K27+BA27+BV27+CQ27)*'2. START'!$C$12</f>
        <v>0</v>
      </c>
      <c r="EH27" s="288">
        <f>(L27+BB27+BW27+CR27)*'2. START'!$C$12</f>
        <v>0</v>
      </c>
      <c r="EI27" s="288">
        <f>(M27+BC27+BX27+CS27)*'2. START'!$C$12</f>
        <v>0</v>
      </c>
      <c r="EJ27" s="288">
        <f>(N27+BD27+BY27+CT27)*'2. START'!$C$12</f>
        <v>0</v>
      </c>
      <c r="EK27" s="288">
        <f>(O27+BE27+BZ27+CU27)*'2. START'!$C$12</f>
        <v>0</v>
      </c>
      <c r="EL27" s="288">
        <f>(P27+BF27+CA27+CV27)*'2. START'!$C$12</f>
        <v>0</v>
      </c>
      <c r="EM27" s="288">
        <f>(Q27+BG27+CB27+CW27)*'2. START'!$C$12</f>
        <v>0</v>
      </c>
      <c r="EN27" s="288">
        <f>(R27+BH27+CC27+CX27)*'2. START'!$C$12</f>
        <v>0</v>
      </c>
      <c r="EO27" s="288">
        <f>(S27+BI27+CD27+CY27)*'2. START'!$C$12</f>
        <v>0</v>
      </c>
      <c r="EP27" s="288">
        <f>(T27+BJ27+CE27+CZ27)*'2. START'!$C$12</f>
        <v>0</v>
      </c>
      <c r="EQ27" s="288">
        <f>(U27+BK27+CF27+DA27)*'2. START'!$C$12</f>
        <v>0</v>
      </c>
      <c r="ER27" s="288">
        <f>(V27+BL27+CG27+DB27)*'2. START'!$C$12</f>
        <v>0</v>
      </c>
      <c r="ES27" s="288">
        <f>(W27+BM27+CH27+DC27)*'2. START'!$C$12</f>
        <v>0</v>
      </c>
      <c r="ET27" s="105">
        <f t="shared" si="4"/>
        <v>0</v>
      </c>
      <c r="EU27" s="105">
        <f t="shared" si="5"/>
        <v>0</v>
      </c>
      <c r="EV27" s="105">
        <f t="shared" si="6"/>
        <v>0</v>
      </c>
      <c r="EW27" s="105">
        <f t="shared" si="7"/>
        <v>0</v>
      </c>
      <c r="EX27" s="105">
        <f t="shared" si="8"/>
        <v>0</v>
      </c>
      <c r="EY27" s="105">
        <f t="shared" si="9"/>
        <v>0</v>
      </c>
      <c r="EZ27" s="105">
        <f t="shared" si="10"/>
        <v>0</v>
      </c>
      <c r="FA27" s="105">
        <f t="shared" si="11"/>
        <v>0</v>
      </c>
      <c r="FB27" s="105">
        <f t="shared" si="12"/>
        <v>0</v>
      </c>
      <c r="FC27" s="105">
        <f t="shared" si="13"/>
        <v>0</v>
      </c>
      <c r="FD27" s="105">
        <f t="shared" si="14"/>
        <v>0</v>
      </c>
      <c r="FE27" s="105">
        <f t="shared" si="18"/>
        <v>0</v>
      </c>
      <c r="FF27" s="105">
        <f t="shared" si="19"/>
        <v>0</v>
      </c>
      <c r="FG27" s="105">
        <f t="shared" si="20"/>
        <v>0</v>
      </c>
      <c r="FH27" s="105">
        <f t="shared" si="21"/>
        <v>0</v>
      </c>
      <c r="FI27" s="105">
        <f t="shared" si="22"/>
        <v>0</v>
      </c>
      <c r="FJ27" s="105">
        <f t="shared" si="23"/>
        <v>0</v>
      </c>
      <c r="FK27" s="105">
        <f t="shared" si="24"/>
        <v>0</v>
      </c>
      <c r="FL27" s="105">
        <f t="shared" si="25"/>
        <v>0</v>
      </c>
      <c r="FM27" s="105">
        <f t="shared" si="26"/>
        <v>0</v>
      </c>
      <c r="FN27" s="105">
        <f t="shared" si="27"/>
        <v>0</v>
      </c>
      <c r="FO27" s="273" t="str">
        <f t="shared" si="17"/>
        <v/>
      </c>
      <c r="FP27" s="105">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943">
        <f t="shared" si="16"/>
        <v>0</v>
      </c>
      <c r="FR27" s="940">
        <f>SUMIFS('5. PERSON'!$AE$17:$AE$192,'5. PERSON'!$B$17:$B$192,'14. EUFP'!$B27,'5. PERSON'!$D$17:$D$192,FR$18)</f>
        <v>0</v>
      </c>
      <c r="FS27" s="940">
        <f>SUMIFS('5. PERSON'!$AE$17:$AE$192,'5. PERSON'!$B$17:$B$192,'14. EUFP'!$B27,'5. PERSON'!$D$17:$D$192,FS$18)</f>
        <v>0</v>
      </c>
      <c r="FT27" s="940">
        <f>SUMIFS('5. PERSON'!$AE$17:$AE$192,'5. PERSON'!$B$17:$B$192,'14. EUFP'!$B27,'5. PERSON'!$D$17:$D$192,FT$18)</f>
        <v>0</v>
      </c>
      <c r="FU27" s="940">
        <f>SUMIFS('5. PERSON'!$AE$17:$AE$192,'5. PERSON'!$B$17:$B$192,'14. EUFP'!$B27,'5. PERSON'!$D$17:$D$192,FU$18)</f>
        <v>0</v>
      </c>
      <c r="FV27" s="940">
        <f>SUMIFS('5. PERSON'!$AE$17:$AE$192,'5. PERSON'!$B$17:$B$192,'14. EUFP'!$B27,'5. PERSON'!$D$17:$D$192,FV$18)</f>
        <v>0</v>
      </c>
      <c r="FW27" s="940">
        <f>SUMIFS('5. PERSON'!$AE$17:$AE$192,'5. PERSON'!$B$17:$B$192,'14. EUFP'!$B27,'5. PERSON'!$D$17:$D$192,FW$18)</f>
        <v>0</v>
      </c>
      <c r="FX27" s="940">
        <f>SUMIFS('5. PERSON'!$AE$17:$AE$192,'5. PERSON'!$B$17:$B$192,'14. EUFP'!$B27,'5. PERSON'!$D$17:$D$192,FX$18)</f>
        <v>0</v>
      </c>
      <c r="FY27" s="940">
        <f>SUMIFS('5. PERSON'!$AE$17:$AE$192,'5. PERSON'!$B$17:$B$192,'14. EUFP'!$B27,'5. PERSON'!$D$17:$D$192,FY$18)</f>
        <v>0</v>
      </c>
      <c r="FZ27" s="940">
        <f>SUMIFS('5. PERSON'!$AE$17:$AE$192,'5. PERSON'!$B$17:$B$192,'14. EUFP'!$B27,'5. PERSON'!$D$17:$D$192,FZ$18)</f>
        <v>0</v>
      </c>
      <c r="GA27" s="940">
        <f>SUMIFS('5. PERSON'!$AE$17:$AE$192,'5. PERSON'!$B$17:$B$192,'14. EUFP'!$B27,'5. PERSON'!$D$17:$D$192,GA$18)</f>
        <v>0</v>
      </c>
      <c r="GB27" s="940">
        <f>SUMIFS('5. PERSON'!$AE$17:$AE$192,'5. PERSON'!$B$17:$B$192,'14. EUFP'!$B27,'5. PERSON'!$D$17:$D$192,GB$18)</f>
        <v>0</v>
      </c>
      <c r="GC27" s="940">
        <f>SUMIFS('5. PERSON'!$AE$17:$AE$192,'5. PERSON'!$B$17:$B$192,'14. EUFP'!$B27,'5. PERSON'!$D$17:$D$192,GC$18)</f>
        <v>0</v>
      </c>
      <c r="GD27" s="940">
        <f>SUMIFS('5. PERSON'!$AE$17:$AE$192,'5. PERSON'!$B$17:$B$192,'14. EUFP'!$B27,'5. PERSON'!$D$17:$D$192,GD$18)</f>
        <v>0</v>
      </c>
      <c r="GE27" s="940">
        <f>SUMIFS('5. PERSON'!$AE$17:$AE$192,'5. PERSON'!$B$17:$B$192,'14. EUFP'!$B27,'5. PERSON'!$D$17:$D$192,GE$18)</f>
        <v>0</v>
      </c>
      <c r="GF27" s="940">
        <f>SUMIFS('5. PERSON'!$AE$17:$AE$192,'5. PERSON'!$B$17:$B$192,'14. EUFP'!$B27,'5. PERSON'!$D$17:$D$192,GF$18)</f>
        <v>0</v>
      </c>
      <c r="GG27" s="940">
        <f>SUMIFS('5. PERSON'!$AE$17:$AE$192,'5. PERSON'!$B$17:$B$192,'14. EUFP'!$B27,'5. PERSON'!$D$17:$D$192,GG$18)</f>
        <v>0</v>
      </c>
      <c r="GH27" s="940">
        <f>SUMIFS('5. PERSON'!$AE$17:$AE$192,'5. PERSON'!$B$17:$B$192,'14. EUFP'!$B27,'5. PERSON'!$D$17:$D$192,GH$18)</f>
        <v>0</v>
      </c>
      <c r="GI27" s="940">
        <f>SUMIFS('5. PERSON'!$AE$17:$AE$192,'5. PERSON'!$B$17:$B$192,'14. EUFP'!$B27,'5. PERSON'!$D$17:$D$192,GI$18)</f>
        <v>0</v>
      </c>
      <c r="GJ27" s="940">
        <f>SUMIFS('5. PERSON'!$AE$17:$AE$192,'5. PERSON'!$B$17:$B$192,'14. EUFP'!$B27,'5. PERSON'!$D$17:$D$192,GJ$18)</f>
        <v>0</v>
      </c>
      <c r="GK27" s="940">
        <f>SUMIFS('5. PERSON'!$AE$17:$AE$192,'5. PERSON'!$B$17:$B$192,'14. EUFP'!$B27,'5. PERSON'!$D$17:$D$192,GK$18)</f>
        <v>0</v>
      </c>
      <c r="GL27" s="940">
        <f t="shared" si="28"/>
        <v>0</v>
      </c>
    </row>
    <row r="28" spans="2:194" ht="13.5" customHeight="1" x14ac:dyDescent="0.2">
      <c r="B28" s="261" t="str">
        <f>'3. PARTNER'!B55</f>
        <v>EXT105</v>
      </c>
      <c r="C28" s="262">
        <f>SUMIF('5. PERSON'!B$17:B$192,B28,'5. PERSON'!AR$17:AR$192)</f>
        <v>0</v>
      </c>
      <c r="D28" s="262">
        <f>SUMIFS('5. PERSON'!$AR$17:$AR$192,'5. PERSON'!$B$17:$B$192,$B28,'5. PERSON'!$D$17:$D$192,D$18)</f>
        <v>0</v>
      </c>
      <c r="E28" s="262">
        <f>SUMIFS('5. PERSON'!$AR$17:$AR$192,'5. PERSON'!$B$17:$B$192,$B28,'5. PERSON'!$D$17:$D$192,E$18)</f>
        <v>0</v>
      </c>
      <c r="F28" s="262">
        <f>SUMIFS('5. PERSON'!$AR$17:$AR$192,'5. PERSON'!$B$17:$B$192,$B28,'5. PERSON'!$D$17:$D$192,F$18)</f>
        <v>0</v>
      </c>
      <c r="G28" s="262">
        <f>SUMIFS('5. PERSON'!$AR$17:$AR$192,'5. PERSON'!$B$17:$B$192,$B28,'5. PERSON'!$D$17:$D$192,G$18)</f>
        <v>0</v>
      </c>
      <c r="H28" s="262">
        <f>SUMIFS('5. PERSON'!$AR$17:$AR$192,'5. PERSON'!$B$17:$B$192,$B28,'5. PERSON'!$D$17:$D$192,H$18)</f>
        <v>0</v>
      </c>
      <c r="I28" s="262">
        <f>SUMIFS('5. PERSON'!$AR$17:$AR$192,'5. PERSON'!$B$17:$B$192,$B28,'5. PERSON'!$D$17:$D$192,I$18)</f>
        <v>0</v>
      </c>
      <c r="J28" s="262">
        <f>SUMIFS('5. PERSON'!$AR$17:$AR$192,'5. PERSON'!$B$17:$B$192,$B28,'5. PERSON'!$D$17:$D$192,J$18)</f>
        <v>0</v>
      </c>
      <c r="K28" s="262">
        <f>SUMIFS('5. PERSON'!$AR$17:$AR$192,'5. PERSON'!$B$17:$B$192,$B28,'5. PERSON'!$D$17:$D$192,K$18)</f>
        <v>0</v>
      </c>
      <c r="L28" s="262">
        <f>SUMIFS('5. PERSON'!$AR$17:$AR$192,'5. PERSON'!$B$17:$B$192,$B28,'5. PERSON'!$D$17:$D$192,L$18)</f>
        <v>0</v>
      </c>
      <c r="M28" s="262">
        <f>SUMIFS('5. PERSON'!$AR$17:$AR$192,'5. PERSON'!$B$17:$B$192,$B28,'5. PERSON'!$D$17:$D$192,M$18)</f>
        <v>0</v>
      </c>
      <c r="N28" s="262">
        <f>SUMIFS('5. PERSON'!$AR$17:$AR$192,'5. PERSON'!$B$17:$B$192,$B28,'5. PERSON'!$D$17:$D$192,N$18)</f>
        <v>0</v>
      </c>
      <c r="O28" s="262">
        <f>SUMIFS('5. PERSON'!$AR$17:$AR$192,'5. PERSON'!$B$17:$B$192,$B28,'5. PERSON'!$D$17:$D$192,O$18)</f>
        <v>0</v>
      </c>
      <c r="P28" s="262">
        <f>SUMIFS('5. PERSON'!$AR$17:$AR$192,'5. PERSON'!$B$17:$B$192,$B28,'5. PERSON'!$D$17:$D$192,P$18)</f>
        <v>0</v>
      </c>
      <c r="Q28" s="262">
        <f>SUMIFS('5. PERSON'!$AR$17:$AR$192,'5. PERSON'!$B$17:$B$192,$B28,'5. PERSON'!$D$17:$D$192,Q$18)</f>
        <v>0</v>
      </c>
      <c r="R28" s="262">
        <f>SUMIFS('5. PERSON'!$AR$17:$AR$192,'5. PERSON'!$B$17:$B$192,$B28,'5. PERSON'!$D$17:$D$192,R$18)</f>
        <v>0</v>
      </c>
      <c r="S28" s="262">
        <f>SUMIFS('5. PERSON'!$AR$17:$AR$192,'5. PERSON'!$B$17:$B$192,$B28,'5. PERSON'!$D$17:$D$192,S$18)</f>
        <v>0</v>
      </c>
      <c r="T28" s="262">
        <f>SUMIFS('5. PERSON'!$AR$17:$AR$192,'5. PERSON'!$B$17:$B$192,$B28,'5. PERSON'!$D$17:$D$192,T$18)</f>
        <v>0</v>
      </c>
      <c r="U28" s="262">
        <f>SUMIFS('5. PERSON'!$AR$17:$AR$192,'5. PERSON'!$B$17:$B$192,$B28,'5. PERSON'!$D$17:$D$192,U$18)</f>
        <v>0</v>
      </c>
      <c r="V28" s="262">
        <f>SUMIFS('5. PERSON'!$AR$17:$AR$192,'5. PERSON'!$B$17:$B$192,$B28,'5. PERSON'!$D$17:$D$192,V$18)</f>
        <v>0</v>
      </c>
      <c r="W28" s="262">
        <f>SUMIFS('5. PERSON'!$AR$17:$AR$192,'5. PERSON'!$B$17:$B$192,$B28,'5. PERSON'!$D$17:$D$192,W$18)</f>
        <v>0</v>
      </c>
      <c r="X28" s="262">
        <f>SUMIFS('6. OPERATION'!R$17:R$149,'6. OPERATION'!B$17:B$149,B28,'6. OPERATION'!G$17:G$149,"SUBCON")</f>
        <v>0</v>
      </c>
      <c r="Y28" s="262">
        <f>SUMIFS('6. OPERATION'!$R$17:$R$149,'6. OPERATION'!$B$17:$B$149,$B28,'6. OPERATION'!$G$17:$G$149,"SUBCON",'6. OPERATION'!$D$17:$D$149,Y$18)</f>
        <v>0</v>
      </c>
      <c r="Z28" s="262">
        <f>SUMIFS('6. OPERATION'!$R$17:$R$149,'6. OPERATION'!$B$17:$B$149,$B28,'6. OPERATION'!$G$17:$G$149,"SUBCON",'6. OPERATION'!$D$17:$D$149,Z$18)</f>
        <v>0</v>
      </c>
      <c r="AA28" s="262">
        <f>SUMIFS('6. OPERATION'!$R$17:$R$149,'6. OPERATION'!$B$17:$B$149,$B28,'6. OPERATION'!$G$17:$G$149,"SUBCON",'6. OPERATION'!$D$17:$D$149,AA$18)</f>
        <v>0</v>
      </c>
      <c r="AB28" s="262">
        <f>SUMIFS('6. OPERATION'!$R$17:$R$149,'6. OPERATION'!$B$17:$B$149,$B28,'6. OPERATION'!$G$17:$G$149,"SUBCON",'6. OPERATION'!$D$17:$D$149,AB$18)</f>
        <v>0</v>
      </c>
      <c r="AC28" s="262">
        <f>SUMIFS('6. OPERATION'!$R$17:$R$149,'6. OPERATION'!$B$17:$B$149,$B28,'6. OPERATION'!$G$17:$G$149,"SUBCON",'6. OPERATION'!$D$17:$D$149,AC$18)</f>
        <v>0</v>
      </c>
      <c r="AD28" s="262">
        <f>SUMIFS('6. OPERATION'!$R$17:$R$149,'6. OPERATION'!$B$17:$B$149,$B28,'6. OPERATION'!$G$17:$G$149,"SUBCON",'6. OPERATION'!$D$17:$D$149,AD$18)</f>
        <v>0</v>
      </c>
      <c r="AE28" s="262">
        <f>SUMIFS('6. OPERATION'!$R$17:$R$149,'6. OPERATION'!$B$17:$B$149,$B28,'6. OPERATION'!$G$17:$G$149,"SUBCON",'6. OPERATION'!$D$17:$D$149,AE$18)</f>
        <v>0</v>
      </c>
      <c r="AF28" s="262">
        <f>SUMIFS('6. OPERATION'!$R$17:$R$149,'6. OPERATION'!$B$17:$B$149,$B28,'6. OPERATION'!$G$17:$G$149,"SUBCON",'6. OPERATION'!$D$17:$D$149,AF$18)</f>
        <v>0</v>
      </c>
      <c r="AG28" s="262">
        <f>SUMIFS('6. OPERATION'!$R$17:$R$149,'6. OPERATION'!$B$17:$B$149,$B28,'6. OPERATION'!$G$17:$G$149,"SUBCON",'6. OPERATION'!$D$17:$D$149,AG$18)</f>
        <v>0</v>
      </c>
      <c r="AH28" s="262">
        <f>SUMIFS('6. OPERATION'!$R$17:$R$149,'6. OPERATION'!$B$17:$B$149,$B28,'6. OPERATION'!$G$17:$G$149,"SUBCON",'6. OPERATION'!$D$17:$D$149,AH$18)</f>
        <v>0</v>
      </c>
      <c r="AI28" s="262">
        <f>SUMIFS('6. OPERATION'!$R$17:$R$149,'6. OPERATION'!$B$17:$B$149,$B28,'6. OPERATION'!$G$17:$G$149,"SUBCON",'6. OPERATION'!$D$17:$D$149,AI$18)</f>
        <v>0</v>
      </c>
      <c r="AJ28" s="262">
        <f>SUMIFS('6. OPERATION'!$R$17:$R$149,'6. OPERATION'!$B$17:$B$149,$B28,'6. OPERATION'!$G$17:$G$149,"SUBCON",'6. OPERATION'!$D$17:$D$149,AJ$18)</f>
        <v>0</v>
      </c>
      <c r="AK28" s="262">
        <f>SUMIFS('6. OPERATION'!$R$17:$R$149,'6. OPERATION'!$B$17:$B$149,$B28,'6. OPERATION'!$G$17:$G$149,"SUBCON",'6. OPERATION'!$D$17:$D$149,AK$18)</f>
        <v>0</v>
      </c>
      <c r="AL28" s="262">
        <f>SUMIFS('6. OPERATION'!$R$17:$R$149,'6. OPERATION'!$B$17:$B$149,$B28,'6. OPERATION'!$G$17:$G$149,"SUBCON",'6. OPERATION'!$D$17:$D$149,AL$18)</f>
        <v>0</v>
      </c>
      <c r="AM28" s="262">
        <f>SUMIFS('6. OPERATION'!$R$17:$R$149,'6. OPERATION'!$B$17:$B$149,$B28,'6. OPERATION'!$G$17:$G$149,"SUBCON",'6. OPERATION'!$D$17:$D$149,AM$18)</f>
        <v>0</v>
      </c>
      <c r="AN28" s="262">
        <f>SUMIFS('6. OPERATION'!$R$17:$R$149,'6. OPERATION'!$B$17:$B$149,$B28,'6. OPERATION'!$G$17:$G$149,"SUBCON",'6. OPERATION'!$D$17:$D$149,AN$18)</f>
        <v>0</v>
      </c>
      <c r="AO28" s="262">
        <f>SUMIFS('6. OPERATION'!$R$17:$R$149,'6. OPERATION'!$B$17:$B$149,$B28,'6. OPERATION'!$G$17:$G$149,"SUBCON",'6. OPERATION'!$D$17:$D$149,AO$18)</f>
        <v>0</v>
      </c>
      <c r="AP28" s="262">
        <f>SUMIFS('6. OPERATION'!$R$17:$R$149,'6. OPERATION'!$B$17:$B$149,$B28,'6. OPERATION'!$G$17:$G$149,"SUBCON",'6. OPERATION'!$D$17:$D$149,AP$18)</f>
        <v>0</v>
      </c>
      <c r="AQ28" s="262">
        <f>SUMIFS('6. OPERATION'!$R$17:$R$149,'6. OPERATION'!$B$17:$B$149,$B28,'6. OPERATION'!$G$17:$G$149,"SUBCON",'6. OPERATION'!$D$17:$D$149,AQ$18)</f>
        <v>0</v>
      </c>
      <c r="AR28" s="262">
        <f>SUMIFS('6. OPERATION'!$R$17:$R$149,'6. OPERATION'!$B$17:$B$149,$B28,'6. OPERATION'!$G$17:$G$149,"SUBCON",'6. OPERATION'!$D$17:$D$149,AR$18)</f>
        <v>0</v>
      </c>
      <c r="AS28" s="262">
        <f>SUMIFS('6. OPERATION'!R$17:R$149,'6. OPERATION'!B$17:B$149,B28,'6. OPERATION'!G$17:G$149,"TRAVEL")</f>
        <v>0</v>
      </c>
      <c r="AT28" s="262">
        <f>SUMIFS('6. OPERATION'!$R$17:$R$149,'6. OPERATION'!$B$17:$B$149,$B28,'6. OPERATION'!$G$17:$G$149,"TRAVEL",'6. OPERATION'!$D$17:$D$149,AT$18)</f>
        <v>0</v>
      </c>
      <c r="AU28" s="262">
        <f>SUMIFS('6. OPERATION'!$R$17:$R$149,'6. OPERATION'!$B$17:$B$149,$B28,'6. OPERATION'!$G$17:$G$149,"TRAVEL",'6. OPERATION'!$D$17:$D$149,AU$18)</f>
        <v>0</v>
      </c>
      <c r="AV28" s="262">
        <f>SUMIFS('6. OPERATION'!$R$17:$R$149,'6. OPERATION'!$B$17:$B$149,$B28,'6. OPERATION'!$G$17:$G$149,"TRAVEL",'6. OPERATION'!$D$17:$D$149,AV$18)</f>
        <v>0</v>
      </c>
      <c r="AW28" s="262">
        <f>SUMIFS('6. OPERATION'!$R$17:$R$149,'6. OPERATION'!$B$17:$B$149,$B28,'6. OPERATION'!$G$17:$G$149,"TRAVEL",'6. OPERATION'!$D$17:$D$149,AW$18)</f>
        <v>0</v>
      </c>
      <c r="AX28" s="262">
        <f>SUMIFS('6. OPERATION'!$R$17:$R$149,'6. OPERATION'!$B$17:$B$149,$B28,'6. OPERATION'!$G$17:$G$149,"TRAVEL",'6. OPERATION'!$D$17:$D$149,AX$18)</f>
        <v>0</v>
      </c>
      <c r="AY28" s="262">
        <f>SUMIFS('6. OPERATION'!$R$17:$R$149,'6. OPERATION'!$B$17:$B$149,$B28,'6. OPERATION'!$G$17:$G$149,"TRAVEL",'6. OPERATION'!$D$17:$D$149,AY$18)</f>
        <v>0</v>
      </c>
      <c r="AZ28" s="262">
        <f>SUMIFS('6. OPERATION'!$R$17:$R$149,'6. OPERATION'!$B$17:$B$149,$B28,'6. OPERATION'!$G$17:$G$149,"TRAVEL",'6. OPERATION'!$D$17:$D$149,AZ$18)</f>
        <v>0</v>
      </c>
      <c r="BA28" s="262">
        <f>SUMIFS('6. OPERATION'!$R$17:$R$149,'6. OPERATION'!$B$17:$B$149,$B28,'6. OPERATION'!$G$17:$G$149,"TRAVEL",'6. OPERATION'!$D$17:$D$149,BA$18)</f>
        <v>0</v>
      </c>
      <c r="BB28" s="262">
        <f>SUMIFS('6. OPERATION'!$R$17:$R$149,'6. OPERATION'!$B$17:$B$149,$B28,'6. OPERATION'!$G$17:$G$149,"TRAVEL",'6. OPERATION'!$D$17:$D$149,BB$18)</f>
        <v>0</v>
      </c>
      <c r="BC28" s="262">
        <f>SUMIFS('6. OPERATION'!$R$17:$R$149,'6. OPERATION'!$B$17:$B$149,$B28,'6. OPERATION'!$G$17:$G$149,"TRAVEL",'6. OPERATION'!$D$17:$D$149,BC$18)</f>
        <v>0</v>
      </c>
      <c r="BD28" s="262">
        <f>SUMIFS('6. OPERATION'!$R$17:$R$149,'6. OPERATION'!$B$17:$B$149,$B28,'6. OPERATION'!$G$17:$G$149,"TRAVEL",'6. OPERATION'!$D$17:$D$149,BD$18)</f>
        <v>0</v>
      </c>
      <c r="BE28" s="262">
        <f>SUMIFS('6. OPERATION'!$R$17:$R$149,'6. OPERATION'!$B$17:$B$149,$B28,'6. OPERATION'!$G$17:$G$149,"TRAVEL",'6. OPERATION'!$D$17:$D$149,BE$18)</f>
        <v>0</v>
      </c>
      <c r="BF28" s="262">
        <f>SUMIFS('6. OPERATION'!$R$17:$R$149,'6. OPERATION'!$B$17:$B$149,$B28,'6. OPERATION'!$G$17:$G$149,"TRAVEL",'6. OPERATION'!$D$17:$D$149,BF$18)</f>
        <v>0</v>
      </c>
      <c r="BG28" s="262">
        <f>SUMIFS('6. OPERATION'!$R$17:$R$149,'6. OPERATION'!$B$17:$B$149,$B28,'6. OPERATION'!$G$17:$G$149,"TRAVEL",'6. OPERATION'!$D$17:$D$149,BG$18)</f>
        <v>0</v>
      </c>
      <c r="BH28" s="262">
        <f>SUMIFS('6. OPERATION'!$R$17:$R$149,'6. OPERATION'!$B$17:$B$149,$B28,'6. OPERATION'!$G$17:$G$149,"TRAVEL",'6. OPERATION'!$D$17:$D$149,BH$18)</f>
        <v>0</v>
      </c>
      <c r="BI28" s="262">
        <f>SUMIFS('6. OPERATION'!$R$17:$R$149,'6. OPERATION'!$B$17:$B$149,$B28,'6. OPERATION'!$G$17:$G$149,"TRAVEL",'6. OPERATION'!$D$17:$D$149,BI$18)</f>
        <v>0</v>
      </c>
      <c r="BJ28" s="262">
        <f>SUMIFS('6. OPERATION'!$R$17:$R$149,'6. OPERATION'!$B$17:$B$149,$B28,'6. OPERATION'!$G$17:$G$149,"TRAVEL",'6. OPERATION'!$D$17:$D$149,BJ$18)</f>
        <v>0</v>
      </c>
      <c r="BK28" s="262">
        <f>SUMIFS('6. OPERATION'!$R$17:$R$149,'6. OPERATION'!$B$17:$B$149,$B28,'6. OPERATION'!$G$17:$G$149,"TRAVEL",'6. OPERATION'!$D$17:$D$149,BK$18)</f>
        <v>0</v>
      </c>
      <c r="BL28" s="262">
        <f>SUMIFS('6. OPERATION'!$R$17:$R$149,'6. OPERATION'!$B$17:$B$149,$B28,'6. OPERATION'!$G$17:$G$149,"TRAVEL",'6. OPERATION'!$D$17:$D$149,BL$18)</f>
        <v>0</v>
      </c>
      <c r="BM28" s="262">
        <f>SUMIFS('6. OPERATION'!$R$17:$R$149,'6. OPERATION'!$B$17:$B$149,$B28,'6. OPERATION'!$G$17:$G$149,"TRAVEL",'6. OPERATION'!$D$17:$D$149,BM$18)</f>
        <v>0</v>
      </c>
      <c r="BN28" s="262">
        <f>SUMIF('7. INVEST'!B$17:B$49,B28,'7. INVEST'!S$17:S$49)</f>
        <v>0</v>
      </c>
      <c r="BO28" s="262">
        <f>SUMIFS('7. INVEST'!$S$17:$S$49,'7. INVEST'!$B$17:$B$49,$B28,'7. INVEST'!$D$17:$D$49,BO$18)</f>
        <v>0</v>
      </c>
      <c r="BP28" s="262">
        <f>SUMIFS('7. INVEST'!$S$17:$S$49,'7. INVEST'!$B$17:$B$49,$B28,'7. INVEST'!$D$17:$D$49,BP$18)</f>
        <v>0</v>
      </c>
      <c r="BQ28" s="262">
        <f>SUMIFS('7. INVEST'!$S$17:$S$49,'7. INVEST'!$B$17:$B$49,$B28,'7. INVEST'!$D$17:$D$49,BQ$18)</f>
        <v>0</v>
      </c>
      <c r="BR28" s="262">
        <f>SUMIFS('7. INVEST'!$S$17:$S$49,'7. INVEST'!$B$17:$B$49,$B28,'7. INVEST'!$D$17:$D$49,BR$18)</f>
        <v>0</v>
      </c>
      <c r="BS28" s="262">
        <f>SUMIFS('7. INVEST'!$S$17:$S$49,'7. INVEST'!$B$17:$B$49,$B28,'7. INVEST'!$D$17:$D$49,BS$18)</f>
        <v>0</v>
      </c>
      <c r="BT28" s="262">
        <f>SUMIFS('7. INVEST'!$S$17:$S$49,'7. INVEST'!$B$17:$B$49,$B28,'7. INVEST'!$D$17:$D$49,BT$18)</f>
        <v>0</v>
      </c>
      <c r="BU28" s="262">
        <f>SUMIFS('7. INVEST'!$S$17:$S$49,'7. INVEST'!$B$17:$B$49,$B28,'7. INVEST'!$D$17:$D$49,BU$18)</f>
        <v>0</v>
      </c>
      <c r="BV28" s="262">
        <f>SUMIFS('7. INVEST'!$S$17:$S$49,'7. INVEST'!$B$17:$B$49,$B28,'7. INVEST'!$D$17:$D$49,BV$18)</f>
        <v>0</v>
      </c>
      <c r="BW28" s="262">
        <f>SUMIFS('7. INVEST'!$S$17:$S$49,'7. INVEST'!$B$17:$B$49,$B28,'7. INVEST'!$D$17:$D$49,BW$18)</f>
        <v>0</v>
      </c>
      <c r="BX28" s="262">
        <f>SUMIFS('7. INVEST'!$S$17:$S$49,'7. INVEST'!$B$17:$B$49,$B28,'7. INVEST'!$D$17:$D$49,BX$18)</f>
        <v>0</v>
      </c>
      <c r="BY28" s="262">
        <f>SUMIFS('7. INVEST'!$S$17:$S$49,'7. INVEST'!$B$17:$B$49,$B28,'7. INVEST'!$D$17:$D$49,BY$18)</f>
        <v>0</v>
      </c>
      <c r="BZ28" s="262">
        <f>SUMIFS('7. INVEST'!$S$17:$S$49,'7. INVEST'!$B$17:$B$49,$B28,'7. INVEST'!$D$17:$D$49,BZ$18)</f>
        <v>0</v>
      </c>
      <c r="CA28" s="262">
        <f>SUMIFS('7. INVEST'!$S$17:$S$49,'7. INVEST'!$B$17:$B$49,$B28,'7. INVEST'!$D$17:$D$49,CA$18)</f>
        <v>0</v>
      </c>
      <c r="CB28" s="262">
        <f>SUMIFS('7. INVEST'!$S$17:$S$49,'7. INVEST'!$B$17:$B$49,$B28,'7. INVEST'!$D$17:$D$49,CB$18)</f>
        <v>0</v>
      </c>
      <c r="CC28" s="262">
        <f>SUMIFS('7. INVEST'!$S$17:$S$49,'7. INVEST'!$B$17:$B$49,$B28,'7. INVEST'!$D$17:$D$49,CC$18)</f>
        <v>0</v>
      </c>
      <c r="CD28" s="262">
        <f>SUMIFS('7. INVEST'!$S$17:$S$49,'7. INVEST'!$B$17:$B$49,$B28,'7. INVEST'!$D$17:$D$49,CD$18)</f>
        <v>0</v>
      </c>
      <c r="CE28" s="262">
        <f>SUMIFS('7. INVEST'!$S$17:$S$49,'7. INVEST'!$B$17:$B$49,$B28,'7. INVEST'!$D$17:$D$49,CE$18)</f>
        <v>0</v>
      </c>
      <c r="CF28" s="262">
        <f>SUMIFS('7. INVEST'!$S$17:$S$49,'7. INVEST'!$B$17:$B$49,$B28,'7. INVEST'!$D$17:$D$49,CF$18)</f>
        <v>0</v>
      </c>
      <c r="CG28" s="262">
        <f>SUMIFS('7. INVEST'!$S$17:$S$49,'7. INVEST'!$B$17:$B$49,$B28,'7. INVEST'!$D$17:$D$49,CG$18)</f>
        <v>0</v>
      </c>
      <c r="CH28" s="262">
        <f>SUMIFS('7. INVEST'!$S$17:$S$49,'7. INVEST'!$B$17:$B$49,$B28,'7. INVEST'!$D$17:$D$49,CH$18)</f>
        <v>0</v>
      </c>
      <c r="CI28" s="262">
        <f>SUMIFS('6. OPERATION'!$R$17:$R$149,'6. OPERATION'!$B$17:$B$149,$B28,'6. OPERATION'!$G$17:$G$149,"OTHER")+SUMIF('8. FACILIT'!$B$18:$B$50,$B28,'8. FACILIT'!$P$18:$P$50)</f>
        <v>0</v>
      </c>
      <c r="CJ28" s="262">
        <f>SUMIFS('6. OPERATION'!$R$17:$R$149,'6. OPERATION'!$B$17:$B$149,$B28,'6. OPERATION'!$G$17:$G$149,"OTHER",'6. OPERATION'!$D$17:$D$149,CJ$18)+SUMIFS('8. FACILIT'!$P$18:$P$50,'8. FACILIT'!$B$18:$B$50,$B28,'8. FACILIT'!$D$18:$D$50,CJ$18)</f>
        <v>0</v>
      </c>
      <c r="CK28" s="262">
        <f>SUMIFS('6. OPERATION'!$R$17:$R$149,'6. OPERATION'!$B$17:$B$149,$B28,'6. OPERATION'!$G$17:$G$149,"OTHER",'6. OPERATION'!$D$17:$D$149,CK$18)+SUMIFS('8. FACILIT'!$P$18:$P$50,'8. FACILIT'!$B$18:$B$50,$B28,'8. FACILIT'!$D$18:$D$50,CK$18)</f>
        <v>0</v>
      </c>
      <c r="CL28" s="262">
        <f>SUMIFS('6. OPERATION'!$R$17:$R$149,'6. OPERATION'!$B$17:$B$149,$B28,'6. OPERATION'!$G$17:$G$149,"OTHER",'6. OPERATION'!$D$17:$D$149,CL$18)+SUMIFS('8. FACILIT'!$P$18:$P$50,'8. FACILIT'!$B$18:$B$50,$B28,'8. FACILIT'!$D$18:$D$50,CL$18)</f>
        <v>0</v>
      </c>
      <c r="CM28" s="262">
        <f>SUMIFS('6. OPERATION'!$R$17:$R$149,'6. OPERATION'!$B$17:$B$149,$B28,'6. OPERATION'!$G$17:$G$149,"OTHER",'6. OPERATION'!$D$17:$D$149,CM$18)+SUMIFS('8. FACILIT'!$P$18:$P$50,'8. FACILIT'!$B$18:$B$50,$B28,'8. FACILIT'!$D$18:$D$50,CM$18)</f>
        <v>0</v>
      </c>
      <c r="CN28" s="262">
        <f>SUMIFS('6. OPERATION'!$R$17:$R$149,'6. OPERATION'!$B$17:$B$149,$B28,'6. OPERATION'!$G$17:$G$149,"OTHER",'6. OPERATION'!$D$17:$D$149,CN$18)+SUMIFS('8. FACILIT'!$P$18:$P$50,'8. FACILIT'!$B$18:$B$50,$B28,'8. FACILIT'!$D$18:$D$50,CN$18)</f>
        <v>0</v>
      </c>
      <c r="CO28" s="262">
        <f>SUMIFS('6. OPERATION'!$R$17:$R$149,'6. OPERATION'!$B$17:$B$149,$B28,'6. OPERATION'!$G$17:$G$149,"OTHER",'6. OPERATION'!$D$17:$D$149,CO$18)+SUMIFS('8. FACILIT'!$P$18:$P$50,'8. FACILIT'!$B$18:$B$50,$B28,'8. FACILIT'!$D$18:$D$50,CO$18)</f>
        <v>0</v>
      </c>
      <c r="CP28" s="262">
        <f>SUMIFS('6. OPERATION'!$R$17:$R$149,'6. OPERATION'!$B$17:$B$149,$B28,'6. OPERATION'!$G$17:$G$149,"OTHER",'6. OPERATION'!$D$17:$D$149,CP$18)+SUMIFS('8. FACILIT'!$P$18:$P$50,'8. FACILIT'!$B$18:$B$50,$B28,'8. FACILIT'!$D$18:$D$50,CP$18)</f>
        <v>0</v>
      </c>
      <c r="CQ28" s="262">
        <f>SUMIFS('6. OPERATION'!$R$17:$R$149,'6. OPERATION'!$B$17:$B$149,$B28,'6. OPERATION'!$G$17:$G$149,"OTHER",'6. OPERATION'!$D$17:$D$149,CQ$18)+SUMIFS('8. FACILIT'!$P$18:$P$50,'8. FACILIT'!$B$18:$B$50,$B28,'8. FACILIT'!$D$18:$D$50,CQ$18)</f>
        <v>0</v>
      </c>
      <c r="CR28" s="262">
        <f>SUMIFS('6. OPERATION'!$R$17:$R$149,'6. OPERATION'!$B$17:$B$149,$B28,'6. OPERATION'!$G$17:$G$149,"OTHER",'6. OPERATION'!$D$17:$D$149,CR$18)+SUMIFS('8. FACILIT'!$P$18:$P$50,'8. FACILIT'!$B$18:$B$50,$B28,'8. FACILIT'!$D$18:$D$50,CR$18)</f>
        <v>0</v>
      </c>
      <c r="CS28" s="262">
        <f>SUMIFS('6. OPERATION'!$R$17:$R$149,'6. OPERATION'!$B$17:$B$149,$B28,'6. OPERATION'!$G$17:$G$149,"OTHER",'6. OPERATION'!$D$17:$D$149,CS$18)+SUMIFS('8. FACILIT'!$P$18:$P$50,'8. FACILIT'!$B$18:$B$50,$B28,'8. FACILIT'!$D$18:$D$50,CS$18)</f>
        <v>0</v>
      </c>
      <c r="CT28" s="262">
        <f>SUMIFS('6. OPERATION'!$R$17:$R$149,'6. OPERATION'!$B$17:$B$149,$B28,'6. OPERATION'!$G$17:$G$149,"OTHER",'6. OPERATION'!$D$17:$D$149,CT$18)+SUMIFS('8. FACILIT'!$P$18:$P$50,'8. FACILIT'!$B$18:$B$50,$B28,'8. FACILIT'!$D$18:$D$50,CT$18)</f>
        <v>0</v>
      </c>
      <c r="CU28" s="262">
        <f>SUMIFS('6. OPERATION'!$R$17:$R$149,'6. OPERATION'!$B$17:$B$149,$B28,'6. OPERATION'!$G$17:$G$149,"OTHER",'6. OPERATION'!$D$17:$D$149,CU$18)+SUMIFS('8. FACILIT'!$P$18:$P$50,'8. FACILIT'!$B$18:$B$50,$B28,'8. FACILIT'!$D$18:$D$50,CU$18)</f>
        <v>0</v>
      </c>
      <c r="CV28" s="262">
        <f>SUMIFS('6. OPERATION'!$R$17:$R$149,'6. OPERATION'!$B$17:$B$149,$B28,'6. OPERATION'!$G$17:$G$149,"OTHER",'6. OPERATION'!$D$17:$D$149,CV$18)+SUMIFS('8. FACILIT'!$P$18:$P$50,'8. FACILIT'!$B$18:$B$50,$B28,'8. FACILIT'!$D$18:$D$50,CV$18)</f>
        <v>0</v>
      </c>
      <c r="CW28" s="262">
        <f>SUMIFS('6. OPERATION'!$R$17:$R$149,'6. OPERATION'!$B$17:$B$149,$B28,'6. OPERATION'!$G$17:$G$149,"OTHER",'6. OPERATION'!$D$17:$D$149,CW$18)+SUMIFS('8. FACILIT'!$P$18:$P$50,'8. FACILIT'!$B$18:$B$50,$B28,'8. FACILIT'!$D$18:$D$50,CW$18)</f>
        <v>0</v>
      </c>
      <c r="CX28" s="262">
        <f>SUMIFS('6. OPERATION'!$R$17:$R$149,'6. OPERATION'!$B$17:$B$149,$B28,'6. OPERATION'!$G$17:$G$149,"OTHER",'6. OPERATION'!$D$17:$D$149,CX$18)+SUMIFS('8. FACILIT'!$P$18:$P$50,'8. FACILIT'!$B$18:$B$50,$B28,'8. FACILIT'!$D$18:$D$50,CX$18)</f>
        <v>0</v>
      </c>
      <c r="CY28" s="262">
        <f>SUMIFS('6. OPERATION'!$R$17:$R$149,'6. OPERATION'!$B$17:$B$149,$B28,'6. OPERATION'!$G$17:$G$149,"OTHER",'6. OPERATION'!$D$17:$D$149,CY$18)+SUMIFS('8. FACILIT'!$P$18:$P$50,'8. FACILIT'!$B$18:$B$50,$B28,'8. FACILIT'!$D$18:$D$50,CY$18)</f>
        <v>0</v>
      </c>
      <c r="CZ28" s="262">
        <f>SUMIFS('6. OPERATION'!$R$17:$R$149,'6. OPERATION'!$B$17:$B$149,$B28,'6. OPERATION'!$G$17:$G$149,"OTHER",'6. OPERATION'!$D$17:$D$149,CZ$18)+SUMIFS('8. FACILIT'!$P$18:$P$50,'8. FACILIT'!$B$18:$B$50,$B28,'8. FACILIT'!$D$18:$D$50,CZ$18)</f>
        <v>0</v>
      </c>
      <c r="DA28" s="262">
        <f>SUMIFS('6. OPERATION'!$R$17:$R$149,'6. OPERATION'!$B$17:$B$149,$B28,'6. OPERATION'!$G$17:$G$149,"OTHER",'6. OPERATION'!$D$17:$D$149,DA$18)+SUMIFS('8. FACILIT'!$P$18:$P$50,'8. FACILIT'!$B$18:$B$50,$B28,'8. FACILIT'!$D$18:$D$50,DA$18)</f>
        <v>0</v>
      </c>
      <c r="DB28" s="262">
        <f>SUMIFS('6. OPERATION'!$R$17:$R$149,'6. OPERATION'!$B$17:$B$149,$B28,'6. OPERATION'!$G$17:$G$149,"OTHER",'6. OPERATION'!$D$17:$D$149,DB$18)+SUMIFS('8. FACILIT'!$P$18:$P$50,'8. FACILIT'!$B$18:$B$50,$B28,'8. FACILIT'!$D$18:$D$50,DB$18)</f>
        <v>0</v>
      </c>
      <c r="DC28" s="262">
        <f>SUMIFS('6. OPERATION'!$R$17:$R$149,'6. OPERATION'!$B$17:$B$149,$B28,'6. OPERATION'!$G$17:$G$149,"OTHER",'6. OPERATION'!$D$17:$D$149,DC$18)+SUMIFS('8. FACILIT'!$P$18:$P$50,'8. FACILIT'!$B$18:$B$50,$B28,'8. FACILIT'!$D$18:$D$50,DC$18)</f>
        <v>0</v>
      </c>
      <c r="DD28" s="262">
        <f>SUMIFS('6. OPERATION'!R$17:R$149,'6. OPERATION'!B$17:B$149,B28,'6. OPERATION'!G$17:G$149,"INTERN")</f>
        <v>0</v>
      </c>
      <c r="DE28" s="262">
        <f>SUMIFS('6. OPERATION'!$R$17:$R$149,'6. OPERATION'!$B$17:$B$149,$B28,'6. OPERATION'!$G$17:$G$149,"INTERN",'6. OPERATION'!$D$17:$D$149,DE$18)</f>
        <v>0</v>
      </c>
      <c r="DF28" s="262">
        <f>SUMIFS('6. OPERATION'!$R$17:$R$149,'6. OPERATION'!$B$17:$B$149,$B28,'6. OPERATION'!$G$17:$G$149,"INTERN",'6. OPERATION'!$D$17:$D$149,DF$18)</f>
        <v>0</v>
      </c>
      <c r="DG28" s="262">
        <f>SUMIFS('6. OPERATION'!$R$17:$R$149,'6. OPERATION'!$B$17:$B$149,$B28,'6. OPERATION'!$G$17:$G$149,"INTERN",'6. OPERATION'!$D$17:$D$149,DG$18)</f>
        <v>0</v>
      </c>
      <c r="DH28" s="262">
        <f>SUMIFS('6. OPERATION'!$R$17:$R$149,'6. OPERATION'!$B$17:$B$149,$B28,'6. OPERATION'!$G$17:$G$149,"INTERN",'6. OPERATION'!$D$17:$D$149,DH$18)</f>
        <v>0</v>
      </c>
      <c r="DI28" s="262">
        <f>SUMIFS('6. OPERATION'!$R$17:$R$149,'6. OPERATION'!$B$17:$B$149,$B28,'6. OPERATION'!$G$17:$G$149,"INTERN",'6. OPERATION'!$D$17:$D$149,DI$18)</f>
        <v>0</v>
      </c>
      <c r="DJ28" s="262">
        <f>SUMIFS('6. OPERATION'!$R$17:$R$149,'6. OPERATION'!$B$17:$B$149,$B28,'6. OPERATION'!$G$17:$G$149,"INTERN",'6. OPERATION'!$D$17:$D$149,DJ$18)</f>
        <v>0</v>
      </c>
      <c r="DK28" s="262">
        <f>SUMIFS('6. OPERATION'!$R$17:$R$149,'6. OPERATION'!$B$17:$B$149,$B28,'6. OPERATION'!$G$17:$G$149,"INTERN",'6. OPERATION'!$D$17:$D$149,DK$18)</f>
        <v>0</v>
      </c>
      <c r="DL28" s="262">
        <f>SUMIFS('6. OPERATION'!$R$17:$R$149,'6. OPERATION'!$B$17:$B$149,$B28,'6. OPERATION'!$G$17:$G$149,"INTERN",'6. OPERATION'!$D$17:$D$149,DL$18)</f>
        <v>0</v>
      </c>
      <c r="DM28" s="262">
        <f>SUMIFS('6. OPERATION'!$R$17:$R$149,'6. OPERATION'!$B$17:$B$149,$B28,'6. OPERATION'!$G$17:$G$149,"INTERN",'6. OPERATION'!$D$17:$D$149,DM$18)</f>
        <v>0</v>
      </c>
      <c r="DN28" s="262">
        <f>SUMIFS('6. OPERATION'!$R$17:$R$149,'6. OPERATION'!$B$17:$B$149,$B28,'6. OPERATION'!$G$17:$G$149,"INTERN",'6. OPERATION'!$D$17:$D$149,DN$18)</f>
        <v>0</v>
      </c>
      <c r="DO28" s="262">
        <f>SUMIFS('6. OPERATION'!$R$17:$R$149,'6. OPERATION'!$B$17:$B$149,$B28,'6. OPERATION'!$G$17:$G$149,"INTERN",'6. OPERATION'!$D$17:$D$149,DO$18)</f>
        <v>0</v>
      </c>
      <c r="DP28" s="262">
        <f>SUMIFS('6. OPERATION'!$R$17:$R$149,'6. OPERATION'!$B$17:$B$149,$B28,'6. OPERATION'!$G$17:$G$149,"INTERN",'6. OPERATION'!$D$17:$D$149,DP$18)</f>
        <v>0</v>
      </c>
      <c r="DQ28" s="262">
        <f>SUMIFS('6. OPERATION'!$R$17:$R$149,'6. OPERATION'!$B$17:$B$149,$B28,'6. OPERATION'!$G$17:$G$149,"INTERN",'6. OPERATION'!$D$17:$D$149,DQ$18)</f>
        <v>0</v>
      </c>
      <c r="DR28" s="262">
        <f>SUMIFS('6. OPERATION'!$R$17:$R$149,'6. OPERATION'!$B$17:$B$149,$B28,'6. OPERATION'!$G$17:$G$149,"INTERN",'6. OPERATION'!$D$17:$D$149,DR$18)</f>
        <v>0</v>
      </c>
      <c r="DS28" s="262">
        <f>SUMIFS('6. OPERATION'!$R$17:$R$149,'6. OPERATION'!$B$17:$B$149,$B28,'6. OPERATION'!$G$17:$G$149,"INTERN",'6. OPERATION'!$D$17:$D$149,DS$18)</f>
        <v>0</v>
      </c>
      <c r="DT28" s="262">
        <f>SUMIFS('6. OPERATION'!$R$17:$R$149,'6. OPERATION'!$B$17:$B$149,$B28,'6. OPERATION'!$G$17:$G$149,"INTERN",'6. OPERATION'!$D$17:$D$149,DT$18)</f>
        <v>0</v>
      </c>
      <c r="DU28" s="262">
        <f>SUMIFS('6. OPERATION'!$R$17:$R$149,'6. OPERATION'!$B$17:$B$149,$B28,'6. OPERATION'!$G$17:$G$149,"INTERN",'6. OPERATION'!$D$17:$D$149,DU$18)</f>
        <v>0</v>
      </c>
      <c r="DV28" s="262">
        <f>SUMIFS('6. OPERATION'!$R$17:$R$149,'6. OPERATION'!$B$17:$B$149,$B28,'6. OPERATION'!$G$17:$G$149,"INTERN",'6. OPERATION'!$D$17:$D$149,DV$18)</f>
        <v>0</v>
      </c>
      <c r="DW28" s="262">
        <f>SUMIFS('6. OPERATION'!$R$17:$R$149,'6. OPERATION'!$B$17:$B$149,$B28,'6. OPERATION'!$G$17:$G$149,"INTERN",'6. OPERATION'!$D$17:$D$149,DW$18)</f>
        <v>0</v>
      </c>
      <c r="DX28" s="262">
        <f>SUMIFS('6. OPERATION'!$R$17:$R$149,'6. OPERATION'!$B$17:$B$149,$B28,'6. OPERATION'!$G$17:$G$149,"INTERN",'6. OPERATION'!$D$17:$D$149,DX$18)</f>
        <v>0</v>
      </c>
      <c r="DY28" s="262">
        <f>(C28+AS28+BN28+CI28)*'2. START'!$C$12</f>
        <v>0</v>
      </c>
      <c r="DZ28" s="262">
        <f>(D28+AT28+BO28+CJ28)*'2. START'!$C$12</f>
        <v>0</v>
      </c>
      <c r="EA28" s="262">
        <f>(E28+AU28+BP28+CK28)*'2. START'!$C$12</f>
        <v>0</v>
      </c>
      <c r="EB28" s="262">
        <f>(F28+AV28+BQ28+CL28)*'2. START'!$C$12</f>
        <v>0</v>
      </c>
      <c r="EC28" s="262">
        <f>(G28+AW28+BR28+CM28)*'2. START'!$C$12</f>
        <v>0</v>
      </c>
      <c r="ED28" s="262">
        <f>(H28+AX28+BS28+CN28)*'2. START'!$C$12</f>
        <v>0</v>
      </c>
      <c r="EE28" s="262">
        <f>(I28+AY28+BT28+CO28)*'2. START'!$C$12</f>
        <v>0</v>
      </c>
      <c r="EF28" s="262">
        <f>(J28+AZ28+BU28+CP28)*'2. START'!$C$12</f>
        <v>0</v>
      </c>
      <c r="EG28" s="262">
        <f>(K28+BA28+BV28+CQ28)*'2. START'!$C$12</f>
        <v>0</v>
      </c>
      <c r="EH28" s="262">
        <f>(L28+BB28+BW28+CR28)*'2. START'!$C$12</f>
        <v>0</v>
      </c>
      <c r="EI28" s="262">
        <f>(M28+BC28+BX28+CS28)*'2. START'!$C$12</f>
        <v>0</v>
      </c>
      <c r="EJ28" s="262">
        <f>(N28+BD28+BY28+CT28)*'2. START'!$C$12</f>
        <v>0</v>
      </c>
      <c r="EK28" s="262">
        <f>(O28+BE28+BZ28+CU28)*'2. START'!$C$12</f>
        <v>0</v>
      </c>
      <c r="EL28" s="262">
        <f>(P28+BF28+CA28+CV28)*'2. START'!$C$12</f>
        <v>0</v>
      </c>
      <c r="EM28" s="262">
        <f>(Q28+BG28+CB28+CW28)*'2. START'!$C$12</f>
        <v>0</v>
      </c>
      <c r="EN28" s="262">
        <f>(R28+BH28+CC28+CX28)*'2. START'!$C$12</f>
        <v>0</v>
      </c>
      <c r="EO28" s="262">
        <f>(S28+BI28+CD28+CY28)*'2. START'!$C$12</f>
        <v>0</v>
      </c>
      <c r="EP28" s="262">
        <f>(T28+BJ28+CE28+CZ28)*'2. START'!$C$12</f>
        <v>0</v>
      </c>
      <c r="EQ28" s="262">
        <f>(U28+BK28+CF28+DA28)*'2. START'!$C$12</f>
        <v>0</v>
      </c>
      <c r="ER28" s="262">
        <f>(V28+BL28+CG28+DB28)*'2. START'!$C$12</f>
        <v>0</v>
      </c>
      <c r="ES28" s="262">
        <f>(W28+BM28+CH28+DC28)*'2. START'!$C$12</f>
        <v>0</v>
      </c>
      <c r="ET28" s="98">
        <f t="shared" si="4"/>
        <v>0</v>
      </c>
      <c r="EU28" s="98">
        <f t="shared" si="5"/>
        <v>0</v>
      </c>
      <c r="EV28" s="98">
        <f t="shared" si="6"/>
        <v>0</v>
      </c>
      <c r="EW28" s="98">
        <f t="shared" si="7"/>
        <v>0</v>
      </c>
      <c r="EX28" s="98">
        <f t="shared" si="8"/>
        <v>0</v>
      </c>
      <c r="EY28" s="98">
        <f t="shared" si="9"/>
        <v>0</v>
      </c>
      <c r="EZ28" s="98">
        <f t="shared" si="10"/>
        <v>0</v>
      </c>
      <c r="FA28" s="98">
        <f t="shared" si="11"/>
        <v>0</v>
      </c>
      <c r="FB28" s="98">
        <f t="shared" si="12"/>
        <v>0</v>
      </c>
      <c r="FC28" s="98">
        <f t="shared" si="13"/>
        <v>0</v>
      </c>
      <c r="FD28" s="98">
        <f t="shared" si="14"/>
        <v>0</v>
      </c>
      <c r="FE28" s="98">
        <f t="shared" si="18"/>
        <v>0</v>
      </c>
      <c r="FF28" s="98">
        <f t="shared" si="19"/>
        <v>0</v>
      </c>
      <c r="FG28" s="98">
        <f t="shared" si="20"/>
        <v>0</v>
      </c>
      <c r="FH28" s="98">
        <f t="shared" si="21"/>
        <v>0</v>
      </c>
      <c r="FI28" s="98">
        <f t="shared" si="22"/>
        <v>0</v>
      </c>
      <c r="FJ28" s="98">
        <f t="shared" si="23"/>
        <v>0</v>
      </c>
      <c r="FK28" s="98">
        <f t="shared" si="24"/>
        <v>0</v>
      </c>
      <c r="FL28" s="98">
        <f t="shared" si="25"/>
        <v>0</v>
      </c>
      <c r="FM28" s="98">
        <f t="shared" si="26"/>
        <v>0</v>
      </c>
      <c r="FN28" s="98">
        <f t="shared" si="27"/>
        <v>0</v>
      </c>
      <c r="FO28" s="272" t="str">
        <f t="shared" si="17"/>
        <v/>
      </c>
      <c r="FP28" s="98">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944">
        <f t="shared" si="16"/>
        <v>0</v>
      </c>
      <c r="FR28" s="941">
        <f>SUMIFS('5. PERSON'!$AE$17:$AE$192,'5. PERSON'!$B$17:$B$192,'14. EUFP'!$B28,'5. PERSON'!$D$17:$D$192,FR$18)</f>
        <v>0</v>
      </c>
      <c r="FS28" s="941">
        <f>SUMIFS('5. PERSON'!$AE$17:$AE$192,'5. PERSON'!$B$17:$B$192,'14. EUFP'!$B28,'5. PERSON'!$D$17:$D$192,FS$18)</f>
        <v>0</v>
      </c>
      <c r="FT28" s="941">
        <f>SUMIFS('5. PERSON'!$AE$17:$AE$192,'5. PERSON'!$B$17:$B$192,'14. EUFP'!$B28,'5. PERSON'!$D$17:$D$192,FT$18)</f>
        <v>0</v>
      </c>
      <c r="FU28" s="941">
        <f>SUMIFS('5. PERSON'!$AE$17:$AE$192,'5. PERSON'!$B$17:$B$192,'14. EUFP'!$B28,'5. PERSON'!$D$17:$D$192,FU$18)</f>
        <v>0</v>
      </c>
      <c r="FV28" s="941">
        <f>SUMIFS('5. PERSON'!$AE$17:$AE$192,'5. PERSON'!$B$17:$B$192,'14. EUFP'!$B28,'5. PERSON'!$D$17:$D$192,FV$18)</f>
        <v>0</v>
      </c>
      <c r="FW28" s="941">
        <f>SUMIFS('5. PERSON'!$AE$17:$AE$192,'5. PERSON'!$B$17:$B$192,'14. EUFP'!$B28,'5. PERSON'!$D$17:$D$192,FW$18)</f>
        <v>0</v>
      </c>
      <c r="FX28" s="941">
        <f>SUMIFS('5. PERSON'!$AE$17:$AE$192,'5. PERSON'!$B$17:$B$192,'14. EUFP'!$B28,'5. PERSON'!$D$17:$D$192,FX$18)</f>
        <v>0</v>
      </c>
      <c r="FY28" s="941">
        <f>SUMIFS('5. PERSON'!$AE$17:$AE$192,'5. PERSON'!$B$17:$B$192,'14. EUFP'!$B28,'5. PERSON'!$D$17:$D$192,FY$18)</f>
        <v>0</v>
      </c>
      <c r="FZ28" s="941">
        <f>SUMIFS('5. PERSON'!$AE$17:$AE$192,'5. PERSON'!$B$17:$B$192,'14. EUFP'!$B28,'5. PERSON'!$D$17:$D$192,FZ$18)</f>
        <v>0</v>
      </c>
      <c r="GA28" s="941">
        <f>SUMIFS('5. PERSON'!$AE$17:$AE$192,'5. PERSON'!$B$17:$B$192,'14. EUFP'!$B28,'5. PERSON'!$D$17:$D$192,GA$18)</f>
        <v>0</v>
      </c>
      <c r="GB28" s="941">
        <f>SUMIFS('5. PERSON'!$AE$17:$AE$192,'5. PERSON'!$B$17:$B$192,'14. EUFP'!$B28,'5. PERSON'!$D$17:$D$192,GB$18)</f>
        <v>0</v>
      </c>
      <c r="GC28" s="941">
        <f>SUMIFS('5. PERSON'!$AE$17:$AE$192,'5. PERSON'!$B$17:$B$192,'14. EUFP'!$B28,'5. PERSON'!$D$17:$D$192,GC$18)</f>
        <v>0</v>
      </c>
      <c r="GD28" s="941">
        <f>SUMIFS('5. PERSON'!$AE$17:$AE$192,'5. PERSON'!$B$17:$B$192,'14. EUFP'!$B28,'5. PERSON'!$D$17:$D$192,GD$18)</f>
        <v>0</v>
      </c>
      <c r="GE28" s="941">
        <f>SUMIFS('5. PERSON'!$AE$17:$AE$192,'5. PERSON'!$B$17:$B$192,'14. EUFP'!$B28,'5. PERSON'!$D$17:$D$192,GE$18)</f>
        <v>0</v>
      </c>
      <c r="GF28" s="941">
        <f>SUMIFS('5. PERSON'!$AE$17:$AE$192,'5. PERSON'!$B$17:$B$192,'14. EUFP'!$B28,'5. PERSON'!$D$17:$D$192,GF$18)</f>
        <v>0</v>
      </c>
      <c r="GG28" s="941">
        <f>SUMIFS('5. PERSON'!$AE$17:$AE$192,'5. PERSON'!$B$17:$B$192,'14. EUFP'!$B28,'5. PERSON'!$D$17:$D$192,GG$18)</f>
        <v>0</v>
      </c>
      <c r="GH28" s="941">
        <f>SUMIFS('5. PERSON'!$AE$17:$AE$192,'5. PERSON'!$B$17:$B$192,'14. EUFP'!$B28,'5. PERSON'!$D$17:$D$192,GH$18)</f>
        <v>0</v>
      </c>
      <c r="GI28" s="941">
        <f>SUMIFS('5. PERSON'!$AE$17:$AE$192,'5. PERSON'!$B$17:$B$192,'14. EUFP'!$B28,'5. PERSON'!$D$17:$D$192,GI$18)</f>
        <v>0</v>
      </c>
      <c r="GJ28" s="941">
        <f>SUMIFS('5. PERSON'!$AE$17:$AE$192,'5. PERSON'!$B$17:$B$192,'14. EUFP'!$B28,'5. PERSON'!$D$17:$D$192,GJ$18)</f>
        <v>0</v>
      </c>
      <c r="GK28" s="941">
        <f>SUMIFS('5. PERSON'!$AE$17:$AE$192,'5. PERSON'!$B$17:$B$192,'14. EUFP'!$B28,'5. PERSON'!$D$17:$D$192,GK$18)</f>
        <v>0</v>
      </c>
      <c r="GL28" s="941">
        <f t="shared" si="28"/>
        <v>0</v>
      </c>
    </row>
    <row r="29" spans="2:194" s="71" customFormat="1" ht="13.5" customHeight="1" x14ac:dyDescent="0.2">
      <c r="B29" s="259" t="str">
        <f>'3. PARTNER'!B56</f>
        <v>EXT106</v>
      </c>
      <c r="C29" s="281">
        <f>SUMIF('5. PERSON'!B$17:B$192,B29,'5. PERSON'!AR$17:AR$192)</f>
        <v>0</v>
      </c>
      <c r="D29" s="281">
        <f>SUMIFS('5. PERSON'!$AR$17:$AR$192,'5. PERSON'!$B$17:$B$192,$B29,'5. PERSON'!$D$17:$D$192,D$18)</f>
        <v>0</v>
      </c>
      <c r="E29" s="281">
        <f>SUMIFS('5. PERSON'!$AR$17:$AR$192,'5. PERSON'!$B$17:$B$192,$B29,'5. PERSON'!$D$17:$D$192,E$18)</f>
        <v>0</v>
      </c>
      <c r="F29" s="281">
        <f>SUMIFS('5. PERSON'!$AR$17:$AR$192,'5. PERSON'!$B$17:$B$192,$B29,'5. PERSON'!$D$17:$D$192,F$18)</f>
        <v>0</v>
      </c>
      <c r="G29" s="281">
        <f>SUMIFS('5. PERSON'!$AR$17:$AR$192,'5. PERSON'!$B$17:$B$192,$B29,'5. PERSON'!$D$17:$D$192,G$18)</f>
        <v>0</v>
      </c>
      <c r="H29" s="281">
        <f>SUMIFS('5. PERSON'!$AR$17:$AR$192,'5. PERSON'!$B$17:$B$192,$B29,'5. PERSON'!$D$17:$D$192,H$18)</f>
        <v>0</v>
      </c>
      <c r="I29" s="281">
        <f>SUMIFS('5. PERSON'!$AR$17:$AR$192,'5. PERSON'!$B$17:$B$192,$B29,'5. PERSON'!$D$17:$D$192,I$18)</f>
        <v>0</v>
      </c>
      <c r="J29" s="281">
        <f>SUMIFS('5. PERSON'!$AR$17:$AR$192,'5. PERSON'!$B$17:$B$192,$B29,'5. PERSON'!$D$17:$D$192,J$18)</f>
        <v>0</v>
      </c>
      <c r="K29" s="281">
        <f>SUMIFS('5. PERSON'!$AR$17:$AR$192,'5. PERSON'!$B$17:$B$192,$B29,'5. PERSON'!$D$17:$D$192,K$18)</f>
        <v>0</v>
      </c>
      <c r="L29" s="281">
        <f>SUMIFS('5. PERSON'!$AR$17:$AR$192,'5. PERSON'!$B$17:$B$192,$B29,'5. PERSON'!$D$17:$D$192,L$18)</f>
        <v>0</v>
      </c>
      <c r="M29" s="281">
        <f>SUMIFS('5. PERSON'!$AR$17:$AR$192,'5. PERSON'!$B$17:$B$192,$B29,'5. PERSON'!$D$17:$D$192,M$18)</f>
        <v>0</v>
      </c>
      <c r="N29" s="281">
        <f>SUMIFS('5. PERSON'!$AR$17:$AR$192,'5. PERSON'!$B$17:$B$192,$B29,'5. PERSON'!$D$17:$D$192,N$18)</f>
        <v>0</v>
      </c>
      <c r="O29" s="281">
        <f>SUMIFS('5. PERSON'!$AR$17:$AR$192,'5. PERSON'!$B$17:$B$192,$B29,'5. PERSON'!$D$17:$D$192,O$18)</f>
        <v>0</v>
      </c>
      <c r="P29" s="281">
        <f>SUMIFS('5. PERSON'!$AR$17:$AR$192,'5. PERSON'!$B$17:$B$192,$B29,'5. PERSON'!$D$17:$D$192,P$18)</f>
        <v>0</v>
      </c>
      <c r="Q29" s="281">
        <f>SUMIFS('5. PERSON'!$AR$17:$AR$192,'5. PERSON'!$B$17:$B$192,$B29,'5. PERSON'!$D$17:$D$192,Q$18)</f>
        <v>0</v>
      </c>
      <c r="R29" s="281">
        <f>SUMIFS('5. PERSON'!$AR$17:$AR$192,'5. PERSON'!$B$17:$B$192,$B29,'5. PERSON'!$D$17:$D$192,R$18)</f>
        <v>0</v>
      </c>
      <c r="S29" s="281">
        <f>SUMIFS('5. PERSON'!$AR$17:$AR$192,'5. PERSON'!$B$17:$B$192,$B29,'5. PERSON'!$D$17:$D$192,S$18)</f>
        <v>0</v>
      </c>
      <c r="T29" s="281">
        <f>SUMIFS('5. PERSON'!$AR$17:$AR$192,'5. PERSON'!$B$17:$B$192,$B29,'5. PERSON'!$D$17:$D$192,T$18)</f>
        <v>0</v>
      </c>
      <c r="U29" s="281">
        <f>SUMIFS('5. PERSON'!$AR$17:$AR$192,'5. PERSON'!$B$17:$B$192,$B29,'5. PERSON'!$D$17:$D$192,U$18)</f>
        <v>0</v>
      </c>
      <c r="V29" s="281">
        <f>SUMIFS('5. PERSON'!$AR$17:$AR$192,'5. PERSON'!$B$17:$B$192,$B29,'5. PERSON'!$D$17:$D$192,V$18)</f>
        <v>0</v>
      </c>
      <c r="W29" s="281">
        <f>SUMIFS('5. PERSON'!$AR$17:$AR$192,'5. PERSON'!$B$17:$B$192,$B29,'5. PERSON'!$D$17:$D$192,W$18)</f>
        <v>0</v>
      </c>
      <c r="X29" s="281">
        <f>SUMIFS('6. OPERATION'!R$17:R$149,'6. OPERATION'!B$17:B$149,B29,'6. OPERATION'!G$17:G$149,"SUBCON")</f>
        <v>0</v>
      </c>
      <c r="Y29" s="281">
        <f>SUMIFS('6. OPERATION'!$R$17:$R$149,'6. OPERATION'!$B$17:$B$149,$B29,'6. OPERATION'!$G$17:$G$149,"SUBCON",'6. OPERATION'!$D$17:$D$149,Y$18)</f>
        <v>0</v>
      </c>
      <c r="Z29" s="281">
        <f>SUMIFS('6. OPERATION'!$R$17:$R$149,'6. OPERATION'!$B$17:$B$149,$B29,'6. OPERATION'!$G$17:$G$149,"SUBCON",'6. OPERATION'!$D$17:$D$149,Z$18)</f>
        <v>0</v>
      </c>
      <c r="AA29" s="281">
        <f>SUMIFS('6. OPERATION'!$R$17:$R$149,'6. OPERATION'!$B$17:$B$149,$B29,'6. OPERATION'!$G$17:$G$149,"SUBCON",'6. OPERATION'!$D$17:$D$149,AA$18)</f>
        <v>0</v>
      </c>
      <c r="AB29" s="281">
        <f>SUMIFS('6. OPERATION'!$R$17:$R$149,'6. OPERATION'!$B$17:$B$149,$B29,'6. OPERATION'!$G$17:$G$149,"SUBCON",'6. OPERATION'!$D$17:$D$149,AB$18)</f>
        <v>0</v>
      </c>
      <c r="AC29" s="281">
        <f>SUMIFS('6. OPERATION'!$R$17:$R$149,'6. OPERATION'!$B$17:$B$149,$B29,'6. OPERATION'!$G$17:$G$149,"SUBCON",'6. OPERATION'!$D$17:$D$149,AC$18)</f>
        <v>0</v>
      </c>
      <c r="AD29" s="281">
        <f>SUMIFS('6. OPERATION'!$R$17:$R$149,'6. OPERATION'!$B$17:$B$149,$B29,'6. OPERATION'!$G$17:$G$149,"SUBCON",'6. OPERATION'!$D$17:$D$149,AD$18)</f>
        <v>0</v>
      </c>
      <c r="AE29" s="281">
        <f>SUMIFS('6. OPERATION'!$R$17:$R$149,'6. OPERATION'!$B$17:$B$149,$B29,'6. OPERATION'!$G$17:$G$149,"SUBCON",'6. OPERATION'!$D$17:$D$149,AE$18)</f>
        <v>0</v>
      </c>
      <c r="AF29" s="281">
        <f>SUMIFS('6. OPERATION'!$R$17:$R$149,'6. OPERATION'!$B$17:$B$149,$B29,'6. OPERATION'!$G$17:$G$149,"SUBCON",'6. OPERATION'!$D$17:$D$149,AF$18)</f>
        <v>0</v>
      </c>
      <c r="AG29" s="281">
        <f>SUMIFS('6. OPERATION'!$R$17:$R$149,'6. OPERATION'!$B$17:$B$149,$B29,'6. OPERATION'!$G$17:$G$149,"SUBCON",'6. OPERATION'!$D$17:$D$149,AG$18)</f>
        <v>0</v>
      </c>
      <c r="AH29" s="281">
        <f>SUMIFS('6. OPERATION'!$R$17:$R$149,'6. OPERATION'!$B$17:$B$149,$B29,'6. OPERATION'!$G$17:$G$149,"SUBCON",'6. OPERATION'!$D$17:$D$149,AH$18)</f>
        <v>0</v>
      </c>
      <c r="AI29" s="281">
        <f>SUMIFS('6. OPERATION'!$R$17:$R$149,'6. OPERATION'!$B$17:$B$149,$B29,'6. OPERATION'!$G$17:$G$149,"SUBCON",'6. OPERATION'!$D$17:$D$149,AI$18)</f>
        <v>0</v>
      </c>
      <c r="AJ29" s="281">
        <f>SUMIFS('6. OPERATION'!$R$17:$R$149,'6. OPERATION'!$B$17:$B$149,$B29,'6. OPERATION'!$G$17:$G$149,"SUBCON",'6. OPERATION'!$D$17:$D$149,AJ$18)</f>
        <v>0</v>
      </c>
      <c r="AK29" s="281">
        <f>SUMIFS('6. OPERATION'!$R$17:$R$149,'6. OPERATION'!$B$17:$B$149,$B29,'6. OPERATION'!$G$17:$G$149,"SUBCON",'6. OPERATION'!$D$17:$D$149,AK$18)</f>
        <v>0</v>
      </c>
      <c r="AL29" s="281">
        <f>SUMIFS('6. OPERATION'!$R$17:$R$149,'6. OPERATION'!$B$17:$B$149,$B29,'6. OPERATION'!$G$17:$G$149,"SUBCON",'6. OPERATION'!$D$17:$D$149,AL$18)</f>
        <v>0</v>
      </c>
      <c r="AM29" s="281">
        <f>SUMIFS('6. OPERATION'!$R$17:$R$149,'6. OPERATION'!$B$17:$B$149,$B29,'6. OPERATION'!$G$17:$G$149,"SUBCON",'6. OPERATION'!$D$17:$D$149,AM$18)</f>
        <v>0</v>
      </c>
      <c r="AN29" s="281">
        <f>SUMIFS('6. OPERATION'!$R$17:$R$149,'6. OPERATION'!$B$17:$B$149,$B29,'6. OPERATION'!$G$17:$G$149,"SUBCON",'6. OPERATION'!$D$17:$D$149,AN$18)</f>
        <v>0</v>
      </c>
      <c r="AO29" s="281">
        <f>SUMIFS('6. OPERATION'!$R$17:$R$149,'6. OPERATION'!$B$17:$B$149,$B29,'6. OPERATION'!$G$17:$G$149,"SUBCON",'6. OPERATION'!$D$17:$D$149,AO$18)</f>
        <v>0</v>
      </c>
      <c r="AP29" s="281">
        <f>SUMIFS('6. OPERATION'!$R$17:$R$149,'6. OPERATION'!$B$17:$B$149,$B29,'6. OPERATION'!$G$17:$G$149,"SUBCON",'6. OPERATION'!$D$17:$D$149,AP$18)</f>
        <v>0</v>
      </c>
      <c r="AQ29" s="281">
        <f>SUMIFS('6. OPERATION'!$R$17:$R$149,'6. OPERATION'!$B$17:$B$149,$B29,'6. OPERATION'!$G$17:$G$149,"SUBCON",'6. OPERATION'!$D$17:$D$149,AQ$18)</f>
        <v>0</v>
      </c>
      <c r="AR29" s="281">
        <f>SUMIFS('6. OPERATION'!$R$17:$R$149,'6. OPERATION'!$B$17:$B$149,$B29,'6. OPERATION'!$G$17:$G$149,"SUBCON",'6. OPERATION'!$D$17:$D$149,AR$18)</f>
        <v>0</v>
      </c>
      <c r="AS29" s="281">
        <f>SUMIFS('6. OPERATION'!R$17:R$149,'6. OPERATION'!B$17:B$149,B29,'6. OPERATION'!G$17:G$149,"TRAVEL")</f>
        <v>0</v>
      </c>
      <c r="AT29" s="281">
        <f>SUMIFS('6. OPERATION'!$R$17:$R$149,'6. OPERATION'!$B$17:$B$149,$B29,'6. OPERATION'!$G$17:$G$149,"TRAVEL",'6. OPERATION'!$D$17:$D$149,AT$18)</f>
        <v>0</v>
      </c>
      <c r="AU29" s="281">
        <f>SUMIFS('6. OPERATION'!$R$17:$R$149,'6. OPERATION'!$B$17:$B$149,$B29,'6. OPERATION'!$G$17:$G$149,"TRAVEL",'6. OPERATION'!$D$17:$D$149,AU$18)</f>
        <v>0</v>
      </c>
      <c r="AV29" s="281">
        <f>SUMIFS('6. OPERATION'!$R$17:$R$149,'6. OPERATION'!$B$17:$B$149,$B29,'6. OPERATION'!$G$17:$G$149,"TRAVEL",'6. OPERATION'!$D$17:$D$149,AV$18)</f>
        <v>0</v>
      </c>
      <c r="AW29" s="281">
        <f>SUMIFS('6. OPERATION'!$R$17:$R$149,'6. OPERATION'!$B$17:$B$149,$B29,'6. OPERATION'!$G$17:$G$149,"TRAVEL",'6. OPERATION'!$D$17:$D$149,AW$18)</f>
        <v>0</v>
      </c>
      <c r="AX29" s="281">
        <f>SUMIFS('6. OPERATION'!$R$17:$R$149,'6. OPERATION'!$B$17:$B$149,$B29,'6. OPERATION'!$G$17:$G$149,"TRAVEL",'6. OPERATION'!$D$17:$D$149,AX$18)</f>
        <v>0</v>
      </c>
      <c r="AY29" s="281">
        <f>SUMIFS('6. OPERATION'!$R$17:$R$149,'6. OPERATION'!$B$17:$B$149,$B29,'6. OPERATION'!$G$17:$G$149,"TRAVEL",'6. OPERATION'!$D$17:$D$149,AY$18)</f>
        <v>0</v>
      </c>
      <c r="AZ29" s="281">
        <f>SUMIFS('6. OPERATION'!$R$17:$R$149,'6. OPERATION'!$B$17:$B$149,$B29,'6. OPERATION'!$G$17:$G$149,"TRAVEL",'6. OPERATION'!$D$17:$D$149,AZ$18)</f>
        <v>0</v>
      </c>
      <c r="BA29" s="281">
        <f>SUMIFS('6. OPERATION'!$R$17:$R$149,'6. OPERATION'!$B$17:$B$149,$B29,'6. OPERATION'!$G$17:$G$149,"TRAVEL",'6. OPERATION'!$D$17:$D$149,BA$18)</f>
        <v>0</v>
      </c>
      <c r="BB29" s="281">
        <f>SUMIFS('6. OPERATION'!$R$17:$R$149,'6. OPERATION'!$B$17:$B$149,$B29,'6. OPERATION'!$G$17:$G$149,"TRAVEL",'6. OPERATION'!$D$17:$D$149,BB$18)</f>
        <v>0</v>
      </c>
      <c r="BC29" s="281">
        <f>SUMIFS('6. OPERATION'!$R$17:$R$149,'6. OPERATION'!$B$17:$B$149,$B29,'6. OPERATION'!$G$17:$G$149,"TRAVEL",'6. OPERATION'!$D$17:$D$149,BC$18)</f>
        <v>0</v>
      </c>
      <c r="BD29" s="281">
        <f>SUMIFS('6. OPERATION'!$R$17:$R$149,'6. OPERATION'!$B$17:$B$149,$B29,'6. OPERATION'!$G$17:$G$149,"TRAVEL",'6. OPERATION'!$D$17:$D$149,BD$18)</f>
        <v>0</v>
      </c>
      <c r="BE29" s="281">
        <f>SUMIFS('6. OPERATION'!$R$17:$R$149,'6. OPERATION'!$B$17:$B$149,$B29,'6. OPERATION'!$G$17:$G$149,"TRAVEL",'6. OPERATION'!$D$17:$D$149,BE$18)</f>
        <v>0</v>
      </c>
      <c r="BF29" s="281">
        <f>SUMIFS('6. OPERATION'!$R$17:$R$149,'6. OPERATION'!$B$17:$B$149,$B29,'6. OPERATION'!$G$17:$G$149,"TRAVEL",'6. OPERATION'!$D$17:$D$149,BF$18)</f>
        <v>0</v>
      </c>
      <c r="BG29" s="281">
        <f>SUMIFS('6. OPERATION'!$R$17:$R$149,'6. OPERATION'!$B$17:$B$149,$B29,'6. OPERATION'!$G$17:$G$149,"TRAVEL",'6. OPERATION'!$D$17:$D$149,BG$18)</f>
        <v>0</v>
      </c>
      <c r="BH29" s="281">
        <f>SUMIFS('6. OPERATION'!$R$17:$R$149,'6. OPERATION'!$B$17:$B$149,$B29,'6. OPERATION'!$G$17:$G$149,"TRAVEL",'6. OPERATION'!$D$17:$D$149,BH$18)</f>
        <v>0</v>
      </c>
      <c r="BI29" s="281">
        <f>SUMIFS('6. OPERATION'!$R$17:$R$149,'6. OPERATION'!$B$17:$B$149,$B29,'6. OPERATION'!$G$17:$G$149,"TRAVEL",'6. OPERATION'!$D$17:$D$149,BI$18)</f>
        <v>0</v>
      </c>
      <c r="BJ29" s="281">
        <f>SUMIFS('6. OPERATION'!$R$17:$R$149,'6. OPERATION'!$B$17:$B$149,$B29,'6. OPERATION'!$G$17:$G$149,"TRAVEL",'6. OPERATION'!$D$17:$D$149,BJ$18)</f>
        <v>0</v>
      </c>
      <c r="BK29" s="281">
        <f>SUMIFS('6. OPERATION'!$R$17:$R$149,'6. OPERATION'!$B$17:$B$149,$B29,'6. OPERATION'!$G$17:$G$149,"TRAVEL",'6. OPERATION'!$D$17:$D$149,BK$18)</f>
        <v>0</v>
      </c>
      <c r="BL29" s="281">
        <f>SUMIFS('6. OPERATION'!$R$17:$R$149,'6. OPERATION'!$B$17:$B$149,$B29,'6. OPERATION'!$G$17:$G$149,"TRAVEL",'6. OPERATION'!$D$17:$D$149,BL$18)</f>
        <v>0</v>
      </c>
      <c r="BM29" s="281">
        <f>SUMIFS('6. OPERATION'!$R$17:$R$149,'6. OPERATION'!$B$17:$B$149,$B29,'6. OPERATION'!$G$17:$G$149,"TRAVEL",'6. OPERATION'!$D$17:$D$149,BM$18)</f>
        <v>0</v>
      </c>
      <c r="BN29" s="281">
        <f>SUMIF('7. INVEST'!B$17:B$49,B29,'7. INVEST'!S$17:S$49)</f>
        <v>0</v>
      </c>
      <c r="BO29" s="281">
        <f>SUMIFS('7. INVEST'!$S$17:$S$49,'7. INVEST'!$B$17:$B$49,$B29,'7. INVEST'!$D$17:$D$49,BO$18)</f>
        <v>0</v>
      </c>
      <c r="BP29" s="281">
        <f>SUMIFS('7. INVEST'!$S$17:$S$49,'7. INVEST'!$B$17:$B$49,$B29,'7. INVEST'!$D$17:$D$49,BP$18)</f>
        <v>0</v>
      </c>
      <c r="BQ29" s="281">
        <f>SUMIFS('7. INVEST'!$S$17:$S$49,'7. INVEST'!$B$17:$B$49,$B29,'7. INVEST'!$D$17:$D$49,BQ$18)</f>
        <v>0</v>
      </c>
      <c r="BR29" s="281">
        <f>SUMIFS('7. INVEST'!$S$17:$S$49,'7. INVEST'!$B$17:$B$49,$B29,'7. INVEST'!$D$17:$D$49,BR$18)</f>
        <v>0</v>
      </c>
      <c r="BS29" s="281">
        <f>SUMIFS('7. INVEST'!$S$17:$S$49,'7. INVEST'!$B$17:$B$49,$B29,'7. INVEST'!$D$17:$D$49,BS$18)</f>
        <v>0</v>
      </c>
      <c r="BT29" s="281">
        <f>SUMIFS('7. INVEST'!$S$17:$S$49,'7. INVEST'!$B$17:$B$49,$B29,'7. INVEST'!$D$17:$D$49,BT$18)</f>
        <v>0</v>
      </c>
      <c r="BU29" s="281">
        <f>SUMIFS('7. INVEST'!$S$17:$S$49,'7. INVEST'!$B$17:$B$49,$B29,'7. INVEST'!$D$17:$D$49,BU$18)</f>
        <v>0</v>
      </c>
      <c r="BV29" s="281">
        <f>SUMIFS('7. INVEST'!$S$17:$S$49,'7. INVEST'!$B$17:$B$49,$B29,'7. INVEST'!$D$17:$D$49,BV$18)</f>
        <v>0</v>
      </c>
      <c r="BW29" s="281">
        <f>SUMIFS('7. INVEST'!$S$17:$S$49,'7. INVEST'!$B$17:$B$49,$B29,'7. INVEST'!$D$17:$D$49,BW$18)</f>
        <v>0</v>
      </c>
      <c r="BX29" s="281">
        <f>SUMIFS('7. INVEST'!$S$17:$S$49,'7. INVEST'!$B$17:$B$49,$B29,'7. INVEST'!$D$17:$D$49,BX$18)</f>
        <v>0</v>
      </c>
      <c r="BY29" s="281">
        <f>SUMIFS('7. INVEST'!$S$17:$S$49,'7. INVEST'!$B$17:$B$49,$B29,'7. INVEST'!$D$17:$D$49,BY$18)</f>
        <v>0</v>
      </c>
      <c r="BZ29" s="281">
        <f>SUMIFS('7. INVEST'!$S$17:$S$49,'7. INVEST'!$B$17:$B$49,$B29,'7. INVEST'!$D$17:$D$49,BZ$18)</f>
        <v>0</v>
      </c>
      <c r="CA29" s="281">
        <f>SUMIFS('7. INVEST'!$S$17:$S$49,'7. INVEST'!$B$17:$B$49,$B29,'7. INVEST'!$D$17:$D$49,CA$18)</f>
        <v>0</v>
      </c>
      <c r="CB29" s="281">
        <f>SUMIFS('7. INVEST'!$S$17:$S$49,'7. INVEST'!$B$17:$B$49,$B29,'7. INVEST'!$D$17:$D$49,CB$18)</f>
        <v>0</v>
      </c>
      <c r="CC29" s="281">
        <f>SUMIFS('7. INVEST'!$S$17:$S$49,'7. INVEST'!$B$17:$B$49,$B29,'7. INVEST'!$D$17:$D$49,CC$18)</f>
        <v>0</v>
      </c>
      <c r="CD29" s="281">
        <f>SUMIFS('7. INVEST'!$S$17:$S$49,'7. INVEST'!$B$17:$B$49,$B29,'7. INVEST'!$D$17:$D$49,CD$18)</f>
        <v>0</v>
      </c>
      <c r="CE29" s="281">
        <f>SUMIFS('7. INVEST'!$S$17:$S$49,'7. INVEST'!$B$17:$B$49,$B29,'7. INVEST'!$D$17:$D$49,CE$18)</f>
        <v>0</v>
      </c>
      <c r="CF29" s="281">
        <f>SUMIFS('7. INVEST'!$S$17:$S$49,'7. INVEST'!$B$17:$B$49,$B29,'7. INVEST'!$D$17:$D$49,CF$18)</f>
        <v>0</v>
      </c>
      <c r="CG29" s="281">
        <f>SUMIFS('7. INVEST'!$S$17:$S$49,'7. INVEST'!$B$17:$B$49,$B29,'7. INVEST'!$D$17:$D$49,CG$18)</f>
        <v>0</v>
      </c>
      <c r="CH29" s="281">
        <f>SUMIFS('7. INVEST'!$S$17:$S$49,'7. INVEST'!$B$17:$B$49,$B29,'7. INVEST'!$D$17:$D$49,CH$18)</f>
        <v>0</v>
      </c>
      <c r="CI29" s="281">
        <f>SUMIFS('6. OPERATION'!$R$17:$R$149,'6. OPERATION'!$B$17:$B$149,$B29,'6. OPERATION'!$G$17:$G$149,"OTHER")+SUMIF('8. FACILIT'!$B$18:$B$50,$B29,'8. FACILIT'!$P$18:$P$50)</f>
        <v>0</v>
      </c>
      <c r="CJ29" s="281">
        <f>SUMIFS('6. OPERATION'!$R$17:$R$149,'6. OPERATION'!$B$17:$B$149,$B29,'6. OPERATION'!$G$17:$G$149,"OTHER",'6. OPERATION'!$D$17:$D$149,CJ$18)+SUMIFS('8. FACILIT'!$P$18:$P$50,'8. FACILIT'!$B$18:$B$50,$B29,'8. FACILIT'!$D$18:$D$50,CJ$18)</f>
        <v>0</v>
      </c>
      <c r="CK29" s="281">
        <f>SUMIFS('6. OPERATION'!$R$17:$R$149,'6. OPERATION'!$B$17:$B$149,$B29,'6. OPERATION'!$G$17:$G$149,"OTHER",'6. OPERATION'!$D$17:$D$149,CK$18)+SUMIFS('8. FACILIT'!$P$18:$P$50,'8. FACILIT'!$B$18:$B$50,$B29,'8. FACILIT'!$D$18:$D$50,CK$18)</f>
        <v>0</v>
      </c>
      <c r="CL29" s="281">
        <f>SUMIFS('6. OPERATION'!$R$17:$R$149,'6. OPERATION'!$B$17:$B$149,$B29,'6. OPERATION'!$G$17:$G$149,"OTHER",'6. OPERATION'!$D$17:$D$149,CL$18)+SUMIFS('8. FACILIT'!$P$18:$P$50,'8. FACILIT'!$B$18:$B$50,$B29,'8. FACILIT'!$D$18:$D$50,CL$18)</f>
        <v>0</v>
      </c>
      <c r="CM29" s="281">
        <f>SUMIFS('6. OPERATION'!$R$17:$R$149,'6. OPERATION'!$B$17:$B$149,$B29,'6. OPERATION'!$G$17:$G$149,"OTHER",'6. OPERATION'!$D$17:$D$149,CM$18)+SUMIFS('8. FACILIT'!$P$18:$P$50,'8. FACILIT'!$B$18:$B$50,$B29,'8. FACILIT'!$D$18:$D$50,CM$18)</f>
        <v>0</v>
      </c>
      <c r="CN29" s="281">
        <f>SUMIFS('6. OPERATION'!$R$17:$R$149,'6. OPERATION'!$B$17:$B$149,$B29,'6. OPERATION'!$G$17:$G$149,"OTHER",'6. OPERATION'!$D$17:$D$149,CN$18)+SUMIFS('8. FACILIT'!$P$18:$P$50,'8. FACILIT'!$B$18:$B$50,$B29,'8. FACILIT'!$D$18:$D$50,CN$18)</f>
        <v>0</v>
      </c>
      <c r="CO29" s="281">
        <f>SUMIFS('6. OPERATION'!$R$17:$R$149,'6. OPERATION'!$B$17:$B$149,$B29,'6. OPERATION'!$G$17:$G$149,"OTHER",'6. OPERATION'!$D$17:$D$149,CO$18)+SUMIFS('8. FACILIT'!$P$18:$P$50,'8. FACILIT'!$B$18:$B$50,$B29,'8. FACILIT'!$D$18:$D$50,CO$18)</f>
        <v>0</v>
      </c>
      <c r="CP29" s="281">
        <f>SUMIFS('6. OPERATION'!$R$17:$R$149,'6. OPERATION'!$B$17:$B$149,$B29,'6. OPERATION'!$G$17:$G$149,"OTHER",'6. OPERATION'!$D$17:$D$149,CP$18)+SUMIFS('8. FACILIT'!$P$18:$P$50,'8. FACILIT'!$B$18:$B$50,$B29,'8. FACILIT'!$D$18:$D$50,CP$18)</f>
        <v>0</v>
      </c>
      <c r="CQ29" s="281">
        <f>SUMIFS('6. OPERATION'!$R$17:$R$149,'6. OPERATION'!$B$17:$B$149,$B29,'6. OPERATION'!$G$17:$G$149,"OTHER",'6. OPERATION'!$D$17:$D$149,CQ$18)+SUMIFS('8. FACILIT'!$P$18:$P$50,'8. FACILIT'!$B$18:$B$50,$B29,'8. FACILIT'!$D$18:$D$50,CQ$18)</f>
        <v>0</v>
      </c>
      <c r="CR29" s="281">
        <f>SUMIFS('6. OPERATION'!$R$17:$R$149,'6. OPERATION'!$B$17:$B$149,$B29,'6. OPERATION'!$G$17:$G$149,"OTHER",'6. OPERATION'!$D$17:$D$149,CR$18)+SUMIFS('8. FACILIT'!$P$18:$P$50,'8. FACILIT'!$B$18:$B$50,$B29,'8. FACILIT'!$D$18:$D$50,CR$18)</f>
        <v>0</v>
      </c>
      <c r="CS29" s="281">
        <f>SUMIFS('6. OPERATION'!$R$17:$R$149,'6. OPERATION'!$B$17:$B$149,$B29,'6. OPERATION'!$G$17:$G$149,"OTHER",'6. OPERATION'!$D$17:$D$149,CS$18)+SUMIFS('8. FACILIT'!$P$18:$P$50,'8. FACILIT'!$B$18:$B$50,$B29,'8. FACILIT'!$D$18:$D$50,CS$18)</f>
        <v>0</v>
      </c>
      <c r="CT29" s="281">
        <f>SUMIFS('6. OPERATION'!$R$17:$R$149,'6. OPERATION'!$B$17:$B$149,$B29,'6. OPERATION'!$G$17:$G$149,"OTHER",'6. OPERATION'!$D$17:$D$149,CT$18)+SUMIFS('8. FACILIT'!$P$18:$P$50,'8. FACILIT'!$B$18:$B$50,$B29,'8. FACILIT'!$D$18:$D$50,CT$18)</f>
        <v>0</v>
      </c>
      <c r="CU29" s="281">
        <f>SUMIFS('6. OPERATION'!$R$17:$R$149,'6. OPERATION'!$B$17:$B$149,$B29,'6. OPERATION'!$G$17:$G$149,"OTHER",'6. OPERATION'!$D$17:$D$149,CU$18)+SUMIFS('8. FACILIT'!$P$18:$P$50,'8. FACILIT'!$B$18:$B$50,$B29,'8. FACILIT'!$D$18:$D$50,CU$18)</f>
        <v>0</v>
      </c>
      <c r="CV29" s="281">
        <f>SUMIFS('6. OPERATION'!$R$17:$R$149,'6. OPERATION'!$B$17:$B$149,$B29,'6. OPERATION'!$G$17:$G$149,"OTHER",'6. OPERATION'!$D$17:$D$149,CV$18)+SUMIFS('8. FACILIT'!$P$18:$P$50,'8. FACILIT'!$B$18:$B$50,$B29,'8. FACILIT'!$D$18:$D$50,CV$18)</f>
        <v>0</v>
      </c>
      <c r="CW29" s="281">
        <f>SUMIFS('6. OPERATION'!$R$17:$R$149,'6. OPERATION'!$B$17:$B$149,$B29,'6. OPERATION'!$G$17:$G$149,"OTHER",'6. OPERATION'!$D$17:$D$149,CW$18)+SUMIFS('8. FACILIT'!$P$18:$P$50,'8. FACILIT'!$B$18:$B$50,$B29,'8. FACILIT'!$D$18:$D$50,CW$18)</f>
        <v>0</v>
      </c>
      <c r="CX29" s="281">
        <f>SUMIFS('6. OPERATION'!$R$17:$R$149,'6. OPERATION'!$B$17:$B$149,$B29,'6. OPERATION'!$G$17:$G$149,"OTHER",'6. OPERATION'!$D$17:$D$149,CX$18)+SUMIFS('8. FACILIT'!$P$18:$P$50,'8. FACILIT'!$B$18:$B$50,$B29,'8. FACILIT'!$D$18:$D$50,CX$18)</f>
        <v>0</v>
      </c>
      <c r="CY29" s="281">
        <f>SUMIFS('6. OPERATION'!$R$17:$R$149,'6. OPERATION'!$B$17:$B$149,$B29,'6. OPERATION'!$G$17:$G$149,"OTHER",'6. OPERATION'!$D$17:$D$149,CY$18)+SUMIFS('8. FACILIT'!$P$18:$P$50,'8. FACILIT'!$B$18:$B$50,$B29,'8. FACILIT'!$D$18:$D$50,CY$18)</f>
        <v>0</v>
      </c>
      <c r="CZ29" s="281">
        <f>SUMIFS('6. OPERATION'!$R$17:$R$149,'6. OPERATION'!$B$17:$B$149,$B29,'6. OPERATION'!$G$17:$G$149,"OTHER",'6. OPERATION'!$D$17:$D$149,CZ$18)+SUMIFS('8. FACILIT'!$P$18:$P$50,'8. FACILIT'!$B$18:$B$50,$B29,'8. FACILIT'!$D$18:$D$50,CZ$18)</f>
        <v>0</v>
      </c>
      <c r="DA29" s="281">
        <f>SUMIFS('6. OPERATION'!$R$17:$R$149,'6. OPERATION'!$B$17:$B$149,$B29,'6. OPERATION'!$G$17:$G$149,"OTHER",'6. OPERATION'!$D$17:$D$149,DA$18)+SUMIFS('8. FACILIT'!$P$18:$P$50,'8. FACILIT'!$B$18:$B$50,$B29,'8. FACILIT'!$D$18:$D$50,DA$18)</f>
        <v>0</v>
      </c>
      <c r="DB29" s="281">
        <f>SUMIFS('6. OPERATION'!$R$17:$R$149,'6. OPERATION'!$B$17:$B$149,$B29,'6. OPERATION'!$G$17:$G$149,"OTHER",'6. OPERATION'!$D$17:$D$149,DB$18)+SUMIFS('8. FACILIT'!$P$18:$P$50,'8. FACILIT'!$B$18:$B$50,$B29,'8. FACILIT'!$D$18:$D$50,DB$18)</f>
        <v>0</v>
      </c>
      <c r="DC29" s="281">
        <f>SUMIFS('6. OPERATION'!$R$17:$R$149,'6. OPERATION'!$B$17:$B$149,$B29,'6. OPERATION'!$G$17:$G$149,"OTHER",'6. OPERATION'!$D$17:$D$149,DC$18)+SUMIFS('8. FACILIT'!$P$18:$P$50,'8. FACILIT'!$B$18:$B$50,$B29,'8. FACILIT'!$D$18:$D$50,DC$18)</f>
        <v>0</v>
      </c>
      <c r="DD29" s="281">
        <f>SUMIFS('6. OPERATION'!R$17:R$149,'6. OPERATION'!B$17:B$149,B29,'6. OPERATION'!G$17:G$149,"INTERN")</f>
        <v>0</v>
      </c>
      <c r="DE29" s="281">
        <f>SUMIFS('6. OPERATION'!$R$17:$R$149,'6. OPERATION'!$B$17:$B$149,$B29,'6. OPERATION'!$G$17:$G$149,"INTERN",'6. OPERATION'!$D$17:$D$149,DE$18)</f>
        <v>0</v>
      </c>
      <c r="DF29" s="281">
        <f>SUMIFS('6. OPERATION'!$R$17:$R$149,'6. OPERATION'!$B$17:$B$149,$B29,'6. OPERATION'!$G$17:$G$149,"INTERN",'6. OPERATION'!$D$17:$D$149,DF$18)</f>
        <v>0</v>
      </c>
      <c r="DG29" s="281">
        <f>SUMIFS('6. OPERATION'!$R$17:$R$149,'6. OPERATION'!$B$17:$B$149,$B29,'6. OPERATION'!$G$17:$G$149,"INTERN",'6. OPERATION'!$D$17:$D$149,DG$18)</f>
        <v>0</v>
      </c>
      <c r="DH29" s="281">
        <f>SUMIFS('6. OPERATION'!$R$17:$R$149,'6. OPERATION'!$B$17:$B$149,$B29,'6. OPERATION'!$G$17:$G$149,"INTERN",'6. OPERATION'!$D$17:$D$149,DH$18)</f>
        <v>0</v>
      </c>
      <c r="DI29" s="281">
        <f>SUMIFS('6. OPERATION'!$R$17:$R$149,'6. OPERATION'!$B$17:$B$149,$B29,'6. OPERATION'!$G$17:$G$149,"INTERN",'6. OPERATION'!$D$17:$D$149,DI$18)</f>
        <v>0</v>
      </c>
      <c r="DJ29" s="281">
        <f>SUMIFS('6. OPERATION'!$R$17:$R$149,'6. OPERATION'!$B$17:$B$149,$B29,'6. OPERATION'!$G$17:$G$149,"INTERN",'6. OPERATION'!$D$17:$D$149,DJ$18)</f>
        <v>0</v>
      </c>
      <c r="DK29" s="281">
        <f>SUMIFS('6. OPERATION'!$R$17:$R$149,'6. OPERATION'!$B$17:$B$149,$B29,'6. OPERATION'!$G$17:$G$149,"INTERN",'6. OPERATION'!$D$17:$D$149,DK$18)</f>
        <v>0</v>
      </c>
      <c r="DL29" s="281">
        <f>SUMIFS('6. OPERATION'!$R$17:$R$149,'6. OPERATION'!$B$17:$B$149,$B29,'6. OPERATION'!$G$17:$G$149,"INTERN",'6. OPERATION'!$D$17:$D$149,DL$18)</f>
        <v>0</v>
      </c>
      <c r="DM29" s="281">
        <f>SUMIFS('6. OPERATION'!$R$17:$R$149,'6. OPERATION'!$B$17:$B$149,$B29,'6. OPERATION'!$G$17:$G$149,"INTERN",'6. OPERATION'!$D$17:$D$149,DM$18)</f>
        <v>0</v>
      </c>
      <c r="DN29" s="281">
        <f>SUMIFS('6. OPERATION'!$R$17:$R$149,'6. OPERATION'!$B$17:$B$149,$B29,'6. OPERATION'!$G$17:$G$149,"INTERN",'6. OPERATION'!$D$17:$D$149,DN$18)</f>
        <v>0</v>
      </c>
      <c r="DO29" s="281">
        <f>SUMIFS('6. OPERATION'!$R$17:$R$149,'6. OPERATION'!$B$17:$B$149,$B29,'6. OPERATION'!$G$17:$G$149,"INTERN",'6. OPERATION'!$D$17:$D$149,DO$18)</f>
        <v>0</v>
      </c>
      <c r="DP29" s="281">
        <f>SUMIFS('6. OPERATION'!$R$17:$R$149,'6. OPERATION'!$B$17:$B$149,$B29,'6. OPERATION'!$G$17:$G$149,"INTERN",'6. OPERATION'!$D$17:$D$149,DP$18)</f>
        <v>0</v>
      </c>
      <c r="DQ29" s="281">
        <f>SUMIFS('6. OPERATION'!$R$17:$R$149,'6. OPERATION'!$B$17:$B$149,$B29,'6. OPERATION'!$G$17:$G$149,"INTERN",'6. OPERATION'!$D$17:$D$149,DQ$18)</f>
        <v>0</v>
      </c>
      <c r="DR29" s="281">
        <f>SUMIFS('6. OPERATION'!$R$17:$R$149,'6. OPERATION'!$B$17:$B$149,$B29,'6. OPERATION'!$G$17:$G$149,"INTERN",'6. OPERATION'!$D$17:$D$149,DR$18)</f>
        <v>0</v>
      </c>
      <c r="DS29" s="281">
        <f>SUMIFS('6. OPERATION'!$R$17:$R$149,'6. OPERATION'!$B$17:$B$149,$B29,'6. OPERATION'!$G$17:$G$149,"INTERN",'6. OPERATION'!$D$17:$D$149,DS$18)</f>
        <v>0</v>
      </c>
      <c r="DT29" s="281">
        <f>SUMIFS('6. OPERATION'!$R$17:$R$149,'6. OPERATION'!$B$17:$B$149,$B29,'6. OPERATION'!$G$17:$G$149,"INTERN",'6. OPERATION'!$D$17:$D$149,DT$18)</f>
        <v>0</v>
      </c>
      <c r="DU29" s="281">
        <f>SUMIFS('6. OPERATION'!$R$17:$R$149,'6. OPERATION'!$B$17:$B$149,$B29,'6. OPERATION'!$G$17:$G$149,"INTERN",'6. OPERATION'!$D$17:$D$149,DU$18)</f>
        <v>0</v>
      </c>
      <c r="DV29" s="281">
        <f>SUMIFS('6. OPERATION'!$R$17:$R$149,'6. OPERATION'!$B$17:$B$149,$B29,'6. OPERATION'!$G$17:$G$149,"INTERN",'6. OPERATION'!$D$17:$D$149,DV$18)</f>
        <v>0</v>
      </c>
      <c r="DW29" s="281">
        <f>SUMIFS('6. OPERATION'!$R$17:$R$149,'6. OPERATION'!$B$17:$B$149,$B29,'6. OPERATION'!$G$17:$G$149,"INTERN",'6. OPERATION'!$D$17:$D$149,DW$18)</f>
        <v>0</v>
      </c>
      <c r="DX29" s="281">
        <f>SUMIFS('6. OPERATION'!$R$17:$R$149,'6. OPERATION'!$B$17:$B$149,$B29,'6. OPERATION'!$G$17:$G$149,"INTERN",'6. OPERATION'!$D$17:$D$149,DX$18)</f>
        <v>0</v>
      </c>
      <c r="DY29" s="288">
        <f>(C29+AS29+BN29+CI29)*'2. START'!$C$12</f>
        <v>0</v>
      </c>
      <c r="DZ29" s="288">
        <f>(D29+AT29+BO29+CJ29)*'2. START'!$C$12</f>
        <v>0</v>
      </c>
      <c r="EA29" s="288">
        <f>(E29+AU29+BP29+CK29)*'2. START'!$C$12</f>
        <v>0</v>
      </c>
      <c r="EB29" s="288">
        <f>(F29+AV29+BQ29+CL29)*'2. START'!$C$12</f>
        <v>0</v>
      </c>
      <c r="EC29" s="288">
        <f>(G29+AW29+BR29+CM29)*'2. START'!$C$12</f>
        <v>0</v>
      </c>
      <c r="ED29" s="288">
        <f>(H29+AX29+BS29+CN29)*'2. START'!$C$12</f>
        <v>0</v>
      </c>
      <c r="EE29" s="288">
        <f>(I29+AY29+BT29+CO29)*'2. START'!$C$12</f>
        <v>0</v>
      </c>
      <c r="EF29" s="288">
        <f>(J29+AZ29+BU29+CP29)*'2. START'!$C$12</f>
        <v>0</v>
      </c>
      <c r="EG29" s="288">
        <f>(K29+BA29+BV29+CQ29)*'2. START'!$C$12</f>
        <v>0</v>
      </c>
      <c r="EH29" s="288">
        <f>(L29+BB29+BW29+CR29)*'2. START'!$C$12</f>
        <v>0</v>
      </c>
      <c r="EI29" s="288">
        <f>(M29+BC29+BX29+CS29)*'2. START'!$C$12</f>
        <v>0</v>
      </c>
      <c r="EJ29" s="288">
        <f>(N29+BD29+BY29+CT29)*'2. START'!$C$12</f>
        <v>0</v>
      </c>
      <c r="EK29" s="288">
        <f>(O29+BE29+BZ29+CU29)*'2. START'!$C$12</f>
        <v>0</v>
      </c>
      <c r="EL29" s="288">
        <f>(P29+BF29+CA29+CV29)*'2. START'!$C$12</f>
        <v>0</v>
      </c>
      <c r="EM29" s="288">
        <f>(Q29+BG29+CB29+CW29)*'2. START'!$C$12</f>
        <v>0</v>
      </c>
      <c r="EN29" s="288">
        <f>(R29+BH29+CC29+CX29)*'2. START'!$C$12</f>
        <v>0</v>
      </c>
      <c r="EO29" s="288">
        <f>(S29+BI29+CD29+CY29)*'2. START'!$C$12</f>
        <v>0</v>
      </c>
      <c r="EP29" s="288">
        <f>(T29+BJ29+CE29+CZ29)*'2. START'!$C$12</f>
        <v>0</v>
      </c>
      <c r="EQ29" s="288">
        <f>(U29+BK29+CF29+DA29)*'2. START'!$C$12</f>
        <v>0</v>
      </c>
      <c r="ER29" s="288">
        <f>(V29+BL29+CG29+DB29)*'2. START'!$C$12</f>
        <v>0</v>
      </c>
      <c r="ES29" s="288">
        <f>(W29+BM29+CH29+DC29)*'2. START'!$C$12</f>
        <v>0</v>
      </c>
      <c r="ET29" s="105">
        <f t="shared" si="4"/>
        <v>0</v>
      </c>
      <c r="EU29" s="105">
        <f t="shared" si="5"/>
        <v>0</v>
      </c>
      <c r="EV29" s="105">
        <f t="shared" si="6"/>
        <v>0</v>
      </c>
      <c r="EW29" s="105">
        <f t="shared" si="7"/>
        <v>0</v>
      </c>
      <c r="EX29" s="105">
        <f t="shared" si="8"/>
        <v>0</v>
      </c>
      <c r="EY29" s="105">
        <f t="shared" si="9"/>
        <v>0</v>
      </c>
      <c r="EZ29" s="105">
        <f t="shared" si="10"/>
        <v>0</v>
      </c>
      <c r="FA29" s="105">
        <f t="shared" si="11"/>
        <v>0</v>
      </c>
      <c r="FB29" s="105">
        <f t="shared" si="12"/>
        <v>0</v>
      </c>
      <c r="FC29" s="105">
        <f t="shared" si="13"/>
        <v>0</v>
      </c>
      <c r="FD29" s="105">
        <f t="shared" si="14"/>
        <v>0</v>
      </c>
      <c r="FE29" s="105">
        <f t="shared" si="18"/>
        <v>0</v>
      </c>
      <c r="FF29" s="105">
        <f t="shared" si="19"/>
        <v>0</v>
      </c>
      <c r="FG29" s="105">
        <f t="shared" si="20"/>
        <v>0</v>
      </c>
      <c r="FH29" s="105">
        <f t="shared" si="21"/>
        <v>0</v>
      </c>
      <c r="FI29" s="105">
        <f t="shared" si="22"/>
        <v>0</v>
      </c>
      <c r="FJ29" s="105">
        <f t="shared" si="23"/>
        <v>0</v>
      </c>
      <c r="FK29" s="105">
        <f t="shared" si="24"/>
        <v>0</v>
      </c>
      <c r="FL29" s="105">
        <f t="shared" si="25"/>
        <v>0</v>
      </c>
      <c r="FM29" s="105">
        <f t="shared" si="26"/>
        <v>0</v>
      </c>
      <c r="FN29" s="105">
        <f t="shared" si="27"/>
        <v>0</v>
      </c>
      <c r="FO29" s="273" t="str">
        <f t="shared" si="17"/>
        <v/>
      </c>
      <c r="FP29" s="105">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943">
        <f t="shared" si="16"/>
        <v>0</v>
      </c>
      <c r="FR29" s="940">
        <f>SUMIFS('5. PERSON'!$AE$17:$AE$192,'5. PERSON'!$B$17:$B$192,'14. EUFP'!$B29,'5. PERSON'!$D$17:$D$192,FR$18)</f>
        <v>0</v>
      </c>
      <c r="FS29" s="940">
        <f>SUMIFS('5. PERSON'!$AE$17:$AE$192,'5. PERSON'!$B$17:$B$192,'14. EUFP'!$B29,'5. PERSON'!$D$17:$D$192,FS$18)</f>
        <v>0</v>
      </c>
      <c r="FT29" s="940">
        <f>SUMIFS('5. PERSON'!$AE$17:$AE$192,'5. PERSON'!$B$17:$B$192,'14. EUFP'!$B29,'5. PERSON'!$D$17:$D$192,FT$18)</f>
        <v>0</v>
      </c>
      <c r="FU29" s="940">
        <f>SUMIFS('5. PERSON'!$AE$17:$AE$192,'5. PERSON'!$B$17:$B$192,'14. EUFP'!$B29,'5. PERSON'!$D$17:$D$192,FU$18)</f>
        <v>0</v>
      </c>
      <c r="FV29" s="940">
        <f>SUMIFS('5. PERSON'!$AE$17:$AE$192,'5. PERSON'!$B$17:$B$192,'14. EUFP'!$B29,'5. PERSON'!$D$17:$D$192,FV$18)</f>
        <v>0</v>
      </c>
      <c r="FW29" s="940">
        <f>SUMIFS('5. PERSON'!$AE$17:$AE$192,'5. PERSON'!$B$17:$B$192,'14. EUFP'!$B29,'5. PERSON'!$D$17:$D$192,FW$18)</f>
        <v>0</v>
      </c>
      <c r="FX29" s="940">
        <f>SUMIFS('5. PERSON'!$AE$17:$AE$192,'5. PERSON'!$B$17:$B$192,'14. EUFP'!$B29,'5. PERSON'!$D$17:$D$192,FX$18)</f>
        <v>0</v>
      </c>
      <c r="FY29" s="940">
        <f>SUMIFS('5. PERSON'!$AE$17:$AE$192,'5. PERSON'!$B$17:$B$192,'14. EUFP'!$B29,'5. PERSON'!$D$17:$D$192,FY$18)</f>
        <v>0</v>
      </c>
      <c r="FZ29" s="940">
        <f>SUMIFS('5. PERSON'!$AE$17:$AE$192,'5. PERSON'!$B$17:$B$192,'14. EUFP'!$B29,'5. PERSON'!$D$17:$D$192,FZ$18)</f>
        <v>0</v>
      </c>
      <c r="GA29" s="940">
        <f>SUMIFS('5. PERSON'!$AE$17:$AE$192,'5. PERSON'!$B$17:$B$192,'14. EUFP'!$B29,'5. PERSON'!$D$17:$D$192,GA$18)</f>
        <v>0</v>
      </c>
      <c r="GB29" s="940">
        <f>SUMIFS('5. PERSON'!$AE$17:$AE$192,'5. PERSON'!$B$17:$B$192,'14. EUFP'!$B29,'5. PERSON'!$D$17:$D$192,GB$18)</f>
        <v>0</v>
      </c>
      <c r="GC29" s="940">
        <f>SUMIFS('5. PERSON'!$AE$17:$AE$192,'5. PERSON'!$B$17:$B$192,'14. EUFP'!$B29,'5. PERSON'!$D$17:$D$192,GC$18)</f>
        <v>0</v>
      </c>
      <c r="GD29" s="940">
        <f>SUMIFS('5. PERSON'!$AE$17:$AE$192,'5. PERSON'!$B$17:$B$192,'14. EUFP'!$B29,'5. PERSON'!$D$17:$D$192,GD$18)</f>
        <v>0</v>
      </c>
      <c r="GE29" s="940">
        <f>SUMIFS('5. PERSON'!$AE$17:$AE$192,'5. PERSON'!$B$17:$B$192,'14. EUFP'!$B29,'5. PERSON'!$D$17:$D$192,GE$18)</f>
        <v>0</v>
      </c>
      <c r="GF29" s="940">
        <f>SUMIFS('5. PERSON'!$AE$17:$AE$192,'5. PERSON'!$B$17:$B$192,'14. EUFP'!$B29,'5. PERSON'!$D$17:$D$192,GF$18)</f>
        <v>0</v>
      </c>
      <c r="GG29" s="940">
        <f>SUMIFS('5. PERSON'!$AE$17:$AE$192,'5. PERSON'!$B$17:$B$192,'14. EUFP'!$B29,'5. PERSON'!$D$17:$D$192,GG$18)</f>
        <v>0</v>
      </c>
      <c r="GH29" s="940">
        <f>SUMIFS('5. PERSON'!$AE$17:$AE$192,'5. PERSON'!$B$17:$B$192,'14. EUFP'!$B29,'5. PERSON'!$D$17:$D$192,GH$18)</f>
        <v>0</v>
      </c>
      <c r="GI29" s="940">
        <f>SUMIFS('5. PERSON'!$AE$17:$AE$192,'5. PERSON'!$B$17:$B$192,'14. EUFP'!$B29,'5. PERSON'!$D$17:$D$192,GI$18)</f>
        <v>0</v>
      </c>
      <c r="GJ29" s="940">
        <f>SUMIFS('5. PERSON'!$AE$17:$AE$192,'5. PERSON'!$B$17:$B$192,'14. EUFP'!$B29,'5. PERSON'!$D$17:$D$192,GJ$18)</f>
        <v>0</v>
      </c>
      <c r="GK29" s="940">
        <f>SUMIFS('5. PERSON'!$AE$17:$AE$192,'5. PERSON'!$B$17:$B$192,'14. EUFP'!$B29,'5. PERSON'!$D$17:$D$192,GK$18)</f>
        <v>0</v>
      </c>
      <c r="GL29" s="940">
        <f t="shared" si="28"/>
        <v>0</v>
      </c>
    </row>
    <row r="30" spans="2:194" ht="13.5" customHeight="1" x14ac:dyDescent="0.2">
      <c r="B30" s="261" t="str">
        <f>'3. PARTNER'!B57</f>
        <v>EXT107</v>
      </c>
      <c r="C30" s="262">
        <f>SUMIF('5. PERSON'!B$17:B$192,B30,'5. PERSON'!AR$17:AR$192)</f>
        <v>0</v>
      </c>
      <c r="D30" s="262">
        <f>SUMIFS('5. PERSON'!$AR$17:$AR$192,'5. PERSON'!$B$17:$B$192,$B30,'5. PERSON'!$D$17:$D$192,D$18)</f>
        <v>0</v>
      </c>
      <c r="E30" s="262">
        <f>SUMIFS('5. PERSON'!$AR$17:$AR$192,'5. PERSON'!$B$17:$B$192,$B30,'5. PERSON'!$D$17:$D$192,E$18)</f>
        <v>0</v>
      </c>
      <c r="F30" s="262">
        <f>SUMIFS('5. PERSON'!$AR$17:$AR$192,'5. PERSON'!$B$17:$B$192,$B30,'5. PERSON'!$D$17:$D$192,F$18)</f>
        <v>0</v>
      </c>
      <c r="G30" s="262">
        <f>SUMIFS('5. PERSON'!$AR$17:$AR$192,'5. PERSON'!$B$17:$B$192,$B30,'5. PERSON'!$D$17:$D$192,G$18)</f>
        <v>0</v>
      </c>
      <c r="H30" s="262">
        <f>SUMIFS('5. PERSON'!$AR$17:$AR$192,'5. PERSON'!$B$17:$B$192,$B30,'5. PERSON'!$D$17:$D$192,H$18)</f>
        <v>0</v>
      </c>
      <c r="I30" s="262">
        <f>SUMIFS('5. PERSON'!$AR$17:$AR$192,'5. PERSON'!$B$17:$B$192,$B30,'5. PERSON'!$D$17:$D$192,I$18)</f>
        <v>0</v>
      </c>
      <c r="J30" s="262">
        <f>SUMIFS('5. PERSON'!$AR$17:$AR$192,'5. PERSON'!$B$17:$B$192,$B30,'5. PERSON'!$D$17:$D$192,J$18)</f>
        <v>0</v>
      </c>
      <c r="K30" s="262">
        <f>SUMIFS('5. PERSON'!$AR$17:$AR$192,'5. PERSON'!$B$17:$B$192,$B30,'5. PERSON'!$D$17:$D$192,K$18)</f>
        <v>0</v>
      </c>
      <c r="L30" s="262">
        <f>SUMIFS('5. PERSON'!$AR$17:$AR$192,'5. PERSON'!$B$17:$B$192,$B30,'5. PERSON'!$D$17:$D$192,L$18)</f>
        <v>0</v>
      </c>
      <c r="M30" s="262">
        <f>SUMIFS('5. PERSON'!$AR$17:$AR$192,'5. PERSON'!$B$17:$B$192,$B30,'5. PERSON'!$D$17:$D$192,M$18)</f>
        <v>0</v>
      </c>
      <c r="N30" s="262">
        <f>SUMIFS('5. PERSON'!$AR$17:$AR$192,'5. PERSON'!$B$17:$B$192,$B30,'5. PERSON'!$D$17:$D$192,N$18)</f>
        <v>0</v>
      </c>
      <c r="O30" s="262">
        <f>SUMIFS('5. PERSON'!$AR$17:$AR$192,'5. PERSON'!$B$17:$B$192,$B30,'5. PERSON'!$D$17:$D$192,O$18)</f>
        <v>0</v>
      </c>
      <c r="P30" s="262">
        <f>SUMIFS('5. PERSON'!$AR$17:$AR$192,'5. PERSON'!$B$17:$B$192,$B30,'5. PERSON'!$D$17:$D$192,P$18)</f>
        <v>0</v>
      </c>
      <c r="Q30" s="262">
        <f>SUMIFS('5. PERSON'!$AR$17:$AR$192,'5. PERSON'!$B$17:$B$192,$B30,'5. PERSON'!$D$17:$D$192,Q$18)</f>
        <v>0</v>
      </c>
      <c r="R30" s="262">
        <f>SUMIFS('5. PERSON'!$AR$17:$AR$192,'5. PERSON'!$B$17:$B$192,$B30,'5. PERSON'!$D$17:$D$192,R$18)</f>
        <v>0</v>
      </c>
      <c r="S30" s="262">
        <f>SUMIFS('5. PERSON'!$AR$17:$AR$192,'5. PERSON'!$B$17:$B$192,$B30,'5. PERSON'!$D$17:$D$192,S$18)</f>
        <v>0</v>
      </c>
      <c r="T30" s="262">
        <f>SUMIFS('5. PERSON'!$AR$17:$AR$192,'5. PERSON'!$B$17:$B$192,$B30,'5. PERSON'!$D$17:$D$192,T$18)</f>
        <v>0</v>
      </c>
      <c r="U30" s="262">
        <f>SUMIFS('5. PERSON'!$AR$17:$AR$192,'5. PERSON'!$B$17:$B$192,$B30,'5. PERSON'!$D$17:$D$192,U$18)</f>
        <v>0</v>
      </c>
      <c r="V30" s="262">
        <f>SUMIFS('5. PERSON'!$AR$17:$AR$192,'5. PERSON'!$B$17:$B$192,$B30,'5. PERSON'!$D$17:$D$192,V$18)</f>
        <v>0</v>
      </c>
      <c r="W30" s="262">
        <f>SUMIFS('5. PERSON'!$AR$17:$AR$192,'5. PERSON'!$B$17:$B$192,$B30,'5. PERSON'!$D$17:$D$192,W$18)</f>
        <v>0</v>
      </c>
      <c r="X30" s="262">
        <f>SUMIFS('6. OPERATION'!R$17:R$149,'6. OPERATION'!B$17:B$149,B30,'6. OPERATION'!G$17:G$149,"SUBCON")</f>
        <v>0</v>
      </c>
      <c r="Y30" s="262">
        <f>SUMIFS('6. OPERATION'!$R$17:$R$149,'6. OPERATION'!$B$17:$B$149,$B30,'6. OPERATION'!$G$17:$G$149,"SUBCON",'6. OPERATION'!$D$17:$D$149,Y$18)</f>
        <v>0</v>
      </c>
      <c r="Z30" s="262">
        <f>SUMIFS('6. OPERATION'!$R$17:$R$149,'6. OPERATION'!$B$17:$B$149,$B30,'6. OPERATION'!$G$17:$G$149,"SUBCON",'6. OPERATION'!$D$17:$D$149,Z$18)</f>
        <v>0</v>
      </c>
      <c r="AA30" s="262">
        <f>SUMIFS('6. OPERATION'!$R$17:$R$149,'6. OPERATION'!$B$17:$B$149,$B30,'6. OPERATION'!$G$17:$G$149,"SUBCON",'6. OPERATION'!$D$17:$D$149,AA$18)</f>
        <v>0</v>
      </c>
      <c r="AB30" s="262">
        <f>SUMIFS('6. OPERATION'!$R$17:$R$149,'6. OPERATION'!$B$17:$B$149,$B30,'6. OPERATION'!$G$17:$G$149,"SUBCON",'6. OPERATION'!$D$17:$D$149,AB$18)</f>
        <v>0</v>
      </c>
      <c r="AC30" s="262">
        <f>SUMIFS('6. OPERATION'!$R$17:$R$149,'6. OPERATION'!$B$17:$B$149,$B30,'6. OPERATION'!$G$17:$G$149,"SUBCON",'6. OPERATION'!$D$17:$D$149,AC$18)</f>
        <v>0</v>
      </c>
      <c r="AD30" s="262">
        <f>SUMIFS('6. OPERATION'!$R$17:$R$149,'6. OPERATION'!$B$17:$B$149,$B30,'6. OPERATION'!$G$17:$G$149,"SUBCON",'6. OPERATION'!$D$17:$D$149,AD$18)</f>
        <v>0</v>
      </c>
      <c r="AE30" s="262">
        <f>SUMIFS('6. OPERATION'!$R$17:$R$149,'6. OPERATION'!$B$17:$B$149,$B30,'6. OPERATION'!$G$17:$G$149,"SUBCON",'6. OPERATION'!$D$17:$D$149,AE$18)</f>
        <v>0</v>
      </c>
      <c r="AF30" s="262">
        <f>SUMIFS('6. OPERATION'!$R$17:$R$149,'6. OPERATION'!$B$17:$B$149,$B30,'6. OPERATION'!$G$17:$G$149,"SUBCON",'6. OPERATION'!$D$17:$D$149,AF$18)</f>
        <v>0</v>
      </c>
      <c r="AG30" s="262">
        <f>SUMIFS('6. OPERATION'!$R$17:$R$149,'6. OPERATION'!$B$17:$B$149,$B30,'6. OPERATION'!$G$17:$G$149,"SUBCON",'6. OPERATION'!$D$17:$D$149,AG$18)</f>
        <v>0</v>
      </c>
      <c r="AH30" s="262">
        <f>SUMIFS('6. OPERATION'!$R$17:$R$149,'6. OPERATION'!$B$17:$B$149,$B30,'6. OPERATION'!$G$17:$G$149,"SUBCON",'6. OPERATION'!$D$17:$D$149,AH$18)</f>
        <v>0</v>
      </c>
      <c r="AI30" s="262">
        <f>SUMIFS('6. OPERATION'!$R$17:$R$149,'6. OPERATION'!$B$17:$B$149,$B30,'6. OPERATION'!$G$17:$G$149,"SUBCON",'6. OPERATION'!$D$17:$D$149,AI$18)</f>
        <v>0</v>
      </c>
      <c r="AJ30" s="262">
        <f>SUMIFS('6. OPERATION'!$R$17:$R$149,'6. OPERATION'!$B$17:$B$149,$B30,'6. OPERATION'!$G$17:$G$149,"SUBCON",'6. OPERATION'!$D$17:$D$149,AJ$18)</f>
        <v>0</v>
      </c>
      <c r="AK30" s="262">
        <f>SUMIFS('6. OPERATION'!$R$17:$R$149,'6. OPERATION'!$B$17:$B$149,$B30,'6. OPERATION'!$G$17:$G$149,"SUBCON",'6. OPERATION'!$D$17:$D$149,AK$18)</f>
        <v>0</v>
      </c>
      <c r="AL30" s="262">
        <f>SUMIFS('6. OPERATION'!$R$17:$R$149,'6. OPERATION'!$B$17:$B$149,$B30,'6. OPERATION'!$G$17:$G$149,"SUBCON",'6. OPERATION'!$D$17:$D$149,AL$18)</f>
        <v>0</v>
      </c>
      <c r="AM30" s="262">
        <f>SUMIFS('6. OPERATION'!$R$17:$R$149,'6. OPERATION'!$B$17:$B$149,$B30,'6. OPERATION'!$G$17:$G$149,"SUBCON",'6. OPERATION'!$D$17:$D$149,AM$18)</f>
        <v>0</v>
      </c>
      <c r="AN30" s="262">
        <f>SUMIFS('6. OPERATION'!$R$17:$R$149,'6. OPERATION'!$B$17:$B$149,$B30,'6. OPERATION'!$G$17:$G$149,"SUBCON",'6. OPERATION'!$D$17:$D$149,AN$18)</f>
        <v>0</v>
      </c>
      <c r="AO30" s="262">
        <f>SUMIFS('6. OPERATION'!$R$17:$R$149,'6. OPERATION'!$B$17:$B$149,$B30,'6. OPERATION'!$G$17:$G$149,"SUBCON",'6. OPERATION'!$D$17:$D$149,AO$18)</f>
        <v>0</v>
      </c>
      <c r="AP30" s="262">
        <f>SUMIFS('6. OPERATION'!$R$17:$R$149,'6. OPERATION'!$B$17:$B$149,$B30,'6. OPERATION'!$G$17:$G$149,"SUBCON",'6. OPERATION'!$D$17:$D$149,AP$18)</f>
        <v>0</v>
      </c>
      <c r="AQ30" s="262">
        <f>SUMIFS('6. OPERATION'!$R$17:$R$149,'6. OPERATION'!$B$17:$B$149,$B30,'6. OPERATION'!$G$17:$G$149,"SUBCON",'6. OPERATION'!$D$17:$D$149,AQ$18)</f>
        <v>0</v>
      </c>
      <c r="AR30" s="262">
        <f>SUMIFS('6. OPERATION'!$R$17:$R$149,'6. OPERATION'!$B$17:$B$149,$B30,'6. OPERATION'!$G$17:$G$149,"SUBCON",'6. OPERATION'!$D$17:$D$149,AR$18)</f>
        <v>0</v>
      </c>
      <c r="AS30" s="262">
        <f>SUMIFS('6. OPERATION'!R$17:R$149,'6. OPERATION'!B$17:B$149,B30,'6. OPERATION'!G$17:G$149,"TRAVEL")</f>
        <v>0</v>
      </c>
      <c r="AT30" s="262">
        <f>SUMIFS('6. OPERATION'!$R$17:$R$149,'6. OPERATION'!$B$17:$B$149,$B30,'6. OPERATION'!$G$17:$G$149,"TRAVEL",'6. OPERATION'!$D$17:$D$149,AT$18)</f>
        <v>0</v>
      </c>
      <c r="AU30" s="262">
        <f>SUMIFS('6. OPERATION'!$R$17:$R$149,'6. OPERATION'!$B$17:$B$149,$B30,'6. OPERATION'!$G$17:$G$149,"TRAVEL",'6. OPERATION'!$D$17:$D$149,AU$18)</f>
        <v>0</v>
      </c>
      <c r="AV30" s="262">
        <f>SUMIFS('6. OPERATION'!$R$17:$R$149,'6. OPERATION'!$B$17:$B$149,$B30,'6. OPERATION'!$G$17:$G$149,"TRAVEL",'6. OPERATION'!$D$17:$D$149,AV$18)</f>
        <v>0</v>
      </c>
      <c r="AW30" s="262">
        <f>SUMIFS('6. OPERATION'!$R$17:$R$149,'6. OPERATION'!$B$17:$B$149,$B30,'6. OPERATION'!$G$17:$G$149,"TRAVEL",'6. OPERATION'!$D$17:$D$149,AW$18)</f>
        <v>0</v>
      </c>
      <c r="AX30" s="262">
        <f>SUMIFS('6. OPERATION'!$R$17:$R$149,'6. OPERATION'!$B$17:$B$149,$B30,'6. OPERATION'!$G$17:$G$149,"TRAVEL",'6. OPERATION'!$D$17:$D$149,AX$18)</f>
        <v>0</v>
      </c>
      <c r="AY30" s="262">
        <f>SUMIFS('6. OPERATION'!$R$17:$R$149,'6. OPERATION'!$B$17:$B$149,$B30,'6. OPERATION'!$G$17:$G$149,"TRAVEL",'6. OPERATION'!$D$17:$D$149,AY$18)</f>
        <v>0</v>
      </c>
      <c r="AZ30" s="262">
        <f>SUMIFS('6. OPERATION'!$R$17:$R$149,'6. OPERATION'!$B$17:$B$149,$B30,'6. OPERATION'!$G$17:$G$149,"TRAVEL",'6. OPERATION'!$D$17:$D$149,AZ$18)</f>
        <v>0</v>
      </c>
      <c r="BA30" s="262">
        <f>SUMIFS('6. OPERATION'!$R$17:$R$149,'6. OPERATION'!$B$17:$B$149,$B30,'6. OPERATION'!$G$17:$G$149,"TRAVEL",'6. OPERATION'!$D$17:$D$149,BA$18)</f>
        <v>0</v>
      </c>
      <c r="BB30" s="262">
        <f>SUMIFS('6. OPERATION'!$R$17:$R$149,'6. OPERATION'!$B$17:$B$149,$B30,'6. OPERATION'!$G$17:$G$149,"TRAVEL",'6. OPERATION'!$D$17:$D$149,BB$18)</f>
        <v>0</v>
      </c>
      <c r="BC30" s="262">
        <f>SUMIFS('6. OPERATION'!$R$17:$R$149,'6. OPERATION'!$B$17:$B$149,$B30,'6. OPERATION'!$G$17:$G$149,"TRAVEL",'6. OPERATION'!$D$17:$D$149,BC$18)</f>
        <v>0</v>
      </c>
      <c r="BD30" s="262">
        <f>SUMIFS('6. OPERATION'!$R$17:$R$149,'6. OPERATION'!$B$17:$B$149,$B30,'6. OPERATION'!$G$17:$G$149,"TRAVEL",'6. OPERATION'!$D$17:$D$149,BD$18)</f>
        <v>0</v>
      </c>
      <c r="BE30" s="262">
        <f>SUMIFS('6. OPERATION'!$R$17:$R$149,'6. OPERATION'!$B$17:$B$149,$B30,'6. OPERATION'!$G$17:$G$149,"TRAVEL",'6. OPERATION'!$D$17:$D$149,BE$18)</f>
        <v>0</v>
      </c>
      <c r="BF30" s="262">
        <f>SUMIFS('6. OPERATION'!$R$17:$R$149,'6. OPERATION'!$B$17:$B$149,$B30,'6. OPERATION'!$G$17:$G$149,"TRAVEL",'6. OPERATION'!$D$17:$D$149,BF$18)</f>
        <v>0</v>
      </c>
      <c r="BG30" s="262">
        <f>SUMIFS('6. OPERATION'!$R$17:$R$149,'6. OPERATION'!$B$17:$B$149,$B30,'6. OPERATION'!$G$17:$G$149,"TRAVEL",'6. OPERATION'!$D$17:$D$149,BG$18)</f>
        <v>0</v>
      </c>
      <c r="BH30" s="262">
        <f>SUMIFS('6. OPERATION'!$R$17:$R$149,'6. OPERATION'!$B$17:$B$149,$B30,'6. OPERATION'!$G$17:$G$149,"TRAVEL",'6. OPERATION'!$D$17:$D$149,BH$18)</f>
        <v>0</v>
      </c>
      <c r="BI30" s="262">
        <f>SUMIFS('6. OPERATION'!$R$17:$R$149,'6. OPERATION'!$B$17:$B$149,$B30,'6. OPERATION'!$G$17:$G$149,"TRAVEL",'6. OPERATION'!$D$17:$D$149,BI$18)</f>
        <v>0</v>
      </c>
      <c r="BJ30" s="262">
        <f>SUMIFS('6. OPERATION'!$R$17:$R$149,'6. OPERATION'!$B$17:$B$149,$B30,'6. OPERATION'!$G$17:$G$149,"TRAVEL",'6. OPERATION'!$D$17:$D$149,BJ$18)</f>
        <v>0</v>
      </c>
      <c r="BK30" s="262">
        <f>SUMIFS('6. OPERATION'!$R$17:$R$149,'6. OPERATION'!$B$17:$B$149,$B30,'6. OPERATION'!$G$17:$G$149,"TRAVEL",'6. OPERATION'!$D$17:$D$149,BK$18)</f>
        <v>0</v>
      </c>
      <c r="BL30" s="262">
        <f>SUMIFS('6. OPERATION'!$R$17:$R$149,'6. OPERATION'!$B$17:$B$149,$B30,'6. OPERATION'!$G$17:$G$149,"TRAVEL",'6. OPERATION'!$D$17:$D$149,BL$18)</f>
        <v>0</v>
      </c>
      <c r="BM30" s="262">
        <f>SUMIFS('6. OPERATION'!$R$17:$R$149,'6. OPERATION'!$B$17:$B$149,$B30,'6. OPERATION'!$G$17:$G$149,"TRAVEL",'6. OPERATION'!$D$17:$D$149,BM$18)</f>
        <v>0</v>
      </c>
      <c r="BN30" s="262">
        <f>SUMIF('7. INVEST'!B$17:B$49,B30,'7. INVEST'!S$17:S$49)</f>
        <v>0</v>
      </c>
      <c r="BO30" s="262">
        <f>SUMIFS('7. INVEST'!$S$17:$S$49,'7. INVEST'!$B$17:$B$49,$B30,'7. INVEST'!$D$17:$D$49,BO$18)</f>
        <v>0</v>
      </c>
      <c r="BP30" s="262">
        <f>SUMIFS('7. INVEST'!$S$17:$S$49,'7. INVEST'!$B$17:$B$49,$B30,'7. INVEST'!$D$17:$D$49,BP$18)</f>
        <v>0</v>
      </c>
      <c r="BQ30" s="262">
        <f>SUMIFS('7. INVEST'!$S$17:$S$49,'7. INVEST'!$B$17:$B$49,$B30,'7. INVEST'!$D$17:$D$49,BQ$18)</f>
        <v>0</v>
      </c>
      <c r="BR30" s="262">
        <f>SUMIFS('7. INVEST'!$S$17:$S$49,'7. INVEST'!$B$17:$B$49,$B30,'7. INVEST'!$D$17:$D$49,BR$18)</f>
        <v>0</v>
      </c>
      <c r="BS30" s="262">
        <f>SUMIFS('7. INVEST'!$S$17:$S$49,'7. INVEST'!$B$17:$B$49,$B30,'7. INVEST'!$D$17:$D$49,BS$18)</f>
        <v>0</v>
      </c>
      <c r="BT30" s="262">
        <f>SUMIFS('7. INVEST'!$S$17:$S$49,'7. INVEST'!$B$17:$B$49,$B30,'7. INVEST'!$D$17:$D$49,BT$18)</f>
        <v>0</v>
      </c>
      <c r="BU30" s="262">
        <f>SUMIFS('7. INVEST'!$S$17:$S$49,'7. INVEST'!$B$17:$B$49,$B30,'7. INVEST'!$D$17:$D$49,BU$18)</f>
        <v>0</v>
      </c>
      <c r="BV30" s="262">
        <f>SUMIFS('7. INVEST'!$S$17:$S$49,'7. INVEST'!$B$17:$B$49,$B30,'7. INVEST'!$D$17:$D$49,BV$18)</f>
        <v>0</v>
      </c>
      <c r="BW30" s="262">
        <f>SUMIFS('7. INVEST'!$S$17:$S$49,'7. INVEST'!$B$17:$B$49,$B30,'7. INVEST'!$D$17:$D$49,BW$18)</f>
        <v>0</v>
      </c>
      <c r="BX30" s="262">
        <f>SUMIFS('7. INVEST'!$S$17:$S$49,'7. INVEST'!$B$17:$B$49,$B30,'7. INVEST'!$D$17:$D$49,BX$18)</f>
        <v>0</v>
      </c>
      <c r="BY30" s="262">
        <f>SUMIFS('7. INVEST'!$S$17:$S$49,'7. INVEST'!$B$17:$B$49,$B30,'7. INVEST'!$D$17:$D$49,BY$18)</f>
        <v>0</v>
      </c>
      <c r="BZ30" s="262">
        <f>SUMIFS('7. INVEST'!$S$17:$S$49,'7. INVEST'!$B$17:$B$49,$B30,'7. INVEST'!$D$17:$D$49,BZ$18)</f>
        <v>0</v>
      </c>
      <c r="CA30" s="262">
        <f>SUMIFS('7. INVEST'!$S$17:$S$49,'7. INVEST'!$B$17:$B$49,$B30,'7. INVEST'!$D$17:$D$49,CA$18)</f>
        <v>0</v>
      </c>
      <c r="CB30" s="262">
        <f>SUMIFS('7. INVEST'!$S$17:$S$49,'7. INVEST'!$B$17:$B$49,$B30,'7. INVEST'!$D$17:$D$49,CB$18)</f>
        <v>0</v>
      </c>
      <c r="CC30" s="262">
        <f>SUMIFS('7. INVEST'!$S$17:$S$49,'7. INVEST'!$B$17:$B$49,$B30,'7. INVEST'!$D$17:$D$49,CC$18)</f>
        <v>0</v>
      </c>
      <c r="CD30" s="262">
        <f>SUMIFS('7. INVEST'!$S$17:$S$49,'7. INVEST'!$B$17:$B$49,$B30,'7. INVEST'!$D$17:$D$49,CD$18)</f>
        <v>0</v>
      </c>
      <c r="CE30" s="262">
        <f>SUMIFS('7. INVEST'!$S$17:$S$49,'7. INVEST'!$B$17:$B$49,$B30,'7. INVEST'!$D$17:$D$49,CE$18)</f>
        <v>0</v>
      </c>
      <c r="CF30" s="262">
        <f>SUMIFS('7. INVEST'!$S$17:$S$49,'7. INVEST'!$B$17:$B$49,$B30,'7. INVEST'!$D$17:$D$49,CF$18)</f>
        <v>0</v>
      </c>
      <c r="CG30" s="262">
        <f>SUMIFS('7. INVEST'!$S$17:$S$49,'7. INVEST'!$B$17:$B$49,$B30,'7. INVEST'!$D$17:$D$49,CG$18)</f>
        <v>0</v>
      </c>
      <c r="CH30" s="262">
        <f>SUMIFS('7. INVEST'!$S$17:$S$49,'7. INVEST'!$B$17:$B$49,$B30,'7. INVEST'!$D$17:$D$49,CH$18)</f>
        <v>0</v>
      </c>
      <c r="CI30" s="262">
        <f>SUMIFS('6. OPERATION'!$R$17:$R$149,'6. OPERATION'!$B$17:$B$149,$B30,'6. OPERATION'!$G$17:$G$149,"OTHER")+SUMIF('8. FACILIT'!$B$18:$B$50,$B30,'8. FACILIT'!$P$18:$P$50)</f>
        <v>0</v>
      </c>
      <c r="CJ30" s="262">
        <f>SUMIFS('6. OPERATION'!$R$17:$R$149,'6. OPERATION'!$B$17:$B$149,$B30,'6. OPERATION'!$G$17:$G$149,"OTHER",'6. OPERATION'!$D$17:$D$149,CJ$18)+SUMIFS('8. FACILIT'!$P$18:$P$50,'8. FACILIT'!$B$18:$B$50,$B30,'8. FACILIT'!$D$18:$D$50,CJ$18)</f>
        <v>0</v>
      </c>
      <c r="CK30" s="262">
        <f>SUMIFS('6. OPERATION'!$R$17:$R$149,'6. OPERATION'!$B$17:$B$149,$B30,'6. OPERATION'!$G$17:$G$149,"OTHER",'6. OPERATION'!$D$17:$D$149,CK$18)+SUMIFS('8. FACILIT'!$P$18:$P$50,'8. FACILIT'!$B$18:$B$50,$B30,'8. FACILIT'!$D$18:$D$50,CK$18)</f>
        <v>0</v>
      </c>
      <c r="CL30" s="262">
        <f>SUMIFS('6. OPERATION'!$R$17:$R$149,'6. OPERATION'!$B$17:$B$149,$B30,'6. OPERATION'!$G$17:$G$149,"OTHER",'6. OPERATION'!$D$17:$D$149,CL$18)+SUMIFS('8. FACILIT'!$P$18:$P$50,'8. FACILIT'!$B$18:$B$50,$B30,'8. FACILIT'!$D$18:$D$50,CL$18)</f>
        <v>0</v>
      </c>
      <c r="CM30" s="262">
        <f>SUMIFS('6. OPERATION'!$R$17:$R$149,'6. OPERATION'!$B$17:$B$149,$B30,'6. OPERATION'!$G$17:$G$149,"OTHER",'6. OPERATION'!$D$17:$D$149,CM$18)+SUMIFS('8. FACILIT'!$P$18:$P$50,'8. FACILIT'!$B$18:$B$50,$B30,'8. FACILIT'!$D$18:$D$50,CM$18)</f>
        <v>0</v>
      </c>
      <c r="CN30" s="262">
        <f>SUMIFS('6. OPERATION'!$R$17:$R$149,'6. OPERATION'!$B$17:$B$149,$B30,'6. OPERATION'!$G$17:$G$149,"OTHER",'6. OPERATION'!$D$17:$D$149,CN$18)+SUMIFS('8. FACILIT'!$P$18:$P$50,'8. FACILIT'!$B$18:$B$50,$B30,'8. FACILIT'!$D$18:$D$50,CN$18)</f>
        <v>0</v>
      </c>
      <c r="CO30" s="262">
        <f>SUMIFS('6. OPERATION'!$R$17:$R$149,'6. OPERATION'!$B$17:$B$149,$B30,'6. OPERATION'!$G$17:$G$149,"OTHER",'6. OPERATION'!$D$17:$D$149,CO$18)+SUMIFS('8. FACILIT'!$P$18:$P$50,'8. FACILIT'!$B$18:$B$50,$B30,'8. FACILIT'!$D$18:$D$50,CO$18)</f>
        <v>0</v>
      </c>
      <c r="CP30" s="262">
        <f>SUMIFS('6. OPERATION'!$R$17:$R$149,'6. OPERATION'!$B$17:$B$149,$B30,'6. OPERATION'!$G$17:$G$149,"OTHER",'6. OPERATION'!$D$17:$D$149,CP$18)+SUMIFS('8. FACILIT'!$P$18:$P$50,'8. FACILIT'!$B$18:$B$50,$B30,'8. FACILIT'!$D$18:$D$50,CP$18)</f>
        <v>0</v>
      </c>
      <c r="CQ30" s="262">
        <f>SUMIFS('6. OPERATION'!$R$17:$R$149,'6. OPERATION'!$B$17:$B$149,$B30,'6. OPERATION'!$G$17:$G$149,"OTHER",'6. OPERATION'!$D$17:$D$149,CQ$18)+SUMIFS('8. FACILIT'!$P$18:$P$50,'8. FACILIT'!$B$18:$B$50,$B30,'8. FACILIT'!$D$18:$D$50,CQ$18)</f>
        <v>0</v>
      </c>
      <c r="CR30" s="262">
        <f>SUMIFS('6. OPERATION'!$R$17:$R$149,'6. OPERATION'!$B$17:$B$149,$B30,'6. OPERATION'!$G$17:$G$149,"OTHER",'6. OPERATION'!$D$17:$D$149,CR$18)+SUMIFS('8. FACILIT'!$P$18:$P$50,'8. FACILIT'!$B$18:$B$50,$B30,'8. FACILIT'!$D$18:$D$50,CR$18)</f>
        <v>0</v>
      </c>
      <c r="CS30" s="262">
        <f>SUMIFS('6. OPERATION'!$R$17:$R$149,'6. OPERATION'!$B$17:$B$149,$B30,'6. OPERATION'!$G$17:$G$149,"OTHER",'6. OPERATION'!$D$17:$D$149,CS$18)+SUMIFS('8. FACILIT'!$P$18:$P$50,'8. FACILIT'!$B$18:$B$50,$B30,'8. FACILIT'!$D$18:$D$50,CS$18)</f>
        <v>0</v>
      </c>
      <c r="CT30" s="262">
        <f>SUMIFS('6. OPERATION'!$R$17:$R$149,'6. OPERATION'!$B$17:$B$149,$B30,'6. OPERATION'!$G$17:$G$149,"OTHER",'6. OPERATION'!$D$17:$D$149,CT$18)+SUMIFS('8. FACILIT'!$P$18:$P$50,'8. FACILIT'!$B$18:$B$50,$B30,'8. FACILIT'!$D$18:$D$50,CT$18)</f>
        <v>0</v>
      </c>
      <c r="CU30" s="262">
        <f>SUMIFS('6. OPERATION'!$R$17:$R$149,'6. OPERATION'!$B$17:$B$149,$B30,'6. OPERATION'!$G$17:$G$149,"OTHER",'6. OPERATION'!$D$17:$D$149,CU$18)+SUMIFS('8. FACILIT'!$P$18:$P$50,'8. FACILIT'!$B$18:$B$50,$B30,'8. FACILIT'!$D$18:$D$50,CU$18)</f>
        <v>0</v>
      </c>
      <c r="CV30" s="262">
        <f>SUMIFS('6. OPERATION'!$R$17:$R$149,'6. OPERATION'!$B$17:$B$149,$B30,'6. OPERATION'!$G$17:$G$149,"OTHER",'6. OPERATION'!$D$17:$D$149,CV$18)+SUMIFS('8. FACILIT'!$P$18:$P$50,'8. FACILIT'!$B$18:$B$50,$B30,'8. FACILIT'!$D$18:$D$50,CV$18)</f>
        <v>0</v>
      </c>
      <c r="CW30" s="262">
        <f>SUMIFS('6. OPERATION'!$R$17:$R$149,'6. OPERATION'!$B$17:$B$149,$B30,'6. OPERATION'!$G$17:$G$149,"OTHER",'6. OPERATION'!$D$17:$D$149,CW$18)+SUMIFS('8. FACILIT'!$P$18:$P$50,'8. FACILIT'!$B$18:$B$50,$B30,'8. FACILIT'!$D$18:$D$50,CW$18)</f>
        <v>0</v>
      </c>
      <c r="CX30" s="262">
        <f>SUMIFS('6. OPERATION'!$R$17:$R$149,'6. OPERATION'!$B$17:$B$149,$B30,'6. OPERATION'!$G$17:$G$149,"OTHER",'6. OPERATION'!$D$17:$D$149,CX$18)+SUMIFS('8. FACILIT'!$P$18:$P$50,'8. FACILIT'!$B$18:$B$50,$B30,'8. FACILIT'!$D$18:$D$50,CX$18)</f>
        <v>0</v>
      </c>
      <c r="CY30" s="262">
        <f>SUMIFS('6. OPERATION'!$R$17:$R$149,'6. OPERATION'!$B$17:$B$149,$B30,'6. OPERATION'!$G$17:$G$149,"OTHER",'6. OPERATION'!$D$17:$D$149,CY$18)+SUMIFS('8. FACILIT'!$P$18:$P$50,'8. FACILIT'!$B$18:$B$50,$B30,'8. FACILIT'!$D$18:$D$50,CY$18)</f>
        <v>0</v>
      </c>
      <c r="CZ30" s="262">
        <f>SUMIFS('6. OPERATION'!$R$17:$R$149,'6. OPERATION'!$B$17:$B$149,$B30,'6. OPERATION'!$G$17:$G$149,"OTHER",'6. OPERATION'!$D$17:$D$149,CZ$18)+SUMIFS('8. FACILIT'!$P$18:$P$50,'8. FACILIT'!$B$18:$B$50,$B30,'8. FACILIT'!$D$18:$D$50,CZ$18)</f>
        <v>0</v>
      </c>
      <c r="DA30" s="262">
        <f>SUMIFS('6. OPERATION'!$R$17:$R$149,'6. OPERATION'!$B$17:$B$149,$B30,'6. OPERATION'!$G$17:$G$149,"OTHER",'6. OPERATION'!$D$17:$D$149,DA$18)+SUMIFS('8. FACILIT'!$P$18:$P$50,'8. FACILIT'!$B$18:$B$50,$B30,'8. FACILIT'!$D$18:$D$50,DA$18)</f>
        <v>0</v>
      </c>
      <c r="DB30" s="262">
        <f>SUMIFS('6. OPERATION'!$R$17:$R$149,'6. OPERATION'!$B$17:$B$149,$B30,'6. OPERATION'!$G$17:$G$149,"OTHER",'6. OPERATION'!$D$17:$D$149,DB$18)+SUMIFS('8. FACILIT'!$P$18:$P$50,'8. FACILIT'!$B$18:$B$50,$B30,'8. FACILIT'!$D$18:$D$50,DB$18)</f>
        <v>0</v>
      </c>
      <c r="DC30" s="262">
        <f>SUMIFS('6. OPERATION'!$R$17:$R$149,'6. OPERATION'!$B$17:$B$149,$B30,'6. OPERATION'!$G$17:$G$149,"OTHER",'6. OPERATION'!$D$17:$D$149,DC$18)+SUMIFS('8. FACILIT'!$P$18:$P$50,'8. FACILIT'!$B$18:$B$50,$B30,'8. FACILIT'!$D$18:$D$50,DC$18)</f>
        <v>0</v>
      </c>
      <c r="DD30" s="262">
        <f>SUMIFS('6. OPERATION'!R$17:R$149,'6. OPERATION'!B$17:B$149,B30,'6. OPERATION'!G$17:G$149,"INTERN")</f>
        <v>0</v>
      </c>
      <c r="DE30" s="262">
        <f>SUMIFS('6. OPERATION'!$R$17:$R$149,'6. OPERATION'!$B$17:$B$149,$B30,'6. OPERATION'!$G$17:$G$149,"INTERN",'6. OPERATION'!$D$17:$D$149,DE$18)</f>
        <v>0</v>
      </c>
      <c r="DF30" s="262">
        <f>SUMIFS('6. OPERATION'!$R$17:$R$149,'6. OPERATION'!$B$17:$B$149,$B30,'6. OPERATION'!$G$17:$G$149,"INTERN",'6. OPERATION'!$D$17:$D$149,DF$18)</f>
        <v>0</v>
      </c>
      <c r="DG30" s="262">
        <f>SUMIFS('6. OPERATION'!$R$17:$R$149,'6. OPERATION'!$B$17:$B$149,$B30,'6. OPERATION'!$G$17:$G$149,"INTERN",'6. OPERATION'!$D$17:$D$149,DG$18)</f>
        <v>0</v>
      </c>
      <c r="DH30" s="262">
        <f>SUMIFS('6. OPERATION'!$R$17:$R$149,'6. OPERATION'!$B$17:$B$149,$B30,'6. OPERATION'!$G$17:$G$149,"INTERN",'6. OPERATION'!$D$17:$D$149,DH$18)</f>
        <v>0</v>
      </c>
      <c r="DI30" s="262">
        <f>SUMIFS('6. OPERATION'!$R$17:$R$149,'6. OPERATION'!$B$17:$B$149,$B30,'6. OPERATION'!$G$17:$G$149,"INTERN",'6. OPERATION'!$D$17:$D$149,DI$18)</f>
        <v>0</v>
      </c>
      <c r="DJ30" s="262">
        <f>SUMIFS('6. OPERATION'!$R$17:$R$149,'6. OPERATION'!$B$17:$B$149,$B30,'6. OPERATION'!$G$17:$G$149,"INTERN",'6. OPERATION'!$D$17:$D$149,DJ$18)</f>
        <v>0</v>
      </c>
      <c r="DK30" s="262">
        <f>SUMIFS('6. OPERATION'!$R$17:$R$149,'6. OPERATION'!$B$17:$B$149,$B30,'6. OPERATION'!$G$17:$G$149,"INTERN",'6. OPERATION'!$D$17:$D$149,DK$18)</f>
        <v>0</v>
      </c>
      <c r="DL30" s="262">
        <f>SUMIFS('6. OPERATION'!$R$17:$R$149,'6. OPERATION'!$B$17:$B$149,$B30,'6. OPERATION'!$G$17:$G$149,"INTERN",'6. OPERATION'!$D$17:$D$149,DL$18)</f>
        <v>0</v>
      </c>
      <c r="DM30" s="262">
        <f>SUMIFS('6. OPERATION'!$R$17:$R$149,'6. OPERATION'!$B$17:$B$149,$B30,'6. OPERATION'!$G$17:$G$149,"INTERN",'6. OPERATION'!$D$17:$D$149,DM$18)</f>
        <v>0</v>
      </c>
      <c r="DN30" s="262">
        <f>SUMIFS('6. OPERATION'!$R$17:$R$149,'6. OPERATION'!$B$17:$B$149,$B30,'6. OPERATION'!$G$17:$G$149,"INTERN",'6. OPERATION'!$D$17:$D$149,DN$18)</f>
        <v>0</v>
      </c>
      <c r="DO30" s="262">
        <f>SUMIFS('6. OPERATION'!$R$17:$R$149,'6. OPERATION'!$B$17:$B$149,$B30,'6. OPERATION'!$G$17:$G$149,"INTERN",'6. OPERATION'!$D$17:$D$149,DO$18)</f>
        <v>0</v>
      </c>
      <c r="DP30" s="262">
        <f>SUMIFS('6. OPERATION'!$R$17:$R$149,'6. OPERATION'!$B$17:$B$149,$B30,'6. OPERATION'!$G$17:$G$149,"INTERN",'6. OPERATION'!$D$17:$D$149,DP$18)</f>
        <v>0</v>
      </c>
      <c r="DQ30" s="262">
        <f>SUMIFS('6. OPERATION'!$R$17:$R$149,'6. OPERATION'!$B$17:$B$149,$B30,'6. OPERATION'!$G$17:$G$149,"INTERN",'6. OPERATION'!$D$17:$D$149,DQ$18)</f>
        <v>0</v>
      </c>
      <c r="DR30" s="262">
        <f>SUMIFS('6. OPERATION'!$R$17:$R$149,'6. OPERATION'!$B$17:$B$149,$B30,'6. OPERATION'!$G$17:$G$149,"INTERN",'6. OPERATION'!$D$17:$D$149,DR$18)</f>
        <v>0</v>
      </c>
      <c r="DS30" s="262">
        <f>SUMIFS('6. OPERATION'!$R$17:$R$149,'6. OPERATION'!$B$17:$B$149,$B30,'6. OPERATION'!$G$17:$G$149,"INTERN",'6. OPERATION'!$D$17:$D$149,DS$18)</f>
        <v>0</v>
      </c>
      <c r="DT30" s="262">
        <f>SUMIFS('6. OPERATION'!$R$17:$R$149,'6. OPERATION'!$B$17:$B$149,$B30,'6. OPERATION'!$G$17:$G$149,"INTERN",'6. OPERATION'!$D$17:$D$149,DT$18)</f>
        <v>0</v>
      </c>
      <c r="DU30" s="262">
        <f>SUMIFS('6. OPERATION'!$R$17:$R$149,'6. OPERATION'!$B$17:$B$149,$B30,'6. OPERATION'!$G$17:$G$149,"INTERN",'6. OPERATION'!$D$17:$D$149,DU$18)</f>
        <v>0</v>
      </c>
      <c r="DV30" s="262">
        <f>SUMIFS('6. OPERATION'!$R$17:$R$149,'6. OPERATION'!$B$17:$B$149,$B30,'6. OPERATION'!$G$17:$G$149,"INTERN",'6. OPERATION'!$D$17:$D$149,DV$18)</f>
        <v>0</v>
      </c>
      <c r="DW30" s="262">
        <f>SUMIFS('6. OPERATION'!$R$17:$R$149,'6. OPERATION'!$B$17:$B$149,$B30,'6. OPERATION'!$G$17:$G$149,"INTERN",'6. OPERATION'!$D$17:$D$149,DW$18)</f>
        <v>0</v>
      </c>
      <c r="DX30" s="262">
        <f>SUMIFS('6. OPERATION'!$R$17:$R$149,'6. OPERATION'!$B$17:$B$149,$B30,'6. OPERATION'!$G$17:$G$149,"INTERN",'6. OPERATION'!$D$17:$D$149,DX$18)</f>
        <v>0</v>
      </c>
      <c r="DY30" s="262">
        <f>(C30+AS30+BN30+CI30)*'2. START'!$C$12</f>
        <v>0</v>
      </c>
      <c r="DZ30" s="262">
        <f>(D30+AT30+BO30+CJ30)*'2. START'!$C$12</f>
        <v>0</v>
      </c>
      <c r="EA30" s="262">
        <f>(E30+AU30+BP30+CK30)*'2. START'!$C$12</f>
        <v>0</v>
      </c>
      <c r="EB30" s="262">
        <f>(F30+AV30+BQ30+CL30)*'2. START'!$C$12</f>
        <v>0</v>
      </c>
      <c r="EC30" s="262">
        <f>(G30+AW30+BR30+CM30)*'2. START'!$C$12</f>
        <v>0</v>
      </c>
      <c r="ED30" s="262">
        <f>(H30+AX30+BS30+CN30)*'2. START'!$C$12</f>
        <v>0</v>
      </c>
      <c r="EE30" s="262">
        <f>(I30+AY30+BT30+CO30)*'2. START'!$C$12</f>
        <v>0</v>
      </c>
      <c r="EF30" s="262">
        <f>(J30+AZ30+BU30+CP30)*'2. START'!$C$12</f>
        <v>0</v>
      </c>
      <c r="EG30" s="262">
        <f>(K30+BA30+BV30+CQ30)*'2. START'!$C$12</f>
        <v>0</v>
      </c>
      <c r="EH30" s="262">
        <f>(L30+BB30+BW30+CR30)*'2. START'!$C$12</f>
        <v>0</v>
      </c>
      <c r="EI30" s="262">
        <f>(M30+BC30+BX30+CS30)*'2. START'!$C$12</f>
        <v>0</v>
      </c>
      <c r="EJ30" s="262">
        <f>(N30+BD30+BY30+CT30)*'2. START'!$C$12</f>
        <v>0</v>
      </c>
      <c r="EK30" s="262">
        <f>(O30+BE30+BZ30+CU30)*'2. START'!$C$12</f>
        <v>0</v>
      </c>
      <c r="EL30" s="262">
        <f>(P30+BF30+CA30+CV30)*'2. START'!$C$12</f>
        <v>0</v>
      </c>
      <c r="EM30" s="262">
        <f>(Q30+BG30+CB30+CW30)*'2. START'!$C$12</f>
        <v>0</v>
      </c>
      <c r="EN30" s="262">
        <f>(R30+BH30+CC30+CX30)*'2. START'!$C$12</f>
        <v>0</v>
      </c>
      <c r="EO30" s="262">
        <f>(S30+BI30+CD30+CY30)*'2. START'!$C$12</f>
        <v>0</v>
      </c>
      <c r="EP30" s="262">
        <f>(T30+BJ30+CE30+CZ30)*'2. START'!$C$12</f>
        <v>0</v>
      </c>
      <c r="EQ30" s="262">
        <f>(U30+BK30+CF30+DA30)*'2. START'!$C$12</f>
        <v>0</v>
      </c>
      <c r="ER30" s="262">
        <f>(V30+BL30+CG30+DB30)*'2. START'!$C$12</f>
        <v>0</v>
      </c>
      <c r="ES30" s="262">
        <f>(W30+BM30+CH30+DC30)*'2. START'!$C$12</f>
        <v>0</v>
      </c>
      <c r="ET30" s="98">
        <f t="shared" si="4"/>
        <v>0</v>
      </c>
      <c r="EU30" s="98">
        <f t="shared" si="5"/>
        <v>0</v>
      </c>
      <c r="EV30" s="98">
        <f t="shared" si="6"/>
        <v>0</v>
      </c>
      <c r="EW30" s="98">
        <f t="shared" si="7"/>
        <v>0</v>
      </c>
      <c r="EX30" s="98">
        <f t="shared" si="8"/>
        <v>0</v>
      </c>
      <c r="EY30" s="98">
        <f t="shared" si="9"/>
        <v>0</v>
      </c>
      <c r="EZ30" s="98">
        <f t="shared" si="10"/>
        <v>0</v>
      </c>
      <c r="FA30" s="98">
        <f t="shared" si="11"/>
        <v>0</v>
      </c>
      <c r="FB30" s="98">
        <f t="shared" si="12"/>
        <v>0</v>
      </c>
      <c r="FC30" s="98">
        <f t="shared" si="13"/>
        <v>0</v>
      </c>
      <c r="FD30" s="98">
        <f t="shared" si="14"/>
        <v>0</v>
      </c>
      <c r="FE30" s="98">
        <f t="shared" si="18"/>
        <v>0</v>
      </c>
      <c r="FF30" s="98">
        <f t="shared" si="19"/>
        <v>0</v>
      </c>
      <c r="FG30" s="98">
        <f t="shared" si="20"/>
        <v>0</v>
      </c>
      <c r="FH30" s="98">
        <f t="shared" si="21"/>
        <v>0</v>
      </c>
      <c r="FI30" s="98">
        <f t="shared" si="22"/>
        <v>0</v>
      </c>
      <c r="FJ30" s="98">
        <f t="shared" si="23"/>
        <v>0</v>
      </c>
      <c r="FK30" s="98">
        <f t="shared" si="24"/>
        <v>0</v>
      </c>
      <c r="FL30" s="98">
        <f t="shared" si="25"/>
        <v>0</v>
      </c>
      <c r="FM30" s="98">
        <f t="shared" si="26"/>
        <v>0</v>
      </c>
      <c r="FN30" s="98">
        <f t="shared" si="27"/>
        <v>0</v>
      </c>
      <c r="FO30" s="272" t="str">
        <f t="shared" si="17"/>
        <v/>
      </c>
      <c r="FP30" s="98">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944">
        <f t="shared" si="16"/>
        <v>0</v>
      </c>
      <c r="FR30" s="941">
        <f>SUMIFS('5. PERSON'!$AE$17:$AE$192,'5. PERSON'!$B$17:$B$192,'14. EUFP'!$B30,'5. PERSON'!$D$17:$D$192,FR$18)</f>
        <v>0</v>
      </c>
      <c r="FS30" s="941">
        <f>SUMIFS('5. PERSON'!$AE$17:$AE$192,'5. PERSON'!$B$17:$B$192,'14. EUFP'!$B30,'5. PERSON'!$D$17:$D$192,FS$18)</f>
        <v>0</v>
      </c>
      <c r="FT30" s="941">
        <f>SUMIFS('5. PERSON'!$AE$17:$AE$192,'5. PERSON'!$B$17:$B$192,'14. EUFP'!$B30,'5. PERSON'!$D$17:$D$192,FT$18)</f>
        <v>0</v>
      </c>
      <c r="FU30" s="941">
        <f>SUMIFS('5. PERSON'!$AE$17:$AE$192,'5. PERSON'!$B$17:$B$192,'14. EUFP'!$B30,'5. PERSON'!$D$17:$D$192,FU$18)</f>
        <v>0</v>
      </c>
      <c r="FV30" s="941">
        <f>SUMIFS('5. PERSON'!$AE$17:$AE$192,'5. PERSON'!$B$17:$B$192,'14. EUFP'!$B30,'5. PERSON'!$D$17:$D$192,FV$18)</f>
        <v>0</v>
      </c>
      <c r="FW30" s="941">
        <f>SUMIFS('5. PERSON'!$AE$17:$AE$192,'5. PERSON'!$B$17:$B$192,'14. EUFP'!$B30,'5. PERSON'!$D$17:$D$192,FW$18)</f>
        <v>0</v>
      </c>
      <c r="FX30" s="941">
        <f>SUMIFS('5. PERSON'!$AE$17:$AE$192,'5. PERSON'!$B$17:$B$192,'14. EUFP'!$B30,'5. PERSON'!$D$17:$D$192,FX$18)</f>
        <v>0</v>
      </c>
      <c r="FY30" s="941">
        <f>SUMIFS('5. PERSON'!$AE$17:$AE$192,'5. PERSON'!$B$17:$B$192,'14. EUFP'!$B30,'5. PERSON'!$D$17:$D$192,FY$18)</f>
        <v>0</v>
      </c>
      <c r="FZ30" s="941">
        <f>SUMIFS('5. PERSON'!$AE$17:$AE$192,'5. PERSON'!$B$17:$B$192,'14. EUFP'!$B30,'5. PERSON'!$D$17:$D$192,FZ$18)</f>
        <v>0</v>
      </c>
      <c r="GA30" s="941">
        <f>SUMIFS('5. PERSON'!$AE$17:$AE$192,'5. PERSON'!$B$17:$B$192,'14. EUFP'!$B30,'5. PERSON'!$D$17:$D$192,GA$18)</f>
        <v>0</v>
      </c>
      <c r="GB30" s="941">
        <f>SUMIFS('5. PERSON'!$AE$17:$AE$192,'5. PERSON'!$B$17:$B$192,'14. EUFP'!$B30,'5. PERSON'!$D$17:$D$192,GB$18)</f>
        <v>0</v>
      </c>
      <c r="GC30" s="941">
        <f>SUMIFS('5. PERSON'!$AE$17:$AE$192,'5. PERSON'!$B$17:$B$192,'14. EUFP'!$B30,'5. PERSON'!$D$17:$D$192,GC$18)</f>
        <v>0</v>
      </c>
      <c r="GD30" s="941">
        <f>SUMIFS('5. PERSON'!$AE$17:$AE$192,'5. PERSON'!$B$17:$B$192,'14. EUFP'!$B30,'5. PERSON'!$D$17:$D$192,GD$18)</f>
        <v>0</v>
      </c>
      <c r="GE30" s="941">
        <f>SUMIFS('5. PERSON'!$AE$17:$AE$192,'5. PERSON'!$B$17:$B$192,'14. EUFP'!$B30,'5. PERSON'!$D$17:$D$192,GE$18)</f>
        <v>0</v>
      </c>
      <c r="GF30" s="941">
        <f>SUMIFS('5. PERSON'!$AE$17:$AE$192,'5. PERSON'!$B$17:$B$192,'14. EUFP'!$B30,'5. PERSON'!$D$17:$D$192,GF$18)</f>
        <v>0</v>
      </c>
      <c r="GG30" s="941">
        <f>SUMIFS('5. PERSON'!$AE$17:$AE$192,'5. PERSON'!$B$17:$B$192,'14. EUFP'!$B30,'5. PERSON'!$D$17:$D$192,GG$18)</f>
        <v>0</v>
      </c>
      <c r="GH30" s="941">
        <f>SUMIFS('5. PERSON'!$AE$17:$AE$192,'5. PERSON'!$B$17:$B$192,'14. EUFP'!$B30,'5. PERSON'!$D$17:$D$192,GH$18)</f>
        <v>0</v>
      </c>
      <c r="GI30" s="941">
        <f>SUMIFS('5. PERSON'!$AE$17:$AE$192,'5. PERSON'!$B$17:$B$192,'14. EUFP'!$B30,'5. PERSON'!$D$17:$D$192,GI$18)</f>
        <v>0</v>
      </c>
      <c r="GJ30" s="941">
        <f>SUMIFS('5. PERSON'!$AE$17:$AE$192,'5. PERSON'!$B$17:$B$192,'14. EUFP'!$B30,'5. PERSON'!$D$17:$D$192,GJ$18)</f>
        <v>0</v>
      </c>
      <c r="GK30" s="941">
        <f>SUMIFS('5. PERSON'!$AE$17:$AE$192,'5. PERSON'!$B$17:$B$192,'14. EUFP'!$B30,'5. PERSON'!$D$17:$D$192,GK$18)</f>
        <v>0</v>
      </c>
      <c r="GL30" s="941">
        <f t="shared" si="28"/>
        <v>0</v>
      </c>
    </row>
    <row r="31" spans="2:194" s="71" customFormat="1" ht="13.5" customHeight="1" x14ac:dyDescent="0.2">
      <c r="B31" s="259" t="str">
        <f>'3. PARTNER'!B58</f>
        <v>EXT108</v>
      </c>
      <c r="C31" s="281">
        <f>SUMIF('5. PERSON'!B$17:B$192,B31,'5. PERSON'!AR$17:AR$192)</f>
        <v>0</v>
      </c>
      <c r="D31" s="281">
        <f>SUMIFS('5. PERSON'!$AR$17:$AR$192,'5. PERSON'!$B$17:$B$192,$B31,'5. PERSON'!$D$17:$D$192,D$18)</f>
        <v>0</v>
      </c>
      <c r="E31" s="281">
        <f>SUMIFS('5. PERSON'!$AR$17:$AR$192,'5. PERSON'!$B$17:$B$192,$B31,'5. PERSON'!$D$17:$D$192,E$18)</f>
        <v>0</v>
      </c>
      <c r="F31" s="281">
        <f>SUMIFS('5. PERSON'!$AR$17:$AR$192,'5. PERSON'!$B$17:$B$192,$B31,'5. PERSON'!$D$17:$D$192,F$18)</f>
        <v>0</v>
      </c>
      <c r="G31" s="281">
        <f>SUMIFS('5. PERSON'!$AR$17:$AR$192,'5. PERSON'!$B$17:$B$192,$B31,'5. PERSON'!$D$17:$D$192,G$18)</f>
        <v>0</v>
      </c>
      <c r="H31" s="281">
        <f>SUMIFS('5. PERSON'!$AR$17:$AR$192,'5. PERSON'!$B$17:$B$192,$B31,'5. PERSON'!$D$17:$D$192,H$18)</f>
        <v>0</v>
      </c>
      <c r="I31" s="281">
        <f>SUMIFS('5. PERSON'!$AR$17:$AR$192,'5. PERSON'!$B$17:$B$192,$B31,'5. PERSON'!$D$17:$D$192,I$18)</f>
        <v>0</v>
      </c>
      <c r="J31" s="281">
        <f>SUMIFS('5. PERSON'!$AR$17:$AR$192,'5. PERSON'!$B$17:$B$192,$B31,'5. PERSON'!$D$17:$D$192,J$18)</f>
        <v>0</v>
      </c>
      <c r="K31" s="281">
        <f>SUMIFS('5. PERSON'!$AR$17:$AR$192,'5. PERSON'!$B$17:$B$192,$B31,'5. PERSON'!$D$17:$D$192,K$18)</f>
        <v>0</v>
      </c>
      <c r="L31" s="281">
        <f>SUMIFS('5. PERSON'!$AR$17:$AR$192,'5. PERSON'!$B$17:$B$192,$B31,'5. PERSON'!$D$17:$D$192,L$18)</f>
        <v>0</v>
      </c>
      <c r="M31" s="281">
        <f>SUMIFS('5. PERSON'!$AR$17:$AR$192,'5. PERSON'!$B$17:$B$192,$B31,'5. PERSON'!$D$17:$D$192,M$18)</f>
        <v>0</v>
      </c>
      <c r="N31" s="281">
        <f>SUMIFS('5. PERSON'!$AR$17:$AR$192,'5. PERSON'!$B$17:$B$192,$B31,'5. PERSON'!$D$17:$D$192,N$18)</f>
        <v>0</v>
      </c>
      <c r="O31" s="281">
        <f>SUMIFS('5. PERSON'!$AR$17:$AR$192,'5. PERSON'!$B$17:$B$192,$B31,'5. PERSON'!$D$17:$D$192,O$18)</f>
        <v>0</v>
      </c>
      <c r="P31" s="281">
        <f>SUMIFS('5. PERSON'!$AR$17:$AR$192,'5. PERSON'!$B$17:$B$192,$B31,'5. PERSON'!$D$17:$D$192,P$18)</f>
        <v>0</v>
      </c>
      <c r="Q31" s="281">
        <f>SUMIFS('5. PERSON'!$AR$17:$AR$192,'5. PERSON'!$B$17:$B$192,$B31,'5. PERSON'!$D$17:$D$192,Q$18)</f>
        <v>0</v>
      </c>
      <c r="R31" s="281">
        <f>SUMIFS('5. PERSON'!$AR$17:$AR$192,'5. PERSON'!$B$17:$B$192,$B31,'5. PERSON'!$D$17:$D$192,R$18)</f>
        <v>0</v>
      </c>
      <c r="S31" s="281">
        <f>SUMIFS('5. PERSON'!$AR$17:$AR$192,'5. PERSON'!$B$17:$B$192,$B31,'5. PERSON'!$D$17:$D$192,S$18)</f>
        <v>0</v>
      </c>
      <c r="T31" s="281">
        <f>SUMIFS('5. PERSON'!$AR$17:$AR$192,'5. PERSON'!$B$17:$B$192,$B31,'5. PERSON'!$D$17:$D$192,T$18)</f>
        <v>0</v>
      </c>
      <c r="U31" s="281">
        <f>SUMIFS('5. PERSON'!$AR$17:$AR$192,'5. PERSON'!$B$17:$B$192,$B31,'5. PERSON'!$D$17:$D$192,U$18)</f>
        <v>0</v>
      </c>
      <c r="V31" s="281">
        <f>SUMIFS('5. PERSON'!$AR$17:$AR$192,'5. PERSON'!$B$17:$B$192,$B31,'5. PERSON'!$D$17:$D$192,V$18)</f>
        <v>0</v>
      </c>
      <c r="W31" s="281">
        <f>SUMIFS('5. PERSON'!$AR$17:$AR$192,'5. PERSON'!$B$17:$B$192,$B31,'5. PERSON'!$D$17:$D$192,W$18)</f>
        <v>0</v>
      </c>
      <c r="X31" s="281">
        <f>SUMIFS('6. OPERATION'!R$17:R$149,'6. OPERATION'!B$17:B$149,B31,'6. OPERATION'!G$17:G$149,"SUBCON")</f>
        <v>0</v>
      </c>
      <c r="Y31" s="281">
        <f>SUMIFS('6. OPERATION'!$R$17:$R$149,'6. OPERATION'!$B$17:$B$149,$B31,'6. OPERATION'!$G$17:$G$149,"SUBCON",'6. OPERATION'!$D$17:$D$149,Y$18)</f>
        <v>0</v>
      </c>
      <c r="Z31" s="281">
        <f>SUMIFS('6. OPERATION'!$R$17:$R$149,'6. OPERATION'!$B$17:$B$149,$B31,'6. OPERATION'!$G$17:$G$149,"SUBCON",'6. OPERATION'!$D$17:$D$149,Z$18)</f>
        <v>0</v>
      </c>
      <c r="AA31" s="281">
        <f>SUMIFS('6. OPERATION'!$R$17:$R$149,'6. OPERATION'!$B$17:$B$149,$B31,'6. OPERATION'!$G$17:$G$149,"SUBCON",'6. OPERATION'!$D$17:$D$149,AA$18)</f>
        <v>0</v>
      </c>
      <c r="AB31" s="281">
        <f>SUMIFS('6. OPERATION'!$R$17:$R$149,'6. OPERATION'!$B$17:$B$149,$B31,'6. OPERATION'!$G$17:$G$149,"SUBCON",'6. OPERATION'!$D$17:$D$149,AB$18)</f>
        <v>0</v>
      </c>
      <c r="AC31" s="281">
        <f>SUMIFS('6. OPERATION'!$R$17:$R$149,'6. OPERATION'!$B$17:$B$149,$B31,'6. OPERATION'!$G$17:$G$149,"SUBCON",'6. OPERATION'!$D$17:$D$149,AC$18)</f>
        <v>0</v>
      </c>
      <c r="AD31" s="281">
        <f>SUMIFS('6. OPERATION'!$R$17:$R$149,'6. OPERATION'!$B$17:$B$149,$B31,'6. OPERATION'!$G$17:$G$149,"SUBCON",'6. OPERATION'!$D$17:$D$149,AD$18)</f>
        <v>0</v>
      </c>
      <c r="AE31" s="281">
        <f>SUMIFS('6. OPERATION'!$R$17:$R$149,'6. OPERATION'!$B$17:$B$149,$B31,'6. OPERATION'!$G$17:$G$149,"SUBCON",'6. OPERATION'!$D$17:$D$149,AE$18)</f>
        <v>0</v>
      </c>
      <c r="AF31" s="281">
        <f>SUMIFS('6. OPERATION'!$R$17:$R$149,'6. OPERATION'!$B$17:$B$149,$B31,'6. OPERATION'!$G$17:$G$149,"SUBCON",'6. OPERATION'!$D$17:$D$149,AF$18)</f>
        <v>0</v>
      </c>
      <c r="AG31" s="281">
        <f>SUMIFS('6. OPERATION'!$R$17:$R$149,'6. OPERATION'!$B$17:$B$149,$B31,'6. OPERATION'!$G$17:$G$149,"SUBCON",'6. OPERATION'!$D$17:$D$149,AG$18)</f>
        <v>0</v>
      </c>
      <c r="AH31" s="281">
        <f>SUMIFS('6. OPERATION'!$R$17:$R$149,'6. OPERATION'!$B$17:$B$149,$B31,'6. OPERATION'!$G$17:$G$149,"SUBCON",'6. OPERATION'!$D$17:$D$149,AH$18)</f>
        <v>0</v>
      </c>
      <c r="AI31" s="281">
        <f>SUMIFS('6. OPERATION'!$R$17:$R$149,'6. OPERATION'!$B$17:$B$149,$B31,'6. OPERATION'!$G$17:$G$149,"SUBCON",'6. OPERATION'!$D$17:$D$149,AI$18)</f>
        <v>0</v>
      </c>
      <c r="AJ31" s="281">
        <f>SUMIFS('6. OPERATION'!$R$17:$R$149,'6. OPERATION'!$B$17:$B$149,$B31,'6. OPERATION'!$G$17:$G$149,"SUBCON",'6. OPERATION'!$D$17:$D$149,AJ$18)</f>
        <v>0</v>
      </c>
      <c r="AK31" s="281">
        <f>SUMIFS('6. OPERATION'!$R$17:$R$149,'6. OPERATION'!$B$17:$B$149,$B31,'6. OPERATION'!$G$17:$G$149,"SUBCON",'6. OPERATION'!$D$17:$D$149,AK$18)</f>
        <v>0</v>
      </c>
      <c r="AL31" s="281">
        <f>SUMIFS('6. OPERATION'!$R$17:$R$149,'6. OPERATION'!$B$17:$B$149,$B31,'6. OPERATION'!$G$17:$G$149,"SUBCON",'6. OPERATION'!$D$17:$D$149,AL$18)</f>
        <v>0</v>
      </c>
      <c r="AM31" s="281">
        <f>SUMIFS('6. OPERATION'!$R$17:$R$149,'6. OPERATION'!$B$17:$B$149,$B31,'6. OPERATION'!$G$17:$G$149,"SUBCON",'6. OPERATION'!$D$17:$D$149,AM$18)</f>
        <v>0</v>
      </c>
      <c r="AN31" s="281">
        <f>SUMIFS('6. OPERATION'!$R$17:$R$149,'6. OPERATION'!$B$17:$B$149,$B31,'6. OPERATION'!$G$17:$G$149,"SUBCON",'6. OPERATION'!$D$17:$D$149,AN$18)</f>
        <v>0</v>
      </c>
      <c r="AO31" s="281">
        <f>SUMIFS('6. OPERATION'!$R$17:$R$149,'6. OPERATION'!$B$17:$B$149,$B31,'6. OPERATION'!$G$17:$G$149,"SUBCON",'6. OPERATION'!$D$17:$D$149,AO$18)</f>
        <v>0</v>
      </c>
      <c r="AP31" s="281">
        <f>SUMIFS('6. OPERATION'!$R$17:$R$149,'6. OPERATION'!$B$17:$B$149,$B31,'6. OPERATION'!$G$17:$G$149,"SUBCON",'6. OPERATION'!$D$17:$D$149,AP$18)</f>
        <v>0</v>
      </c>
      <c r="AQ31" s="281">
        <f>SUMIFS('6. OPERATION'!$R$17:$R$149,'6. OPERATION'!$B$17:$B$149,$B31,'6. OPERATION'!$G$17:$G$149,"SUBCON",'6. OPERATION'!$D$17:$D$149,AQ$18)</f>
        <v>0</v>
      </c>
      <c r="AR31" s="281">
        <f>SUMIFS('6. OPERATION'!$R$17:$R$149,'6. OPERATION'!$B$17:$B$149,$B31,'6. OPERATION'!$G$17:$G$149,"SUBCON",'6. OPERATION'!$D$17:$D$149,AR$18)</f>
        <v>0</v>
      </c>
      <c r="AS31" s="281">
        <f>SUMIFS('6. OPERATION'!R$17:R$149,'6. OPERATION'!B$17:B$149,B31,'6. OPERATION'!G$17:G$149,"TRAVEL")</f>
        <v>0</v>
      </c>
      <c r="AT31" s="281">
        <f>SUMIFS('6. OPERATION'!$R$17:$R$149,'6. OPERATION'!$B$17:$B$149,$B31,'6. OPERATION'!$G$17:$G$149,"TRAVEL",'6. OPERATION'!$D$17:$D$149,AT$18)</f>
        <v>0</v>
      </c>
      <c r="AU31" s="281">
        <f>SUMIFS('6. OPERATION'!$R$17:$R$149,'6. OPERATION'!$B$17:$B$149,$B31,'6. OPERATION'!$G$17:$G$149,"TRAVEL",'6. OPERATION'!$D$17:$D$149,AU$18)</f>
        <v>0</v>
      </c>
      <c r="AV31" s="281">
        <f>SUMIFS('6. OPERATION'!$R$17:$R$149,'6. OPERATION'!$B$17:$B$149,$B31,'6. OPERATION'!$G$17:$G$149,"TRAVEL",'6. OPERATION'!$D$17:$D$149,AV$18)</f>
        <v>0</v>
      </c>
      <c r="AW31" s="281">
        <f>SUMIFS('6. OPERATION'!$R$17:$R$149,'6. OPERATION'!$B$17:$B$149,$B31,'6. OPERATION'!$G$17:$G$149,"TRAVEL",'6. OPERATION'!$D$17:$D$149,AW$18)</f>
        <v>0</v>
      </c>
      <c r="AX31" s="281">
        <f>SUMIFS('6. OPERATION'!$R$17:$R$149,'6. OPERATION'!$B$17:$B$149,$B31,'6. OPERATION'!$G$17:$G$149,"TRAVEL",'6. OPERATION'!$D$17:$D$149,AX$18)</f>
        <v>0</v>
      </c>
      <c r="AY31" s="281">
        <f>SUMIFS('6. OPERATION'!$R$17:$R$149,'6. OPERATION'!$B$17:$B$149,$B31,'6. OPERATION'!$G$17:$G$149,"TRAVEL",'6. OPERATION'!$D$17:$D$149,AY$18)</f>
        <v>0</v>
      </c>
      <c r="AZ31" s="281">
        <f>SUMIFS('6. OPERATION'!$R$17:$R$149,'6. OPERATION'!$B$17:$B$149,$B31,'6. OPERATION'!$G$17:$G$149,"TRAVEL",'6. OPERATION'!$D$17:$D$149,AZ$18)</f>
        <v>0</v>
      </c>
      <c r="BA31" s="281">
        <f>SUMIFS('6. OPERATION'!$R$17:$R$149,'6. OPERATION'!$B$17:$B$149,$B31,'6. OPERATION'!$G$17:$G$149,"TRAVEL",'6. OPERATION'!$D$17:$D$149,BA$18)</f>
        <v>0</v>
      </c>
      <c r="BB31" s="281">
        <f>SUMIFS('6. OPERATION'!$R$17:$R$149,'6. OPERATION'!$B$17:$B$149,$B31,'6. OPERATION'!$G$17:$G$149,"TRAVEL",'6. OPERATION'!$D$17:$D$149,BB$18)</f>
        <v>0</v>
      </c>
      <c r="BC31" s="281">
        <f>SUMIFS('6. OPERATION'!$R$17:$R$149,'6. OPERATION'!$B$17:$B$149,$B31,'6. OPERATION'!$G$17:$G$149,"TRAVEL",'6. OPERATION'!$D$17:$D$149,BC$18)</f>
        <v>0</v>
      </c>
      <c r="BD31" s="281">
        <f>SUMIFS('6. OPERATION'!$R$17:$R$149,'6. OPERATION'!$B$17:$B$149,$B31,'6. OPERATION'!$G$17:$G$149,"TRAVEL",'6. OPERATION'!$D$17:$D$149,BD$18)</f>
        <v>0</v>
      </c>
      <c r="BE31" s="281">
        <f>SUMIFS('6. OPERATION'!$R$17:$R$149,'6. OPERATION'!$B$17:$B$149,$B31,'6. OPERATION'!$G$17:$G$149,"TRAVEL",'6. OPERATION'!$D$17:$D$149,BE$18)</f>
        <v>0</v>
      </c>
      <c r="BF31" s="281">
        <f>SUMIFS('6. OPERATION'!$R$17:$R$149,'6. OPERATION'!$B$17:$B$149,$B31,'6. OPERATION'!$G$17:$G$149,"TRAVEL",'6. OPERATION'!$D$17:$D$149,BF$18)</f>
        <v>0</v>
      </c>
      <c r="BG31" s="281">
        <f>SUMIFS('6. OPERATION'!$R$17:$R$149,'6. OPERATION'!$B$17:$B$149,$B31,'6. OPERATION'!$G$17:$G$149,"TRAVEL",'6. OPERATION'!$D$17:$D$149,BG$18)</f>
        <v>0</v>
      </c>
      <c r="BH31" s="281">
        <f>SUMIFS('6. OPERATION'!$R$17:$R$149,'6. OPERATION'!$B$17:$B$149,$B31,'6. OPERATION'!$G$17:$G$149,"TRAVEL",'6. OPERATION'!$D$17:$D$149,BH$18)</f>
        <v>0</v>
      </c>
      <c r="BI31" s="281">
        <f>SUMIFS('6. OPERATION'!$R$17:$R$149,'6. OPERATION'!$B$17:$B$149,$B31,'6. OPERATION'!$G$17:$G$149,"TRAVEL",'6. OPERATION'!$D$17:$D$149,BI$18)</f>
        <v>0</v>
      </c>
      <c r="BJ31" s="281">
        <f>SUMIFS('6. OPERATION'!$R$17:$R$149,'6. OPERATION'!$B$17:$B$149,$B31,'6. OPERATION'!$G$17:$G$149,"TRAVEL",'6. OPERATION'!$D$17:$D$149,BJ$18)</f>
        <v>0</v>
      </c>
      <c r="BK31" s="281">
        <f>SUMIFS('6. OPERATION'!$R$17:$R$149,'6. OPERATION'!$B$17:$B$149,$B31,'6. OPERATION'!$G$17:$G$149,"TRAVEL",'6. OPERATION'!$D$17:$D$149,BK$18)</f>
        <v>0</v>
      </c>
      <c r="BL31" s="281">
        <f>SUMIFS('6. OPERATION'!$R$17:$R$149,'6. OPERATION'!$B$17:$B$149,$B31,'6. OPERATION'!$G$17:$G$149,"TRAVEL",'6. OPERATION'!$D$17:$D$149,BL$18)</f>
        <v>0</v>
      </c>
      <c r="BM31" s="281">
        <f>SUMIFS('6. OPERATION'!$R$17:$R$149,'6. OPERATION'!$B$17:$B$149,$B31,'6. OPERATION'!$G$17:$G$149,"TRAVEL",'6. OPERATION'!$D$17:$D$149,BM$18)</f>
        <v>0</v>
      </c>
      <c r="BN31" s="281">
        <f>SUMIF('7. INVEST'!B$17:B$49,B31,'7. INVEST'!S$17:S$49)</f>
        <v>0</v>
      </c>
      <c r="BO31" s="281">
        <f>SUMIFS('7. INVEST'!$S$17:$S$49,'7. INVEST'!$B$17:$B$49,$B31,'7. INVEST'!$D$17:$D$49,BO$18)</f>
        <v>0</v>
      </c>
      <c r="BP31" s="281">
        <f>SUMIFS('7. INVEST'!$S$17:$S$49,'7. INVEST'!$B$17:$B$49,$B31,'7. INVEST'!$D$17:$D$49,BP$18)</f>
        <v>0</v>
      </c>
      <c r="BQ31" s="281">
        <f>SUMIFS('7. INVEST'!$S$17:$S$49,'7. INVEST'!$B$17:$B$49,$B31,'7. INVEST'!$D$17:$D$49,BQ$18)</f>
        <v>0</v>
      </c>
      <c r="BR31" s="281">
        <f>SUMIFS('7. INVEST'!$S$17:$S$49,'7. INVEST'!$B$17:$B$49,$B31,'7. INVEST'!$D$17:$D$49,BR$18)</f>
        <v>0</v>
      </c>
      <c r="BS31" s="281">
        <f>SUMIFS('7. INVEST'!$S$17:$S$49,'7. INVEST'!$B$17:$B$49,$B31,'7. INVEST'!$D$17:$D$49,BS$18)</f>
        <v>0</v>
      </c>
      <c r="BT31" s="281">
        <f>SUMIFS('7. INVEST'!$S$17:$S$49,'7. INVEST'!$B$17:$B$49,$B31,'7. INVEST'!$D$17:$D$49,BT$18)</f>
        <v>0</v>
      </c>
      <c r="BU31" s="281">
        <f>SUMIFS('7. INVEST'!$S$17:$S$49,'7. INVEST'!$B$17:$B$49,$B31,'7. INVEST'!$D$17:$D$49,BU$18)</f>
        <v>0</v>
      </c>
      <c r="BV31" s="281">
        <f>SUMIFS('7. INVEST'!$S$17:$S$49,'7. INVEST'!$B$17:$B$49,$B31,'7. INVEST'!$D$17:$D$49,BV$18)</f>
        <v>0</v>
      </c>
      <c r="BW31" s="281">
        <f>SUMIFS('7. INVEST'!$S$17:$S$49,'7. INVEST'!$B$17:$B$49,$B31,'7. INVEST'!$D$17:$D$49,BW$18)</f>
        <v>0</v>
      </c>
      <c r="BX31" s="281">
        <f>SUMIFS('7. INVEST'!$S$17:$S$49,'7. INVEST'!$B$17:$B$49,$B31,'7. INVEST'!$D$17:$D$49,BX$18)</f>
        <v>0</v>
      </c>
      <c r="BY31" s="281">
        <f>SUMIFS('7. INVEST'!$S$17:$S$49,'7. INVEST'!$B$17:$B$49,$B31,'7. INVEST'!$D$17:$D$49,BY$18)</f>
        <v>0</v>
      </c>
      <c r="BZ31" s="281">
        <f>SUMIFS('7. INVEST'!$S$17:$S$49,'7. INVEST'!$B$17:$B$49,$B31,'7. INVEST'!$D$17:$D$49,BZ$18)</f>
        <v>0</v>
      </c>
      <c r="CA31" s="281">
        <f>SUMIFS('7. INVEST'!$S$17:$S$49,'7. INVEST'!$B$17:$B$49,$B31,'7. INVEST'!$D$17:$D$49,CA$18)</f>
        <v>0</v>
      </c>
      <c r="CB31" s="281">
        <f>SUMIFS('7. INVEST'!$S$17:$S$49,'7. INVEST'!$B$17:$B$49,$B31,'7. INVEST'!$D$17:$D$49,CB$18)</f>
        <v>0</v>
      </c>
      <c r="CC31" s="281">
        <f>SUMIFS('7. INVEST'!$S$17:$S$49,'7. INVEST'!$B$17:$B$49,$B31,'7. INVEST'!$D$17:$D$49,CC$18)</f>
        <v>0</v>
      </c>
      <c r="CD31" s="281">
        <f>SUMIFS('7. INVEST'!$S$17:$S$49,'7. INVEST'!$B$17:$B$49,$B31,'7. INVEST'!$D$17:$D$49,CD$18)</f>
        <v>0</v>
      </c>
      <c r="CE31" s="281">
        <f>SUMIFS('7. INVEST'!$S$17:$S$49,'7. INVEST'!$B$17:$B$49,$B31,'7. INVEST'!$D$17:$D$49,CE$18)</f>
        <v>0</v>
      </c>
      <c r="CF31" s="281">
        <f>SUMIFS('7. INVEST'!$S$17:$S$49,'7. INVEST'!$B$17:$B$49,$B31,'7. INVEST'!$D$17:$D$49,CF$18)</f>
        <v>0</v>
      </c>
      <c r="CG31" s="281">
        <f>SUMIFS('7. INVEST'!$S$17:$S$49,'7. INVEST'!$B$17:$B$49,$B31,'7. INVEST'!$D$17:$D$49,CG$18)</f>
        <v>0</v>
      </c>
      <c r="CH31" s="281">
        <f>SUMIFS('7. INVEST'!$S$17:$S$49,'7. INVEST'!$B$17:$B$49,$B31,'7. INVEST'!$D$17:$D$49,CH$18)</f>
        <v>0</v>
      </c>
      <c r="CI31" s="281">
        <f>SUMIFS('6. OPERATION'!$R$17:$R$149,'6. OPERATION'!$B$17:$B$149,$B31,'6. OPERATION'!$G$17:$G$149,"OTHER")+SUMIF('8. FACILIT'!$B$18:$B$50,$B31,'8. FACILIT'!$P$18:$P$50)</f>
        <v>0</v>
      </c>
      <c r="CJ31" s="281">
        <f>SUMIFS('6. OPERATION'!$R$17:$R$149,'6. OPERATION'!$B$17:$B$149,$B31,'6. OPERATION'!$G$17:$G$149,"OTHER",'6. OPERATION'!$D$17:$D$149,CJ$18)+SUMIFS('8. FACILIT'!$P$18:$P$50,'8. FACILIT'!$B$18:$B$50,$B31,'8. FACILIT'!$D$18:$D$50,CJ$18)</f>
        <v>0</v>
      </c>
      <c r="CK31" s="281">
        <f>SUMIFS('6. OPERATION'!$R$17:$R$149,'6. OPERATION'!$B$17:$B$149,$B31,'6. OPERATION'!$G$17:$G$149,"OTHER",'6. OPERATION'!$D$17:$D$149,CK$18)+SUMIFS('8. FACILIT'!$P$18:$P$50,'8. FACILIT'!$B$18:$B$50,$B31,'8. FACILIT'!$D$18:$D$50,CK$18)</f>
        <v>0</v>
      </c>
      <c r="CL31" s="281">
        <f>SUMIFS('6. OPERATION'!$R$17:$R$149,'6. OPERATION'!$B$17:$B$149,$B31,'6. OPERATION'!$G$17:$G$149,"OTHER",'6. OPERATION'!$D$17:$D$149,CL$18)+SUMIFS('8. FACILIT'!$P$18:$P$50,'8. FACILIT'!$B$18:$B$50,$B31,'8. FACILIT'!$D$18:$D$50,CL$18)</f>
        <v>0</v>
      </c>
      <c r="CM31" s="281">
        <f>SUMIFS('6. OPERATION'!$R$17:$R$149,'6. OPERATION'!$B$17:$B$149,$B31,'6. OPERATION'!$G$17:$G$149,"OTHER",'6. OPERATION'!$D$17:$D$149,CM$18)+SUMIFS('8. FACILIT'!$P$18:$P$50,'8. FACILIT'!$B$18:$B$50,$B31,'8. FACILIT'!$D$18:$D$50,CM$18)</f>
        <v>0</v>
      </c>
      <c r="CN31" s="281">
        <f>SUMIFS('6. OPERATION'!$R$17:$R$149,'6. OPERATION'!$B$17:$B$149,$B31,'6. OPERATION'!$G$17:$G$149,"OTHER",'6. OPERATION'!$D$17:$D$149,CN$18)+SUMIFS('8. FACILIT'!$P$18:$P$50,'8. FACILIT'!$B$18:$B$50,$B31,'8. FACILIT'!$D$18:$D$50,CN$18)</f>
        <v>0</v>
      </c>
      <c r="CO31" s="281">
        <f>SUMIFS('6. OPERATION'!$R$17:$R$149,'6. OPERATION'!$B$17:$B$149,$B31,'6. OPERATION'!$G$17:$G$149,"OTHER",'6. OPERATION'!$D$17:$D$149,CO$18)+SUMIFS('8. FACILIT'!$P$18:$P$50,'8. FACILIT'!$B$18:$B$50,$B31,'8. FACILIT'!$D$18:$D$50,CO$18)</f>
        <v>0</v>
      </c>
      <c r="CP31" s="281">
        <f>SUMIFS('6. OPERATION'!$R$17:$R$149,'6. OPERATION'!$B$17:$B$149,$B31,'6. OPERATION'!$G$17:$G$149,"OTHER",'6. OPERATION'!$D$17:$D$149,CP$18)+SUMIFS('8. FACILIT'!$P$18:$P$50,'8. FACILIT'!$B$18:$B$50,$B31,'8. FACILIT'!$D$18:$D$50,CP$18)</f>
        <v>0</v>
      </c>
      <c r="CQ31" s="281">
        <f>SUMIFS('6. OPERATION'!$R$17:$R$149,'6. OPERATION'!$B$17:$B$149,$B31,'6. OPERATION'!$G$17:$G$149,"OTHER",'6. OPERATION'!$D$17:$D$149,CQ$18)+SUMIFS('8. FACILIT'!$P$18:$P$50,'8. FACILIT'!$B$18:$B$50,$B31,'8. FACILIT'!$D$18:$D$50,CQ$18)</f>
        <v>0</v>
      </c>
      <c r="CR31" s="281">
        <f>SUMIFS('6. OPERATION'!$R$17:$R$149,'6. OPERATION'!$B$17:$B$149,$B31,'6. OPERATION'!$G$17:$G$149,"OTHER",'6. OPERATION'!$D$17:$D$149,CR$18)+SUMIFS('8. FACILIT'!$P$18:$P$50,'8. FACILIT'!$B$18:$B$50,$B31,'8. FACILIT'!$D$18:$D$50,CR$18)</f>
        <v>0</v>
      </c>
      <c r="CS31" s="281">
        <f>SUMIFS('6. OPERATION'!$R$17:$R$149,'6. OPERATION'!$B$17:$B$149,$B31,'6. OPERATION'!$G$17:$G$149,"OTHER",'6. OPERATION'!$D$17:$D$149,CS$18)+SUMIFS('8. FACILIT'!$P$18:$P$50,'8. FACILIT'!$B$18:$B$50,$B31,'8. FACILIT'!$D$18:$D$50,CS$18)</f>
        <v>0</v>
      </c>
      <c r="CT31" s="281">
        <f>SUMIFS('6. OPERATION'!$R$17:$R$149,'6. OPERATION'!$B$17:$B$149,$B31,'6. OPERATION'!$G$17:$G$149,"OTHER",'6. OPERATION'!$D$17:$D$149,CT$18)+SUMIFS('8. FACILIT'!$P$18:$P$50,'8. FACILIT'!$B$18:$B$50,$B31,'8. FACILIT'!$D$18:$D$50,CT$18)</f>
        <v>0</v>
      </c>
      <c r="CU31" s="281">
        <f>SUMIFS('6. OPERATION'!$R$17:$R$149,'6. OPERATION'!$B$17:$B$149,$B31,'6. OPERATION'!$G$17:$G$149,"OTHER",'6. OPERATION'!$D$17:$D$149,CU$18)+SUMIFS('8. FACILIT'!$P$18:$P$50,'8. FACILIT'!$B$18:$B$50,$B31,'8. FACILIT'!$D$18:$D$50,CU$18)</f>
        <v>0</v>
      </c>
      <c r="CV31" s="281">
        <f>SUMIFS('6. OPERATION'!$R$17:$R$149,'6. OPERATION'!$B$17:$B$149,$B31,'6. OPERATION'!$G$17:$G$149,"OTHER",'6. OPERATION'!$D$17:$D$149,CV$18)+SUMIFS('8. FACILIT'!$P$18:$P$50,'8. FACILIT'!$B$18:$B$50,$B31,'8. FACILIT'!$D$18:$D$50,CV$18)</f>
        <v>0</v>
      </c>
      <c r="CW31" s="281">
        <f>SUMIFS('6. OPERATION'!$R$17:$R$149,'6. OPERATION'!$B$17:$B$149,$B31,'6. OPERATION'!$G$17:$G$149,"OTHER",'6. OPERATION'!$D$17:$D$149,CW$18)+SUMIFS('8. FACILIT'!$P$18:$P$50,'8. FACILIT'!$B$18:$B$50,$B31,'8. FACILIT'!$D$18:$D$50,CW$18)</f>
        <v>0</v>
      </c>
      <c r="CX31" s="281">
        <f>SUMIFS('6. OPERATION'!$R$17:$R$149,'6. OPERATION'!$B$17:$B$149,$B31,'6. OPERATION'!$G$17:$G$149,"OTHER",'6. OPERATION'!$D$17:$D$149,CX$18)+SUMIFS('8. FACILIT'!$P$18:$P$50,'8. FACILIT'!$B$18:$B$50,$B31,'8. FACILIT'!$D$18:$D$50,CX$18)</f>
        <v>0</v>
      </c>
      <c r="CY31" s="281">
        <f>SUMIFS('6. OPERATION'!$R$17:$R$149,'6. OPERATION'!$B$17:$B$149,$B31,'6. OPERATION'!$G$17:$G$149,"OTHER",'6. OPERATION'!$D$17:$D$149,CY$18)+SUMIFS('8. FACILIT'!$P$18:$P$50,'8. FACILIT'!$B$18:$B$50,$B31,'8. FACILIT'!$D$18:$D$50,CY$18)</f>
        <v>0</v>
      </c>
      <c r="CZ31" s="281">
        <f>SUMIFS('6. OPERATION'!$R$17:$R$149,'6. OPERATION'!$B$17:$B$149,$B31,'6. OPERATION'!$G$17:$G$149,"OTHER",'6. OPERATION'!$D$17:$D$149,CZ$18)+SUMIFS('8. FACILIT'!$P$18:$P$50,'8. FACILIT'!$B$18:$B$50,$B31,'8. FACILIT'!$D$18:$D$50,CZ$18)</f>
        <v>0</v>
      </c>
      <c r="DA31" s="281">
        <f>SUMIFS('6. OPERATION'!$R$17:$R$149,'6. OPERATION'!$B$17:$B$149,$B31,'6. OPERATION'!$G$17:$G$149,"OTHER",'6. OPERATION'!$D$17:$D$149,DA$18)+SUMIFS('8. FACILIT'!$P$18:$P$50,'8. FACILIT'!$B$18:$B$50,$B31,'8. FACILIT'!$D$18:$D$50,DA$18)</f>
        <v>0</v>
      </c>
      <c r="DB31" s="281">
        <f>SUMIFS('6. OPERATION'!$R$17:$R$149,'6. OPERATION'!$B$17:$B$149,$B31,'6. OPERATION'!$G$17:$G$149,"OTHER",'6. OPERATION'!$D$17:$D$149,DB$18)+SUMIFS('8. FACILIT'!$P$18:$P$50,'8. FACILIT'!$B$18:$B$50,$B31,'8. FACILIT'!$D$18:$D$50,DB$18)</f>
        <v>0</v>
      </c>
      <c r="DC31" s="281">
        <f>SUMIFS('6. OPERATION'!$R$17:$R$149,'6. OPERATION'!$B$17:$B$149,$B31,'6. OPERATION'!$G$17:$G$149,"OTHER",'6. OPERATION'!$D$17:$D$149,DC$18)+SUMIFS('8. FACILIT'!$P$18:$P$50,'8. FACILIT'!$B$18:$B$50,$B31,'8. FACILIT'!$D$18:$D$50,DC$18)</f>
        <v>0</v>
      </c>
      <c r="DD31" s="281">
        <f>SUMIFS('6. OPERATION'!R$17:R$149,'6. OPERATION'!B$17:B$149,B31,'6. OPERATION'!G$17:G$149,"INTERN")</f>
        <v>0</v>
      </c>
      <c r="DE31" s="281">
        <f>SUMIFS('6. OPERATION'!$R$17:$R$149,'6. OPERATION'!$B$17:$B$149,$B31,'6. OPERATION'!$G$17:$G$149,"INTERN",'6. OPERATION'!$D$17:$D$149,DE$18)</f>
        <v>0</v>
      </c>
      <c r="DF31" s="281">
        <f>SUMIFS('6. OPERATION'!$R$17:$R$149,'6. OPERATION'!$B$17:$B$149,$B31,'6. OPERATION'!$G$17:$G$149,"INTERN",'6. OPERATION'!$D$17:$D$149,DF$18)</f>
        <v>0</v>
      </c>
      <c r="DG31" s="281">
        <f>SUMIFS('6. OPERATION'!$R$17:$R$149,'6. OPERATION'!$B$17:$B$149,$B31,'6. OPERATION'!$G$17:$G$149,"INTERN",'6. OPERATION'!$D$17:$D$149,DG$18)</f>
        <v>0</v>
      </c>
      <c r="DH31" s="281">
        <f>SUMIFS('6. OPERATION'!$R$17:$R$149,'6. OPERATION'!$B$17:$B$149,$B31,'6. OPERATION'!$G$17:$G$149,"INTERN",'6. OPERATION'!$D$17:$D$149,DH$18)</f>
        <v>0</v>
      </c>
      <c r="DI31" s="281">
        <f>SUMIFS('6. OPERATION'!$R$17:$R$149,'6. OPERATION'!$B$17:$B$149,$B31,'6. OPERATION'!$G$17:$G$149,"INTERN",'6. OPERATION'!$D$17:$D$149,DI$18)</f>
        <v>0</v>
      </c>
      <c r="DJ31" s="281">
        <f>SUMIFS('6. OPERATION'!$R$17:$R$149,'6. OPERATION'!$B$17:$B$149,$B31,'6. OPERATION'!$G$17:$G$149,"INTERN",'6. OPERATION'!$D$17:$D$149,DJ$18)</f>
        <v>0</v>
      </c>
      <c r="DK31" s="281">
        <f>SUMIFS('6. OPERATION'!$R$17:$R$149,'6. OPERATION'!$B$17:$B$149,$B31,'6. OPERATION'!$G$17:$G$149,"INTERN",'6. OPERATION'!$D$17:$D$149,DK$18)</f>
        <v>0</v>
      </c>
      <c r="DL31" s="281">
        <f>SUMIFS('6. OPERATION'!$R$17:$R$149,'6. OPERATION'!$B$17:$B$149,$B31,'6. OPERATION'!$G$17:$G$149,"INTERN",'6. OPERATION'!$D$17:$D$149,DL$18)</f>
        <v>0</v>
      </c>
      <c r="DM31" s="281">
        <f>SUMIFS('6. OPERATION'!$R$17:$R$149,'6. OPERATION'!$B$17:$B$149,$B31,'6. OPERATION'!$G$17:$G$149,"INTERN",'6. OPERATION'!$D$17:$D$149,DM$18)</f>
        <v>0</v>
      </c>
      <c r="DN31" s="281">
        <f>SUMIFS('6. OPERATION'!$R$17:$R$149,'6. OPERATION'!$B$17:$B$149,$B31,'6. OPERATION'!$G$17:$G$149,"INTERN",'6. OPERATION'!$D$17:$D$149,DN$18)</f>
        <v>0</v>
      </c>
      <c r="DO31" s="281">
        <f>SUMIFS('6. OPERATION'!$R$17:$R$149,'6. OPERATION'!$B$17:$B$149,$B31,'6. OPERATION'!$G$17:$G$149,"INTERN",'6. OPERATION'!$D$17:$D$149,DO$18)</f>
        <v>0</v>
      </c>
      <c r="DP31" s="281">
        <f>SUMIFS('6. OPERATION'!$R$17:$R$149,'6. OPERATION'!$B$17:$B$149,$B31,'6. OPERATION'!$G$17:$G$149,"INTERN",'6. OPERATION'!$D$17:$D$149,DP$18)</f>
        <v>0</v>
      </c>
      <c r="DQ31" s="281">
        <f>SUMIFS('6. OPERATION'!$R$17:$R$149,'6. OPERATION'!$B$17:$B$149,$B31,'6. OPERATION'!$G$17:$G$149,"INTERN",'6. OPERATION'!$D$17:$D$149,DQ$18)</f>
        <v>0</v>
      </c>
      <c r="DR31" s="281">
        <f>SUMIFS('6. OPERATION'!$R$17:$R$149,'6. OPERATION'!$B$17:$B$149,$B31,'6. OPERATION'!$G$17:$G$149,"INTERN",'6. OPERATION'!$D$17:$D$149,DR$18)</f>
        <v>0</v>
      </c>
      <c r="DS31" s="281">
        <f>SUMIFS('6. OPERATION'!$R$17:$R$149,'6. OPERATION'!$B$17:$B$149,$B31,'6. OPERATION'!$G$17:$G$149,"INTERN",'6. OPERATION'!$D$17:$D$149,DS$18)</f>
        <v>0</v>
      </c>
      <c r="DT31" s="281">
        <f>SUMIFS('6. OPERATION'!$R$17:$R$149,'6. OPERATION'!$B$17:$B$149,$B31,'6. OPERATION'!$G$17:$G$149,"INTERN",'6. OPERATION'!$D$17:$D$149,DT$18)</f>
        <v>0</v>
      </c>
      <c r="DU31" s="281">
        <f>SUMIFS('6. OPERATION'!$R$17:$R$149,'6. OPERATION'!$B$17:$B$149,$B31,'6. OPERATION'!$G$17:$G$149,"INTERN",'6. OPERATION'!$D$17:$D$149,DU$18)</f>
        <v>0</v>
      </c>
      <c r="DV31" s="281">
        <f>SUMIFS('6. OPERATION'!$R$17:$R$149,'6. OPERATION'!$B$17:$B$149,$B31,'6. OPERATION'!$G$17:$G$149,"INTERN",'6. OPERATION'!$D$17:$D$149,DV$18)</f>
        <v>0</v>
      </c>
      <c r="DW31" s="281">
        <f>SUMIFS('6. OPERATION'!$R$17:$R$149,'6. OPERATION'!$B$17:$B$149,$B31,'6. OPERATION'!$G$17:$G$149,"INTERN",'6. OPERATION'!$D$17:$D$149,DW$18)</f>
        <v>0</v>
      </c>
      <c r="DX31" s="281">
        <f>SUMIFS('6. OPERATION'!$R$17:$R$149,'6. OPERATION'!$B$17:$B$149,$B31,'6. OPERATION'!$G$17:$G$149,"INTERN",'6. OPERATION'!$D$17:$D$149,DX$18)</f>
        <v>0</v>
      </c>
      <c r="DY31" s="288">
        <f>(C31+AS31+BN31+CI31)*'2. START'!$C$12</f>
        <v>0</v>
      </c>
      <c r="DZ31" s="288">
        <f>(D31+AT31+BO31+CJ31)*'2. START'!$C$12</f>
        <v>0</v>
      </c>
      <c r="EA31" s="288">
        <f>(E31+AU31+BP31+CK31)*'2. START'!$C$12</f>
        <v>0</v>
      </c>
      <c r="EB31" s="288">
        <f>(F31+AV31+BQ31+CL31)*'2. START'!$C$12</f>
        <v>0</v>
      </c>
      <c r="EC31" s="288">
        <f>(G31+AW31+BR31+CM31)*'2. START'!$C$12</f>
        <v>0</v>
      </c>
      <c r="ED31" s="288">
        <f>(H31+AX31+BS31+CN31)*'2. START'!$C$12</f>
        <v>0</v>
      </c>
      <c r="EE31" s="288">
        <f>(I31+AY31+BT31+CO31)*'2. START'!$C$12</f>
        <v>0</v>
      </c>
      <c r="EF31" s="288">
        <f>(J31+AZ31+BU31+CP31)*'2. START'!$C$12</f>
        <v>0</v>
      </c>
      <c r="EG31" s="288">
        <f>(K31+BA31+BV31+CQ31)*'2. START'!$C$12</f>
        <v>0</v>
      </c>
      <c r="EH31" s="288">
        <f>(L31+BB31+BW31+CR31)*'2. START'!$C$12</f>
        <v>0</v>
      </c>
      <c r="EI31" s="288">
        <f>(M31+BC31+BX31+CS31)*'2. START'!$C$12</f>
        <v>0</v>
      </c>
      <c r="EJ31" s="288">
        <f>(N31+BD31+BY31+CT31)*'2. START'!$C$12</f>
        <v>0</v>
      </c>
      <c r="EK31" s="288">
        <f>(O31+BE31+BZ31+CU31)*'2. START'!$C$12</f>
        <v>0</v>
      </c>
      <c r="EL31" s="288">
        <f>(P31+BF31+CA31+CV31)*'2. START'!$C$12</f>
        <v>0</v>
      </c>
      <c r="EM31" s="288">
        <f>(Q31+BG31+CB31+CW31)*'2. START'!$C$12</f>
        <v>0</v>
      </c>
      <c r="EN31" s="288">
        <f>(R31+BH31+CC31+CX31)*'2. START'!$C$12</f>
        <v>0</v>
      </c>
      <c r="EO31" s="288">
        <f>(S31+BI31+CD31+CY31)*'2. START'!$C$12</f>
        <v>0</v>
      </c>
      <c r="EP31" s="288">
        <f>(T31+BJ31+CE31+CZ31)*'2. START'!$C$12</f>
        <v>0</v>
      </c>
      <c r="EQ31" s="288">
        <f>(U31+BK31+CF31+DA31)*'2. START'!$C$12</f>
        <v>0</v>
      </c>
      <c r="ER31" s="288">
        <f>(V31+BL31+CG31+DB31)*'2. START'!$C$12</f>
        <v>0</v>
      </c>
      <c r="ES31" s="288">
        <f>(W31+BM31+CH31+DC31)*'2. START'!$C$12</f>
        <v>0</v>
      </c>
      <c r="ET31" s="105">
        <f t="shared" si="4"/>
        <v>0</v>
      </c>
      <c r="EU31" s="105">
        <f t="shared" si="5"/>
        <v>0</v>
      </c>
      <c r="EV31" s="105">
        <f t="shared" si="6"/>
        <v>0</v>
      </c>
      <c r="EW31" s="105">
        <f t="shared" si="7"/>
        <v>0</v>
      </c>
      <c r="EX31" s="105">
        <f t="shared" si="8"/>
        <v>0</v>
      </c>
      <c r="EY31" s="105">
        <f t="shared" si="9"/>
        <v>0</v>
      </c>
      <c r="EZ31" s="105">
        <f t="shared" si="10"/>
        <v>0</v>
      </c>
      <c r="FA31" s="105">
        <f t="shared" si="11"/>
        <v>0</v>
      </c>
      <c r="FB31" s="105">
        <f t="shared" si="12"/>
        <v>0</v>
      </c>
      <c r="FC31" s="105">
        <f t="shared" si="13"/>
        <v>0</v>
      </c>
      <c r="FD31" s="105">
        <f t="shared" si="14"/>
        <v>0</v>
      </c>
      <c r="FE31" s="105">
        <f t="shared" si="18"/>
        <v>0</v>
      </c>
      <c r="FF31" s="105">
        <f t="shared" si="19"/>
        <v>0</v>
      </c>
      <c r="FG31" s="105">
        <f t="shared" si="20"/>
        <v>0</v>
      </c>
      <c r="FH31" s="105">
        <f t="shared" si="21"/>
        <v>0</v>
      </c>
      <c r="FI31" s="105">
        <f t="shared" si="22"/>
        <v>0</v>
      </c>
      <c r="FJ31" s="105">
        <f t="shared" si="23"/>
        <v>0</v>
      </c>
      <c r="FK31" s="105">
        <f t="shared" si="24"/>
        <v>0</v>
      </c>
      <c r="FL31" s="105">
        <f t="shared" si="25"/>
        <v>0</v>
      </c>
      <c r="FM31" s="105">
        <f t="shared" si="26"/>
        <v>0</v>
      </c>
      <c r="FN31" s="105">
        <f t="shared" si="27"/>
        <v>0</v>
      </c>
      <c r="FO31" s="273" t="str">
        <f t="shared" si="17"/>
        <v/>
      </c>
      <c r="FP31" s="105">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943">
        <f t="shared" si="16"/>
        <v>0</v>
      </c>
      <c r="FR31" s="940">
        <f>SUMIFS('5. PERSON'!$AE$17:$AE$192,'5. PERSON'!$B$17:$B$192,'14. EUFP'!$B31,'5. PERSON'!$D$17:$D$192,FR$18)</f>
        <v>0</v>
      </c>
      <c r="FS31" s="940">
        <f>SUMIFS('5. PERSON'!$AE$17:$AE$192,'5. PERSON'!$B$17:$B$192,'14. EUFP'!$B31,'5. PERSON'!$D$17:$D$192,FS$18)</f>
        <v>0</v>
      </c>
      <c r="FT31" s="940">
        <f>SUMIFS('5. PERSON'!$AE$17:$AE$192,'5. PERSON'!$B$17:$B$192,'14. EUFP'!$B31,'5. PERSON'!$D$17:$D$192,FT$18)</f>
        <v>0</v>
      </c>
      <c r="FU31" s="940">
        <f>SUMIFS('5. PERSON'!$AE$17:$AE$192,'5. PERSON'!$B$17:$B$192,'14. EUFP'!$B31,'5. PERSON'!$D$17:$D$192,FU$18)</f>
        <v>0</v>
      </c>
      <c r="FV31" s="940">
        <f>SUMIFS('5. PERSON'!$AE$17:$AE$192,'5. PERSON'!$B$17:$B$192,'14. EUFP'!$B31,'5. PERSON'!$D$17:$D$192,FV$18)</f>
        <v>0</v>
      </c>
      <c r="FW31" s="940">
        <f>SUMIFS('5. PERSON'!$AE$17:$AE$192,'5. PERSON'!$B$17:$B$192,'14. EUFP'!$B31,'5. PERSON'!$D$17:$D$192,FW$18)</f>
        <v>0</v>
      </c>
      <c r="FX31" s="940">
        <f>SUMIFS('5. PERSON'!$AE$17:$AE$192,'5. PERSON'!$B$17:$B$192,'14. EUFP'!$B31,'5. PERSON'!$D$17:$D$192,FX$18)</f>
        <v>0</v>
      </c>
      <c r="FY31" s="940">
        <f>SUMIFS('5. PERSON'!$AE$17:$AE$192,'5. PERSON'!$B$17:$B$192,'14. EUFP'!$B31,'5. PERSON'!$D$17:$D$192,FY$18)</f>
        <v>0</v>
      </c>
      <c r="FZ31" s="940">
        <f>SUMIFS('5. PERSON'!$AE$17:$AE$192,'5. PERSON'!$B$17:$B$192,'14. EUFP'!$B31,'5. PERSON'!$D$17:$D$192,FZ$18)</f>
        <v>0</v>
      </c>
      <c r="GA31" s="940">
        <f>SUMIFS('5. PERSON'!$AE$17:$AE$192,'5. PERSON'!$B$17:$B$192,'14. EUFP'!$B31,'5. PERSON'!$D$17:$D$192,GA$18)</f>
        <v>0</v>
      </c>
      <c r="GB31" s="940">
        <f>SUMIFS('5. PERSON'!$AE$17:$AE$192,'5. PERSON'!$B$17:$B$192,'14. EUFP'!$B31,'5. PERSON'!$D$17:$D$192,GB$18)</f>
        <v>0</v>
      </c>
      <c r="GC31" s="940">
        <f>SUMIFS('5. PERSON'!$AE$17:$AE$192,'5. PERSON'!$B$17:$B$192,'14. EUFP'!$B31,'5. PERSON'!$D$17:$D$192,GC$18)</f>
        <v>0</v>
      </c>
      <c r="GD31" s="940">
        <f>SUMIFS('5. PERSON'!$AE$17:$AE$192,'5. PERSON'!$B$17:$B$192,'14. EUFP'!$B31,'5. PERSON'!$D$17:$D$192,GD$18)</f>
        <v>0</v>
      </c>
      <c r="GE31" s="940">
        <f>SUMIFS('5. PERSON'!$AE$17:$AE$192,'5. PERSON'!$B$17:$B$192,'14. EUFP'!$B31,'5. PERSON'!$D$17:$D$192,GE$18)</f>
        <v>0</v>
      </c>
      <c r="GF31" s="940">
        <f>SUMIFS('5. PERSON'!$AE$17:$AE$192,'5. PERSON'!$B$17:$B$192,'14. EUFP'!$B31,'5. PERSON'!$D$17:$D$192,GF$18)</f>
        <v>0</v>
      </c>
      <c r="GG31" s="940">
        <f>SUMIFS('5. PERSON'!$AE$17:$AE$192,'5. PERSON'!$B$17:$B$192,'14. EUFP'!$B31,'5. PERSON'!$D$17:$D$192,GG$18)</f>
        <v>0</v>
      </c>
      <c r="GH31" s="940">
        <f>SUMIFS('5. PERSON'!$AE$17:$AE$192,'5. PERSON'!$B$17:$B$192,'14. EUFP'!$B31,'5. PERSON'!$D$17:$D$192,GH$18)</f>
        <v>0</v>
      </c>
      <c r="GI31" s="940">
        <f>SUMIFS('5. PERSON'!$AE$17:$AE$192,'5. PERSON'!$B$17:$B$192,'14. EUFP'!$B31,'5. PERSON'!$D$17:$D$192,GI$18)</f>
        <v>0</v>
      </c>
      <c r="GJ31" s="940">
        <f>SUMIFS('5. PERSON'!$AE$17:$AE$192,'5. PERSON'!$B$17:$B$192,'14. EUFP'!$B31,'5. PERSON'!$D$17:$D$192,GJ$18)</f>
        <v>0</v>
      </c>
      <c r="GK31" s="940">
        <f>SUMIFS('5. PERSON'!$AE$17:$AE$192,'5. PERSON'!$B$17:$B$192,'14. EUFP'!$B31,'5. PERSON'!$D$17:$D$192,GK$18)</f>
        <v>0</v>
      </c>
      <c r="GL31" s="940">
        <f t="shared" si="28"/>
        <v>0</v>
      </c>
    </row>
    <row r="32" spans="2:194" ht="13.5" customHeight="1" x14ac:dyDescent="0.2">
      <c r="B32" s="261" t="str">
        <f>'3. PARTNER'!B59</f>
        <v>EXT109</v>
      </c>
      <c r="C32" s="262">
        <f>SUMIF('5. PERSON'!B$17:B$192,B32,'5. PERSON'!AR$17:AR$192)</f>
        <v>0</v>
      </c>
      <c r="D32" s="262">
        <f>SUMIFS('5. PERSON'!$AR$17:$AR$192,'5. PERSON'!$B$17:$B$192,$B32,'5. PERSON'!$D$17:$D$192,D$18)</f>
        <v>0</v>
      </c>
      <c r="E32" s="262">
        <f>SUMIFS('5. PERSON'!$AR$17:$AR$192,'5. PERSON'!$B$17:$B$192,$B32,'5. PERSON'!$D$17:$D$192,E$18)</f>
        <v>0</v>
      </c>
      <c r="F32" s="262">
        <f>SUMIFS('5. PERSON'!$AR$17:$AR$192,'5. PERSON'!$B$17:$B$192,$B32,'5. PERSON'!$D$17:$D$192,F$18)</f>
        <v>0</v>
      </c>
      <c r="G32" s="262">
        <f>SUMIFS('5. PERSON'!$AR$17:$AR$192,'5. PERSON'!$B$17:$B$192,$B32,'5. PERSON'!$D$17:$D$192,G$18)</f>
        <v>0</v>
      </c>
      <c r="H32" s="262">
        <f>SUMIFS('5. PERSON'!$AR$17:$AR$192,'5. PERSON'!$B$17:$B$192,$B32,'5. PERSON'!$D$17:$D$192,H$18)</f>
        <v>0</v>
      </c>
      <c r="I32" s="262">
        <f>SUMIFS('5. PERSON'!$AR$17:$AR$192,'5. PERSON'!$B$17:$B$192,$B32,'5. PERSON'!$D$17:$D$192,I$18)</f>
        <v>0</v>
      </c>
      <c r="J32" s="262">
        <f>SUMIFS('5. PERSON'!$AR$17:$AR$192,'5. PERSON'!$B$17:$B$192,$B32,'5. PERSON'!$D$17:$D$192,J$18)</f>
        <v>0</v>
      </c>
      <c r="K32" s="262">
        <f>SUMIFS('5. PERSON'!$AR$17:$AR$192,'5. PERSON'!$B$17:$B$192,$B32,'5. PERSON'!$D$17:$D$192,K$18)</f>
        <v>0</v>
      </c>
      <c r="L32" s="262">
        <f>SUMIFS('5. PERSON'!$AR$17:$AR$192,'5. PERSON'!$B$17:$B$192,$B32,'5. PERSON'!$D$17:$D$192,L$18)</f>
        <v>0</v>
      </c>
      <c r="M32" s="262">
        <f>SUMIFS('5. PERSON'!$AR$17:$AR$192,'5. PERSON'!$B$17:$B$192,$B32,'5. PERSON'!$D$17:$D$192,M$18)</f>
        <v>0</v>
      </c>
      <c r="N32" s="262">
        <f>SUMIFS('5. PERSON'!$AR$17:$AR$192,'5. PERSON'!$B$17:$B$192,$B32,'5. PERSON'!$D$17:$D$192,N$18)</f>
        <v>0</v>
      </c>
      <c r="O32" s="262">
        <f>SUMIFS('5. PERSON'!$AR$17:$AR$192,'5. PERSON'!$B$17:$B$192,$B32,'5. PERSON'!$D$17:$D$192,O$18)</f>
        <v>0</v>
      </c>
      <c r="P32" s="262">
        <f>SUMIFS('5. PERSON'!$AR$17:$AR$192,'5. PERSON'!$B$17:$B$192,$B32,'5. PERSON'!$D$17:$D$192,P$18)</f>
        <v>0</v>
      </c>
      <c r="Q32" s="262">
        <f>SUMIFS('5. PERSON'!$AR$17:$AR$192,'5. PERSON'!$B$17:$B$192,$B32,'5. PERSON'!$D$17:$D$192,Q$18)</f>
        <v>0</v>
      </c>
      <c r="R32" s="262">
        <f>SUMIFS('5. PERSON'!$AR$17:$AR$192,'5. PERSON'!$B$17:$B$192,$B32,'5. PERSON'!$D$17:$D$192,R$18)</f>
        <v>0</v>
      </c>
      <c r="S32" s="262">
        <f>SUMIFS('5. PERSON'!$AR$17:$AR$192,'5. PERSON'!$B$17:$B$192,$B32,'5. PERSON'!$D$17:$D$192,S$18)</f>
        <v>0</v>
      </c>
      <c r="T32" s="262">
        <f>SUMIFS('5. PERSON'!$AR$17:$AR$192,'5. PERSON'!$B$17:$B$192,$B32,'5. PERSON'!$D$17:$D$192,T$18)</f>
        <v>0</v>
      </c>
      <c r="U32" s="262">
        <f>SUMIFS('5. PERSON'!$AR$17:$AR$192,'5. PERSON'!$B$17:$B$192,$B32,'5. PERSON'!$D$17:$D$192,U$18)</f>
        <v>0</v>
      </c>
      <c r="V32" s="262">
        <f>SUMIFS('5. PERSON'!$AR$17:$AR$192,'5. PERSON'!$B$17:$B$192,$B32,'5. PERSON'!$D$17:$D$192,V$18)</f>
        <v>0</v>
      </c>
      <c r="W32" s="262">
        <f>SUMIFS('5. PERSON'!$AR$17:$AR$192,'5. PERSON'!$B$17:$B$192,$B32,'5. PERSON'!$D$17:$D$192,W$18)</f>
        <v>0</v>
      </c>
      <c r="X32" s="262">
        <f>SUMIFS('6. OPERATION'!R$17:R$149,'6. OPERATION'!B$17:B$149,B32,'6. OPERATION'!G$17:G$149,"SUBCON")</f>
        <v>0</v>
      </c>
      <c r="Y32" s="262">
        <f>SUMIFS('6. OPERATION'!$R$17:$R$149,'6. OPERATION'!$B$17:$B$149,$B32,'6. OPERATION'!$G$17:$G$149,"SUBCON",'6. OPERATION'!$D$17:$D$149,Y$18)</f>
        <v>0</v>
      </c>
      <c r="Z32" s="262">
        <f>SUMIFS('6. OPERATION'!$R$17:$R$149,'6. OPERATION'!$B$17:$B$149,$B32,'6. OPERATION'!$G$17:$G$149,"SUBCON",'6. OPERATION'!$D$17:$D$149,Z$18)</f>
        <v>0</v>
      </c>
      <c r="AA32" s="262">
        <f>SUMIFS('6. OPERATION'!$R$17:$R$149,'6. OPERATION'!$B$17:$B$149,$B32,'6. OPERATION'!$G$17:$G$149,"SUBCON",'6. OPERATION'!$D$17:$D$149,AA$18)</f>
        <v>0</v>
      </c>
      <c r="AB32" s="262">
        <f>SUMIFS('6. OPERATION'!$R$17:$R$149,'6. OPERATION'!$B$17:$B$149,$B32,'6. OPERATION'!$G$17:$G$149,"SUBCON",'6. OPERATION'!$D$17:$D$149,AB$18)</f>
        <v>0</v>
      </c>
      <c r="AC32" s="262">
        <f>SUMIFS('6. OPERATION'!$R$17:$R$149,'6. OPERATION'!$B$17:$B$149,$B32,'6. OPERATION'!$G$17:$G$149,"SUBCON",'6. OPERATION'!$D$17:$D$149,AC$18)</f>
        <v>0</v>
      </c>
      <c r="AD32" s="262">
        <f>SUMIFS('6. OPERATION'!$R$17:$R$149,'6. OPERATION'!$B$17:$B$149,$B32,'6. OPERATION'!$G$17:$G$149,"SUBCON",'6. OPERATION'!$D$17:$D$149,AD$18)</f>
        <v>0</v>
      </c>
      <c r="AE32" s="262">
        <f>SUMIFS('6. OPERATION'!$R$17:$R$149,'6. OPERATION'!$B$17:$B$149,$B32,'6. OPERATION'!$G$17:$G$149,"SUBCON",'6. OPERATION'!$D$17:$D$149,AE$18)</f>
        <v>0</v>
      </c>
      <c r="AF32" s="262">
        <f>SUMIFS('6. OPERATION'!$R$17:$R$149,'6. OPERATION'!$B$17:$B$149,$B32,'6. OPERATION'!$G$17:$G$149,"SUBCON",'6. OPERATION'!$D$17:$D$149,AF$18)</f>
        <v>0</v>
      </c>
      <c r="AG32" s="262">
        <f>SUMIFS('6. OPERATION'!$R$17:$R$149,'6. OPERATION'!$B$17:$B$149,$B32,'6. OPERATION'!$G$17:$G$149,"SUBCON",'6. OPERATION'!$D$17:$D$149,AG$18)</f>
        <v>0</v>
      </c>
      <c r="AH32" s="262">
        <f>SUMIFS('6. OPERATION'!$R$17:$R$149,'6. OPERATION'!$B$17:$B$149,$B32,'6. OPERATION'!$G$17:$G$149,"SUBCON",'6. OPERATION'!$D$17:$D$149,AH$18)</f>
        <v>0</v>
      </c>
      <c r="AI32" s="262">
        <f>SUMIFS('6. OPERATION'!$R$17:$R$149,'6. OPERATION'!$B$17:$B$149,$B32,'6. OPERATION'!$G$17:$G$149,"SUBCON",'6. OPERATION'!$D$17:$D$149,AI$18)</f>
        <v>0</v>
      </c>
      <c r="AJ32" s="262">
        <f>SUMIFS('6. OPERATION'!$R$17:$R$149,'6. OPERATION'!$B$17:$B$149,$B32,'6. OPERATION'!$G$17:$G$149,"SUBCON",'6. OPERATION'!$D$17:$D$149,AJ$18)</f>
        <v>0</v>
      </c>
      <c r="AK32" s="262">
        <f>SUMIFS('6. OPERATION'!$R$17:$R$149,'6. OPERATION'!$B$17:$B$149,$B32,'6. OPERATION'!$G$17:$G$149,"SUBCON",'6. OPERATION'!$D$17:$D$149,AK$18)</f>
        <v>0</v>
      </c>
      <c r="AL32" s="262">
        <f>SUMIFS('6. OPERATION'!$R$17:$R$149,'6. OPERATION'!$B$17:$B$149,$B32,'6. OPERATION'!$G$17:$G$149,"SUBCON",'6. OPERATION'!$D$17:$D$149,AL$18)</f>
        <v>0</v>
      </c>
      <c r="AM32" s="262">
        <f>SUMIFS('6. OPERATION'!$R$17:$R$149,'6. OPERATION'!$B$17:$B$149,$B32,'6. OPERATION'!$G$17:$G$149,"SUBCON",'6. OPERATION'!$D$17:$D$149,AM$18)</f>
        <v>0</v>
      </c>
      <c r="AN32" s="262">
        <f>SUMIFS('6. OPERATION'!$R$17:$R$149,'6. OPERATION'!$B$17:$B$149,$B32,'6. OPERATION'!$G$17:$G$149,"SUBCON",'6. OPERATION'!$D$17:$D$149,AN$18)</f>
        <v>0</v>
      </c>
      <c r="AO32" s="262">
        <f>SUMIFS('6. OPERATION'!$R$17:$R$149,'6. OPERATION'!$B$17:$B$149,$B32,'6. OPERATION'!$G$17:$G$149,"SUBCON",'6. OPERATION'!$D$17:$D$149,AO$18)</f>
        <v>0</v>
      </c>
      <c r="AP32" s="262">
        <f>SUMIFS('6. OPERATION'!$R$17:$R$149,'6. OPERATION'!$B$17:$B$149,$B32,'6. OPERATION'!$G$17:$G$149,"SUBCON",'6. OPERATION'!$D$17:$D$149,AP$18)</f>
        <v>0</v>
      </c>
      <c r="AQ32" s="262">
        <f>SUMIFS('6. OPERATION'!$R$17:$R$149,'6. OPERATION'!$B$17:$B$149,$B32,'6. OPERATION'!$G$17:$G$149,"SUBCON",'6. OPERATION'!$D$17:$D$149,AQ$18)</f>
        <v>0</v>
      </c>
      <c r="AR32" s="262">
        <f>SUMIFS('6. OPERATION'!$R$17:$R$149,'6. OPERATION'!$B$17:$B$149,$B32,'6. OPERATION'!$G$17:$G$149,"SUBCON",'6. OPERATION'!$D$17:$D$149,AR$18)</f>
        <v>0</v>
      </c>
      <c r="AS32" s="262">
        <f>SUMIFS('6. OPERATION'!R$17:R$149,'6. OPERATION'!B$17:B$149,B32,'6. OPERATION'!G$17:G$149,"TRAVEL")</f>
        <v>0</v>
      </c>
      <c r="AT32" s="262">
        <f>SUMIFS('6. OPERATION'!$R$17:$R$149,'6. OPERATION'!$B$17:$B$149,$B32,'6. OPERATION'!$G$17:$G$149,"TRAVEL",'6. OPERATION'!$D$17:$D$149,AT$18)</f>
        <v>0</v>
      </c>
      <c r="AU32" s="262">
        <f>SUMIFS('6. OPERATION'!$R$17:$R$149,'6. OPERATION'!$B$17:$B$149,$B32,'6. OPERATION'!$G$17:$G$149,"TRAVEL",'6. OPERATION'!$D$17:$D$149,AU$18)</f>
        <v>0</v>
      </c>
      <c r="AV32" s="262">
        <f>SUMIFS('6. OPERATION'!$R$17:$R$149,'6. OPERATION'!$B$17:$B$149,$B32,'6. OPERATION'!$G$17:$G$149,"TRAVEL",'6. OPERATION'!$D$17:$D$149,AV$18)</f>
        <v>0</v>
      </c>
      <c r="AW32" s="262">
        <f>SUMIFS('6. OPERATION'!$R$17:$R$149,'6. OPERATION'!$B$17:$B$149,$B32,'6. OPERATION'!$G$17:$G$149,"TRAVEL",'6. OPERATION'!$D$17:$D$149,AW$18)</f>
        <v>0</v>
      </c>
      <c r="AX32" s="262">
        <f>SUMIFS('6. OPERATION'!$R$17:$R$149,'6. OPERATION'!$B$17:$B$149,$B32,'6. OPERATION'!$G$17:$G$149,"TRAVEL",'6. OPERATION'!$D$17:$D$149,AX$18)</f>
        <v>0</v>
      </c>
      <c r="AY32" s="262">
        <f>SUMIFS('6. OPERATION'!$R$17:$R$149,'6. OPERATION'!$B$17:$B$149,$B32,'6. OPERATION'!$G$17:$G$149,"TRAVEL",'6. OPERATION'!$D$17:$D$149,AY$18)</f>
        <v>0</v>
      </c>
      <c r="AZ32" s="262">
        <f>SUMIFS('6. OPERATION'!$R$17:$R$149,'6. OPERATION'!$B$17:$B$149,$B32,'6. OPERATION'!$G$17:$G$149,"TRAVEL",'6. OPERATION'!$D$17:$D$149,AZ$18)</f>
        <v>0</v>
      </c>
      <c r="BA32" s="262">
        <f>SUMIFS('6. OPERATION'!$R$17:$R$149,'6. OPERATION'!$B$17:$B$149,$B32,'6. OPERATION'!$G$17:$G$149,"TRAVEL",'6. OPERATION'!$D$17:$D$149,BA$18)</f>
        <v>0</v>
      </c>
      <c r="BB32" s="262">
        <f>SUMIFS('6. OPERATION'!$R$17:$R$149,'6. OPERATION'!$B$17:$B$149,$B32,'6. OPERATION'!$G$17:$G$149,"TRAVEL",'6. OPERATION'!$D$17:$D$149,BB$18)</f>
        <v>0</v>
      </c>
      <c r="BC32" s="262">
        <f>SUMIFS('6. OPERATION'!$R$17:$R$149,'6. OPERATION'!$B$17:$B$149,$B32,'6. OPERATION'!$G$17:$G$149,"TRAVEL",'6. OPERATION'!$D$17:$D$149,BC$18)</f>
        <v>0</v>
      </c>
      <c r="BD32" s="262">
        <f>SUMIFS('6. OPERATION'!$R$17:$R$149,'6. OPERATION'!$B$17:$B$149,$B32,'6. OPERATION'!$G$17:$G$149,"TRAVEL",'6. OPERATION'!$D$17:$D$149,BD$18)</f>
        <v>0</v>
      </c>
      <c r="BE32" s="262">
        <f>SUMIFS('6. OPERATION'!$R$17:$R$149,'6. OPERATION'!$B$17:$B$149,$B32,'6. OPERATION'!$G$17:$G$149,"TRAVEL",'6. OPERATION'!$D$17:$D$149,BE$18)</f>
        <v>0</v>
      </c>
      <c r="BF32" s="262">
        <f>SUMIFS('6. OPERATION'!$R$17:$R$149,'6. OPERATION'!$B$17:$B$149,$B32,'6. OPERATION'!$G$17:$G$149,"TRAVEL",'6. OPERATION'!$D$17:$D$149,BF$18)</f>
        <v>0</v>
      </c>
      <c r="BG32" s="262">
        <f>SUMIFS('6. OPERATION'!$R$17:$R$149,'6. OPERATION'!$B$17:$B$149,$B32,'6. OPERATION'!$G$17:$G$149,"TRAVEL",'6. OPERATION'!$D$17:$D$149,BG$18)</f>
        <v>0</v>
      </c>
      <c r="BH32" s="262">
        <f>SUMIFS('6. OPERATION'!$R$17:$R$149,'6. OPERATION'!$B$17:$B$149,$B32,'6. OPERATION'!$G$17:$G$149,"TRAVEL",'6. OPERATION'!$D$17:$D$149,BH$18)</f>
        <v>0</v>
      </c>
      <c r="BI32" s="262">
        <f>SUMIFS('6. OPERATION'!$R$17:$R$149,'6. OPERATION'!$B$17:$B$149,$B32,'6. OPERATION'!$G$17:$G$149,"TRAVEL",'6. OPERATION'!$D$17:$D$149,BI$18)</f>
        <v>0</v>
      </c>
      <c r="BJ32" s="262">
        <f>SUMIFS('6. OPERATION'!$R$17:$R$149,'6. OPERATION'!$B$17:$B$149,$B32,'6. OPERATION'!$G$17:$G$149,"TRAVEL",'6. OPERATION'!$D$17:$D$149,BJ$18)</f>
        <v>0</v>
      </c>
      <c r="BK32" s="262">
        <f>SUMIFS('6. OPERATION'!$R$17:$R$149,'6. OPERATION'!$B$17:$B$149,$B32,'6. OPERATION'!$G$17:$G$149,"TRAVEL",'6. OPERATION'!$D$17:$D$149,BK$18)</f>
        <v>0</v>
      </c>
      <c r="BL32" s="262">
        <f>SUMIFS('6. OPERATION'!$R$17:$R$149,'6. OPERATION'!$B$17:$B$149,$B32,'6. OPERATION'!$G$17:$G$149,"TRAVEL",'6. OPERATION'!$D$17:$D$149,BL$18)</f>
        <v>0</v>
      </c>
      <c r="BM32" s="262">
        <f>SUMIFS('6. OPERATION'!$R$17:$R$149,'6. OPERATION'!$B$17:$B$149,$B32,'6. OPERATION'!$G$17:$G$149,"TRAVEL",'6. OPERATION'!$D$17:$D$149,BM$18)</f>
        <v>0</v>
      </c>
      <c r="BN32" s="262">
        <f>SUMIF('7. INVEST'!B$17:B$49,B32,'7. INVEST'!S$17:S$49)</f>
        <v>0</v>
      </c>
      <c r="BO32" s="262">
        <f>SUMIFS('7. INVEST'!$S$17:$S$49,'7. INVEST'!$B$17:$B$49,$B32,'7. INVEST'!$D$17:$D$49,BO$18)</f>
        <v>0</v>
      </c>
      <c r="BP32" s="262">
        <f>SUMIFS('7. INVEST'!$S$17:$S$49,'7. INVEST'!$B$17:$B$49,$B32,'7. INVEST'!$D$17:$D$49,BP$18)</f>
        <v>0</v>
      </c>
      <c r="BQ32" s="262">
        <f>SUMIFS('7. INVEST'!$S$17:$S$49,'7. INVEST'!$B$17:$B$49,$B32,'7. INVEST'!$D$17:$D$49,BQ$18)</f>
        <v>0</v>
      </c>
      <c r="BR32" s="262">
        <f>SUMIFS('7. INVEST'!$S$17:$S$49,'7. INVEST'!$B$17:$B$49,$B32,'7. INVEST'!$D$17:$D$49,BR$18)</f>
        <v>0</v>
      </c>
      <c r="BS32" s="262">
        <f>SUMIFS('7. INVEST'!$S$17:$S$49,'7. INVEST'!$B$17:$B$49,$B32,'7. INVEST'!$D$17:$D$49,BS$18)</f>
        <v>0</v>
      </c>
      <c r="BT32" s="262">
        <f>SUMIFS('7. INVEST'!$S$17:$S$49,'7. INVEST'!$B$17:$B$49,$B32,'7. INVEST'!$D$17:$D$49,BT$18)</f>
        <v>0</v>
      </c>
      <c r="BU32" s="262">
        <f>SUMIFS('7. INVEST'!$S$17:$S$49,'7. INVEST'!$B$17:$B$49,$B32,'7. INVEST'!$D$17:$D$49,BU$18)</f>
        <v>0</v>
      </c>
      <c r="BV32" s="262">
        <f>SUMIFS('7. INVEST'!$S$17:$S$49,'7. INVEST'!$B$17:$B$49,$B32,'7. INVEST'!$D$17:$D$49,BV$18)</f>
        <v>0</v>
      </c>
      <c r="BW32" s="262">
        <f>SUMIFS('7. INVEST'!$S$17:$S$49,'7. INVEST'!$B$17:$B$49,$B32,'7. INVEST'!$D$17:$D$49,BW$18)</f>
        <v>0</v>
      </c>
      <c r="BX32" s="262">
        <f>SUMIFS('7. INVEST'!$S$17:$S$49,'7. INVEST'!$B$17:$B$49,$B32,'7. INVEST'!$D$17:$D$49,BX$18)</f>
        <v>0</v>
      </c>
      <c r="BY32" s="262">
        <f>SUMIFS('7. INVEST'!$S$17:$S$49,'7. INVEST'!$B$17:$B$49,$B32,'7. INVEST'!$D$17:$D$49,BY$18)</f>
        <v>0</v>
      </c>
      <c r="BZ32" s="262">
        <f>SUMIFS('7. INVEST'!$S$17:$S$49,'7. INVEST'!$B$17:$B$49,$B32,'7. INVEST'!$D$17:$D$49,BZ$18)</f>
        <v>0</v>
      </c>
      <c r="CA32" s="262">
        <f>SUMIFS('7. INVEST'!$S$17:$S$49,'7. INVEST'!$B$17:$B$49,$B32,'7. INVEST'!$D$17:$D$49,CA$18)</f>
        <v>0</v>
      </c>
      <c r="CB32" s="262">
        <f>SUMIFS('7. INVEST'!$S$17:$S$49,'7. INVEST'!$B$17:$B$49,$B32,'7. INVEST'!$D$17:$D$49,CB$18)</f>
        <v>0</v>
      </c>
      <c r="CC32" s="262">
        <f>SUMIFS('7. INVEST'!$S$17:$S$49,'7. INVEST'!$B$17:$B$49,$B32,'7. INVEST'!$D$17:$D$49,CC$18)</f>
        <v>0</v>
      </c>
      <c r="CD32" s="262">
        <f>SUMIFS('7. INVEST'!$S$17:$S$49,'7. INVEST'!$B$17:$B$49,$B32,'7. INVEST'!$D$17:$D$49,CD$18)</f>
        <v>0</v>
      </c>
      <c r="CE32" s="262">
        <f>SUMIFS('7. INVEST'!$S$17:$S$49,'7. INVEST'!$B$17:$B$49,$B32,'7. INVEST'!$D$17:$D$49,CE$18)</f>
        <v>0</v>
      </c>
      <c r="CF32" s="262">
        <f>SUMIFS('7. INVEST'!$S$17:$S$49,'7. INVEST'!$B$17:$B$49,$B32,'7. INVEST'!$D$17:$D$49,CF$18)</f>
        <v>0</v>
      </c>
      <c r="CG32" s="262">
        <f>SUMIFS('7. INVEST'!$S$17:$S$49,'7. INVEST'!$B$17:$B$49,$B32,'7. INVEST'!$D$17:$D$49,CG$18)</f>
        <v>0</v>
      </c>
      <c r="CH32" s="262">
        <f>SUMIFS('7. INVEST'!$S$17:$S$49,'7. INVEST'!$B$17:$B$49,$B32,'7. INVEST'!$D$17:$D$49,CH$18)</f>
        <v>0</v>
      </c>
      <c r="CI32" s="262">
        <f>SUMIFS('6. OPERATION'!$R$17:$R$149,'6. OPERATION'!$B$17:$B$149,$B32,'6. OPERATION'!$G$17:$G$149,"OTHER")+SUMIF('8. FACILIT'!$B$18:$B$50,$B32,'8. FACILIT'!$P$18:$P$50)</f>
        <v>0</v>
      </c>
      <c r="CJ32" s="262">
        <f>SUMIFS('6. OPERATION'!$R$17:$R$149,'6. OPERATION'!$B$17:$B$149,$B32,'6. OPERATION'!$G$17:$G$149,"OTHER",'6. OPERATION'!$D$17:$D$149,CJ$18)+SUMIFS('8. FACILIT'!$P$18:$P$50,'8. FACILIT'!$B$18:$B$50,$B32,'8. FACILIT'!$D$18:$D$50,CJ$18)</f>
        <v>0</v>
      </c>
      <c r="CK32" s="262">
        <f>SUMIFS('6. OPERATION'!$R$17:$R$149,'6. OPERATION'!$B$17:$B$149,$B32,'6. OPERATION'!$G$17:$G$149,"OTHER",'6. OPERATION'!$D$17:$D$149,CK$18)+SUMIFS('8. FACILIT'!$P$18:$P$50,'8. FACILIT'!$B$18:$B$50,$B32,'8. FACILIT'!$D$18:$D$50,CK$18)</f>
        <v>0</v>
      </c>
      <c r="CL32" s="262">
        <f>SUMIFS('6. OPERATION'!$R$17:$R$149,'6. OPERATION'!$B$17:$B$149,$B32,'6. OPERATION'!$G$17:$G$149,"OTHER",'6. OPERATION'!$D$17:$D$149,CL$18)+SUMIFS('8. FACILIT'!$P$18:$P$50,'8. FACILIT'!$B$18:$B$50,$B32,'8. FACILIT'!$D$18:$D$50,CL$18)</f>
        <v>0</v>
      </c>
      <c r="CM32" s="262">
        <f>SUMIFS('6. OPERATION'!$R$17:$R$149,'6. OPERATION'!$B$17:$B$149,$B32,'6. OPERATION'!$G$17:$G$149,"OTHER",'6. OPERATION'!$D$17:$D$149,CM$18)+SUMIFS('8. FACILIT'!$P$18:$P$50,'8. FACILIT'!$B$18:$B$50,$B32,'8. FACILIT'!$D$18:$D$50,CM$18)</f>
        <v>0</v>
      </c>
      <c r="CN32" s="262">
        <f>SUMIFS('6. OPERATION'!$R$17:$R$149,'6. OPERATION'!$B$17:$B$149,$B32,'6. OPERATION'!$G$17:$G$149,"OTHER",'6. OPERATION'!$D$17:$D$149,CN$18)+SUMIFS('8. FACILIT'!$P$18:$P$50,'8. FACILIT'!$B$18:$B$50,$B32,'8. FACILIT'!$D$18:$D$50,CN$18)</f>
        <v>0</v>
      </c>
      <c r="CO32" s="262">
        <f>SUMIFS('6. OPERATION'!$R$17:$R$149,'6. OPERATION'!$B$17:$B$149,$B32,'6. OPERATION'!$G$17:$G$149,"OTHER",'6. OPERATION'!$D$17:$D$149,CO$18)+SUMIFS('8. FACILIT'!$P$18:$P$50,'8. FACILIT'!$B$18:$B$50,$B32,'8. FACILIT'!$D$18:$D$50,CO$18)</f>
        <v>0</v>
      </c>
      <c r="CP32" s="262">
        <f>SUMIFS('6. OPERATION'!$R$17:$R$149,'6. OPERATION'!$B$17:$B$149,$B32,'6. OPERATION'!$G$17:$G$149,"OTHER",'6. OPERATION'!$D$17:$D$149,CP$18)+SUMIFS('8. FACILIT'!$P$18:$P$50,'8. FACILIT'!$B$18:$B$50,$B32,'8. FACILIT'!$D$18:$D$50,CP$18)</f>
        <v>0</v>
      </c>
      <c r="CQ32" s="262">
        <f>SUMIFS('6. OPERATION'!$R$17:$R$149,'6. OPERATION'!$B$17:$B$149,$B32,'6. OPERATION'!$G$17:$G$149,"OTHER",'6. OPERATION'!$D$17:$D$149,CQ$18)+SUMIFS('8. FACILIT'!$P$18:$P$50,'8. FACILIT'!$B$18:$B$50,$B32,'8. FACILIT'!$D$18:$D$50,CQ$18)</f>
        <v>0</v>
      </c>
      <c r="CR32" s="262">
        <f>SUMIFS('6. OPERATION'!$R$17:$R$149,'6. OPERATION'!$B$17:$B$149,$B32,'6. OPERATION'!$G$17:$G$149,"OTHER",'6. OPERATION'!$D$17:$D$149,CR$18)+SUMIFS('8. FACILIT'!$P$18:$P$50,'8. FACILIT'!$B$18:$B$50,$B32,'8. FACILIT'!$D$18:$D$50,CR$18)</f>
        <v>0</v>
      </c>
      <c r="CS32" s="262">
        <f>SUMIFS('6. OPERATION'!$R$17:$R$149,'6. OPERATION'!$B$17:$B$149,$B32,'6. OPERATION'!$G$17:$G$149,"OTHER",'6. OPERATION'!$D$17:$D$149,CS$18)+SUMIFS('8. FACILIT'!$P$18:$P$50,'8. FACILIT'!$B$18:$B$50,$B32,'8. FACILIT'!$D$18:$D$50,CS$18)</f>
        <v>0</v>
      </c>
      <c r="CT32" s="262">
        <f>SUMIFS('6. OPERATION'!$R$17:$R$149,'6. OPERATION'!$B$17:$B$149,$B32,'6. OPERATION'!$G$17:$G$149,"OTHER",'6. OPERATION'!$D$17:$D$149,CT$18)+SUMIFS('8. FACILIT'!$P$18:$P$50,'8. FACILIT'!$B$18:$B$50,$B32,'8. FACILIT'!$D$18:$D$50,CT$18)</f>
        <v>0</v>
      </c>
      <c r="CU32" s="262">
        <f>SUMIFS('6. OPERATION'!$R$17:$R$149,'6. OPERATION'!$B$17:$B$149,$B32,'6. OPERATION'!$G$17:$G$149,"OTHER",'6. OPERATION'!$D$17:$D$149,CU$18)+SUMIFS('8. FACILIT'!$P$18:$P$50,'8. FACILIT'!$B$18:$B$50,$B32,'8. FACILIT'!$D$18:$D$50,CU$18)</f>
        <v>0</v>
      </c>
      <c r="CV32" s="262">
        <f>SUMIFS('6. OPERATION'!$R$17:$R$149,'6. OPERATION'!$B$17:$B$149,$B32,'6. OPERATION'!$G$17:$G$149,"OTHER",'6. OPERATION'!$D$17:$D$149,CV$18)+SUMIFS('8. FACILIT'!$P$18:$P$50,'8. FACILIT'!$B$18:$B$50,$B32,'8. FACILIT'!$D$18:$D$50,CV$18)</f>
        <v>0</v>
      </c>
      <c r="CW32" s="262">
        <f>SUMIFS('6. OPERATION'!$R$17:$R$149,'6. OPERATION'!$B$17:$B$149,$B32,'6. OPERATION'!$G$17:$G$149,"OTHER",'6. OPERATION'!$D$17:$D$149,CW$18)+SUMIFS('8. FACILIT'!$P$18:$P$50,'8. FACILIT'!$B$18:$B$50,$B32,'8. FACILIT'!$D$18:$D$50,CW$18)</f>
        <v>0</v>
      </c>
      <c r="CX32" s="262">
        <f>SUMIFS('6. OPERATION'!$R$17:$R$149,'6. OPERATION'!$B$17:$B$149,$B32,'6. OPERATION'!$G$17:$G$149,"OTHER",'6. OPERATION'!$D$17:$D$149,CX$18)+SUMIFS('8. FACILIT'!$P$18:$P$50,'8. FACILIT'!$B$18:$B$50,$B32,'8. FACILIT'!$D$18:$D$50,CX$18)</f>
        <v>0</v>
      </c>
      <c r="CY32" s="262">
        <f>SUMIFS('6. OPERATION'!$R$17:$R$149,'6. OPERATION'!$B$17:$B$149,$B32,'6. OPERATION'!$G$17:$G$149,"OTHER",'6. OPERATION'!$D$17:$D$149,CY$18)+SUMIFS('8. FACILIT'!$P$18:$P$50,'8. FACILIT'!$B$18:$B$50,$B32,'8. FACILIT'!$D$18:$D$50,CY$18)</f>
        <v>0</v>
      </c>
      <c r="CZ32" s="262">
        <f>SUMIFS('6. OPERATION'!$R$17:$R$149,'6. OPERATION'!$B$17:$B$149,$B32,'6. OPERATION'!$G$17:$G$149,"OTHER",'6. OPERATION'!$D$17:$D$149,CZ$18)+SUMIFS('8. FACILIT'!$P$18:$P$50,'8. FACILIT'!$B$18:$B$50,$B32,'8. FACILIT'!$D$18:$D$50,CZ$18)</f>
        <v>0</v>
      </c>
      <c r="DA32" s="262">
        <f>SUMIFS('6. OPERATION'!$R$17:$R$149,'6. OPERATION'!$B$17:$B$149,$B32,'6. OPERATION'!$G$17:$G$149,"OTHER",'6. OPERATION'!$D$17:$D$149,DA$18)+SUMIFS('8. FACILIT'!$P$18:$P$50,'8. FACILIT'!$B$18:$B$50,$B32,'8. FACILIT'!$D$18:$D$50,DA$18)</f>
        <v>0</v>
      </c>
      <c r="DB32" s="262">
        <f>SUMIFS('6. OPERATION'!$R$17:$R$149,'6. OPERATION'!$B$17:$B$149,$B32,'6. OPERATION'!$G$17:$G$149,"OTHER",'6. OPERATION'!$D$17:$D$149,DB$18)+SUMIFS('8. FACILIT'!$P$18:$P$50,'8. FACILIT'!$B$18:$B$50,$B32,'8. FACILIT'!$D$18:$D$50,DB$18)</f>
        <v>0</v>
      </c>
      <c r="DC32" s="262">
        <f>SUMIFS('6. OPERATION'!$R$17:$R$149,'6. OPERATION'!$B$17:$B$149,$B32,'6. OPERATION'!$G$17:$G$149,"OTHER",'6. OPERATION'!$D$17:$D$149,DC$18)+SUMIFS('8. FACILIT'!$P$18:$P$50,'8. FACILIT'!$B$18:$B$50,$B32,'8. FACILIT'!$D$18:$D$50,DC$18)</f>
        <v>0</v>
      </c>
      <c r="DD32" s="262">
        <f>SUMIFS('6. OPERATION'!R$17:R$149,'6. OPERATION'!B$17:B$149,B32,'6. OPERATION'!G$17:G$149,"INTERN")</f>
        <v>0</v>
      </c>
      <c r="DE32" s="262">
        <f>SUMIFS('6. OPERATION'!$R$17:$R$149,'6. OPERATION'!$B$17:$B$149,$B32,'6. OPERATION'!$G$17:$G$149,"INTERN",'6. OPERATION'!$D$17:$D$149,DE$18)</f>
        <v>0</v>
      </c>
      <c r="DF32" s="262">
        <f>SUMIFS('6. OPERATION'!$R$17:$R$149,'6. OPERATION'!$B$17:$B$149,$B32,'6. OPERATION'!$G$17:$G$149,"INTERN",'6. OPERATION'!$D$17:$D$149,DF$18)</f>
        <v>0</v>
      </c>
      <c r="DG32" s="262">
        <f>SUMIFS('6. OPERATION'!$R$17:$R$149,'6. OPERATION'!$B$17:$B$149,$B32,'6. OPERATION'!$G$17:$G$149,"INTERN",'6. OPERATION'!$D$17:$D$149,DG$18)</f>
        <v>0</v>
      </c>
      <c r="DH32" s="262">
        <f>SUMIFS('6. OPERATION'!$R$17:$R$149,'6. OPERATION'!$B$17:$B$149,$B32,'6. OPERATION'!$G$17:$G$149,"INTERN",'6. OPERATION'!$D$17:$D$149,DH$18)</f>
        <v>0</v>
      </c>
      <c r="DI32" s="262">
        <f>SUMIFS('6. OPERATION'!$R$17:$R$149,'6. OPERATION'!$B$17:$B$149,$B32,'6. OPERATION'!$G$17:$G$149,"INTERN",'6. OPERATION'!$D$17:$D$149,DI$18)</f>
        <v>0</v>
      </c>
      <c r="DJ32" s="262">
        <f>SUMIFS('6. OPERATION'!$R$17:$R$149,'6. OPERATION'!$B$17:$B$149,$B32,'6. OPERATION'!$G$17:$G$149,"INTERN",'6. OPERATION'!$D$17:$D$149,DJ$18)</f>
        <v>0</v>
      </c>
      <c r="DK32" s="262">
        <f>SUMIFS('6. OPERATION'!$R$17:$R$149,'6. OPERATION'!$B$17:$B$149,$B32,'6. OPERATION'!$G$17:$G$149,"INTERN",'6. OPERATION'!$D$17:$D$149,DK$18)</f>
        <v>0</v>
      </c>
      <c r="DL32" s="262">
        <f>SUMIFS('6. OPERATION'!$R$17:$R$149,'6. OPERATION'!$B$17:$B$149,$B32,'6. OPERATION'!$G$17:$G$149,"INTERN",'6. OPERATION'!$D$17:$D$149,DL$18)</f>
        <v>0</v>
      </c>
      <c r="DM32" s="262">
        <f>SUMIFS('6. OPERATION'!$R$17:$R$149,'6. OPERATION'!$B$17:$B$149,$B32,'6. OPERATION'!$G$17:$G$149,"INTERN",'6. OPERATION'!$D$17:$D$149,DM$18)</f>
        <v>0</v>
      </c>
      <c r="DN32" s="262">
        <f>SUMIFS('6. OPERATION'!$R$17:$R$149,'6. OPERATION'!$B$17:$B$149,$B32,'6. OPERATION'!$G$17:$G$149,"INTERN",'6. OPERATION'!$D$17:$D$149,DN$18)</f>
        <v>0</v>
      </c>
      <c r="DO32" s="262">
        <f>SUMIFS('6. OPERATION'!$R$17:$R$149,'6. OPERATION'!$B$17:$B$149,$B32,'6. OPERATION'!$G$17:$G$149,"INTERN",'6. OPERATION'!$D$17:$D$149,DO$18)</f>
        <v>0</v>
      </c>
      <c r="DP32" s="262">
        <f>SUMIFS('6. OPERATION'!$R$17:$R$149,'6. OPERATION'!$B$17:$B$149,$B32,'6. OPERATION'!$G$17:$G$149,"INTERN",'6. OPERATION'!$D$17:$D$149,DP$18)</f>
        <v>0</v>
      </c>
      <c r="DQ32" s="262">
        <f>SUMIFS('6. OPERATION'!$R$17:$R$149,'6. OPERATION'!$B$17:$B$149,$B32,'6. OPERATION'!$G$17:$G$149,"INTERN",'6. OPERATION'!$D$17:$D$149,DQ$18)</f>
        <v>0</v>
      </c>
      <c r="DR32" s="262">
        <f>SUMIFS('6. OPERATION'!$R$17:$R$149,'6. OPERATION'!$B$17:$B$149,$B32,'6. OPERATION'!$G$17:$G$149,"INTERN",'6. OPERATION'!$D$17:$D$149,DR$18)</f>
        <v>0</v>
      </c>
      <c r="DS32" s="262">
        <f>SUMIFS('6. OPERATION'!$R$17:$R$149,'6. OPERATION'!$B$17:$B$149,$B32,'6. OPERATION'!$G$17:$G$149,"INTERN",'6. OPERATION'!$D$17:$D$149,DS$18)</f>
        <v>0</v>
      </c>
      <c r="DT32" s="262">
        <f>SUMIFS('6. OPERATION'!$R$17:$R$149,'6. OPERATION'!$B$17:$B$149,$B32,'6. OPERATION'!$G$17:$G$149,"INTERN",'6. OPERATION'!$D$17:$D$149,DT$18)</f>
        <v>0</v>
      </c>
      <c r="DU32" s="262">
        <f>SUMIFS('6. OPERATION'!$R$17:$R$149,'6. OPERATION'!$B$17:$B$149,$B32,'6. OPERATION'!$G$17:$G$149,"INTERN",'6. OPERATION'!$D$17:$D$149,DU$18)</f>
        <v>0</v>
      </c>
      <c r="DV32" s="262">
        <f>SUMIFS('6. OPERATION'!$R$17:$R$149,'6. OPERATION'!$B$17:$B$149,$B32,'6. OPERATION'!$G$17:$G$149,"INTERN",'6. OPERATION'!$D$17:$D$149,DV$18)</f>
        <v>0</v>
      </c>
      <c r="DW32" s="262">
        <f>SUMIFS('6. OPERATION'!$R$17:$R$149,'6. OPERATION'!$B$17:$B$149,$B32,'6. OPERATION'!$G$17:$G$149,"INTERN",'6. OPERATION'!$D$17:$D$149,DW$18)</f>
        <v>0</v>
      </c>
      <c r="DX32" s="262">
        <f>SUMIFS('6. OPERATION'!$R$17:$R$149,'6. OPERATION'!$B$17:$B$149,$B32,'6. OPERATION'!$G$17:$G$149,"INTERN",'6. OPERATION'!$D$17:$D$149,DX$18)</f>
        <v>0</v>
      </c>
      <c r="DY32" s="262">
        <f>(C32+AS32+BN32+CI32)*'2. START'!$C$12</f>
        <v>0</v>
      </c>
      <c r="DZ32" s="262">
        <f>(D32+AT32+BO32+CJ32)*'2. START'!$C$12</f>
        <v>0</v>
      </c>
      <c r="EA32" s="262">
        <f>(E32+AU32+BP32+CK32)*'2. START'!$C$12</f>
        <v>0</v>
      </c>
      <c r="EB32" s="262">
        <f>(F32+AV32+BQ32+CL32)*'2. START'!$C$12</f>
        <v>0</v>
      </c>
      <c r="EC32" s="262">
        <f>(G32+AW32+BR32+CM32)*'2. START'!$C$12</f>
        <v>0</v>
      </c>
      <c r="ED32" s="262">
        <f>(H32+AX32+BS32+CN32)*'2. START'!$C$12</f>
        <v>0</v>
      </c>
      <c r="EE32" s="262">
        <f>(I32+AY32+BT32+CO32)*'2. START'!$C$12</f>
        <v>0</v>
      </c>
      <c r="EF32" s="262">
        <f>(J32+AZ32+BU32+CP32)*'2. START'!$C$12</f>
        <v>0</v>
      </c>
      <c r="EG32" s="262">
        <f>(K32+BA32+BV32+CQ32)*'2. START'!$C$12</f>
        <v>0</v>
      </c>
      <c r="EH32" s="262">
        <f>(L32+BB32+BW32+CR32)*'2. START'!$C$12</f>
        <v>0</v>
      </c>
      <c r="EI32" s="262">
        <f>(M32+BC32+BX32+CS32)*'2. START'!$C$12</f>
        <v>0</v>
      </c>
      <c r="EJ32" s="262">
        <f>(N32+BD32+BY32+CT32)*'2. START'!$C$12</f>
        <v>0</v>
      </c>
      <c r="EK32" s="262">
        <f>(O32+BE32+BZ32+CU32)*'2. START'!$C$12</f>
        <v>0</v>
      </c>
      <c r="EL32" s="262">
        <f>(P32+BF32+CA32+CV32)*'2. START'!$C$12</f>
        <v>0</v>
      </c>
      <c r="EM32" s="262">
        <f>(Q32+BG32+CB32+CW32)*'2. START'!$C$12</f>
        <v>0</v>
      </c>
      <c r="EN32" s="262">
        <f>(R32+BH32+CC32+CX32)*'2. START'!$C$12</f>
        <v>0</v>
      </c>
      <c r="EO32" s="262">
        <f>(S32+BI32+CD32+CY32)*'2. START'!$C$12</f>
        <v>0</v>
      </c>
      <c r="EP32" s="262">
        <f>(T32+BJ32+CE32+CZ32)*'2. START'!$C$12</f>
        <v>0</v>
      </c>
      <c r="EQ32" s="262">
        <f>(U32+BK32+CF32+DA32)*'2. START'!$C$12</f>
        <v>0</v>
      </c>
      <c r="ER32" s="262">
        <f>(V32+BL32+CG32+DB32)*'2. START'!$C$12</f>
        <v>0</v>
      </c>
      <c r="ES32" s="262">
        <f>(W32+BM32+CH32+DC32)*'2. START'!$C$12</f>
        <v>0</v>
      </c>
      <c r="ET32" s="98">
        <f t="shared" si="4"/>
        <v>0</v>
      </c>
      <c r="EU32" s="98">
        <f t="shared" si="5"/>
        <v>0</v>
      </c>
      <c r="EV32" s="98">
        <f t="shared" si="6"/>
        <v>0</v>
      </c>
      <c r="EW32" s="98">
        <f t="shared" si="7"/>
        <v>0</v>
      </c>
      <c r="EX32" s="98">
        <f t="shared" si="8"/>
        <v>0</v>
      </c>
      <c r="EY32" s="98">
        <f t="shared" si="9"/>
        <v>0</v>
      </c>
      <c r="EZ32" s="98">
        <f t="shared" si="10"/>
        <v>0</v>
      </c>
      <c r="FA32" s="98">
        <f t="shared" si="11"/>
        <v>0</v>
      </c>
      <c r="FB32" s="98">
        <f t="shared" si="12"/>
        <v>0</v>
      </c>
      <c r="FC32" s="98">
        <f t="shared" si="13"/>
        <v>0</v>
      </c>
      <c r="FD32" s="98">
        <f t="shared" si="14"/>
        <v>0</v>
      </c>
      <c r="FE32" s="98">
        <f t="shared" si="18"/>
        <v>0</v>
      </c>
      <c r="FF32" s="98">
        <f t="shared" si="19"/>
        <v>0</v>
      </c>
      <c r="FG32" s="98">
        <f t="shared" si="20"/>
        <v>0</v>
      </c>
      <c r="FH32" s="98">
        <f t="shared" si="21"/>
        <v>0</v>
      </c>
      <c r="FI32" s="98">
        <f t="shared" si="22"/>
        <v>0</v>
      </c>
      <c r="FJ32" s="98">
        <f t="shared" si="23"/>
        <v>0</v>
      </c>
      <c r="FK32" s="98">
        <f t="shared" si="24"/>
        <v>0</v>
      </c>
      <c r="FL32" s="98">
        <f t="shared" si="25"/>
        <v>0</v>
      </c>
      <c r="FM32" s="98">
        <f t="shared" si="26"/>
        <v>0</v>
      </c>
      <c r="FN32" s="98">
        <f t="shared" si="27"/>
        <v>0</v>
      </c>
      <c r="FO32" s="272" t="str">
        <f t="shared" si="17"/>
        <v/>
      </c>
      <c r="FP32" s="98">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944">
        <f t="shared" si="16"/>
        <v>0</v>
      </c>
      <c r="FR32" s="941">
        <f>SUMIFS('5. PERSON'!$AE$17:$AE$192,'5. PERSON'!$B$17:$B$192,'14. EUFP'!$B32,'5. PERSON'!$D$17:$D$192,FR$18)</f>
        <v>0</v>
      </c>
      <c r="FS32" s="941">
        <f>SUMIFS('5. PERSON'!$AE$17:$AE$192,'5. PERSON'!$B$17:$B$192,'14. EUFP'!$B32,'5. PERSON'!$D$17:$D$192,FS$18)</f>
        <v>0</v>
      </c>
      <c r="FT32" s="941">
        <f>SUMIFS('5. PERSON'!$AE$17:$AE$192,'5. PERSON'!$B$17:$B$192,'14. EUFP'!$B32,'5. PERSON'!$D$17:$D$192,FT$18)</f>
        <v>0</v>
      </c>
      <c r="FU32" s="941">
        <f>SUMIFS('5. PERSON'!$AE$17:$AE$192,'5. PERSON'!$B$17:$B$192,'14. EUFP'!$B32,'5. PERSON'!$D$17:$D$192,FU$18)</f>
        <v>0</v>
      </c>
      <c r="FV32" s="941">
        <f>SUMIFS('5. PERSON'!$AE$17:$AE$192,'5. PERSON'!$B$17:$B$192,'14. EUFP'!$B32,'5. PERSON'!$D$17:$D$192,FV$18)</f>
        <v>0</v>
      </c>
      <c r="FW32" s="941">
        <f>SUMIFS('5. PERSON'!$AE$17:$AE$192,'5. PERSON'!$B$17:$B$192,'14. EUFP'!$B32,'5. PERSON'!$D$17:$D$192,FW$18)</f>
        <v>0</v>
      </c>
      <c r="FX32" s="941">
        <f>SUMIFS('5. PERSON'!$AE$17:$AE$192,'5. PERSON'!$B$17:$B$192,'14. EUFP'!$B32,'5. PERSON'!$D$17:$D$192,FX$18)</f>
        <v>0</v>
      </c>
      <c r="FY32" s="941">
        <f>SUMIFS('5. PERSON'!$AE$17:$AE$192,'5. PERSON'!$B$17:$B$192,'14. EUFP'!$B32,'5. PERSON'!$D$17:$D$192,FY$18)</f>
        <v>0</v>
      </c>
      <c r="FZ32" s="941">
        <f>SUMIFS('5. PERSON'!$AE$17:$AE$192,'5. PERSON'!$B$17:$B$192,'14. EUFP'!$B32,'5. PERSON'!$D$17:$D$192,FZ$18)</f>
        <v>0</v>
      </c>
      <c r="GA32" s="941">
        <f>SUMIFS('5. PERSON'!$AE$17:$AE$192,'5. PERSON'!$B$17:$B$192,'14. EUFP'!$B32,'5. PERSON'!$D$17:$D$192,GA$18)</f>
        <v>0</v>
      </c>
      <c r="GB32" s="941">
        <f>SUMIFS('5. PERSON'!$AE$17:$AE$192,'5. PERSON'!$B$17:$B$192,'14. EUFP'!$B32,'5. PERSON'!$D$17:$D$192,GB$18)</f>
        <v>0</v>
      </c>
      <c r="GC32" s="941">
        <f>SUMIFS('5. PERSON'!$AE$17:$AE$192,'5. PERSON'!$B$17:$B$192,'14. EUFP'!$B32,'5. PERSON'!$D$17:$D$192,GC$18)</f>
        <v>0</v>
      </c>
      <c r="GD32" s="941">
        <f>SUMIFS('5. PERSON'!$AE$17:$AE$192,'5. PERSON'!$B$17:$B$192,'14. EUFP'!$B32,'5. PERSON'!$D$17:$D$192,GD$18)</f>
        <v>0</v>
      </c>
      <c r="GE32" s="941">
        <f>SUMIFS('5. PERSON'!$AE$17:$AE$192,'5. PERSON'!$B$17:$B$192,'14. EUFP'!$B32,'5. PERSON'!$D$17:$D$192,GE$18)</f>
        <v>0</v>
      </c>
      <c r="GF32" s="941">
        <f>SUMIFS('5. PERSON'!$AE$17:$AE$192,'5. PERSON'!$B$17:$B$192,'14. EUFP'!$B32,'5. PERSON'!$D$17:$D$192,GF$18)</f>
        <v>0</v>
      </c>
      <c r="GG32" s="941">
        <f>SUMIFS('5. PERSON'!$AE$17:$AE$192,'5. PERSON'!$B$17:$B$192,'14. EUFP'!$B32,'5. PERSON'!$D$17:$D$192,GG$18)</f>
        <v>0</v>
      </c>
      <c r="GH32" s="941">
        <f>SUMIFS('5. PERSON'!$AE$17:$AE$192,'5. PERSON'!$B$17:$B$192,'14. EUFP'!$B32,'5. PERSON'!$D$17:$D$192,GH$18)</f>
        <v>0</v>
      </c>
      <c r="GI32" s="941">
        <f>SUMIFS('5. PERSON'!$AE$17:$AE$192,'5. PERSON'!$B$17:$B$192,'14. EUFP'!$B32,'5. PERSON'!$D$17:$D$192,GI$18)</f>
        <v>0</v>
      </c>
      <c r="GJ32" s="941">
        <f>SUMIFS('5. PERSON'!$AE$17:$AE$192,'5. PERSON'!$B$17:$B$192,'14. EUFP'!$B32,'5. PERSON'!$D$17:$D$192,GJ$18)</f>
        <v>0</v>
      </c>
      <c r="GK32" s="941">
        <f>SUMIFS('5. PERSON'!$AE$17:$AE$192,'5. PERSON'!$B$17:$B$192,'14. EUFP'!$B32,'5. PERSON'!$D$17:$D$192,GK$18)</f>
        <v>0</v>
      </c>
      <c r="GL32" s="941">
        <f t="shared" si="28"/>
        <v>0</v>
      </c>
    </row>
    <row r="33" spans="2:194" s="71" customFormat="1" ht="13.5" customHeight="1" x14ac:dyDescent="0.2">
      <c r="B33" s="259" t="str">
        <f>'3. PARTNER'!B60</f>
        <v>EXT110</v>
      </c>
      <c r="C33" s="281">
        <f>SUMIF('5. PERSON'!B$17:B$192,B33,'5. PERSON'!AR$17:AR$192)</f>
        <v>0</v>
      </c>
      <c r="D33" s="281">
        <f>SUMIFS('5. PERSON'!$AR$17:$AR$192,'5. PERSON'!$B$17:$B$192,$B33,'5. PERSON'!$D$17:$D$192,D$18)</f>
        <v>0</v>
      </c>
      <c r="E33" s="281">
        <f>SUMIFS('5. PERSON'!$AR$17:$AR$192,'5. PERSON'!$B$17:$B$192,$B33,'5. PERSON'!$D$17:$D$192,E$18)</f>
        <v>0</v>
      </c>
      <c r="F33" s="281">
        <f>SUMIFS('5. PERSON'!$AR$17:$AR$192,'5. PERSON'!$B$17:$B$192,$B33,'5. PERSON'!$D$17:$D$192,F$18)</f>
        <v>0</v>
      </c>
      <c r="G33" s="281">
        <f>SUMIFS('5. PERSON'!$AR$17:$AR$192,'5. PERSON'!$B$17:$B$192,$B33,'5. PERSON'!$D$17:$D$192,G$18)</f>
        <v>0</v>
      </c>
      <c r="H33" s="281">
        <f>SUMIFS('5. PERSON'!$AR$17:$AR$192,'5. PERSON'!$B$17:$B$192,$B33,'5. PERSON'!$D$17:$D$192,H$18)</f>
        <v>0</v>
      </c>
      <c r="I33" s="281">
        <f>SUMIFS('5. PERSON'!$AR$17:$AR$192,'5. PERSON'!$B$17:$B$192,$B33,'5. PERSON'!$D$17:$D$192,I$18)</f>
        <v>0</v>
      </c>
      <c r="J33" s="281">
        <f>SUMIFS('5. PERSON'!$AR$17:$AR$192,'5. PERSON'!$B$17:$B$192,$B33,'5. PERSON'!$D$17:$D$192,J$18)</f>
        <v>0</v>
      </c>
      <c r="K33" s="281">
        <f>SUMIFS('5. PERSON'!$AR$17:$AR$192,'5. PERSON'!$B$17:$B$192,$B33,'5. PERSON'!$D$17:$D$192,K$18)</f>
        <v>0</v>
      </c>
      <c r="L33" s="281">
        <f>SUMIFS('5. PERSON'!$AR$17:$AR$192,'5. PERSON'!$B$17:$B$192,$B33,'5. PERSON'!$D$17:$D$192,L$18)</f>
        <v>0</v>
      </c>
      <c r="M33" s="281">
        <f>SUMIFS('5. PERSON'!$AR$17:$AR$192,'5. PERSON'!$B$17:$B$192,$B33,'5. PERSON'!$D$17:$D$192,M$18)</f>
        <v>0</v>
      </c>
      <c r="N33" s="281">
        <f>SUMIFS('5. PERSON'!$AR$17:$AR$192,'5. PERSON'!$B$17:$B$192,$B33,'5. PERSON'!$D$17:$D$192,N$18)</f>
        <v>0</v>
      </c>
      <c r="O33" s="281">
        <f>SUMIFS('5. PERSON'!$AR$17:$AR$192,'5. PERSON'!$B$17:$B$192,$B33,'5. PERSON'!$D$17:$D$192,O$18)</f>
        <v>0</v>
      </c>
      <c r="P33" s="281">
        <f>SUMIFS('5. PERSON'!$AR$17:$AR$192,'5. PERSON'!$B$17:$B$192,$B33,'5. PERSON'!$D$17:$D$192,P$18)</f>
        <v>0</v>
      </c>
      <c r="Q33" s="281">
        <f>SUMIFS('5. PERSON'!$AR$17:$AR$192,'5. PERSON'!$B$17:$B$192,$B33,'5. PERSON'!$D$17:$D$192,Q$18)</f>
        <v>0</v>
      </c>
      <c r="R33" s="281">
        <f>SUMIFS('5. PERSON'!$AR$17:$AR$192,'5. PERSON'!$B$17:$B$192,$B33,'5. PERSON'!$D$17:$D$192,R$18)</f>
        <v>0</v>
      </c>
      <c r="S33" s="281">
        <f>SUMIFS('5. PERSON'!$AR$17:$AR$192,'5. PERSON'!$B$17:$B$192,$B33,'5. PERSON'!$D$17:$D$192,S$18)</f>
        <v>0</v>
      </c>
      <c r="T33" s="281">
        <f>SUMIFS('5. PERSON'!$AR$17:$AR$192,'5. PERSON'!$B$17:$B$192,$B33,'5. PERSON'!$D$17:$D$192,T$18)</f>
        <v>0</v>
      </c>
      <c r="U33" s="281">
        <f>SUMIFS('5. PERSON'!$AR$17:$AR$192,'5. PERSON'!$B$17:$B$192,$B33,'5. PERSON'!$D$17:$D$192,U$18)</f>
        <v>0</v>
      </c>
      <c r="V33" s="281">
        <f>SUMIFS('5. PERSON'!$AR$17:$AR$192,'5. PERSON'!$B$17:$B$192,$B33,'5. PERSON'!$D$17:$D$192,V$18)</f>
        <v>0</v>
      </c>
      <c r="W33" s="281">
        <f>SUMIFS('5. PERSON'!$AR$17:$AR$192,'5. PERSON'!$B$17:$B$192,$B33,'5. PERSON'!$D$17:$D$192,W$18)</f>
        <v>0</v>
      </c>
      <c r="X33" s="281">
        <f>SUMIFS('6. OPERATION'!R$17:R$149,'6. OPERATION'!B$17:B$149,B33,'6. OPERATION'!G$17:G$149,"SUBCON")</f>
        <v>0</v>
      </c>
      <c r="Y33" s="281">
        <f>SUMIFS('6. OPERATION'!$R$17:$R$149,'6. OPERATION'!$B$17:$B$149,$B33,'6. OPERATION'!$G$17:$G$149,"SUBCON",'6. OPERATION'!$D$17:$D$149,Y$18)</f>
        <v>0</v>
      </c>
      <c r="Z33" s="281">
        <f>SUMIFS('6. OPERATION'!$R$17:$R$149,'6. OPERATION'!$B$17:$B$149,$B33,'6. OPERATION'!$G$17:$G$149,"SUBCON",'6. OPERATION'!$D$17:$D$149,Z$18)</f>
        <v>0</v>
      </c>
      <c r="AA33" s="281">
        <f>SUMIFS('6. OPERATION'!$R$17:$R$149,'6. OPERATION'!$B$17:$B$149,$B33,'6. OPERATION'!$G$17:$G$149,"SUBCON",'6. OPERATION'!$D$17:$D$149,AA$18)</f>
        <v>0</v>
      </c>
      <c r="AB33" s="281">
        <f>SUMIFS('6. OPERATION'!$R$17:$R$149,'6. OPERATION'!$B$17:$B$149,$B33,'6. OPERATION'!$G$17:$G$149,"SUBCON",'6. OPERATION'!$D$17:$D$149,AB$18)</f>
        <v>0</v>
      </c>
      <c r="AC33" s="281">
        <f>SUMIFS('6. OPERATION'!$R$17:$R$149,'6. OPERATION'!$B$17:$B$149,$B33,'6. OPERATION'!$G$17:$G$149,"SUBCON",'6. OPERATION'!$D$17:$D$149,AC$18)</f>
        <v>0</v>
      </c>
      <c r="AD33" s="281">
        <f>SUMIFS('6. OPERATION'!$R$17:$R$149,'6. OPERATION'!$B$17:$B$149,$B33,'6. OPERATION'!$G$17:$G$149,"SUBCON",'6. OPERATION'!$D$17:$D$149,AD$18)</f>
        <v>0</v>
      </c>
      <c r="AE33" s="281">
        <f>SUMIFS('6. OPERATION'!$R$17:$R$149,'6. OPERATION'!$B$17:$B$149,$B33,'6. OPERATION'!$G$17:$G$149,"SUBCON",'6. OPERATION'!$D$17:$D$149,AE$18)</f>
        <v>0</v>
      </c>
      <c r="AF33" s="281">
        <f>SUMIFS('6. OPERATION'!$R$17:$R$149,'6. OPERATION'!$B$17:$B$149,$B33,'6. OPERATION'!$G$17:$G$149,"SUBCON",'6. OPERATION'!$D$17:$D$149,AF$18)</f>
        <v>0</v>
      </c>
      <c r="AG33" s="281">
        <f>SUMIFS('6. OPERATION'!$R$17:$R$149,'6. OPERATION'!$B$17:$B$149,$B33,'6. OPERATION'!$G$17:$G$149,"SUBCON",'6. OPERATION'!$D$17:$D$149,AG$18)</f>
        <v>0</v>
      </c>
      <c r="AH33" s="281">
        <f>SUMIFS('6. OPERATION'!$R$17:$R$149,'6. OPERATION'!$B$17:$B$149,$B33,'6. OPERATION'!$G$17:$G$149,"SUBCON",'6. OPERATION'!$D$17:$D$149,AH$18)</f>
        <v>0</v>
      </c>
      <c r="AI33" s="281">
        <f>SUMIFS('6. OPERATION'!$R$17:$R$149,'6. OPERATION'!$B$17:$B$149,$B33,'6. OPERATION'!$G$17:$G$149,"SUBCON",'6. OPERATION'!$D$17:$D$149,AI$18)</f>
        <v>0</v>
      </c>
      <c r="AJ33" s="281">
        <f>SUMIFS('6. OPERATION'!$R$17:$R$149,'6. OPERATION'!$B$17:$B$149,$B33,'6. OPERATION'!$G$17:$G$149,"SUBCON",'6. OPERATION'!$D$17:$D$149,AJ$18)</f>
        <v>0</v>
      </c>
      <c r="AK33" s="281">
        <f>SUMIFS('6. OPERATION'!$R$17:$R$149,'6. OPERATION'!$B$17:$B$149,$B33,'6. OPERATION'!$G$17:$G$149,"SUBCON",'6. OPERATION'!$D$17:$D$149,AK$18)</f>
        <v>0</v>
      </c>
      <c r="AL33" s="281">
        <f>SUMIFS('6. OPERATION'!$R$17:$R$149,'6. OPERATION'!$B$17:$B$149,$B33,'6. OPERATION'!$G$17:$G$149,"SUBCON",'6. OPERATION'!$D$17:$D$149,AL$18)</f>
        <v>0</v>
      </c>
      <c r="AM33" s="281">
        <f>SUMIFS('6. OPERATION'!$R$17:$R$149,'6. OPERATION'!$B$17:$B$149,$B33,'6. OPERATION'!$G$17:$G$149,"SUBCON",'6. OPERATION'!$D$17:$D$149,AM$18)</f>
        <v>0</v>
      </c>
      <c r="AN33" s="281">
        <f>SUMIFS('6. OPERATION'!$R$17:$R$149,'6. OPERATION'!$B$17:$B$149,$B33,'6. OPERATION'!$G$17:$G$149,"SUBCON",'6. OPERATION'!$D$17:$D$149,AN$18)</f>
        <v>0</v>
      </c>
      <c r="AO33" s="281">
        <f>SUMIFS('6. OPERATION'!$R$17:$R$149,'6. OPERATION'!$B$17:$B$149,$B33,'6. OPERATION'!$G$17:$G$149,"SUBCON",'6. OPERATION'!$D$17:$D$149,AO$18)</f>
        <v>0</v>
      </c>
      <c r="AP33" s="281">
        <f>SUMIFS('6. OPERATION'!$R$17:$R$149,'6. OPERATION'!$B$17:$B$149,$B33,'6. OPERATION'!$G$17:$G$149,"SUBCON",'6. OPERATION'!$D$17:$D$149,AP$18)</f>
        <v>0</v>
      </c>
      <c r="AQ33" s="281">
        <f>SUMIFS('6. OPERATION'!$R$17:$R$149,'6. OPERATION'!$B$17:$B$149,$B33,'6. OPERATION'!$G$17:$G$149,"SUBCON",'6. OPERATION'!$D$17:$D$149,AQ$18)</f>
        <v>0</v>
      </c>
      <c r="AR33" s="281">
        <f>SUMIFS('6. OPERATION'!$R$17:$R$149,'6. OPERATION'!$B$17:$B$149,$B33,'6. OPERATION'!$G$17:$G$149,"SUBCON",'6. OPERATION'!$D$17:$D$149,AR$18)</f>
        <v>0</v>
      </c>
      <c r="AS33" s="281">
        <f>SUMIFS('6. OPERATION'!R$17:R$149,'6. OPERATION'!B$17:B$149,B33,'6. OPERATION'!G$17:G$149,"TRAVEL")</f>
        <v>0</v>
      </c>
      <c r="AT33" s="281">
        <f>SUMIFS('6. OPERATION'!$R$17:$R$149,'6. OPERATION'!$B$17:$B$149,$B33,'6. OPERATION'!$G$17:$G$149,"TRAVEL",'6. OPERATION'!$D$17:$D$149,AT$18)</f>
        <v>0</v>
      </c>
      <c r="AU33" s="281">
        <f>SUMIFS('6. OPERATION'!$R$17:$R$149,'6. OPERATION'!$B$17:$B$149,$B33,'6. OPERATION'!$G$17:$G$149,"TRAVEL",'6. OPERATION'!$D$17:$D$149,AU$18)</f>
        <v>0</v>
      </c>
      <c r="AV33" s="281">
        <f>SUMIFS('6. OPERATION'!$R$17:$R$149,'6. OPERATION'!$B$17:$B$149,$B33,'6. OPERATION'!$G$17:$G$149,"TRAVEL",'6. OPERATION'!$D$17:$D$149,AV$18)</f>
        <v>0</v>
      </c>
      <c r="AW33" s="281">
        <f>SUMIFS('6. OPERATION'!$R$17:$R$149,'6. OPERATION'!$B$17:$B$149,$B33,'6. OPERATION'!$G$17:$G$149,"TRAVEL",'6. OPERATION'!$D$17:$D$149,AW$18)</f>
        <v>0</v>
      </c>
      <c r="AX33" s="281">
        <f>SUMIFS('6. OPERATION'!$R$17:$R$149,'6. OPERATION'!$B$17:$B$149,$B33,'6. OPERATION'!$G$17:$G$149,"TRAVEL",'6. OPERATION'!$D$17:$D$149,AX$18)</f>
        <v>0</v>
      </c>
      <c r="AY33" s="281">
        <f>SUMIFS('6. OPERATION'!$R$17:$R$149,'6. OPERATION'!$B$17:$B$149,$B33,'6. OPERATION'!$G$17:$G$149,"TRAVEL",'6. OPERATION'!$D$17:$D$149,AY$18)</f>
        <v>0</v>
      </c>
      <c r="AZ33" s="281">
        <f>SUMIFS('6. OPERATION'!$R$17:$R$149,'6. OPERATION'!$B$17:$B$149,$B33,'6. OPERATION'!$G$17:$G$149,"TRAVEL",'6. OPERATION'!$D$17:$D$149,AZ$18)</f>
        <v>0</v>
      </c>
      <c r="BA33" s="281">
        <f>SUMIFS('6. OPERATION'!$R$17:$R$149,'6. OPERATION'!$B$17:$B$149,$B33,'6. OPERATION'!$G$17:$G$149,"TRAVEL",'6. OPERATION'!$D$17:$D$149,BA$18)</f>
        <v>0</v>
      </c>
      <c r="BB33" s="281">
        <f>SUMIFS('6. OPERATION'!$R$17:$R$149,'6. OPERATION'!$B$17:$B$149,$B33,'6. OPERATION'!$G$17:$G$149,"TRAVEL",'6. OPERATION'!$D$17:$D$149,BB$18)</f>
        <v>0</v>
      </c>
      <c r="BC33" s="281">
        <f>SUMIFS('6. OPERATION'!$R$17:$R$149,'6. OPERATION'!$B$17:$B$149,$B33,'6. OPERATION'!$G$17:$G$149,"TRAVEL",'6. OPERATION'!$D$17:$D$149,BC$18)</f>
        <v>0</v>
      </c>
      <c r="BD33" s="281">
        <f>SUMIFS('6. OPERATION'!$R$17:$R$149,'6. OPERATION'!$B$17:$B$149,$B33,'6. OPERATION'!$G$17:$G$149,"TRAVEL",'6. OPERATION'!$D$17:$D$149,BD$18)</f>
        <v>0</v>
      </c>
      <c r="BE33" s="281">
        <f>SUMIFS('6. OPERATION'!$R$17:$R$149,'6. OPERATION'!$B$17:$B$149,$B33,'6. OPERATION'!$G$17:$G$149,"TRAVEL",'6. OPERATION'!$D$17:$D$149,BE$18)</f>
        <v>0</v>
      </c>
      <c r="BF33" s="281">
        <f>SUMIFS('6. OPERATION'!$R$17:$R$149,'6. OPERATION'!$B$17:$B$149,$B33,'6. OPERATION'!$G$17:$G$149,"TRAVEL",'6. OPERATION'!$D$17:$D$149,BF$18)</f>
        <v>0</v>
      </c>
      <c r="BG33" s="281">
        <f>SUMIFS('6. OPERATION'!$R$17:$R$149,'6. OPERATION'!$B$17:$B$149,$B33,'6. OPERATION'!$G$17:$G$149,"TRAVEL",'6. OPERATION'!$D$17:$D$149,BG$18)</f>
        <v>0</v>
      </c>
      <c r="BH33" s="281">
        <f>SUMIFS('6. OPERATION'!$R$17:$R$149,'6. OPERATION'!$B$17:$B$149,$B33,'6. OPERATION'!$G$17:$G$149,"TRAVEL",'6. OPERATION'!$D$17:$D$149,BH$18)</f>
        <v>0</v>
      </c>
      <c r="BI33" s="281">
        <f>SUMIFS('6. OPERATION'!$R$17:$R$149,'6. OPERATION'!$B$17:$B$149,$B33,'6. OPERATION'!$G$17:$G$149,"TRAVEL",'6. OPERATION'!$D$17:$D$149,BI$18)</f>
        <v>0</v>
      </c>
      <c r="BJ33" s="281">
        <f>SUMIFS('6. OPERATION'!$R$17:$R$149,'6. OPERATION'!$B$17:$B$149,$B33,'6. OPERATION'!$G$17:$G$149,"TRAVEL",'6. OPERATION'!$D$17:$D$149,BJ$18)</f>
        <v>0</v>
      </c>
      <c r="BK33" s="281">
        <f>SUMIFS('6. OPERATION'!$R$17:$R$149,'6. OPERATION'!$B$17:$B$149,$B33,'6. OPERATION'!$G$17:$G$149,"TRAVEL",'6. OPERATION'!$D$17:$D$149,BK$18)</f>
        <v>0</v>
      </c>
      <c r="BL33" s="281">
        <f>SUMIFS('6. OPERATION'!$R$17:$R$149,'6. OPERATION'!$B$17:$B$149,$B33,'6. OPERATION'!$G$17:$G$149,"TRAVEL",'6. OPERATION'!$D$17:$D$149,BL$18)</f>
        <v>0</v>
      </c>
      <c r="BM33" s="281">
        <f>SUMIFS('6. OPERATION'!$R$17:$R$149,'6. OPERATION'!$B$17:$B$149,$B33,'6. OPERATION'!$G$17:$G$149,"TRAVEL",'6. OPERATION'!$D$17:$D$149,BM$18)</f>
        <v>0</v>
      </c>
      <c r="BN33" s="281">
        <f>SUMIF('7. INVEST'!B$17:B$49,B33,'7. INVEST'!S$17:S$49)</f>
        <v>0</v>
      </c>
      <c r="BO33" s="281">
        <f>SUMIFS('7. INVEST'!$S$17:$S$49,'7. INVEST'!$B$17:$B$49,$B33,'7. INVEST'!$D$17:$D$49,BO$18)</f>
        <v>0</v>
      </c>
      <c r="BP33" s="281">
        <f>SUMIFS('7. INVEST'!$S$17:$S$49,'7. INVEST'!$B$17:$B$49,$B33,'7. INVEST'!$D$17:$D$49,BP$18)</f>
        <v>0</v>
      </c>
      <c r="BQ33" s="281">
        <f>SUMIFS('7. INVEST'!$S$17:$S$49,'7. INVEST'!$B$17:$B$49,$B33,'7. INVEST'!$D$17:$D$49,BQ$18)</f>
        <v>0</v>
      </c>
      <c r="BR33" s="281">
        <f>SUMIFS('7. INVEST'!$S$17:$S$49,'7. INVEST'!$B$17:$B$49,$B33,'7. INVEST'!$D$17:$D$49,BR$18)</f>
        <v>0</v>
      </c>
      <c r="BS33" s="281">
        <f>SUMIFS('7. INVEST'!$S$17:$S$49,'7. INVEST'!$B$17:$B$49,$B33,'7. INVEST'!$D$17:$D$49,BS$18)</f>
        <v>0</v>
      </c>
      <c r="BT33" s="281">
        <f>SUMIFS('7. INVEST'!$S$17:$S$49,'7. INVEST'!$B$17:$B$49,$B33,'7. INVEST'!$D$17:$D$49,BT$18)</f>
        <v>0</v>
      </c>
      <c r="BU33" s="281">
        <f>SUMIFS('7. INVEST'!$S$17:$S$49,'7. INVEST'!$B$17:$B$49,$B33,'7. INVEST'!$D$17:$D$49,BU$18)</f>
        <v>0</v>
      </c>
      <c r="BV33" s="281">
        <f>SUMIFS('7. INVEST'!$S$17:$S$49,'7. INVEST'!$B$17:$B$49,$B33,'7. INVEST'!$D$17:$D$49,BV$18)</f>
        <v>0</v>
      </c>
      <c r="BW33" s="281">
        <f>SUMIFS('7. INVEST'!$S$17:$S$49,'7. INVEST'!$B$17:$B$49,$B33,'7. INVEST'!$D$17:$D$49,BW$18)</f>
        <v>0</v>
      </c>
      <c r="BX33" s="281">
        <f>SUMIFS('7. INVEST'!$S$17:$S$49,'7. INVEST'!$B$17:$B$49,$B33,'7. INVEST'!$D$17:$D$49,BX$18)</f>
        <v>0</v>
      </c>
      <c r="BY33" s="281">
        <f>SUMIFS('7. INVEST'!$S$17:$S$49,'7. INVEST'!$B$17:$B$49,$B33,'7. INVEST'!$D$17:$D$49,BY$18)</f>
        <v>0</v>
      </c>
      <c r="BZ33" s="281">
        <f>SUMIFS('7. INVEST'!$S$17:$S$49,'7. INVEST'!$B$17:$B$49,$B33,'7. INVEST'!$D$17:$D$49,BZ$18)</f>
        <v>0</v>
      </c>
      <c r="CA33" s="281">
        <f>SUMIFS('7. INVEST'!$S$17:$S$49,'7. INVEST'!$B$17:$B$49,$B33,'7. INVEST'!$D$17:$D$49,CA$18)</f>
        <v>0</v>
      </c>
      <c r="CB33" s="281">
        <f>SUMIFS('7. INVEST'!$S$17:$S$49,'7. INVEST'!$B$17:$B$49,$B33,'7. INVEST'!$D$17:$D$49,CB$18)</f>
        <v>0</v>
      </c>
      <c r="CC33" s="281">
        <f>SUMIFS('7. INVEST'!$S$17:$S$49,'7. INVEST'!$B$17:$B$49,$B33,'7. INVEST'!$D$17:$D$49,CC$18)</f>
        <v>0</v>
      </c>
      <c r="CD33" s="281">
        <f>SUMIFS('7. INVEST'!$S$17:$S$49,'7. INVEST'!$B$17:$B$49,$B33,'7. INVEST'!$D$17:$D$49,CD$18)</f>
        <v>0</v>
      </c>
      <c r="CE33" s="281">
        <f>SUMIFS('7. INVEST'!$S$17:$S$49,'7. INVEST'!$B$17:$B$49,$B33,'7. INVEST'!$D$17:$D$49,CE$18)</f>
        <v>0</v>
      </c>
      <c r="CF33" s="281">
        <f>SUMIFS('7. INVEST'!$S$17:$S$49,'7. INVEST'!$B$17:$B$49,$B33,'7. INVEST'!$D$17:$D$49,CF$18)</f>
        <v>0</v>
      </c>
      <c r="CG33" s="281">
        <f>SUMIFS('7. INVEST'!$S$17:$S$49,'7. INVEST'!$B$17:$B$49,$B33,'7. INVEST'!$D$17:$D$49,CG$18)</f>
        <v>0</v>
      </c>
      <c r="CH33" s="281">
        <f>SUMIFS('7. INVEST'!$S$17:$S$49,'7. INVEST'!$B$17:$B$49,$B33,'7. INVEST'!$D$17:$D$49,CH$18)</f>
        <v>0</v>
      </c>
      <c r="CI33" s="281">
        <f>SUMIFS('6. OPERATION'!$R$17:$R$149,'6. OPERATION'!$B$17:$B$149,$B33,'6. OPERATION'!$G$17:$G$149,"OTHER")+SUMIF('8. FACILIT'!$B$18:$B$50,$B33,'8. FACILIT'!$P$18:$P$50)</f>
        <v>0</v>
      </c>
      <c r="CJ33" s="281">
        <f>SUMIFS('6. OPERATION'!$R$17:$R$149,'6. OPERATION'!$B$17:$B$149,$B33,'6. OPERATION'!$G$17:$G$149,"OTHER",'6. OPERATION'!$D$17:$D$149,CJ$18)+SUMIFS('8. FACILIT'!$P$18:$P$50,'8. FACILIT'!$B$18:$B$50,$B33,'8. FACILIT'!$D$18:$D$50,CJ$18)</f>
        <v>0</v>
      </c>
      <c r="CK33" s="281">
        <f>SUMIFS('6. OPERATION'!$R$17:$R$149,'6. OPERATION'!$B$17:$B$149,$B33,'6. OPERATION'!$G$17:$G$149,"OTHER",'6. OPERATION'!$D$17:$D$149,CK$18)+SUMIFS('8. FACILIT'!$P$18:$P$50,'8. FACILIT'!$B$18:$B$50,$B33,'8. FACILIT'!$D$18:$D$50,CK$18)</f>
        <v>0</v>
      </c>
      <c r="CL33" s="281">
        <f>SUMIFS('6. OPERATION'!$R$17:$R$149,'6. OPERATION'!$B$17:$B$149,$B33,'6. OPERATION'!$G$17:$G$149,"OTHER",'6. OPERATION'!$D$17:$D$149,CL$18)+SUMIFS('8. FACILIT'!$P$18:$P$50,'8. FACILIT'!$B$18:$B$50,$B33,'8. FACILIT'!$D$18:$D$50,CL$18)</f>
        <v>0</v>
      </c>
      <c r="CM33" s="281">
        <f>SUMIFS('6. OPERATION'!$R$17:$R$149,'6. OPERATION'!$B$17:$B$149,$B33,'6. OPERATION'!$G$17:$G$149,"OTHER",'6. OPERATION'!$D$17:$D$149,CM$18)+SUMIFS('8. FACILIT'!$P$18:$P$50,'8. FACILIT'!$B$18:$B$50,$B33,'8. FACILIT'!$D$18:$D$50,CM$18)</f>
        <v>0</v>
      </c>
      <c r="CN33" s="281">
        <f>SUMIFS('6. OPERATION'!$R$17:$R$149,'6. OPERATION'!$B$17:$B$149,$B33,'6. OPERATION'!$G$17:$G$149,"OTHER",'6. OPERATION'!$D$17:$D$149,CN$18)+SUMIFS('8. FACILIT'!$P$18:$P$50,'8. FACILIT'!$B$18:$B$50,$B33,'8. FACILIT'!$D$18:$D$50,CN$18)</f>
        <v>0</v>
      </c>
      <c r="CO33" s="281">
        <f>SUMIFS('6. OPERATION'!$R$17:$R$149,'6. OPERATION'!$B$17:$B$149,$B33,'6. OPERATION'!$G$17:$G$149,"OTHER",'6. OPERATION'!$D$17:$D$149,CO$18)+SUMIFS('8. FACILIT'!$P$18:$P$50,'8. FACILIT'!$B$18:$B$50,$B33,'8. FACILIT'!$D$18:$D$50,CO$18)</f>
        <v>0</v>
      </c>
      <c r="CP33" s="281">
        <f>SUMIFS('6. OPERATION'!$R$17:$R$149,'6. OPERATION'!$B$17:$B$149,$B33,'6. OPERATION'!$G$17:$G$149,"OTHER",'6. OPERATION'!$D$17:$D$149,CP$18)+SUMIFS('8. FACILIT'!$P$18:$P$50,'8. FACILIT'!$B$18:$B$50,$B33,'8. FACILIT'!$D$18:$D$50,CP$18)</f>
        <v>0</v>
      </c>
      <c r="CQ33" s="281">
        <f>SUMIFS('6. OPERATION'!$R$17:$R$149,'6. OPERATION'!$B$17:$B$149,$B33,'6. OPERATION'!$G$17:$G$149,"OTHER",'6. OPERATION'!$D$17:$D$149,CQ$18)+SUMIFS('8. FACILIT'!$P$18:$P$50,'8. FACILIT'!$B$18:$B$50,$B33,'8. FACILIT'!$D$18:$D$50,CQ$18)</f>
        <v>0</v>
      </c>
      <c r="CR33" s="281">
        <f>SUMIFS('6. OPERATION'!$R$17:$R$149,'6. OPERATION'!$B$17:$B$149,$B33,'6. OPERATION'!$G$17:$G$149,"OTHER",'6. OPERATION'!$D$17:$D$149,CR$18)+SUMIFS('8. FACILIT'!$P$18:$P$50,'8. FACILIT'!$B$18:$B$50,$B33,'8. FACILIT'!$D$18:$D$50,CR$18)</f>
        <v>0</v>
      </c>
      <c r="CS33" s="281">
        <f>SUMIFS('6. OPERATION'!$R$17:$R$149,'6. OPERATION'!$B$17:$B$149,$B33,'6. OPERATION'!$G$17:$G$149,"OTHER",'6. OPERATION'!$D$17:$D$149,CS$18)+SUMIFS('8. FACILIT'!$P$18:$P$50,'8. FACILIT'!$B$18:$B$50,$B33,'8. FACILIT'!$D$18:$D$50,CS$18)</f>
        <v>0</v>
      </c>
      <c r="CT33" s="281">
        <f>SUMIFS('6. OPERATION'!$R$17:$R$149,'6. OPERATION'!$B$17:$B$149,$B33,'6. OPERATION'!$G$17:$G$149,"OTHER",'6. OPERATION'!$D$17:$D$149,CT$18)+SUMIFS('8. FACILIT'!$P$18:$P$50,'8. FACILIT'!$B$18:$B$50,$B33,'8. FACILIT'!$D$18:$D$50,CT$18)</f>
        <v>0</v>
      </c>
      <c r="CU33" s="281">
        <f>SUMIFS('6. OPERATION'!$R$17:$R$149,'6. OPERATION'!$B$17:$B$149,$B33,'6. OPERATION'!$G$17:$G$149,"OTHER",'6. OPERATION'!$D$17:$D$149,CU$18)+SUMIFS('8. FACILIT'!$P$18:$P$50,'8. FACILIT'!$B$18:$B$50,$B33,'8. FACILIT'!$D$18:$D$50,CU$18)</f>
        <v>0</v>
      </c>
      <c r="CV33" s="281">
        <f>SUMIFS('6. OPERATION'!$R$17:$R$149,'6. OPERATION'!$B$17:$B$149,$B33,'6. OPERATION'!$G$17:$G$149,"OTHER",'6. OPERATION'!$D$17:$D$149,CV$18)+SUMIFS('8. FACILIT'!$P$18:$P$50,'8. FACILIT'!$B$18:$B$50,$B33,'8. FACILIT'!$D$18:$D$50,CV$18)</f>
        <v>0</v>
      </c>
      <c r="CW33" s="281">
        <f>SUMIFS('6. OPERATION'!$R$17:$R$149,'6. OPERATION'!$B$17:$B$149,$B33,'6. OPERATION'!$G$17:$G$149,"OTHER",'6. OPERATION'!$D$17:$D$149,CW$18)+SUMIFS('8. FACILIT'!$P$18:$P$50,'8. FACILIT'!$B$18:$B$50,$B33,'8. FACILIT'!$D$18:$D$50,CW$18)</f>
        <v>0</v>
      </c>
      <c r="CX33" s="281">
        <f>SUMIFS('6. OPERATION'!$R$17:$R$149,'6. OPERATION'!$B$17:$B$149,$B33,'6. OPERATION'!$G$17:$G$149,"OTHER",'6. OPERATION'!$D$17:$D$149,CX$18)+SUMIFS('8. FACILIT'!$P$18:$P$50,'8. FACILIT'!$B$18:$B$50,$B33,'8. FACILIT'!$D$18:$D$50,CX$18)</f>
        <v>0</v>
      </c>
      <c r="CY33" s="281">
        <f>SUMIFS('6. OPERATION'!$R$17:$R$149,'6. OPERATION'!$B$17:$B$149,$B33,'6. OPERATION'!$G$17:$G$149,"OTHER",'6. OPERATION'!$D$17:$D$149,CY$18)+SUMIFS('8. FACILIT'!$P$18:$P$50,'8. FACILIT'!$B$18:$B$50,$B33,'8. FACILIT'!$D$18:$D$50,CY$18)</f>
        <v>0</v>
      </c>
      <c r="CZ33" s="281">
        <f>SUMIFS('6. OPERATION'!$R$17:$R$149,'6. OPERATION'!$B$17:$B$149,$B33,'6. OPERATION'!$G$17:$G$149,"OTHER",'6. OPERATION'!$D$17:$D$149,CZ$18)+SUMIFS('8. FACILIT'!$P$18:$P$50,'8. FACILIT'!$B$18:$B$50,$B33,'8. FACILIT'!$D$18:$D$50,CZ$18)</f>
        <v>0</v>
      </c>
      <c r="DA33" s="281">
        <f>SUMIFS('6. OPERATION'!$R$17:$R$149,'6. OPERATION'!$B$17:$B$149,$B33,'6. OPERATION'!$G$17:$G$149,"OTHER",'6. OPERATION'!$D$17:$D$149,DA$18)+SUMIFS('8. FACILIT'!$P$18:$P$50,'8. FACILIT'!$B$18:$B$50,$B33,'8. FACILIT'!$D$18:$D$50,DA$18)</f>
        <v>0</v>
      </c>
      <c r="DB33" s="281">
        <f>SUMIFS('6. OPERATION'!$R$17:$R$149,'6. OPERATION'!$B$17:$B$149,$B33,'6. OPERATION'!$G$17:$G$149,"OTHER",'6. OPERATION'!$D$17:$D$149,DB$18)+SUMIFS('8. FACILIT'!$P$18:$P$50,'8. FACILIT'!$B$18:$B$50,$B33,'8. FACILIT'!$D$18:$D$50,DB$18)</f>
        <v>0</v>
      </c>
      <c r="DC33" s="281">
        <f>SUMIFS('6. OPERATION'!$R$17:$R$149,'6. OPERATION'!$B$17:$B$149,$B33,'6. OPERATION'!$G$17:$G$149,"OTHER",'6. OPERATION'!$D$17:$D$149,DC$18)+SUMIFS('8. FACILIT'!$P$18:$P$50,'8. FACILIT'!$B$18:$B$50,$B33,'8. FACILIT'!$D$18:$D$50,DC$18)</f>
        <v>0</v>
      </c>
      <c r="DD33" s="281">
        <f>SUMIFS('6. OPERATION'!R$17:R$149,'6. OPERATION'!B$17:B$149,B33,'6. OPERATION'!G$17:G$149,"INTERN")</f>
        <v>0</v>
      </c>
      <c r="DE33" s="281">
        <f>SUMIFS('6. OPERATION'!$R$17:$R$149,'6. OPERATION'!$B$17:$B$149,$B33,'6. OPERATION'!$G$17:$G$149,"INTERN",'6. OPERATION'!$D$17:$D$149,DE$18)</f>
        <v>0</v>
      </c>
      <c r="DF33" s="281">
        <f>SUMIFS('6. OPERATION'!$R$17:$R$149,'6. OPERATION'!$B$17:$B$149,$B33,'6. OPERATION'!$G$17:$G$149,"INTERN",'6. OPERATION'!$D$17:$D$149,DF$18)</f>
        <v>0</v>
      </c>
      <c r="DG33" s="281">
        <f>SUMIFS('6. OPERATION'!$R$17:$R$149,'6. OPERATION'!$B$17:$B$149,$B33,'6. OPERATION'!$G$17:$G$149,"INTERN",'6. OPERATION'!$D$17:$D$149,DG$18)</f>
        <v>0</v>
      </c>
      <c r="DH33" s="281">
        <f>SUMIFS('6. OPERATION'!$R$17:$R$149,'6. OPERATION'!$B$17:$B$149,$B33,'6. OPERATION'!$G$17:$G$149,"INTERN",'6. OPERATION'!$D$17:$D$149,DH$18)</f>
        <v>0</v>
      </c>
      <c r="DI33" s="281">
        <f>SUMIFS('6. OPERATION'!$R$17:$R$149,'6. OPERATION'!$B$17:$B$149,$B33,'6. OPERATION'!$G$17:$G$149,"INTERN",'6. OPERATION'!$D$17:$D$149,DI$18)</f>
        <v>0</v>
      </c>
      <c r="DJ33" s="281">
        <f>SUMIFS('6. OPERATION'!$R$17:$R$149,'6. OPERATION'!$B$17:$B$149,$B33,'6. OPERATION'!$G$17:$G$149,"INTERN",'6. OPERATION'!$D$17:$D$149,DJ$18)</f>
        <v>0</v>
      </c>
      <c r="DK33" s="281">
        <f>SUMIFS('6. OPERATION'!$R$17:$R$149,'6. OPERATION'!$B$17:$B$149,$B33,'6. OPERATION'!$G$17:$G$149,"INTERN",'6. OPERATION'!$D$17:$D$149,DK$18)</f>
        <v>0</v>
      </c>
      <c r="DL33" s="281">
        <f>SUMIFS('6. OPERATION'!$R$17:$R$149,'6. OPERATION'!$B$17:$B$149,$B33,'6. OPERATION'!$G$17:$G$149,"INTERN",'6. OPERATION'!$D$17:$D$149,DL$18)</f>
        <v>0</v>
      </c>
      <c r="DM33" s="281">
        <f>SUMIFS('6. OPERATION'!$R$17:$R$149,'6. OPERATION'!$B$17:$B$149,$B33,'6. OPERATION'!$G$17:$G$149,"INTERN",'6. OPERATION'!$D$17:$D$149,DM$18)</f>
        <v>0</v>
      </c>
      <c r="DN33" s="281">
        <f>SUMIFS('6. OPERATION'!$R$17:$R$149,'6. OPERATION'!$B$17:$B$149,$B33,'6. OPERATION'!$G$17:$G$149,"INTERN",'6. OPERATION'!$D$17:$D$149,DN$18)</f>
        <v>0</v>
      </c>
      <c r="DO33" s="281">
        <f>SUMIFS('6. OPERATION'!$R$17:$R$149,'6. OPERATION'!$B$17:$B$149,$B33,'6. OPERATION'!$G$17:$G$149,"INTERN",'6. OPERATION'!$D$17:$D$149,DO$18)</f>
        <v>0</v>
      </c>
      <c r="DP33" s="281">
        <f>SUMIFS('6. OPERATION'!$R$17:$R$149,'6. OPERATION'!$B$17:$B$149,$B33,'6. OPERATION'!$G$17:$G$149,"INTERN",'6. OPERATION'!$D$17:$D$149,DP$18)</f>
        <v>0</v>
      </c>
      <c r="DQ33" s="281">
        <f>SUMIFS('6. OPERATION'!$R$17:$R$149,'6. OPERATION'!$B$17:$B$149,$B33,'6. OPERATION'!$G$17:$G$149,"INTERN",'6. OPERATION'!$D$17:$D$149,DQ$18)</f>
        <v>0</v>
      </c>
      <c r="DR33" s="281">
        <f>SUMIFS('6. OPERATION'!$R$17:$R$149,'6. OPERATION'!$B$17:$B$149,$B33,'6. OPERATION'!$G$17:$G$149,"INTERN",'6. OPERATION'!$D$17:$D$149,DR$18)</f>
        <v>0</v>
      </c>
      <c r="DS33" s="281">
        <f>SUMIFS('6. OPERATION'!$R$17:$R$149,'6. OPERATION'!$B$17:$B$149,$B33,'6. OPERATION'!$G$17:$G$149,"INTERN",'6. OPERATION'!$D$17:$D$149,DS$18)</f>
        <v>0</v>
      </c>
      <c r="DT33" s="281">
        <f>SUMIFS('6. OPERATION'!$R$17:$R$149,'6. OPERATION'!$B$17:$B$149,$B33,'6. OPERATION'!$G$17:$G$149,"INTERN",'6. OPERATION'!$D$17:$D$149,DT$18)</f>
        <v>0</v>
      </c>
      <c r="DU33" s="281">
        <f>SUMIFS('6. OPERATION'!$R$17:$R$149,'6. OPERATION'!$B$17:$B$149,$B33,'6. OPERATION'!$G$17:$G$149,"INTERN",'6. OPERATION'!$D$17:$D$149,DU$18)</f>
        <v>0</v>
      </c>
      <c r="DV33" s="281">
        <f>SUMIFS('6. OPERATION'!$R$17:$R$149,'6. OPERATION'!$B$17:$B$149,$B33,'6. OPERATION'!$G$17:$G$149,"INTERN",'6. OPERATION'!$D$17:$D$149,DV$18)</f>
        <v>0</v>
      </c>
      <c r="DW33" s="281">
        <f>SUMIFS('6. OPERATION'!$R$17:$R$149,'6. OPERATION'!$B$17:$B$149,$B33,'6. OPERATION'!$G$17:$G$149,"INTERN",'6. OPERATION'!$D$17:$D$149,DW$18)</f>
        <v>0</v>
      </c>
      <c r="DX33" s="281">
        <f>SUMIFS('6. OPERATION'!$R$17:$R$149,'6. OPERATION'!$B$17:$B$149,$B33,'6. OPERATION'!$G$17:$G$149,"INTERN",'6. OPERATION'!$D$17:$D$149,DX$18)</f>
        <v>0</v>
      </c>
      <c r="DY33" s="288">
        <f>(C33+AS33+BN33+CI33)*'2. START'!$C$12</f>
        <v>0</v>
      </c>
      <c r="DZ33" s="288">
        <f>(D33+AT33+BO33+CJ33)*'2. START'!$C$12</f>
        <v>0</v>
      </c>
      <c r="EA33" s="288">
        <f>(E33+AU33+BP33+CK33)*'2. START'!$C$12</f>
        <v>0</v>
      </c>
      <c r="EB33" s="288">
        <f>(F33+AV33+BQ33+CL33)*'2. START'!$C$12</f>
        <v>0</v>
      </c>
      <c r="EC33" s="288">
        <f>(G33+AW33+BR33+CM33)*'2. START'!$C$12</f>
        <v>0</v>
      </c>
      <c r="ED33" s="288">
        <f>(H33+AX33+BS33+CN33)*'2. START'!$C$12</f>
        <v>0</v>
      </c>
      <c r="EE33" s="288">
        <f>(I33+AY33+BT33+CO33)*'2. START'!$C$12</f>
        <v>0</v>
      </c>
      <c r="EF33" s="288">
        <f>(J33+AZ33+BU33+CP33)*'2. START'!$C$12</f>
        <v>0</v>
      </c>
      <c r="EG33" s="288">
        <f>(K33+BA33+BV33+CQ33)*'2. START'!$C$12</f>
        <v>0</v>
      </c>
      <c r="EH33" s="288">
        <f>(L33+BB33+BW33+CR33)*'2. START'!$C$12</f>
        <v>0</v>
      </c>
      <c r="EI33" s="288">
        <f>(M33+BC33+BX33+CS33)*'2. START'!$C$12</f>
        <v>0</v>
      </c>
      <c r="EJ33" s="288">
        <f>(N33+BD33+BY33+CT33)*'2. START'!$C$12</f>
        <v>0</v>
      </c>
      <c r="EK33" s="288">
        <f>(O33+BE33+BZ33+CU33)*'2. START'!$C$12</f>
        <v>0</v>
      </c>
      <c r="EL33" s="288">
        <f>(P33+BF33+CA33+CV33)*'2. START'!$C$12</f>
        <v>0</v>
      </c>
      <c r="EM33" s="288">
        <f>(Q33+BG33+CB33+CW33)*'2. START'!$C$12</f>
        <v>0</v>
      </c>
      <c r="EN33" s="288">
        <f>(R33+BH33+CC33+CX33)*'2. START'!$C$12</f>
        <v>0</v>
      </c>
      <c r="EO33" s="288">
        <f>(S33+BI33+CD33+CY33)*'2. START'!$C$12</f>
        <v>0</v>
      </c>
      <c r="EP33" s="288">
        <f>(T33+BJ33+CE33+CZ33)*'2. START'!$C$12</f>
        <v>0</v>
      </c>
      <c r="EQ33" s="288">
        <f>(U33+BK33+CF33+DA33)*'2. START'!$C$12</f>
        <v>0</v>
      </c>
      <c r="ER33" s="288">
        <f>(V33+BL33+CG33+DB33)*'2. START'!$C$12</f>
        <v>0</v>
      </c>
      <c r="ES33" s="288">
        <f>(W33+BM33+CH33+DC33)*'2. START'!$C$12</f>
        <v>0</v>
      </c>
      <c r="ET33" s="105">
        <f t="shared" si="4"/>
        <v>0</v>
      </c>
      <c r="EU33" s="105">
        <f t="shared" si="5"/>
        <v>0</v>
      </c>
      <c r="EV33" s="105">
        <f t="shared" si="6"/>
        <v>0</v>
      </c>
      <c r="EW33" s="105">
        <f t="shared" si="7"/>
        <v>0</v>
      </c>
      <c r="EX33" s="105">
        <f t="shared" si="8"/>
        <v>0</v>
      </c>
      <c r="EY33" s="105">
        <f t="shared" si="9"/>
        <v>0</v>
      </c>
      <c r="EZ33" s="105">
        <f t="shared" si="10"/>
        <v>0</v>
      </c>
      <c r="FA33" s="105">
        <f t="shared" si="11"/>
        <v>0</v>
      </c>
      <c r="FB33" s="105">
        <f t="shared" si="12"/>
        <v>0</v>
      </c>
      <c r="FC33" s="105">
        <f t="shared" si="13"/>
        <v>0</v>
      </c>
      <c r="FD33" s="105">
        <f t="shared" si="14"/>
        <v>0</v>
      </c>
      <c r="FE33" s="105">
        <f t="shared" si="18"/>
        <v>0</v>
      </c>
      <c r="FF33" s="105">
        <f t="shared" si="19"/>
        <v>0</v>
      </c>
      <c r="FG33" s="105">
        <f t="shared" si="20"/>
        <v>0</v>
      </c>
      <c r="FH33" s="105">
        <f t="shared" si="21"/>
        <v>0</v>
      </c>
      <c r="FI33" s="105">
        <f t="shared" si="22"/>
        <v>0</v>
      </c>
      <c r="FJ33" s="105">
        <f t="shared" si="23"/>
        <v>0</v>
      </c>
      <c r="FK33" s="105">
        <f t="shared" si="24"/>
        <v>0</v>
      </c>
      <c r="FL33" s="105">
        <f t="shared" si="25"/>
        <v>0</v>
      </c>
      <c r="FM33" s="105">
        <f t="shared" si="26"/>
        <v>0</v>
      </c>
      <c r="FN33" s="105">
        <f t="shared" si="27"/>
        <v>0</v>
      </c>
      <c r="FO33" s="273" t="str">
        <f t="shared" si="17"/>
        <v/>
      </c>
      <c r="FP33" s="105">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943">
        <f t="shared" si="16"/>
        <v>0</v>
      </c>
      <c r="FR33" s="940">
        <f>SUMIFS('5. PERSON'!$AE$17:$AE$192,'5. PERSON'!$B$17:$B$192,'14. EUFP'!$B33,'5. PERSON'!$D$17:$D$192,FR$18)</f>
        <v>0</v>
      </c>
      <c r="FS33" s="940">
        <f>SUMIFS('5. PERSON'!$AE$17:$AE$192,'5. PERSON'!$B$17:$B$192,'14. EUFP'!$B33,'5. PERSON'!$D$17:$D$192,FS$18)</f>
        <v>0</v>
      </c>
      <c r="FT33" s="940">
        <f>SUMIFS('5. PERSON'!$AE$17:$AE$192,'5. PERSON'!$B$17:$B$192,'14. EUFP'!$B33,'5. PERSON'!$D$17:$D$192,FT$18)</f>
        <v>0</v>
      </c>
      <c r="FU33" s="940">
        <f>SUMIFS('5. PERSON'!$AE$17:$AE$192,'5. PERSON'!$B$17:$B$192,'14. EUFP'!$B33,'5. PERSON'!$D$17:$D$192,FU$18)</f>
        <v>0</v>
      </c>
      <c r="FV33" s="940">
        <f>SUMIFS('5. PERSON'!$AE$17:$AE$192,'5. PERSON'!$B$17:$B$192,'14. EUFP'!$B33,'5. PERSON'!$D$17:$D$192,FV$18)</f>
        <v>0</v>
      </c>
      <c r="FW33" s="940">
        <f>SUMIFS('5. PERSON'!$AE$17:$AE$192,'5. PERSON'!$B$17:$B$192,'14. EUFP'!$B33,'5. PERSON'!$D$17:$D$192,FW$18)</f>
        <v>0</v>
      </c>
      <c r="FX33" s="940">
        <f>SUMIFS('5. PERSON'!$AE$17:$AE$192,'5. PERSON'!$B$17:$B$192,'14. EUFP'!$B33,'5. PERSON'!$D$17:$D$192,FX$18)</f>
        <v>0</v>
      </c>
      <c r="FY33" s="940">
        <f>SUMIFS('5. PERSON'!$AE$17:$AE$192,'5. PERSON'!$B$17:$B$192,'14. EUFP'!$B33,'5. PERSON'!$D$17:$D$192,FY$18)</f>
        <v>0</v>
      </c>
      <c r="FZ33" s="940">
        <f>SUMIFS('5. PERSON'!$AE$17:$AE$192,'5. PERSON'!$B$17:$B$192,'14. EUFP'!$B33,'5. PERSON'!$D$17:$D$192,FZ$18)</f>
        <v>0</v>
      </c>
      <c r="GA33" s="940">
        <f>SUMIFS('5. PERSON'!$AE$17:$AE$192,'5. PERSON'!$B$17:$B$192,'14. EUFP'!$B33,'5. PERSON'!$D$17:$D$192,GA$18)</f>
        <v>0</v>
      </c>
      <c r="GB33" s="940">
        <f>SUMIFS('5. PERSON'!$AE$17:$AE$192,'5. PERSON'!$B$17:$B$192,'14. EUFP'!$B33,'5. PERSON'!$D$17:$D$192,GB$18)</f>
        <v>0</v>
      </c>
      <c r="GC33" s="940">
        <f>SUMIFS('5. PERSON'!$AE$17:$AE$192,'5. PERSON'!$B$17:$B$192,'14. EUFP'!$B33,'5. PERSON'!$D$17:$D$192,GC$18)</f>
        <v>0</v>
      </c>
      <c r="GD33" s="940">
        <f>SUMIFS('5. PERSON'!$AE$17:$AE$192,'5. PERSON'!$B$17:$B$192,'14. EUFP'!$B33,'5. PERSON'!$D$17:$D$192,GD$18)</f>
        <v>0</v>
      </c>
      <c r="GE33" s="940">
        <f>SUMIFS('5. PERSON'!$AE$17:$AE$192,'5. PERSON'!$B$17:$B$192,'14. EUFP'!$B33,'5. PERSON'!$D$17:$D$192,GE$18)</f>
        <v>0</v>
      </c>
      <c r="GF33" s="940">
        <f>SUMIFS('5. PERSON'!$AE$17:$AE$192,'5. PERSON'!$B$17:$B$192,'14. EUFP'!$B33,'5. PERSON'!$D$17:$D$192,GF$18)</f>
        <v>0</v>
      </c>
      <c r="GG33" s="940">
        <f>SUMIFS('5. PERSON'!$AE$17:$AE$192,'5. PERSON'!$B$17:$B$192,'14. EUFP'!$B33,'5. PERSON'!$D$17:$D$192,GG$18)</f>
        <v>0</v>
      </c>
      <c r="GH33" s="940">
        <f>SUMIFS('5. PERSON'!$AE$17:$AE$192,'5. PERSON'!$B$17:$B$192,'14. EUFP'!$B33,'5. PERSON'!$D$17:$D$192,GH$18)</f>
        <v>0</v>
      </c>
      <c r="GI33" s="940">
        <f>SUMIFS('5. PERSON'!$AE$17:$AE$192,'5. PERSON'!$B$17:$B$192,'14. EUFP'!$B33,'5. PERSON'!$D$17:$D$192,GI$18)</f>
        <v>0</v>
      </c>
      <c r="GJ33" s="940">
        <f>SUMIFS('5. PERSON'!$AE$17:$AE$192,'5. PERSON'!$B$17:$B$192,'14. EUFP'!$B33,'5. PERSON'!$D$17:$D$192,GJ$18)</f>
        <v>0</v>
      </c>
      <c r="GK33" s="940">
        <f>SUMIFS('5. PERSON'!$AE$17:$AE$192,'5. PERSON'!$B$17:$B$192,'14. EUFP'!$B33,'5. PERSON'!$D$17:$D$192,GK$18)</f>
        <v>0</v>
      </c>
      <c r="GL33" s="940">
        <f t="shared" si="28"/>
        <v>0</v>
      </c>
    </row>
    <row r="34" spans="2:194" ht="13.5" customHeight="1" x14ac:dyDescent="0.2">
      <c r="B34" s="261" t="str">
        <f>'3. PARTNER'!B61</f>
        <v>EXT111</v>
      </c>
      <c r="C34" s="262">
        <f>SUMIF('5. PERSON'!B$17:B$192,B34,'5. PERSON'!AR$17:AR$192)</f>
        <v>0</v>
      </c>
      <c r="D34" s="262">
        <f>SUMIFS('5. PERSON'!$AR$17:$AR$192,'5. PERSON'!$B$17:$B$192,$B34,'5. PERSON'!$D$17:$D$192,D$18)</f>
        <v>0</v>
      </c>
      <c r="E34" s="262">
        <f>SUMIFS('5. PERSON'!$AR$17:$AR$192,'5. PERSON'!$B$17:$B$192,$B34,'5. PERSON'!$D$17:$D$192,E$18)</f>
        <v>0</v>
      </c>
      <c r="F34" s="262">
        <f>SUMIFS('5. PERSON'!$AR$17:$AR$192,'5. PERSON'!$B$17:$B$192,$B34,'5. PERSON'!$D$17:$D$192,F$18)</f>
        <v>0</v>
      </c>
      <c r="G34" s="262">
        <f>SUMIFS('5. PERSON'!$AR$17:$AR$192,'5. PERSON'!$B$17:$B$192,$B34,'5. PERSON'!$D$17:$D$192,G$18)</f>
        <v>0</v>
      </c>
      <c r="H34" s="262">
        <f>SUMIFS('5. PERSON'!$AR$17:$AR$192,'5. PERSON'!$B$17:$B$192,$B34,'5. PERSON'!$D$17:$D$192,H$18)</f>
        <v>0</v>
      </c>
      <c r="I34" s="262">
        <f>SUMIFS('5. PERSON'!$AR$17:$AR$192,'5. PERSON'!$B$17:$B$192,$B34,'5. PERSON'!$D$17:$D$192,I$18)</f>
        <v>0</v>
      </c>
      <c r="J34" s="262">
        <f>SUMIFS('5. PERSON'!$AR$17:$AR$192,'5. PERSON'!$B$17:$B$192,$B34,'5. PERSON'!$D$17:$D$192,J$18)</f>
        <v>0</v>
      </c>
      <c r="K34" s="262">
        <f>SUMIFS('5. PERSON'!$AR$17:$AR$192,'5. PERSON'!$B$17:$B$192,$B34,'5. PERSON'!$D$17:$D$192,K$18)</f>
        <v>0</v>
      </c>
      <c r="L34" s="262">
        <f>SUMIFS('5. PERSON'!$AR$17:$AR$192,'5. PERSON'!$B$17:$B$192,$B34,'5. PERSON'!$D$17:$D$192,L$18)</f>
        <v>0</v>
      </c>
      <c r="M34" s="262">
        <f>SUMIFS('5. PERSON'!$AR$17:$AR$192,'5. PERSON'!$B$17:$B$192,$B34,'5. PERSON'!$D$17:$D$192,M$18)</f>
        <v>0</v>
      </c>
      <c r="N34" s="262">
        <f>SUMIFS('5. PERSON'!$AR$17:$AR$192,'5. PERSON'!$B$17:$B$192,$B34,'5. PERSON'!$D$17:$D$192,N$18)</f>
        <v>0</v>
      </c>
      <c r="O34" s="262">
        <f>SUMIFS('5. PERSON'!$AR$17:$AR$192,'5. PERSON'!$B$17:$B$192,$B34,'5. PERSON'!$D$17:$D$192,O$18)</f>
        <v>0</v>
      </c>
      <c r="P34" s="262">
        <f>SUMIFS('5. PERSON'!$AR$17:$AR$192,'5. PERSON'!$B$17:$B$192,$B34,'5. PERSON'!$D$17:$D$192,P$18)</f>
        <v>0</v>
      </c>
      <c r="Q34" s="262">
        <f>SUMIFS('5. PERSON'!$AR$17:$AR$192,'5. PERSON'!$B$17:$B$192,$B34,'5. PERSON'!$D$17:$D$192,Q$18)</f>
        <v>0</v>
      </c>
      <c r="R34" s="262">
        <f>SUMIFS('5. PERSON'!$AR$17:$AR$192,'5. PERSON'!$B$17:$B$192,$B34,'5. PERSON'!$D$17:$D$192,R$18)</f>
        <v>0</v>
      </c>
      <c r="S34" s="262">
        <f>SUMIFS('5. PERSON'!$AR$17:$AR$192,'5. PERSON'!$B$17:$B$192,$B34,'5. PERSON'!$D$17:$D$192,S$18)</f>
        <v>0</v>
      </c>
      <c r="T34" s="262">
        <f>SUMIFS('5. PERSON'!$AR$17:$AR$192,'5. PERSON'!$B$17:$B$192,$B34,'5. PERSON'!$D$17:$D$192,T$18)</f>
        <v>0</v>
      </c>
      <c r="U34" s="262">
        <f>SUMIFS('5. PERSON'!$AR$17:$AR$192,'5. PERSON'!$B$17:$B$192,$B34,'5. PERSON'!$D$17:$D$192,U$18)</f>
        <v>0</v>
      </c>
      <c r="V34" s="262">
        <f>SUMIFS('5. PERSON'!$AR$17:$AR$192,'5. PERSON'!$B$17:$B$192,$B34,'5. PERSON'!$D$17:$D$192,V$18)</f>
        <v>0</v>
      </c>
      <c r="W34" s="262">
        <f>SUMIFS('5. PERSON'!$AR$17:$AR$192,'5. PERSON'!$B$17:$B$192,$B34,'5. PERSON'!$D$17:$D$192,W$18)</f>
        <v>0</v>
      </c>
      <c r="X34" s="262">
        <f>SUMIFS('6. OPERATION'!R$17:R$149,'6. OPERATION'!B$17:B$149,B34,'6. OPERATION'!G$17:G$149,"SUBCON")</f>
        <v>0</v>
      </c>
      <c r="Y34" s="262">
        <f>SUMIFS('6. OPERATION'!$R$17:$R$149,'6. OPERATION'!$B$17:$B$149,$B34,'6. OPERATION'!$G$17:$G$149,"SUBCON",'6. OPERATION'!$D$17:$D$149,Y$18)</f>
        <v>0</v>
      </c>
      <c r="Z34" s="262">
        <f>SUMIFS('6. OPERATION'!$R$17:$R$149,'6. OPERATION'!$B$17:$B$149,$B34,'6. OPERATION'!$G$17:$G$149,"SUBCON",'6. OPERATION'!$D$17:$D$149,Z$18)</f>
        <v>0</v>
      </c>
      <c r="AA34" s="262">
        <f>SUMIFS('6. OPERATION'!$R$17:$R$149,'6. OPERATION'!$B$17:$B$149,$B34,'6. OPERATION'!$G$17:$G$149,"SUBCON",'6. OPERATION'!$D$17:$D$149,AA$18)</f>
        <v>0</v>
      </c>
      <c r="AB34" s="262">
        <f>SUMIFS('6. OPERATION'!$R$17:$R$149,'6. OPERATION'!$B$17:$B$149,$B34,'6. OPERATION'!$G$17:$G$149,"SUBCON",'6. OPERATION'!$D$17:$D$149,AB$18)</f>
        <v>0</v>
      </c>
      <c r="AC34" s="262">
        <f>SUMIFS('6. OPERATION'!$R$17:$R$149,'6. OPERATION'!$B$17:$B$149,$B34,'6. OPERATION'!$G$17:$G$149,"SUBCON",'6. OPERATION'!$D$17:$D$149,AC$18)</f>
        <v>0</v>
      </c>
      <c r="AD34" s="262">
        <f>SUMIFS('6. OPERATION'!$R$17:$R$149,'6. OPERATION'!$B$17:$B$149,$B34,'6. OPERATION'!$G$17:$G$149,"SUBCON",'6. OPERATION'!$D$17:$D$149,AD$18)</f>
        <v>0</v>
      </c>
      <c r="AE34" s="262">
        <f>SUMIFS('6. OPERATION'!$R$17:$R$149,'6. OPERATION'!$B$17:$B$149,$B34,'6. OPERATION'!$G$17:$G$149,"SUBCON",'6. OPERATION'!$D$17:$D$149,AE$18)</f>
        <v>0</v>
      </c>
      <c r="AF34" s="262">
        <f>SUMIFS('6. OPERATION'!$R$17:$R$149,'6. OPERATION'!$B$17:$B$149,$B34,'6. OPERATION'!$G$17:$G$149,"SUBCON",'6. OPERATION'!$D$17:$D$149,AF$18)</f>
        <v>0</v>
      </c>
      <c r="AG34" s="262">
        <f>SUMIFS('6. OPERATION'!$R$17:$R$149,'6. OPERATION'!$B$17:$B$149,$B34,'6. OPERATION'!$G$17:$G$149,"SUBCON",'6. OPERATION'!$D$17:$D$149,AG$18)</f>
        <v>0</v>
      </c>
      <c r="AH34" s="262">
        <f>SUMIFS('6. OPERATION'!$R$17:$R$149,'6. OPERATION'!$B$17:$B$149,$B34,'6. OPERATION'!$G$17:$G$149,"SUBCON",'6. OPERATION'!$D$17:$D$149,AH$18)</f>
        <v>0</v>
      </c>
      <c r="AI34" s="262">
        <f>SUMIFS('6. OPERATION'!$R$17:$R$149,'6. OPERATION'!$B$17:$B$149,$B34,'6. OPERATION'!$G$17:$G$149,"SUBCON",'6. OPERATION'!$D$17:$D$149,AI$18)</f>
        <v>0</v>
      </c>
      <c r="AJ34" s="262">
        <f>SUMIFS('6. OPERATION'!$R$17:$R$149,'6. OPERATION'!$B$17:$B$149,$B34,'6. OPERATION'!$G$17:$G$149,"SUBCON",'6. OPERATION'!$D$17:$D$149,AJ$18)</f>
        <v>0</v>
      </c>
      <c r="AK34" s="262">
        <f>SUMIFS('6. OPERATION'!$R$17:$R$149,'6. OPERATION'!$B$17:$B$149,$B34,'6. OPERATION'!$G$17:$G$149,"SUBCON",'6. OPERATION'!$D$17:$D$149,AK$18)</f>
        <v>0</v>
      </c>
      <c r="AL34" s="262">
        <f>SUMIFS('6. OPERATION'!$R$17:$R$149,'6. OPERATION'!$B$17:$B$149,$B34,'6. OPERATION'!$G$17:$G$149,"SUBCON",'6. OPERATION'!$D$17:$D$149,AL$18)</f>
        <v>0</v>
      </c>
      <c r="AM34" s="262">
        <f>SUMIFS('6. OPERATION'!$R$17:$R$149,'6. OPERATION'!$B$17:$B$149,$B34,'6. OPERATION'!$G$17:$G$149,"SUBCON",'6. OPERATION'!$D$17:$D$149,AM$18)</f>
        <v>0</v>
      </c>
      <c r="AN34" s="262">
        <f>SUMIFS('6. OPERATION'!$R$17:$R$149,'6. OPERATION'!$B$17:$B$149,$B34,'6. OPERATION'!$G$17:$G$149,"SUBCON",'6. OPERATION'!$D$17:$D$149,AN$18)</f>
        <v>0</v>
      </c>
      <c r="AO34" s="262">
        <f>SUMIFS('6. OPERATION'!$R$17:$R$149,'6. OPERATION'!$B$17:$B$149,$B34,'6. OPERATION'!$G$17:$G$149,"SUBCON",'6. OPERATION'!$D$17:$D$149,AO$18)</f>
        <v>0</v>
      </c>
      <c r="AP34" s="262">
        <f>SUMIFS('6. OPERATION'!$R$17:$R$149,'6. OPERATION'!$B$17:$B$149,$B34,'6. OPERATION'!$G$17:$G$149,"SUBCON",'6. OPERATION'!$D$17:$D$149,AP$18)</f>
        <v>0</v>
      </c>
      <c r="AQ34" s="262">
        <f>SUMIFS('6. OPERATION'!$R$17:$R$149,'6. OPERATION'!$B$17:$B$149,$B34,'6. OPERATION'!$G$17:$G$149,"SUBCON",'6. OPERATION'!$D$17:$D$149,AQ$18)</f>
        <v>0</v>
      </c>
      <c r="AR34" s="262">
        <f>SUMIFS('6. OPERATION'!$R$17:$R$149,'6. OPERATION'!$B$17:$B$149,$B34,'6. OPERATION'!$G$17:$G$149,"SUBCON",'6. OPERATION'!$D$17:$D$149,AR$18)</f>
        <v>0</v>
      </c>
      <c r="AS34" s="262">
        <f>SUMIFS('6. OPERATION'!R$17:R$149,'6. OPERATION'!B$17:B$149,B34,'6. OPERATION'!G$17:G$149,"TRAVEL")</f>
        <v>0</v>
      </c>
      <c r="AT34" s="262">
        <f>SUMIFS('6. OPERATION'!$R$17:$R$149,'6. OPERATION'!$B$17:$B$149,$B34,'6. OPERATION'!$G$17:$G$149,"TRAVEL",'6. OPERATION'!$D$17:$D$149,AT$18)</f>
        <v>0</v>
      </c>
      <c r="AU34" s="262">
        <f>SUMIFS('6. OPERATION'!$R$17:$R$149,'6. OPERATION'!$B$17:$B$149,$B34,'6. OPERATION'!$G$17:$G$149,"TRAVEL",'6. OPERATION'!$D$17:$D$149,AU$18)</f>
        <v>0</v>
      </c>
      <c r="AV34" s="262">
        <f>SUMIFS('6. OPERATION'!$R$17:$R$149,'6. OPERATION'!$B$17:$B$149,$B34,'6. OPERATION'!$G$17:$G$149,"TRAVEL",'6. OPERATION'!$D$17:$D$149,AV$18)</f>
        <v>0</v>
      </c>
      <c r="AW34" s="262">
        <f>SUMIFS('6. OPERATION'!$R$17:$R$149,'6. OPERATION'!$B$17:$B$149,$B34,'6. OPERATION'!$G$17:$G$149,"TRAVEL",'6. OPERATION'!$D$17:$D$149,AW$18)</f>
        <v>0</v>
      </c>
      <c r="AX34" s="262">
        <f>SUMIFS('6. OPERATION'!$R$17:$R$149,'6. OPERATION'!$B$17:$B$149,$B34,'6. OPERATION'!$G$17:$G$149,"TRAVEL",'6. OPERATION'!$D$17:$D$149,AX$18)</f>
        <v>0</v>
      </c>
      <c r="AY34" s="262">
        <f>SUMIFS('6. OPERATION'!$R$17:$R$149,'6. OPERATION'!$B$17:$B$149,$B34,'6. OPERATION'!$G$17:$G$149,"TRAVEL",'6. OPERATION'!$D$17:$D$149,AY$18)</f>
        <v>0</v>
      </c>
      <c r="AZ34" s="262">
        <f>SUMIFS('6. OPERATION'!$R$17:$R$149,'6. OPERATION'!$B$17:$B$149,$B34,'6. OPERATION'!$G$17:$G$149,"TRAVEL",'6. OPERATION'!$D$17:$D$149,AZ$18)</f>
        <v>0</v>
      </c>
      <c r="BA34" s="262">
        <f>SUMIFS('6. OPERATION'!$R$17:$R$149,'6. OPERATION'!$B$17:$B$149,$B34,'6. OPERATION'!$G$17:$G$149,"TRAVEL",'6. OPERATION'!$D$17:$D$149,BA$18)</f>
        <v>0</v>
      </c>
      <c r="BB34" s="262">
        <f>SUMIFS('6. OPERATION'!$R$17:$R$149,'6. OPERATION'!$B$17:$B$149,$B34,'6. OPERATION'!$G$17:$G$149,"TRAVEL",'6. OPERATION'!$D$17:$D$149,BB$18)</f>
        <v>0</v>
      </c>
      <c r="BC34" s="262">
        <f>SUMIFS('6. OPERATION'!$R$17:$R$149,'6. OPERATION'!$B$17:$B$149,$B34,'6. OPERATION'!$G$17:$G$149,"TRAVEL",'6. OPERATION'!$D$17:$D$149,BC$18)</f>
        <v>0</v>
      </c>
      <c r="BD34" s="262">
        <f>SUMIFS('6. OPERATION'!$R$17:$R$149,'6. OPERATION'!$B$17:$B$149,$B34,'6. OPERATION'!$G$17:$G$149,"TRAVEL",'6. OPERATION'!$D$17:$D$149,BD$18)</f>
        <v>0</v>
      </c>
      <c r="BE34" s="262">
        <f>SUMIFS('6. OPERATION'!$R$17:$R$149,'6. OPERATION'!$B$17:$B$149,$B34,'6. OPERATION'!$G$17:$G$149,"TRAVEL",'6. OPERATION'!$D$17:$D$149,BE$18)</f>
        <v>0</v>
      </c>
      <c r="BF34" s="262">
        <f>SUMIFS('6. OPERATION'!$R$17:$R$149,'6. OPERATION'!$B$17:$B$149,$B34,'6. OPERATION'!$G$17:$G$149,"TRAVEL",'6. OPERATION'!$D$17:$D$149,BF$18)</f>
        <v>0</v>
      </c>
      <c r="BG34" s="262">
        <f>SUMIFS('6. OPERATION'!$R$17:$R$149,'6. OPERATION'!$B$17:$B$149,$B34,'6. OPERATION'!$G$17:$G$149,"TRAVEL",'6. OPERATION'!$D$17:$D$149,BG$18)</f>
        <v>0</v>
      </c>
      <c r="BH34" s="262">
        <f>SUMIFS('6. OPERATION'!$R$17:$R$149,'6. OPERATION'!$B$17:$B$149,$B34,'6. OPERATION'!$G$17:$G$149,"TRAVEL",'6. OPERATION'!$D$17:$D$149,BH$18)</f>
        <v>0</v>
      </c>
      <c r="BI34" s="262">
        <f>SUMIFS('6. OPERATION'!$R$17:$R$149,'6. OPERATION'!$B$17:$B$149,$B34,'6. OPERATION'!$G$17:$G$149,"TRAVEL",'6. OPERATION'!$D$17:$D$149,BI$18)</f>
        <v>0</v>
      </c>
      <c r="BJ34" s="262">
        <f>SUMIFS('6. OPERATION'!$R$17:$R$149,'6. OPERATION'!$B$17:$B$149,$B34,'6. OPERATION'!$G$17:$G$149,"TRAVEL",'6. OPERATION'!$D$17:$D$149,BJ$18)</f>
        <v>0</v>
      </c>
      <c r="BK34" s="262">
        <f>SUMIFS('6. OPERATION'!$R$17:$R$149,'6. OPERATION'!$B$17:$B$149,$B34,'6. OPERATION'!$G$17:$G$149,"TRAVEL",'6. OPERATION'!$D$17:$D$149,BK$18)</f>
        <v>0</v>
      </c>
      <c r="BL34" s="262">
        <f>SUMIFS('6. OPERATION'!$R$17:$R$149,'6. OPERATION'!$B$17:$B$149,$B34,'6. OPERATION'!$G$17:$G$149,"TRAVEL",'6. OPERATION'!$D$17:$D$149,BL$18)</f>
        <v>0</v>
      </c>
      <c r="BM34" s="262">
        <f>SUMIFS('6. OPERATION'!$R$17:$R$149,'6. OPERATION'!$B$17:$B$149,$B34,'6. OPERATION'!$G$17:$G$149,"TRAVEL",'6. OPERATION'!$D$17:$D$149,BM$18)</f>
        <v>0</v>
      </c>
      <c r="BN34" s="262">
        <f>SUMIF('7. INVEST'!B$17:B$49,B34,'7. INVEST'!S$17:S$49)</f>
        <v>0</v>
      </c>
      <c r="BO34" s="262">
        <f>SUMIFS('7. INVEST'!$S$17:$S$49,'7. INVEST'!$B$17:$B$49,$B34,'7. INVEST'!$D$17:$D$49,BO$18)</f>
        <v>0</v>
      </c>
      <c r="BP34" s="262">
        <f>SUMIFS('7. INVEST'!$S$17:$S$49,'7. INVEST'!$B$17:$B$49,$B34,'7. INVEST'!$D$17:$D$49,BP$18)</f>
        <v>0</v>
      </c>
      <c r="BQ34" s="262">
        <f>SUMIFS('7. INVEST'!$S$17:$S$49,'7. INVEST'!$B$17:$B$49,$B34,'7. INVEST'!$D$17:$D$49,BQ$18)</f>
        <v>0</v>
      </c>
      <c r="BR34" s="262">
        <f>SUMIFS('7. INVEST'!$S$17:$S$49,'7. INVEST'!$B$17:$B$49,$B34,'7. INVEST'!$D$17:$D$49,BR$18)</f>
        <v>0</v>
      </c>
      <c r="BS34" s="262">
        <f>SUMIFS('7. INVEST'!$S$17:$S$49,'7. INVEST'!$B$17:$B$49,$B34,'7. INVEST'!$D$17:$D$49,BS$18)</f>
        <v>0</v>
      </c>
      <c r="BT34" s="262">
        <f>SUMIFS('7. INVEST'!$S$17:$S$49,'7. INVEST'!$B$17:$B$49,$B34,'7. INVEST'!$D$17:$D$49,BT$18)</f>
        <v>0</v>
      </c>
      <c r="BU34" s="262">
        <f>SUMIFS('7. INVEST'!$S$17:$S$49,'7. INVEST'!$B$17:$B$49,$B34,'7. INVEST'!$D$17:$D$49,BU$18)</f>
        <v>0</v>
      </c>
      <c r="BV34" s="262">
        <f>SUMIFS('7. INVEST'!$S$17:$S$49,'7. INVEST'!$B$17:$B$49,$B34,'7. INVEST'!$D$17:$D$49,BV$18)</f>
        <v>0</v>
      </c>
      <c r="BW34" s="262">
        <f>SUMIFS('7. INVEST'!$S$17:$S$49,'7. INVEST'!$B$17:$B$49,$B34,'7. INVEST'!$D$17:$D$49,BW$18)</f>
        <v>0</v>
      </c>
      <c r="BX34" s="262">
        <f>SUMIFS('7. INVEST'!$S$17:$S$49,'7. INVEST'!$B$17:$B$49,$B34,'7. INVEST'!$D$17:$D$49,BX$18)</f>
        <v>0</v>
      </c>
      <c r="BY34" s="262">
        <f>SUMIFS('7. INVEST'!$S$17:$S$49,'7. INVEST'!$B$17:$B$49,$B34,'7. INVEST'!$D$17:$D$49,BY$18)</f>
        <v>0</v>
      </c>
      <c r="BZ34" s="262">
        <f>SUMIFS('7. INVEST'!$S$17:$S$49,'7. INVEST'!$B$17:$B$49,$B34,'7. INVEST'!$D$17:$D$49,BZ$18)</f>
        <v>0</v>
      </c>
      <c r="CA34" s="262">
        <f>SUMIFS('7. INVEST'!$S$17:$S$49,'7. INVEST'!$B$17:$B$49,$B34,'7. INVEST'!$D$17:$D$49,CA$18)</f>
        <v>0</v>
      </c>
      <c r="CB34" s="262">
        <f>SUMIFS('7. INVEST'!$S$17:$S$49,'7. INVEST'!$B$17:$B$49,$B34,'7. INVEST'!$D$17:$D$49,CB$18)</f>
        <v>0</v>
      </c>
      <c r="CC34" s="262">
        <f>SUMIFS('7. INVEST'!$S$17:$S$49,'7. INVEST'!$B$17:$B$49,$B34,'7. INVEST'!$D$17:$D$49,CC$18)</f>
        <v>0</v>
      </c>
      <c r="CD34" s="262">
        <f>SUMIFS('7. INVEST'!$S$17:$S$49,'7. INVEST'!$B$17:$B$49,$B34,'7. INVEST'!$D$17:$D$49,CD$18)</f>
        <v>0</v>
      </c>
      <c r="CE34" s="262">
        <f>SUMIFS('7. INVEST'!$S$17:$S$49,'7. INVEST'!$B$17:$B$49,$B34,'7. INVEST'!$D$17:$D$49,CE$18)</f>
        <v>0</v>
      </c>
      <c r="CF34" s="262">
        <f>SUMIFS('7. INVEST'!$S$17:$S$49,'7. INVEST'!$B$17:$B$49,$B34,'7. INVEST'!$D$17:$D$49,CF$18)</f>
        <v>0</v>
      </c>
      <c r="CG34" s="262">
        <f>SUMIFS('7. INVEST'!$S$17:$S$49,'7. INVEST'!$B$17:$B$49,$B34,'7. INVEST'!$D$17:$D$49,CG$18)</f>
        <v>0</v>
      </c>
      <c r="CH34" s="262">
        <f>SUMIFS('7. INVEST'!$S$17:$S$49,'7. INVEST'!$B$17:$B$49,$B34,'7. INVEST'!$D$17:$D$49,CH$18)</f>
        <v>0</v>
      </c>
      <c r="CI34" s="262">
        <f>SUMIFS('6. OPERATION'!$R$17:$R$149,'6. OPERATION'!$B$17:$B$149,$B34,'6. OPERATION'!$G$17:$G$149,"OTHER")+SUMIF('8. FACILIT'!$B$18:$B$50,$B34,'8. FACILIT'!$P$18:$P$50)</f>
        <v>0</v>
      </c>
      <c r="CJ34" s="262">
        <f>SUMIFS('6. OPERATION'!$R$17:$R$149,'6. OPERATION'!$B$17:$B$149,$B34,'6. OPERATION'!$G$17:$G$149,"OTHER",'6. OPERATION'!$D$17:$D$149,CJ$18)+SUMIFS('8. FACILIT'!$P$18:$P$50,'8. FACILIT'!$B$18:$B$50,$B34,'8. FACILIT'!$D$18:$D$50,CJ$18)</f>
        <v>0</v>
      </c>
      <c r="CK34" s="262">
        <f>SUMIFS('6. OPERATION'!$R$17:$R$149,'6. OPERATION'!$B$17:$B$149,$B34,'6. OPERATION'!$G$17:$G$149,"OTHER",'6. OPERATION'!$D$17:$D$149,CK$18)+SUMIFS('8. FACILIT'!$P$18:$P$50,'8. FACILIT'!$B$18:$B$50,$B34,'8. FACILIT'!$D$18:$D$50,CK$18)</f>
        <v>0</v>
      </c>
      <c r="CL34" s="262">
        <f>SUMIFS('6. OPERATION'!$R$17:$R$149,'6. OPERATION'!$B$17:$B$149,$B34,'6. OPERATION'!$G$17:$G$149,"OTHER",'6. OPERATION'!$D$17:$D$149,CL$18)+SUMIFS('8. FACILIT'!$P$18:$P$50,'8. FACILIT'!$B$18:$B$50,$B34,'8. FACILIT'!$D$18:$D$50,CL$18)</f>
        <v>0</v>
      </c>
      <c r="CM34" s="262">
        <f>SUMIFS('6. OPERATION'!$R$17:$R$149,'6. OPERATION'!$B$17:$B$149,$B34,'6. OPERATION'!$G$17:$G$149,"OTHER",'6. OPERATION'!$D$17:$D$149,CM$18)+SUMIFS('8. FACILIT'!$P$18:$P$50,'8. FACILIT'!$B$18:$B$50,$B34,'8. FACILIT'!$D$18:$D$50,CM$18)</f>
        <v>0</v>
      </c>
      <c r="CN34" s="262">
        <f>SUMIFS('6. OPERATION'!$R$17:$R$149,'6. OPERATION'!$B$17:$B$149,$B34,'6. OPERATION'!$G$17:$G$149,"OTHER",'6. OPERATION'!$D$17:$D$149,CN$18)+SUMIFS('8. FACILIT'!$P$18:$P$50,'8. FACILIT'!$B$18:$B$50,$B34,'8. FACILIT'!$D$18:$D$50,CN$18)</f>
        <v>0</v>
      </c>
      <c r="CO34" s="262">
        <f>SUMIFS('6. OPERATION'!$R$17:$R$149,'6. OPERATION'!$B$17:$B$149,$B34,'6. OPERATION'!$G$17:$G$149,"OTHER",'6. OPERATION'!$D$17:$D$149,CO$18)+SUMIFS('8. FACILIT'!$P$18:$P$50,'8. FACILIT'!$B$18:$B$50,$B34,'8. FACILIT'!$D$18:$D$50,CO$18)</f>
        <v>0</v>
      </c>
      <c r="CP34" s="262">
        <f>SUMIFS('6. OPERATION'!$R$17:$R$149,'6. OPERATION'!$B$17:$B$149,$B34,'6. OPERATION'!$G$17:$G$149,"OTHER",'6. OPERATION'!$D$17:$D$149,CP$18)+SUMIFS('8. FACILIT'!$P$18:$P$50,'8. FACILIT'!$B$18:$B$50,$B34,'8. FACILIT'!$D$18:$D$50,CP$18)</f>
        <v>0</v>
      </c>
      <c r="CQ34" s="262">
        <f>SUMIFS('6. OPERATION'!$R$17:$R$149,'6. OPERATION'!$B$17:$B$149,$B34,'6. OPERATION'!$G$17:$G$149,"OTHER",'6. OPERATION'!$D$17:$D$149,CQ$18)+SUMIFS('8. FACILIT'!$P$18:$P$50,'8. FACILIT'!$B$18:$B$50,$B34,'8. FACILIT'!$D$18:$D$50,CQ$18)</f>
        <v>0</v>
      </c>
      <c r="CR34" s="262">
        <f>SUMIFS('6. OPERATION'!$R$17:$R$149,'6. OPERATION'!$B$17:$B$149,$B34,'6. OPERATION'!$G$17:$G$149,"OTHER",'6. OPERATION'!$D$17:$D$149,CR$18)+SUMIFS('8. FACILIT'!$P$18:$P$50,'8. FACILIT'!$B$18:$B$50,$B34,'8. FACILIT'!$D$18:$D$50,CR$18)</f>
        <v>0</v>
      </c>
      <c r="CS34" s="262">
        <f>SUMIFS('6. OPERATION'!$R$17:$R$149,'6. OPERATION'!$B$17:$B$149,$B34,'6. OPERATION'!$G$17:$G$149,"OTHER",'6. OPERATION'!$D$17:$D$149,CS$18)+SUMIFS('8. FACILIT'!$P$18:$P$50,'8. FACILIT'!$B$18:$B$50,$B34,'8. FACILIT'!$D$18:$D$50,CS$18)</f>
        <v>0</v>
      </c>
      <c r="CT34" s="262">
        <f>SUMIFS('6. OPERATION'!$R$17:$R$149,'6. OPERATION'!$B$17:$B$149,$B34,'6. OPERATION'!$G$17:$G$149,"OTHER",'6. OPERATION'!$D$17:$D$149,CT$18)+SUMIFS('8. FACILIT'!$P$18:$P$50,'8. FACILIT'!$B$18:$B$50,$B34,'8. FACILIT'!$D$18:$D$50,CT$18)</f>
        <v>0</v>
      </c>
      <c r="CU34" s="262">
        <f>SUMIFS('6. OPERATION'!$R$17:$R$149,'6. OPERATION'!$B$17:$B$149,$B34,'6. OPERATION'!$G$17:$G$149,"OTHER",'6. OPERATION'!$D$17:$D$149,CU$18)+SUMIFS('8. FACILIT'!$P$18:$P$50,'8. FACILIT'!$B$18:$B$50,$B34,'8. FACILIT'!$D$18:$D$50,CU$18)</f>
        <v>0</v>
      </c>
      <c r="CV34" s="262">
        <f>SUMIFS('6. OPERATION'!$R$17:$R$149,'6. OPERATION'!$B$17:$B$149,$B34,'6. OPERATION'!$G$17:$G$149,"OTHER",'6. OPERATION'!$D$17:$D$149,CV$18)+SUMIFS('8. FACILIT'!$P$18:$P$50,'8. FACILIT'!$B$18:$B$50,$B34,'8. FACILIT'!$D$18:$D$50,CV$18)</f>
        <v>0</v>
      </c>
      <c r="CW34" s="262">
        <f>SUMIFS('6. OPERATION'!$R$17:$R$149,'6. OPERATION'!$B$17:$B$149,$B34,'6. OPERATION'!$G$17:$G$149,"OTHER",'6. OPERATION'!$D$17:$D$149,CW$18)+SUMIFS('8. FACILIT'!$P$18:$P$50,'8. FACILIT'!$B$18:$B$50,$B34,'8. FACILIT'!$D$18:$D$50,CW$18)</f>
        <v>0</v>
      </c>
      <c r="CX34" s="262">
        <f>SUMIFS('6. OPERATION'!$R$17:$R$149,'6. OPERATION'!$B$17:$B$149,$B34,'6. OPERATION'!$G$17:$G$149,"OTHER",'6. OPERATION'!$D$17:$D$149,CX$18)+SUMIFS('8. FACILIT'!$P$18:$P$50,'8. FACILIT'!$B$18:$B$50,$B34,'8. FACILIT'!$D$18:$D$50,CX$18)</f>
        <v>0</v>
      </c>
      <c r="CY34" s="262">
        <f>SUMIFS('6. OPERATION'!$R$17:$R$149,'6. OPERATION'!$B$17:$B$149,$B34,'6. OPERATION'!$G$17:$G$149,"OTHER",'6. OPERATION'!$D$17:$D$149,CY$18)+SUMIFS('8. FACILIT'!$P$18:$P$50,'8. FACILIT'!$B$18:$B$50,$B34,'8. FACILIT'!$D$18:$D$50,CY$18)</f>
        <v>0</v>
      </c>
      <c r="CZ34" s="262">
        <f>SUMIFS('6. OPERATION'!$R$17:$R$149,'6. OPERATION'!$B$17:$B$149,$B34,'6. OPERATION'!$G$17:$G$149,"OTHER",'6. OPERATION'!$D$17:$D$149,CZ$18)+SUMIFS('8. FACILIT'!$P$18:$P$50,'8. FACILIT'!$B$18:$B$50,$B34,'8. FACILIT'!$D$18:$D$50,CZ$18)</f>
        <v>0</v>
      </c>
      <c r="DA34" s="262">
        <f>SUMIFS('6. OPERATION'!$R$17:$R$149,'6. OPERATION'!$B$17:$B$149,$B34,'6. OPERATION'!$G$17:$G$149,"OTHER",'6. OPERATION'!$D$17:$D$149,DA$18)+SUMIFS('8. FACILIT'!$P$18:$P$50,'8. FACILIT'!$B$18:$B$50,$B34,'8. FACILIT'!$D$18:$D$50,DA$18)</f>
        <v>0</v>
      </c>
      <c r="DB34" s="262">
        <f>SUMIFS('6. OPERATION'!$R$17:$R$149,'6. OPERATION'!$B$17:$B$149,$B34,'6. OPERATION'!$G$17:$G$149,"OTHER",'6. OPERATION'!$D$17:$D$149,DB$18)+SUMIFS('8. FACILIT'!$P$18:$P$50,'8. FACILIT'!$B$18:$B$50,$B34,'8. FACILIT'!$D$18:$D$50,DB$18)</f>
        <v>0</v>
      </c>
      <c r="DC34" s="262">
        <f>SUMIFS('6. OPERATION'!$R$17:$R$149,'6. OPERATION'!$B$17:$B$149,$B34,'6. OPERATION'!$G$17:$G$149,"OTHER",'6. OPERATION'!$D$17:$D$149,DC$18)+SUMIFS('8. FACILIT'!$P$18:$P$50,'8. FACILIT'!$B$18:$B$50,$B34,'8. FACILIT'!$D$18:$D$50,DC$18)</f>
        <v>0</v>
      </c>
      <c r="DD34" s="262">
        <f>SUMIFS('6. OPERATION'!R$17:R$149,'6. OPERATION'!B$17:B$149,B34,'6. OPERATION'!G$17:G$149,"INTERN")</f>
        <v>0</v>
      </c>
      <c r="DE34" s="262">
        <f>SUMIFS('6. OPERATION'!$R$17:$R$149,'6. OPERATION'!$B$17:$B$149,$B34,'6. OPERATION'!$G$17:$G$149,"INTERN",'6. OPERATION'!$D$17:$D$149,DE$18)</f>
        <v>0</v>
      </c>
      <c r="DF34" s="262">
        <f>SUMIFS('6. OPERATION'!$R$17:$R$149,'6. OPERATION'!$B$17:$B$149,$B34,'6. OPERATION'!$G$17:$G$149,"INTERN",'6. OPERATION'!$D$17:$D$149,DF$18)</f>
        <v>0</v>
      </c>
      <c r="DG34" s="262">
        <f>SUMIFS('6. OPERATION'!$R$17:$R$149,'6. OPERATION'!$B$17:$B$149,$B34,'6. OPERATION'!$G$17:$G$149,"INTERN",'6. OPERATION'!$D$17:$D$149,DG$18)</f>
        <v>0</v>
      </c>
      <c r="DH34" s="262">
        <f>SUMIFS('6. OPERATION'!$R$17:$R$149,'6. OPERATION'!$B$17:$B$149,$B34,'6. OPERATION'!$G$17:$G$149,"INTERN",'6. OPERATION'!$D$17:$D$149,DH$18)</f>
        <v>0</v>
      </c>
      <c r="DI34" s="262">
        <f>SUMIFS('6. OPERATION'!$R$17:$R$149,'6. OPERATION'!$B$17:$B$149,$B34,'6. OPERATION'!$G$17:$G$149,"INTERN",'6. OPERATION'!$D$17:$D$149,DI$18)</f>
        <v>0</v>
      </c>
      <c r="DJ34" s="262">
        <f>SUMIFS('6. OPERATION'!$R$17:$R$149,'6. OPERATION'!$B$17:$B$149,$B34,'6. OPERATION'!$G$17:$G$149,"INTERN",'6. OPERATION'!$D$17:$D$149,DJ$18)</f>
        <v>0</v>
      </c>
      <c r="DK34" s="262">
        <f>SUMIFS('6. OPERATION'!$R$17:$R$149,'6. OPERATION'!$B$17:$B$149,$B34,'6. OPERATION'!$G$17:$G$149,"INTERN",'6. OPERATION'!$D$17:$D$149,DK$18)</f>
        <v>0</v>
      </c>
      <c r="DL34" s="262">
        <f>SUMIFS('6. OPERATION'!$R$17:$R$149,'6. OPERATION'!$B$17:$B$149,$B34,'6. OPERATION'!$G$17:$G$149,"INTERN",'6. OPERATION'!$D$17:$D$149,DL$18)</f>
        <v>0</v>
      </c>
      <c r="DM34" s="262">
        <f>SUMIFS('6. OPERATION'!$R$17:$R$149,'6. OPERATION'!$B$17:$B$149,$B34,'6. OPERATION'!$G$17:$G$149,"INTERN",'6. OPERATION'!$D$17:$D$149,DM$18)</f>
        <v>0</v>
      </c>
      <c r="DN34" s="262">
        <f>SUMIFS('6. OPERATION'!$R$17:$R$149,'6. OPERATION'!$B$17:$B$149,$B34,'6. OPERATION'!$G$17:$G$149,"INTERN",'6. OPERATION'!$D$17:$D$149,DN$18)</f>
        <v>0</v>
      </c>
      <c r="DO34" s="262">
        <f>SUMIFS('6. OPERATION'!$R$17:$R$149,'6. OPERATION'!$B$17:$B$149,$B34,'6. OPERATION'!$G$17:$G$149,"INTERN",'6. OPERATION'!$D$17:$D$149,DO$18)</f>
        <v>0</v>
      </c>
      <c r="DP34" s="262">
        <f>SUMIFS('6. OPERATION'!$R$17:$R$149,'6. OPERATION'!$B$17:$B$149,$B34,'6. OPERATION'!$G$17:$G$149,"INTERN",'6. OPERATION'!$D$17:$D$149,DP$18)</f>
        <v>0</v>
      </c>
      <c r="DQ34" s="262">
        <f>SUMIFS('6. OPERATION'!$R$17:$R$149,'6. OPERATION'!$B$17:$B$149,$B34,'6. OPERATION'!$G$17:$G$149,"INTERN",'6. OPERATION'!$D$17:$D$149,DQ$18)</f>
        <v>0</v>
      </c>
      <c r="DR34" s="262">
        <f>SUMIFS('6. OPERATION'!$R$17:$R$149,'6. OPERATION'!$B$17:$B$149,$B34,'6. OPERATION'!$G$17:$G$149,"INTERN",'6. OPERATION'!$D$17:$D$149,DR$18)</f>
        <v>0</v>
      </c>
      <c r="DS34" s="262">
        <f>SUMIFS('6. OPERATION'!$R$17:$R$149,'6. OPERATION'!$B$17:$B$149,$B34,'6. OPERATION'!$G$17:$G$149,"INTERN",'6. OPERATION'!$D$17:$D$149,DS$18)</f>
        <v>0</v>
      </c>
      <c r="DT34" s="262">
        <f>SUMIFS('6. OPERATION'!$R$17:$R$149,'6. OPERATION'!$B$17:$B$149,$B34,'6. OPERATION'!$G$17:$G$149,"INTERN",'6. OPERATION'!$D$17:$D$149,DT$18)</f>
        <v>0</v>
      </c>
      <c r="DU34" s="262">
        <f>SUMIFS('6. OPERATION'!$R$17:$R$149,'6. OPERATION'!$B$17:$B$149,$B34,'6. OPERATION'!$G$17:$G$149,"INTERN",'6. OPERATION'!$D$17:$D$149,DU$18)</f>
        <v>0</v>
      </c>
      <c r="DV34" s="262">
        <f>SUMIFS('6. OPERATION'!$R$17:$R$149,'6. OPERATION'!$B$17:$B$149,$B34,'6. OPERATION'!$G$17:$G$149,"INTERN",'6. OPERATION'!$D$17:$D$149,DV$18)</f>
        <v>0</v>
      </c>
      <c r="DW34" s="262">
        <f>SUMIFS('6. OPERATION'!$R$17:$R$149,'6. OPERATION'!$B$17:$B$149,$B34,'6. OPERATION'!$G$17:$G$149,"INTERN",'6. OPERATION'!$D$17:$D$149,DW$18)</f>
        <v>0</v>
      </c>
      <c r="DX34" s="262">
        <f>SUMIFS('6. OPERATION'!$R$17:$R$149,'6. OPERATION'!$B$17:$B$149,$B34,'6. OPERATION'!$G$17:$G$149,"INTERN",'6. OPERATION'!$D$17:$D$149,DX$18)</f>
        <v>0</v>
      </c>
      <c r="DY34" s="262">
        <f>(C34+AS34+BN34+CI34)*'2. START'!$C$12</f>
        <v>0</v>
      </c>
      <c r="DZ34" s="262">
        <f>(D34+AT34+BO34+CJ34)*'2. START'!$C$12</f>
        <v>0</v>
      </c>
      <c r="EA34" s="262">
        <f>(E34+AU34+BP34+CK34)*'2. START'!$C$12</f>
        <v>0</v>
      </c>
      <c r="EB34" s="262">
        <f>(F34+AV34+BQ34+CL34)*'2. START'!$C$12</f>
        <v>0</v>
      </c>
      <c r="EC34" s="262">
        <f>(G34+AW34+BR34+CM34)*'2. START'!$C$12</f>
        <v>0</v>
      </c>
      <c r="ED34" s="262">
        <f>(H34+AX34+BS34+CN34)*'2. START'!$C$12</f>
        <v>0</v>
      </c>
      <c r="EE34" s="262">
        <f>(I34+AY34+BT34+CO34)*'2. START'!$C$12</f>
        <v>0</v>
      </c>
      <c r="EF34" s="262">
        <f>(J34+AZ34+BU34+CP34)*'2. START'!$C$12</f>
        <v>0</v>
      </c>
      <c r="EG34" s="262">
        <f>(K34+BA34+BV34+CQ34)*'2. START'!$C$12</f>
        <v>0</v>
      </c>
      <c r="EH34" s="262">
        <f>(L34+BB34+BW34+CR34)*'2. START'!$C$12</f>
        <v>0</v>
      </c>
      <c r="EI34" s="262">
        <f>(M34+BC34+BX34+CS34)*'2. START'!$C$12</f>
        <v>0</v>
      </c>
      <c r="EJ34" s="262">
        <f>(N34+BD34+BY34+CT34)*'2. START'!$C$12</f>
        <v>0</v>
      </c>
      <c r="EK34" s="262">
        <f>(O34+BE34+BZ34+CU34)*'2. START'!$C$12</f>
        <v>0</v>
      </c>
      <c r="EL34" s="262">
        <f>(P34+BF34+CA34+CV34)*'2. START'!$C$12</f>
        <v>0</v>
      </c>
      <c r="EM34" s="262">
        <f>(Q34+BG34+CB34+CW34)*'2. START'!$C$12</f>
        <v>0</v>
      </c>
      <c r="EN34" s="262">
        <f>(R34+BH34+CC34+CX34)*'2. START'!$C$12</f>
        <v>0</v>
      </c>
      <c r="EO34" s="262">
        <f>(S34+BI34+CD34+CY34)*'2. START'!$C$12</f>
        <v>0</v>
      </c>
      <c r="EP34" s="262">
        <f>(T34+BJ34+CE34+CZ34)*'2. START'!$C$12</f>
        <v>0</v>
      </c>
      <c r="EQ34" s="262">
        <f>(U34+BK34+CF34+DA34)*'2. START'!$C$12</f>
        <v>0</v>
      </c>
      <c r="ER34" s="262">
        <f>(V34+BL34+CG34+DB34)*'2. START'!$C$12</f>
        <v>0</v>
      </c>
      <c r="ES34" s="262">
        <f>(W34+BM34+CH34+DC34)*'2. START'!$C$12</f>
        <v>0</v>
      </c>
      <c r="ET34" s="98">
        <f t="shared" si="4"/>
        <v>0</v>
      </c>
      <c r="EU34" s="98">
        <f t="shared" si="5"/>
        <v>0</v>
      </c>
      <c r="EV34" s="98">
        <f t="shared" si="6"/>
        <v>0</v>
      </c>
      <c r="EW34" s="98">
        <f t="shared" si="7"/>
        <v>0</v>
      </c>
      <c r="EX34" s="98">
        <f t="shared" si="8"/>
        <v>0</v>
      </c>
      <c r="EY34" s="98">
        <f t="shared" si="9"/>
        <v>0</v>
      </c>
      <c r="EZ34" s="98">
        <f t="shared" si="10"/>
        <v>0</v>
      </c>
      <c r="FA34" s="98">
        <f t="shared" si="11"/>
        <v>0</v>
      </c>
      <c r="FB34" s="98">
        <f t="shared" si="12"/>
        <v>0</v>
      </c>
      <c r="FC34" s="98">
        <f t="shared" si="13"/>
        <v>0</v>
      </c>
      <c r="FD34" s="98">
        <f t="shared" si="14"/>
        <v>0</v>
      </c>
      <c r="FE34" s="98">
        <f t="shared" si="18"/>
        <v>0</v>
      </c>
      <c r="FF34" s="98">
        <f t="shared" si="19"/>
        <v>0</v>
      </c>
      <c r="FG34" s="98">
        <f t="shared" si="20"/>
        <v>0</v>
      </c>
      <c r="FH34" s="98">
        <f t="shared" si="21"/>
        <v>0</v>
      </c>
      <c r="FI34" s="98">
        <f t="shared" si="22"/>
        <v>0</v>
      </c>
      <c r="FJ34" s="98">
        <f t="shared" si="23"/>
        <v>0</v>
      </c>
      <c r="FK34" s="98">
        <f t="shared" si="24"/>
        <v>0</v>
      </c>
      <c r="FL34" s="98">
        <f t="shared" si="25"/>
        <v>0</v>
      </c>
      <c r="FM34" s="98">
        <f t="shared" si="26"/>
        <v>0</v>
      </c>
      <c r="FN34" s="98">
        <f t="shared" si="27"/>
        <v>0</v>
      </c>
      <c r="FO34" s="272" t="str">
        <f t="shared" si="17"/>
        <v/>
      </c>
      <c r="FP34" s="98">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944">
        <f t="shared" si="16"/>
        <v>0</v>
      </c>
      <c r="FR34" s="941">
        <f>SUMIFS('5. PERSON'!$AE$17:$AE$192,'5. PERSON'!$B$17:$B$192,'14. EUFP'!$B34,'5. PERSON'!$D$17:$D$192,FR$18)</f>
        <v>0</v>
      </c>
      <c r="FS34" s="941">
        <f>SUMIFS('5. PERSON'!$AE$17:$AE$192,'5. PERSON'!$B$17:$B$192,'14. EUFP'!$B34,'5. PERSON'!$D$17:$D$192,FS$18)</f>
        <v>0</v>
      </c>
      <c r="FT34" s="941">
        <f>SUMIFS('5. PERSON'!$AE$17:$AE$192,'5. PERSON'!$B$17:$B$192,'14. EUFP'!$B34,'5. PERSON'!$D$17:$D$192,FT$18)</f>
        <v>0</v>
      </c>
      <c r="FU34" s="941">
        <f>SUMIFS('5. PERSON'!$AE$17:$AE$192,'5. PERSON'!$B$17:$B$192,'14. EUFP'!$B34,'5. PERSON'!$D$17:$D$192,FU$18)</f>
        <v>0</v>
      </c>
      <c r="FV34" s="941">
        <f>SUMIFS('5. PERSON'!$AE$17:$AE$192,'5. PERSON'!$B$17:$B$192,'14. EUFP'!$B34,'5. PERSON'!$D$17:$D$192,FV$18)</f>
        <v>0</v>
      </c>
      <c r="FW34" s="941">
        <f>SUMIFS('5. PERSON'!$AE$17:$AE$192,'5. PERSON'!$B$17:$B$192,'14. EUFP'!$B34,'5. PERSON'!$D$17:$D$192,FW$18)</f>
        <v>0</v>
      </c>
      <c r="FX34" s="941">
        <f>SUMIFS('5. PERSON'!$AE$17:$AE$192,'5. PERSON'!$B$17:$B$192,'14. EUFP'!$B34,'5. PERSON'!$D$17:$D$192,FX$18)</f>
        <v>0</v>
      </c>
      <c r="FY34" s="941">
        <f>SUMIFS('5. PERSON'!$AE$17:$AE$192,'5. PERSON'!$B$17:$B$192,'14. EUFP'!$B34,'5. PERSON'!$D$17:$D$192,FY$18)</f>
        <v>0</v>
      </c>
      <c r="FZ34" s="941">
        <f>SUMIFS('5. PERSON'!$AE$17:$AE$192,'5. PERSON'!$B$17:$B$192,'14. EUFP'!$B34,'5. PERSON'!$D$17:$D$192,FZ$18)</f>
        <v>0</v>
      </c>
      <c r="GA34" s="941">
        <f>SUMIFS('5. PERSON'!$AE$17:$AE$192,'5. PERSON'!$B$17:$B$192,'14. EUFP'!$B34,'5. PERSON'!$D$17:$D$192,GA$18)</f>
        <v>0</v>
      </c>
      <c r="GB34" s="941">
        <f>SUMIFS('5. PERSON'!$AE$17:$AE$192,'5. PERSON'!$B$17:$B$192,'14. EUFP'!$B34,'5. PERSON'!$D$17:$D$192,GB$18)</f>
        <v>0</v>
      </c>
      <c r="GC34" s="941">
        <f>SUMIFS('5. PERSON'!$AE$17:$AE$192,'5. PERSON'!$B$17:$B$192,'14. EUFP'!$B34,'5. PERSON'!$D$17:$D$192,GC$18)</f>
        <v>0</v>
      </c>
      <c r="GD34" s="941">
        <f>SUMIFS('5. PERSON'!$AE$17:$AE$192,'5. PERSON'!$B$17:$B$192,'14. EUFP'!$B34,'5. PERSON'!$D$17:$D$192,GD$18)</f>
        <v>0</v>
      </c>
      <c r="GE34" s="941">
        <f>SUMIFS('5. PERSON'!$AE$17:$AE$192,'5. PERSON'!$B$17:$B$192,'14. EUFP'!$B34,'5. PERSON'!$D$17:$D$192,GE$18)</f>
        <v>0</v>
      </c>
      <c r="GF34" s="941">
        <f>SUMIFS('5. PERSON'!$AE$17:$AE$192,'5. PERSON'!$B$17:$B$192,'14. EUFP'!$B34,'5. PERSON'!$D$17:$D$192,GF$18)</f>
        <v>0</v>
      </c>
      <c r="GG34" s="941">
        <f>SUMIFS('5. PERSON'!$AE$17:$AE$192,'5. PERSON'!$B$17:$B$192,'14. EUFP'!$B34,'5. PERSON'!$D$17:$D$192,GG$18)</f>
        <v>0</v>
      </c>
      <c r="GH34" s="941">
        <f>SUMIFS('5. PERSON'!$AE$17:$AE$192,'5. PERSON'!$B$17:$B$192,'14. EUFP'!$B34,'5. PERSON'!$D$17:$D$192,GH$18)</f>
        <v>0</v>
      </c>
      <c r="GI34" s="941">
        <f>SUMIFS('5. PERSON'!$AE$17:$AE$192,'5. PERSON'!$B$17:$B$192,'14. EUFP'!$B34,'5. PERSON'!$D$17:$D$192,GI$18)</f>
        <v>0</v>
      </c>
      <c r="GJ34" s="941">
        <f>SUMIFS('5. PERSON'!$AE$17:$AE$192,'5. PERSON'!$B$17:$B$192,'14. EUFP'!$B34,'5. PERSON'!$D$17:$D$192,GJ$18)</f>
        <v>0</v>
      </c>
      <c r="GK34" s="941">
        <f>SUMIFS('5. PERSON'!$AE$17:$AE$192,'5. PERSON'!$B$17:$B$192,'14. EUFP'!$B34,'5. PERSON'!$D$17:$D$192,GK$18)</f>
        <v>0</v>
      </c>
      <c r="GL34" s="941">
        <f t="shared" si="28"/>
        <v>0</v>
      </c>
    </row>
    <row r="35" spans="2:194" s="71" customFormat="1" ht="13.5" customHeight="1" x14ac:dyDescent="0.2">
      <c r="B35" s="259" t="str">
        <f>'3. PARTNER'!B62</f>
        <v>EXT112</v>
      </c>
      <c r="C35" s="281">
        <f>SUMIF('5. PERSON'!B$17:B$192,B35,'5. PERSON'!AR$17:AR$192)</f>
        <v>0</v>
      </c>
      <c r="D35" s="281">
        <f>SUMIFS('5. PERSON'!$AR$17:$AR$192,'5. PERSON'!$B$17:$B$192,$B35,'5. PERSON'!$D$17:$D$192,D$18)</f>
        <v>0</v>
      </c>
      <c r="E35" s="281">
        <f>SUMIFS('5. PERSON'!$AR$17:$AR$192,'5. PERSON'!$B$17:$B$192,$B35,'5. PERSON'!$D$17:$D$192,E$18)</f>
        <v>0</v>
      </c>
      <c r="F35" s="281">
        <f>SUMIFS('5. PERSON'!$AR$17:$AR$192,'5. PERSON'!$B$17:$B$192,$B35,'5. PERSON'!$D$17:$D$192,F$18)</f>
        <v>0</v>
      </c>
      <c r="G35" s="281">
        <f>SUMIFS('5. PERSON'!$AR$17:$AR$192,'5. PERSON'!$B$17:$B$192,$B35,'5. PERSON'!$D$17:$D$192,G$18)</f>
        <v>0</v>
      </c>
      <c r="H35" s="281">
        <f>SUMIFS('5. PERSON'!$AR$17:$AR$192,'5. PERSON'!$B$17:$B$192,$B35,'5. PERSON'!$D$17:$D$192,H$18)</f>
        <v>0</v>
      </c>
      <c r="I35" s="281">
        <f>SUMIFS('5. PERSON'!$AR$17:$AR$192,'5. PERSON'!$B$17:$B$192,$B35,'5. PERSON'!$D$17:$D$192,I$18)</f>
        <v>0</v>
      </c>
      <c r="J35" s="281">
        <f>SUMIFS('5. PERSON'!$AR$17:$AR$192,'5. PERSON'!$B$17:$B$192,$B35,'5. PERSON'!$D$17:$D$192,J$18)</f>
        <v>0</v>
      </c>
      <c r="K35" s="281">
        <f>SUMIFS('5. PERSON'!$AR$17:$AR$192,'5. PERSON'!$B$17:$B$192,$B35,'5. PERSON'!$D$17:$D$192,K$18)</f>
        <v>0</v>
      </c>
      <c r="L35" s="281">
        <f>SUMIFS('5. PERSON'!$AR$17:$AR$192,'5. PERSON'!$B$17:$B$192,$B35,'5. PERSON'!$D$17:$D$192,L$18)</f>
        <v>0</v>
      </c>
      <c r="M35" s="281">
        <f>SUMIFS('5. PERSON'!$AR$17:$AR$192,'5. PERSON'!$B$17:$B$192,$B35,'5. PERSON'!$D$17:$D$192,M$18)</f>
        <v>0</v>
      </c>
      <c r="N35" s="281">
        <f>SUMIFS('5. PERSON'!$AR$17:$AR$192,'5. PERSON'!$B$17:$B$192,$B35,'5. PERSON'!$D$17:$D$192,N$18)</f>
        <v>0</v>
      </c>
      <c r="O35" s="281">
        <f>SUMIFS('5. PERSON'!$AR$17:$AR$192,'5. PERSON'!$B$17:$B$192,$B35,'5. PERSON'!$D$17:$D$192,O$18)</f>
        <v>0</v>
      </c>
      <c r="P35" s="281">
        <f>SUMIFS('5. PERSON'!$AR$17:$AR$192,'5. PERSON'!$B$17:$B$192,$B35,'5. PERSON'!$D$17:$D$192,P$18)</f>
        <v>0</v>
      </c>
      <c r="Q35" s="281">
        <f>SUMIFS('5. PERSON'!$AR$17:$AR$192,'5. PERSON'!$B$17:$B$192,$B35,'5. PERSON'!$D$17:$D$192,Q$18)</f>
        <v>0</v>
      </c>
      <c r="R35" s="281">
        <f>SUMIFS('5. PERSON'!$AR$17:$AR$192,'5. PERSON'!$B$17:$B$192,$B35,'5. PERSON'!$D$17:$D$192,R$18)</f>
        <v>0</v>
      </c>
      <c r="S35" s="281">
        <f>SUMIFS('5. PERSON'!$AR$17:$AR$192,'5. PERSON'!$B$17:$B$192,$B35,'5. PERSON'!$D$17:$D$192,S$18)</f>
        <v>0</v>
      </c>
      <c r="T35" s="281">
        <f>SUMIFS('5. PERSON'!$AR$17:$AR$192,'5. PERSON'!$B$17:$B$192,$B35,'5. PERSON'!$D$17:$D$192,T$18)</f>
        <v>0</v>
      </c>
      <c r="U35" s="281">
        <f>SUMIFS('5. PERSON'!$AR$17:$AR$192,'5. PERSON'!$B$17:$B$192,$B35,'5. PERSON'!$D$17:$D$192,U$18)</f>
        <v>0</v>
      </c>
      <c r="V35" s="281">
        <f>SUMIFS('5. PERSON'!$AR$17:$AR$192,'5. PERSON'!$B$17:$B$192,$B35,'5. PERSON'!$D$17:$D$192,V$18)</f>
        <v>0</v>
      </c>
      <c r="W35" s="281">
        <f>SUMIFS('5. PERSON'!$AR$17:$AR$192,'5. PERSON'!$B$17:$B$192,$B35,'5. PERSON'!$D$17:$D$192,W$18)</f>
        <v>0</v>
      </c>
      <c r="X35" s="281">
        <f>SUMIFS('6. OPERATION'!R$17:R$149,'6. OPERATION'!B$17:B$149,B35,'6. OPERATION'!G$17:G$149,"SUBCON")</f>
        <v>0</v>
      </c>
      <c r="Y35" s="281">
        <f>SUMIFS('6. OPERATION'!$R$17:$R$149,'6. OPERATION'!$B$17:$B$149,$B35,'6. OPERATION'!$G$17:$G$149,"SUBCON",'6. OPERATION'!$D$17:$D$149,Y$18)</f>
        <v>0</v>
      </c>
      <c r="Z35" s="281">
        <f>SUMIFS('6. OPERATION'!$R$17:$R$149,'6. OPERATION'!$B$17:$B$149,$B35,'6. OPERATION'!$G$17:$G$149,"SUBCON",'6. OPERATION'!$D$17:$D$149,Z$18)</f>
        <v>0</v>
      </c>
      <c r="AA35" s="281">
        <f>SUMIFS('6. OPERATION'!$R$17:$R$149,'6. OPERATION'!$B$17:$B$149,$B35,'6. OPERATION'!$G$17:$G$149,"SUBCON",'6. OPERATION'!$D$17:$D$149,AA$18)</f>
        <v>0</v>
      </c>
      <c r="AB35" s="281">
        <f>SUMIFS('6. OPERATION'!$R$17:$R$149,'6. OPERATION'!$B$17:$B$149,$B35,'6. OPERATION'!$G$17:$G$149,"SUBCON",'6. OPERATION'!$D$17:$D$149,AB$18)</f>
        <v>0</v>
      </c>
      <c r="AC35" s="281">
        <f>SUMIFS('6. OPERATION'!$R$17:$R$149,'6. OPERATION'!$B$17:$B$149,$B35,'6. OPERATION'!$G$17:$G$149,"SUBCON",'6. OPERATION'!$D$17:$D$149,AC$18)</f>
        <v>0</v>
      </c>
      <c r="AD35" s="281">
        <f>SUMIFS('6. OPERATION'!$R$17:$R$149,'6. OPERATION'!$B$17:$B$149,$B35,'6. OPERATION'!$G$17:$G$149,"SUBCON",'6. OPERATION'!$D$17:$D$149,AD$18)</f>
        <v>0</v>
      </c>
      <c r="AE35" s="281">
        <f>SUMIFS('6. OPERATION'!$R$17:$R$149,'6. OPERATION'!$B$17:$B$149,$B35,'6. OPERATION'!$G$17:$G$149,"SUBCON",'6. OPERATION'!$D$17:$D$149,AE$18)</f>
        <v>0</v>
      </c>
      <c r="AF35" s="281">
        <f>SUMIFS('6. OPERATION'!$R$17:$R$149,'6. OPERATION'!$B$17:$B$149,$B35,'6. OPERATION'!$G$17:$G$149,"SUBCON",'6. OPERATION'!$D$17:$D$149,AF$18)</f>
        <v>0</v>
      </c>
      <c r="AG35" s="281">
        <f>SUMIFS('6. OPERATION'!$R$17:$R$149,'6. OPERATION'!$B$17:$B$149,$B35,'6. OPERATION'!$G$17:$G$149,"SUBCON",'6. OPERATION'!$D$17:$D$149,AG$18)</f>
        <v>0</v>
      </c>
      <c r="AH35" s="281">
        <f>SUMIFS('6. OPERATION'!$R$17:$R$149,'6. OPERATION'!$B$17:$B$149,$B35,'6. OPERATION'!$G$17:$G$149,"SUBCON",'6. OPERATION'!$D$17:$D$149,AH$18)</f>
        <v>0</v>
      </c>
      <c r="AI35" s="281">
        <f>SUMIFS('6. OPERATION'!$R$17:$R$149,'6. OPERATION'!$B$17:$B$149,$B35,'6. OPERATION'!$G$17:$G$149,"SUBCON",'6. OPERATION'!$D$17:$D$149,AI$18)</f>
        <v>0</v>
      </c>
      <c r="AJ35" s="281">
        <f>SUMIFS('6. OPERATION'!$R$17:$R$149,'6. OPERATION'!$B$17:$B$149,$B35,'6. OPERATION'!$G$17:$G$149,"SUBCON",'6. OPERATION'!$D$17:$D$149,AJ$18)</f>
        <v>0</v>
      </c>
      <c r="AK35" s="281">
        <f>SUMIFS('6. OPERATION'!$R$17:$R$149,'6. OPERATION'!$B$17:$B$149,$B35,'6. OPERATION'!$G$17:$G$149,"SUBCON",'6. OPERATION'!$D$17:$D$149,AK$18)</f>
        <v>0</v>
      </c>
      <c r="AL35" s="281">
        <f>SUMIFS('6. OPERATION'!$R$17:$R$149,'6. OPERATION'!$B$17:$B$149,$B35,'6. OPERATION'!$G$17:$G$149,"SUBCON",'6. OPERATION'!$D$17:$D$149,AL$18)</f>
        <v>0</v>
      </c>
      <c r="AM35" s="281">
        <f>SUMIFS('6. OPERATION'!$R$17:$R$149,'6. OPERATION'!$B$17:$B$149,$B35,'6. OPERATION'!$G$17:$G$149,"SUBCON",'6. OPERATION'!$D$17:$D$149,AM$18)</f>
        <v>0</v>
      </c>
      <c r="AN35" s="281">
        <f>SUMIFS('6. OPERATION'!$R$17:$R$149,'6. OPERATION'!$B$17:$B$149,$B35,'6. OPERATION'!$G$17:$G$149,"SUBCON",'6. OPERATION'!$D$17:$D$149,AN$18)</f>
        <v>0</v>
      </c>
      <c r="AO35" s="281">
        <f>SUMIFS('6. OPERATION'!$R$17:$R$149,'6. OPERATION'!$B$17:$B$149,$B35,'6. OPERATION'!$G$17:$G$149,"SUBCON",'6. OPERATION'!$D$17:$D$149,AO$18)</f>
        <v>0</v>
      </c>
      <c r="AP35" s="281">
        <f>SUMIFS('6. OPERATION'!$R$17:$R$149,'6. OPERATION'!$B$17:$B$149,$B35,'6. OPERATION'!$G$17:$G$149,"SUBCON",'6. OPERATION'!$D$17:$D$149,AP$18)</f>
        <v>0</v>
      </c>
      <c r="AQ35" s="281">
        <f>SUMIFS('6. OPERATION'!$R$17:$R$149,'6. OPERATION'!$B$17:$B$149,$B35,'6. OPERATION'!$G$17:$G$149,"SUBCON",'6. OPERATION'!$D$17:$D$149,AQ$18)</f>
        <v>0</v>
      </c>
      <c r="AR35" s="281">
        <f>SUMIFS('6. OPERATION'!$R$17:$R$149,'6. OPERATION'!$B$17:$B$149,$B35,'6. OPERATION'!$G$17:$G$149,"SUBCON",'6. OPERATION'!$D$17:$D$149,AR$18)</f>
        <v>0</v>
      </c>
      <c r="AS35" s="281">
        <f>SUMIFS('6. OPERATION'!R$17:R$149,'6. OPERATION'!B$17:B$149,B35,'6. OPERATION'!G$17:G$149,"TRAVEL")</f>
        <v>0</v>
      </c>
      <c r="AT35" s="281">
        <f>SUMIFS('6. OPERATION'!$R$17:$R$149,'6. OPERATION'!$B$17:$B$149,$B35,'6. OPERATION'!$G$17:$G$149,"TRAVEL",'6. OPERATION'!$D$17:$D$149,AT$18)</f>
        <v>0</v>
      </c>
      <c r="AU35" s="281">
        <f>SUMIFS('6. OPERATION'!$R$17:$R$149,'6. OPERATION'!$B$17:$B$149,$B35,'6. OPERATION'!$G$17:$G$149,"TRAVEL",'6. OPERATION'!$D$17:$D$149,AU$18)</f>
        <v>0</v>
      </c>
      <c r="AV35" s="281">
        <f>SUMIFS('6. OPERATION'!$R$17:$R$149,'6. OPERATION'!$B$17:$B$149,$B35,'6. OPERATION'!$G$17:$G$149,"TRAVEL",'6. OPERATION'!$D$17:$D$149,AV$18)</f>
        <v>0</v>
      </c>
      <c r="AW35" s="281">
        <f>SUMIFS('6. OPERATION'!$R$17:$R$149,'6. OPERATION'!$B$17:$B$149,$B35,'6. OPERATION'!$G$17:$G$149,"TRAVEL",'6. OPERATION'!$D$17:$D$149,AW$18)</f>
        <v>0</v>
      </c>
      <c r="AX35" s="281">
        <f>SUMIFS('6. OPERATION'!$R$17:$R$149,'6. OPERATION'!$B$17:$B$149,$B35,'6. OPERATION'!$G$17:$G$149,"TRAVEL",'6. OPERATION'!$D$17:$D$149,AX$18)</f>
        <v>0</v>
      </c>
      <c r="AY35" s="281">
        <f>SUMIFS('6. OPERATION'!$R$17:$R$149,'6. OPERATION'!$B$17:$B$149,$B35,'6. OPERATION'!$G$17:$G$149,"TRAVEL",'6. OPERATION'!$D$17:$D$149,AY$18)</f>
        <v>0</v>
      </c>
      <c r="AZ35" s="281">
        <f>SUMIFS('6. OPERATION'!$R$17:$R$149,'6. OPERATION'!$B$17:$B$149,$B35,'6. OPERATION'!$G$17:$G$149,"TRAVEL",'6. OPERATION'!$D$17:$D$149,AZ$18)</f>
        <v>0</v>
      </c>
      <c r="BA35" s="281">
        <f>SUMIFS('6. OPERATION'!$R$17:$R$149,'6. OPERATION'!$B$17:$B$149,$B35,'6. OPERATION'!$G$17:$G$149,"TRAVEL",'6. OPERATION'!$D$17:$D$149,BA$18)</f>
        <v>0</v>
      </c>
      <c r="BB35" s="281">
        <f>SUMIFS('6. OPERATION'!$R$17:$R$149,'6. OPERATION'!$B$17:$B$149,$B35,'6. OPERATION'!$G$17:$G$149,"TRAVEL",'6. OPERATION'!$D$17:$D$149,BB$18)</f>
        <v>0</v>
      </c>
      <c r="BC35" s="281">
        <f>SUMIFS('6. OPERATION'!$R$17:$R$149,'6. OPERATION'!$B$17:$B$149,$B35,'6. OPERATION'!$G$17:$G$149,"TRAVEL",'6. OPERATION'!$D$17:$D$149,BC$18)</f>
        <v>0</v>
      </c>
      <c r="BD35" s="281">
        <f>SUMIFS('6. OPERATION'!$R$17:$R$149,'6. OPERATION'!$B$17:$B$149,$B35,'6. OPERATION'!$G$17:$G$149,"TRAVEL",'6. OPERATION'!$D$17:$D$149,BD$18)</f>
        <v>0</v>
      </c>
      <c r="BE35" s="281">
        <f>SUMIFS('6. OPERATION'!$R$17:$R$149,'6. OPERATION'!$B$17:$B$149,$B35,'6. OPERATION'!$G$17:$G$149,"TRAVEL",'6. OPERATION'!$D$17:$D$149,BE$18)</f>
        <v>0</v>
      </c>
      <c r="BF35" s="281">
        <f>SUMIFS('6. OPERATION'!$R$17:$R$149,'6. OPERATION'!$B$17:$B$149,$B35,'6. OPERATION'!$G$17:$G$149,"TRAVEL",'6. OPERATION'!$D$17:$D$149,BF$18)</f>
        <v>0</v>
      </c>
      <c r="BG35" s="281">
        <f>SUMIFS('6. OPERATION'!$R$17:$R$149,'6. OPERATION'!$B$17:$B$149,$B35,'6. OPERATION'!$G$17:$G$149,"TRAVEL",'6. OPERATION'!$D$17:$D$149,BG$18)</f>
        <v>0</v>
      </c>
      <c r="BH35" s="281">
        <f>SUMIFS('6. OPERATION'!$R$17:$R$149,'6. OPERATION'!$B$17:$B$149,$B35,'6. OPERATION'!$G$17:$G$149,"TRAVEL",'6. OPERATION'!$D$17:$D$149,BH$18)</f>
        <v>0</v>
      </c>
      <c r="BI35" s="281">
        <f>SUMIFS('6. OPERATION'!$R$17:$R$149,'6. OPERATION'!$B$17:$B$149,$B35,'6. OPERATION'!$G$17:$G$149,"TRAVEL",'6. OPERATION'!$D$17:$D$149,BI$18)</f>
        <v>0</v>
      </c>
      <c r="BJ35" s="281">
        <f>SUMIFS('6. OPERATION'!$R$17:$R$149,'6. OPERATION'!$B$17:$B$149,$B35,'6. OPERATION'!$G$17:$G$149,"TRAVEL",'6. OPERATION'!$D$17:$D$149,BJ$18)</f>
        <v>0</v>
      </c>
      <c r="BK35" s="281">
        <f>SUMIFS('6. OPERATION'!$R$17:$R$149,'6. OPERATION'!$B$17:$B$149,$B35,'6. OPERATION'!$G$17:$G$149,"TRAVEL",'6. OPERATION'!$D$17:$D$149,BK$18)</f>
        <v>0</v>
      </c>
      <c r="BL35" s="281">
        <f>SUMIFS('6. OPERATION'!$R$17:$R$149,'6. OPERATION'!$B$17:$B$149,$B35,'6. OPERATION'!$G$17:$G$149,"TRAVEL",'6. OPERATION'!$D$17:$D$149,BL$18)</f>
        <v>0</v>
      </c>
      <c r="BM35" s="281">
        <f>SUMIFS('6. OPERATION'!$R$17:$R$149,'6. OPERATION'!$B$17:$B$149,$B35,'6. OPERATION'!$G$17:$G$149,"TRAVEL",'6. OPERATION'!$D$17:$D$149,BM$18)</f>
        <v>0</v>
      </c>
      <c r="BN35" s="281">
        <f>SUMIF('7. INVEST'!B$17:B$49,B35,'7. INVEST'!S$17:S$49)</f>
        <v>0</v>
      </c>
      <c r="BO35" s="281">
        <f>SUMIFS('7. INVEST'!$S$17:$S$49,'7. INVEST'!$B$17:$B$49,$B35,'7. INVEST'!$D$17:$D$49,BO$18)</f>
        <v>0</v>
      </c>
      <c r="BP35" s="281">
        <f>SUMIFS('7. INVEST'!$S$17:$S$49,'7. INVEST'!$B$17:$B$49,$B35,'7. INVEST'!$D$17:$D$49,BP$18)</f>
        <v>0</v>
      </c>
      <c r="BQ35" s="281">
        <f>SUMIFS('7. INVEST'!$S$17:$S$49,'7. INVEST'!$B$17:$B$49,$B35,'7. INVEST'!$D$17:$D$49,BQ$18)</f>
        <v>0</v>
      </c>
      <c r="BR35" s="281">
        <f>SUMIFS('7. INVEST'!$S$17:$S$49,'7. INVEST'!$B$17:$B$49,$B35,'7. INVEST'!$D$17:$D$49,BR$18)</f>
        <v>0</v>
      </c>
      <c r="BS35" s="281">
        <f>SUMIFS('7. INVEST'!$S$17:$S$49,'7. INVEST'!$B$17:$B$49,$B35,'7. INVEST'!$D$17:$D$49,BS$18)</f>
        <v>0</v>
      </c>
      <c r="BT35" s="281">
        <f>SUMIFS('7. INVEST'!$S$17:$S$49,'7. INVEST'!$B$17:$B$49,$B35,'7. INVEST'!$D$17:$D$49,BT$18)</f>
        <v>0</v>
      </c>
      <c r="BU35" s="281">
        <f>SUMIFS('7. INVEST'!$S$17:$S$49,'7. INVEST'!$B$17:$B$49,$B35,'7. INVEST'!$D$17:$D$49,BU$18)</f>
        <v>0</v>
      </c>
      <c r="BV35" s="281">
        <f>SUMIFS('7. INVEST'!$S$17:$S$49,'7. INVEST'!$B$17:$B$49,$B35,'7. INVEST'!$D$17:$D$49,BV$18)</f>
        <v>0</v>
      </c>
      <c r="BW35" s="281">
        <f>SUMIFS('7. INVEST'!$S$17:$S$49,'7. INVEST'!$B$17:$B$49,$B35,'7. INVEST'!$D$17:$D$49,BW$18)</f>
        <v>0</v>
      </c>
      <c r="BX35" s="281">
        <f>SUMIFS('7. INVEST'!$S$17:$S$49,'7. INVEST'!$B$17:$B$49,$B35,'7. INVEST'!$D$17:$D$49,BX$18)</f>
        <v>0</v>
      </c>
      <c r="BY35" s="281">
        <f>SUMIFS('7. INVEST'!$S$17:$S$49,'7. INVEST'!$B$17:$B$49,$B35,'7. INVEST'!$D$17:$D$49,BY$18)</f>
        <v>0</v>
      </c>
      <c r="BZ35" s="281">
        <f>SUMIFS('7. INVEST'!$S$17:$S$49,'7. INVEST'!$B$17:$B$49,$B35,'7. INVEST'!$D$17:$D$49,BZ$18)</f>
        <v>0</v>
      </c>
      <c r="CA35" s="281">
        <f>SUMIFS('7. INVEST'!$S$17:$S$49,'7. INVEST'!$B$17:$B$49,$B35,'7. INVEST'!$D$17:$D$49,CA$18)</f>
        <v>0</v>
      </c>
      <c r="CB35" s="281">
        <f>SUMIFS('7. INVEST'!$S$17:$S$49,'7. INVEST'!$B$17:$B$49,$B35,'7. INVEST'!$D$17:$D$49,CB$18)</f>
        <v>0</v>
      </c>
      <c r="CC35" s="281">
        <f>SUMIFS('7. INVEST'!$S$17:$S$49,'7. INVEST'!$B$17:$B$49,$B35,'7. INVEST'!$D$17:$D$49,CC$18)</f>
        <v>0</v>
      </c>
      <c r="CD35" s="281">
        <f>SUMIFS('7. INVEST'!$S$17:$S$49,'7. INVEST'!$B$17:$B$49,$B35,'7. INVEST'!$D$17:$D$49,CD$18)</f>
        <v>0</v>
      </c>
      <c r="CE35" s="281">
        <f>SUMIFS('7. INVEST'!$S$17:$S$49,'7. INVEST'!$B$17:$B$49,$B35,'7. INVEST'!$D$17:$D$49,CE$18)</f>
        <v>0</v>
      </c>
      <c r="CF35" s="281">
        <f>SUMIFS('7. INVEST'!$S$17:$S$49,'7. INVEST'!$B$17:$B$49,$B35,'7. INVEST'!$D$17:$D$49,CF$18)</f>
        <v>0</v>
      </c>
      <c r="CG35" s="281">
        <f>SUMIFS('7. INVEST'!$S$17:$S$49,'7. INVEST'!$B$17:$B$49,$B35,'7. INVEST'!$D$17:$D$49,CG$18)</f>
        <v>0</v>
      </c>
      <c r="CH35" s="281">
        <f>SUMIFS('7. INVEST'!$S$17:$S$49,'7. INVEST'!$B$17:$B$49,$B35,'7. INVEST'!$D$17:$D$49,CH$18)</f>
        <v>0</v>
      </c>
      <c r="CI35" s="281">
        <f>SUMIFS('6. OPERATION'!$R$17:$R$149,'6. OPERATION'!$B$17:$B$149,$B35,'6. OPERATION'!$G$17:$G$149,"OTHER")+SUMIF('8. FACILIT'!$B$18:$B$50,$B35,'8. FACILIT'!$P$18:$P$50)</f>
        <v>0</v>
      </c>
      <c r="CJ35" s="281">
        <f>SUMIFS('6. OPERATION'!$R$17:$R$149,'6. OPERATION'!$B$17:$B$149,$B35,'6. OPERATION'!$G$17:$G$149,"OTHER",'6. OPERATION'!$D$17:$D$149,CJ$18)+SUMIFS('8. FACILIT'!$P$18:$P$50,'8. FACILIT'!$B$18:$B$50,$B35,'8. FACILIT'!$D$18:$D$50,CJ$18)</f>
        <v>0</v>
      </c>
      <c r="CK35" s="281">
        <f>SUMIFS('6. OPERATION'!$R$17:$R$149,'6. OPERATION'!$B$17:$B$149,$B35,'6. OPERATION'!$G$17:$G$149,"OTHER",'6. OPERATION'!$D$17:$D$149,CK$18)+SUMIFS('8. FACILIT'!$P$18:$P$50,'8. FACILIT'!$B$18:$B$50,$B35,'8. FACILIT'!$D$18:$D$50,CK$18)</f>
        <v>0</v>
      </c>
      <c r="CL35" s="281">
        <f>SUMIFS('6. OPERATION'!$R$17:$R$149,'6. OPERATION'!$B$17:$B$149,$B35,'6. OPERATION'!$G$17:$G$149,"OTHER",'6. OPERATION'!$D$17:$D$149,CL$18)+SUMIFS('8. FACILIT'!$P$18:$P$50,'8. FACILIT'!$B$18:$B$50,$B35,'8. FACILIT'!$D$18:$D$50,CL$18)</f>
        <v>0</v>
      </c>
      <c r="CM35" s="281">
        <f>SUMIFS('6. OPERATION'!$R$17:$R$149,'6. OPERATION'!$B$17:$B$149,$B35,'6. OPERATION'!$G$17:$G$149,"OTHER",'6. OPERATION'!$D$17:$D$149,CM$18)+SUMIFS('8. FACILIT'!$P$18:$P$50,'8. FACILIT'!$B$18:$B$50,$B35,'8. FACILIT'!$D$18:$D$50,CM$18)</f>
        <v>0</v>
      </c>
      <c r="CN35" s="281">
        <f>SUMIFS('6. OPERATION'!$R$17:$R$149,'6. OPERATION'!$B$17:$B$149,$B35,'6. OPERATION'!$G$17:$G$149,"OTHER",'6. OPERATION'!$D$17:$D$149,CN$18)+SUMIFS('8. FACILIT'!$P$18:$P$50,'8. FACILIT'!$B$18:$B$50,$B35,'8. FACILIT'!$D$18:$D$50,CN$18)</f>
        <v>0</v>
      </c>
      <c r="CO35" s="281">
        <f>SUMIFS('6. OPERATION'!$R$17:$R$149,'6. OPERATION'!$B$17:$B$149,$B35,'6. OPERATION'!$G$17:$G$149,"OTHER",'6. OPERATION'!$D$17:$D$149,CO$18)+SUMIFS('8. FACILIT'!$P$18:$P$50,'8. FACILIT'!$B$18:$B$50,$B35,'8. FACILIT'!$D$18:$D$50,CO$18)</f>
        <v>0</v>
      </c>
      <c r="CP35" s="281">
        <f>SUMIFS('6. OPERATION'!$R$17:$R$149,'6. OPERATION'!$B$17:$B$149,$B35,'6. OPERATION'!$G$17:$G$149,"OTHER",'6. OPERATION'!$D$17:$D$149,CP$18)+SUMIFS('8. FACILIT'!$P$18:$P$50,'8. FACILIT'!$B$18:$B$50,$B35,'8. FACILIT'!$D$18:$D$50,CP$18)</f>
        <v>0</v>
      </c>
      <c r="CQ35" s="281">
        <f>SUMIFS('6. OPERATION'!$R$17:$R$149,'6. OPERATION'!$B$17:$B$149,$B35,'6. OPERATION'!$G$17:$G$149,"OTHER",'6. OPERATION'!$D$17:$D$149,CQ$18)+SUMIFS('8. FACILIT'!$P$18:$P$50,'8. FACILIT'!$B$18:$B$50,$B35,'8. FACILIT'!$D$18:$D$50,CQ$18)</f>
        <v>0</v>
      </c>
      <c r="CR35" s="281">
        <f>SUMIFS('6. OPERATION'!$R$17:$R$149,'6. OPERATION'!$B$17:$B$149,$B35,'6. OPERATION'!$G$17:$G$149,"OTHER",'6. OPERATION'!$D$17:$D$149,CR$18)+SUMIFS('8. FACILIT'!$P$18:$P$50,'8. FACILIT'!$B$18:$B$50,$B35,'8. FACILIT'!$D$18:$D$50,CR$18)</f>
        <v>0</v>
      </c>
      <c r="CS35" s="281">
        <f>SUMIFS('6. OPERATION'!$R$17:$R$149,'6. OPERATION'!$B$17:$B$149,$B35,'6. OPERATION'!$G$17:$G$149,"OTHER",'6. OPERATION'!$D$17:$D$149,CS$18)+SUMIFS('8. FACILIT'!$P$18:$P$50,'8. FACILIT'!$B$18:$B$50,$B35,'8. FACILIT'!$D$18:$D$50,CS$18)</f>
        <v>0</v>
      </c>
      <c r="CT35" s="281">
        <f>SUMIFS('6. OPERATION'!$R$17:$R$149,'6. OPERATION'!$B$17:$B$149,$B35,'6. OPERATION'!$G$17:$G$149,"OTHER",'6. OPERATION'!$D$17:$D$149,CT$18)+SUMIFS('8. FACILIT'!$P$18:$P$50,'8. FACILIT'!$B$18:$B$50,$B35,'8. FACILIT'!$D$18:$D$50,CT$18)</f>
        <v>0</v>
      </c>
      <c r="CU35" s="281">
        <f>SUMIFS('6. OPERATION'!$R$17:$R$149,'6. OPERATION'!$B$17:$B$149,$B35,'6. OPERATION'!$G$17:$G$149,"OTHER",'6. OPERATION'!$D$17:$D$149,CU$18)+SUMIFS('8. FACILIT'!$P$18:$P$50,'8. FACILIT'!$B$18:$B$50,$B35,'8. FACILIT'!$D$18:$D$50,CU$18)</f>
        <v>0</v>
      </c>
      <c r="CV35" s="281">
        <f>SUMIFS('6. OPERATION'!$R$17:$R$149,'6. OPERATION'!$B$17:$B$149,$B35,'6. OPERATION'!$G$17:$G$149,"OTHER",'6. OPERATION'!$D$17:$D$149,CV$18)+SUMIFS('8. FACILIT'!$P$18:$P$50,'8. FACILIT'!$B$18:$B$50,$B35,'8. FACILIT'!$D$18:$D$50,CV$18)</f>
        <v>0</v>
      </c>
      <c r="CW35" s="281">
        <f>SUMIFS('6. OPERATION'!$R$17:$R$149,'6. OPERATION'!$B$17:$B$149,$B35,'6. OPERATION'!$G$17:$G$149,"OTHER",'6. OPERATION'!$D$17:$D$149,CW$18)+SUMIFS('8. FACILIT'!$P$18:$P$50,'8. FACILIT'!$B$18:$B$50,$B35,'8. FACILIT'!$D$18:$D$50,CW$18)</f>
        <v>0</v>
      </c>
      <c r="CX35" s="281">
        <f>SUMIFS('6. OPERATION'!$R$17:$R$149,'6. OPERATION'!$B$17:$B$149,$B35,'6. OPERATION'!$G$17:$G$149,"OTHER",'6. OPERATION'!$D$17:$D$149,CX$18)+SUMIFS('8. FACILIT'!$P$18:$P$50,'8. FACILIT'!$B$18:$B$50,$B35,'8. FACILIT'!$D$18:$D$50,CX$18)</f>
        <v>0</v>
      </c>
      <c r="CY35" s="281">
        <f>SUMIFS('6. OPERATION'!$R$17:$R$149,'6. OPERATION'!$B$17:$B$149,$B35,'6. OPERATION'!$G$17:$G$149,"OTHER",'6. OPERATION'!$D$17:$D$149,CY$18)+SUMIFS('8. FACILIT'!$P$18:$P$50,'8. FACILIT'!$B$18:$B$50,$B35,'8. FACILIT'!$D$18:$D$50,CY$18)</f>
        <v>0</v>
      </c>
      <c r="CZ35" s="281">
        <f>SUMIFS('6. OPERATION'!$R$17:$R$149,'6. OPERATION'!$B$17:$B$149,$B35,'6. OPERATION'!$G$17:$G$149,"OTHER",'6. OPERATION'!$D$17:$D$149,CZ$18)+SUMIFS('8. FACILIT'!$P$18:$P$50,'8. FACILIT'!$B$18:$B$50,$B35,'8. FACILIT'!$D$18:$D$50,CZ$18)</f>
        <v>0</v>
      </c>
      <c r="DA35" s="281">
        <f>SUMIFS('6. OPERATION'!$R$17:$R$149,'6. OPERATION'!$B$17:$B$149,$B35,'6. OPERATION'!$G$17:$G$149,"OTHER",'6. OPERATION'!$D$17:$D$149,DA$18)+SUMIFS('8. FACILIT'!$P$18:$P$50,'8. FACILIT'!$B$18:$B$50,$B35,'8. FACILIT'!$D$18:$D$50,DA$18)</f>
        <v>0</v>
      </c>
      <c r="DB35" s="281">
        <f>SUMIFS('6. OPERATION'!$R$17:$R$149,'6. OPERATION'!$B$17:$B$149,$B35,'6. OPERATION'!$G$17:$G$149,"OTHER",'6. OPERATION'!$D$17:$D$149,DB$18)+SUMIFS('8. FACILIT'!$P$18:$P$50,'8. FACILIT'!$B$18:$B$50,$B35,'8. FACILIT'!$D$18:$D$50,DB$18)</f>
        <v>0</v>
      </c>
      <c r="DC35" s="281">
        <f>SUMIFS('6. OPERATION'!$R$17:$R$149,'6. OPERATION'!$B$17:$B$149,$B35,'6. OPERATION'!$G$17:$G$149,"OTHER",'6. OPERATION'!$D$17:$D$149,DC$18)+SUMIFS('8. FACILIT'!$P$18:$P$50,'8. FACILIT'!$B$18:$B$50,$B35,'8. FACILIT'!$D$18:$D$50,DC$18)</f>
        <v>0</v>
      </c>
      <c r="DD35" s="281">
        <f>SUMIFS('6. OPERATION'!R$17:R$149,'6. OPERATION'!B$17:B$149,B35,'6. OPERATION'!G$17:G$149,"INTERN")</f>
        <v>0</v>
      </c>
      <c r="DE35" s="281">
        <f>SUMIFS('6. OPERATION'!$R$17:$R$149,'6. OPERATION'!$B$17:$B$149,$B35,'6. OPERATION'!$G$17:$G$149,"INTERN",'6. OPERATION'!$D$17:$D$149,DE$18)</f>
        <v>0</v>
      </c>
      <c r="DF35" s="281">
        <f>SUMIFS('6. OPERATION'!$R$17:$R$149,'6. OPERATION'!$B$17:$B$149,$B35,'6. OPERATION'!$G$17:$G$149,"INTERN",'6. OPERATION'!$D$17:$D$149,DF$18)</f>
        <v>0</v>
      </c>
      <c r="DG35" s="281">
        <f>SUMIFS('6. OPERATION'!$R$17:$R$149,'6. OPERATION'!$B$17:$B$149,$B35,'6. OPERATION'!$G$17:$G$149,"INTERN",'6. OPERATION'!$D$17:$D$149,DG$18)</f>
        <v>0</v>
      </c>
      <c r="DH35" s="281">
        <f>SUMIFS('6. OPERATION'!$R$17:$R$149,'6. OPERATION'!$B$17:$B$149,$B35,'6. OPERATION'!$G$17:$G$149,"INTERN",'6. OPERATION'!$D$17:$D$149,DH$18)</f>
        <v>0</v>
      </c>
      <c r="DI35" s="281">
        <f>SUMIFS('6. OPERATION'!$R$17:$R$149,'6. OPERATION'!$B$17:$B$149,$B35,'6. OPERATION'!$G$17:$G$149,"INTERN",'6. OPERATION'!$D$17:$D$149,DI$18)</f>
        <v>0</v>
      </c>
      <c r="DJ35" s="281">
        <f>SUMIFS('6. OPERATION'!$R$17:$R$149,'6. OPERATION'!$B$17:$B$149,$B35,'6. OPERATION'!$G$17:$G$149,"INTERN",'6. OPERATION'!$D$17:$D$149,DJ$18)</f>
        <v>0</v>
      </c>
      <c r="DK35" s="281">
        <f>SUMIFS('6. OPERATION'!$R$17:$R$149,'6. OPERATION'!$B$17:$B$149,$B35,'6. OPERATION'!$G$17:$G$149,"INTERN",'6. OPERATION'!$D$17:$D$149,DK$18)</f>
        <v>0</v>
      </c>
      <c r="DL35" s="281">
        <f>SUMIFS('6. OPERATION'!$R$17:$R$149,'6. OPERATION'!$B$17:$B$149,$B35,'6. OPERATION'!$G$17:$G$149,"INTERN",'6. OPERATION'!$D$17:$D$149,DL$18)</f>
        <v>0</v>
      </c>
      <c r="DM35" s="281">
        <f>SUMIFS('6. OPERATION'!$R$17:$R$149,'6. OPERATION'!$B$17:$B$149,$B35,'6. OPERATION'!$G$17:$G$149,"INTERN",'6. OPERATION'!$D$17:$D$149,DM$18)</f>
        <v>0</v>
      </c>
      <c r="DN35" s="281">
        <f>SUMIFS('6. OPERATION'!$R$17:$R$149,'6. OPERATION'!$B$17:$B$149,$B35,'6. OPERATION'!$G$17:$G$149,"INTERN",'6. OPERATION'!$D$17:$D$149,DN$18)</f>
        <v>0</v>
      </c>
      <c r="DO35" s="281">
        <f>SUMIFS('6. OPERATION'!$R$17:$R$149,'6. OPERATION'!$B$17:$B$149,$B35,'6. OPERATION'!$G$17:$G$149,"INTERN",'6. OPERATION'!$D$17:$D$149,DO$18)</f>
        <v>0</v>
      </c>
      <c r="DP35" s="281">
        <f>SUMIFS('6. OPERATION'!$R$17:$R$149,'6. OPERATION'!$B$17:$B$149,$B35,'6. OPERATION'!$G$17:$G$149,"INTERN",'6. OPERATION'!$D$17:$D$149,DP$18)</f>
        <v>0</v>
      </c>
      <c r="DQ35" s="281">
        <f>SUMIFS('6. OPERATION'!$R$17:$R$149,'6. OPERATION'!$B$17:$B$149,$B35,'6. OPERATION'!$G$17:$G$149,"INTERN",'6. OPERATION'!$D$17:$D$149,DQ$18)</f>
        <v>0</v>
      </c>
      <c r="DR35" s="281">
        <f>SUMIFS('6. OPERATION'!$R$17:$R$149,'6. OPERATION'!$B$17:$B$149,$B35,'6. OPERATION'!$G$17:$G$149,"INTERN",'6. OPERATION'!$D$17:$D$149,DR$18)</f>
        <v>0</v>
      </c>
      <c r="DS35" s="281">
        <f>SUMIFS('6. OPERATION'!$R$17:$R$149,'6. OPERATION'!$B$17:$B$149,$B35,'6. OPERATION'!$G$17:$G$149,"INTERN",'6. OPERATION'!$D$17:$D$149,DS$18)</f>
        <v>0</v>
      </c>
      <c r="DT35" s="281">
        <f>SUMIFS('6. OPERATION'!$R$17:$R$149,'6. OPERATION'!$B$17:$B$149,$B35,'6. OPERATION'!$G$17:$G$149,"INTERN",'6. OPERATION'!$D$17:$D$149,DT$18)</f>
        <v>0</v>
      </c>
      <c r="DU35" s="281">
        <f>SUMIFS('6. OPERATION'!$R$17:$R$149,'6. OPERATION'!$B$17:$B$149,$B35,'6. OPERATION'!$G$17:$G$149,"INTERN",'6. OPERATION'!$D$17:$D$149,DU$18)</f>
        <v>0</v>
      </c>
      <c r="DV35" s="281">
        <f>SUMIFS('6. OPERATION'!$R$17:$R$149,'6. OPERATION'!$B$17:$B$149,$B35,'6. OPERATION'!$G$17:$G$149,"INTERN",'6. OPERATION'!$D$17:$D$149,DV$18)</f>
        <v>0</v>
      </c>
      <c r="DW35" s="281">
        <f>SUMIFS('6. OPERATION'!$R$17:$R$149,'6. OPERATION'!$B$17:$B$149,$B35,'6. OPERATION'!$G$17:$G$149,"INTERN",'6. OPERATION'!$D$17:$D$149,DW$18)</f>
        <v>0</v>
      </c>
      <c r="DX35" s="281">
        <f>SUMIFS('6. OPERATION'!$R$17:$R$149,'6. OPERATION'!$B$17:$B$149,$B35,'6. OPERATION'!$G$17:$G$149,"INTERN",'6. OPERATION'!$D$17:$D$149,DX$18)</f>
        <v>0</v>
      </c>
      <c r="DY35" s="288">
        <f>(C35+AS35+BN35+CI35)*'2. START'!$C$12</f>
        <v>0</v>
      </c>
      <c r="DZ35" s="288">
        <f>(D35+AT35+BO35+CJ35)*'2. START'!$C$12</f>
        <v>0</v>
      </c>
      <c r="EA35" s="288">
        <f>(E35+AU35+BP35+CK35)*'2. START'!$C$12</f>
        <v>0</v>
      </c>
      <c r="EB35" s="288">
        <f>(F35+AV35+BQ35+CL35)*'2. START'!$C$12</f>
        <v>0</v>
      </c>
      <c r="EC35" s="288">
        <f>(G35+AW35+BR35+CM35)*'2. START'!$C$12</f>
        <v>0</v>
      </c>
      <c r="ED35" s="288">
        <f>(H35+AX35+BS35+CN35)*'2. START'!$C$12</f>
        <v>0</v>
      </c>
      <c r="EE35" s="288">
        <f>(I35+AY35+BT35+CO35)*'2. START'!$C$12</f>
        <v>0</v>
      </c>
      <c r="EF35" s="288">
        <f>(J35+AZ35+BU35+CP35)*'2. START'!$C$12</f>
        <v>0</v>
      </c>
      <c r="EG35" s="288">
        <f>(K35+BA35+BV35+CQ35)*'2. START'!$C$12</f>
        <v>0</v>
      </c>
      <c r="EH35" s="288">
        <f>(L35+BB35+BW35+CR35)*'2. START'!$C$12</f>
        <v>0</v>
      </c>
      <c r="EI35" s="288">
        <f>(M35+BC35+BX35+CS35)*'2. START'!$C$12</f>
        <v>0</v>
      </c>
      <c r="EJ35" s="288">
        <f>(N35+BD35+BY35+CT35)*'2. START'!$C$12</f>
        <v>0</v>
      </c>
      <c r="EK35" s="288">
        <f>(O35+BE35+BZ35+CU35)*'2. START'!$C$12</f>
        <v>0</v>
      </c>
      <c r="EL35" s="288">
        <f>(P35+BF35+CA35+CV35)*'2. START'!$C$12</f>
        <v>0</v>
      </c>
      <c r="EM35" s="288">
        <f>(Q35+BG35+CB35+CW35)*'2. START'!$C$12</f>
        <v>0</v>
      </c>
      <c r="EN35" s="288">
        <f>(R35+BH35+CC35+CX35)*'2. START'!$C$12</f>
        <v>0</v>
      </c>
      <c r="EO35" s="288">
        <f>(S35+BI35+CD35+CY35)*'2. START'!$C$12</f>
        <v>0</v>
      </c>
      <c r="EP35" s="288">
        <f>(T35+BJ35+CE35+CZ35)*'2. START'!$C$12</f>
        <v>0</v>
      </c>
      <c r="EQ35" s="288">
        <f>(U35+BK35+CF35+DA35)*'2. START'!$C$12</f>
        <v>0</v>
      </c>
      <c r="ER35" s="288">
        <f>(V35+BL35+CG35+DB35)*'2. START'!$C$12</f>
        <v>0</v>
      </c>
      <c r="ES35" s="288">
        <f>(W35+BM35+CH35+DC35)*'2. START'!$C$12</f>
        <v>0</v>
      </c>
      <c r="ET35" s="105">
        <f t="shared" si="4"/>
        <v>0</v>
      </c>
      <c r="EU35" s="105">
        <f t="shared" si="5"/>
        <v>0</v>
      </c>
      <c r="EV35" s="105">
        <f t="shared" si="6"/>
        <v>0</v>
      </c>
      <c r="EW35" s="105">
        <f t="shared" si="7"/>
        <v>0</v>
      </c>
      <c r="EX35" s="105">
        <f t="shared" si="8"/>
        <v>0</v>
      </c>
      <c r="EY35" s="105">
        <f t="shared" si="9"/>
        <v>0</v>
      </c>
      <c r="EZ35" s="105">
        <f t="shared" si="10"/>
        <v>0</v>
      </c>
      <c r="FA35" s="105">
        <f t="shared" si="11"/>
        <v>0</v>
      </c>
      <c r="FB35" s="105">
        <f t="shared" si="12"/>
        <v>0</v>
      </c>
      <c r="FC35" s="105">
        <f t="shared" si="13"/>
        <v>0</v>
      </c>
      <c r="FD35" s="105">
        <f t="shared" si="14"/>
        <v>0</v>
      </c>
      <c r="FE35" s="105">
        <f t="shared" si="18"/>
        <v>0</v>
      </c>
      <c r="FF35" s="105">
        <f t="shared" si="19"/>
        <v>0</v>
      </c>
      <c r="FG35" s="105">
        <f t="shared" si="20"/>
        <v>0</v>
      </c>
      <c r="FH35" s="105">
        <f t="shared" si="21"/>
        <v>0</v>
      </c>
      <c r="FI35" s="105">
        <f t="shared" si="22"/>
        <v>0</v>
      </c>
      <c r="FJ35" s="105">
        <f t="shared" si="23"/>
        <v>0</v>
      </c>
      <c r="FK35" s="105">
        <f t="shared" si="24"/>
        <v>0</v>
      </c>
      <c r="FL35" s="105">
        <f t="shared" si="25"/>
        <v>0</v>
      </c>
      <c r="FM35" s="105">
        <f t="shared" si="26"/>
        <v>0</v>
      </c>
      <c r="FN35" s="105">
        <f t="shared" si="27"/>
        <v>0</v>
      </c>
      <c r="FO35" s="273" t="str">
        <f t="shared" si="17"/>
        <v/>
      </c>
      <c r="FP35" s="105">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943">
        <f t="shared" si="16"/>
        <v>0</v>
      </c>
      <c r="FR35" s="940">
        <f>SUMIFS('5. PERSON'!$AE$17:$AE$192,'5. PERSON'!$B$17:$B$192,'14. EUFP'!$B35,'5. PERSON'!$D$17:$D$192,FR$18)</f>
        <v>0</v>
      </c>
      <c r="FS35" s="940">
        <f>SUMIFS('5. PERSON'!$AE$17:$AE$192,'5. PERSON'!$B$17:$B$192,'14. EUFP'!$B35,'5. PERSON'!$D$17:$D$192,FS$18)</f>
        <v>0</v>
      </c>
      <c r="FT35" s="940">
        <f>SUMIFS('5. PERSON'!$AE$17:$AE$192,'5. PERSON'!$B$17:$B$192,'14. EUFP'!$B35,'5. PERSON'!$D$17:$D$192,FT$18)</f>
        <v>0</v>
      </c>
      <c r="FU35" s="940">
        <f>SUMIFS('5. PERSON'!$AE$17:$AE$192,'5. PERSON'!$B$17:$B$192,'14. EUFP'!$B35,'5. PERSON'!$D$17:$D$192,FU$18)</f>
        <v>0</v>
      </c>
      <c r="FV35" s="940">
        <f>SUMIFS('5. PERSON'!$AE$17:$AE$192,'5. PERSON'!$B$17:$B$192,'14. EUFP'!$B35,'5. PERSON'!$D$17:$D$192,FV$18)</f>
        <v>0</v>
      </c>
      <c r="FW35" s="940">
        <f>SUMIFS('5. PERSON'!$AE$17:$AE$192,'5. PERSON'!$B$17:$B$192,'14. EUFP'!$B35,'5. PERSON'!$D$17:$D$192,FW$18)</f>
        <v>0</v>
      </c>
      <c r="FX35" s="940">
        <f>SUMIFS('5. PERSON'!$AE$17:$AE$192,'5. PERSON'!$B$17:$B$192,'14. EUFP'!$B35,'5. PERSON'!$D$17:$D$192,FX$18)</f>
        <v>0</v>
      </c>
      <c r="FY35" s="940">
        <f>SUMIFS('5. PERSON'!$AE$17:$AE$192,'5. PERSON'!$B$17:$B$192,'14. EUFP'!$B35,'5. PERSON'!$D$17:$D$192,FY$18)</f>
        <v>0</v>
      </c>
      <c r="FZ35" s="940">
        <f>SUMIFS('5. PERSON'!$AE$17:$AE$192,'5. PERSON'!$B$17:$B$192,'14. EUFP'!$B35,'5. PERSON'!$D$17:$D$192,FZ$18)</f>
        <v>0</v>
      </c>
      <c r="GA35" s="940">
        <f>SUMIFS('5. PERSON'!$AE$17:$AE$192,'5. PERSON'!$B$17:$B$192,'14. EUFP'!$B35,'5. PERSON'!$D$17:$D$192,GA$18)</f>
        <v>0</v>
      </c>
      <c r="GB35" s="940">
        <f>SUMIFS('5. PERSON'!$AE$17:$AE$192,'5. PERSON'!$B$17:$B$192,'14. EUFP'!$B35,'5. PERSON'!$D$17:$D$192,GB$18)</f>
        <v>0</v>
      </c>
      <c r="GC35" s="940">
        <f>SUMIFS('5. PERSON'!$AE$17:$AE$192,'5. PERSON'!$B$17:$B$192,'14. EUFP'!$B35,'5. PERSON'!$D$17:$D$192,GC$18)</f>
        <v>0</v>
      </c>
      <c r="GD35" s="940">
        <f>SUMIFS('5. PERSON'!$AE$17:$AE$192,'5. PERSON'!$B$17:$B$192,'14. EUFP'!$B35,'5. PERSON'!$D$17:$D$192,GD$18)</f>
        <v>0</v>
      </c>
      <c r="GE35" s="940">
        <f>SUMIFS('5. PERSON'!$AE$17:$AE$192,'5. PERSON'!$B$17:$B$192,'14. EUFP'!$B35,'5. PERSON'!$D$17:$D$192,GE$18)</f>
        <v>0</v>
      </c>
      <c r="GF35" s="940">
        <f>SUMIFS('5. PERSON'!$AE$17:$AE$192,'5. PERSON'!$B$17:$B$192,'14. EUFP'!$B35,'5. PERSON'!$D$17:$D$192,GF$18)</f>
        <v>0</v>
      </c>
      <c r="GG35" s="940">
        <f>SUMIFS('5. PERSON'!$AE$17:$AE$192,'5. PERSON'!$B$17:$B$192,'14. EUFP'!$B35,'5. PERSON'!$D$17:$D$192,GG$18)</f>
        <v>0</v>
      </c>
      <c r="GH35" s="940">
        <f>SUMIFS('5. PERSON'!$AE$17:$AE$192,'5. PERSON'!$B$17:$B$192,'14. EUFP'!$B35,'5. PERSON'!$D$17:$D$192,GH$18)</f>
        <v>0</v>
      </c>
      <c r="GI35" s="940">
        <f>SUMIFS('5. PERSON'!$AE$17:$AE$192,'5. PERSON'!$B$17:$B$192,'14. EUFP'!$B35,'5. PERSON'!$D$17:$D$192,GI$18)</f>
        <v>0</v>
      </c>
      <c r="GJ35" s="940">
        <f>SUMIFS('5. PERSON'!$AE$17:$AE$192,'5. PERSON'!$B$17:$B$192,'14. EUFP'!$B35,'5. PERSON'!$D$17:$D$192,GJ$18)</f>
        <v>0</v>
      </c>
      <c r="GK35" s="940">
        <f>SUMIFS('5. PERSON'!$AE$17:$AE$192,'5. PERSON'!$B$17:$B$192,'14. EUFP'!$B35,'5. PERSON'!$D$17:$D$192,GK$18)</f>
        <v>0</v>
      </c>
      <c r="GL35" s="940">
        <f t="shared" si="28"/>
        <v>0</v>
      </c>
    </row>
    <row r="36" spans="2:194" ht="13.5" customHeight="1" x14ac:dyDescent="0.2">
      <c r="B36" s="261" t="str">
        <f>'3. PARTNER'!B63</f>
        <v>EXT113</v>
      </c>
      <c r="C36" s="262">
        <f>SUMIF('5. PERSON'!B$17:B$192,B36,'5. PERSON'!AR$17:AR$192)</f>
        <v>0</v>
      </c>
      <c r="D36" s="262">
        <f>SUMIFS('5. PERSON'!$AR$17:$AR$192,'5. PERSON'!$B$17:$B$192,$B36,'5. PERSON'!$D$17:$D$192,D$18)</f>
        <v>0</v>
      </c>
      <c r="E36" s="262">
        <f>SUMIFS('5. PERSON'!$AR$17:$AR$192,'5. PERSON'!$B$17:$B$192,$B36,'5. PERSON'!$D$17:$D$192,E$18)</f>
        <v>0</v>
      </c>
      <c r="F36" s="262">
        <f>SUMIFS('5. PERSON'!$AR$17:$AR$192,'5. PERSON'!$B$17:$B$192,$B36,'5. PERSON'!$D$17:$D$192,F$18)</f>
        <v>0</v>
      </c>
      <c r="G36" s="262">
        <f>SUMIFS('5. PERSON'!$AR$17:$AR$192,'5. PERSON'!$B$17:$B$192,$B36,'5. PERSON'!$D$17:$D$192,G$18)</f>
        <v>0</v>
      </c>
      <c r="H36" s="262">
        <f>SUMIFS('5. PERSON'!$AR$17:$AR$192,'5. PERSON'!$B$17:$B$192,$B36,'5. PERSON'!$D$17:$D$192,H$18)</f>
        <v>0</v>
      </c>
      <c r="I36" s="262">
        <f>SUMIFS('5. PERSON'!$AR$17:$AR$192,'5. PERSON'!$B$17:$B$192,$B36,'5. PERSON'!$D$17:$D$192,I$18)</f>
        <v>0</v>
      </c>
      <c r="J36" s="262">
        <f>SUMIFS('5. PERSON'!$AR$17:$AR$192,'5. PERSON'!$B$17:$B$192,$B36,'5. PERSON'!$D$17:$D$192,J$18)</f>
        <v>0</v>
      </c>
      <c r="K36" s="262">
        <f>SUMIFS('5. PERSON'!$AR$17:$AR$192,'5. PERSON'!$B$17:$B$192,$B36,'5. PERSON'!$D$17:$D$192,K$18)</f>
        <v>0</v>
      </c>
      <c r="L36" s="262">
        <f>SUMIFS('5. PERSON'!$AR$17:$AR$192,'5. PERSON'!$B$17:$B$192,$B36,'5. PERSON'!$D$17:$D$192,L$18)</f>
        <v>0</v>
      </c>
      <c r="M36" s="262">
        <f>SUMIFS('5. PERSON'!$AR$17:$AR$192,'5. PERSON'!$B$17:$B$192,$B36,'5. PERSON'!$D$17:$D$192,M$18)</f>
        <v>0</v>
      </c>
      <c r="N36" s="262">
        <f>SUMIFS('5. PERSON'!$AR$17:$AR$192,'5. PERSON'!$B$17:$B$192,$B36,'5. PERSON'!$D$17:$D$192,N$18)</f>
        <v>0</v>
      </c>
      <c r="O36" s="262">
        <f>SUMIFS('5. PERSON'!$AR$17:$AR$192,'5. PERSON'!$B$17:$B$192,$B36,'5. PERSON'!$D$17:$D$192,O$18)</f>
        <v>0</v>
      </c>
      <c r="P36" s="262">
        <f>SUMIFS('5. PERSON'!$AR$17:$AR$192,'5. PERSON'!$B$17:$B$192,$B36,'5. PERSON'!$D$17:$D$192,P$18)</f>
        <v>0</v>
      </c>
      <c r="Q36" s="262">
        <f>SUMIFS('5. PERSON'!$AR$17:$AR$192,'5. PERSON'!$B$17:$B$192,$B36,'5. PERSON'!$D$17:$D$192,Q$18)</f>
        <v>0</v>
      </c>
      <c r="R36" s="262">
        <f>SUMIFS('5. PERSON'!$AR$17:$AR$192,'5. PERSON'!$B$17:$B$192,$B36,'5. PERSON'!$D$17:$D$192,R$18)</f>
        <v>0</v>
      </c>
      <c r="S36" s="262">
        <f>SUMIFS('5. PERSON'!$AR$17:$AR$192,'5. PERSON'!$B$17:$B$192,$B36,'5. PERSON'!$D$17:$D$192,S$18)</f>
        <v>0</v>
      </c>
      <c r="T36" s="262">
        <f>SUMIFS('5. PERSON'!$AR$17:$AR$192,'5. PERSON'!$B$17:$B$192,$B36,'5. PERSON'!$D$17:$D$192,T$18)</f>
        <v>0</v>
      </c>
      <c r="U36" s="262">
        <f>SUMIFS('5. PERSON'!$AR$17:$AR$192,'5. PERSON'!$B$17:$B$192,$B36,'5. PERSON'!$D$17:$D$192,U$18)</f>
        <v>0</v>
      </c>
      <c r="V36" s="262">
        <f>SUMIFS('5. PERSON'!$AR$17:$AR$192,'5. PERSON'!$B$17:$B$192,$B36,'5. PERSON'!$D$17:$D$192,V$18)</f>
        <v>0</v>
      </c>
      <c r="W36" s="262">
        <f>SUMIFS('5. PERSON'!$AR$17:$AR$192,'5. PERSON'!$B$17:$B$192,$B36,'5. PERSON'!$D$17:$D$192,W$18)</f>
        <v>0</v>
      </c>
      <c r="X36" s="262">
        <f>SUMIFS('6. OPERATION'!R$17:R$149,'6. OPERATION'!B$17:B$149,B36,'6. OPERATION'!G$17:G$149,"SUBCON")</f>
        <v>0</v>
      </c>
      <c r="Y36" s="262">
        <f>SUMIFS('6. OPERATION'!$R$17:$R$149,'6. OPERATION'!$B$17:$B$149,$B36,'6. OPERATION'!$G$17:$G$149,"SUBCON",'6. OPERATION'!$D$17:$D$149,Y$18)</f>
        <v>0</v>
      </c>
      <c r="Z36" s="262">
        <f>SUMIFS('6. OPERATION'!$R$17:$R$149,'6. OPERATION'!$B$17:$B$149,$B36,'6. OPERATION'!$G$17:$G$149,"SUBCON",'6. OPERATION'!$D$17:$D$149,Z$18)</f>
        <v>0</v>
      </c>
      <c r="AA36" s="262">
        <f>SUMIFS('6. OPERATION'!$R$17:$R$149,'6. OPERATION'!$B$17:$B$149,$B36,'6. OPERATION'!$G$17:$G$149,"SUBCON",'6. OPERATION'!$D$17:$D$149,AA$18)</f>
        <v>0</v>
      </c>
      <c r="AB36" s="262">
        <f>SUMIFS('6. OPERATION'!$R$17:$R$149,'6. OPERATION'!$B$17:$B$149,$B36,'6. OPERATION'!$G$17:$G$149,"SUBCON",'6. OPERATION'!$D$17:$D$149,AB$18)</f>
        <v>0</v>
      </c>
      <c r="AC36" s="262">
        <f>SUMIFS('6. OPERATION'!$R$17:$R$149,'6. OPERATION'!$B$17:$B$149,$B36,'6. OPERATION'!$G$17:$G$149,"SUBCON",'6. OPERATION'!$D$17:$D$149,AC$18)</f>
        <v>0</v>
      </c>
      <c r="AD36" s="262">
        <f>SUMIFS('6. OPERATION'!$R$17:$R$149,'6. OPERATION'!$B$17:$B$149,$B36,'6. OPERATION'!$G$17:$G$149,"SUBCON",'6. OPERATION'!$D$17:$D$149,AD$18)</f>
        <v>0</v>
      </c>
      <c r="AE36" s="262">
        <f>SUMIFS('6. OPERATION'!$R$17:$R$149,'6. OPERATION'!$B$17:$B$149,$B36,'6. OPERATION'!$G$17:$G$149,"SUBCON",'6. OPERATION'!$D$17:$D$149,AE$18)</f>
        <v>0</v>
      </c>
      <c r="AF36" s="262">
        <f>SUMIFS('6. OPERATION'!$R$17:$R$149,'6. OPERATION'!$B$17:$B$149,$B36,'6. OPERATION'!$G$17:$G$149,"SUBCON",'6. OPERATION'!$D$17:$D$149,AF$18)</f>
        <v>0</v>
      </c>
      <c r="AG36" s="262">
        <f>SUMIFS('6. OPERATION'!$R$17:$R$149,'6. OPERATION'!$B$17:$B$149,$B36,'6. OPERATION'!$G$17:$G$149,"SUBCON",'6. OPERATION'!$D$17:$D$149,AG$18)</f>
        <v>0</v>
      </c>
      <c r="AH36" s="262">
        <f>SUMIFS('6. OPERATION'!$R$17:$R$149,'6. OPERATION'!$B$17:$B$149,$B36,'6. OPERATION'!$G$17:$G$149,"SUBCON",'6. OPERATION'!$D$17:$D$149,AH$18)</f>
        <v>0</v>
      </c>
      <c r="AI36" s="262">
        <f>SUMIFS('6. OPERATION'!$R$17:$R$149,'6. OPERATION'!$B$17:$B$149,$B36,'6. OPERATION'!$G$17:$G$149,"SUBCON",'6. OPERATION'!$D$17:$D$149,AI$18)</f>
        <v>0</v>
      </c>
      <c r="AJ36" s="262">
        <f>SUMIFS('6. OPERATION'!$R$17:$R$149,'6. OPERATION'!$B$17:$B$149,$B36,'6. OPERATION'!$G$17:$G$149,"SUBCON",'6. OPERATION'!$D$17:$D$149,AJ$18)</f>
        <v>0</v>
      </c>
      <c r="AK36" s="262">
        <f>SUMIFS('6. OPERATION'!$R$17:$R$149,'6. OPERATION'!$B$17:$B$149,$B36,'6. OPERATION'!$G$17:$G$149,"SUBCON",'6. OPERATION'!$D$17:$D$149,AK$18)</f>
        <v>0</v>
      </c>
      <c r="AL36" s="262">
        <f>SUMIFS('6. OPERATION'!$R$17:$R$149,'6. OPERATION'!$B$17:$B$149,$B36,'6. OPERATION'!$G$17:$G$149,"SUBCON",'6. OPERATION'!$D$17:$D$149,AL$18)</f>
        <v>0</v>
      </c>
      <c r="AM36" s="262">
        <f>SUMIFS('6. OPERATION'!$R$17:$R$149,'6. OPERATION'!$B$17:$B$149,$B36,'6. OPERATION'!$G$17:$G$149,"SUBCON",'6. OPERATION'!$D$17:$D$149,AM$18)</f>
        <v>0</v>
      </c>
      <c r="AN36" s="262">
        <f>SUMIFS('6. OPERATION'!$R$17:$R$149,'6. OPERATION'!$B$17:$B$149,$B36,'6. OPERATION'!$G$17:$G$149,"SUBCON",'6. OPERATION'!$D$17:$D$149,AN$18)</f>
        <v>0</v>
      </c>
      <c r="AO36" s="262">
        <f>SUMIFS('6. OPERATION'!$R$17:$R$149,'6. OPERATION'!$B$17:$B$149,$B36,'6. OPERATION'!$G$17:$G$149,"SUBCON",'6. OPERATION'!$D$17:$D$149,AO$18)</f>
        <v>0</v>
      </c>
      <c r="AP36" s="262">
        <f>SUMIFS('6. OPERATION'!$R$17:$R$149,'6. OPERATION'!$B$17:$B$149,$B36,'6. OPERATION'!$G$17:$G$149,"SUBCON",'6. OPERATION'!$D$17:$D$149,AP$18)</f>
        <v>0</v>
      </c>
      <c r="AQ36" s="262">
        <f>SUMIFS('6. OPERATION'!$R$17:$R$149,'6. OPERATION'!$B$17:$B$149,$B36,'6. OPERATION'!$G$17:$G$149,"SUBCON",'6. OPERATION'!$D$17:$D$149,AQ$18)</f>
        <v>0</v>
      </c>
      <c r="AR36" s="262">
        <f>SUMIFS('6. OPERATION'!$R$17:$R$149,'6. OPERATION'!$B$17:$B$149,$B36,'6. OPERATION'!$G$17:$G$149,"SUBCON",'6. OPERATION'!$D$17:$D$149,AR$18)</f>
        <v>0</v>
      </c>
      <c r="AS36" s="262">
        <f>SUMIFS('6. OPERATION'!R$17:R$149,'6. OPERATION'!B$17:B$149,B36,'6. OPERATION'!G$17:G$149,"TRAVEL")</f>
        <v>0</v>
      </c>
      <c r="AT36" s="262">
        <f>SUMIFS('6. OPERATION'!$R$17:$R$149,'6. OPERATION'!$B$17:$B$149,$B36,'6. OPERATION'!$G$17:$G$149,"TRAVEL",'6. OPERATION'!$D$17:$D$149,AT$18)</f>
        <v>0</v>
      </c>
      <c r="AU36" s="262">
        <f>SUMIFS('6. OPERATION'!$R$17:$R$149,'6. OPERATION'!$B$17:$B$149,$B36,'6. OPERATION'!$G$17:$G$149,"TRAVEL",'6. OPERATION'!$D$17:$D$149,AU$18)</f>
        <v>0</v>
      </c>
      <c r="AV36" s="262">
        <f>SUMIFS('6. OPERATION'!$R$17:$R$149,'6. OPERATION'!$B$17:$B$149,$B36,'6. OPERATION'!$G$17:$G$149,"TRAVEL",'6. OPERATION'!$D$17:$D$149,AV$18)</f>
        <v>0</v>
      </c>
      <c r="AW36" s="262">
        <f>SUMIFS('6. OPERATION'!$R$17:$R$149,'6. OPERATION'!$B$17:$B$149,$B36,'6. OPERATION'!$G$17:$G$149,"TRAVEL",'6. OPERATION'!$D$17:$D$149,AW$18)</f>
        <v>0</v>
      </c>
      <c r="AX36" s="262">
        <f>SUMIFS('6. OPERATION'!$R$17:$R$149,'6. OPERATION'!$B$17:$B$149,$B36,'6. OPERATION'!$G$17:$G$149,"TRAVEL",'6. OPERATION'!$D$17:$D$149,AX$18)</f>
        <v>0</v>
      </c>
      <c r="AY36" s="262">
        <f>SUMIFS('6. OPERATION'!$R$17:$R$149,'6. OPERATION'!$B$17:$B$149,$B36,'6. OPERATION'!$G$17:$G$149,"TRAVEL",'6. OPERATION'!$D$17:$D$149,AY$18)</f>
        <v>0</v>
      </c>
      <c r="AZ36" s="262">
        <f>SUMIFS('6. OPERATION'!$R$17:$R$149,'6. OPERATION'!$B$17:$B$149,$B36,'6. OPERATION'!$G$17:$G$149,"TRAVEL",'6. OPERATION'!$D$17:$D$149,AZ$18)</f>
        <v>0</v>
      </c>
      <c r="BA36" s="262">
        <f>SUMIFS('6. OPERATION'!$R$17:$R$149,'6. OPERATION'!$B$17:$B$149,$B36,'6. OPERATION'!$G$17:$G$149,"TRAVEL",'6. OPERATION'!$D$17:$D$149,BA$18)</f>
        <v>0</v>
      </c>
      <c r="BB36" s="262">
        <f>SUMIFS('6. OPERATION'!$R$17:$R$149,'6. OPERATION'!$B$17:$B$149,$B36,'6. OPERATION'!$G$17:$G$149,"TRAVEL",'6. OPERATION'!$D$17:$D$149,BB$18)</f>
        <v>0</v>
      </c>
      <c r="BC36" s="262">
        <f>SUMIFS('6. OPERATION'!$R$17:$R$149,'6. OPERATION'!$B$17:$B$149,$B36,'6. OPERATION'!$G$17:$G$149,"TRAVEL",'6. OPERATION'!$D$17:$D$149,BC$18)</f>
        <v>0</v>
      </c>
      <c r="BD36" s="262">
        <f>SUMIFS('6. OPERATION'!$R$17:$R$149,'6. OPERATION'!$B$17:$B$149,$B36,'6. OPERATION'!$G$17:$G$149,"TRAVEL",'6. OPERATION'!$D$17:$D$149,BD$18)</f>
        <v>0</v>
      </c>
      <c r="BE36" s="262">
        <f>SUMIFS('6. OPERATION'!$R$17:$R$149,'6. OPERATION'!$B$17:$B$149,$B36,'6. OPERATION'!$G$17:$G$149,"TRAVEL",'6. OPERATION'!$D$17:$D$149,BE$18)</f>
        <v>0</v>
      </c>
      <c r="BF36" s="262">
        <f>SUMIFS('6. OPERATION'!$R$17:$R$149,'6. OPERATION'!$B$17:$B$149,$B36,'6. OPERATION'!$G$17:$G$149,"TRAVEL",'6. OPERATION'!$D$17:$D$149,BF$18)</f>
        <v>0</v>
      </c>
      <c r="BG36" s="262">
        <f>SUMIFS('6. OPERATION'!$R$17:$R$149,'6. OPERATION'!$B$17:$B$149,$B36,'6. OPERATION'!$G$17:$G$149,"TRAVEL",'6. OPERATION'!$D$17:$D$149,BG$18)</f>
        <v>0</v>
      </c>
      <c r="BH36" s="262">
        <f>SUMIFS('6. OPERATION'!$R$17:$R$149,'6. OPERATION'!$B$17:$B$149,$B36,'6. OPERATION'!$G$17:$G$149,"TRAVEL",'6. OPERATION'!$D$17:$D$149,BH$18)</f>
        <v>0</v>
      </c>
      <c r="BI36" s="262">
        <f>SUMIFS('6. OPERATION'!$R$17:$R$149,'6. OPERATION'!$B$17:$B$149,$B36,'6. OPERATION'!$G$17:$G$149,"TRAVEL",'6. OPERATION'!$D$17:$D$149,BI$18)</f>
        <v>0</v>
      </c>
      <c r="BJ36" s="262">
        <f>SUMIFS('6. OPERATION'!$R$17:$R$149,'6. OPERATION'!$B$17:$B$149,$B36,'6. OPERATION'!$G$17:$G$149,"TRAVEL",'6. OPERATION'!$D$17:$D$149,BJ$18)</f>
        <v>0</v>
      </c>
      <c r="BK36" s="262">
        <f>SUMIFS('6. OPERATION'!$R$17:$R$149,'6. OPERATION'!$B$17:$B$149,$B36,'6. OPERATION'!$G$17:$G$149,"TRAVEL",'6. OPERATION'!$D$17:$D$149,BK$18)</f>
        <v>0</v>
      </c>
      <c r="BL36" s="262">
        <f>SUMIFS('6. OPERATION'!$R$17:$R$149,'6. OPERATION'!$B$17:$B$149,$B36,'6. OPERATION'!$G$17:$G$149,"TRAVEL",'6. OPERATION'!$D$17:$D$149,BL$18)</f>
        <v>0</v>
      </c>
      <c r="BM36" s="262">
        <f>SUMIFS('6. OPERATION'!$R$17:$R$149,'6. OPERATION'!$B$17:$B$149,$B36,'6. OPERATION'!$G$17:$G$149,"TRAVEL",'6. OPERATION'!$D$17:$D$149,BM$18)</f>
        <v>0</v>
      </c>
      <c r="BN36" s="262">
        <f>SUMIF('7. INVEST'!B$17:B$49,B36,'7. INVEST'!S$17:S$49)</f>
        <v>0</v>
      </c>
      <c r="BO36" s="262">
        <f>SUMIFS('7. INVEST'!$S$17:$S$49,'7. INVEST'!$B$17:$B$49,$B36,'7. INVEST'!$D$17:$D$49,BO$18)</f>
        <v>0</v>
      </c>
      <c r="BP36" s="262">
        <f>SUMIFS('7. INVEST'!$S$17:$S$49,'7. INVEST'!$B$17:$B$49,$B36,'7. INVEST'!$D$17:$D$49,BP$18)</f>
        <v>0</v>
      </c>
      <c r="BQ36" s="262">
        <f>SUMIFS('7. INVEST'!$S$17:$S$49,'7. INVEST'!$B$17:$B$49,$B36,'7. INVEST'!$D$17:$D$49,BQ$18)</f>
        <v>0</v>
      </c>
      <c r="BR36" s="262">
        <f>SUMIFS('7. INVEST'!$S$17:$S$49,'7. INVEST'!$B$17:$B$49,$B36,'7. INVEST'!$D$17:$D$49,BR$18)</f>
        <v>0</v>
      </c>
      <c r="BS36" s="262">
        <f>SUMIFS('7. INVEST'!$S$17:$S$49,'7. INVEST'!$B$17:$B$49,$B36,'7. INVEST'!$D$17:$D$49,BS$18)</f>
        <v>0</v>
      </c>
      <c r="BT36" s="262">
        <f>SUMIFS('7. INVEST'!$S$17:$S$49,'7. INVEST'!$B$17:$B$49,$B36,'7. INVEST'!$D$17:$D$49,BT$18)</f>
        <v>0</v>
      </c>
      <c r="BU36" s="262">
        <f>SUMIFS('7. INVEST'!$S$17:$S$49,'7. INVEST'!$B$17:$B$49,$B36,'7. INVEST'!$D$17:$D$49,BU$18)</f>
        <v>0</v>
      </c>
      <c r="BV36" s="262">
        <f>SUMIFS('7. INVEST'!$S$17:$S$49,'7. INVEST'!$B$17:$B$49,$B36,'7. INVEST'!$D$17:$D$49,BV$18)</f>
        <v>0</v>
      </c>
      <c r="BW36" s="262">
        <f>SUMIFS('7. INVEST'!$S$17:$S$49,'7. INVEST'!$B$17:$B$49,$B36,'7. INVEST'!$D$17:$D$49,BW$18)</f>
        <v>0</v>
      </c>
      <c r="BX36" s="262">
        <f>SUMIFS('7. INVEST'!$S$17:$S$49,'7. INVEST'!$B$17:$B$49,$B36,'7. INVEST'!$D$17:$D$49,BX$18)</f>
        <v>0</v>
      </c>
      <c r="BY36" s="262">
        <f>SUMIFS('7. INVEST'!$S$17:$S$49,'7. INVEST'!$B$17:$B$49,$B36,'7. INVEST'!$D$17:$D$49,BY$18)</f>
        <v>0</v>
      </c>
      <c r="BZ36" s="262">
        <f>SUMIFS('7. INVEST'!$S$17:$S$49,'7. INVEST'!$B$17:$B$49,$B36,'7. INVEST'!$D$17:$D$49,BZ$18)</f>
        <v>0</v>
      </c>
      <c r="CA36" s="262">
        <f>SUMIFS('7. INVEST'!$S$17:$S$49,'7. INVEST'!$B$17:$B$49,$B36,'7. INVEST'!$D$17:$D$49,CA$18)</f>
        <v>0</v>
      </c>
      <c r="CB36" s="262">
        <f>SUMIFS('7. INVEST'!$S$17:$S$49,'7. INVEST'!$B$17:$B$49,$B36,'7. INVEST'!$D$17:$D$49,CB$18)</f>
        <v>0</v>
      </c>
      <c r="CC36" s="262">
        <f>SUMIFS('7. INVEST'!$S$17:$S$49,'7. INVEST'!$B$17:$B$49,$B36,'7. INVEST'!$D$17:$D$49,CC$18)</f>
        <v>0</v>
      </c>
      <c r="CD36" s="262">
        <f>SUMIFS('7. INVEST'!$S$17:$S$49,'7. INVEST'!$B$17:$B$49,$B36,'7. INVEST'!$D$17:$D$49,CD$18)</f>
        <v>0</v>
      </c>
      <c r="CE36" s="262">
        <f>SUMIFS('7. INVEST'!$S$17:$S$49,'7. INVEST'!$B$17:$B$49,$B36,'7. INVEST'!$D$17:$D$49,CE$18)</f>
        <v>0</v>
      </c>
      <c r="CF36" s="262">
        <f>SUMIFS('7. INVEST'!$S$17:$S$49,'7. INVEST'!$B$17:$B$49,$B36,'7. INVEST'!$D$17:$D$49,CF$18)</f>
        <v>0</v>
      </c>
      <c r="CG36" s="262">
        <f>SUMIFS('7. INVEST'!$S$17:$S$49,'7. INVEST'!$B$17:$B$49,$B36,'7. INVEST'!$D$17:$D$49,CG$18)</f>
        <v>0</v>
      </c>
      <c r="CH36" s="262">
        <f>SUMIFS('7. INVEST'!$S$17:$S$49,'7. INVEST'!$B$17:$B$49,$B36,'7. INVEST'!$D$17:$D$49,CH$18)</f>
        <v>0</v>
      </c>
      <c r="CI36" s="262">
        <f>SUMIFS('6. OPERATION'!$R$17:$R$149,'6. OPERATION'!$B$17:$B$149,$B36,'6. OPERATION'!$G$17:$G$149,"OTHER")+SUMIF('8. FACILIT'!$B$18:$B$50,$B36,'8. FACILIT'!$P$18:$P$50)</f>
        <v>0</v>
      </c>
      <c r="CJ36" s="262">
        <f>SUMIFS('6. OPERATION'!$R$17:$R$149,'6. OPERATION'!$B$17:$B$149,$B36,'6. OPERATION'!$G$17:$G$149,"OTHER",'6. OPERATION'!$D$17:$D$149,CJ$18)+SUMIFS('8. FACILIT'!$P$18:$P$50,'8. FACILIT'!$B$18:$B$50,$B36,'8. FACILIT'!$D$18:$D$50,CJ$18)</f>
        <v>0</v>
      </c>
      <c r="CK36" s="262">
        <f>SUMIFS('6. OPERATION'!$R$17:$R$149,'6. OPERATION'!$B$17:$B$149,$B36,'6. OPERATION'!$G$17:$G$149,"OTHER",'6. OPERATION'!$D$17:$D$149,CK$18)+SUMIFS('8. FACILIT'!$P$18:$P$50,'8. FACILIT'!$B$18:$B$50,$B36,'8. FACILIT'!$D$18:$D$50,CK$18)</f>
        <v>0</v>
      </c>
      <c r="CL36" s="262">
        <f>SUMIFS('6. OPERATION'!$R$17:$R$149,'6. OPERATION'!$B$17:$B$149,$B36,'6. OPERATION'!$G$17:$G$149,"OTHER",'6. OPERATION'!$D$17:$D$149,CL$18)+SUMIFS('8. FACILIT'!$P$18:$P$50,'8. FACILIT'!$B$18:$B$50,$B36,'8. FACILIT'!$D$18:$D$50,CL$18)</f>
        <v>0</v>
      </c>
      <c r="CM36" s="262">
        <f>SUMIFS('6. OPERATION'!$R$17:$R$149,'6. OPERATION'!$B$17:$B$149,$B36,'6. OPERATION'!$G$17:$G$149,"OTHER",'6. OPERATION'!$D$17:$D$149,CM$18)+SUMIFS('8. FACILIT'!$P$18:$P$50,'8. FACILIT'!$B$18:$B$50,$B36,'8. FACILIT'!$D$18:$D$50,CM$18)</f>
        <v>0</v>
      </c>
      <c r="CN36" s="262">
        <f>SUMIFS('6. OPERATION'!$R$17:$R$149,'6. OPERATION'!$B$17:$B$149,$B36,'6. OPERATION'!$G$17:$G$149,"OTHER",'6. OPERATION'!$D$17:$D$149,CN$18)+SUMIFS('8. FACILIT'!$P$18:$P$50,'8. FACILIT'!$B$18:$B$50,$B36,'8. FACILIT'!$D$18:$D$50,CN$18)</f>
        <v>0</v>
      </c>
      <c r="CO36" s="262">
        <f>SUMIFS('6. OPERATION'!$R$17:$R$149,'6. OPERATION'!$B$17:$B$149,$B36,'6. OPERATION'!$G$17:$G$149,"OTHER",'6. OPERATION'!$D$17:$D$149,CO$18)+SUMIFS('8. FACILIT'!$P$18:$P$50,'8. FACILIT'!$B$18:$B$50,$B36,'8. FACILIT'!$D$18:$D$50,CO$18)</f>
        <v>0</v>
      </c>
      <c r="CP36" s="262">
        <f>SUMIFS('6. OPERATION'!$R$17:$R$149,'6. OPERATION'!$B$17:$B$149,$B36,'6. OPERATION'!$G$17:$G$149,"OTHER",'6. OPERATION'!$D$17:$D$149,CP$18)+SUMIFS('8. FACILIT'!$P$18:$P$50,'8. FACILIT'!$B$18:$B$50,$B36,'8. FACILIT'!$D$18:$D$50,CP$18)</f>
        <v>0</v>
      </c>
      <c r="CQ36" s="262">
        <f>SUMIFS('6. OPERATION'!$R$17:$R$149,'6. OPERATION'!$B$17:$B$149,$B36,'6. OPERATION'!$G$17:$G$149,"OTHER",'6. OPERATION'!$D$17:$D$149,CQ$18)+SUMIFS('8. FACILIT'!$P$18:$P$50,'8. FACILIT'!$B$18:$B$50,$B36,'8. FACILIT'!$D$18:$D$50,CQ$18)</f>
        <v>0</v>
      </c>
      <c r="CR36" s="262">
        <f>SUMIFS('6. OPERATION'!$R$17:$R$149,'6. OPERATION'!$B$17:$B$149,$B36,'6. OPERATION'!$G$17:$G$149,"OTHER",'6. OPERATION'!$D$17:$D$149,CR$18)+SUMIFS('8. FACILIT'!$P$18:$P$50,'8. FACILIT'!$B$18:$B$50,$B36,'8. FACILIT'!$D$18:$D$50,CR$18)</f>
        <v>0</v>
      </c>
      <c r="CS36" s="262">
        <f>SUMIFS('6. OPERATION'!$R$17:$R$149,'6. OPERATION'!$B$17:$B$149,$B36,'6. OPERATION'!$G$17:$G$149,"OTHER",'6. OPERATION'!$D$17:$D$149,CS$18)+SUMIFS('8. FACILIT'!$P$18:$P$50,'8. FACILIT'!$B$18:$B$50,$B36,'8. FACILIT'!$D$18:$D$50,CS$18)</f>
        <v>0</v>
      </c>
      <c r="CT36" s="262">
        <f>SUMIFS('6. OPERATION'!$R$17:$R$149,'6. OPERATION'!$B$17:$B$149,$B36,'6. OPERATION'!$G$17:$G$149,"OTHER",'6. OPERATION'!$D$17:$D$149,CT$18)+SUMIFS('8. FACILIT'!$P$18:$P$50,'8. FACILIT'!$B$18:$B$50,$B36,'8. FACILIT'!$D$18:$D$50,CT$18)</f>
        <v>0</v>
      </c>
      <c r="CU36" s="262">
        <f>SUMIFS('6. OPERATION'!$R$17:$R$149,'6. OPERATION'!$B$17:$B$149,$B36,'6. OPERATION'!$G$17:$G$149,"OTHER",'6. OPERATION'!$D$17:$D$149,CU$18)+SUMIFS('8. FACILIT'!$P$18:$P$50,'8. FACILIT'!$B$18:$B$50,$B36,'8. FACILIT'!$D$18:$D$50,CU$18)</f>
        <v>0</v>
      </c>
      <c r="CV36" s="262">
        <f>SUMIFS('6. OPERATION'!$R$17:$R$149,'6. OPERATION'!$B$17:$B$149,$B36,'6. OPERATION'!$G$17:$G$149,"OTHER",'6. OPERATION'!$D$17:$D$149,CV$18)+SUMIFS('8. FACILIT'!$P$18:$P$50,'8. FACILIT'!$B$18:$B$50,$B36,'8. FACILIT'!$D$18:$D$50,CV$18)</f>
        <v>0</v>
      </c>
      <c r="CW36" s="262">
        <f>SUMIFS('6. OPERATION'!$R$17:$R$149,'6. OPERATION'!$B$17:$B$149,$B36,'6. OPERATION'!$G$17:$G$149,"OTHER",'6. OPERATION'!$D$17:$D$149,CW$18)+SUMIFS('8. FACILIT'!$P$18:$P$50,'8. FACILIT'!$B$18:$B$50,$B36,'8. FACILIT'!$D$18:$D$50,CW$18)</f>
        <v>0</v>
      </c>
      <c r="CX36" s="262">
        <f>SUMIFS('6. OPERATION'!$R$17:$R$149,'6. OPERATION'!$B$17:$B$149,$B36,'6. OPERATION'!$G$17:$G$149,"OTHER",'6. OPERATION'!$D$17:$D$149,CX$18)+SUMIFS('8. FACILIT'!$P$18:$P$50,'8. FACILIT'!$B$18:$B$50,$B36,'8. FACILIT'!$D$18:$D$50,CX$18)</f>
        <v>0</v>
      </c>
      <c r="CY36" s="262">
        <f>SUMIFS('6. OPERATION'!$R$17:$R$149,'6. OPERATION'!$B$17:$B$149,$B36,'6. OPERATION'!$G$17:$G$149,"OTHER",'6. OPERATION'!$D$17:$D$149,CY$18)+SUMIFS('8. FACILIT'!$P$18:$P$50,'8. FACILIT'!$B$18:$B$50,$B36,'8. FACILIT'!$D$18:$D$50,CY$18)</f>
        <v>0</v>
      </c>
      <c r="CZ36" s="262">
        <f>SUMIFS('6. OPERATION'!$R$17:$R$149,'6. OPERATION'!$B$17:$B$149,$B36,'6. OPERATION'!$G$17:$G$149,"OTHER",'6. OPERATION'!$D$17:$D$149,CZ$18)+SUMIFS('8. FACILIT'!$P$18:$P$50,'8. FACILIT'!$B$18:$B$50,$B36,'8. FACILIT'!$D$18:$D$50,CZ$18)</f>
        <v>0</v>
      </c>
      <c r="DA36" s="262">
        <f>SUMIFS('6. OPERATION'!$R$17:$R$149,'6. OPERATION'!$B$17:$B$149,$B36,'6. OPERATION'!$G$17:$G$149,"OTHER",'6. OPERATION'!$D$17:$D$149,DA$18)+SUMIFS('8. FACILIT'!$P$18:$P$50,'8. FACILIT'!$B$18:$B$50,$B36,'8. FACILIT'!$D$18:$D$50,DA$18)</f>
        <v>0</v>
      </c>
      <c r="DB36" s="262">
        <f>SUMIFS('6. OPERATION'!$R$17:$R$149,'6. OPERATION'!$B$17:$B$149,$B36,'6. OPERATION'!$G$17:$G$149,"OTHER",'6. OPERATION'!$D$17:$D$149,DB$18)+SUMIFS('8. FACILIT'!$P$18:$P$50,'8. FACILIT'!$B$18:$B$50,$B36,'8. FACILIT'!$D$18:$D$50,DB$18)</f>
        <v>0</v>
      </c>
      <c r="DC36" s="262">
        <f>SUMIFS('6. OPERATION'!$R$17:$R$149,'6. OPERATION'!$B$17:$B$149,$B36,'6. OPERATION'!$G$17:$G$149,"OTHER",'6. OPERATION'!$D$17:$D$149,DC$18)+SUMIFS('8. FACILIT'!$P$18:$P$50,'8. FACILIT'!$B$18:$B$50,$B36,'8. FACILIT'!$D$18:$D$50,DC$18)</f>
        <v>0</v>
      </c>
      <c r="DD36" s="262">
        <f>SUMIFS('6. OPERATION'!R$17:R$149,'6. OPERATION'!B$17:B$149,B36,'6. OPERATION'!G$17:G$149,"INTERN")</f>
        <v>0</v>
      </c>
      <c r="DE36" s="262">
        <f>SUMIFS('6. OPERATION'!$R$17:$R$149,'6. OPERATION'!$B$17:$B$149,$B36,'6. OPERATION'!$G$17:$G$149,"INTERN",'6. OPERATION'!$D$17:$D$149,DE$18)</f>
        <v>0</v>
      </c>
      <c r="DF36" s="262">
        <f>SUMIFS('6. OPERATION'!$R$17:$R$149,'6. OPERATION'!$B$17:$B$149,$B36,'6. OPERATION'!$G$17:$G$149,"INTERN",'6. OPERATION'!$D$17:$D$149,DF$18)</f>
        <v>0</v>
      </c>
      <c r="DG36" s="262">
        <f>SUMIFS('6. OPERATION'!$R$17:$R$149,'6. OPERATION'!$B$17:$B$149,$B36,'6. OPERATION'!$G$17:$G$149,"INTERN",'6. OPERATION'!$D$17:$D$149,DG$18)</f>
        <v>0</v>
      </c>
      <c r="DH36" s="262">
        <f>SUMIFS('6. OPERATION'!$R$17:$R$149,'6. OPERATION'!$B$17:$B$149,$B36,'6. OPERATION'!$G$17:$G$149,"INTERN",'6. OPERATION'!$D$17:$D$149,DH$18)</f>
        <v>0</v>
      </c>
      <c r="DI36" s="262">
        <f>SUMIFS('6. OPERATION'!$R$17:$R$149,'6. OPERATION'!$B$17:$B$149,$B36,'6. OPERATION'!$G$17:$G$149,"INTERN",'6. OPERATION'!$D$17:$D$149,DI$18)</f>
        <v>0</v>
      </c>
      <c r="DJ36" s="262">
        <f>SUMIFS('6. OPERATION'!$R$17:$R$149,'6. OPERATION'!$B$17:$B$149,$B36,'6. OPERATION'!$G$17:$G$149,"INTERN",'6. OPERATION'!$D$17:$D$149,DJ$18)</f>
        <v>0</v>
      </c>
      <c r="DK36" s="262">
        <f>SUMIFS('6. OPERATION'!$R$17:$R$149,'6. OPERATION'!$B$17:$B$149,$B36,'6. OPERATION'!$G$17:$G$149,"INTERN",'6. OPERATION'!$D$17:$D$149,DK$18)</f>
        <v>0</v>
      </c>
      <c r="DL36" s="262">
        <f>SUMIFS('6. OPERATION'!$R$17:$R$149,'6. OPERATION'!$B$17:$B$149,$B36,'6. OPERATION'!$G$17:$G$149,"INTERN",'6. OPERATION'!$D$17:$D$149,DL$18)</f>
        <v>0</v>
      </c>
      <c r="DM36" s="262">
        <f>SUMIFS('6. OPERATION'!$R$17:$R$149,'6. OPERATION'!$B$17:$B$149,$B36,'6. OPERATION'!$G$17:$G$149,"INTERN",'6. OPERATION'!$D$17:$D$149,DM$18)</f>
        <v>0</v>
      </c>
      <c r="DN36" s="262">
        <f>SUMIFS('6. OPERATION'!$R$17:$R$149,'6. OPERATION'!$B$17:$B$149,$B36,'6. OPERATION'!$G$17:$G$149,"INTERN",'6. OPERATION'!$D$17:$D$149,DN$18)</f>
        <v>0</v>
      </c>
      <c r="DO36" s="262">
        <f>SUMIFS('6. OPERATION'!$R$17:$R$149,'6. OPERATION'!$B$17:$B$149,$B36,'6. OPERATION'!$G$17:$G$149,"INTERN",'6. OPERATION'!$D$17:$D$149,DO$18)</f>
        <v>0</v>
      </c>
      <c r="DP36" s="262">
        <f>SUMIFS('6. OPERATION'!$R$17:$R$149,'6. OPERATION'!$B$17:$B$149,$B36,'6. OPERATION'!$G$17:$G$149,"INTERN",'6. OPERATION'!$D$17:$D$149,DP$18)</f>
        <v>0</v>
      </c>
      <c r="DQ36" s="262">
        <f>SUMIFS('6. OPERATION'!$R$17:$R$149,'6. OPERATION'!$B$17:$B$149,$B36,'6. OPERATION'!$G$17:$G$149,"INTERN",'6. OPERATION'!$D$17:$D$149,DQ$18)</f>
        <v>0</v>
      </c>
      <c r="DR36" s="262">
        <f>SUMIFS('6. OPERATION'!$R$17:$R$149,'6. OPERATION'!$B$17:$B$149,$B36,'6. OPERATION'!$G$17:$G$149,"INTERN",'6. OPERATION'!$D$17:$D$149,DR$18)</f>
        <v>0</v>
      </c>
      <c r="DS36" s="262">
        <f>SUMIFS('6. OPERATION'!$R$17:$R$149,'6. OPERATION'!$B$17:$B$149,$B36,'6. OPERATION'!$G$17:$G$149,"INTERN",'6. OPERATION'!$D$17:$D$149,DS$18)</f>
        <v>0</v>
      </c>
      <c r="DT36" s="262">
        <f>SUMIFS('6. OPERATION'!$R$17:$R$149,'6. OPERATION'!$B$17:$B$149,$B36,'6. OPERATION'!$G$17:$G$149,"INTERN",'6. OPERATION'!$D$17:$D$149,DT$18)</f>
        <v>0</v>
      </c>
      <c r="DU36" s="262">
        <f>SUMIFS('6. OPERATION'!$R$17:$R$149,'6. OPERATION'!$B$17:$B$149,$B36,'6. OPERATION'!$G$17:$G$149,"INTERN",'6. OPERATION'!$D$17:$D$149,DU$18)</f>
        <v>0</v>
      </c>
      <c r="DV36" s="262">
        <f>SUMIFS('6. OPERATION'!$R$17:$R$149,'6. OPERATION'!$B$17:$B$149,$B36,'6. OPERATION'!$G$17:$G$149,"INTERN",'6. OPERATION'!$D$17:$D$149,DV$18)</f>
        <v>0</v>
      </c>
      <c r="DW36" s="262">
        <f>SUMIFS('6. OPERATION'!$R$17:$R$149,'6. OPERATION'!$B$17:$B$149,$B36,'6. OPERATION'!$G$17:$G$149,"INTERN",'6. OPERATION'!$D$17:$D$149,DW$18)</f>
        <v>0</v>
      </c>
      <c r="DX36" s="262">
        <f>SUMIFS('6. OPERATION'!$R$17:$R$149,'6. OPERATION'!$B$17:$B$149,$B36,'6. OPERATION'!$G$17:$G$149,"INTERN",'6. OPERATION'!$D$17:$D$149,DX$18)</f>
        <v>0</v>
      </c>
      <c r="DY36" s="262">
        <f>(C36+AS36+BN36+CI36)*'2. START'!$C$12</f>
        <v>0</v>
      </c>
      <c r="DZ36" s="262">
        <f>(D36+AT36+BO36+CJ36)*'2. START'!$C$12</f>
        <v>0</v>
      </c>
      <c r="EA36" s="262">
        <f>(E36+AU36+BP36+CK36)*'2. START'!$C$12</f>
        <v>0</v>
      </c>
      <c r="EB36" s="262">
        <f>(F36+AV36+BQ36+CL36)*'2. START'!$C$12</f>
        <v>0</v>
      </c>
      <c r="EC36" s="262">
        <f>(G36+AW36+BR36+CM36)*'2. START'!$C$12</f>
        <v>0</v>
      </c>
      <c r="ED36" s="262">
        <f>(H36+AX36+BS36+CN36)*'2. START'!$C$12</f>
        <v>0</v>
      </c>
      <c r="EE36" s="262">
        <f>(I36+AY36+BT36+CO36)*'2. START'!$C$12</f>
        <v>0</v>
      </c>
      <c r="EF36" s="262">
        <f>(J36+AZ36+BU36+CP36)*'2. START'!$C$12</f>
        <v>0</v>
      </c>
      <c r="EG36" s="262">
        <f>(K36+BA36+BV36+CQ36)*'2. START'!$C$12</f>
        <v>0</v>
      </c>
      <c r="EH36" s="262">
        <f>(L36+BB36+BW36+CR36)*'2. START'!$C$12</f>
        <v>0</v>
      </c>
      <c r="EI36" s="262">
        <f>(M36+BC36+BX36+CS36)*'2. START'!$C$12</f>
        <v>0</v>
      </c>
      <c r="EJ36" s="262">
        <f>(N36+BD36+BY36+CT36)*'2. START'!$C$12</f>
        <v>0</v>
      </c>
      <c r="EK36" s="262">
        <f>(O36+BE36+BZ36+CU36)*'2. START'!$C$12</f>
        <v>0</v>
      </c>
      <c r="EL36" s="262">
        <f>(P36+BF36+CA36+CV36)*'2. START'!$C$12</f>
        <v>0</v>
      </c>
      <c r="EM36" s="262">
        <f>(Q36+BG36+CB36+CW36)*'2. START'!$C$12</f>
        <v>0</v>
      </c>
      <c r="EN36" s="262">
        <f>(R36+BH36+CC36+CX36)*'2. START'!$C$12</f>
        <v>0</v>
      </c>
      <c r="EO36" s="262">
        <f>(S36+BI36+CD36+CY36)*'2. START'!$C$12</f>
        <v>0</v>
      </c>
      <c r="EP36" s="262">
        <f>(T36+BJ36+CE36+CZ36)*'2. START'!$C$12</f>
        <v>0</v>
      </c>
      <c r="EQ36" s="262">
        <f>(U36+BK36+CF36+DA36)*'2. START'!$C$12</f>
        <v>0</v>
      </c>
      <c r="ER36" s="262">
        <f>(V36+BL36+CG36+DB36)*'2. START'!$C$12</f>
        <v>0</v>
      </c>
      <c r="ES36" s="262">
        <f>(W36+BM36+CH36+DC36)*'2. START'!$C$12</f>
        <v>0</v>
      </c>
      <c r="ET36" s="98">
        <f t="shared" si="4"/>
        <v>0</v>
      </c>
      <c r="EU36" s="98">
        <f t="shared" si="5"/>
        <v>0</v>
      </c>
      <c r="EV36" s="98">
        <f t="shared" si="6"/>
        <v>0</v>
      </c>
      <c r="EW36" s="98">
        <f t="shared" si="7"/>
        <v>0</v>
      </c>
      <c r="EX36" s="98">
        <f t="shared" si="8"/>
        <v>0</v>
      </c>
      <c r="EY36" s="98">
        <f t="shared" si="9"/>
        <v>0</v>
      </c>
      <c r="EZ36" s="98">
        <f t="shared" si="10"/>
        <v>0</v>
      </c>
      <c r="FA36" s="98">
        <f t="shared" si="11"/>
        <v>0</v>
      </c>
      <c r="FB36" s="98">
        <f t="shared" si="12"/>
        <v>0</v>
      </c>
      <c r="FC36" s="98">
        <f t="shared" si="13"/>
        <v>0</v>
      </c>
      <c r="FD36" s="98">
        <f t="shared" si="14"/>
        <v>0</v>
      </c>
      <c r="FE36" s="98">
        <f t="shared" si="18"/>
        <v>0</v>
      </c>
      <c r="FF36" s="98">
        <f t="shared" si="19"/>
        <v>0</v>
      </c>
      <c r="FG36" s="98">
        <f t="shared" si="20"/>
        <v>0</v>
      </c>
      <c r="FH36" s="98">
        <f t="shared" si="21"/>
        <v>0</v>
      </c>
      <c r="FI36" s="98">
        <f t="shared" si="22"/>
        <v>0</v>
      </c>
      <c r="FJ36" s="98">
        <f t="shared" si="23"/>
        <v>0</v>
      </c>
      <c r="FK36" s="98">
        <f t="shared" si="24"/>
        <v>0</v>
      </c>
      <c r="FL36" s="98">
        <f t="shared" si="25"/>
        <v>0</v>
      </c>
      <c r="FM36" s="98">
        <f t="shared" si="26"/>
        <v>0</v>
      </c>
      <c r="FN36" s="98">
        <f t="shared" si="27"/>
        <v>0</v>
      </c>
      <c r="FO36" s="272" t="str">
        <f t="shared" si="17"/>
        <v/>
      </c>
      <c r="FP36" s="98">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944">
        <f t="shared" si="16"/>
        <v>0</v>
      </c>
      <c r="FR36" s="941">
        <f>SUMIFS('5. PERSON'!$AE$17:$AE$192,'5. PERSON'!$B$17:$B$192,'14. EUFP'!$B36,'5. PERSON'!$D$17:$D$192,FR$18)</f>
        <v>0</v>
      </c>
      <c r="FS36" s="941">
        <f>SUMIFS('5. PERSON'!$AE$17:$AE$192,'5. PERSON'!$B$17:$B$192,'14. EUFP'!$B36,'5. PERSON'!$D$17:$D$192,FS$18)</f>
        <v>0</v>
      </c>
      <c r="FT36" s="941">
        <f>SUMIFS('5. PERSON'!$AE$17:$AE$192,'5. PERSON'!$B$17:$B$192,'14. EUFP'!$B36,'5. PERSON'!$D$17:$D$192,FT$18)</f>
        <v>0</v>
      </c>
      <c r="FU36" s="941">
        <f>SUMIFS('5. PERSON'!$AE$17:$AE$192,'5. PERSON'!$B$17:$B$192,'14. EUFP'!$B36,'5. PERSON'!$D$17:$D$192,FU$18)</f>
        <v>0</v>
      </c>
      <c r="FV36" s="941">
        <f>SUMIFS('5. PERSON'!$AE$17:$AE$192,'5. PERSON'!$B$17:$B$192,'14. EUFP'!$B36,'5. PERSON'!$D$17:$D$192,FV$18)</f>
        <v>0</v>
      </c>
      <c r="FW36" s="941">
        <f>SUMIFS('5. PERSON'!$AE$17:$AE$192,'5. PERSON'!$B$17:$B$192,'14. EUFP'!$B36,'5. PERSON'!$D$17:$D$192,FW$18)</f>
        <v>0</v>
      </c>
      <c r="FX36" s="941">
        <f>SUMIFS('5. PERSON'!$AE$17:$AE$192,'5. PERSON'!$B$17:$B$192,'14. EUFP'!$B36,'5. PERSON'!$D$17:$D$192,FX$18)</f>
        <v>0</v>
      </c>
      <c r="FY36" s="941">
        <f>SUMIFS('5. PERSON'!$AE$17:$AE$192,'5. PERSON'!$B$17:$B$192,'14. EUFP'!$B36,'5. PERSON'!$D$17:$D$192,FY$18)</f>
        <v>0</v>
      </c>
      <c r="FZ36" s="941">
        <f>SUMIFS('5. PERSON'!$AE$17:$AE$192,'5. PERSON'!$B$17:$B$192,'14. EUFP'!$B36,'5. PERSON'!$D$17:$D$192,FZ$18)</f>
        <v>0</v>
      </c>
      <c r="GA36" s="941">
        <f>SUMIFS('5. PERSON'!$AE$17:$AE$192,'5. PERSON'!$B$17:$B$192,'14. EUFP'!$B36,'5. PERSON'!$D$17:$D$192,GA$18)</f>
        <v>0</v>
      </c>
      <c r="GB36" s="941">
        <f>SUMIFS('5. PERSON'!$AE$17:$AE$192,'5. PERSON'!$B$17:$B$192,'14. EUFP'!$B36,'5. PERSON'!$D$17:$D$192,GB$18)</f>
        <v>0</v>
      </c>
      <c r="GC36" s="941">
        <f>SUMIFS('5. PERSON'!$AE$17:$AE$192,'5. PERSON'!$B$17:$B$192,'14. EUFP'!$B36,'5. PERSON'!$D$17:$D$192,GC$18)</f>
        <v>0</v>
      </c>
      <c r="GD36" s="941">
        <f>SUMIFS('5. PERSON'!$AE$17:$AE$192,'5. PERSON'!$B$17:$B$192,'14. EUFP'!$B36,'5. PERSON'!$D$17:$D$192,GD$18)</f>
        <v>0</v>
      </c>
      <c r="GE36" s="941">
        <f>SUMIFS('5. PERSON'!$AE$17:$AE$192,'5. PERSON'!$B$17:$B$192,'14. EUFP'!$B36,'5. PERSON'!$D$17:$D$192,GE$18)</f>
        <v>0</v>
      </c>
      <c r="GF36" s="941">
        <f>SUMIFS('5. PERSON'!$AE$17:$AE$192,'5. PERSON'!$B$17:$B$192,'14. EUFP'!$B36,'5. PERSON'!$D$17:$D$192,GF$18)</f>
        <v>0</v>
      </c>
      <c r="GG36" s="941">
        <f>SUMIFS('5. PERSON'!$AE$17:$AE$192,'5. PERSON'!$B$17:$B$192,'14. EUFP'!$B36,'5. PERSON'!$D$17:$D$192,GG$18)</f>
        <v>0</v>
      </c>
      <c r="GH36" s="941">
        <f>SUMIFS('5. PERSON'!$AE$17:$AE$192,'5. PERSON'!$B$17:$B$192,'14. EUFP'!$B36,'5. PERSON'!$D$17:$D$192,GH$18)</f>
        <v>0</v>
      </c>
      <c r="GI36" s="941">
        <f>SUMIFS('5. PERSON'!$AE$17:$AE$192,'5. PERSON'!$B$17:$B$192,'14. EUFP'!$B36,'5. PERSON'!$D$17:$D$192,GI$18)</f>
        <v>0</v>
      </c>
      <c r="GJ36" s="941">
        <f>SUMIFS('5. PERSON'!$AE$17:$AE$192,'5. PERSON'!$B$17:$B$192,'14. EUFP'!$B36,'5. PERSON'!$D$17:$D$192,GJ$18)</f>
        <v>0</v>
      </c>
      <c r="GK36" s="941">
        <f>SUMIFS('5. PERSON'!$AE$17:$AE$192,'5. PERSON'!$B$17:$B$192,'14. EUFP'!$B36,'5. PERSON'!$D$17:$D$192,GK$18)</f>
        <v>0</v>
      </c>
      <c r="GL36" s="941">
        <f t="shared" si="28"/>
        <v>0</v>
      </c>
    </row>
    <row r="37" spans="2:194" s="71" customFormat="1" ht="13.5" customHeight="1" x14ac:dyDescent="0.2">
      <c r="B37" s="259" t="str">
        <f>'3. PARTNER'!B64</f>
        <v>EXT114</v>
      </c>
      <c r="C37" s="281">
        <f>SUMIF('5. PERSON'!B$17:B$192,B37,'5. PERSON'!AR$17:AR$192)</f>
        <v>0</v>
      </c>
      <c r="D37" s="281">
        <f>SUMIFS('5. PERSON'!$AR$17:$AR$192,'5. PERSON'!$B$17:$B$192,$B37,'5. PERSON'!$D$17:$D$192,D$18)</f>
        <v>0</v>
      </c>
      <c r="E37" s="281">
        <f>SUMIFS('5. PERSON'!$AR$17:$AR$192,'5. PERSON'!$B$17:$B$192,$B37,'5. PERSON'!$D$17:$D$192,E$18)</f>
        <v>0</v>
      </c>
      <c r="F37" s="281">
        <f>SUMIFS('5. PERSON'!$AR$17:$AR$192,'5. PERSON'!$B$17:$B$192,$B37,'5. PERSON'!$D$17:$D$192,F$18)</f>
        <v>0</v>
      </c>
      <c r="G37" s="281">
        <f>SUMIFS('5. PERSON'!$AR$17:$AR$192,'5. PERSON'!$B$17:$B$192,$B37,'5. PERSON'!$D$17:$D$192,G$18)</f>
        <v>0</v>
      </c>
      <c r="H37" s="281">
        <f>SUMIFS('5. PERSON'!$AR$17:$AR$192,'5. PERSON'!$B$17:$B$192,$B37,'5. PERSON'!$D$17:$D$192,H$18)</f>
        <v>0</v>
      </c>
      <c r="I37" s="281">
        <f>SUMIFS('5. PERSON'!$AR$17:$AR$192,'5. PERSON'!$B$17:$B$192,$B37,'5. PERSON'!$D$17:$D$192,I$18)</f>
        <v>0</v>
      </c>
      <c r="J37" s="281">
        <f>SUMIFS('5. PERSON'!$AR$17:$AR$192,'5. PERSON'!$B$17:$B$192,$B37,'5. PERSON'!$D$17:$D$192,J$18)</f>
        <v>0</v>
      </c>
      <c r="K37" s="281">
        <f>SUMIFS('5. PERSON'!$AR$17:$AR$192,'5. PERSON'!$B$17:$B$192,$B37,'5. PERSON'!$D$17:$D$192,K$18)</f>
        <v>0</v>
      </c>
      <c r="L37" s="281">
        <f>SUMIFS('5. PERSON'!$AR$17:$AR$192,'5. PERSON'!$B$17:$B$192,$B37,'5. PERSON'!$D$17:$D$192,L$18)</f>
        <v>0</v>
      </c>
      <c r="M37" s="281">
        <f>SUMIFS('5. PERSON'!$AR$17:$AR$192,'5. PERSON'!$B$17:$B$192,$B37,'5. PERSON'!$D$17:$D$192,M$18)</f>
        <v>0</v>
      </c>
      <c r="N37" s="281">
        <f>SUMIFS('5. PERSON'!$AR$17:$AR$192,'5. PERSON'!$B$17:$B$192,$B37,'5. PERSON'!$D$17:$D$192,N$18)</f>
        <v>0</v>
      </c>
      <c r="O37" s="281">
        <f>SUMIFS('5. PERSON'!$AR$17:$AR$192,'5. PERSON'!$B$17:$B$192,$B37,'5. PERSON'!$D$17:$D$192,O$18)</f>
        <v>0</v>
      </c>
      <c r="P37" s="281">
        <f>SUMIFS('5. PERSON'!$AR$17:$AR$192,'5. PERSON'!$B$17:$B$192,$B37,'5. PERSON'!$D$17:$D$192,P$18)</f>
        <v>0</v>
      </c>
      <c r="Q37" s="281">
        <f>SUMIFS('5. PERSON'!$AR$17:$AR$192,'5. PERSON'!$B$17:$B$192,$B37,'5. PERSON'!$D$17:$D$192,Q$18)</f>
        <v>0</v>
      </c>
      <c r="R37" s="281">
        <f>SUMIFS('5. PERSON'!$AR$17:$AR$192,'5. PERSON'!$B$17:$B$192,$B37,'5. PERSON'!$D$17:$D$192,R$18)</f>
        <v>0</v>
      </c>
      <c r="S37" s="281">
        <f>SUMIFS('5. PERSON'!$AR$17:$AR$192,'5. PERSON'!$B$17:$B$192,$B37,'5. PERSON'!$D$17:$D$192,S$18)</f>
        <v>0</v>
      </c>
      <c r="T37" s="281">
        <f>SUMIFS('5. PERSON'!$AR$17:$AR$192,'5. PERSON'!$B$17:$B$192,$B37,'5. PERSON'!$D$17:$D$192,T$18)</f>
        <v>0</v>
      </c>
      <c r="U37" s="281">
        <f>SUMIFS('5. PERSON'!$AR$17:$AR$192,'5. PERSON'!$B$17:$B$192,$B37,'5. PERSON'!$D$17:$D$192,U$18)</f>
        <v>0</v>
      </c>
      <c r="V37" s="281">
        <f>SUMIFS('5. PERSON'!$AR$17:$AR$192,'5. PERSON'!$B$17:$B$192,$B37,'5. PERSON'!$D$17:$D$192,V$18)</f>
        <v>0</v>
      </c>
      <c r="W37" s="281">
        <f>SUMIFS('5. PERSON'!$AR$17:$AR$192,'5. PERSON'!$B$17:$B$192,$B37,'5. PERSON'!$D$17:$D$192,W$18)</f>
        <v>0</v>
      </c>
      <c r="X37" s="281">
        <f>SUMIFS('6. OPERATION'!R$17:R$149,'6. OPERATION'!B$17:B$149,B37,'6. OPERATION'!G$17:G$149,"SUBCON")</f>
        <v>0</v>
      </c>
      <c r="Y37" s="281">
        <f>SUMIFS('6. OPERATION'!$R$17:$R$149,'6. OPERATION'!$B$17:$B$149,$B37,'6. OPERATION'!$G$17:$G$149,"SUBCON",'6. OPERATION'!$D$17:$D$149,Y$18)</f>
        <v>0</v>
      </c>
      <c r="Z37" s="281">
        <f>SUMIFS('6. OPERATION'!$R$17:$R$149,'6. OPERATION'!$B$17:$B$149,$B37,'6. OPERATION'!$G$17:$G$149,"SUBCON",'6. OPERATION'!$D$17:$D$149,Z$18)</f>
        <v>0</v>
      </c>
      <c r="AA37" s="281">
        <f>SUMIFS('6. OPERATION'!$R$17:$R$149,'6. OPERATION'!$B$17:$B$149,$B37,'6. OPERATION'!$G$17:$G$149,"SUBCON",'6. OPERATION'!$D$17:$D$149,AA$18)</f>
        <v>0</v>
      </c>
      <c r="AB37" s="281">
        <f>SUMIFS('6. OPERATION'!$R$17:$R$149,'6. OPERATION'!$B$17:$B$149,$B37,'6. OPERATION'!$G$17:$G$149,"SUBCON",'6. OPERATION'!$D$17:$D$149,AB$18)</f>
        <v>0</v>
      </c>
      <c r="AC37" s="281">
        <f>SUMIFS('6. OPERATION'!$R$17:$R$149,'6. OPERATION'!$B$17:$B$149,$B37,'6. OPERATION'!$G$17:$G$149,"SUBCON",'6. OPERATION'!$D$17:$D$149,AC$18)</f>
        <v>0</v>
      </c>
      <c r="AD37" s="281">
        <f>SUMIFS('6. OPERATION'!$R$17:$R$149,'6. OPERATION'!$B$17:$B$149,$B37,'6. OPERATION'!$G$17:$G$149,"SUBCON",'6. OPERATION'!$D$17:$D$149,AD$18)</f>
        <v>0</v>
      </c>
      <c r="AE37" s="281">
        <f>SUMIFS('6. OPERATION'!$R$17:$R$149,'6. OPERATION'!$B$17:$B$149,$B37,'6. OPERATION'!$G$17:$G$149,"SUBCON",'6. OPERATION'!$D$17:$D$149,AE$18)</f>
        <v>0</v>
      </c>
      <c r="AF37" s="281">
        <f>SUMIFS('6. OPERATION'!$R$17:$R$149,'6. OPERATION'!$B$17:$B$149,$B37,'6. OPERATION'!$G$17:$G$149,"SUBCON",'6. OPERATION'!$D$17:$D$149,AF$18)</f>
        <v>0</v>
      </c>
      <c r="AG37" s="281">
        <f>SUMIFS('6. OPERATION'!$R$17:$R$149,'6. OPERATION'!$B$17:$B$149,$B37,'6. OPERATION'!$G$17:$G$149,"SUBCON",'6. OPERATION'!$D$17:$D$149,AG$18)</f>
        <v>0</v>
      </c>
      <c r="AH37" s="281">
        <f>SUMIFS('6. OPERATION'!$R$17:$R$149,'6. OPERATION'!$B$17:$B$149,$B37,'6. OPERATION'!$G$17:$G$149,"SUBCON",'6. OPERATION'!$D$17:$D$149,AH$18)</f>
        <v>0</v>
      </c>
      <c r="AI37" s="281">
        <f>SUMIFS('6. OPERATION'!$R$17:$R$149,'6. OPERATION'!$B$17:$B$149,$B37,'6. OPERATION'!$G$17:$G$149,"SUBCON",'6. OPERATION'!$D$17:$D$149,AI$18)</f>
        <v>0</v>
      </c>
      <c r="AJ37" s="281">
        <f>SUMIFS('6. OPERATION'!$R$17:$R$149,'6. OPERATION'!$B$17:$B$149,$B37,'6. OPERATION'!$G$17:$G$149,"SUBCON",'6. OPERATION'!$D$17:$D$149,AJ$18)</f>
        <v>0</v>
      </c>
      <c r="AK37" s="281">
        <f>SUMIFS('6. OPERATION'!$R$17:$R$149,'6. OPERATION'!$B$17:$B$149,$B37,'6. OPERATION'!$G$17:$G$149,"SUBCON",'6. OPERATION'!$D$17:$D$149,AK$18)</f>
        <v>0</v>
      </c>
      <c r="AL37" s="281">
        <f>SUMIFS('6. OPERATION'!$R$17:$R$149,'6. OPERATION'!$B$17:$B$149,$B37,'6. OPERATION'!$G$17:$G$149,"SUBCON",'6. OPERATION'!$D$17:$D$149,AL$18)</f>
        <v>0</v>
      </c>
      <c r="AM37" s="281">
        <f>SUMIFS('6. OPERATION'!$R$17:$R$149,'6. OPERATION'!$B$17:$B$149,$B37,'6. OPERATION'!$G$17:$G$149,"SUBCON",'6. OPERATION'!$D$17:$D$149,AM$18)</f>
        <v>0</v>
      </c>
      <c r="AN37" s="281">
        <f>SUMIFS('6. OPERATION'!$R$17:$R$149,'6. OPERATION'!$B$17:$B$149,$B37,'6. OPERATION'!$G$17:$G$149,"SUBCON",'6. OPERATION'!$D$17:$D$149,AN$18)</f>
        <v>0</v>
      </c>
      <c r="AO37" s="281">
        <f>SUMIFS('6. OPERATION'!$R$17:$R$149,'6. OPERATION'!$B$17:$B$149,$B37,'6. OPERATION'!$G$17:$G$149,"SUBCON",'6. OPERATION'!$D$17:$D$149,AO$18)</f>
        <v>0</v>
      </c>
      <c r="AP37" s="281">
        <f>SUMIFS('6. OPERATION'!$R$17:$R$149,'6. OPERATION'!$B$17:$B$149,$B37,'6. OPERATION'!$G$17:$G$149,"SUBCON",'6. OPERATION'!$D$17:$D$149,AP$18)</f>
        <v>0</v>
      </c>
      <c r="AQ37" s="281">
        <f>SUMIFS('6. OPERATION'!$R$17:$R$149,'6. OPERATION'!$B$17:$B$149,$B37,'6. OPERATION'!$G$17:$G$149,"SUBCON",'6. OPERATION'!$D$17:$D$149,AQ$18)</f>
        <v>0</v>
      </c>
      <c r="AR37" s="281">
        <f>SUMIFS('6. OPERATION'!$R$17:$R$149,'6. OPERATION'!$B$17:$B$149,$B37,'6. OPERATION'!$G$17:$G$149,"SUBCON",'6. OPERATION'!$D$17:$D$149,AR$18)</f>
        <v>0</v>
      </c>
      <c r="AS37" s="281">
        <f>SUMIFS('6. OPERATION'!R$17:R$149,'6. OPERATION'!B$17:B$149,B37,'6. OPERATION'!G$17:G$149,"TRAVEL")</f>
        <v>0</v>
      </c>
      <c r="AT37" s="281">
        <f>SUMIFS('6. OPERATION'!$R$17:$R$149,'6. OPERATION'!$B$17:$B$149,$B37,'6. OPERATION'!$G$17:$G$149,"TRAVEL",'6. OPERATION'!$D$17:$D$149,AT$18)</f>
        <v>0</v>
      </c>
      <c r="AU37" s="281">
        <f>SUMIFS('6. OPERATION'!$R$17:$R$149,'6. OPERATION'!$B$17:$B$149,$B37,'6. OPERATION'!$G$17:$G$149,"TRAVEL",'6. OPERATION'!$D$17:$D$149,AU$18)</f>
        <v>0</v>
      </c>
      <c r="AV37" s="281">
        <f>SUMIFS('6. OPERATION'!$R$17:$R$149,'6. OPERATION'!$B$17:$B$149,$B37,'6. OPERATION'!$G$17:$G$149,"TRAVEL",'6. OPERATION'!$D$17:$D$149,AV$18)</f>
        <v>0</v>
      </c>
      <c r="AW37" s="281">
        <f>SUMIFS('6. OPERATION'!$R$17:$R$149,'6. OPERATION'!$B$17:$B$149,$B37,'6. OPERATION'!$G$17:$G$149,"TRAVEL",'6. OPERATION'!$D$17:$D$149,AW$18)</f>
        <v>0</v>
      </c>
      <c r="AX37" s="281">
        <f>SUMIFS('6. OPERATION'!$R$17:$R$149,'6. OPERATION'!$B$17:$B$149,$B37,'6. OPERATION'!$G$17:$G$149,"TRAVEL",'6. OPERATION'!$D$17:$D$149,AX$18)</f>
        <v>0</v>
      </c>
      <c r="AY37" s="281">
        <f>SUMIFS('6. OPERATION'!$R$17:$R$149,'6. OPERATION'!$B$17:$B$149,$B37,'6. OPERATION'!$G$17:$G$149,"TRAVEL",'6. OPERATION'!$D$17:$D$149,AY$18)</f>
        <v>0</v>
      </c>
      <c r="AZ37" s="281">
        <f>SUMIFS('6. OPERATION'!$R$17:$R$149,'6. OPERATION'!$B$17:$B$149,$B37,'6. OPERATION'!$G$17:$G$149,"TRAVEL",'6. OPERATION'!$D$17:$D$149,AZ$18)</f>
        <v>0</v>
      </c>
      <c r="BA37" s="281">
        <f>SUMIFS('6. OPERATION'!$R$17:$R$149,'6. OPERATION'!$B$17:$B$149,$B37,'6. OPERATION'!$G$17:$G$149,"TRAVEL",'6. OPERATION'!$D$17:$D$149,BA$18)</f>
        <v>0</v>
      </c>
      <c r="BB37" s="281">
        <f>SUMIFS('6. OPERATION'!$R$17:$R$149,'6. OPERATION'!$B$17:$B$149,$B37,'6. OPERATION'!$G$17:$G$149,"TRAVEL",'6. OPERATION'!$D$17:$D$149,BB$18)</f>
        <v>0</v>
      </c>
      <c r="BC37" s="281">
        <f>SUMIFS('6. OPERATION'!$R$17:$R$149,'6. OPERATION'!$B$17:$B$149,$B37,'6. OPERATION'!$G$17:$G$149,"TRAVEL",'6. OPERATION'!$D$17:$D$149,BC$18)</f>
        <v>0</v>
      </c>
      <c r="BD37" s="281">
        <f>SUMIFS('6. OPERATION'!$R$17:$R$149,'6. OPERATION'!$B$17:$B$149,$B37,'6. OPERATION'!$G$17:$G$149,"TRAVEL",'6. OPERATION'!$D$17:$D$149,BD$18)</f>
        <v>0</v>
      </c>
      <c r="BE37" s="281">
        <f>SUMIFS('6. OPERATION'!$R$17:$R$149,'6. OPERATION'!$B$17:$B$149,$B37,'6. OPERATION'!$G$17:$G$149,"TRAVEL",'6. OPERATION'!$D$17:$D$149,BE$18)</f>
        <v>0</v>
      </c>
      <c r="BF37" s="281">
        <f>SUMIFS('6. OPERATION'!$R$17:$R$149,'6. OPERATION'!$B$17:$B$149,$B37,'6. OPERATION'!$G$17:$G$149,"TRAVEL",'6. OPERATION'!$D$17:$D$149,BF$18)</f>
        <v>0</v>
      </c>
      <c r="BG37" s="281">
        <f>SUMIFS('6. OPERATION'!$R$17:$R$149,'6. OPERATION'!$B$17:$B$149,$B37,'6. OPERATION'!$G$17:$G$149,"TRAVEL",'6. OPERATION'!$D$17:$D$149,BG$18)</f>
        <v>0</v>
      </c>
      <c r="BH37" s="281">
        <f>SUMIFS('6. OPERATION'!$R$17:$R$149,'6. OPERATION'!$B$17:$B$149,$B37,'6. OPERATION'!$G$17:$G$149,"TRAVEL",'6. OPERATION'!$D$17:$D$149,BH$18)</f>
        <v>0</v>
      </c>
      <c r="BI37" s="281">
        <f>SUMIFS('6. OPERATION'!$R$17:$R$149,'6. OPERATION'!$B$17:$B$149,$B37,'6. OPERATION'!$G$17:$G$149,"TRAVEL",'6. OPERATION'!$D$17:$D$149,BI$18)</f>
        <v>0</v>
      </c>
      <c r="BJ37" s="281">
        <f>SUMIFS('6. OPERATION'!$R$17:$R$149,'6. OPERATION'!$B$17:$B$149,$B37,'6. OPERATION'!$G$17:$G$149,"TRAVEL",'6. OPERATION'!$D$17:$D$149,BJ$18)</f>
        <v>0</v>
      </c>
      <c r="BK37" s="281">
        <f>SUMIFS('6. OPERATION'!$R$17:$R$149,'6. OPERATION'!$B$17:$B$149,$B37,'6. OPERATION'!$G$17:$G$149,"TRAVEL",'6. OPERATION'!$D$17:$D$149,BK$18)</f>
        <v>0</v>
      </c>
      <c r="BL37" s="281">
        <f>SUMIFS('6. OPERATION'!$R$17:$R$149,'6. OPERATION'!$B$17:$B$149,$B37,'6. OPERATION'!$G$17:$G$149,"TRAVEL",'6. OPERATION'!$D$17:$D$149,BL$18)</f>
        <v>0</v>
      </c>
      <c r="BM37" s="281">
        <f>SUMIFS('6. OPERATION'!$R$17:$R$149,'6. OPERATION'!$B$17:$B$149,$B37,'6. OPERATION'!$G$17:$G$149,"TRAVEL",'6. OPERATION'!$D$17:$D$149,BM$18)</f>
        <v>0</v>
      </c>
      <c r="BN37" s="281">
        <f>SUMIF('7. INVEST'!B$17:B$49,B37,'7. INVEST'!S$17:S$49)</f>
        <v>0</v>
      </c>
      <c r="BO37" s="281">
        <f>SUMIFS('7. INVEST'!$S$17:$S$49,'7. INVEST'!$B$17:$B$49,$B37,'7. INVEST'!$D$17:$D$49,BO$18)</f>
        <v>0</v>
      </c>
      <c r="BP37" s="281">
        <f>SUMIFS('7. INVEST'!$S$17:$S$49,'7. INVEST'!$B$17:$B$49,$B37,'7. INVEST'!$D$17:$D$49,BP$18)</f>
        <v>0</v>
      </c>
      <c r="BQ37" s="281">
        <f>SUMIFS('7. INVEST'!$S$17:$S$49,'7. INVEST'!$B$17:$B$49,$B37,'7. INVEST'!$D$17:$D$49,BQ$18)</f>
        <v>0</v>
      </c>
      <c r="BR37" s="281">
        <f>SUMIFS('7. INVEST'!$S$17:$S$49,'7. INVEST'!$B$17:$B$49,$B37,'7. INVEST'!$D$17:$D$49,BR$18)</f>
        <v>0</v>
      </c>
      <c r="BS37" s="281">
        <f>SUMIFS('7. INVEST'!$S$17:$S$49,'7. INVEST'!$B$17:$B$49,$B37,'7. INVEST'!$D$17:$D$49,BS$18)</f>
        <v>0</v>
      </c>
      <c r="BT37" s="281">
        <f>SUMIFS('7. INVEST'!$S$17:$S$49,'7. INVEST'!$B$17:$B$49,$B37,'7. INVEST'!$D$17:$D$49,BT$18)</f>
        <v>0</v>
      </c>
      <c r="BU37" s="281">
        <f>SUMIFS('7. INVEST'!$S$17:$S$49,'7. INVEST'!$B$17:$B$49,$B37,'7. INVEST'!$D$17:$D$49,BU$18)</f>
        <v>0</v>
      </c>
      <c r="BV37" s="281">
        <f>SUMIFS('7. INVEST'!$S$17:$S$49,'7. INVEST'!$B$17:$B$49,$B37,'7. INVEST'!$D$17:$D$49,BV$18)</f>
        <v>0</v>
      </c>
      <c r="BW37" s="281">
        <f>SUMIFS('7. INVEST'!$S$17:$S$49,'7. INVEST'!$B$17:$B$49,$B37,'7. INVEST'!$D$17:$D$49,BW$18)</f>
        <v>0</v>
      </c>
      <c r="BX37" s="281">
        <f>SUMIFS('7. INVEST'!$S$17:$S$49,'7. INVEST'!$B$17:$B$49,$B37,'7. INVEST'!$D$17:$D$49,BX$18)</f>
        <v>0</v>
      </c>
      <c r="BY37" s="281">
        <f>SUMIFS('7. INVEST'!$S$17:$S$49,'7. INVEST'!$B$17:$B$49,$B37,'7. INVEST'!$D$17:$D$49,BY$18)</f>
        <v>0</v>
      </c>
      <c r="BZ37" s="281">
        <f>SUMIFS('7. INVEST'!$S$17:$S$49,'7. INVEST'!$B$17:$B$49,$B37,'7. INVEST'!$D$17:$D$49,BZ$18)</f>
        <v>0</v>
      </c>
      <c r="CA37" s="281">
        <f>SUMIFS('7. INVEST'!$S$17:$S$49,'7. INVEST'!$B$17:$B$49,$B37,'7. INVEST'!$D$17:$D$49,CA$18)</f>
        <v>0</v>
      </c>
      <c r="CB37" s="281">
        <f>SUMIFS('7. INVEST'!$S$17:$S$49,'7. INVEST'!$B$17:$B$49,$B37,'7. INVEST'!$D$17:$D$49,CB$18)</f>
        <v>0</v>
      </c>
      <c r="CC37" s="281">
        <f>SUMIFS('7. INVEST'!$S$17:$S$49,'7. INVEST'!$B$17:$B$49,$B37,'7. INVEST'!$D$17:$D$49,CC$18)</f>
        <v>0</v>
      </c>
      <c r="CD37" s="281">
        <f>SUMIFS('7. INVEST'!$S$17:$S$49,'7. INVEST'!$B$17:$B$49,$B37,'7. INVEST'!$D$17:$D$49,CD$18)</f>
        <v>0</v>
      </c>
      <c r="CE37" s="281">
        <f>SUMIFS('7. INVEST'!$S$17:$S$49,'7. INVEST'!$B$17:$B$49,$B37,'7. INVEST'!$D$17:$D$49,CE$18)</f>
        <v>0</v>
      </c>
      <c r="CF37" s="281">
        <f>SUMIFS('7. INVEST'!$S$17:$S$49,'7. INVEST'!$B$17:$B$49,$B37,'7. INVEST'!$D$17:$D$49,CF$18)</f>
        <v>0</v>
      </c>
      <c r="CG37" s="281">
        <f>SUMIFS('7. INVEST'!$S$17:$S$49,'7. INVEST'!$B$17:$B$49,$B37,'7. INVEST'!$D$17:$D$49,CG$18)</f>
        <v>0</v>
      </c>
      <c r="CH37" s="281">
        <f>SUMIFS('7. INVEST'!$S$17:$S$49,'7. INVEST'!$B$17:$B$49,$B37,'7. INVEST'!$D$17:$D$49,CH$18)</f>
        <v>0</v>
      </c>
      <c r="CI37" s="281">
        <f>SUMIFS('6. OPERATION'!$R$17:$R$149,'6. OPERATION'!$B$17:$B$149,$B37,'6. OPERATION'!$G$17:$G$149,"OTHER")+SUMIF('8. FACILIT'!$B$18:$B$50,$B37,'8. FACILIT'!$P$18:$P$50)</f>
        <v>0</v>
      </c>
      <c r="CJ37" s="281">
        <f>SUMIFS('6. OPERATION'!$R$17:$R$149,'6. OPERATION'!$B$17:$B$149,$B37,'6. OPERATION'!$G$17:$G$149,"OTHER",'6. OPERATION'!$D$17:$D$149,CJ$18)+SUMIFS('8. FACILIT'!$P$18:$P$50,'8. FACILIT'!$B$18:$B$50,$B37,'8. FACILIT'!$D$18:$D$50,CJ$18)</f>
        <v>0</v>
      </c>
      <c r="CK37" s="281">
        <f>SUMIFS('6. OPERATION'!$R$17:$R$149,'6. OPERATION'!$B$17:$B$149,$B37,'6. OPERATION'!$G$17:$G$149,"OTHER",'6. OPERATION'!$D$17:$D$149,CK$18)+SUMIFS('8. FACILIT'!$P$18:$P$50,'8. FACILIT'!$B$18:$B$50,$B37,'8. FACILIT'!$D$18:$D$50,CK$18)</f>
        <v>0</v>
      </c>
      <c r="CL37" s="281">
        <f>SUMIFS('6. OPERATION'!$R$17:$R$149,'6. OPERATION'!$B$17:$B$149,$B37,'6. OPERATION'!$G$17:$G$149,"OTHER",'6. OPERATION'!$D$17:$D$149,CL$18)+SUMIFS('8. FACILIT'!$P$18:$P$50,'8. FACILIT'!$B$18:$B$50,$B37,'8. FACILIT'!$D$18:$D$50,CL$18)</f>
        <v>0</v>
      </c>
      <c r="CM37" s="281">
        <f>SUMIFS('6. OPERATION'!$R$17:$R$149,'6. OPERATION'!$B$17:$B$149,$B37,'6. OPERATION'!$G$17:$G$149,"OTHER",'6. OPERATION'!$D$17:$D$149,CM$18)+SUMIFS('8. FACILIT'!$P$18:$P$50,'8. FACILIT'!$B$18:$B$50,$B37,'8. FACILIT'!$D$18:$D$50,CM$18)</f>
        <v>0</v>
      </c>
      <c r="CN37" s="281">
        <f>SUMIFS('6. OPERATION'!$R$17:$R$149,'6. OPERATION'!$B$17:$B$149,$B37,'6. OPERATION'!$G$17:$G$149,"OTHER",'6. OPERATION'!$D$17:$D$149,CN$18)+SUMIFS('8. FACILIT'!$P$18:$P$50,'8. FACILIT'!$B$18:$B$50,$B37,'8. FACILIT'!$D$18:$D$50,CN$18)</f>
        <v>0</v>
      </c>
      <c r="CO37" s="281">
        <f>SUMIFS('6. OPERATION'!$R$17:$R$149,'6. OPERATION'!$B$17:$B$149,$B37,'6. OPERATION'!$G$17:$G$149,"OTHER",'6. OPERATION'!$D$17:$D$149,CO$18)+SUMIFS('8. FACILIT'!$P$18:$P$50,'8. FACILIT'!$B$18:$B$50,$B37,'8. FACILIT'!$D$18:$D$50,CO$18)</f>
        <v>0</v>
      </c>
      <c r="CP37" s="281">
        <f>SUMIFS('6. OPERATION'!$R$17:$R$149,'6. OPERATION'!$B$17:$B$149,$B37,'6. OPERATION'!$G$17:$G$149,"OTHER",'6. OPERATION'!$D$17:$D$149,CP$18)+SUMIFS('8. FACILIT'!$P$18:$P$50,'8. FACILIT'!$B$18:$B$50,$B37,'8. FACILIT'!$D$18:$D$50,CP$18)</f>
        <v>0</v>
      </c>
      <c r="CQ37" s="281">
        <f>SUMIFS('6. OPERATION'!$R$17:$R$149,'6. OPERATION'!$B$17:$B$149,$B37,'6. OPERATION'!$G$17:$G$149,"OTHER",'6. OPERATION'!$D$17:$D$149,CQ$18)+SUMIFS('8. FACILIT'!$P$18:$P$50,'8. FACILIT'!$B$18:$B$50,$B37,'8. FACILIT'!$D$18:$D$50,CQ$18)</f>
        <v>0</v>
      </c>
      <c r="CR37" s="281">
        <f>SUMIFS('6. OPERATION'!$R$17:$R$149,'6. OPERATION'!$B$17:$B$149,$B37,'6. OPERATION'!$G$17:$G$149,"OTHER",'6. OPERATION'!$D$17:$D$149,CR$18)+SUMIFS('8. FACILIT'!$P$18:$P$50,'8. FACILIT'!$B$18:$B$50,$B37,'8. FACILIT'!$D$18:$D$50,CR$18)</f>
        <v>0</v>
      </c>
      <c r="CS37" s="281">
        <f>SUMIFS('6. OPERATION'!$R$17:$R$149,'6. OPERATION'!$B$17:$B$149,$B37,'6. OPERATION'!$G$17:$G$149,"OTHER",'6. OPERATION'!$D$17:$D$149,CS$18)+SUMIFS('8. FACILIT'!$P$18:$P$50,'8. FACILIT'!$B$18:$B$50,$B37,'8. FACILIT'!$D$18:$D$50,CS$18)</f>
        <v>0</v>
      </c>
      <c r="CT37" s="281">
        <f>SUMIFS('6. OPERATION'!$R$17:$R$149,'6. OPERATION'!$B$17:$B$149,$B37,'6. OPERATION'!$G$17:$G$149,"OTHER",'6. OPERATION'!$D$17:$D$149,CT$18)+SUMIFS('8. FACILIT'!$P$18:$P$50,'8. FACILIT'!$B$18:$B$50,$B37,'8. FACILIT'!$D$18:$D$50,CT$18)</f>
        <v>0</v>
      </c>
      <c r="CU37" s="281">
        <f>SUMIFS('6. OPERATION'!$R$17:$R$149,'6. OPERATION'!$B$17:$B$149,$B37,'6. OPERATION'!$G$17:$G$149,"OTHER",'6. OPERATION'!$D$17:$D$149,CU$18)+SUMIFS('8. FACILIT'!$P$18:$P$50,'8. FACILIT'!$B$18:$B$50,$B37,'8. FACILIT'!$D$18:$D$50,CU$18)</f>
        <v>0</v>
      </c>
      <c r="CV37" s="281">
        <f>SUMIFS('6. OPERATION'!$R$17:$R$149,'6. OPERATION'!$B$17:$B$149,$B37,'6. OPERATION'!$G$17:$G$149,"OTHER",'6. OPERATION'!$D$17:$D$149,CV$18)+SUMIFS('8. FACILIT'!$P$18:$P$50,'8. FACILIT'!$B$18:$B$50,$B37,'8. FACILIT'!$D$18:$D$50,CV$18)</f>
        <v>0</v>
      </c>
      <c r="CW37" s="281">
        <f>SUMIFS('6. OPERATION'!$R$17:$R$149,'6. OPERATION'!$B$17:$B$149,$B37,'6. OPERATION'!$G$17:$G$149,"OTHER",'6. OPERATION'!$D$17:$D$149,CW$18)+SUMIFS('8. FACILIT'!$P$18:$P$50,'8. FACILIT'!$B$18:$B$50,$B37,'8. FACILIT'!$D$18:$D$50,CW$18)</f>
        <v>0</v>
      </c>
      <c r="CX37" s="281">
        <f>SUMIFS('6. OPERATION'!$R$17:$R$149,'6. OPERATION'!$B$17:$B$149,$B37,'6. OPERATION'!$G$17:$G$149,"OTHER",'6. OPERATION'!$D$17:$D$149,CX$18)+SUMIFS('8. FACILIT'!$P$18:$P$50,'8. FACILIT'!$B$18:$B$50,$B37,'8. FACILIT'!$D$18:$D$50,CX$18)</f>
        <v>0</v>
      </c>
      <c r="CY37" s="281">
        <f>SUMIFS('6. OPERATION'!$R$17:$R$149,'6. OPERATION'!$B$17:$B$149,$B37,'6. OPERATION'!$G$17:$G$149,"OTHER",'6. OPERATION'!$D$17:$D$149,CY$18)+SUMIFS('8. FACILIT'!$P$18:$P$50,'8. FACILIT'!$B$18:$B$50,$B37,'8. FACILIT'!$D$18:$D$50,CY$18)</f>
        <v>0</v>
      </c>
      <c r="CZ37" s="281">
        <f>SUMIFS('6. OPERATION'!$R$17:$R$149,'6. OPERATION'!$B$17:$B$149,$B37,'6. OPERATION'!$G$17:$G$149,"OTHER",'6. OPERATION'!$D$17:$D$149,CZ$18)+SUMIFS('8. FACILIT'!$P$18:$P$50,'8. FACILIT'!$B$18:$B$50,$B37,'8. FACILIT'!$D$18:$D$50,CZ$18)</f>
        <v>0</v>
      </c>
      <c r="DA37" s="281">
        <f>SUMIFS('6. OPERATION'!$R$17:$R$149,'6. OPERATION'!$B$17:$B$149,$B37,'6. OPERATION'!$G$17:$G$149,"OTHER",'6. OPERATION'!$D$17:$D$149,DA$18)+SUMIFS('8. FACILIT'!$P$18:$P$50,'8. FACILIT'!$B$18:$B$50,$B37,'8. FACILIT'!$D$18:$D$50,DA$18)</f>
        <v>0</v>
      </c>
      <c r="DB37" s="281">
        <f>SUMIFS('6. OPERATION'!$R$17:$R$149,'6. OPERATION'!$B$17:$B$149,$B37,'6. OPERATION'!$G$17:$G$149,"OTHER",'6. OPERATION'!$D$17:$D$149,DB$18)+SUMIFS('8. FACILIT'!$P$18:$P$50,'8. FACILIT'!$B$18:$B$50,$B37,'8. FACILIT'!$D$18:$D$50,DB$18)</f>
        <v>0</v>
      </c>
      <c r="DC37" s="281">
        <f>SUMIFS('6. OPERATION'!$R$17:$R$149,'6. OPERATION'!$B$17:$B$149,$B37,'6. OPERATION'!$G$17:$G$149,"OTHER",'6. OPERATION'!$D$17:$D$149,DC$18)+SUMIFS('8. FACILIT'!$P$18:$P$50,'8. FACILIT'!$B$18:$B$50,$B37,'8. FACILIT'!$D$18:$D$50,DC$18)</f>
        <v>0</v>
      </c>
      <c r="DD37" s="281">
        <f>SUMIFS('6. OPERATION'!R$17:R$149,'6. OPERATION'!B$17:B$149,B37,'6. OPERATION'!G$17:G$149,"INTERN")</f>
        <v>0</v>
      </c>
      <c r="DE37" s="281">
        <f>SUMIFS('6. OPERATION'!$R$17:$R$149,'6. OPERATION'!$B$17:$B$149,$B37,'6. OPERATION'!$G$17:$G$149,"INTERN",'6. OPERATION'!$D$17:$D$149,DE$18)</f>
        <v>0</v>
      </c>
      <c r="DF37" s="281">
        <f>SUMIFS('6. OPERATION'!$R$17:$R$149,'6. OPERATION'!$B$17:$B$149,$B37,'6. OPERATION'!$G$17:$G$149,"INTERN",'6. OPERATION'!$D$17:$D$149,DF$18)</f>
        <v>0</v>
      </c>
      <c r="DG37" s="281">
        <f>SUMIFS('6. OPERATION'!$R$17:$R$149,'6. OPERATION'!$B$17:$B$149,$B37,'6. OPERATION'!$G$17:$G$149,"INTERN",'6. OPERATION'!$D$17:$D$149,DG$18)</f>
        <v>0</v>
      </c>
      <c r="DH37" s="281">
        <f>SUMIFS('6. OPERATION'!$R$17:$R$149,'6. OPERATION'!$B$17:$B$149,$B37,'6. OPERATION'!$G$17:$G$149,"INTERN",'6. OPERATION'!$D$17:$D$149,DH$18)</f>
        <v>0</v>
      </c>
      <c r="DI37" s="281">
        <f>SUMIFS('6. OPERATION'!$R$17:$R$149,'6. OPERATION'!$B$17:$B$149,$B37,'6. OPERATION'!$G$17:$G$149,"INTERN",'6. OPERATION'!$D$17:$D$149,DI$18)</f>
        <v>0</v>
      </c>
      <c r="DJ37" s="281">
        <f>SUMIFS('6. OPERATION'!$R$17:$R$149,'6. OPERATION'!$B$17:$B$149,$B37,'6. OPERATION'!$G$17:$G$149,"INTERN",'6. OPERATION'!$D$17:$D$149,DJ$18)</f>
        <v>0</v>
      </c>
      <c r="DK37" s="281">
        <f>SUMIFS('6. OPERATION'!$R$17:$R$149,'6. OPERATION'!$B$17:$B$149,$B37,'6. OPERATION'!$G$17:$G$149,"INTERN",'6. OPERATION'!$D$17:$D$149,DK$18)</f>
        <v>0</v>
      </c>
      <c r="DL37" s="281">
        <f>SUMIFS('6. OPERATION'!$R$17:$R$149,'6. OPERATION'!$B$17:$B$149,$B37,'6. OPERATION'!$G$17:$G$149,"INTERN",'6. OPERATION'!$D$17:$D$149,DL$18)</f>
        <v>0</v>
      </c>
      <c r="DM37" s="281">
        <f>SUMIFS('6. OPERATION'!$R$17:$R$149,'6. OPERATION'!$B$17:$B$149,$B37,'6. OPERATION'!$G$17:$G$149,"INTERN",'6. OPERATION'!$D$17:$D$149,DM$18)</f>
        <v>0</v>
      </c>
      <c r="DN37" s="281">
        <f>SUMIFS('6. OPERATION'!$R$17:$R$149,'6. OPERATION'!$B$17:$B$149,$B37,'6. OPERATION'!$G$17:$G$149,"INTERN",'6. OPERATION'!$D$17:$D$149,DN$18)</f>
        <v>0</v>
      </c>
      <c r="DO37" s="281">
        <f>SUMIFS('6. OPERATION'!$R$17:$R$149,'6. OPERATION'!$B$17:$B$149,$B37,'6. OPERATION'!$G$17:$G$149,"INTERN",'6. OPERATION'!$D$17:$D$149,DO$18)</f>
        <v>0</v>
      </c>
      <c r="DP37" s="281">
        <f>SUMIFS('6. OPERATION'!$R$17:$R$149,'6. OPERATION'!$B$17:$B$149,$B37,'6. OPERATION'!$G$17:$G$149,"INTERN",'6. OPERATION'!$D$17:$D$149,DP$18)</f>
        <v>0</v>
      </c>
      <c r="DQ37" s="281">
        <f>SUMIFS('6. OPERATION'!$R$17:$R$149,'6. OPERATION'!$B$17:$B$149,$B37,'6. OPERATION'!$G$17:$G$149,"INTERN",'6. OPERATION'!$D$17:$D$149,DQ$18)</f>
        <v>0</v>
      </c>
      <c r="DR37" s="281">
        <f>SUMIFS('6. OPERATION'!$R$17:$R$149,'6. OPERATION'!$B$17:$B$149,$B37,'6. OPERATION'!$G$17:$G$149,"INTERN",'6. OPERATION'!$D$17:$D$149,DR$18)</f>
        <v>0</v>
      </c>
      <c r="DS37" s="281">
        <f>SUMIFS('6. OPERATION'!$R$17:$R$149,'6. OPERATION'!$B$17:$B$149,$B37,'6. OPERATION'!$G$17:$G$149,"INTERN",'6. OPERATION'!$D$17:$D$149,DS$18)</f>
        <v>0</v>
      </c>
      <c r="DT37" s="281">
        <f>SUMIFS('6. OPERATION'!$R$17:$R$149,'6. OPERATION'!$B$17:$B$149,$B37,'6. OPERATION'!$G$17:$G$149,"INTERN",'6. OPERATION'!$D$17:$D$149,DT$18)</f>
        <v>0</v>
      </c>
      <c r="DU37" s="281">
        <f>SUMIFS('6. OPERATION'!$R$17:$R$149,'6. OPERATION'!$B$17:$B$149,$B37,'6. OPERATION'!$G$17:$G$149,"INTERN",'6. OPERATION'!$D$17:$D$149,DU$18)</f>
        <v>0</v>
      </c>
      <c r="DV37" s="281">
        <f>SUMIFS('6. OPERATION'!$R$17:$R$149,'6. OPERATION'!$B$17:$B$149,$B37,'6. OPERATION'!$G$17:$G$149,"INTERN",'6. OPERATION'!$D$17:$D$149,DV$18)</f>
        <v>0</v>
      </c>
      <c r="DW37" s="281">
        <f>SUMIFS('6. OPERATION'!$R$17:$R$149,'6. OPERATION'!$B$17:$B$149,$B37,'6. OPERATION'!$G$17:$G$149,"INTERN",'6. OPERATION'!$D$17:$D$149,DW$18)</f>
        <v>0</v>
      </c>
      <c r="DX37" s="281">
        <f>SUMIFS('6. OPERATION'!$R$17:$R$149,'6. OPERATION'!$B$17:$B$149,$B37,'6. OPERATION'!$G$17:$G$149,"INTERN",'6. OPERATION'!$D$17:$D$149,DX$18)</f>
        <v>0</v>
      </c>
      <c r="DY37" s="288">
        <f>(C37+AS37+BN37+CI37)*'2. START'!$C$12</f>
        <v>0</v>
      </c>
      <c r="DZ37" s="288">
        <f>(D37+AT37+BO37+CJ37)*'2. START'!$C$12</f>
        <v>0</v>
      </c>
      <c r="EA37" s="288">
        <f>(E37+AU37+BP37+CK37)*'2. START'!$C$12</f>
        <v>0</v>
      </c>
      <c r="EB37" s="288">
        <f>(F37+AV37+BQ37+CL37)*'2. START'!$C$12</f>
        <v>0</v>
      </c>
      <c r="EC37" s="288">
        <f>(G37+AW37+BR37+CM37)*'2. START'!$C$12</f>
        <v>0</v>
      </c>
      <c r="ED37" s="288">
        <f>(H37+AX37+BS37+CN37)*'2. START'!$C$12</f>
        <v>0</v>
      </c>
      <c r="EE37" s="288">
        <f>(I37+AY37+BT37+CO37)*'2. START'!$C$12</f>
        <v>0</v>
      </c>
      <c r="EF37" s="288">
        <f>(J37+AZ37+BU37+CP37)*'2. START'!$C$12</f>
        <v>0</v>
      </c>
      <c r="EG37" s="288">
        <f>(K37+BA37+BV37+CQ37)*'2. START'!$C$12</f>
        <v>0</v>
      </c>
      <c r="EH37" s="288">
        <f>(L37+BB37+BW37+CR37)*'2. START'!$C$12</f>
        <v>0</v>
      </c>
      <c r="EI37" s="288">
        <f>(M37+BC37+BX37+CS37)*'2. START'!$C$12</f>
        <v>0</v>
      </c>
      <c r="EJ37" s="288">
        <f>(N37+BD37+BY37+CT37)*'2. START'!$C$12</f>
        <v>0</v>
      </c>
      <c r="EK37" s="288">
        <f>(O37+BE37+BZ37+CU37)*'2. START'!$C$12</f>
        <v>0</v>
      </c>
      <c r="EL37" s="288">
        <f>(P37+BF37+CA37+CV37)*'2. START'!$C$12</f>
        <v>0</v>
      </c>
      <c r="EM37" s="288">
        <f>(Q37+BG37+CB37+CW37)*'2. START'!$C$12</f>
        <v>0</v>
      </c>
      <c r="EN37" s="288">
        <f>(R37+BH37+CC37+CX37)*'2. START'!$C$12</f>
        <v>0</v>
      </c>
      <c r="EO37" s="288">
        <f>(S37+BI37+CD37+CY37)*'2. START'!$C$12</f>
        <v>0</v>
      </c>
      <c r="EP37" s="288">
        <f>(T37+BJ37+CE37+CZ37)*'2. START'!$C$12</f>
        <v>0</v>
      </c>
      <c r="EQ37" s="288">
        <f>(U37+BK37+CF37+DA37)*'2. START'!$C$12</f>
        <v>0</v>
      </c>
      <c r="ER37" s="288">
        <f>(V37+BL37+CG37+DB37)*'2. START'!$C$12</f>
        <v>0</v>
      </c>
      <c r="ES37" s="288">
        <f>(W37+BM37+CH37+DC37)*'2. START'!$C$12</f>
        <v>0</v>
      </c>
      <c r="ET37" s="105">
        <f t="shared" si="4"/>
        <v>0</v>
      </c>
      <c r="EU37" s="105">
        <f t="shared" si="5"/>
        <v>0</v>
      </c>
      <c r="EV37" s="105">
        <f t="shared" si="6"/>
        <v>0</v>
      </c>
      <c r="EW37" s="105">
        <f t="shared" si="7"/>
        <v>0</v>
      </c>
      <c r="EX37" s="105">
        <f t="shared" si="8"/>
        <v>0</v>
      </c>
      <c r="EY37" s="105">
        <f t="shared" si="9"/>
        <v>0</v>
      </c>
      <c r="EZ37" s="105">
        <f t="shared" si="10"/>
        <v>0</v>
      </c>
      <c r="FA37" s="105">
        <f t="shared" si="11"/>
        <v>0</v>
      </c>
      <c r="FB37" s="105">
        <f t="shared" si="12"/>
        <v>0</v>
      </c>
      <c r="FC37" s="105">
        <f t="shared" si="13"/>
        <v>0</v>
      </c>
      <c r="FD37" s="105">
        <f t="shared" si="14"/>
        <v>0</v>
      </c>
      <c r="FE37" s="105">
        <f t="shared" si="18"/>
        <v>0</v>
      </c>
      <c r="FF37" s="105">
        <f t="shared" si="19"/>
        <v>0</v>
      </c>
      <c r="FG37" s="105">
        <f t="shared" si="20"/>
        <v>0</v>
      </c>
      <c r="FH37" s="105">
        <f t="shared" si="21"/>
        <v>0</v>
      </c>
      <c r="FI37" s="105">
        <f t="shared" si="22"/>
        <v>0</v>
      </c>
      <c r="FJ37" s="105">
        <f t="shared" si="23"/>
        <v>0</v>
      </c>
      <c r="FK37" s="105">
        <f t="shared" si="24"/>
        <v>0</v>
      </c>
      <c r="FL37" s="105">
        <f t="shared" si="25"/>
        <v>0</v>
      </c>
      <c r="FM37" s="105">
        <f t="shared" si="26"/>
        <v>0</v>
      </c>
      <c r="FN37" s="105">
        <f t="shared" si="27"/>
        <v>0</v>
      </c>
      <c r="FO37" s="273" t="str">
        <f t="shared" si="17"/>
        <v/>
      </c>
      <c r="FP37" s="105">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943">
        <f t="shared" si="16"/>
        <v>0</v>
      </c>
      <c r="FR37" s="940">
        <f>SUMIFS('5. PERSON'!$AE$17:$AE$192,'5. PERSON'!$B$17:$B$192,'14. EUFP'!$B37,'5. PERSON'!$D$17:$D$192,FR$18)</f>
        <v>0</v>
      </c>
      <c r="FS37" s="940">
        <f>SUMIFS('5. PERSON'!$AE$17:$AE$192,'5. PERSON'!$B$17:$B$192,'14. EUFP'!$B37,'5. PERSON'!$D$17:$D$192,FS$18)</f>
        <v>0</v>
      </c>
      <c r="FT37" s="940">
        <f>SUMIFS('5. PERSON'!$AE$17:$AE$192,'5. PERSON'!$B$17:$B$192,'14. EUFP'!$B37,'5. PERSON'!$D$17:$D$192,FT$18)</f>
        <v>0</v>
      </c>
      <c r="FU37" s="940">
        <f>SUMIFS('5. PERSON'!$AE$17:$AE$192,'5. PERSON'!$B$17:$B$192,'14. EUFP'!$B37,'5. PERSON'!$D$17:$D$192,FU$18)</f>
        <v>0</v>
      </c>
      <c r="FV37" s="940">
        <f>SUMIFS('5. PERSON'!$AE$17:$AE$192,'5. PERSON'!$B$17:$B$192,'14. EUFP'!$B37,'5. PERSON'!$D$17:$D$192,FV$18)</f>
        <v>0</v>
      </c>
      <c r="FW37" s="940">
        <f>SUMIFS('5. PERSON'!$AE$17:$AE$192,'5. PERSON'!$B$17:$B$192,'14. EUFP'!$B37,'5. PERSON'!$D$17:$D$192,FW$18)</f>
        <v>0</v>
      </c>
      <c r="FX37" s="940">
        <f>SUMIFS('5. PERSON'!$AE$17:$AE$192,'5. PERSON'!$B$17:$B$192,'14. EUFP'!$B37,'5. PERSON'!$D$17:$D$192,FX$18)</f>
        <v>0</v>
      </c>
      <c r="FY37" s="940">
        <f>SUMIFS('5. PERSON'!$AE$17:$AE$192,'5. PERSON'!$B$17:$B$192,'14. EUFP'!$B37,'5. PERSON'!$D$17:$D$192,FY$18)</f>
        <v>0</v>
      </c>
      <c r="FZ37" s="940">
        <f>SUMIFS('5. PERSON'!$AE$17:$AE$192,'5. PERSON'!$B$17:$B$192,'14. EUFP'!$B37,'5. PERSON'!$D$17:$D$192,FZ$18)</f>
        <v>0</v>
      </c>
      <c r="GA37" s="940">
        <f>SUMIFS('5. PERSON'!$AE$17:$AE$192,'5. PERSON'!$B$17:$B$192,'14. EUFP'!$B37,'5. PERSON'!$D$17:$D$192,GA$18)</f>
        <v>0</v>
      </c>
      <c r="GB37" s="940">
        <f>SUMIFS('5. PERSON'!$AE$17:$AE$192,'5. PERSON'!$B$17:$B$192,'14. EUFP'!$B37,'5. PERSON'!$D$17:$D$192,GB$18)</f>
        <v>0</v>
      </c>
      <c r="GC37" s="940">
        <f>SUMIFS('5. PERSON'!$AE$17:$AE$192,'5. PERSON'!$B$17:$B$192,'14. EUFP'!$B37,'5. PERSON'!$D$17:$D$192,GC$18)</f>
        <v>0</v>
      </c>
      <c r="GD37" s="940">
        <f>SUMIFS('5. PERSON'!$AE$17:$AE$192,'5. PERSON'!$B$17:$B$192,'14. EUFP'!$B37,'5. PERSON'!$D$17:$D$192,GD$18)</f>
        <v>0</v>
      </c>
      <c r="GE37" s="940">
        <f>SUMIFS('5. PERSON'!$AE$17:$AE$192,'5. PERSON'!$B$17:$B$192,'14. EUFP'!$B37,'5. PERSON'!$D$17:$D$192,GE$18)</f>
        <v>0</v>
      </c>
      <c r="GF37" s="940">
        <f>SUMIFS('5. PERSON'!$AE$17:$AE$192,'5. PERSON'!$B$17:$B$192,'14. EUFP'!$B37,'5. PERSON'!$D$17:$D$192,GF$18)</f>
        <v>0</v>
      </c>
      <c r="GG37" s="940">
        <f>SUMIFS('5. PERSON'!$AE$17:$AE$192,'5. PERSON'!$B$17:$B$192,'14. EUFP'!$B37,'5. PERSON'!$D$17:$D$192,GG$18)</f>
        <v>0</v>
      </c>
      <c r="GH37" s="940">
        <f>SUMIFS('5. PERSON'!$AE$17:$AE$192,'5. PERSON'!$B$17:$B$192,'14. EUFP'!$B37,'5. PERSON'!$D$17:$D$192,GH$18)</f>
        <v>0</v>
      </c>
      <c r="GI37" s="940">
        <f>SUMIFS('5. PERSON'!$AE$17:$AE$192,'5. PERSON'!$B$17:$B$192,'14. EUFP'!$B37,'5. PERSON'!$D$17:$D$192,GI$18)</f>
        <v>0</v>
      </c>
      <c r="GJ37" s="940">
        <f>SUMIFS('5. PERSON'!$AE$17:$AE$192,'5. PERSON'!$B$17:$B$192,'14. EUFP'!$B37,'5. PERSON'!$D$17:$D$192,GJ$18)</f>
        <v>0</v>
      </c>
      <c r="GK37" s="940">
        <f>SUMIFS('5. PERSON'!$AE$17:$AE$192,'5. PERSON'!$B$17:$B$192,'14. EUFP'!$B37,'5. PERSON'!$D$17:$D$192,GK$18)</f>
        <v>0</v>
      </c>
      <c r="GL37" s="940">
        <f t="shared" si="28"/>
        <v>0</v>
      </c>
    </row>
    <row r="38" spans="2:194" ht="13.5" customHeight="1" x14ac:dyDescent="0.2">
      <c r="B38" s="261" t="str">
        <f>'3. PARTNER'!B65</f>
        <v>EXT115</v>
      </c>
      <c r="C38" s="262">
        <f>SUMIF('5. PERSON'!B$17:B$192,B38,'5. PERSON'!AR$17:AR$192)</f>
        <v>0</v>
      </c>
      <c r="D38" s="262">
        <f>SUMIFS('5. PERSON'!$AR$17:$AR$192,'5. PERSON'!$B$17:$B$192,$B38,'5. PERSON'!$D$17:$D$192,D$18)</f>
        <v>0</v>
      </c>
      <c r="E38" s="262">
        <f>SUMIFS('5. PERSON'!$AR$17:$AR$192,'5. PERSON'!$B$17:$B$192,$B38,'5. PERSON'!$D$17:$D$192,E$18)</f>
        <v>0</v>
      </c>
      <c r="F38" s="262">
        <f>SUMIFS('5. PERSON'!$AR$17:$AR$192,'5. PERSON'!$B$17:$B$192,$B38,'5. PERSON'!$D$17:$D$192,F$18)</f>
        <v>0</v>
      </c>
      <c r="G38" s="262">
        <f>SUMIFS('5. PERSON'!$AR$17:$AR$192,'5. PERSON'!$B$17:$B$192,$B38,'5. PERSON'!$D$17:$D$192,G$18)</f>
        <v>0</v>
      </c>
      <c r="H38" s="262">
        <f>SUMIFS('5. PERSON'!$AR$17:$AR$192,'5. PERSON'!$B$17:$B$192,$B38,'5. PERSON'!$D$17:$D$192,H$18)</f>
        <v>0</v>
      </c>
      <c r="I38" s="262">
        <f>SUMIFS('5. PERSON'!$AR$17:$AR$192,'5. PERSON'!$B$17:$B$192,$B38,'5. PERSON'!$D$17:$D$192,I$18)</f>
        <v>0</v>
      </c>
      <c r="J38" s="262">
        <f>SUMIFS('5. PERSON'!$AR$17:$AR$192,'5. PERSON'!$B$17:$B$192,$B38,'5. PERSON'!$D$17:$D$192,J$18)</f>
        <v>0</v>
      </c>
      <c r="K38" s="262">
        <f>SUMIFS('5. PERSON'!$AR$17:$AR$192,'5. PERSON'!$B$17:$B$192,$B38,'5. PERSON'!$D$17:$D$192,K$18)</f>
        <v>0</v>
      </c>
      <c r="L38" s="262">
        <f>SUMIFS('5. PERSON'!$AR$17:$AR$192,'5. PERSON'!$B$17:$B$192,$B38,'5. PERSON'!$D$17:$D$192,L$18)</f>
        <v>0</v>
      </c>
      <c r="M38" s="262">
        <f>SUMIFS('5. PERSON'!$AR$17:$AR$192,'5. PERSON'!$B$17:$B$192,$B38,'5. PERSON'!$D$17:$D$192,M$18)</f>
        <v>0</v>
      </c>
      <c r="N38" s="262">
        <f>SUMIFS('5. PERSON'!$AR$17:$AR$192,'5. PERSON'!$B$17:$B$192,$B38,'5. PERSON'!$D$17:$D$192,N$18)</f>
        <v>0</v>
      </c>
      <c r="O38" s="262">
        <f>SUMIFS('5. PERSON'!$AR$17:$AR$192,'5. PERSON'!$B$17:$B$192,$B38,'5. PERSON'!$D$17:$D$192,O$18)</f>
        <v>0</v>
      </c>
      <c r="P38" s="262">
        <f>SUMIFS('5. PERSON'!$AR$17:$AR$192,'5. PERSON'!$B$17:$B$192,$B38,'5. PERSON'!$D$17:$D$192,P$18)</f>
        <v>0</v>
      </c>
      <c r="Q38" s="262">
        <f>SUMIFS('5. PERSON'!$AR$17:$AR$192,'5. PERSON'!$B$17:$B$192,$B38,'5. PERSON'!$D$17:$D$192,Q$18)</f>
        <v>0</v>
      </c>
      <c r="R38" s="262">
        <f>SUMIFS('5. PERSON'!$AR$17:$AR$192,'5. PERSON'!$B$17:$B$192,$B38,'5. PERSON'!$D$17:$D$192,R$18)</f>
        <v>0</v>
      </c>
      <c r="S38" s="262">
        <f>SUMIFS('5. PERSON'!$AR$17:$AR$192,'5. PERSON'!$B$17:$B$192,$B38,'5. PERSON'!$D$17:$D$192,S$18)</f>
        <v>0</v>
      </c>
      <c r="T38" s="262">
        <f>SUMIFS('5. PERSON'!$AR$17:$AR$192,'5. PERSON'!$B$17:$B$192,$B38,'5. PERSON'!$D$17:$D$192,T$18)</f>
        <v>0</v>
      </c>
      <c r="U38" s="262">
        <f>SUMIFS('5. PERSON'!$AR$17:$AR$192,'5. PERSON'!$B$17:$B$192,$B38,'5. PERSON'!$D$17:$D$192,U$18)</f>
        <v>0</v>
      </c>
      <c r="V38" s="262">
        <f>SUMIFS('5. PERSON'!$AR$17:$AR$192,'5. PERSON'!$B$17:$B$192,$B38,'5. PERSON'!$D$17:$D$192,V$18)</f>
        <v>0</v>
      </c>
      <c r="W38" s="262">
        <f>SUMIFS('5. PERSON'!$AR$17:$AR$192,'5. PERSON'!$B$17:$B$192,$B38,'5. PERSON'!$D$17:$D$192,W$18)</f>
        <v>0</v>
      </c>
      <c r="X38" s="262">
        <f>SUMIFS('6. OPERATION'!R$17:R$149,'6. OPERATION'!B$17:B$149,B38,'6. OPERATION'!G$17:G$149,"SUBCON")</f>
        <v>0</v>
      </c>
      <c r="Y38" s="262">
        <f>SUMIFS('6. OPERATION'!$R$17:$R$149,'6. OPERATION'!$B$17:$B$149,$B38,'6. OPERATION'!$G$17:$G$149,"SUBCON",'6. OPERATION'!$D$17:$D$149,Y$18)</f>
        <v>0</v>
      </c>
      <c r="Z38" s="262">
        <f>SUMIFS('6. OPERATION'!$R$17:$R$149,'6. OPERATION'!$B$17:$B$149,$B38,'6. OPERATION'!$G$17:$G$149,"SUBCON",'6. OPERATION'!$D$17:$D$149,Z$18)</f>
        <v>0</v>
      </c>
      <c r="AA38" s="262">
        <f>SUMIFS('6. OPERATION'!$R$17:$R$149,'6. OPERATION'!$B$17:$B$149,$B38,'6. OPERATION'!$G$17:$G$149,"SUBCON",'6. OPERATION'!$D$17:$D$149,AA$18)</f>
        <v>0</v>
      </c>
      <c r="AB38" s="262">
        <f>SUMIFS('6. OPERATION'!$R$17:$R$149,'6. OPERATION'!$B$17:$B$149,$B38,'6. OPERATION'!$G$17:$G$149,"SUBCON",'6. OPERATION'!$D$17:$D$149,AB$18)</f>
        <v>0</v>
      </c>
      <c r="AC38" s="262">
        <f>SUMIFS('6. OPERATION'!$R$17:$R$149,'6. OPERATION'!$B$17:$B$149,$B38,'6. OPERATION'!$G$17:$G$149,"SUBCON",'6. OPERATION'!$D$17:$D$149,AC$18)</f>
        <v>0</v>
      </c>
      <c r="AD38" s="262">
        <f>SUMIFS('6. OPERATION'!$R$17:$R$149,'6. OPERATION'!$B$17:$B$149,$B38,'6. OPERATION'!$G$17:$G$149,"SUBCON",'6. OPERATION'!$D$17:$D$149,AD$18)</f>
        <v>0</v>
      </c>
      <c r="AE38" s="262">
        <f>SUMIFS('6. OPERATION'!$R$17:$R$149,'6. OPERATION'!$B$17:$B$149,$B38,'6. OPERATION'!$G$17:$G$149,"SUBCON",'6. OPERATION'!$D$17:$D$149,AE$18)</f>
        <v>0</v>
      </c>
      <c r="AF38" s="262">
        <f>SUMIFS('6. OPERATION'!$R$17:$R$149,'6. OPERATION'!$B$17:$B$149,$B38,'6. OPERATION'!$G$17:$G$149,"SUBCON",'6. OPERATION'!$D$17:$D$149,AF$18)</f>
        <v>0</v>
      </c>
      <c r="AG38" s="262">
        <f>SUMIFS('6. OPERATION'!$R$17:$R$149,'6. OPERATION'!$B$17:$B$149,$B38,'6. OPERATION'!$G$17:$G$149,"SUBCON",'6. OPERATION'!$D$17:$D$149,AG$18)</f>
        <v>0</v>
      </c>
      <c r="AH38" s="262">
        <f>SUMIFS('6. OPERATION'!$R$17:$R$149,'6. OPERATION'!$B$17:$B$149,$B38,'6. OPERATION'!$G$17:$G$149,"SUBCON",'6. OPERATION'!$D$17:$D$149,AH$18)</f>
        <v>0</v>
      </c>
      <c r="AI38" s="262">
        <f>SUMIFS('6. OPERATION'!$R$17:$R$149,'6. OPERATION'!$B$17:$B$149,$B38,'6. OPERATION'!$G$17:$G$149,"SUBCON",'6. OPERATION'!$D$17:$D$149,AI$18)</f>
        <v>0</v>
      </c>
      <c r="AJ38" s="262">
        <f>SUMIFS('6. OPERATION'!$R$17:$R$149,'6. OPERATION'!$B$17:$B$149,$B38,'6. OPERATION'!$G$17:$G$149,"SUBCON",'6. OPERATION'!$D$17:$D$149,AJ$18)</f>
        <v>0</v>
      </c>
      <c r="AK38" s="262">
        <f>SUMIFS('6. OPERATION'!$R$17:$R$149,'6. OPERATION'!$B$17:$B$149,$B38,'6. OPERATION'!$G$17:$G$149,"SUBCON",'6. OPERATION'!$D$17:$D$149,AK$18)</f>
        <v>0</v>
      </c>
      <c r="AL38" s="262">
        <f>SUMIFS('6. OPERATION'!$R$17:$R$149,'6. OPERATION'!$B$17:$B$149,$B38,'6. OPERATION'!$G$17:$G$149,"SUBCON",'6. OPERATION'!$D$17:$D$149,AL$18)</f>
        <v>0</v>
      </c>
      <c r="AM38" s="262">
        <f>SUMIFS('6. OPERATION'!$R$17:$R$149,'6. OPERATION'!$B$17:$B$149,$B38,'6. OPERATION'!$G$17:$G$149,"SUBCON",'6. OPERATION'!$D$17:$D$149,AM$18)</f>
        <v>0</v>
      </c>
      <c r="AN38" s="262">
        <f>SUMIFS('6. OPERATION'!$R$17:$R$149,'6. OPERATION'!$B$17:$B$149,$B38,'6. OPERATION'!$G$17:$G$149,"SUBCON",'6. OPERATION'!$D$17:$D$149,AN$18)</f>
        <v>0</v>
      </c>
      <c r="AO38" s="262">
        <f>SUMIFS('6. OPERATION'!$R$17:$R$149,'6. OPERATION'!$B$17:$B$149,$B38,'6. OPERATION'!$G$17:$G$149,"SUBCON",'6. OPERATION'!$D$17:$D$149,AO$18)</f>
        <v>0</v>
      </c>
      <c r="AP38" s="262">
        <f>SUMIFS('6. OPERATION'!$R$17:$R$149,'6. OPERATION'!$B$17:$B$149,$B38,'6. OPERATION'!$G$17:$G$149,"SUBCON",'6. OPERATION'!$D$17:$D$149,AP$18)</f>
        <v>0</v>
      </c>
      <c r="AQ38" s="262">
        <f>SUMIFS('6. OPERATION'!$R$17:$R$149,'6. OPERATION'!$B$17:$B$149,$B38,'6. OPERATION'!$G$17:$G$149,"SUBCON",'6. OPERATION'!$D$17:$D$149,AQ$18)</f>
        <v>0</v>
      </c>
      <c r="AR38" s="262">
        <f>SUMIFS('6. OPERATION'!$R$17:$R$149,'6. OPERATION'!$B$17:$B$149,$B38,'6. OPERATION'!$G$17:$G$149,"SUBCON",'6. OPERATION'!$D$17:$D$149,AR$18)</f>
        <v>0</v>
      </c>
      <c r="AS38" s="262">
        <f>SUMIFS('6. OPERATION'!R$17:R$149,'6. OPERATION'!B$17:B$149,B38,'6. OPERATION'!G$17:G$149,"TRAVEL")</f>
        <v>0</v>
      </c>
      <c r="AT38" s="262">
        <f>SUMIFS('6. OPERATION'!$R$17:$R$149,'6. OPERATION'!$B$17:$B$149,$B38,'6. OPERATION'!$G$17:$G$149,"TRAVEL",'6. OPERATION'!$D$17:$D$149,AT$18)</f>
        <v>0</v>
      </c>
      <c r="AU38" s="262">
        <f>SUMIFS('6. OPERATION'!$R$17:$R$149,'6. OPERATION'!$B$17:$B$149,$B38,'6. OPERATION'!$G$17:$G$149,"TRAVEL",'6. OPERATION'!$D$17:$D$149,AU$18)</f>
        <v>0</v>
      </c>
      <c r="AV38" s="262">
        <f>SUMIFS('6. OPERATION'!$R$17:$R$149,'6. OPERATION'!$B$17:$B$149,$B38,'6. OPERATION'!$G$17:$G$149,"TRAVEL",'6. OPERATION'!$D$17:$D$149,AV$18)</f>
        <v>0</v>
      </c>
      <c r="AW38" s="262">
        <f>SUMIFS('6. OPERATION'!$R$17:$R$149,'6. OPERATION'!$B$17:$B$149,$B38,'6. OPERATION'!$G$17:$G$149,"TRAVEL",'6. OPERATION'!$D$17:$D$149,AW$18)</f>
        <v>0</v>
      </c>
      <c r="AX38" s="262">
        <f>SUMIFS('6. OPERATION'!$R$17:$R$149,'6. OPERATION'!$B$17:$B$149,$B38,'6. OPERATION'!$G$17:$G$149,"TRAVEL",'6. OPERATION'!$D$17:$D$149,AX$18)</f>
        <v>0</v>
      </c>
      <c r="AY38" s="262">
        <f>SUMIFS('6. OPERATION'!$R$17:$R$149,'6. OPERATION'!$B$17:$B$149,$B38,'6. OPERATION'!$G$17:$G$149,"TRAVEL",'6. OPERATION'!$D$17:$D$149,AY$18)</f>
        <v>0</v>
      </c>
      <c r="AZ38" s="262">
        <f>SUMIFS('6. OPERATION'!$R$17:$R$149,'6. OPERATION'!$B$17:$B$149,$B38,'6. OPERATION'!$G$17:$G$149,"TRAVEL",'6. OPERATION'!$D$17:$D$149,AZ$18)</f>
        <v>0</v>
      </c>
      <c r="BA38" s="262">
        <f>SUMIFS('6. OPERATION'!$R$17:$R$149,'6. OPERATION'!$B$17:$B$149,$B38,'6. OPERATION'!$G$17:$G$149,"TRAVEL",'6. OPERATION'!$D$17:$D$149,BA$18)</f>
        <v>0</v>
      </c>
      <c r="BB38" s="262">
        <f>SUMIFS('6. OPERATION'!$R$17:$R$149,'6. OPERATION'!$B$17:$B$149,$B38,'6. OPERATION'!$G$17:$G$149,"TRAVEL",'6. OPERATION'!$D$17:$D$149,BB$18)</f>
        <v>0</v>
      </c>
      <c r="BC38" s="262">
        <f>SUMIFS('6. OPERATION'!$R$17:$R$149,'6. OPERATION'!$B$17:$B$149,$B38,'6. OPERATION'!$G$17:$G$149,"TRAVEL",'6. OPERATION'!$D$17:$D$149,BC$18)</f>
        <v>0</v>
      </c>
      <c r="BD38" s="262">
        <f>SUMIFS('6. OPERATION'!$R$17:$R$149,'6. OPERATION'!$B$17:$B$149,$B38,'6. OPERATION'!$G$17:$G$149,"TRAVEL",'6. OPERATION'!$D$17:$D$149,BD$18)</f>
        <v>0</v>
      </c>
      <c r="BE38" s="262">
        <f>SUMIFS('6. OPERATION'!$R$17:$R$149,'6. OPERATION'!$B$17:$B$149,$B38,'6. OPERATION'!$G$17:$G$149,"TRAVEL",'6. OPERATION'!$D$17:$D$149,BE$18)</f>
        <v>0</v>
      </c>
      <c r="BF38" s="262">
        <f>SUMIFS('6. OPERATION'!$R$17:$R$149,'6. OPERATION'!$B$17:$B$149,$B38,'6. OPERATION'!$G$17:$G$149,"TRAVEL",'6. OPERATION'!$D$17:$D$149,BF$18)</f>
        <v>0</v>
      </c>
      <c r="BG38" s="262">
        <f>SUMIFS('6. OPERATION'!$R$17:$R$149,'6. OPERATION'!$B$17:$B$149,$B38,'6. OPERATION'!$G$17:$G$149,"TRAVEL",'6. OPERATION'!$D$17:$D$149,BG$18)</f>
        <v>0</v>
      </c>
      <c r="BH38" s="262">
        <f>SUMIFS('6. OPERATION'!$R$17:$R$149,'6. OPERATION'!$B$17:$B$149,$B38,'6. OPERATION'!$G$17:$G$149,"TRAVEL",'6. OPERATION'!$D$17:$D$149,BH$18)</f>
        <v>0</v>
      </c>
      <c r="BI38" s="262">
        <f>SUMIFS('6. OPERATION'!$R$17:$R$149,'6. OPERATION'!$B$17:$B$149,$B38,'6. OPERATION'!$G$17:$G$149,"TRAVEL",'6. OPERATION'!$D$17:$D$149,BI$18)</f>
        <v>0</v>
      </c>
      <c r="BJ38" s="262">
        <f>SUMIFS('6. OPERATION'!$R$17:$R$149,'6. OPERATION'!$B$17:$B$149,$B38,'6. OPERATION'!$G$17:$G$149,"TRAVEL",'6. OPERATION'!$D$17:$D$149,BJ$18)</f>
        <v>0</v>
      </c>
      <c r="BK38" s="262">
        <f>SUMIFS('6. OPERATION'!$R$17:$R$149,'6. OPERATION'!$B$17:$B$149,$B38,'6. OPERATION'!$G$17:$G$149,"TRAVEL",'6. OPERATION'!$D$17:$D$149,BK$18)</f>
        <v>0</v>
      </c>
      <c r="BL38" s="262">
        <f>SUMIFS('6. OPERATION'!$R$17:$R$149,'6. OPERATION'!$B$17:$B$149,$B38,'6. OPERATION'!$G$17:$G$149,"TRAVEL",'6. OPERATION'!$D$17:$D$149,BL$18)</f>
        <v>0</v>
      </c>
      <c r="BM38" s="262">
        <f>SUMIFS('6. OPERATION'!$R$17:$R$149,'6. OPERATION'!$B$17:$B$149,$B38,'6. OPERATION'!$G$17:$G$149,"TRAVEL",'6. OPERATION'!$D$17:$D$149,BM$18)</f>
        <v>0</v>
      </c>
      <c r="BN38" s="262">
        <f>SUMIF('7. INVEST'!B$17:B$49,B38,'7. INVEST'!S$17:S$49)</f>
        <v>0</v>
      </c>
      <c r="BO38" s="262">
        <f>SUMIFS('7. INVEST'!$S$17:$S$49,'7. INVEST'!$B$17:$B$49,$B38,'7. INVEST'!$D$17:$D$49,BO$18)</f>
        <v>0</v>
      </c>
      <c r="BP38" s="262">
        <f>SUMIFS('7. INVEST'!$S$17:$S$49,'7. INVEST'!$B$17:$B$49,$B38,'7. INVEST'!$D$17:$D$49,BP$18)</f>
        <v>0</v>
      </c>
      <c r="BQ38" s="262">
        <f>SUMIFS('7. INVEST'!$S$17:$S$49,'7. INVEST'!$B$17:$B$49,$B38,'7. INVEST'!$D$17:$D$49,BQ$18)</f>
        <v>0</v>
      </c>
      <c r="BR38" s="262">
        <f>SUMIFS('7. INVEST'!$S$17:$S$49,'7. INVEST'!$B$17:$B$49,$B38,'7. INVEST'!$D$17:$D$49,BR$18)</f>
        <v>0</v>
      </c>
      <c r="BS38" s="262">
        <f>SUMIFS('7. INVEST'!$S$17:$S$49,'7. INVEST'!$B$17:$B$49,$B38,'7. INVEST'!$D$17:$D$49,BS$18)</f>
        <v>0</v>
      </c>
      <c r="BT38" s="262">
        <f>SUMIFS('7. INVEST'!$S$17:$S$49,'7. INVEST'!$B$17:$B$49,$B38,'7. INVEST'!$D$17:$D$49,BT$18)</f>
        <v>0</v>
      </c>
      <c r="BU38" s="262">
        <f>SUMIFS('7. INVEST'!$S$17:$S$49,'7. INVEST'!$B$17:$B$49,$B38,'7. INVEST'!$D$17:$D$49,BU$18)</f>
        <v>0</v>
      </c>
      <c r="BV38" s="262">
        <f>SUMIFS('7. INVEST'!$S$17:$S$49,'7. INVEST'!$B$17:$B$49,$B38,'7. INVEST'!$D$17:$D$49,BV$18)</f>
        <v>0</v>
      </c>
      <c r="BW38" s="262">
        <f>SUMIFS('7. INVEST'!$S$17:$S$49,'7. INVEST'!$B$17:$B$49,$B38,'7. INVEST'!$D$17:$D$49,BW$18)</f>
        <v>0</v>
      </c>
      <c r="BX38" s="262">
        <f>SUMIFS('7. INVEST'!$S$17:$S$49,'7. INVEST'!$B$17:$B$49,$B38,'7. INVEST'!$D$17:$D$49,BX$18)</f>
        <v>0</v>
      </c>
      <c r="BY38" s="262">
        <f>SUMIFS('7. INVEST'!$S$17:$S$49,'7. INVEST'!$B$17:$B$49,$B38,'7. INVEST'!$D$17:$D$49,BY$18)</f>
        <v>0</v>
      </c>
      <c r="BZ38" s="262">
        <f>SUMIFS('7. INVEST'!$S$17:$S$49,'7. INVEST'!$B$17:$B$49,$B38,'7. INVEST'!$D$17:$D$49,BZ$18)</f>
        <v>0</v>
      </c>
      <c r="CA38" s="262">
        <f>SUMIFS('7. INVEST'!$S$17:$S$49,'7. INVEST'!$B$17:$B$49,$B38,'7. INVEST'!$D$17:$D$49,CA$18)</f>
        <v>0</v>
      </c>
      <c r="CB38" s="262">
        <f>SUMIFS('7. INVEST'!$S$17:$S$49,'7. INVEST'!$B$17:$B$49,$B38,'7. INVEST'!$D$17:$D$49,CB$18)</f>
        <v>0</v>
      </c>
      <c r="CC38" s="262">
        <f>SUMIFS('7. INVEST'!$S$17:$S$49,'7. INVEST'!$B$17:$B$49,$B38,'7. INVEST'!$D$17:$D$49,CC$18)</f>
        <v>0</v>
      </c>
      <c r="CD38" s="262">
        <f>SUMIFS('7. INVEST'!$S$17:$S$49,'7. INVEST'!$B$17:$B$49,$B38,'7. INVEST'!$D$17:$D$49,CD$18)</f>
        <v>0</v>
      </c>
      <c r="CE38" s="262">
        <f>SUMIFS('7. INVEST'!$S$17:$S$49,'7. INVEST'!$B$17:$B$49,$B38,'7. INVEST'!$D$17:$D$49,CE$18)</f>
        <v>0</v>
      </c>
      <c r="CF38" s="262">
        <f>SUMIFS('7. INVEST'!$S$17:$S$49,'7. INVEST'!$B$17:$B$49,$B38,'7. INVEST'!$D$17:$D$49,CF$18)</f>
        <v>0</v>
      </c>
      <c r="CG38" s="262">
        <f>SUMIFS('7. INVEST'!$S$17:$S$49,'7. INVEST'!$B$17:$B$49,$B38,'7. INVEST'!$D$17:$D$49,CG$18)</f>
        <v>0</v>
      </c>
      <c r="CH38" s="262">
        <f>SUMIFS('7. INVEST'!$S$17:$S$49,'7. INVEST'!$B$17:$B$49,$B38,'7. INVEST'!$D$17:$D$49,CH$18)</f>
        <v>0</v>
      </c>
      <c r="CI38" s="262">
        <f>SUMIFS('6. OPERATION'!$R$17:$R$149,'6. OPERATION'!$B$17:$B$149,$B38,'6. OPERATION'!$G$17:$G$149,"OTHER")+SUMIF('8. FACILIT'!$B$18:$B$50,$B38,'8. FACILIT'!$P$18:$P$50)</f>
        <v>0</v>
      </c>
      <c r="CJ38" s="262">
        <f>SUMIFS('6. OPERATION'!$R$17:$R$149,'6. OPERATION'!$B$17:$B$149,$B38,'6. OPERATION'!$G$17:$G$149,"OTHER",'6. OPERATION'!$D$17:$D$149,CJ$18)+SUMIFS('8. FACILIT'!$P$18:$P$50,'8. FACILIT'!$B$18:$B$50,$B38,'8. FACILIT'!$D$18:$D$50,CJ$18)</f>
        <v>0</v>
      </c>
      <c r="CK38" s="262">
        <f>SUMIFS('6. OPERATION'!$R$17:$R$149,'6. OPERATION'!$B$17:$B$149,$B38,'6. OPERATION'!$G$17:$G$149,"OTHER",'6. OPERATION'!$D$17:$D$149,CK$18)+SUMIFS('8. FACILIT'!$P$18:$P$50,'8. FACILIT'!$B$18:$B$50,$B38,'8. FACILIT'!$D$18:$D$50,CK$18)</f>
        <v>0</v>
      </c>
      <c r="CL38" s="262">
        <f>SUMIFS('6. OPERATION'!$R$17:$R$149,'6. OPERATION'!$B$17:$B$149,$B38,'6. OPERATION'!$G$17:$G$149,"OTHER",'6. OPERATION'!$D$17:$D$149,CL$18)+SUMIFS('8. FACILIT'!$P$18:$P$50,'8. FACILIT'!$B$18:$B$50,$B38,'8. FACILIT'!$D$18:$D$50,CL$18)</f>
        <v>0</v>
      </c>
      <c r="CM38" s="262">
        <f>SUMIFS('6. OPERATION'!$R$17:$R$149,'6. OPERATION'!$B$17:$B$149,$B38,'6. OPERATION'!$G$17:$G$149,"OTHER",'6. OPERATION'!$D$17:$D$149,CM$18)+SUMIFS('8. FACILIT'!$P$18:$P$50,'8. FACILIT'!$B$18:$B$50,$B38,'8. FACILIT'!$D$18:$D$50,CM$18)</f>
        <v>0</v>
      </c>
      <c r="CN38" s="262">
        <f>SUMIFS('6. OPERATION'!$R$17:$R$149,'6. OPERATION'!$B$17:$B$149,$B38,'6. OPERATION'!$G$17:$G$149,"OTHER",'6. OPERATION'!$D$17:$D$149,CN$18)+SUMIFS('8. FACILIT'!$P$18:$P$50,'8. FACILIT'!$B$18:$B$50,$B38,'8. FACILIT'!$D$18:$D$50,CN$18)</f>
        <v>0</v>
      </c>
      <c r="CO38" s="262">
        <f>SUMIFS('6. OPERATION'!$R$17:$R$149,'6. OPERATION'!$B$17:$B$149,$B38,'6. OPERATION'!$G$17:$G$149,"OTHER",'6. OPERATION'!$D$17:$D$149,CO$18)+SUMIFS('8. FACILIT'!$P$18:$P$50,'8. FACILIT'!$B$18:$B$50,$B38,'8. FACILIT'!$D$18:$D$50,CO$18)</f>
        <v>0</v>
      </c>
      <c r="CP38" s="262">
        <f>SUMIFS('6. OPERATION'!$R$17:$R$149,'6. OPERATION'!$B$17:$B$149,$B38,'6. OPERATION'!$G$17:$G$149,"OTHER",'6. OPERATION'!$D$17:$D$149,CP$18)+SUMIFS('8. FACILIT'!$P$18:$P$50,'8. FACILIT'!$B$18:$B$50,$B38,'8. FACILIT'!$D$18:$D$50,CP$18)</f>
        <v>0</v>
      </c>
      <c r="CQ38" s="262">
        <f>SUMIFS('6. OPERATION'!$R$17:$R$149,'6. OPERATION'!$B$17:$B$149,$B38,'6. OPERATION'!$G$17:$G$149,"OTHER",'6. OPERATION'!$D$17:$D$149,CQ$18)+SUMIFS('8. FACILIT'!$P$18:$P$50,'8. FACILIT'!$B$18:$B$50,$B38,'8. FACILIT'!$D$18:$D$50,CQ$18)</f>
        <v>0</v>
      </c>
      <c r="CR38" s="262">
        <f>SUMIFS('6. OPERATION'!$R$17:$R$149,'6. OPERATION'!$B$17:$B$149,$B38,'6. OPERATION'!$G$17:$G$149,"OTHER",'6. OPERATION'!$D$17:$D$149,CR$18)+SUMIFS('8. FACILIT'!$P$18:$P$50,'8. FACILIT'!$B$18:$B$50,$B38,'8. FACILIT'!$D$18:$D$50,CR$18)</f>
        <v>0</v>
      </c>
      <c r="CS38" s="262">
        <f>SUMIFS('6. OPERATION'!$R$17:$R$149,'6. OPERATION'!$B$17:$B$149,$B38,'6. OPERATION'!$G$17:$G$149,"OTHER",'6. OPERATION'!$D$17:$D$149,CS$18)+SUMIFS('8. FACILIT'!$P$18:$P$50,'8. FACILIT'!$B$18:$B$50,$B38,'8. FACILIT'!$D$18:$D$50,CS$18)</f>
        <v>0</v>
      </c>
      <c r="CT38" s="262">
        <f>SUMIFS('6. OPERATION'!$R$17:$R$149,'6. OPERATION'!$B$17:$B$149,$B38,'6. OPERATION'!$G$17:$G$149,"OTHER",'6. OPERATION'!$D$17:$D$149,CT$18)+SUMIFS('8. FACILIT'!$P$18:$P$50,'8. FACILIT'!$B$18:$B$50,$B38,'8. FACILIT'!$D$18:$D$50,CT$18)</f>
        <v>0</v>
      </c>
      <c r="CU38" s="262">
        <f>SUMIFS('6. OPERATION'!$R$17:$R$149,'6. OPERATION'!$B$17:$B$149,$B38,'6. OPERATION'!$G$17:$G$149,"OTHER",'6. OPERATION'!$D$17:$D$149,CU$18)+SUMIFS('8. FACILIT'!$P$18:$P$50,'8. FACILIT'!$B$18:$B$50,$B38,'8. FACILIT'!$D$18:$D$50,CU$18)</f>
        <v>0</v>
      </c>
      <c r="CV38" s="262">
        <f>SUMIFS('6. OPERATION'!$R$17:$R$149,'6. OPERATION'!$B$17:$B$149,$B38,'6. OPERATION'!$G$17:$G$149,"OTHER",'6. OPERATION'!$D$17:$D$149,CV$18)+SUMIFS('8. FACILIT'!$P$18:$P$50,'8. FACILIT'!$B$18:$B$50,$B38,'8. FACILIT'!$D$18:$D$50,CV$18)</f>
        <v>0</v>
      </c>
      <c r="CW38" s="262">
        <f>SUMIFS('6. OPERATION'!$R$17:$R$149,'6. OPERATION'!$B$17:$B$149,$B38,'6. OPERATION'!$G$17:$G$149,"OTHER",'6. OPERATION'!$D$17:$D$149,CW$18)+SUMIFS('8. FACILIT'!$P$18:$P$50,'8. FACILIT'!$B$18:$B$50,$B38,'8. FACILIT'!$D$18:$D$50,CW$18)</f>
        <v>0</v>
      </c>
      <c r="CX38" s="262">
        <f>SUMIFS('6. OPERATION'!$R$17:$R$149,'6. OPERATION'!$B$17:$B$149,$B38,'6. OPERATION'!$G$17:$G$149,"OTHER",'6. OPERATION'!$D$17:$D$149,CX$18)+SUMIFS('8. FACILIT'!$P$18:$P$50,'8. FACILIT'!$B$18:$B$50,$B38,'8. FACILIT'!$D$18:$D$50,CX$18)</f>
        <v>0</v>
      </c>
      <c r="CY38" s="262">
        <f>SUMIFS('6. OPERATION'!$R$17:$R$149,'6. OPERATION'!$B$17:$B$149,$B38,'6. OPERATION'!$G$17:$G$149,"OTHER",'6. OPERATION'!$D$17:$D$149,CY$18)+SUMIFS('8. FACILIT'!$P$18:$P$50,'8. FACILIT'!$B$18:$B$50,$B38,'8. FACILIT'!$D$18:$D$50,CY$18)</f>
        <v>0</v>
      </c>
      <c r="CZ38" s="262">
        <f>SUMIFS('6. OPERATION'!$R$17:$R$149,'6. OPERATION'!$B$17:$B$149,$B38,'6. OPERATION'!$G$17:$G$149,"OTHER",'6. OPERATION'!$D$17:$D$149,CZ$18)+SUMIFS('8. FACILIT'!$P$18:$P$50,'8. FACILIT'!$B$18:$B$50,$B38,'8. FACILIT'!$D$18:$D$50,CZ$18)</f>
        <v>0</v>
      </c>
      <c r="DA38" s="262">
        <f>SUMIFS('6. OPERATION'!$R$17:$R$149,'6. OPERATION'!$B$17:$B$149,$B38,'6. OPERATION'!$G$17:$G$149,"OTHER",'6. OPERATION'!$D$17:$D$149,DA$18)+SUMIFS('8. FACILIT'!$P$18:$P$50,'8. FACILIT'!$B$18:$B$50,$B38,'8. FACILIT'!$D$18:$D$50,DA$18)</f>
        <v>0</v>
      </c>
      <c r="DB38" s="262">
        <f>SUMIFS('6. OPERATION'!$R$17:$R$149,'6. OPERATION'!$B$17:$B$149,$B38,'6. OPERATION'!$G$17:$G$149,"OTHER",'6. OPERATION'!$D$17:$D$149,DB$18)+SUMIFS('8. FACILIT'!$P$18:$P$50,'8. FACILIT'!$B$18:$B$50,$B38,'8. FACILIT'!$D$18:$D$50,DB$18)</f>
        <v>0</v>
      </c>
      <c r="DC38" s="262">
        <f>SUMIFS('6. OPERATION'!$R$17:$R$149,'6. OPERATION'!$B$17:$B$149,$B38,'6. OPERATION'!$G$17:$G$149,"OTHER",'6. OPERATION'!$D$17:$D$149,DC$18)+SUMIFS('8. FACILIT'!$P$18:$P$50,'8. FACILIT'!$B$18:$B$50,$B38,'8. FACILIT'!$D$18:$D$50,DC$18)</f>
        <v>0</v>
      </c>
      <c r="DD38" s="262">
        <f>SUMIFS('6. OPERATION'!R$17:R$149,'6. OPERATION'!B$17:B$149,B38,'6. OPERATION'!G$17:G$149,"INTERN")</f>
        <v>0</v>
      </c>
      <c r="DE38" s="262">
        <f>SUMIFS('6. OPERATION'!$R$17:$R$149,'6. OPERATION'!$B$17:$B$149,$B38,'6. OPERATION'!$G$17:$G$149,"INTERN",'6. OPERATION'!$D$17:$D$149,DE$18)</f>
        <v>0</v>
      </c>
      <c r="DF38" s="262">
        <f>SUMIFS('6. OPERATION'!$R$17:$R$149,'6. OPERATION'!$B$17:$B$149,$B38,'6. OPERATION'!$G$17:$G$149,"INTERN",'6. OPERATION'!$D$17:$D$149,DF$18)</f>
        <v>0</v>
      </c>
      <c r="DG38" s="262">
        <f>SUMIFS('6. OPERATION'!$R$17:$R$149,'6. OPERATION'!$B$17:$B$149,$B38,'6. OPERATION'!$G$17:$G$149,"INTERN",'6. OPERATION'!$D$17:$D$149,DG$18)</f>
        <v>0</v>
      </c>
      <c r="DH38" s="262">
        <f>SUMIFS('6. OPERATION'!$R$17:$R$149,'6. OPERATION'!$B$17:$B$149,$B38,'6. OPERATION'!$G$17:$G$149,"INTERN",'6. OPERATION'!$D$17:$D$149,DH$18)</f>
        <v>0</v>
      </c>
      <c r="DI38" s="262">
        <f>SUMIFS('6. OPERATION'!$R$17:$R$149,'6. OPERATION'!$B$17:$B$149,$B38,'6. OPERATION'!$G$17:$G$149,"INTERN",'6. OPERATION'!$D$17:$D$149,DI$18)</f>
        <v>0</v>
      </c>
      <c r="DJ38" s="262">
        <f>SUMIFS('6. OPERATION'!$R$17:$R$149,'6. OPERATION'!$B$17:$B$149,$B38,'6. OPERATION'!$G$17:$G$149,"INTERN",'6. OPERATION'!$D$17:$D$149,DJ$18)</f>
        <v>0</v>
      </c>
      <c r="DK38" s="262">
        <f>SUMIFS('6. OPERATION'!$R$17:$R$149,'6. OPERATION'!$B$17:$B$149,$B38,'6. OPERATION'!$G$17:$G$149,"INTERN",'6. OPERATION'!$D$17:$D$149,DK$18)</f>
        <v>0</v>
      </c>
      <c r="DL38" s="262">
        <f>SUMIFS('6. OPERATION'!$R$17:$R$149,'6. OPERATION'!$B$17:$B$149,$B38,'6. OPERATION'!$G$17:$G$149,"INTERN",'6. OPERATION'!$D$17:$D$149,DL$18)</f>
        <v>0</v>
      </c>
      <c r="DM38" s="262">
        <f>SUMIFS('6. OPERATION'!$R$17:$R$149,'6. OPERATION'!$B$17:$B$149,$B38,'6. OPERATION'!$G$17:$G$149,"INTERN",'6. OPERATION'!$D$17:$D$149,DM$18)</f>
        <v>0</v>
      </c>
      <c r="DN38" s="262">
        <f>SUMIFS('6. OPERATION'!$R$17:$R$149,'6. OPERATION'!$B$17:$B$149,$B38,'6. OPERATION'!$G$17:$G$149,"INTERN",'6. OPERATION'!$D$17:$D$149,DN$18)</f>
        <v>0</v>
      </c>
      <c r="DO38" s="262">
        <f>SUMIFS('6. OPERATION'!$R$17:$R$149,'6. OPERATION'!$B$17:$B$149,$B38,'6. OPERATION'!$G$17:$G$149,"INTERN",'6. OPERATION'!$D$17:$D$149,DO$18)</f>
        <v>0</v>
      </c>
      <c r="DP38" s="262">
        <f>SUMIFS('6. OPERATION'!$R$17:$R$149,'6. OPERATION'!$B$17:$B$149,$B38,'6. OPERATION'!$G$17:$G$149,"INTERN",'6. OPERATION'!$D$17:$D$149,DP$18)</f>
        <v>0</v>
      </c>
      <c r="DQ38" s="262">
        <f>SUMIFS('6. OPERATION'!$R$17:$R$149,'6. OPERATION'!$B$17:$B$149,$B38,'6. OPERATION'!$G$17:$G$149,"INTERN",'6. OPERATION'!$D$17:$D$149,DQ$18)</f>
        <v>0</v>
      </c>
      <c r="DR38" s="262">
        <f>SUMIFS('6. OPERATION'!$R$17:$R$149,'6. OPERATION'!$B$17:$B$149,$B38,'6. OPERATION'!$G$17:$G$149,"INTERN",'6. OPERATION'!$D$17:$D$149,DR$18)</f>
        <v>0</v>
      </c>
      <c r="DS38" s="262">
        <f>SUMIFS('6. OPERATION'!$R$17:$R$149,'6. OPERATION'!$B$17:$B$149,$B38,'6. OPERATION'!$G$17:$G$149,"INTERN",'6. OPERATION'!$D$17:$D$149,DS$18)</f>
        <v>0</v>
      </c>
      <c r="DT38" s="262">
        <f>SUMIFS('6. OPERATION'!$R$17:$R$149,'6. OPERATION'!$B$17:$B$149,$B38,'6. OPERATION'!$G$17:$G$149,"INTERN",'6. OPERATION'!$D$17:$D$149,DT$18)</f>
        <v>0</v>
      </c>
      <c r="DU38" s="262">
        <f>SUMIFS('6. OPERATION'!$R$17:$R$149,'6. OPERATION'!$B$17:$B$149,$B38,'6. OPERATION'!$G$17:$G$149,"INTERN",'6. OPERATION'!$D$17:$D$149,DU$18)</f>
        <v>0</v>
      </c>
      <c r="DV38" s="262">
        <f>SUMIFS('6. OPERATION'!$R$17:$R$149,'6. OPERATION'!$B$17:$B$149,$B38,'6. OPERATION'!$G$17:$G$149,"INTERN",'6. OPERATION'!$D$17:$D$149,DV$18)</f>
        <v>0</v>
      </c>
      <c r="DW38" s="262">
        <f>SUMIFS('6. OPERATION'!$R$17:$R$149,'6. OPERATION'!$B$17:$B$149,$B38,'6. OPERATION'!$G$17:$G$149,"INTERN",'6. OPERATION'!$D$17:$D$149,DW$18)</f>
        <v>0</v>
      </c>
      <c r="DX38" s="262">
        <f>SUMIFS('6. OPERATION'!$R$17:$R$149,'6. OPERATION'!$B$17:$B$149,$B38,'6. OPERATION'!$G$17:$G$149,"INTERN",'6. OPERATION'!$D$17:$D$149,DX$18)</f>
        <v>0</v>
      </c>
      <c r="DY38" s="262">
        <f>(C38+AS38+BN38+CI38)*'2. START'!$C$12</f>
        <v>0</v>
      </c>
      <c r="DZ38" s="262">
        <f>(D38+AT38+BO38+CJ38)*'2. START'!$C$12</f>
        <v>0</v>
      </c>
      <c r="EA38" s="262">
        <f>(E38+AU38+BP38+CK38)*'2. START'!$C$12</f>
        <v>0</v>
      </c>
      <c r="EB38" s="262">
        <f>(F38+AV38+BQ38+CL38)*'2. START'!$C$12</f>
        <v>0</v>
      </c>
      <c r="EC38" s="262">
        <f>(G38+AW38+BR38+CM38)*'2. START'!$C$12</f>
        <v>0</v>
      </c>
      <c r="ED38" s="262">
        <f>(H38+AX38+BS38+CN38)*'2. START'!$C$12</f>
        <v>0</v>
      </c>
      <c r="EE38" s="262">
        <f>(I38+AY38+BT38+CO38)*'2. START'!$C$12</f>
        <v>0</v>
      </c>
      <c r="EF38" s="262">
        <f>(J38+AZ38+BU38+CP38)*'2. START'!$C$12</f>
        <v>0</v>
      </c>
      <c r="EG38" s="262">
        <f>(K38+BA38+BV38+CQ38)*'2. START'!$C$12</f>
        <v>0</v>
      </c>
      <c r="EH38" s="262">
        <f>(L38+BB38+BW38+CR38)*'2. START'!$C$12</f>
        <v>0</v>
      </c>
      <c r="EI38" s="262">
        <f>(M38+BC38+BX38+CS38)*'2. START'!$C$12</f>
        <v>0</v>
      </c>
      <c r="EJ38" s="262">
        <f>(N38+BD38+BY38+CT38)*'2. START'!$C$12</f>
        <v>0</v>
      </c>
      <c r="EK38" s="262">
        <f>(O38+BE38+BZ38+CU38)*'2. START'!$C$12</f>
        <v>0</v>
      </c>
      <c r="EL38" s="262">
        <f>(P38+BF38+CA38+CV38)*'2. START'!$C$12</f>
        <v>0</v>
      </c>
      <c r="EM38" s="262">
        <f>(Q38+BG38+CB38+CW38)*'2. START'!$C$12</f>
        <v>0</v>
      </c>
      <c r="EN38" s="262">
        <f>(R38+BH38+CC38+CX38)*'2. START'!$C$12</f>
        <v>0</v>
      </c>
      <c r="EO38" s="262">
        <f>(S38+BI38+CD38+CY38)*'2. START'!$C$12</f>
        <v>0</v>
      </c>
      <c r="EP38" s="262">
        <f>(T38+BJ38+CE38+CZ38)*'2. START'!$C$12</f>
        <v>0</v>
      </c>
      <c r="EQ38" s="262">
        <f>(U38+BK38+CF38+DA38)*'2. START'!$C$12</f>
        <v>0</v>
      </c>
      <c r="ER38" s="262">
        <f>(V38+BL38+CG38+DB38)*'2. START'!$C$12</f>
        <v>0</v>
      </c>
      <c r="ES38" s="262">
        <f>(W38+BM38+CH38+DC38)*'2. START'!$C$12</f>
        <v>0</v>
      </c>
      <c r="ET38" s="98">
        <f t="shared" si="4"/>
        <v>0</v>
      </c>
      <c r="EU38" s="98">
        <f t="shared" si="5"/>
        <v>0</v>
      </c>
      <c r="EV38" s="98">
        <f t="shared" si="6"/>
        <v>0</v>
      </c>
      <c r="EW38" s="98">
        <f t="shared" si="7"/>
        <v>0</v>
      </c>
      <c r="EX38" s="98">
        <f t="shared" si="8"/>
        <v>0</v>
      </c>
      <c r="EY38" s="98">
        <f t="shared" si="9"/>
        <v>0</v>
      </c>
      <c r="EZ38" s="98">
        <f t="shared" si="10"/>
        <v>0</v>
      </c>
      <c r="FA38" s="98">
        <f t="shared" si="11"/>
        <v>0</v>
      </c>
      <c r="FB38" s="98">
        <f t="shared" si="12"/>
        <v>0</v>
      </c>
      <c r="FC38" s="98">
        <f t="shared" si="13"/>
        <v>0</v>
      </c>
      <c r="FD38" s="98">
        <f t="shared" si="14"/>
        <v>0</v>
      </c>
      <c r="FE38" s="98">
        <f t="shared" si="18"/>
        <v>0</v>
      </c>
      <c r="FF38" s="98">
        <f t="shared" si="19"/>
        <v>0</v>
      </c>
      <c r="FG38" s="98">
        <f t="shared" si="20"/>
        <v>0</v>
      </c>
      <c r="FH38" s="98">
        <f t="shared" si="21"/>
        <v>0</v>
      </c>
      <c r="FI38" s="98">
        <f t="shared" si="22"/>
        <v>0</v>
      </c>
      <c r="FJ38" s="98">
        <f t="shared" si="23"/>
        <v>0</v>
      </c>
      <c r="FK38" s="98">
        <f t="shared" si="24"/>
        <v>0</v>
      </c>
      <c r="FL38" s="98">
        <f t="shared" si="25"/>
        <v>0</v>
      </c>
      <c r="FM38" s="98">
        <f t="shared" si="26"/>
        <v>0</v>
      </c>
      <c r="FN38" s="98">
        <f t="shared" si="27"/>
        <v>0</v>
      </c>
      <c r="FO38" s="272" t="str">
        <f t="shared" si="17"/>
        <v/>
      </c>
      <c r="FP38" s="98">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944">
        <f t="shared" si="16"/>
        <v>0</v>
      </c>
      <c r="FR38" s="941">
        <f>SUMIFS('5. PERSON'!$AE$17:$AE$192,'5. PERSON'!$B$17:$B$192,'14. EUFP'!$B38,'5. PERSON'!$D$17:$D$192,FR$18)</f>
        <v>0</v>
      </c>
      <c r="FS38" s="941">
        <f>SUMIFS('5. PERSON'!$AE$17:$AE$192,'5. PERSON'!$B$17:$B$192,'14. EUFP'!$B38,'5. PERSON'!$D$17:$D$192,FS$18)</f>
        <v>0</v>
      </c>
      <c r="FT38" s="941">
        <f>SUMIFS('5. PERSON'!$AE$17:$AE$192,'5. PERSON'!$B$17:$B$192,'14. EUFP'!$B38,'5. PERSON'!$D$17:$D$192,FT$18)</f>
        <v>0</v>
      </c>
      <c r="FU38" s="941">
        <f>SUMIFS('5. PERSON'!$AE$17:$AE$192,'5. PERSON'!$B$17:$B$192,'14. EUFP'!$B38,'5. PERSON'!$D$17:$D$192,FU$18)</f>
        <v>0</v>
      </c>
      <c r="FV38" s="941">
        <f>SUMIFS('5. PERSON'!$AE$17:$AE$192,'5. PERSON'!$B$17:$B$192,'14. EUFP'!$B38,'5. PERSON'!$D$17:$D$192,FV$18)</f>
        <v>0</v>
      </c>
      <c r="FW38" s="941">
        <f>SUMIFS('5. PERSON'!$AE$17:$AE$192,'5. PERSON'!$B$17:$B$192,'14. EUFP'!$B38,'5. PERSON'!$D$17:$D$192,FW$18)</f>
        <v>0</v>
      </c>
      <c r="FX38" s="941">
        <f>SUMIFS('5. PERSON'!$AE$17:$AE$192,'5. PERSON'!$B$17:$B$192,'14. EUFP'!$B38,'5. PERSON'!$D$17:$D$192,FX$18)</f>
        <v>0</v>
      </c>
      <c r="FY38" s="941">
        <f>SUMIFS('5. PERSON'!$AE$17:$AE$192,'5. PERSON'!$B$17:$B$192,'14. EUFP'!$B38,'5. PERSON'!$D$17:$D$192,FY$18)</f>
        <v>0</v>
      </c>
      <c r="FZ38" s="941">
        <f>SUMIFS('5. PERSON'!$AE$17:$AE$192,'5. PERSON'!$B$17:$B$192,'14. EUFP'!$B38,'5. PERSON'!$D$17:$D$192,FZ$18)</f>
        <v>0</v>
      </c>
      <c r="GA38" s="941">
        <f>SUMIFS('5. PERSON'!$AE$17:$AE$192,'5. PERSON'!$B$17:$B$192,'14. EUFP'!$B38,'5. PERSON'!$D$17:$D$192,GA$18)</f>
        <v>0</v>
      </c>
      <c r="GB38" s="941">
        <f>SUMIFS('5. PERSON'!$AE$17:$AE$192,'5. PERSON'!$B$17:$B$192,'14. EUFP'!$B38,'5. PERSON'!$D$17:$D$192,GB$18)</f>
        <v>0</v>
      </c>
      <c r="GC38" s="941">
        <f>SUMIFS('5. PERSON'!$AE$17:$AE$192,'5. PERSON'!$B$17:$B$192,'14. EUFP'!$B38,'5. PERSON'!$D$17:$D$192,GC$18)</f>
        <v>0</v>
      </c>
      <c r="GD38" s="941">
        <f>SUMIFS('5. PERSON'!$AE$17:$AE$192,'5. PERSON'!$B$17:$B$192,'14. EUFP'!$B38,'5. PERSON'!$D$17:$D$192,GD$18)</f>
        <v>0</v>
      </c>
      <c r="GE38" s="941">
        <f>SUMIFS('5. PERSON'!$AE$17:$AE$192,'5. PERSON'!$B$17:$B$192,'14. EUFP'!$B38,'5. PERSON'!$D$17:$D$192,GE$18)</f>
        <v>0</v>
      </c>
      <c r="GF38" s="941">
        <f>SUMIFS('5. PERSON'!$AE$17:$AE$192,'5. PERSON'!$B$17:$B$192,'14. EUFP'!$B38,'5. PERSON'!$D$17:$D$192,GF$18)</f>
        <v>0</v>
      </c>
      <c r="GG38" s="941">
        <f>SUMIFS('5. PERSON'!$AE$17:$AE$192,'5. PERSON'!$B$17:$B$192,'14. EUFP'!$B38,'5. PERSON'!$D$17:$D$192,GG$18)</f>
        <v>0</v>
      </c>
      <c r="GH38" s="941">
        <f>SUMIFS('5. PERSON'!$AE$17:$AE$192,'5. PERSON'!$B$17:$B$192,'14. EUFP'!$B38,'5. PERSON'!$D$17:$D$192,GH$18)</f>
        <v>0</v>
      </c>
      <c r="GI38" s="941">
        <f>SUMIFS('5. PERSON'!$AE$17:$AE$192,'5. PERSON'!$B$17:$B$192,'14. EUFP'!$B38,'5. PERSON'!$D$17:$D$192,GI$18)</f>
        <v>0</v>
      </c>
      <c r="GJ38" s="941">
        <f>SUMIFS('5. PERSON'!$AE$17:$AE$192,'5. PERSON'!$B$17:$B$192,'14. EUFP'!$B38,'5. PERSON'!$D$17:$D$192,GJ$18)</f>
        <v>0</v>
      </c>
      <c r="GK38" s="941">
        <f>SUMIFS('5. PERSON'!$AE$17:$AE$192,'5. PERSON'!$B$17:$B$192,'14. EUFP'!$B38,'5. PERSON'!$D$17:$D$192,GK$18)</f>
        <v>0</v>
      </c>
      <c r="GL38" s="941">
        <f t="shared" si="28"/>
        <v>0</v>
      </c>
    </row>
    <row r="39" spans="2:194" s="71" customFormat="1" ht="13.5" customHeight="1" x14ac:dyDescent="0.2">
      <c r="B39" s="259" t="str">
        <f>'3. PARTNER'!B66</f>
        <v>EXT116</v>
      </c>
      <c r="C39" s="281">
        <f>SUMIF('5. PERSON'!B$17:B$192,B39,'5. PERSON'!AR$17:AR$192)</f>
        <v>0</v>
      </c>
      <c r="D39" s="281">
        <f>SUMIFS('5. PERSON'!$AR$17:$AR$192,'5. PERSON'!$B$17:$B$192,$B39,'5. PERSON'!$D$17:$D$192,D$18)</f>
        <v>0</v>
      </c>
      <c r="E39" s="281">
        <f>SUMIFS('5. PERSON'!$AR$17:$AR$192,'5. PERSON'!$B$17:$B$192,$B39,'5. PERSON'!$D$17:$D$192,E$18)</f>
        <v>0</v>
      </c>
      <c r="F39" s="281">
        <f>SUMIFS('5. PERSON'!$AR$17:$AR$192,'5. PERSON'!$B$17:$B$192,$B39,'5. PERSON'!$D$17:$D$192,F$18)</f>
        <v>0</v>
      </c>
      <c r="G39" s="281">
        <f>SUMIFS('5. PERSON'!$AR$17:$AR$192,'5. PERSON'!$B$17:$B$192,$B39,'5. PERSON'!$D$17:$D$192,G$18)</f>
        <v>0</v>
      </c>
      <c r="H39" s="281">
        <f>SUMIFS('5. PERSON'!$AR$17:$AR$192,'5. PERSON'!$B$17:$B$192,$B39,'5. PERSON'!$D$17:$D$192,H$18)</f>
        <v>0</v>
      </c>
      <c r="I39" s="281">
        <f>SUMIFS('5. PERSON'!$AR$17:$AR$192,'5. PERSON'!$B$17:$B$192,$B39,'5. PERSON'!$D$17:$D$192,I$18)</f>
        <v>0</v>
      </c>
      <c r="J39" s="281">
        <f>SUMIFS('5. PERSON'!$AR$17:$AR$192,'5. PERSON'!$B$17:$B$192,$B39,'5. PERSON'!$D$17:$D$192,J$18)</f>
        <v>0</v>
      </c>
      <c r="K39" s="281">
        <f>SUMIFS('5. PERSON'!$AR$17:$AR$192,'5. PERSON'!$B$17:$B$192,$B39,'5. PERSON'!$D$17:$D$192,K$18)</f>
        <v>0</v>
      </c>
      <c r="L39" s="281">
        <f>SUMIFS('5. PERSON'!$AR$17:$AR$192,'5. PERSON'!$B$17:$B$192,$B39,'5. PERSON'!$D$17:$D$192,L$18)</f>
        <v>0</v>
      </c>
      <c r="M39" s="281">
        <f>SUMIFS('5. PERSON'!$AR$17:$AR$192,'5. PERSON'!$B$17:$B$192,$B39,'5. PERSON'!$D$17:$D$192,M$18)</f>
        <v>0</v>
      </c>
      <c r="N39" s="281">
        <f>SUMIFS('5. PERSON'!$AR$17:$AR$192,'5. PERSON'!$B$17:$B$192,$B39,'5. PERSON'!$D$17:$D$192,N$18)</f>
        <v>0</v>
      </c>
      <c r="O39" s="281">
        <f>SUMIFS('5. PERSON'!$AR$17:$AR$192,'5. PERSON'!$B$17:$B$192,$B39,'5. PERSON'!$D$17:$D$192,O$18)</f>
        <v>0</v>
      </c>
      <c r="P39" s="281">
        <f>SUMIFS('5. PERSON'!$AR$17:$AR$192,'5. PERSON'!$B$17:$B$192,$B39,'5. PERSON'!$D$17:$D$192,P$18)</f>
        <v>0</v>
      </c>
      <c r="Q39" s="281">
        <f>SUMIFS('5. PERSON'!$AR$17:$AR$192,'5. PERSON'!$B$17:$B$192,$B39,'5. PERSON'!$D$17:$D$192,Q$18)</f>
        <v>0</v>
      </c>
      <c r="R39" s="281">
        <f>SUMIFS('5. PERSON'!$AR$17:$AR$192,'5. PERSON'!$B$17:$B$192,$B39,'5. PERSON'!$D$17:$D$192,R$18)</f>
        <v>0</v>
      </c>
      <c r="S39" s="281">
        <f>SUMIFS('5. PERSON'!$AR$17:$AR$192,'5. PERSON'!$B$17:$B$192,$B39,'5. PERSON'!$D$17:$D$192,S$18)</f>
        <v>0</v>
      </c>
      <c r="T39" s="281">
        <f>SUMIFS('5. PERSON'!$AR$17:$AR$192,'5. PERSON'!$B$17:$B$192,$B39,'5. PERSON'!$D$17:$D$192,T$18)</f>
        <v>0</v>
      </c>
      <c r="U39" s="281">
        <f>SUMIFS('5. PERSON'!$AR$17:$AR$192,'5. PERSON'!$B$17:$B$192,$B39,'5. PERSON'!$D$17:$D$192,U$18)</f>
        <v>0</v>
      </c>
      <c r="V39" s="281">
        <f>SUMIFS('5. PERSON'!$AR$17:$AR$192,'5. PERSON'!$B$17:$B$192,$B39,'5. PERSON'!$D$17:$D$192,V$18)</f>
        <v>0</v>
      </c>
      <c r="W39" s="281">
        <f>SUMIFS('5. PERSON'!$AR$17:$AR$192,'5. PERSON'!$B$17:$B$192,$B39,'5. PERSON'!$D$17:$D$192,W$18)</f>
        <v>0</v>
      </c>
      <c r="X39" s="281">
        <f>SUMIFS('6. OPERATION'!R$17:R$149,'6. OPERATION'!B$17:B$149,B39,'6. OPERATION'!G$17:G$149,"SUBCON")</f>
        <v>0</v>
      </c>
      <c r="Y39" s="281">
        <f>SUMIFS('6. OPERATION'!$R$17:$R$149,'6. OPERATION'!$B$17:$B$149,$B39,'6. OPERATION'!$G$17:$G$149,"SUBCON",'6. OPERATION'!$D$17:$D$149,Y$18)</f>
        <v>0</v>
      </c>
      <c r="Z39" s="281">
        <f>SUMIFS('6. OPERATION'!$R$17:$R$149,'6. OPERATION'!$B$17:$B$149,$B39,'6. OPERATION'!$G$17:$G$149,"SUBCON",'6. OPERATION'!$D$17:$D$149,Z$18)</f>
        <v>0</v>
      </c>
      <c r="AA39" s="281">
        <f>SUMIFS('6. OPERATION'!$R$17:$R$149,'6. OPERATION'!$B$17:$B$149,$B39,'6. OPERATION'!$G$17:$G$149,"SUBCON",'6. OPERATION'!$D$17:$D$149,AA$18)</f>
        <v>0</v>
      </c>
      <c r="AB39" s="281">
        <f>SUMIFS('6. OPERATION'!$R$17:$R$149,'6. OPERATION'!$B$17:$B$149,$B39,'6. OPERATION'!$G$17:$G$149,"SUBCON",'6. OPERATION'!$D$17:$D$149,AB$18)</f>
        <v>0</v>
      </c>
      <c r="AC39" s="281">
        <f>SUMIFS('6. OPERATION'!$R$17:$R$149,'6. OPERATION'!$B$17:$B$149,$B39,'6. OPERATION'!$G$17:$G$149,"SUBCON",'6. OPERATION'!$D$17:$D$149,AC$18)</f>
        <v>0</v>
      </c>
      <c r="AD39" s="281">
        <f>SUMIFS('6. OPERATION'!$R$17:$R$149,'6. OPERATION'!$B$17:$B$149,$B39,'6. OPERATION'!$G$17:$G$149,"SUBCON",'6. OPERATION'!$D$17:$D$149,AD$18)</f>
        <v>0</v>
      </c>
      <c r="AE39" s="281">
        <f>SUMIFS('6. OPERATION'!$R$17:$R$149,'6. OPERATION'!$B$17:$B$149,$B39,'6. OPERATION'!$G$17:$G$149,"SUBCON",'6. OPERATION'!$D$17:$D$149,AE$18)</f>
        <v>0</v>
      </c>
      <c r="AF39" s="281">
        <f>SUMIFS('6. OPERATION'!$R$17:$R$149,'6. OPERATION'!$B$17:$B$149,$B39,'6. OPERATION'!$G$17:$G$149,"SUBCON",'6. OPERATION'!$D$17:$D$149,AF$18)</f>
        <v>0</v>
      </c>
      <c r="AG39" s="281">
        <f>SUMIFS('6. OPERATION'!$R$17:$R$149,'6. OPERATION'!$B$17:$B$149,$B39,'6. OPERATION'!$G$17:$G$149,"SUBCON",'6. OPERATION'!$D$17:$D$149,AG$18)</f>
        <v>0</v>
      </c>
      <c r="AH39" s="281">
        <f>SUMIFS('6. OPERATION'!$R$17:$R$149,'6. OPERATION'!$B$17:$B$149,$B39,'6. OPERATION'!$G$17:$G$149,"SUBCON",'6. OPERATION'!$D$17:$D$149,AH$18)</f>
        <v>0</v>
      </c>
      <c r="AI39" s="281">
        <f>SUMIFS('6. OPERATION'!$R$17:$R$149,'6. OPERATION'!$B$17:$B$149,$B39,'6. OPERATION'!$G$17:$G$149,"SUBCON",'6. OPERATION'!$D$17:$D$149,AI$18)</f>
        <v>0</v>
      </c>
      <c r="AJ39" s="281">
        <f>SUMIFS('6. OPERATION'!$R$17:$R$149,'6. OPERATION'!$B$17:$B$149,$B39,'6. OPERATION'!$G$17:$G$149,"SUBCON",'6. OPERATION'!$D$17:$D$149,AJ$18)</f>
        <v>0</v>
      </c>
      <c r="AK39" s="281">
        <f>SUMIFS('6. OPERATION'!$R$17:$R$149,'6. OPERATION'!$B$17:$B$149,$B39,'6. OPERATION'!$G$17:$G$149,"SUBCON",'6. OPERATION'!$D$17:$D$149,AK$18)</f>
        <v>0</v>
      </c>
      <c r="AL39" s="281">
        <f>SUMIFS('6. OPERATION'!$R$17:$R$149,'6. OPERATION'!$B$17:$B$149,$B39,'6. OPERATION'!$G$17:$G$149,"SUBCON",'6. OPERATION'!$D$17:$D$149,AL$18)</f>
        <v>0</v>
      </c>
      <c r="AM39" s="281">
        <f>SUMIFS('6. OPERATION'!$R$17:$R$149,'6. OPERATION'!$B$17:$B$149,$B39,'6. OPERATION'!$G$17:$G$149,"SUBCON",'6. OPERATION'!$D$17:$D$149,AM$18)</f>
        <v>0</v>
      </c>
      <c r="AN39" s="281">
        <f>SUMIFS('6. OPERATION'!$R$17:$R$149,'6. OPERATION'!$B$17:$B$149,$B39,'6. OPERATION'!$G$17:$G$149,"SUBCON",'6. OPERATION'!$D$17:$D$149,AN$18)</f>
        <v>0</v>
      </c>
      <c r="AO39" s="281">
        <f>SUMIFS('6. OPERATION'!$R$17:$R$149,'6. OPERATION'!$B$17:$B$149,$B39,'6. OPERATION'!$G$17:$G$149,"SUBCON",'6. OPERATION'!$D$17:$D$149,AO$18)</f>
        <v>0</v>
      </c>
      <c r="AP39" s="281">
        <f>SUMIFS('6. OPERATION'!$R$17:$R$149,'6. OPERATION'!$B$17:$B$149,$B39,'6. OPERATION'!$G$17:$G$149,"SUBCON",'6. OPERATION'!$D$17:$D$149,AP$18)</f>
        <v>0</v>
      </c>
      <c r="AQ39" s="281">
        <f>SUMIFS('6. OPERATION'!$R$17:$R$149,'6. OPERATION'!$B$17:$B$149,$B39,'6. OPERATION'!$G$17:$G$149,"SUBCON",'6. OPERATION'!$D$17:$D$149,AQ$18)</f>
        <v>0</v>
      </c>
      <c r="AR39" s="281">
        <f>SUMIFS('6. OPERATION'!$R$17:$R$149,'6. OPERATION'!$B$17:$B$149,$B39,'6. OPERATION'!$G$17:$G$149,"SUBCON",'6. OPERATION'!$D$17:$D$149,AR$18)</f>
        <v>0</v>
      </c>
      <c r="AS39" s="281">
        <f>SUMIFS('6. OPERATION'!R$17:R$149,'6. OPERATION'!B$17:B$149,B39,'6. OPERATION'!G$17:G$149,"TRAVEL")</f>
        <v>0</v>
      </c>
      <c r="AT39" s="281">
        <f>SUMIFS('6. OPERATION'!$R$17:$R$149,'6. OPERATION'!$B$17:$B$149,$B39,'6. OPERATION'!$G$17:$G$149,"TRAVEL",'6. OPERATION'!$D$17:$D$149,AT$18)</f>
        <v>0</v>
      </c>
      <c r="AU39" s="281">
        <f>SUMIFS('6. OPERATION'!$R$17:$R$149,'6. OPERATION'!$B$17:$B$149,$B39,'6. OPERATION'!$G$17:$G$149,"TRAVEL",'6. OPERATION'!$D$17:$D$149,AU$18)</f>
        <v>0</v>
      </c>
      <c r="AV39" s="281">
        <f>SUMIFS('6. OPERATION'!$R$17:$R$149,'6. OPERATION'!$B$17:$B$149,$B39,'6. OPERATION'!$G$17:$G$149,"TRAVEL",'6. OPERATION'!$D$17:$D$149,AV$18)</f>
        <v>0</v>
      </c>
      <c r="AW39" s="281">
        <f>SUMIFS('6. OPERATION'!$R$17:$R$149,'6. OPERATION'!$B$17:$B$149,$B39,'6. OPERATION'!$G$17:$G$149,"TRAVEL",'6. OPERATION'!$D$17:$D$149,AW$18)</f>
        <v>0</v>
      </c>
      <c r="AX39" s="281">
        <f>SUMIFS('6. OPERATION'!$R$17:$R$149,'6. OPERATION'!$B$17:$B$149,$B39,'6. OPERATION'!$G$17:$G$149,"TRAVEL",'6. OPERATION'!$D$17:$D$149,AX$18)</f>
        <v>0</v>
      </c>
      <c r="AY39" s="281">
        <f>SUMIFS('6. OPERATION'!$R$17:$R$149,'6. OPERATION'!$B$17:$B$149,$B39,'6. OPERATION'!$G$17:$G$149,"TRAVEL",'6. OPERATION'!$D$17:$D$149,AY$18)</f>
        <v>0</v>
      </c>
      <c r="AZ39" s="281">
        <f>SUMIFS('6. OPERATION'!$R$17:$R$149,'6. OPERATION'!$B$17:$B$149,$B39,'6. OPERATION'!$G$17:$G$149,"TRAVEL",'6. OPERATION'!$D$17:$D$149,AZ$18)</f>
        <v>0</v>
      </c>
      <c r="BA39" s="281">
        <f>SUMIFS('6. OPERATION'!$R$17:$R$149,'6. OPERATION'!$B$17:$B$149,$B39,'6. OPERATION'!$G$17:$G$149,"TRAVEL",'6. OPERATION'!$D$17:$D$149,BA$18)</f>
        <v>0</v>
      </c>
      <c r="BB39" s="281">
        <f>SUMIFS('6. OPERATION'!$R$17:$R$149,'6. OPERATION'!$B$17:$B$149,$B39,'6. OPERATION'!$G$17:$G$149,"TRAVEL",'6. OPERATION'!$D$17:$D$149,BB$18)</f>
        <v>0</v>
      </c>
      <c r="BC39" s="281">
        <f>SUMIFS('6. OPERATION'!$R$17:$R$149,'6. OPERATION'!$B$17:$B$149,$B39,'6. OPERATION'!$G$17:$G$149,"TRAVEL",'6. OPERATION'!$D$17:$D$149,BC$18)</f>
        <v>0</v>
      </c>
      <c r="BD39" s="281">
        <f>SUMIFS('6. OPERATION'!$R$17:$R$149,'6. OPERATION'!$B$17:$B$149,$B39,'6. OPERATION'!$G$17:$G$149,"TRAVEL",'6. OPERATION'!$D$17:$D$149,BD$18)</f>
        <v>0</v>
      </c>
      <c r="BE39" s="281">
        <f>SUMIFS('6. OPERATION'!$R$17:$R$149,'6. OPERATION'!$B$17:$B$149,$B39,'6. OPERATION'!$G$17:$G$149,"TRAVEL",'6. OPERATION'!$D$17:$D$149,BE$18)</f>
        <v>0</v>
      </c>
      <c r="BF39" s="281">
        <f>SUMIFS('6. OPERATION'!$R$17:$R$149,'6. OPERATION'!$B$17:$B$149,$B39,'6. OPERATION'!$G$17:$G$149,"TRAVEL",'6. OPERATION'!$D$17:$D$149,BF$18)</f>
        <v>0</v>
      </c>
      <c r="BG39" s="281">
        <f>SUMIFS('6. OPERATION'!$R$17:$R$149,'6. OPERATION'!$B$17:$B$149,$B39,'6. OPERATION'!$G$17:$G$149,"TRAVEL",'6. OPERATION'!$D$17:$D$149,BG$18)</f>
        <v>0</v>
      </c>
      <c r="BH39" s="281">
        <f>SUMIFS('6. OPERATION'!$R$17:$R$149,'6. OPERATION'!$B$17:$B$149,$B39,'6. OPERATION'!$G$17:$G$149,"TRAVEL",'6. OPERATION'!$D$17:$D$149,BH$18)</f>
        <v>0</v>
      </c>
      <c r="BI39" s="281">
        <f>SUMIFS('6. OPERATION'!$R$17:$R$149,'6. OPERATION'!$B$17:$B$149,$B39,'6. OPERATION'!$G$17:$G$149,"TRAVEL",'6. OPERATION'!$D$17:$D$149,BI$18)</f>
        <v>0</v>
      </c>
      <c r="BJ39" s="281">
        <f>SUMIFS('6. OPERATION'!$R$17:$R$149,'6. OPERATION'!$B$17:$B$149,$B39,'6. OPERATION'!$G$17:$G$149,"TRAVEL",'6. OPERATION'!$D$17:$D$149,BJ$18)</f>
        <v>0</v>
      </c>
      <c r="BK39" s="281">
        <f>SUMIFS('6. OPERATION'!$R$17:$R$149,'6. OPERATION'!$B$17:$B$149,$B39,'6. OPERATION'!$G$17:$G$149,"TRAVEL",'6. OPERATION'!$D$17:$D$149,BK$18)</f>
        <v>0</v>
      </c>
      <c r="BL39" s="281">
        <f>SUMIFS('6. OPERATION'!$R$17:$R$149,'6. OPERATION'!$B$17:$B$149,$B39,'6. OPERATION'!$G$17:$G$149,"TRAVEL",'6. OPERATION'!$D$17:$D$149,BL$18)</f>
        <v>0</v>
      </c>
      <c r="BM39" s="281">
        <f>SUMIFS('6. OPERATION'!$R$17:$R$149,'6. OPERATION'!$B$17:$B$149,$B39,'6. OPERATION'!$G$17:$G$149,"TRAVEL",'6. OPERATION'!$D$17:$D$149,BM$18)</f>
        <v>0</v>
      </c>
      <c r="BN39" s="281">
        <f>SUMIF('7. INVEST'!B$17:B$49,B39,'7. INVEST'!S$17:S$49)</f>
        <v>0</v>
      </c>
      <c r="BO39" s="281">
        <f>SUMIFS('7. INVEST'!$S$17:$S$49,'7. INVEST'!$B$17:$B$49,$B39,'7. INVEST'!$D$17:$D$49,BO$18)</f>
        <v>0</v>
      </c>
      <c r="BP39" s="281">
        <f>SUMIFS('7. INVEST'!$S$17:$S$49,'7. INVEST'!$B$17:$B$49,$B39,'7. INVEST'!$D$17:$D$49,BP$18)</f>
        <v>0</v>
      </c>
      <c r="BQ39" s="281">
        <f>SUMIFS('7. INVEST'!$S$17:$S$49,'7. INVEST'!$B$17:$B$49,$B39,'7. INVEST'!$D$17:$D$49,BQ$18)</f>
        <v>0</v>
      </c>
      <c r="BR39" s="281">
        <f>SUMIFS('7. INVEST'!$S$17:$S$49,'7. INVEST'!$B$17:$B$49,$B39,'7. INVEST'!$D$17:$D$49,BR$18)</f>
        <v>0</v>
      </c>
      <c r="BS39" s="281">
        <f>SUMIFS('7. INVEST'!$S$17:$S$49,'7. INVEST'!$B$17:$B$49,$B39,'7. INVEST'!$D$17:$D$49,BS$18)</f>
        <v>0</v>
      </c>
      <c r="BT39" s="281">
        <f>SUMIFS('7. INVEST'!$S$17:$S$49,'7. INVEST'!$B$17:$B$49,$B39,'7. INVEST'!$D$17:$D$49,BT$18)</f>
        <v>0</v>
      </c>
      <c r="BU39" s="281">
        <f>SUMIFS('7. INVEST'!$S$17:$S$49,'7. INVEST'!$B$17:$B$49,$B39,'7. INVEST'!$D$17:$D$49,BU$18)</f>
        <v>0</v>
      </c>
      <c r="BV39" s="281">
        <f>SUMIFS('7. INVEST'!$S$17:$S$49,'7. INVEST'!$B$17:$B$49,$B39,'7. INVEST'!$D$17:$D$49,BV$18)</f>
        <v>0</v>
      </c>
      <c r="BW39" s="281">
        <f>SUMIFS('7. INVEST'!$S$17:$S$49,'7. INVEST'!$B$17:$B$49,$B39,'7. INVEST'!$D$17:$D$49,BW$18)</f>
        <v>0</v>
      </c>
      <c r="BX39" s="281">
        <f>SUMIFS('7. INVEST'!$S$17:$S$49,'7. INVEST'!$B$17:$B$49,$B39,'7. INVEST'!$D$17:$D$49,BX$18)</f>
        <v>0</v>
      </c>
      <c r="BY39" s="281">
        <f>SUMIFS('7. INVEST'!$S$17:$S$49,'7. INVEST'!$B$17:$B$49,$B39,'7. INVEST'!$D$17:$D$49,BY$18)</f>
        <v>0</v>
      </c>
      <c r="BZ39" s="281">
        <f>SUMIFS('7. INVEST'!$S$17:$S$49,'7. INVEST'!$B$17:$B$49,$B39,'7. INVEST'!$D$17:$D$49,BZ$18)</f>
        <v>0</v>
      </c>
      <c r="CA39" s="281">
        <f>SUMIFS('7. INVEST'!$S$17:$S$49,'7. INVEST'!$B$17:$B$49,$B39,'7. INVEST'!$D$17:$D$49,CA$18)</f>
        <v>0</v>
      </c>
      <c r="CB39" s="281">
        <f>SUMIFS('7. INVEST'!$S$17:$S$49,'7. INVEST'!$B$17:$B$49,$B39,'7. INVEST'!$D$17:$D$49,CB$18)</f>
        <v>0</v>
      </c>
      <c r="CC39" s="281">
        <f>SUMIFS('7. INVEST'!$S$17:$S$49,'7. INVEST'!$B$17:$B$49,$B39,'7. INVEST'!$D$17:$D$49,CC$18)</f>
        <v>0</v>
      </c>
      <c r="CD39" s="281">
        <f>SUMIFS('7. INVEST'!$S$17:$S$49,'7. INVEST'!$B$17:$B$49,$B39,'7. INVEST'!$D$17:$D$49,CD$18)</f>
        <v>0</v>
      </c>
      <c r="CE39" s="281">
        <f>SUMIFS('7. INVEST'!$S$17:$S$49,'7. INVEST'!$B$17:$B$49,$B39,'7. INVEST'!$D$17:$D$49,CE$18)</f>
        <v>0</v>
      </c>
      <c r="CF39" s="281">
        <f>SUMIFS('7. INVEST'!$S$17:$S$49,'7. INVEST'!$B$17:$B$49,$B39,'7. INVEST'!$D$17:$D$49,CF$18)</f>
        <v>0</v>
      </c>
      <c r="CG39" s="281">
        <f>SUMIFS('7. INVEST'!$S$17:$S$49,'7. INVEST'!$B$17:$B$49,$B39,'7. INVEST'!$D$17:$D$49,CG$18)</f>
        <v>0</v>
      </c>
      <c r="CH39" s="281">
        <f>SUMIFS('7. INVEST'!$S$17:$S$49,'7. INVEST'!$B$17:$B$49,$B39,'7. INVEST'!$D$17:$D$49,CH$18)</f>
        <v>0</v>
      </c>
      <c r="CI39" s="281">
        <f>SUMIFS('6. OPERATION'!$R$17:$R$149,'6. OPERATION'!$B$17:$B$149,$B39,'6. OPERATION'!$G$17:$G$149,"OTHER")+SUMIF('8. FACILIT'!$B$18:$B$50,$B39,'8. FACILIT'!$P$18:$P$50)</f>
        <v>0</v>
      </c>
      <c r="CJ39" s="281">
        <f>SUMIFS('6. OPERATION'!$R$17:$R$149,'6. OPERATION'!$B$17:$B$149,$B39,'6. OPERATION'!$G$17:$G$149,"OTHER",'6. OPERATION'!$D$17:$D$149,CJ$18)+SUMIFS('8. FACILIT'!$P$18:$P$50,'8. FACILIT'!$B$18:$B$50,$B39,'8. FACILIT'!$D$18:$D$50,CJ$18)</f>
        <v>0</v>
      </c>
      <c r="CK39" s="281">
        <f>SUMIFS('6. OPERATION'!$R$17:$R$149,'6. OPERATION'!$B$17:$B$149,$B39,'6. OPERATION'!$G$17:$G$149,"OTHER",'6. OPERATION'!$D$17:$D$149,CK$18)+SUMIFS('8. FACILIT'!$P$18:$P$50,'8. FACILIT'!$B$18:$B$50,$B39,'8. FACILIT'!$D$18:$D$50,CK$18)</f>
        <v>0</v>
      </c>
      <c r="CL39" s="281">
        <f>SUMIFS('6. OPERATION'!$R$17:$R$149,'6. OPERATION'!$B$17:$B$149,$B39,'6. OPERATION'!$G$17:$G$149,"OTHER",'6. OPERATION'!$D$17:$D$149,CL$18)+SUMIFS('8. FACILIT'!$P$18:$P$50,'8. FACILIT'!$B$18:$B$50,$B39,'8. FACILIT'!$D$18:$D$50,CL$18)</f>
        <v>0</v>
      </c>
      <c r="CM39" s="281">
        <f>SUMIFS('6. OPERATION'!$R$17:$R$149,'6. OPERATION'!$B$17:$B$149,$B39,'6. OPERATION'!$G$17:$G$149,"OTHER",'6. OPERATION'!$D$17:$D$149,CM$18)+SUMIFS('8. FACILIT'!$P$18:$P$50,'8. FACILIT'!$B$18:$B$50,$B39,'8. FACILIT'!$D$18:$D$50,CM$18)</f>
        <v>0</v>
      </c>
      <c r="CN39" s="281">
        <f>SUMIFS('6. OPERATION'!$R$17:$R$149,'6. OPERATION'!$B$17:$B$149,$B39,'6. OPERATION'!$G$17:$G$149,"OTHER",'6. OPERATION'!$D$17:$D$149,CN$18)+SUMIFS('8. FACILIT'!$P$18:$P$50,'8. FACILIT'!$B$18:$B$50,$B39,'8. FACILIT'!$D$18:$D$50,CN$18)</f>
        <v>0</v>
      </c>
      <c r="CO39" s="281">
        <f>SUMIFS('6. OPERATION'!$R$17:$R$149,'6. OPERATION'!$B$17:$B$149,$B39,'6. OPERATION'!$G$17:$G$149,"OTHER",'6. OPERATION'!$D$17:$D$149,CO$18)+SUMIFS('8. FACILIT'!$P$18:$P$50,'8. FACILIT'!$B$18:$B$50,$B39,'8. FACILIT'!$D$18:$D$50,CO$18)</f>
        <v>0</v>
      </c>
      <c r="CP39" s="281">
        <f>SUMIFS('6. OPERATION'!$R$17:$R$149,'6. OPERATION'!$B$17:$B$149,$B39,'6. OPERATION'!$G$17:$G$149,"OTHER",'6. OPERATION'!$D$17:$D$149,CP$18)+SUMIFS('8. FACILIT'!$P$18:$P$50,'8. FACILIT'!$B$18:$B$50,$B39,'8. FACILIT'!$D$18:$D$50,CP$18)</f>
        <v>0</v>
      </c>
      <c r="CQ39" s="281">
        <f>SUMIFS('6. OPERATION'!$R$17:$R$149,'6. OPERATION'!$B$17:$B$149,$B39,'6. OPERATION'!$G$17:$G$149,"OTHER",'6. OPERATION'!$D$17:$D$149,CQ$18)+SUMIFS('8. FACILIT'!$P$18:$P$50,'8. FACILIT'!$B$18:$B$50,$B39,'8. FACILIT'!$D$18:$D$50,CQ$18)</f>
        <v>0</v>
      </c>
      <c r="CR39" s="281">
        <f>SUMIFS('6. OPERATION'!$R$17:$R$149,'6. OPERATION'!$B$17:$B$149,$B39,'6. OPERATION'!$G$17:$G$149,"OTHER",'6. OPERATION'!$D$17:$D$149,CR$18)+SUMIFS('8. FACILIT'!$P$18:$P$50,'8. FACILIT'!$B$18:$B$50,$B39,'8. FACILIT'!$D$18:$D$50,CR$18)</f>
        <v>0</v>
      </c>
      <c r="CS39" s="281">
        <f>SUMIFS('6. OPERATION'!$R$17:$R$149,'6. OPERATION'!$B$17:$B$149,$B39,'6. OPERATION'!$G$17:$G$149,"OTHER",'6. OPERATION'!$D$17:$D$149,CS$18)+SUMIFS('8. FACILIT'!$P$18:$P$50,'8. FACILIT'!$B$18:$B$50,$B39,'8. FACILIT'!$D$18:$D$50,CS$18)</f>
        <v>0</v>
      </c>
      <c r="CT39" s="281">
        <f>SUMIFS('6. OPERATION'!$R$17:$R$149,'6. OPERATION'!$B$17:$B$149,$B39,'6. OPERATION'!$G$17:$G$149,"OTHER",'6. OPERATION'!$D$17:$D$149,CT$18)+SUMIFS('8. FACILIT'!$P$18:$P$50,'8. FACILIT'!$B$18:$B$50,$B39,'8. FACILIT'!$D$18:$D$50,CT$18)</f>
        <v>0</v>
      </c>
      <c r="CU39" s="281">
        <f>SUMIFS('6. OPERATION'!$R$17:$R$149,'6. OPERATION'!$B$17:$B$149,$B39,'6. OPERATION'!$G$17:$G$149,"OTHER",'6. OPERATION'!$D$17:$D$149,CU$18)+SUMIFS('8. FACILIT'!$P$18:$P$50,'8. FACILIT'!$B$18:$B$50,$B39,'8. FACILIT'!$D$18:$D$50,CU$18)</f>
        <v>0</v>
      </c>
      <c r="CV39" s="281">
        <f>SUMIFS('6. OPERATION'!$R$17:$R$149,'6. OPERATION'!$B$17:$B$149,$B39,'6. OPERATION'!$G$17:$G$149,"OTHER",'6. OPERATION'!$D$17:$D$149,CV$18)+SUMIFS('8. FACILIT'!$P$18:$P$50,'8. FACILIT'!$B$18:$B$50,$B39,'8. FACILIT'!$D$18:$D$50,CV$18)</f>
        <v>0</v>
      </c>
      <c r="CW39" s="281">
        <f>SUMIFS('6. OPERATION'!$R$17:$R$149,'6. OPERATION'!$B$17:$B$149,$B39,'6. OPERATION'!$G$17:$G$149,"OTHER",'6. OPERATION'!$D$17:$D$149,CW$18)+SUMIFS('8. FACILIT'!$P$18:$P$50,'8. FACILIT'!$B$18:$B$50,$B39,'8. FACILIT'!$D$18:$D$50,CW$18)</f>
        <v>0</v>
      </c>
      <c r="CX39" s="281">
        <f>SUMIFS('6. OPERATION'!$R$17:$R$149,'6. OPERATION'!$B$17:$B$149,$B39,'6. OPERATION'!$G$17:$G$149,"OTHER",'6. OPERATION'!$D$17:$D$149,CX$18)+SUMIFS('8. FACILIT'!$P$18:$P$50,'8. FACILIT'!$B$18:$B$50,$B39,'8. FACILIT'!$D$18:$D$50,CX$18)</f>
        <v>0</v>
      </c>
      <c r="CY39" s="281">
        <f>SUMIFS('6. OPERATION'!$R$17:$R$149,'6. OPERATION'!$B$17:$B$149,$B39,'6. OPERATION'!$G$17:$G$149,"OTHER",'6. OPERATION'!$D$17:$D$149,CY$18)+SUMIFS('8. FACILIT'!$P$18:$P$50,'8. FACILIT'!$B$18:$B$50,$B39,'8. FACILIT'!$D$18:$D$50,CY$18)</f>
        <v>0</v>
      </c>
      <c r="CZ39" s="281">
        <f>SUMIFS('6. OPERATION'!$R$17:$R$149,'6. OPERATION'!$B$17:$B$149,$B39,'6. OPERATION'!$G$17:$G$149,"OTHER",'6. OPERATION'!$D$17:$D$149,CZ$18)+SUMIFS('8. FACILIT'!$P$18:$P$50,'8. FACILIT'!$B$18:$B$50,$B39,'8. FACILIT'!$D$18:$D$50,CZ$18)</f>
        <v>0</v>
      </c>
      <c r="DA39" s="281">
        <f>SUMIFS('6. OPERATION'!$R$17:$R$149,'6. OPERATION'!$B$17:$B$149,$B39,'6. OPERATION'!$G$17:$G$149,"OTHER",'6. OPERATION'!$D$17:$D$149,DA$18)+SUMIFS('8. FACILIT'!$P$18:$P$50,'8. FACILIT'!$B$18:$B$50,$B39,'8. FACILIT'!$D$18:$D$50,DA$18)</f>
        <v>0</v>
      </c>
      <c r="DB39" s="281">
        <f>SUMIFS('6. OPERATION'!$R$17:$R$149,'6. OPERATION'!$B$17:$B$149,$B39,'6. OPERATION'!$G$17:$G$149,"OTHER",'6. OPERATION'!$D$17:$D$149,DB$18)+SUMIFS('8. FACILIT'!$P$18:$P$50,'8. FACILIT'!$B$18:$B$50,$B39,'8. FACILIT'!$D$18:$D$50,DB$18)</f>
        <v>0</v>
      </c>
      <c r="DC39" s="281">
        <f>SUMIFS('6. OPERATION'!$R$17:$R$149,'6. OPERATION'!$B$17:$B$149,$B39,'6. OPERATION'!$G$17:$G$149,"OTHER",'6. OPERATION'!$D$17:$D$149,DC$18)+SUMIFS('8. FACILIT'!$P$18:$P$50,'8. FACILIT'!$B$18:$B$50,$B39,'8. FACILIT'!$D$18:$D$50,DC$18)</f>
        <v>0</v>
      </c>
      <c r="DD39" s="281">
        <f>SUMIFS('6. OPERATION'!R$17:R$149,'6. OPERATION'!B$17:B$149,B39,'6. OPERATION'!G$17:G$149,"INTERN")</f>
        <v>0</v>
      </c>
      <c r="DE39" s="281">
        <f>SUMIFS('6. OPERATION'!$R$17:$R$149,'6. OPERATION'!$B$17:$B$149,$B39,'6. OPERATION'!$G$17:$G$149,"INTERN",'6. OPERATION'!$D$17:$D$149,DE$18)</f>
        <v>0</v>
      </c>
      <c r="DF39" s="281">
        <f>SUMIFS('6. OPERATION'!$R$17:$R$149,'6. OPERATION'!$B$17:$B$149,$B39,'6. OPERATION'!$G$17:$G$149,"INTERN",'6. OPERATION'!$D$17:$D$149,DF$18)</f>
        <v>0</v>
      </c>
      <c r="DG39" s="281">
        <f>SUMIFS('6. OPERATION'!$R$17:$R$149,'6. OPERATION'!$B$17:$B$149,$B39,'6. OPERATION'!$G$17:$G$149,"INTERN",'6. OPERATION'!$D$17:$D$149,DG$18)</f>
        <v>0</v>
      </c>
      <c r="DH39" s="281">
        <f>SUMIFS('6. OPERATION'!$R$17:$R$149,'6. OPERATION'!$B$17:$B$149,$B39,'6. OPERATION'!$G$17:$G$149,"INTERN",'6. OPERATION'!$D$17:$D$149,DH$18)</f>
        <v>0</v>
      </c>
      <c r="DI39" s="281">
        <f>SUMIFS('6. OPERATION'!$R$17:$R$149,'6. OPERATION'!$B$17:$B$149,$B39,'6. OPERATION'!$G$17:$G$149,"INTERN",'6. OPERATION'!$D$17:$D$149,DI$18)</f>
        <v>0</v>
      </c>
      <c r="DJ39" s="281">
        <f>SUMIFS('6. OPERATION'!$R$17:$R$149,'6. OPERATION'!$B$17:$B$149,$B39,'6. OPERATION'!$G$17:$G$149,"INTERN",'6. OPERATION'!$D$17:$D$149,DJ$18)</f>
        <v>0</v>
      </c>
      <c r="DK39" s="281">
        <f>SUMIFS('6. OPERATION'!$R$17:$R$149,'6. OPERATION'!$B$17:$B$149,$B39,'6. OPERATION'!$G$17:$G$149,"INTERN",'6. OPERATION'!$D$17:$D$149,DK$18)</f>
        <v>0</v>
      </c>
      <c r="DL39" s="281">
        <f>SUMIFS('6. OPERATION'!$R$17:$R$149,'6. OPERATION'!$B$17:$B$149,$B39,'6. OPERATION'!$G$17:$G$149,"INTERN",'6. OPERATION'!$D$17:$D$149,DL$18)</f>
        <v>0</v>
      </c>
      <c r="DM39" s="281">
        <f>SUMIFS('6. OPERATION'!$R$17:$R$149,'6. OPERATION'!$B$17:$B$149,$B39,'6. OPERATION'!$G$17:$G$149,"INTERN",'6. OPERATION'!$D$17:$D$149,DM$18)</f>
        <v>0</v>
      </c>
      <c r="DN39" s="281">
        <f>SUMIFS('6. OPERATION'!$R$17:$R$149,'6. OPERATION'!$B$17:$B$149,$B39,'6. OPERATION'!$G$17:$G$149,"INTERN",'6. OPERATION'!$D$17:$D$149,DN$18)</f>
        <v>0</v>
      </c>
      <c r="DO39" s="281">
        <f>SUMIFS('6. OPERATION'!$R$17:$R$149,'6. OPERATION'!$B$17:$B$149,$B39,'6. OPERATION'!$G$17:$G$149,"INTERN",'6. OPERATION'!$D$17:$D$149,DO$18)</f>
        <v>0</v>
      </c>
      <c r="DP39" s="281">
        <f>SUMIFS('6. OPERATION'!$R$17:$R$149,'6. OPERATION'!$B$17:$B$149,$B39,'6. OPERATION'!$G$17:$G$149,"INTERN",'6. OPERATION'!$D$17:$D$149,DP$18)</f>
        <v>0</v>
      </c>
      <c r="DQ39" s="281">
        <f>SUMIFS('6. OPERATION'!$R$17:$R$149,'6. OPERATION'!$B$17:$B$149,$B39,'6. OPERATION'!$G$17:$G$149,"INTERN",'6. OPERATION'!$D$17:$D$149,DQ$18)</f>
        <v>0</v>
      </c>
      <c r="DR39" s="281">
        <f>SUMIFS('6. OPERATION'!$R$17:$R$149,'6. OPERATION'!$B$17:$B$149,$B39,'6. OPERATION'!$G$17:$G$149,"INTERN",'6. OPERATION'!$D$17:$D$149,DR$18)</f>
        <v>0</v>
      </c>
      <c r="DS39" s="281">
        <f>SUMIFS('6. OPERATION'!$R$17:$R$149,'6. OPERATION'!$B$17:$B$149,$B39,'6. OPERATION'!$G$17:$G$149,"INTERN",'6. OPERATION'!$D$17:$D$149,DS$18)</f>
        <v>0</v>
      </c>
      <c r="DT39" s="281">
        <f>SUMIFS('6. OPERATION'!$R$17:$R$149,'6. OPERATION'!$B$17:$B$149,$B39,'6. OPERATION'!$G$17:$G$149,"INTERN",'6. OPERATION'!$D$17:$D$149,DT$18)</f>
        <v>0</v>
      </c>
      <c r="DU39" s="281">
        <f>SUMIFS('6. OPERATION'!$R$17:$R$149,'6. OPERATION'!$B$17:$B$149,$B39,'6. OPERATION'!$G$17:$G$149,"INTERN",'6. OPERATION'!$D$17:$D$149,DU$18)</f>
        <v>0</v>
      </c>
      <c r="DV39" s="281">
        <f>SUMIFS('6. OPERATION'!$R$17:$R$149,'6. OPERATION'!$B$17:$B$149,$B39,'6. OPERATION'!$G$17:$G$149,"INTERN",'6. OPERATION'!$D$17:$D$149,DV$18)</f>
        <v>0</v>
      </c>
      <c r="DW39" s="281">
        <f>SUMIFS('6. OPERATION'!$R$17:$R$149,'6. OPERATION'!$B$17:$B$149,$B39,'6. OPERATION'!$G$17:$G$149,"INTERN",'6. OPERATION'!$D$17:$D$149,DW$18)</f>
        <v>0</v>
      </c>
      <c r="DX39" s="281">
        <f>SUMIFS('6. OPERATION'!$R$17:$R$149,'6. OPERATION'!$B$17:$B$149,$B39,'6. OPERATION'!$G$17:$G$149,"INTERN",'6. OPERATION'!$D$17:$D$149,DX$18)</f>
        <v>0</v>
      </c>
      <c r="DY39" s="288">
        <f>(C39+AS39+BN39+CI39)*'2. START'!$C$12</f>
        <v>0</v>
      </c>
      <c r="DZ39" s="288">
        <f>(D39+AT39+BO39+CJ39)*'2. START'!$C$12</f>
        <v>0</v>
      </c>
      <c r="EA39" s="288">
        <f>(E39+AU39+BP39+CK39)*'2. START'!$C$12</f>
        <v>0</v>
      </c>
      <c r="EB39" s="288">
        <f>(F39+AV39+BQ39+CL39)*'2. START'!$C$12</f>
        <v>0</v>
      </c>
      <c r="EC39" s="288">
        <f>(G39+AW39+BR39+CM39)*'2. START'!$C$12</f>
        <v>0</v>
      </c>
      <c r="ED39" s="288">
        <f>(H39+AX39+BS39+CN39)*'2. START'!$C$12</f>
        <v>0</v>
      </c>
      <c r="EE39" s="288">
        <f>(I39+AY39+BT39+CO39)*'2. START'!$C$12</f>
        <v>0</v>
      </c>
      <c r="EF39" s="288">
        <f>(J39+AZ39+BU39+CP39)*'2. START'!$C$12</f>
        <v>0</v>
      </c>
      <c r="EG39" s="288">
        <f>(K39+BA39+BV39+CQ39)*'2. START'!$C$12</f>
        <v>0</v>
      </c>
      <c r="EH39" s="288">
        <f>(L39+BB39+BW39+CR39)*'2. START'!$C$12</f>
        <v>0</v>
      </c>
      <c r="EI39" s="288">
        <f>(M39+BC39+BX39+CS39)*'2. START'!$C$12</f>
        <v>0</v>
      </c>
      <c r="EJ39" s="288">
        <f>(N39+BD39+BY39+CT39)*'2. START'!$C$12</f>
        <v>0</v>
      </c>
      <c r="EK39" s="288">
        <f>(O39+BE39+BZ39+CU39)*'2. START'!$C$12</f>
        <v>0</v>
      </c>
      <c r="EL39" s="288">
        <f>(P39+BF39+CA39+CV39)*'2. START'!$C$12</f>
        <v>0</v>
      </c>
      <c r="EM39" s="288">
        <f>(Q39+BG39+CB39+CW39)*'2. START'!$C$12</f>
        <v>0</v>
      </c>
      <c r="EN39" s="288">
        <f>(R39+BH39+CC39+CX39)*'2. START'!$C$12</f>
        <v>0</v>
      </c>
      <c r="EO39" s="288">
        <f>(S39+BI39+CD39+CY39)*'2. START'!$C$12</f>
        <v>0</v>
      </c>
      <c r="EP39" s="288">
        <f>(T39+BJ39+CE39+CZ39)*'2. START'!$C$12</f>
        <v>0</v>
      </c>
      <c r="EQ39" s="288">
        <f>(U39+BK39+CF39+DA39)*'2. START'!$C$12</f>
        <v>0</v>
      </c>
      <c r="ER39" s="288">
        <f>(V39+BL39+CG39+DB39)*'2. START'!$C$12</f>
        <v>0</v>
      </c>
      <c r="ES39" s="288">
        <f>(W39+BM39+CH39+DC39)*'2. START'!$C$12</f>
        <v>0</v>
      </c>
      <c r="ET39" s="105">
        <f t="shared" si="4"/>
        <v>0</v>
      </c>
      <c r="EU39" s="105">
        <f t="shared" si="5"/>
        <v>0</v>
      </c>
      <c r="EV39" s="105">
        <f t="shared" si="6"/>
        <v>0</v>
      </c>
      <c r="EW39" s="105">
        <f t="shared" si="7"/>
        <v>0</v>
      </c>
      <c r="EX39" s="105">
        <f t="shared" si="8"/>
        <v>0</v>
      </c>
      <c r="EY39" s="105">
        <f t="shared" si="9"/>
        <v>0</v>
      </c>
      <c r="EZ39" s="105">
        <f t="shared" si="10"/>
        <v>0</v>
      </c>
      <c r="FA39" s="105">
        <f t="shared" si="11"/>
        <v>0</v>
      </c>
      <c r="FB39" s="105">
        <f t="shared" si="12"/>
        <v>0</v>
      </c>
      <c r="FC39" s="105">
        <f t="shared" si="13"/>
        <v>0</v>
      </c>
      <c r="FD39" s="105">
        <f t="shared" si="14"/>
        <v>0</v>
      </c>
      <c r="FE39" s="105">
        <f t="shared" si="18"/>
        <v>0</v>
      </c>
      <c r="FF39" s="105">
        <f t="shared" si="19"/>
        <v>0</v>
      </c>
      <c r="FG39" s="105">
        <f t="shared" si="20"/>
        <v>0</v>
      </c>
      <c r="FH39" s="105">
        <f t="shared" si="21"/>
        <v>0</v>
      </c>
      <c r="FI39" s="105">
        <f t="shared" si="22"/>
        <v>0</v>
      </c>
      <c r="FJ39" s="105">
        <f t="shared" si="23"/>
        <v>0</v>
      </c>
      <c r="FK39" s="105">
        <f t="shared" si="24"/>
        <v>0</v>
      </c>
      <c r="FL39" s="105">
        <f t="shared" si="25"/>
        <v>0</v>
      </c>
      <c r="FM39" s="105">
        <f t="shared" si="26"/>
        <v>0</v>
      </c>
      <c r="FN39" s="105">
        <f t="shared" si="27"/>
        <v>0</v>
      </c>
      <c r="FO39" s="273" t="str">
        <f t="shared" si="17"/>
        <v/>
      </c>
      <c r="FP39" s="105">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943">
        <f t="shared" si="16"/>
        <v>0</v>
      </c>
      <c r="FR39" s="940">
        <f>SUMIFS('5. PERSON'!$AE$17:$AE$192,'5. PERSON'!$B$17:$B$192,'14. EUFP'!$B39,'5. PERSON'!$D$17:$D$192,FR$18)</f>
        <v>0</v>
      </c>
      <c r="FS39" s="940">
        <f>SUMIFS('5. PERSON'!$AE$17:$AE$192,'5. PERSON'!$B$17:$B$192,'14. EUFP'!$B39,'5. PERSON'!$D$17:$D$192,FS$18)</f>
        <v>0</v>
      </c>
      <c r="FT39" s="940">
        <f>SUMIFS('5. PERSON'!$AE$17:$AE$192,'5. PERSON'!$B$17:$B$192,'14. EUFP'!$B39,'5. PERSON'!$D$17:$D$192,FT$18)</f>
        <v>0</v>
      </c>
      <c r="FU39" s="940">
        <f>SUMIFS('5. PERSON'!$AE$17:$AE$192,'5. PERSON'!$B$17:$B$192,'14. EUFP'!$B39,'5. PERSON'!$D$17:$D$192,FU$18)</f>
        <v>0</v>
      </c>
      <c r="FV39" s="940">
        <f>SUMIFS('5. PERSON'!$AE$17:$AE$192,'5. PERSON'!$B$17:$B$192,'14. EUFP'!$B39,'5. PERSON'!$D$17:$D$192,FV$18)</f>
        <v>0</v>
      </c>
      <c r="FW39" s="940">
        <f>SUMIFS('5. PERSON'!$AE$17:$AE$192,'5. PERSON'!$B$17:$B$192,'14. EUFP'!$B39,'5. PERSON'!$D$17:$D$192,FW$18)</f>
        <v>0</v>
      </c>
      <c r="FX39" s="940">
        <f>SUMIFS('5. PERSON'!$AE$17:$AE$192,'5. PERSON'!$B$17:$B$192,'14. EUFP'!$B39,'5. PERSON'!$D$17:$D$192,FX$18)</f>
        <v>0</v>
      </c>
      <c r="FY39" s="940">
        <f>SUMIFS('5. PERSON'!$AE$17:$AE$192,'5. PERSON'!$B$17:$B$192,'14. EUFP'!$B39,'5. PERSON'!$D$17:$D$192,FY$18)</f>
        <v>0</v>
      </c>
      <c r="FZ39" s="940">
        <f>SUMIFS('5. PERSON'!$AE$17:$AE$192,'5. PERSON'!$B$17:$B$192,'14. EUFP'!$B39,'5. PERSON'!$D$17:$D$192,FZ$18)</f>
        <v>0</v>
      </c>
      <c r="GA39" s="940">
        <f>SUMIFS('5. PERSON'!$AE$17:$AE$192,'5. PERSON'!$B$17:$B$192,'14. EUFP'!$B39,'5. PERSON'!$D$17:$D$192,GA$18)</f>
        <v>0</v>
      </c>
      <c r="GB39" s="940">
        <f>SUMIFS('5. PERSON'!$AE$17:$AE$192,'5. PERSON'!$B$17:$B$192,'14. EUFP'!$B39,'5. PERSON'!$D$17:$D$192,GB$18)</f>
        <v>0</v>
      </c>
      <c r="GC39" s="940">
        <f>SUMIFS('5. PERSON'!$AE$17:$AE$192,'5. PERSON'!$B$17:$B$192,'14. EUFP'!$B39,'5. PERSON'!$D$17:$D$192,GC$18)</f>
        <v>0</v>
      </c>
      <c r="GD39" s="940">
        <f>SUMIFS('5. PERSON'!$AE$17:$AE$192,'5. PERSON'!$B$17:$B$192,'14. EUFP'!$B39,'5. PERSON'!$D$17:$D$192,GD$18)</f>
        <v>0</v>
      </c>
      <c r="GE39" s="940">
        <f>SUMIFS('5. PERSON'!$AE$17:$AE$192,'5. PERSON'!$B$17:$B$192,'14. EUFP'!$B39,'5. PERSON'!$D$17:$D$192,GE$18)</f>
        <v>0</v>
      </c>
      <c r="GF39" s="940">
        <f>SUMIFS('5. PERSON'!$AE$17:$AE$192,'5. PERSON'!$B$17:$B$192,'14. EUFP'!$B39,'5. PERSON'!$D$17:$D$192,GF$18)</f>
        <v>0</v>
      </c>
      <c r="GG39" s="940">
        <f>SUMIFS('5. PERSON'!$AE$17:$AE$192,'5. PERSON'!$B$17:$B$192,'14. EUFP'!$B39,'5. PERSON'!$D$17:$D$192,GG$18)</f>
        <v>0</v>
      </c>
      <c r="GH39" s="940">
        <f>SUMIFS('5. PERSON'!$AE$17:$AE$192,'5. PERSON'!$B$17:$B$192,'14. EUFP'!$B39,'5. PERSON'!$D$17:$D$192,GH$18)</f>
        <v>0</v>
      </c>
      <c r="GI39" s="940">
        <f>SUMIFS('5. PERSON'!$AE$17:$AE$192,'5. PERSON'!$B$17:$B$192,'14. EUFP'!$B39,'5. PERSON'!$D$17:$D$192,GI$18)</f>
        <v>0</v>
      </c>
      <c r="GJ39" s="940">
        <f>SUMIFS('5. PERSON'!$AE$17:$AE$192,'5. PERSON'!$B$17:$B$192,'14. EUFP'!$B39,'5. PERSON'!$D$17:$D$192,GJ$18)</f>
        <v>0</v>
      </c>
      <c r="GK39" s="940">
        <f>SUMIFS('5. PERSON'!$AE$17:$AE$192,'5. PERSON'!$B$17:$B$192,'14. EUFP'!$B39,'5. PERSON'!$D$17:$D$192,GK$18)</f>
        <v>0</v>
      </c>
      <c r="GL39" s="940">
        <f t="shared" si="28"/>
        <v>0</v>
      </c>
    </row>
    <row r="40" spans="2:194" ht="13.5" customHeight="1" x14ac:dyDescent="0.2">
      <c r="B40" s="261" t="str">
        <f>'3. PARTNER'!B67</f>
        <v>EXT117</v>
      </c>
      <c r="C40" s="262">
        <f>SUMIF('5. PERSON'!B$17:B$192,B40,'5. PERSON'!AR$17:AR$192)</f>
        <v>0</v>
      </c>
      <c r="D40" s="262">
        <f>SUMIFS('5. PERSON'!$AR$17:$AR$192,'5. PERSON'!$B$17:$B$192,$B40,'5. PERSON'!$D$17:$D$192,D$18)</f>
        <v>0</v>
      </c>
      <c r="E40" s="262">
        <f>SUMIFS('5. PERSON'!$AR$17:$AR$192,'5. PERSON'!$B$17:$B$192,$B40,'5. PERSON'!$D$17:$D$192,E$18)</f>
        <v>0</v>
      </c>
      <c r="F40" s="262">
        <f>SUMIFS('5. PERSON'!$AR$17:$AR$192,'5. PERSON'!$B$17:$B$192,$B40,'5. PERSON'!$D$17:$D$192,F$18)</f>
        <v>0</v>
      </c>
      <c r="G40" s="262">
        <f>SUMIFS('5. PERSON'!$AR$17:$AR$192,'5. PERSON'!$B$17:$B$192,$B40,'5. PERSON'!$D$17:$D$192,G$18)</f>
        <v>0</v>
      </c>
      <c r="H40" s="262">
        <f>SUMIFS('5. PERSON'!$AR$17:$AR$192,'5. PERSON'!$B$17:$B$192,$B40,'5. PERSON'!$D$17:$D$192,H$18)</f>
        <v>0</v>
      </c>
      <c r="I40" s="262">
        <f>SUMIFS('5. PERSON'!$AR$17:$AR$192,'5. PERSON'!$B$17:$B$192,$B40,'5. PERSON'!$D$17:$D$192,I$18)</f>
        <v>0</v>
      </c>
      <c r="J40" s="262">
        <f>SUMIFS('5. PERSON'!$AR$17:$AR$192,'5. PERSON'!$B$17:$B$192,$B40,'5. PERSON'!$D$17:$D$192,J$18)</f>
        <v>0</v>
      </c>
      <c r="K40" s="262">
        <f>SUMIFS('5. PERSON'!$AR$17:$AR$192,'5. PERSON'!$B$17:$B$192,$B40,'5. PERSON'!$D$17:$D$192,K$18)</f>
        <v>0</v>
      </c>
      <c r="L40" s="262">
        <f>SUMIFS('5. PERSON'!$AR$17:$AR$192,'5. PERSON'!$B$17:$B$192,$B40,'5. PERSON'!$D$17:$D$192,L$18)</f>
        <v>0</v>
      </c>
      <c r="M40" s="262">
        <f>SUMIFS('5. PERSON'!$AR$17:$AR$192,'5. PERSON'!$B$17:$B$192,$B40,'5. PERSON'!$D$17:$D$192,M$18)</f>
        <v>0</v>
      </c>
      <c r="N40" s="262">
        <f>SUMIFS('5. PERSON'!$AR$17:$AR$192,'5. PERSON'!$B$17:$B$192,$B40,'5. PERSON'!$D$17:$D$192,N$18)</f>
        <v>0</v>
      </c>
      <c r="O40" s="262">
        <f>SUMIFS('5. PERSON'!$AR$17:$AR$192,'5. PERSON'!$B$17:$B$192,$B40,'5. PERSON'!$D$17:$D$192,O$18)</f>
        <v>0</v>
      </c>
      <c r="P40" s="262">
        <f>SUMIFS('5. PERSON'!$AR$17:$AR$192,'5. PERSON'!$B$17:$B$192,$B40,'5. PERSON'!$D$17:$D$192,P$18)</f>
        <v>0</v>
      </c>
      <c r="Q40" s="262">
        <f>SUMIFS('5. PERSON'!$AR$17:$AR$192,'5. PERSON'!$B$17:$B$192,$B40,'5. PERSON'!$D$17:$D$192,Q$18)</f>
        <v>0</v>
      </c>
      <c r="R40" s="262">
        <f>SUMIFS('5. PERSON'!$AR$17:$AR$192,'5. PERSON'!$B$17:$B$192,$B40,'5. PERSON'!$D$17:$D$192,R$18)</f>
        <v>0</v>
      </c>
      <c r="S40" s="262">
        <f>SUMIFS('5. PERSON'!$AR$17:$AR$192,'5. PERSON'!$B$17:$B$192,$B40,'5. PERSON'!$D$17:$D$192,S$18)</f>
        <v>0</v>
      </c>
      <c r="T40" s="262">
        <f>SUMIFS('5. PERSON'!$AR$17:$AR$192,'5. PERSON'!$B$17:$B$192,$B40,'5. PERSON'!$D$17:$D$192,T$18)</f>
        <v>0</v>
      </c>
      <c r="U40" s="262">
        <f>SUMIFS('5. PERSON'!$AR$17:$AR$192,'5. PERSON'!$B$17:$B$192,$B40,'5. PERSON'!$D$17:$D$192,U$18)</f>
        <v>0</v>
      </c>
      <c r="V40" s="262">
        <f>SUMIFS('5. PERSON'!$AR$17:$AR$192,'5. PERSON'!$B$17:$B$192,$B40,'5. PERSON'!$D$17:$D$192,V$18)</f>
        <v>0</v>
      </c>
      <c r="W40" s="262">
        <f>SUMIFS('5. PERSON'!$AR$17:$AR$192,'5. PERSON'!$B$17:$B$192,$B40,'5. PERSON'!$D$17:$D$192,W$18)</f>
        <v>0</v>
      </c>
      <c r="X40" s="262">
        <f>SUMIFS('6. OPERATION'!R$17:R$149,'6. OPERATION'!B$17:B$149,B40,'6. OPERATION'!G$17:G$149,"SUBCON")</f>
        <v>0</v>
      </c>
      <c r="Y40" s="262">
        <f>SUMIFS('6. OPERATION'!$R$17:$R$149,'6. OPERATION'!$B$17:$B$149,$B40,'6. OPERATION'!$G$17:$G$149,"SUBCON",'6. OPERATION'!$D$17:$D$149,Y$18)</f>
        <v>0</v>
      </c>
      <c r="Z40" s="262">
        <f>SUMIFS('6. OPERATION'!$R$17:$R$149,'6. OPERATION'!$B$17:$B$149,$B40,'6. OPERATION'!$G$17:$G$149,"SUBCON",'6. OPERATION'!$D$17:$D$149,Z$18)</f>
        <v>0</v>
      </c>
      <c r="AA40" s="262">
        <f>SUMIFS('6. OPERATION'!$R$17:$R$149,'6. OPERATION'!$B$17:$B$149,$B40,'6. OPERATION'!$G$17:$G$149,"SUBCON",'6. OPERATION'!$D$17:$D$149,AA$18)</f>
        <v>0</v>
      </c>
      <c r="AB40" s="262">
        <f>SUMIFS('6. OPERATION'!$R$17:$R$149,'6. OPERATION'!$B$17:$B$149,$B40,'6. OPERATION'!$G$17:$G$149,"SUBCON",'6. OPERATION'!$D$17:$D$149,AB$18)</f>
        <v>0</v>
      </c>
      <c r="AC40" s="262">
        <f>SUMIFS('6. OPERATION'!$R$17:$R$149,'6. OPERATION'!$B$17:$B$149,$B40,'6. OPERATION'!$G$17:$G$149,"SUBCON",'6. OPERATION'!$D$17:$D$149,AC$18)</f>
        <v>0</v>
      </c>
      <c r="AD40" s="262">
        <f>SUMIFS('6. OPERATION'!$R$17:$R$149,'6. OPERATION'!$B$17:$B$149,$B40,'6. OPERATION'!$G$17:$G$149,"SUBCON",'6. OPERATION'!$D$17:$D$149,AD$18)</f>
        <v>0</v>
      </c>
      <c r="AE40" s="262">
        <f>SUMIFS('6. OPERATION'!$R$17:$R$149,'6. OPERATION'!$B$17:$B$149,$B40,'6. OPERATION'!$G$17:$G$149,"SUBCON",'6. OPERATION'!$D$17:$D$149,AE$18)</f>
        <v>0</v>
      </c>
      <c r="AF40" s="262">
        <f>SUMIFS('6. OPERATION'!$R$17:$R$149,'6. OPERATION'!$B$17:$B$149,$B40,'6. OPERATION'!$G$17:$G$149,"SUBCON",'6. OPERATION'!$D$17:$D$149,AF$18)</f>
        <v>0</v>
      </c>
      <c r="AG40" s="262">
        <f>SUMIFS('6. OPERATION'!$R$17:$R$149,'6. OPERATION'!$B$17:$B$149,$B40,'6. OPERATION'!$G$17:$G$149,"SUBCON",'6. OPERATION'!$D$17:$D$149,AG$18)</f>
        <v>0</v>
      </c>
      <c r="AH40" s="262">
        <f>SUMIFS('6. OPERATION'!$R$17:$R$149,'6. OPERATION'!$B$17:$B$149,$B40,'6. OPERATION'!$G$17:$G$149,"SUBCON",'6. OPERATION'!$D$17:$D$149,AH$18)</f>
        <v>0</v>
      </c>
      <c r="AI40" s="262">
        <f>SUMIFS('6. OPERATION'!$R$17:$R$149,'6. OPERATION'!$B$17:$B$149,$B40,'6. OPERATION'!$G$17:$G$149,"SUBCON",'6. OPERATION'!$D$17:$D$149,AI$18)</f>
        <v>0</v>
      </c>
      <c r="AJ40" s="262">
        <f>SUMIFS('6. OPERATION'!$R$17:$R$149,'6. OPERATION'!$B$17:$B$149,$B40,'6. OPERATION'!$G$17:$G$149,"SUBCON",'6. OPERATION'!$D$17:$D$149,AJ$18)</f>
        <v>0</v>
      </c>
      <c r="AK40" s="262">
        <f>SUMIFS('6. OPERATION'!$R$17:$R$149,'6. OPERATION'!$B$17:$B$149,$B40,'6. OPERATION'!$G$17:$G$149,"SUBCON",'6. OPERATION'!$D$17:$D$149,AK$18)</f>
        <v>0</v>
      </c>
      <c r="AL40" s="262">
        <f>SUMIFS('6. OPERATION'!$R$17:$R$149,'6. OPERATION'!$B$17:$B$149,$B40,'6. OPERATION'!$G$17:$G$149,"SUBCON",'6. OPERATION'!$D$17:$D$149,AL$18)</f>
        <v>0</v>
      </c>
      <c r="AM40" s="262">
        <f>SUMIFS('6. OPERATION'!$R$17:$R$149,'6. OPERATION'!$B$17:$B$149,$B40,'6. OPERATION'!$G$17:$G$149,"SUBCON",'6. OPERATION'!$D$17:$D$149,AM$18)</f>
        <v>0</v>
      </c>
      <c r="AN40" s="262">
        <f>SUMIFS('6. OPERATION'!$R$17:$R$149,'6. OPERATION'!$B$17:$B$149,$B40,'6. OPERATION'!$G$17:$G$149,"SUBCON",'6. OPERATION'!$D$17:$D$149,AN$18)</f>
        <v>0</v>
      </c>
      <c r="AO40" s="262">
        <f>SUMIFS('6. OPERATION'!$R$17:$R$149,'6. OPERATION'!$B$17:$B$149,$B40,'6. OPERATION'!$G$17:$G$149,"SUBCON",'6. OPERATION'!$D$17:$D$149,AO$18)</f>
        <v>0</v>
      </c>
      <c r="AP40" s="262">
        <f>SUMIFS('6. OPERATION'!$R$17:$R$149,'6. OPERATION'!$B$17:$B$149,$B40,'6. OPERATION'!$G$17:$G$149,"SUBCON",'6. OPERATION'!$D$17:$D$149,AP$18)</f>
        <v>0</v>
      </c>
      <c r="AQ40" s="262">
        <f>SUMIFS('6. OPERATION'!$R$17:$R$149,'6. OPERATION'!$B$17:$B$149,$B40,'6. OPERATION'!$G$17:$G$149,"SUBCON",'6. OPERATION'!$D$17:$D$149,AQ$18)</f>
        <v>0</v>
      </c>
      <c r="AR40" s="262">
        <f>SUMIFS('6. OPERATION'!$R$17:$R$149,'6. OPERATION'!$B$17:$B$149,$B40,'6. OPERATION'!$G$17:$G$149,"SUBCON",'6. OPERATION'!$D$17:$D$149,AR$18)</f>
        <v>0</v>
      </c>
      <c r="AS40" s="262">
        <f>SUMIFS('6. OPERATION'!R$17:R$149,'6. OPERATION'!B$17:B$149,B40,'6. OPERATION'!G$17:G$149,"TRAVEL")</f>
        <v>0</v>
      </c>
      <c r="AT40" s="262">
        <f>SUMIFS('6. OPERATION'!$R$17:$R$149,'6. OPERATION'!$B$17:$B$149,$B40,'6. OPERATION'!$G$17:$G$149,"TRAVEL",'6. OPERATION'!$D$17:$D$149,AT$18)</f>
        <v>0</v>
      </c>
      <c r="AU40" s="262">
        <f>SUMIFS('6. OPERATION'!$R$17:$R$149,'6. OPERATION'!$B$17:$B$149,$B40,'6. OPERATION'!$G$17:$G$149,"TRAVEL",'6. OPERATION'!$D$17:$D$149,AU$18)</f>
        <v>0</v>
      </c>
      <c r="AV40" s="262">
        <f>SUMIFS('6. OPERATION'!$R$17:$R$149,'6. OPERATION'!$B$17:$B$149,$B40,'6. OPERATION'!$G$17:$G$149,"TRAVEL",'6. OPERATION'!$D$17:$D$149,AV$18)</f>
        <v>0</v>
      </c>
      <c r="AW40" s="262">
        <f>SUMIFS('6. OPERATION'!$R$17:$R$149,'6. OPERATION'!$B$17:$B$149,$B40,'6. OPERATION'!$G$17:$G$149,"TRAVEL",'6. OPERATION'!$D$17:$D$149,AW$18)</f>
        <v>0</v>
      </c>
      <c r="AX40" s="262">
        <f>SUMIFS('6. OPERATION'!$R$17:$R$149,'6. OPERATION'!$B$17:$B$149,$B40,'6. OPERATION'!$G$17:$G$149,"TRAVEL",'6. OPERATION'!$D$17:$D$149,AX$18)</f>
        <v>0</v>
      </c>
      <c r="AY40" s="262">
        <f>SUMIFS('6. OPERATION'!$R$17:$R$149,'6. OPERATION'!$B$17:$B$149,$B40,'6. OPERATION'!$G$17:$G$149,"TRAVEL",'6. OPERATION'!$D$17:$D$149,AY$18)</f>
        <v>0</v>
      </c>
      <c r="AZ40" s="262">
        <f>SUMIFS('6. OPERATION'!$R$17:$R$149,'6. OPERATION'!$B$17:$B$149,$B40,'6. OPERATION'!$G$17:$G$149,"TRAVEL",'6. OPERATION'!$D$17:$D$149,AZ$18)</f>
        <v>0</v>
      </c>
      <c r="BA40" s="262">
        <f>SUMIFS('6. OPERATION'!$R$17:$R$149,'6. OPERATION'!$B$17:$B$149,$B40,'6. OPERATION'!$G$17:$G$149,"TRAVEL",'6. OPERATION'!$D$17:$D$149,BA$18)</f>
        <v>0</v>
      </c>
      <c r="BB40" s="262">
        <f>SUMIFS('6. OPERATION'!$R$17:$R$149,'6. OPERATION'!$B$17:$B$149,$B40,'6. OPERATION'!$G$17:$G$149,"TRAVEL",'6. OPERATION'!$D$17:$D$149,BB$18)</f>
        <v>0</v>
      </c>
      <c r="BC40" s="262">
        <f>SUMIFS('6. OPERATION'!$R$17:$R$149,'6. OPERATION'!$B$17:$B$149,$B40,'6. OPERATION'!$G$17:$G$149,"TRAVEL",'6. OPERATION'!$D$17:$D$149,BC$18)</f>
        <v>0</v>
      </c>
      <c r="BD40" s="262">
        <f>SUMIFS('6. OPERATION'!$R$17:$R$149,'6. OPERATION'!$B$17:$B$149,$B40,'6. OPERATION'!$G$17:$G$149,"TRAVEL",'6. OPERATION'!$D$17:$D$149,BD$18)</f>
        <v>0</v>
      </c>
      <c r="BE40" s="262">
        <f>SUMIFS('6. OPERATION'!$R$17:$R$149,'6. OPERATION'!$B$17:$B$149,$B40,'6. OPERATION'!$G$17:$G$149,"TRAVEL",'6. OPERATION'!$D$17:$D$149,BE$18)</f>
        <v>0</v>
      </c>
      <c r="BF40" s="262">
        <f>SUMIFS('6. OPERATION'!$R$17:$R$149,'6. OPERATION'!$B$17:$B$149,$B40,'6. OPERATION'!$G$17:$G$149,"TRAVEL",'6. OPERATION'!$D$17:$D$149,BF$18)</f>
        <v>0</v>
      </c>
      <c r="BG40" s="262">
        <f>SUMIFS('6. OPERATION'!$R$17:$R$149,'6. OPERATION'!$B$17:$B$149,$B40,'6. OPERATION'!$G$17:$G$149,"TRAVEL",'6. OPERATION'!$D$17:$D$149,BG$18)</f>
        <v>0</v>
      </c>
      <c r="BH40" s="262">
        <f>SUMIFS('6. OPERATION'!$R$17:$R$149,'6. OPERATION'!$B$17:$B$149,$B40,'6. OPERATION'!$G$17:$G$149,"TRAVEL",'6. OPERATION'!$D$17:$D$149,BH$18)</f>
        <v>0</v>
      </c>
      <c r="BI40" s="262">
        <f>SUMIFS('6. OPERATION'!$R$17:$R$149,'6. OPERATION'!$B$17:$B$149,$B40,'6. OPERATION'!$G$17:$G$149,"TRAVEL",'6. OPERATION'!$D$17:$D$149,BI$18)</f>
        <v>0</v>
      </c>
      <c r="BJ40" s="262">
        <f>SUMIFS('6. OPERATION'!$R$17:$R$149,'6. OPERATION'!$B$17:$B$149,$B40,'6. OPERATION'!$G$17:$G$149,"TRAVEL",'6. OPERATION'!$D$17:$D$149,BJ$18)</f>
        <v>0</v>
      </c>
      <c r="BK40" s="262">
        <f>SUMIFS('6. OPERATION'!$R$17:$R$149,'6. OPERATION'!$B$17:$B$149,$B40,'6. OPERATION'!$G$17:$G$149,"TRAVEL",'6. OPERATION'!$D$17:$D$149,BK$18)</f>
        <v>0</v>
      </c>
      <c r="BL40" s="262">
        <f>SUMIFS('6. OPERATION'!$R$17:$R$149,'6. OPERATION'!$B$17:$B$149,$B40,'6. OPERATION'!$G$17:$G$149,"TRAVEL",'6. OPERATION'!$D$17:$D$149,BL$18)</f>
        <v>0</v>
      </c>
      <c r="BM40" s="262">
        <f>SUMIFS('6. OPERATION'!$R$17:$R$149,'6. OPERATION'!$B$17:$B$149,$B40,'6. OPERATION'!$G$17:$G$149,"TRAVEL",'6. OPERATION'!$D$17:$D$149,BM$18)</f>
        <v>0</v>
      </c>
      <c r="BN40" s="262">
        <f>SUMIF('7. INVEST'!B$17:B$49,B40,'7. INVEST'!S$17:S$49)</f>
        <v>0</v>
      </c>
      <c r="BO40" s="262">
        <f>SUMIFS('7. INVEST'!$S$17:$S$49,'7. INVEST'!$B$17:$B$49,$B40,'7. INVEST'!$D$17:$D$49,BO$18)</f>
        <v>0</v>
      </c>
      <c r="BP40" s="262">
        <f>SUMIFS('7. INVEST'!$S$17:$S$49,'7. INVEST'!$B$17:$B$49,$B40,'7. INVEST'!$D$17:$D$49,BP$18)</f>
        <v>0</v>
      </c>
      <c r="BQ40" s="262">
        <f>SUMIFS('7. INVEST'!$S$17:$S$49,'7. INVEST'!$B$17:$B$49,$B40,'7. INVEST'!$D$17:$D$49,BQ$18)</f>
        <v>0</v>
      </c>
      <c r="BR40" s="262">
        <f>SUMIFS('7. INVEST'!$S$17:$S$49,'7. INVEST'!$B$17:$B$49,$B40,'7. INVEST'!$D$17:$D$49,BR$18)</f>
        <v>0</v>
      </c>
      <c r="BS40" s="262">
        <f>SUMIFS('7. INVEST'!$S$17:$S$49,'7. INVEST'!$B$17:$B$49,$B40,'7. INVEST'!$D$17:$D$49,BS$18)</f>
        <v>0</v>
      </c>
      <c r="BT40" s="262">
        <f>SUMIFS('7. INVEST'!$S$17:$S$49,'7. INVEST'!$B$17:$B$49,$B40,'7. INVEST'!$D$17:$D$49,BT$18)</f>
        <v>0</v>
      </c>
      <c r="BU40" s="262">
        <f>SUMIFS('7. INVEST'!$S$17:$S$49,'7. INVEST'!$B$17:$B$49,$B40,'7. INVEST'!$D$17:$D$49,BU$18)</f>
        <v>0</v>
      </c>
      <c r="BV40" s="262">
        <f>SUMIFS('7. INVEST'!$S$17:$S$49,'7. INVEST'!$B$17:$B$49,$B40,'7. INVEST'!$D$17:$D$49,BV$18)</f>
        <v>0</v>
      </c>
      <c r="BW40" s="262">
        <f>SUMIFS('7. INVEST'!$S$17:$S$49,'7. INVEST'!$B$17:$B$49,$B40,'7. INVEST'!$D$17:$D$49,BW$18)</f>
        <v>0</v>
      </c>
      <c r="BX40" s="262">
        <f>SUMIFS('7. INVEST'!$S$17:$S$49,'7. INVEST'!$B$17:$B$49,$B40,'7. INVEST'!$D$17:$D$49,BX$18)</f>
        <v>0</v>
      </c>
      <c r="BY40" s="262">
        <f>SUMIFS('7. INVEST'!$S$17:$S$49,'7. INVEST'!$B$17:$B$49,$B40,'7. INVEST'!$D$17:$D$49,BY$18)</f>
        <v>0</v>
      </c>
      <c r="BZ40" s="262">
        <f>SUMIFS('7. INVEST'!$S$17:$S$49,'7. INVEST'!$B$17:$B$49,$B40,'7. INVEST'!$D$17:$D$49,BZ$18)</f>
        <v>0</v>
      </c>
      <c r="CA40" s="262">
        <f>SUMIFS('7. INVEST'!$S$17:$S$49,'7. INVEST'!$B$17:$B$49,$B40,'7. INVEST'!$D$17:$D$49,CA$18)</f>
        <v>0</v>
      </c>
      <c r="CB40" s="262">
        <f>SUMIFS('7. INVEST'!$S$17:$S$49,'7. INVEST'!$B$17:$B$49,$B40,'7. INVEST'!$D$17:$D$49,CB$18)</f>
        <v>0</v>
      </c>
      <c r="CC40" s="262">
        <f>SUMIFS('7. INVEST'!$S$17:$S$49,'7. INVEST'!$B$17:$B$49,$B40,'7. INVEST'!$D$17:$D$49,CC$18)</f>
        <v>0</v>
      </c>
      <c r="CD40" s="262">
        <f>SUMIFS('7. INVEST'!$S$17:$S$49,'7. INVEST'!$B$17:$B$49,$B40,'7. INVEST'!$D$17:$D$49,CD$18)</f>
        <v>0</v>
      </c>
      <c r="CE40" s="262">
        <f>SUMIFS('7. INVEST'!$S$17:$S$49,'7. INVEST'!$B$17:$B$49,$B40,'7. INVEST'!$D$17:$D$49,CE$18)</f>
        <v>0</v>
      </c>
      <c r="CF40" s="262">
        <f>SUMIFS('7. INVEST'!$S$17:$S$49,'7. INVEST'!$B$17:$B$49,$B40,'7. INVEST'!$D$17:$D$49,CF$18)</f>
        <v>0</v>
      </c>
      <c r="CG40" s="262">
        <f>SUMIFS('7. INVEST'!$S$17:$S$49,'7. INVEST'!$B$17:$B$49,$B40,'7. INVEST'!$D$17:$D$49,CG$18)</f>
        <v>0</v>
      </c>
      <c r="CH40" s="262">
        <f>SUMIFS('7. INVEST'!$S$17:$S$49,'7. INVEST'!$B$17:$B$49,$B40,'7. INVEST'!$D$17:$D$49,CH$18)</f>
        <v>0</v>
      </c>
      <c r="CI40" s="262">
        <f>SUMIFS('6. OPERATION'!$R$17:$R$149,'6. OPERATION'!$B$17:$B$149,$B40,'6. OPERATION'!$G$17:$G$149,"OTHER")+SUMIF('8. FACILIT'!$B$18:$B$50,$B40,'8. FACILIT'!$P$18:$P$50)</f>
        <v>0</v>
      </c>
      <c r="CJ40" s="262">
        <f>SUMIFS('6. OPERATION'!$R$17:$R$149,'6. OPERATION'!$B$17:$B$149,$B40,'6. OPERATION'!$G$17:$G$149,"OTHER",'6. OPERATION'!$D$17:$D$149,CJ$18)+SUMIFS('8. FACILIT'!$P$18:$P$50,'8. FACILIT'!$B$18:$B$50,$B40,'8. FACILIT'!$D$18:$D$50,CJ$18)</f>
        <v>0</v>
      </c>
      <c r="CK40" s="262">
        <f>SUMIFS('6. OPERATION'!$R$17:$R$149,'6. OPERATION'!$B$17:$B$149,$B40,'6. OPERATION'!$G$17:$G$149,"OTHER",'6. OPERATION'!$D$17:$D$149,CK$18)+SUMIFS('8. FACILIT'!$P$18:$P$50,'8. FACILIT'!$B$18:$B$50,$B40,'8. FACILIT'!$D$18:$D$50,CK$18)</f>
        <v>0</v>
      </c>
      <c r="CL40" s="262">
        <f>SUMIFS('6. OPERATION'!$R$17:$R$149,'6. OPERATION'!$B$17:$B$149,$B40,'6. OPERATION'!$G$17:$G$149,"OTHER",'6. OPERATION'!$D$17:$D$149,CL$18)+SUMIFS('8. FACILIT'!$P$18:$P$50,'8. FACILIT'!$B$18:$B$50,$B40,'8. FACILIT'!$D$18:$D$50,CL$18)</f>
        <v>0</v>
      </c>
      <c r="CM40" s="262">
        <f>SUMIFS('6. OPERATION'!$R$17:$R$149,'6. OPERATION'!$B$17:$B$149,$B40,'6. OPERATION'!$G$17:$G$149,"OTHER",'6. OPERATION'!$D$17:$D$149,CM$18)+SUMIFS('8. FACILIT'!$P$18:$P$50,'8. FACILIT'!$B$18:$B$50,$B40,'8. FACILIT'!$D$18:$D$50,CM$18)</f>
        <v>0</v>
      </c>
      <c r="CN40" s="262">
        <f>SUMIFS('6. OPERATION'!$R$17:$R$149,'6. OPERATION'!$B$17:$B$149,$B40,'6. OPERATION'!$G$17:$G$149,"OTHER",'6. OPERATION'!$D$17:$D$149,CN$18)+SUMIFS('8. FACILIT'!$P$18:$P$50,'8. FACILIT'!$B$18:$B$50,$B40,'8. FACILIT'!$D$18:$D$50,CN$18)</f>
        <v>0</v>
      </c>
      <c r="CO40" s="262">
        <f>SUMIFS('6. OPERATION'!$R$17:$R$149,'6. OPERATION'!$B$17:$B$149,$B40,'6. OPERATION'!$G$17:$G$149,"OTHER",'6. OPERATION'!$D$17:$D$149,CO$18)+SUMIFS('8. FACILIT'!$P$18:$P$50,'8. FACILIT'!$B$18:$B$50,$B40,'8. FACILIT'!$D$18:$D$50,CO$18)</f>
        <v>0</v>
      </c>
      <c r="CP40" s="262">
        <f>SUMIFS('6. OPERATION'!$R$17:$R$149,'6. OPERATION'!$B$17:$B$149,$B40,'6. OPERATION'!$G$17:$G$149,"OTHER",'6. OPERATION'!$D$17:$D$149,CP$18)+SUMIFS('8. FACILIT'!$P$18:$P$50,'8. FACILIT'!$B$18:$B$50,$B40,'8. FACILIT'!$D$18:$D$50,CP$18)</f>
        <v>0</v>
      </c>
      <c r="CQ40" s="262">
        <f>SUMIFS('6. OPERATION'!$R$17:$R$149,'6. OPERATION'!$B$17:$B$149,$B40,'6. OPERATION'!$G$17:$G$149,"OTHER",'6. OPERATION'!$D$17:$D$149,CQ$18)+SUMIFS('8. FACILIT'!$P$18:$P$50,'8. FACILIT'!$B$18:$B$50,$B40,'8. FACILIT'!$D$18:$D$50,CQ$18)</f>
        <v>0</v>
      </c>
      <c r="CR40" s="262">
        <f>SUMIFS('6. OPERATION'!$R$17:$R$149,'6. OPERATION'!$B$17:$B$149,$B40,'6. OPERATION'!$G$17:$G$149,"OTHER",'6. OPERATION'!$D$17:$D$149,CR$18)+SUMIFS('8. FACILIT'!$P$18:$P$50,'8. FACILIT'!$B$18:$B$50,$B40,'8. FACILIT'!$D$18:$D$50,CR$18)</f>
        <v>0</v>
      </c>
      <c r="CS40" s="262">
        <f>SUMIFS('6. OPERATION'!$R$17:$R$149,'6. OPERATION'!$B$17:$B$149,$B40,'6. OPERATION'!$G$17:$G$149,"OTHER",'6. OPERATION'!$D$17:$D$149,CS$18)+SUMIFS('8. FACILIT'!$P$18:$P$50,'8. FACILIT'!$B$18:$B$50,$B40,'8. FACILIT'!$D$18:$D$50,CS$18)</f>
        <v>0</v>
      </c>
      <c r="CT40" s="262">
        <f>SUMIFS('6. OPERATION'!$R$17:$R$149,'6. OPERATION'!$B$17:$B$149,$B40,'6. OPERATION'!$G$17:$G$149,"OTHER",'6. OPERATION'!$D$17:$D$149,CT$18)+SUMIFS('8. FACILIT'!$P$18:$P$50,'8. FACILIT'!$B$18:$B$50,$B40,'8. FACILIT'!$D$18:$D$50,CT$18)</f>
        <v>0</v>
      </c>
      <c r="CU40" s="262">
        <f>SUMIFS('6. OPERATION'!$R$17:$R$149,'6. OPERATION'!$B$17:$B$149,$B40,'6. OPERATION'!$G$17:$G$149,"OTHER",'6. OPERATION'!$D$17:$D$149,CU$18)+SUMIFS('8. FACILIT'!$P$18:$P$50,'8. FACILIT'!$B$18:$B$50,$B40,'8. FACILIT'!$D$18:$D$50,CU$18)</f>
        <v>0</v>
      </c>
      <c r="CV40" s="262">
        <f>SUMIFS('6. OPERATION'!$R$17:$R$149,'6. OPERATION'!$B$17:$B$149,$B40,'6. OPERATION'!$G$17:$G$149,"OTHER",'6. OPERATION'!$D$17:$D$149,CV$18)+SUMIFS('8. FACILIT'!$P$18:$P$50,'8. FACILIT'!$B$18:$B$50,$B40,'8. FACILIT'!$D$18:$D$50,CV$18)</f>
        <v>0</v>
      </c>
      <c r="CW40" s="262">
        <f>SUMIFS('6. OPERATION'!$R$17:$R$149,'6. OPERATION'!$B$17:$B$149,$B40,'6. OPERATION'!$G$17:$G$149,"OTHER",'6. OPERATION'!$D$17:$D$149,CW$18)+SUMIFS('8. FACILIT'!$P$18:$P$50,'8. FACILIT'!$B$18:$B$50,$B40,'8. FACILIT'!$D$18:$D$50,CW$18)</f>
        <v>0</v>
      </c>
      <c r="CX40" s="262">
        <f>SUMIFS('6. OPERATION'!$R$17:$R$149,'6. OPERATION'!$B$17:$B$149,$B40,'6. OPERATION'!$G$17:$G$149,"OTHER",'6. OPERATION'!$D$17:$D$149,CX$18)+SUMIFS('8. FACILIT'!$P$18:$P$50,'8. FACILIT'!$B$18:$B$50,$B40,'8. FACILIT'!$D$18:$D$50,CX$18)</f>
        <v>0</v>
      </c>
      <c r="CY40" s="262">
        <f>SUMIFS('6. OPERATION'!$R$17:$R$149,'6. OPERATION'!$B$17:$B$149,$B40,'6. OPERATION'!$G$17:$G$149,"OTHER",'6. OPERATION'!$D$17:$D$149,CY$18)+SUMIFS('8. FACILIT'!$P$18:$P$50,'8. FACILIT'!$B$18:$B$50,$B40,'8. FACILIT'!$D$18:$D$50,CY$18)</f>
        <v>0</v>
      </c>
      <c r="CZ40" s="262">
        <f>SUMIFS('6. OPERATION'!$R$17:$R$149,'6. OPERATION'!$B$17:$B$149,$B40,'6. OPERATION'!$G$17:$G$149,"OTHER",'6. OPERATION'!$D$17:$D$149,CZ$18)+SUMIFS('8. FACILIT'!$P$18:$P$50,'8. FACILIT'!$B$18:$B$50,$B40,'8. FACILIT'!$D$18:$D$50,CZ$18)</f>
        <v>0</v>
      </c>
      <c r="DA40" s="262">
        <f>SUMIFS('6. OPERATION'!$R$17:$R$149,'6. OPERATION'!$B$17:$B$149,$B40,'6. OPERATION'!$G$17:$G$149,"OTHER",'6. OPERATION'!$D$17:$D$149,DA$18)+SUMIFS('8. FACILIT'!$P$18:$P$50,'8. FACILIT'!$B$18:$B$50,$B40,'8. FACILIT'!$D$18:$D$50,DA$18)</f>
        <v>0</v>
      </c>
      <c r="DB40" s="262">
        <f>SUMIFS('6. OPERATION'!$R$17:$R$149,'6. OPERATION'!$B$17:$B$149,$B40,'6. OPERATION'!$G$17:$G$149,"OTHER",'6. OPERATION'!$D$17:$D$149,DB$18)+SUMIFS('8. FACILIT'!$P$18:$P$50,'8. FACILIT'!$B$18:$B$50,$B40,'8. FACILIT'!$D$18:$D$50,DB$18)</f>
        <v>0</v>
      </c>
      <c r="DC40" s="262">
        <f>SUMIFS('6. OPERATION'!$R$17:$R$149,'6. OPERATION'!$B$17:$B$149,$B40,'6. OPERATION'!$G$17:$G$149,"OTHER",'6. OPERATION'!$D$17:$D$149,DC$18)+SUMIFS('8. FACILIT'!$P$18:$P$50,'8. FACILIT'!$B$18:$B$50,$B40,'8. FACILIT'!$D$18:$D$50,DC$18)</f>
        <v>0</v>
      </c>
      <c r="DD40" s="262">
        <f>SUMIFS('6. OPERATION'!R$17:R$149,'6. OPERATION'!B$17:B$149,B40,'6. OPERATION'!G$17:G$149,"INTERN")</f>
        <v>0</v>
      </c>
      <c r="DE40" s="262">
        <f>SUMIFS('6. OPERATION'!$R$17:$R$149,'6. OPERATION'!$B$17:$B$149,$B40,'6. OPERATION'!$G$17:$G$149,"INTERN",'6. OPERATION'!$D$17:$D$149,DE$18)</f>
        <v>0</v>
      </c>
      <c r="DF40" s="262">
        <f>SUMIFS('6. OPERATION'!$R$17:$R$149,'6. OPERATION'!$B$17:$B$149,$B40,'6. OPERATION'!$G$17:$G$149,"INTERN",'6. OPERATION'!$D$17:$D$149,DF$18)</f>
        <v>0</v>
      </c>
      <c r="DG40" s="262">
        <f>SUMIFS('6. OPERATION'!$R$17:$R$149,'6. OPERATION'!$B$17:$B$149,$B40,'6. OPERATION'!$G$17:$G$149,"INTERN",'6. OPERATION'!$D$17:$D$149,DG$18)</f>
        <v>0</v>
      </c>
      <c r="DH40" s="262">
        <f>SUMIFS('6. OPERATION'!$R$17:$R$149,'6. OPERATION'!$B$17:$B$149,$B40,'6. OPERATION'!$G$17:$G$149,"INTERN",'6. OPERATION'!$D$17:$D$149,DH$18)</f>
        <v>0</v>
      </c>
      <c r="DI40" s="262">
        <f>SUMIFS('6. OPERATION'!$R$17:$R$149,'6. OPERATION'!$B$17:$B$149,$B40,'6. OPERATION'!$G$17:$G$149,"INTERN",'6. OPERATION'!$D$17:$D$149,DI$18)</f>
        <v>0</v>
      </c>
      <c r="DJ40" s="262">
        <f>SUMIFS('6. OPERATION'!$R$17:$R$149,'6. OPERATION'!$B$17:$B$149,$B40,'6. OPERATION'!$G$17:$G$149,"INTERN",'6. OPERATION'!$D$17:$D$149,DJ$18)</f>
        <v>0</v>
      </c>
      <c r="DK40" s="262">
        <f>SUMIFS('6. OPERATION'!$R$17:$R$149,'6. OPERATION'!$B$17:$B$149,$B40,'6. OPERATION'!$G$17:$G$149,"INTERN",'6. OPERATION'!$D$17:$D$149,DK$18)</f>
        <v>0</v>
      </c>
      <c r="DL40" s="262">
        <f>SUMIFS('6. OPERATION'!$R$17:$R$149,'6. OPERATION'!$B$17:$B$149,$B40,'6. OPERATION'!$G$17:$G$149,"INTERN",'6. OPERATION'!$D$17:$D$149,DL$18)</f>
        <v>0</v>
      </c>
      <c r="DM40" s="262">
        <f>SUMIFS('6. OPERATION'!$R$17:$R$149,'6. OPERATION'!$B$17:$B$149,$B40,'6. OPERATION'!$G$17:$G$149,"INTERN",'6. OPERATION'!$D$17:$D$149,DM$18)</f>
        <v>0</v>
      </c>
      <c r="DN40" s="262">
        <f>SUMIFS('6. OPERATION'!$R$17:$R$149,'6. OPERATION'!$B$17:$B$149,$B40,'6. OPERATION'!$G$17:$G$149,"INTERN",'6. OPERATION'!$D$17:$D$149,DN$18)</f>
        <v>0</v>
      </c>
      <c r="DO40" s="262">
        <f>SUMIFS('6. OPERATION'!$R$17:$R$149,'6. OPERATION'!$B$17:$B$149,$B40,'6. OPERATION'!$G$17:$G$149,"INTERN",'6. OPERATION'!$D$17:$D$149,DO$18)</f>
        <v>0</v>
      </c>
      <c r="DP40" s="262">
        <f>SUMIFS('6. OPERATION'!$R$17:$R$149,'6. OPERATION'!$B$17:$B$149,$B40,'6. OPERATION'!$G$17:$G$149,"INTERN",'6. OPERATION'!$D$17:$D$149,DP$18)</f>
        <v>0</v>
      </c>
      <c r="DQ40" s="262">
        <f>SUMIFS('6. OPERATION'!$R$17:$R$149,'6. OPERATION'!$B$17:$B$149,$B40,'6. OPERATION'!$G$17:$G$149,"INTERN",'6. OPERATION'!$D$17:$D$149,DQ$18)</f>
        <v>0</v>
      </c>
      <c r="DR40" s="262">
        <f>SUMIFS('6. OPERATION'!$R$17:$R$149,'6. OPERATION'!$B$17:$B$149,$B40,'6. OPERATION'!$G$17:$G$149,"INTERN",'6. OPERATION'!$D$17:$D$149,DR$18)</f>
        <v>0</v>
      </c>
      <c r="DS40" s="262">
        <f>SUMIFS('6. OPERATION'!$R$17:$R$149,'6. OPERATION'!$B$17:$B$149,$B40,'6. OPERATION'!$G$17:$G$149,"INTERN",'6. OPERATION'!$D$17:$D$149,DS$18)</f>
        <v>0</v>
      </c>
      <c r="DT40" s="262">
        <f>SUMIFS('6. OPERATION'!$R$17:$R$149,'6. OPERATION'!$B$17:$B$149,$B40,'6. OPERATION'!$G$17:$G$149,"INTERN",'6. OPERATION'!$D$17:$D$149,DT$18)</f>
        <v>0</v>
      </c>
      <c r="DU40" s="262">
        <f>SUMIFS('6. OPERATION'!$R$17:$R$149,'6. OPERATION'!$B$17:$B$149,$B40,'6. OPERATION'!$G$17:$G$149,"INTERN",'6. OPERATION'!$D$17:$D$149,DU$18)</f>
        <v>0</v>
      </c>
      <c r="DV40" s="262">
        <f>SUMIFS('6. OPERATION'!$R$17:$R$149,'6. OPERATION'!$B$17:$B$149,$B40,'6. OPERATION'!$G$17:$G$149,"INTERN",'6. OPERATION'!$D$17:$D$149,DV$18)</f>
        <v>0</v>
      </c>
      <c r="DW40" s="262">
        <f>SUMIFS('6. OPERATION'!$R$17:$R$149,'6. OPERATION'!$B$17:$B$149,$B40,'6. OPERATION'!$G$17:$G$149,"INTERN",'6. OPERATION'!$D$17:$D$149,DW$18)</f>
        <v>0</v>
      </c>
      <c r="DX40" s="262">
        <f>SUMIFS('6. OPERATION'!$R$17:$R$149,'6. OPERATION'!$B$17:$B$149,$B40,'6. OPERATION'!$G$17:$G$149,"INTERN",'6. OPERATION'!$D$17:$D$149,DX$18)</f>
        <v>0</v>
      </c>
      <c r="DY40" s="262">
        <f>(C40+AS40+BN40+CI40)*'2. START'!$C$12</f>
        <v>0</v>
      </c>
      <c r="DZ40" s="262">
        <f>(D40+AT40+BO40+CJ40)*'2. START'!$C$12</f>
        <v>0</v>
      </c>
      <c r="EA40" s="262">
        <f>(E40+AU40+BP40+CK40)*'2. START'!$C$12</f>
        <v>0</v>
      </c>
      <c r="EB40" s="262">
        <f>(F40+AV40+BQ40+CL40)*'2. START'!$C$12</f>
        <v>0</v>
      </c>
      <c r="EC40" s="262">
        <f>(G40+AW40+BR40+CM40)*'2. START'!$C$12</f>
        <v>0</v>
      </c>
      <c r="ED40" s="262">
        <f>(H40+AX40+BS40+CN40)*'2. START'!$C$12</f>
        <v>0</v>
      </c>
      <c r="EE40" s="262">
        <f>(I40+AY40+BT40+CO40)*'2. START'!$C$12</f>
        <v>0</v>
      </c>
      <c r="EF40" s="262">
        <f>(J40+AZ40+BU40+CP40)*'2. START'!$C$12</f>
        <v>0</v>
      </c>
      <c r="EG40" s="262">
        <f>(K40+BA40+BV40+CQ40)*'2. START'!$C$12</f>
        <v>0</v>
      </c>
      <c r="EH40" s="262">
        <f>(L40+BB40+BW40+CR40)*'2. START'!$C$12</f>
        <v>0</v>
      </c>
      <c r="EI40" s="262">
        <f>(M40+BC40+BX40+CS40)*'2. START'!$C$12</f>
        <v>0</v>
      </c>
      <c r="EJ40" s="262">
        <f>(N40+BD40+BY40+CT40)*'2. START'!$C$12</f>
        <v>0</v>
      </c>
      <c r="EK40" s="262">
        <f>(O40+BE40+BZ40+CU40)*'2. START'!$C$12</f>
        <v>0</v>
      </c>
      <c r="EL40" s="262">
        <f>(P40+BF40+CA40+CV40)*'2. START'!$C$12</f>
        <v>0</v>
      </c>
      <c r="EM40" s="262">
        <f>(Q40+BG40+CB40+CW40)*'2. START'!$C$12</f>
        <v>0</v>
      </c>
      <c r="EN40" s="262">
        <f>(R40+BH40+CC40+CX40)*'2. START'!$C$12</f>
        <v>0</v>
      </c>
      <c r="EO40" s="262">
        <f>(S40+BI40+CD40+CY40)*'2. START'!$C$12</f>
        <v>0</v>
      </c>
      <c r="EP40" s="262">
        <f>(T40+BJ40+CE40+CZ40)*'2. START'!$C$12</f>
        <v>0</v>
      </c>
      <c r="EQ40" s="262">
        <f>(U40+BK40+CF40+DA40)*'2. START'!$C$12</f>
        <v>0</v>
      </c>
      <c r="ER40" s="262">
        <f>(V40+BL40+CG40+DB40)*'2. START'!$C$12</f>
        <v>0</v>
      </c>
      <c r="ES40" s="262">
        <f>(W40+BM40+CH40+DC40)*'2. START'!$C$12</f>
        <v>0</v>
      </c>
      <c r="ET40" s="98">
        <f t="shared" si="4"/>
        <v>0</v>
      </c>
      <c r="EU40" s="98">
        <f t="shared" si="5"/>
        <v>0</v>
      </c>
      <c r="EV40" s="98">
        <f t="shared" si="6"/>
        <v>0</v>
      </c>
      <c r="EW40" s="98">
        <f t="shared" si="7"/>
        <v>0</v>
      </c>
      <c r="EX40" s="98">
        <f t="shared" si="8"/>
        <v>0</v>
      </c>
      <c r="EY40" s="98">
        <f t="shared" si="9"/>
        <v>0</v>
      </c>
      <c r="EZ40" s="98">
        <f t="shared" si="10"/>
        <v>0</v>
      </c>
      <c r="FA40" s="98">
        <f t="shared" si="11"/>
        <v>0</v>
      </c>
      <c r="FB40" s="98">
        <f t="shared" si="12"/>
        <v>0</v>
      </c>
      <c r="FC40" s="98">
        <f t="shared" si="13"/>
        <v>0</v>
      </c>
      <c r="FD40" s="98">
        <f t="shared" si="14"/>
        <v>0</v>
      </c>
      <c r="FE40" s="98">
        <f t="shared" si="18"/>
        <v>0</v>
      </c>
      <c r="FF40" s="98">
        <f t="shared" si="19"/>
        <v>0</v>
      </c>
      <c r="FG40" s="98">
        <f t="shared" si="20"/>
        <v>0</v>
      </c>
      <c r="FH40" s="98">
        <f t="shared" si="21"/>
        <v>0</v>
      </c>
      <c r="FI40" s="98">
        <f t="shared" si="22"/>
        <v>0</v>
      </c>
      <c r="FJ40" s="98">
        <f t="shared" si="23"/>
        <v>0</v>
      </c>
      <c r="FK40" s="98">
        <f t="shared" si="24"/>
        <v>0</v>
      </c>
      <c r="FL40" s="98">
        <f t="shared" si="25"/>
        <v>0</v>
      </c>
      <c r="FM40" s="98">
        <f t="shared" si="26"/>
        <v>0</v>
      </c>
      <c r="FN40" s="98">
        <f t="shared" si="27"/>
        <v>0</v>
      </c>
      <c r="FO40" s="272" t="str">
        <f t="shared" si="17"/>
        <v/>
      </c>
      <c r="FP40" s="98">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944">
        <f t="shared" si="16"/>
        <v>0</v>
      </c>
      <c r="FR40" s="941">
        <f>SUMIFS('5. PERSON'!$AE$17:$AE$192,'5. PERSON'!$B$17:$B$192,'14. EUFP'!$B40,'5. PERSON'!$D$17:$D$192,FR$18)</f>
        <v>0</v>
      </c>
      <c r="FS40" s="941">
        <f>SUMIFS('5. PERSON'!$AE$17:$AE$192,'5. PERSON'!$B$17:$B$192,'14. EUFP'!$B40,'5. PERSON'!$D$17:$D$192,FS$18)</f>
        <v>0</v>
      </c>
      <c r="FT40" s="941">
        <f>SUMIFS('5. PERSON'!$AE$17:$AE$192,'5. PERSON'!$B$17:$B$192,'14. EUFP'!$B40,'5. PERSON'!$D$17:$D$192,FT$18)</f>
        <v>0</v>
      </c>
      <c r="FU40" s="941">
        <f>SUMIFS('5. PERSON'!$AE$17:$AE$192,'5. PERSON'!$B$17:$B$192,'14. EUFP'!$B40,'5. PERSON'!$D$17:$D$192,FU$18)</f>
        <v>0</v>
      </c>
      <c r="FV40" s="941">
        <f>SUMIFS('5. PERSON'!$AE$17:$AE$192,'5. PERSON'!$B$17:$B$192,'14. EUFP'!$B40,'5. PERSON'!$D$17:$D$192,FV$18)</f>
        <v>0</v>
      </c>
      <c r="FW40" s="941">
        <f>SUMIFS('5. PERSON'!$AE$17:$AE$192,'5. PERSON'!$B$17:$B$192,'14. EUFP'!$B40,'5. PERSON'!$D$17:$D$192,FW$18)</f>
        <v>0</v>
      </c>
      <c r="FX40" s="941">
        <f>SUMIFS('5. PERSON'!$AE$17:$AE$192,'5. PERSON'!$B$17:$B$192,'14. EUFP'!$B40,'5. PERSON'!$D$17:$D$192,FX$18)</f>
        <v>0</v>
      </c>
      <c r="FY40" s="941">
        <f>SUMIFS('5. PERSON'!$AE$17:$AE$192,'5. PERSON'!$B$17:$B$192,'14. EUFP'!$B40,'5. PERSON'!$D$17:$D$192,FY$18)</f>
        <v>0</v>
      </c>
      <c r="FZ40" s="941">
        <f>SUMIFS('5. PERSON'!$AE$17:$AE$192,'5. PERSON'!$B$17:$B$192,'14. EUFP'!$B40,'5. PERSON'!$D$17:$D$192,FZ$18)</f>
        <v>0</v>
      </c>
      <c r="GA40" s="941">
        <f>SUMIFS('5. PERSON'!$AE$17:$AE$192,'5. PERSON'!$B$17:$B$192,'14. EUFP'!$B40,'5. PERSON'!$D$17:$D$192,GA$18)</f>
        <v>0</v>
      </c>
      <c r="GB40" s="941">
        <f>SUMIFS('5. PERSON'!$AE$17:$AE$192,'5. PERSON'!$B$17:$B$192,'14. EUFP'!$B40,'5. PERSON'!$D$17:$D$192,GB$18)</f>
        <v>0</v>
      </c>
      <c r="GC40" s="941">
        <f>SUMIFS('5. PERSON'!$AE$17:$AE$192,'5. PERSON'!$B$17:$B$192,'14. EUFP'!$B40,'5. PERSON'!$D$17:$D$192,GC$18)</f>
        <v>0</v>
      </c>
      <c r="GD40" s="941">
        <f>SUMIFS('5. PERSON'!$AE$17:$AE$192,'5. PERSON'!$B$17:$B$192,'14. EUFP'!$B40,'5. PERSON'!$D$17:$D$192,GD$18)</f>
        <v>0</v>
      </c>
      <c r="GE40" s="941">
        <f>SUMIFS('5. PERSON'!$AE$17:$AE$192,'5. PERSON'!$B$17:$B$192,'14. EUFP'!$B40,'5. PERSON'!$D$17:$D$192,GE$18)</f>
        <v>0</v>
      </c>
      <c r="GF40" s="941">
        <f>SUMIFS('5. PERSON'!$AE$17:$AE$192,'5. PERSON'!$B$17:$B$192,'14. EUFP'!$B40,'5. PERSON'!$D$17:$D$192,GF$18)</f>
        <v>0</v>
      </c>
      <c r="GG40" s="941">
        <f>SUMIFS('5. PERSON'!$AE$17:$AE$192,'5. PERSON'!$B$17:$B$192,'14. EUFP'!$B40,'5. PERSON'!$D$17:$D$192,GG$18)</f>
        <v>0</v>
      </c>
      <c r="GH40" s="941">
        <f>SUMIFS('5. PERSON'!$AE$17:$AE$192,'5. PERSON'!$B$17:$B$192,'14. EUFP'!$B40,'5. PERSON'!$D$17:$D$192,GH$18)</f>
        <v>0</v>
      </c>
      <c r="GI40" s="941">
        <f>SUMIFS('5. PERSON'!$AE$17:$AE$192,'5. PERSON'!$B$17:$B$192,'14. EUFP'!$B40,'5. PERSON'!$D$17:$D$192,GI$18)</f>
        <v>0</v>
      </c>
      <c r="GJ40" s="941">
        <f>SUMIFS('5. PERSON'!$AE$17:$AE$192,'5. PERSON'!$B$17:$B$192,'14. EUFP'!$B40,'5. PERSON'!$D$17:$D$192,GJ$18)</f>
        <v>0</v>
      </c>
      <c r="GK40" s="941">
        <f>SUMIFS('5. PERSON'!$AE$17:$AE$192,'5. PERSON'!$B$17:$B$192,'14. EUFP'!$B40,'5. PERSON'!$D$17:$D$192,GK$18)</f>
        <v>0</v>
      </c>
      <c r="GL40" s="941">
        <f t="shared" si="28"/>
        <v>0</v>
      </c>
    </row>
    <row r="41" spans="2:194" s="71" customFormat="1" ht="13.5" customHeight="1" x14ac:dyDescent="0.2">
      <c r="B41" s="259" t="str">
        <f>'3. PARTNER'!B68</f>
        <v>EXT118</v>
      </c>
      <c r="C41" s="281">
        <f>SUMIF('5. PERSON'!B$17:B$192,B41,'5. PERSON'!AR$17:AR$192)</f>
        <v>0</v>
      </c>
      <c r="D41" s="281">
        <f>SUMIFS('5. PERSON'!$AR$17:$AR$192,'5. PERSON'!$B$17:$B$192,$B41,'5. PERSON'!$D$17:$D$192,D$18)</f>
        <v>0</v>
      </c>
      <c r="E41" s="281">
        <f>SUMIFS('5. PERSON'!$AR$17:$AR$192,'5. PERSON'!$B$17:$B$192,$B41,'5. PERSON'!$D$17:$D$192,E$18)</f>
        <v>0</v>
      </c>
      <c r="F41" s="281">
        <f>SUMIFS('5. PERSON'!$AR$17:$AR$192,'5. PERSON'!$B$17:$B$192,$B41,'5. PERSON'!$D$17:$D$192,F$18)</f>
        <v>0</v>
      </c>
      <c r="G41" s="281">
        <f>SUMIFS('5. PERSON'!$AR$17:$AR$192,'5. PERSON'!$B$17:$B$192,$B41,'5. PERSON'!$D$17:$D$192,G$18)</f>
        <v>0</v>
      </c>
      <c r="H41" s="281">
        <f>SUMIFS('5. PERSON'!$AR$17:$AR$192,'5. PERSON'!$B$17:$B$192,$B41,'5. PERSON'!$D$17:$D$192,H$18)</f>
        <v>0</v>
      </c>
      <c r="I41" s="281">
        <f>SUMIFS('5. PERSON'!$AR$17:$AR$192,'5. PERSON'!$B$17:$B$192,$B41,'5. PERSON'!$D$17:$D$192,I$18)</f>
        <v>0</v>
      </c>
      <c r="J41" s="281">
        <f>SUMIFS('5. PERSON'!$AR$17:$AR$192,'5. PERSON'!$B$17:$B$192,$B41,'5. PERSON'!$D$17:$D$192,J$18)</f>
        <v>0</v>
      </c>
      <c r="K41" s="281">
        <f>SUMIFS('5. PERSON'!$AR$17:$AR$192,'5. PERSON'!$B$17:$B$192,$B41,'5. PERSON'!$D$17:$D$192,K$18)</f>
        <v>0</v>
      </c>
      <c r="L41" s="281">
        <f>SUMIFS('5. PERSON'!$AR$17:$AR$192,'5. PERSON'!$B$17:$B$192,$B41,'5. PERSON'!$D$17:$D$192,L$18)</f>
        <v>0</v>
      </c>
      <c r="M41" s="281">
        <f>SUMIFS('5. PERSON'!$AR$17:$AR$192,'5. PERSON'!$B$17:$B$192,$B41,'5. PERSON'!$D$17:$D$192,M$18)</f>
        <v>0</v>
      </c>
      <c r="N41" s="281">
        <f>SUMIFS('5. PERSON'!$AR$17:$AR$192,'5. PERSON'!$B$17:$B$192,$B41,'5. PERSON'!$D$17:$D$192,N$18)</f>
        <v>0</v>
      </c>
      <c r="O41" s="281">
        <f>SUMIFS('5. PERSON'!$AR$17:$AR$192,'5. PERSON'!$B$17:$B$192,$B41,'5. PERSON'!$D$17:$D$192,O$18)</f>
        <v>0</v>
      </c>
      <c r="P41" s="281">
        <f>SUMIFS('5. PERSON'!$AR$17:$AR$192,'5. PERSON'!$B$17:$B$192,$B41,'5. PERSON'!$D$17:$D$192,P$18)</f>
        <v>0</v>
      </c>
      <c r="Q41" s="281">
        <f>SUMIFS('5. PERSON'!$AR$17:$AR$192,'5. PERSON'!$B$17:$B$192,$B41,'5. PERSON'!$D$17:$D$192,Q$18)</f>
        <v>0</v>
      </c>
      <c r="R41" s="281">
        <f>SUMIFS('5. PERSON'!$AR$17:$AR$192,'5. PERSON'!$B$17:$B$192,$B41,'5. PERSON'!$D$17:$D$192,R$18)</f>
        <v>0</v>
      </c>
      <c r="S41" s="281">
        <f>SUMIFS('5. PERSON'!$AR$17:$AR$192,'5. PERSON'!$B$17:$B$192,$B41,'5. PERSON'!$D$17:$D$192,S$18)</f>
        <v>0</v>
      </c>
      <c r="T41" s="281">
        <f>SUMIFS('5. PERSON'!$AR$17:$AR$192,'5. PERSON'!$B$17:$B$192,$B41,'5. PERSON'!$D$17:$D$192,T$18)</f>
        <v>0</v>
      </c>
      <c r="U41" s="281">
        <f>SUMIFS('5. PERSON'!$AR$17:$AR$192,'5. PERSON'!$B$17:$B$192,$B41,'5. PERSON'!$D$17:$D$192,U$18)</f>
        <v>0</v>
      </c>
      <c r="V41" s="281">
        <f>SUMIFS('5. PERSON'!$AR$17:$AR$192,'5. PERSON'!$B$17:$B$192,$B41,'5. PERSON'!$D$17:$D$192,V$18)</f>
        <v>0</v>
      </c>
      <c r="W41" s="281">
        <f>SUMIFS('5. PERSON'!$AR$17:$AR$192,'5. PERSON'!$B$17:$B$192,$B41,'5. PERSON'!$D$17:$D$192,W$18)</f>
        <v>0</v>
      </c>
      <c r="X41" s="281">
        <f>SUMIFS('6. OPERATION'!R$17:R$149,'6. OPERATION'!B$17:B$149,B41,'6. OPERATION'!G$17:G$149,"SUBCON")</f>
        <v>0</v>
      </c>
      <c r="Y41" s="281">
        <f>SUMIFS('6. OPERATION'!$R$17:$R$149,'6. OPERATION'!$B$17:$B$149,$B41,'6. OPERATION'!$G$17:$G$149,"SUBCON",'6. OPERATION'!$D$17:$D$149,Y$18)</f>
        <v>0</v>
      </c>
      <c r="Z41" s="281">
        <f>SUMIFS('6. OPERATION'!$R$17:$R$149,'6. OPERATION'!$B$17:$B$149,$B41,'6. OPERATION'!$G$17:$G$149,"SUBCON",'6. OPERATION'!$D$17:$D$149,Z$18)</f>
        <v>0</v>
      </c>
      <c r="AA41" s="281">
        <f>SUMIFS('6. OPERATION'!$R$17:$R$149,'6. OPERATION'!$B$17:$B$149,$B41,'6. OPERATION'!$G$17:$G$149,"SUBCON",'6. OPERATION'!$D$17:$D$149,AA$18)</f>
        <v>0</v>
      </c>
      <c r="AB41" s="281">
        <f>SUMIFS('6. OPERATION'!$R$17:$R$149,'6. OPERATION'!$B$17:$B$149,$B41,'6. OPERATION'!$G$17:$G$149,"SUBCON",'6. OPERATION'!$D$17:$D$149,AB$18)</f>
        <v>0</v>
      </c>
      <c r="AC41" s="281">
        <f>SUMIFS('6. OPERATION'!$R$17:$R$149,'6. OPERATION'!$B$17:$B$149,$B41,'6. OPERATION'!$G$17:$G$149,"SUBCON",'6. OPERATION'!$D$17:$D$149,AC$18)</f>
        <v>0</v>
      </c>
      <c r="AD41" s="281">
        <f>SUMIFS('6. OPERATION'!$R$17:$R$149,'6. OPERATION'!$B$17:$B$149,$B41,'6. OPERATION'!$G$17:$G$149,"SUBCON",'6. OPERATION'!$D$17:$D$149,AD$18)</f>
        <v>0</v>
      </c>
      <c r="AE41" s="281">
        <f>SUMIFS('6. OPERATION'!$R$17:$R$149,'6. OPERATION'!$B$17:$B$149,$B41,'6. OPERATION'!$G$17:$G$149,"SUBCON",'6. OPERATION'!$D$17:$D$149,AE$18)</f>
        <v>0</v>
      </c>
      <c r="AF41" s="281">
        <f>SUMIFS('6. OPERATION'!$R$17:$R$149,'6. OPERATION'!$B$17:$B$149,$B41,'6. OPERATION'!$G$17:$G$149,"SUBCON",'6. OPERATION'!$D$17:$D$149,AF$18)</f>
        <v>0</v>
      </c>
      <c r="AG41" s="281">
        <f>SUMIFS('6. OPERATION'!$R$17:$R$149,'6. OPERATION'!$B$17:$B$149,$B41,'6. OPERATION'!$G$17:$G$149,"SUBCON",'6. OPERATION'!$D$17:$D$149,AG$18)</f>
        <v>0</v>
      </c>
      <c r="AH41" s="281">
        <f>SUMIFS('6. OPERATION'!$R$17:$R$149,'6. OPERATION'!$B$17:$B$149,$B41,'6. OPERATION'!$G$17:$G$149,"SUBCON",'6. OPERATION'!$D$17:$D$149,AH$18)</f>
        <v>0</v>
      </c>
      <c r="AI41" s="281">
        <f>SUMIFS('6. OPERATION'!$R$17:$R$149,'6. OPERATION'!$B$17:$B$149,$B41,'6. OPERATION'!$G$17:$G$149,"SUBCON",'6. OPERATION'!$D$17:$D$149,AI$18)</f>
        <v>0</v>
      </c>
      <c r="AJ41" s="281">
        <f>SUMIFS('6. OPERATION'!$R$17:$R$149,'6. OPERATION'!$B$17:$B$149,$B41,'6. OPERATION'!$G$17:$G$149,"SUBCON",'6. OPERATION'!$D$17:$D$149,AJ$18)</f>
        <v>0</v>
      </c>
      <c r="AK41" s="281">
        <f>SUMIFS('6. OPERATION'!$R$17:$R$149,'6. OPERATION'!$B$17:$B$149,$B41,'6. OPERATION'!$G$17:$G$149,"SUBCON",'6. OPERATION'!$D$17:$D$149,AK$18)</f>
        <v>0</v>
      </c>
      <c r="AL41" s="281">
        <f>SUMIFS('6. OPERATION'!$R$17:$R$149,'6. OPERATION'!$B$17:$B$149,$B41,'6. OPERATION'!$G$17:$G$149,"SUBCON",'6. OPERATION'!$D$17:$D$149,AL$18)</f>
        <v>0</v>
      </c>
      <c r="AM41" s="281">
        <f>SUMIFS('6. OPERATION'!$R$17:$R$149,'6. OPERATION'!$B$17:$B$149,$B41,'6. OPERATION'!$G$17:$G$149,"SUBCON",'6. OPERATION'!$D$17:$D$149,AM$18)</f>
        <v>0</v>
      </c>
      <c r="AN41" s="281">
        <f>SUMIFS('6. OPERATION'!$R$17:$R$149,'6. OPERATION'!$B$17:$B$149,$B41,'6. OPERATION'!$G$17:$G$149,"SUBCON",'6. OPERATION'!$D$17:$D$149,AN$18)</f>
        <v>0</v>
      </c>
      <c r="AO41" s="281">
        <f>SUMIFS('6. OPERATION'!$R$17:$R$149,'6. OPERATION'!$B$17:$B$149,$B41,'6. OPERATION'!$G$17:$G$149,"SUBCON",'6. OPERATION'!$D$17:$D$149,AO$18)</f>
        <v>0</v>
      </c>
      <c r="AP41" s="281">
        <f>SUMIFS('6. OPERATION'!$R$17:$R$149,'6. OPERATION'!$B$17:$B$149,$B41,'6. OPERATION'!$G$17:$G$149,"SUBCON",'6. OPERATION'!$D$17:$D$149,AP$18)</f>
        <v>0</v>
      </c>
      <c r="AQ41" s="281">
        <f>SUMIFS('6. OPERATION'!$R$17:$R$149,'6. OPERATION'!$B$17:$B$149,$B41,'6. OPERATION'!$G$17:$G$149,"SUBCON",'6. OPERATION'!$D$17:$D$149,AQ$18)</f>
        <v>0</v>
      </c>
      <c r="AR41" s="281">
        <f>SUMIFS('6. OPERATION'!$R$17:$R$149,'6. OPERATION'!$B$17:$B$149,$B41,'6. OPERATION'!$G$17:$G$149,"SUBCON",'6. OPERATION'!$D$17:$D$149,AR$18)</f>
        <v>0</v>
      </c>
      <c r="AS41" s="281">
        <f>SUMIFS('6. OPERATION'!R$17:R$149,'6. OPERATION'!B$17:B$149,B41,'6. OPERATION'!G$17:G$149,"TRAVEL")</f>
        <v>0</v>
      </c>
      <c r="AT41" s="281">
        <f>SUMIFS('6. OPERATION'!$R$17:$R$149,'6. OPERATION'!$B$17:$B$149,$B41,'6. OPERATION'!$G$17:$G$149,"TRAVEL",'6. OPERATION'!$D$17:$D$149,AT$18)</f>
        <v>0</v>
      </c>
      <c r="AU41" s="281">
        <f>SUMIFS('6. OPERATION'!$R$17:$R$149,'6. OPERATION'!$B$17:$B$149,$B41,'6. OPERATION'!$G$17:$G$149,"TRAVEL",'6. OPERATION'!$D$17:$D$149,AU$18)</f>
        <v>0</v>
      </c>
      <c r="AV41" s="281">
        <f>SUMIFS('6. OPERATION'!$R$17:$R$149,'6. OPERATION'!$B$17:$B$149,$B41,'6. OPERATION'!$G$17:$G$149,"TRAVEL",'6. OPERATION'!$D$17:$D$149,AV$18)</f>
        <v>0</v>
      </c>
      <c r="AW41" s="281">
        <f>SUMIFS('6. OPERATION'!$R$17:$R$149,'6. OPERATION'!$B$17:$B$149,$B41,'6. OPERATION'!$G$17:$G$149,"TRAVEL",'6. OPERATION'!$D$17:$D$149,AW$18)</f>
        <v>0</v>
      </c>
      <c r="AX41" s="281">
        <f>SUMIFS('6. OPERATION'!$R$17:$R$149,'6. OPERATION'!$B$17:$B$149,$B41,'6. OPERATION'!$G$17:$G$149,"TRAVEL",'6. OPERATION'!$D$17:$D$149,AX$18)</f>
        <v>0</v>
      </c>
      <c r="AY41" s="281">
        <f>SUMIFS('6. OPERATION'!$R$17:$R$149,'6. OPERATION'!$B$17:$B$149,$B41,'6. OPERATION'!$G$17:$G$149,"TRAVEL",'6. OPERATION'!$D$17:$D$149,AY$18)</f>
        <v>0</v>
      </c>
      <c r="AZ41" s="281">
        <f>SUMIFS('6. OPERATION'!$R$17:$R$149,'6. OPERATION'!$B$17:$B$149,$B41,'6. OPERATION'!$G$17:$G$149,"TRAVEL",'6. OPERATION'!$D$17:$D$149,AZ$18)</f>
        <v>0</v>
      </c>
      <c r="BA41" s="281">
        <f>SUMIFS('6. OPERATION'!$R$17:$R$149,'6. OPERATION'!$B$17:$B$149,$B41,'6. OPERATION'!$G$17:$G$149,"TRAVEL",'6. OPERATION'!$D$17:$D$149,BA$18)</f>
        <v>0</v>
      </c>
      <c r="BB41" s="281">
        <f>SUMIFS('6. OPERATION'!$R$17:$R$149,'6. OPERATION'!$B$17:$B$149,$B41,'6. OPERATION'!$G$17:$G$149,"TRAVEL",'6. OPERATION'!$D$17:$D$149,BB$18)</f>
        <v>0</v>
      </c>
      <c r="BC41" s="281">
        <f>SUMIFS('6. OPERATION'!$R$17:$R$149,'6. OPERATION'!$B$17:$B$149,$B41,'6. OPERATION'!$G$17:$G$149,"TRAVEL",'6. OPERATION'!$D$17:$D$149,BC$18)</f>
        <v>0</v>
      </c>
      <c r="BD41" s="281">
        <f>SUMIFS('6. OPERATION'!$R$17:$R$149,'6. OPERATION'!$B$17:$B$149,$B41,'6. OPERATION'!$G$17:$G$149,"TRAVEL",'6. OPERATION'!$D$17:$D$149,BD$18)</f>
        <v>0</v>
      </c>
      <c r="BE41" s="281">
        <f>SUMIFS('6. OPERATION'!$R$17:$R$149,'6. OPERATION'!$B$17:$B$149,$B41,'6. OPERATION'!$G$17:$G$149,"TRAVEL",'6. OPERATION'!$D$17:$D$149,BE$18)</f>
        <v>0</v>
      </c>
      <c r="BF41" s="281">
        <f>SUMIFS('6. OPERATION'!$R$17:$R$149,'6. OPERATION'!$B$17:$B$149,$B41,'6. OPERATION'!$G$17:$G$149,"TRAVEL",'6. OPERATION'!$D$17:$D$149,BF$18)</f>
        <v>0</v>
      </c>
      <c r="BG41" s="281">
        <f>SUMIFS('6. OPERATION'!$R$17:$R$149,'6. OPERATION'!$B$17:$B$149,$B41,'6. OPERATION'!$G$17:$G$149,"TRAVEL",'6. OPERATION'!$D$17:$D$149,BG$18)</f>
        <v>0</v>
      </c>
      <c r="BH41" s="281">
        <f>SUMIFS('6. OPERATION'!$R$17:$R$149,'6. OPERATION'!$B$17:$B$149,$B41,'6. OPERATION'!$G$17:$G$149,"TRAVEL",'6. OPERATION'!$D$17:$D$149,BH$18)</f>
        <v>0</v>
      </c>
      <c r="BI41" s="281">
        <f>SUMIFS('6. OPERATION'!$R$17:$R$149,'6. OPERATION'!$B$17:$B$149,$B41,'6. OPERATION'!$G$17:$G$149,"TRAVEL",'6. OPERATION'!$D$17:$D$149,BI$18)</f>
        <v>0</v>
      </c>
      <c r="BJ41" s="281">
        <f>SUMIFS('6. OPERATION'!$R$17:$R$149,'6. OPERATION'!$B$17:$B$149,$B41,'6. OPERATION'!$G$17:$G$149,"TRAVEL",'6. OPERATION'!$D$17:$D$149,BJ$18)</f>
        <v>0</v>
      </c>
      <c r="BK41" s="281">
        <f>SUMIFS('6. OPERATION'!$R$17:$R$149,'6. OPERATION'!$B$17:$B$149,$B41,'6. OPERATION'!$G$17:$G$149,"TRAVEL",'6. OPERATION'!$D$17:$D$149,BK$18)</f>
        <v>0</v>
      </c>
      <c r="BL41" s="281">
        <f>SUMIFS('6. OPERATION'!$R$17:$R$149,'6. OPERATION'!$B$17:$B$149,$B41,'6. OPERATION'!$G$17:$G$149,"TRAVEL",'6. OPERATION'!$D$17:$D$149,BL$18)</f>
        <v>0</v>
      </c>
      <c r="BM41" s="281">
        <f>SUMIFS('6. OPERATION'!$R$17:$R$149,'6. OPERATION'!$B$17:$B$149,$B41,'6. OPERATION'!$G$17:$G$149,"TRAVEL",'6. OPERATION'!$D$17:$D$149,BM$18)</f>
        <v>0</v>
      </c>
      <c r="BN41" s="281">
        <f>SUMIF('7. INVEST'!B$17:B$49,B41,'7. INVEST'!S$17:S$49)</f>
        <v>0</v>
      </c>
      <c r="BO41" s="281">
        <f>SUMIFS('7. INVEST'!$S$17:$S$49,'7. INVEST'!$B$17:$B$49,$B41,'7. INVEST'!$D$17:$D$49,BO$18)</f>
        <v>0</v>
      </c>
      <c r="BP41" s="281">
        <f>SUMIFS('7. INVEST'!$S$17:$S$49,'7. INVEST'!$B$17:$B$49,$B41,'7. INVEST'!$D$17:$D$49,BP$18)</f>
        <v>0</v>
      </c>
      <c r="BQ41" s="281">
        <f>SUMIFS('7. INVEST'!$S$17:$S$49,'7. INVEST'!$B$17:$B$49,$B41,'7. INVEST'!$D$17:$D$49,BQ$18)</f>
        <v>0</v>
      </c>
      <c r="BR41" s="281">
        <f>SUMIFS('7. INVEST'!$S$17:$S$49,'7. INVEST'!$B$17:$B$49,$B41,'7. INVEST'!$D$17:$D$49,BR$18)</f>
        <v>0</v>
      </c>
      <c r="BS41" s="281">
        <f>SUMIFS('7. INVEST'!$S$17:$S$49,'7. INVEST'!$B$17:$B$49,$B41,'7. INVEST'!$D$17:$D$49,BS$18)</f>
        <v>0</v>
      </c>
      <c r="BT41" s="281">
        <f>SUMIFS('7. INVEST'!$S$17:$S$49,'7. INVEST'!$B$17:$B$49,$B41,'7. INVEST'!$D$17:$D$49,BT$18)</f>
        <v>0</v>
      </c>
      <c r="BU41" s="281">
        <f>SUMIFS('7. INVEST'!$S$17:$S$49,'7. INVEST'!$B$17:$B$49,$B41,'7. INVEST'!$D$17:$D$49,BU$18)</f>
        <v>0</v>
      </c>
      <c r="BV41" s="281">
        <f>SUMIFS('7. INVEST'!$S$17:$S$49,'7. INVEST'!$B$17:$B$49,$B41,'7. INVEST'!$D$17:$D$49,BV$18)</f>
        <v>0</v>
      </c>
      <c r="BW41" s="281">
        <f>SUMIFS('7. INVEST'!$S$17:$S$49,'7. INVEST'!$B$17:$B$49,$B41,'7. INVEST'!$D$17:$D$49,BW$18)</f>
        <v>0</v>
      </c>
      <c r="BX41" s="281">
        <f>SUMIFS('7. INVEST'!$S$17:$S$49,'7. INVEST'!$B$17:$B$49,$B41,'7. INVEST'!$D$17:$D$49,BX$18)</f>
        <v>0</v>
      </c>
      <c r="BY41" s="281">
        <f>SUMIFS('7. INVEST'!$S$17:$S$49,'7. INVEST'!$B$17:$B$49,$B41,'7. INVEST'!$D$17:$D$49,BY$18)</f>
        <v>0</v>
      </c>
      <c r="BZ41" s="281">
        <f>SUMIFS('7. INVEST'!$S$17:$S$49,'7. INVEST'!$B$17:$B$49,$B41,'7. INVEST'!$D$17:$D$49,BZ$18)</f>
        <v>0</v>
      </c>
      <c r="CA41" s="281">
        <f>SUMIFS('7. INVEST'!$S$17:$S$49,'7. INVEST'!$B$17:$B$49,$B41,'7. INVEST'!$D$17:$D$49,CA$18)</f>
        <v>0</v>
      </c>
      <c r="CB41" s="281">
        <f>SUMIFS('7. INVEST'!$S$17:$S$49,'7. INVEST'!$B$17:$B$49,$B41,'7. INVEST'!$D$17:$D$49,CB$18)</f>
        <v>0</v>
      </c>
      <c r="CC41" s="281">
        <f>SUMIFS('7. INVEST'!$S$17:$S$49,'7. INVEST'!$B$17:$B$49,$B41,'7. INVEST'!$D$17:$D$49,CC$18)</f>
        <v>0</v>
      </c>
      <c r="CD41" s="281">
        <f>SUMIFS('7. INVEST'!$S$17:$S$49,'7. INVEST'!$B$17:$B$49,$B41,'7. INVEST'!$D$17:$D$49,CD$18)</f>
        <v>0</v>
      </c>
      <c r="CE41" s="281">
        <f>SUMIFS('7. INVEST'!$S$17:$S$49,'7. INVEST'!$B$17:$B$49,$B41,'7. INVEST'!$D$17:$D$49,CE$18)</f>
        <v>0</v>
      </c>
      <c r="CF41" s="281">
        <f>SUMIFS('7. INVEST'!$S$17:$S$49,'7. INVEST'!$B$17:$B$49,$B41,'7. INVEST'!$D$17:$D$49,CF$18)</f>
        <v>0</v>
      </c>
      <c r="CG41" s="281">
        <f>SUMIFS('7. INVEST'!$S$17:$S$49,'7. INVEST'!$B$17:$B$49,$B41,'7. INVEST'!$D$17:$D$49,CG$18)</f>
        <v>0</v>
      </c>
      <c r="CH41" s="281">
        <f>SUMIFS('7. INVEST'!$S$17:$S$49,'7. INVEST'!$B$17:$B$49,$B41,'7. INVEST'!$D$17:$D$49,CH$18)</f>
        <v>0</v>
      </c>
      <c r="CI41" s="281">
        <f>SUMIFS('6. OPERATION'!$R$17:$R$149,'6. OPERATION'!$B$17:$B$149,$B41,'6. OPERATION'!$G$17:$G$149,"OTHER")+SUMIF('8. FACILIT'!$B$18:$B$50,$B41,'8. FACILIT'!$P$18:$P$50)</f>
        <v>0</v>
      </c>
      <c r="CJ41" s="281">
        <f>SUMIFS('6. OPERATION'!$R$17:$R$149,'6. OPERATION'!$B$17:$B$149,$B41,'6. OPERATION'!$G$17:$G$149,"OTHER",'6. OPERATION'!$D$17:$D$149,CJ$18)+SUMIFS('8. FACILIT'!$P$18:$P$50,'8. FACILIT'!$B$18:$B$50,$B41,'8. FACILIT'!$D$18:$D$50,CJ$18)</f>
        <v>0</v>
      </c>
      <c r="CK41" s="281">
        <f>SUMIFS('6. OPERATION'!$R$17:$R$149,'6. OPERATION'!$B$17:$B$149,$B41,'6. OPERATION'!$G$17:$G$149,"OTHER",'6. OPERATION'!$D$17:$D$149,CK$18)+SUMIFS('8. FACILIT'!$P$18:$P$50,'8. FACILIT'!$B$18:$B$50,$B41,'8. FACILIT'!$D$18:$D$50,CK$18)</f>
        <v>0</v>
      </c>
      <c r="CL41" s="281">
        <f>SUMIFS('6. OPERATION'!$R$17:$R$149,'6. OPERATION'!$B$17:$B$149,$B41,'6. OPERATION'!$G$17:$G$149,"OTHER",'6. OPERATION'!$D$17:$D$149,CL$18)+SUMIFS('8. FACILIT'!$P$18:$P$50,'8. FACILIT'!$B$18:$B$50,$B41,'8. FACILIT'!$D$18:$D$50,CL$18)</f>
        <v>0</v>
      </c>
      <c r="CM41" s="281">
        <f>SUMIFS('6. OPERATION'!$R$17:$R$149,'6. OPERATION'!$B$17:$B$149,$B41,'6. OPERATION'!$G$17:$G$149,"OTHER",'6. OPERATION'!$D$17:$D$149,CM$18)+SUMIFS('8. FACILIT'!$P$18:$P$50,'8. FACILIT'!$B$18:$B$50,$B41,'8. FACILIT'!$D$18:$D$50,CM$18)</f>
        <v>0</v>
      </c>
      <c r="CN41" s="281">
        <f>SUMIFS('6. OPERATION'!$R$17:$R$149,'6. OPERATION'!$B$17:$B$149,$B41,'6. OPERATION'!$G$17:$G$149,"OTHER",'6. OPERATION'!$D$17:$D$149,CN$18)+SUMIFS('8. FACILIT'!$P$18:$P$50,'8. FACILIT'!$B$18:$B$50,$B41,'8. FACILIT'!$D$18:$D$50,CN$18)</f>
        <v>0</v>
      </c>
      <c r="CO41" s="281">
        <f>SUMIFS('6. OPERATION'!$R$17:$R$149,'6. OPERATION'!$B$17:$B$149,$B41,'6. OPERATION'!$G$17:$G$149,"OTHER",'6. OPERATION'!$D$17:$D$149,CO$18)+SUMIFS('8. FACILIT'!$P$18:$P$50,'8. FACILIT'!$B$18:$B$50,$B41,'8. FACILIT'!$D$18:$D$50,CO$18)</f>
        <v>0</v>
      </c>
      <c r="CP41" s="281">
        <f>SUMIFS('6. OPERATION'!$R$17:$R$149,'6. OPERATION'!$B$17:$B$149,$B41,'6. OPERATION'!$G$17:$G$149,"OTHER",'6. OPERATION'!$D$17:$D$149,CP$18)+SUMIFS('8. FACILIT'!$P$18:$P$50,'8. FACILIT'!$B$18:$B$50,$B41,'8. FACILIT'!$D$18:$D$50,CP$18)</f>
        <v>0</v>
      </c>
      <c r="CQ41" s="281">
        <f>SUMIFS('6. OPERATION'!$R$17:$R$149,'6. OPERATION'!$B$17:$B$149,$B41,'6. OPERATION'!$G$17:$G$149,"OTHER",'6. OPERATION'!$D$17:$D$149,CQ$18)+SUMIFS('8. FACILIT'!$P$18:$P$50,'8. FACILIT'!$B$18:$B$50,$B41,'8. FACILIT'!$D$18:$D$50,CQ$18)</f>
        <v>0</v>
      </c>
      <c r="CR41" s="281">
        <f>SUMIFS('6. OPERATION'!$R$17:$R$149,'6. OPERATION'!$B$17:$B$149,$B41,'6. OPERATION'!$G$17:$G$149,"OTHER",'6. OPERATION'!$D$17:$D$149,CR$18)+SUMIFS('8. FACILIT'!$P$18:$P$50,'8. FACILIT'!$B$18:$B$50,$B41,'8. FACILIT'!$D$18:$D$50,CR$18)</f>
        <v>0</v>
      </c>
      <c r="CS41" s="281">
        <f>SUMIFS('6. OPERATION'!$R$17:$R$149,'6. OPERATION'!$B$17:$B$149,$B41,'6. OPERATION'!$G$17:$G$149,"OTHER",'6. OPERATION'!$D$17:$D$149,CS$18)+SUMIFS('8. FACILIT'!$P$18:$P$50,'8. FACILIT'!$B$18:$B$50,$B41,'8. FACILIT'!$D$18:$D$50,CS$18)</f>
        <v>0</v>
      </c>
      <c r="CT41" s="281">
        <f>SUMIFS('6. OPERATION'!$R$17:$R$149,'6. OPERATION'!$B$17:$B$149,$B41,'6. OPERATION'!$G$17:$G$149,"OTHER",'6. OPERATION'!$D$17:$D$149,CT$18)+SUMIFS('8. FACILIT'!$P$18:$P$50,'8. FACILIT'!$B$18:$B$50,$B41,'8. FACILIT'!$D$18:$D$50,CT$18)</f>
        <v>0</v>
      </c>
      <c r="CU41" s="281">
        <f>SUMIFS('6. OPERATION'!$R$17:$R$149,'6. OPERATION'!$B$17:$B$149,$B41,'6. OPERATION'!$G$17:$G$149,"OTHER",'6. OPERATION'!$D$17:$D$149,CU$18)+SUMIFS('8. FACILIT'!$P$18:$P$50,'8. FACILIT'!$B$18:$B$50,$B41,'8. FACILIT'!$D$18:$D$50,CU$18)</f>
        <v>0</v>
      </c>
      <c r="CV41" s="281">
        <f>SUMIFS('6. OPERATION'!$R$17:$R$149,'6. OPERATION'!$B$17:$B$149,$B41,'6. OPERATION'!$G$17:$G$149,"OTHER",'6. OPERATION'!$D$17:$D$149,CV$18)+SUMIFS('8. FACILIT'!$P$18:$P$50,'8. FACILIT'!$B$18:$B$50,$B41,'8. FACILIT'!$D$18:$D$50,CV$18)</f>
        <v>0</v>
      </c>
      <c r="CW41" s="281">
        <f>SUMIFS('6. OPERATION'!$R$17:$R$149,'6. OPERATION'!$B$17:$B$149,$B41,'6. OPERATION'!$G$17:$G$149,"OTHER",'6. OPERATION'!$D$17:$D$149,CW$18)+SUMIFS('8. FACILIT'!$P$18:$P$50,'8. FACILIT'!$B$18:$B$50,$B41,'8. FACILIT'!$D$18:$D$50,CW$18)</f>
        <v>0</v>
      </c>
      <c r="CX41" s="281">
        <f>SUMIFS('6. OPERATION'!$R$17:$R$149,'6. OPERATION'!$B$17:$B$149,$B41,'6. OPERATION'!$G$17:$G$149,"OTHER",'6. OPERATION'!$D$17:$D$149,CX$18)+SUMIFS('8. FACILIT'!$P$18:$P$50,'8. FACILIT'!$B$18:$B$50,$B41,'8. FACILIT'!$D$18:$D$50,CX$18)</f>
        <v>0</v>
      </c>
      <c r="CY41" s="281">
        <f>SUMIFS('6. OPERATION'!$R$17:$R$149,'6. OPERATION'!$B$17:$B$149,$B41,'6. OPERATION'!$G$17:$G$149,"OTHER",'6. OPERATION'!$D$17:$D$149,CY$18)+SUMIFS('8. FACILIT'!$P$18:$P$50,'8. FACILIT'!$B$18:$B$50,$B41,'8. FACILIT'!$D$18:$D$50,CY$18)</f>
        <v>0</v>
      </c>
      <c r="CZ41" s="281">
        <f>SUMIFS('6. OPERATION'!$R$17:$R$149,'6. OPERATION'!$B$17:$B$149,$B41,'6. OPERATION'!$G$17:$G$149,"OTHER",'6. OPERATION'!$D$17:$D$149,CZ$18)+SUMIFS('8. FACILIT'!$P$18:$P$50,'8. FACILIT'!$B$18:$B$50,$B41,'8. FACILIT'!$D$18:$D$50,CZ$18)</f>
        <v>0</v>
      </c>
      <c r="DA41" s="281">
        <f>SUMIFS('6. OPERATION'!$R$17:$R$149,'6. OPERATION'!$B$17:$B$149,$B41,'6. OPERATION'!$G$17:$G$149,"OTHER",'6. OPERATION'!$D$17:$D$149,DA$18)+SUMIFS('8. FACILIT'!$P$18:$P$50,'8. FACILIT'!$B$18:$B$50,$B41,'8. FACILIT'!$D$18:$D$50,DA$18)</f>
        <v>0</v>
      </c>
      <c r="DB41" s="281">
        <f>SUMIFS('6. OPERATION'!$R$17:$R$149,'6. OPERATION'!$B$17:$B$149,$B41,'6. OPERATION'!$G$17:$G$149,"OTHER",'6. OPERATION'!$D$17:$D$149,DB$18)+SUMIFS('8. FACILIT'!$P$18:$P$50,'8. FACILIT'!$B$18:$B$50,$B41,'8. FACILIT'!$D$18:$D$50,DB$18)</f>
        <v>0</v>
      </c>
      <c r="DC41" s="281">
        <f>SUMIFS('6. OPERATION'!$R$17:$R$149,'6. OPERATION'!$B$17:$B$149,$B41,'6. OPERATION'!$G$17:$G$149,"OTHER",'6. OPERATION'!$D$17:$D$149,DC$18)+SUMIFS('8. FACILIT'!$P$18:$P$50,'8. FACILIT'!$B$18:$B$50,$B41,'8. FACILIT'!$D$18:$D$50,DC$18)</f>
        <v>0</v>
      </c>
      <c r="DD41" s="281">
        <f>SUMIFS('6. OPERATION'!R$17:R$149,'6. OPERATION'!B$17:B$149,B41,'6. OPERATION'!G$17:G$149,"INTERN")</f>
        <v>0</v>
      </c>
      <c r="DE41" s="281">
        <f>SUMIFS('6. OPERATION'!$R$17:$R$149,'6. OPERATION'!$B$17:$B$149,$B41,'6. OPERATION'!$G$17:$G$149,"INTERN",'6. OPERATION'!$D$17:$D$149,DE$18)</f>
        <v>0</v>
      </c>
      <c r="DF41" s="281">
        <f>SUMIFS('6. OPERATION'!$R$17:$R$149,'6. OPERATION'!$B$17:$B$149,$B41,'6. OPERATION'!$G$17:$G$149,"INTERN",'6. OPERATION'!$D$17:$D$149,DF$18)</f>
        <v>0</v>
      </c>
      <c r="DG41" s="281">
        <f>SUMIFS('6. OPERATION'!$R$17:$R$149,'6. OPERATION'!$B$17:$B$149,$B41,'6. OPERATION'!$G$17:$G$149,"INTERN",'6. OPERATION'!$D$17:$D$149,DG$18)</f>
        <v>0</v>
      </c>
      <c r="DH41" s="281">
        <f>SUMIFS('6. OPERATION'!$R$17:$R$149,'6. OPERATION'!$B$17:$B$149,$B41,'6. OPERATION'!$G$17:$G$149,"INTERN",'6. OPERATION'!$D$17:$D$149,DH$18)</f>
        <v>0</v>
      </c>
      <c r="DI41" s="281">
        <f>SUMIFS('6. OPERATION'!$R$17:$R$149,'6. OPERATION'!$B$17:$B$149,$B41,'6. OPERATION'!$G$17:$G$149,"INTERN",'6. OPERATION'!$D$17:$D$149,DI$18)</f>
        <v>0</v>
      </c>
      <c r="DJ41" s="281">
        <f>SUMIFS('6. OPERATION'!$R$17:$R$149,'6. OPERATION'!$B$17:$B$149,$B41,'6. OPERATION'!$G$17:$G$149,"INTERN",'6. OPERATION'!$D$17:$D$149,DJ$18)</f>
        <v>0</v>
      </c>
      <c r="DK41" s="281">
        <f>SUMIFS('6. OPERATION'!$R$17:$R$149,'6. OPERATION'!$B$17:$B$149,$B41,'6. OPERATION'!$G$17:$G$149,"INTERN",'6. OPERATION'!$D$17:$D$149,DK$18)</f>
        <v>0</v>
      </c>
      <c r="DL41" s="281">
        <f>SUMIFS('6. OPERATION'!$R$17:$R$149,'6. OPERATION'!$B$17:$B$149,$B41,'6. OPERATION'!$G$17:$G$149,"INTERN",'6. OPERATION'!$D$17:$D$149,DL$18)</f>
        <v>0</v>
      </c>
      <c r="DM41" s="281">
        <f>SUMIFS('6. OPERATION'!$R$17:$R$149,'6. OPERATION'!$B$17:$B$149,$B41,'6. OPERATION'!$G$17:$G$149,"INTERN",'6. OPERATION'!$D$17:$D$149,DM$18)</f>
        <v>0</v>
      </c>
      <c r="DN41" s="281">
        <f>SUMIFS('6. OPERATION'!$R$17:$R$149,'6. OPERATION'!$B$17:$B$149,$B41,'6. OPERATION'!$G$17:$G$149,"INTERN",'6. OPERATION'!$D$17:$D$149,DN$18)</f>
        <v>0</v>
      </c>
      <c r="DO41" s="281">
        <f>SUMIFS('6. OPERATION'!$R$17:$R$149,'6. OPERATION'!$B$17:$B$149,$B41,'6. OPERATION'!$G$17:$G$149,"INTERN",'6. OPERATION'!$D$17:$D$149,DO$18)</f>
        <v>0</v>
      </c>
      <c r="DP41" s="281">
        <f>SUMIFS('6. OPERATION'!$R$17:$R$149,'6. OPERATION'!$B$17:$B$149,$B41,'6. OPERATION'!$G$17:$G$149,"INTERN",'6. OPERATION'!$D$17:$D$149,DP$18)</f>
        <v>0</v>
      </c>
      <c r="DQ41" s="281">
        <f>SUMIFS('6. OPERATION'!$R$17:$R$149,'6. OPERATION'!$B$17:$B$149,$B41,'6. OPERATION'!$G$17:$G$149,"INTERN",'6. OPERATION'!$D$17:$D$149,DQ$18)</f>
        <v>0</v>
      </c>
      <c r="DR41" s="281">
        <f>SUMIFS('6. OPERATION'!$R$17:$R$149,'6. OPERATION'!$B$17:$B$149,$B41,'6. OPERATION'!$G$17:$G$149,"INTERN",'6. OPERATION'!$D$17:$D$149,DR$18)</f>
        <v>0</v>
      </c>
      <c r="DS41" s="281">
        <f>SUMIFS('6. OPERATION'!$R$17:$R$149,'6. OPERATION'!$B$17:$B$149,$B41,'6. OPERATION'!$G$17:$G$149,"INTERN",'6. OPERATION'!$D$17:$D$149,DS$18)</f>
        <v>0</v>
      </c>
      <c r="DT41" s="281">
        <f>SUMIFS('6. OPERATION'!$R$17:$R$149,'6. OPERATION'!$B$17:$B$149,$B41,'6. OPERATION'!$G$17:$G$149,"INTERN",'6. OPERATION'!$D$17:$D$149,DT$18)</f>
        <v>0</v>
      </c>
      <c r="DU41" s="281">
        <f>SUMIFS('6. OPERATION'!$R$17:$R$149,'6. OPERATION'!$B$17:$B$149,$B41,'6. OPERATION'!$G$17:$G$149,"INTERN",'6. OPERATION'!$D$17:$D$149,DU$18)</f>
        <v>0</v>
      </c>
      <c r="DV41" s="281">
        <f>SUMIFS('6. OPERATION'!$R$17:$R$149,'6. OPERATION'!$B$17:$B$149,$B41,'6. OPERATION'!$G$17:$G$149,"INTERN",'6. OPERATION'!$D$17:$D$149,DV$18)</f>
        <v>0</v>
      </c>
      <c r="DW41" s="281">
        <f>SUMIFS('6. OPERATION'!$R$17:$R$149,'6. OPERATION'!$B$17:$B$149,$B41,'6. OPERATION'!$G$17:$G$149,"INTERN",'6. OPERATION'!$D$17:$D$149,DW$18)</f>
        <v>0</v>
      </c>
      <c r="DX41" s="281">
        <f>SUMIFS('6. OPERATION'!$R$17:$R$149,'6. OPERATION'!$B$17:$B$149,$B41,'6. OPERATION'!$G$17:$G$149,"INTERN",'6. OPERATION'!$D$17:$D$149,DX$18)</f>
        <v>0</v>
      </c>
      <c r="DY41" s="288">
        <f>(C41+AS41+BN41+CI41)*'2. START'!$C$12</f>
        <v>0</v>
      </c>
      <c r="DZ41" s="288">
        <f>(D41+AT41+BO41+CJ41)*'2. START'!$C$12</f>
        <v>0</v>
      </c>
      <c r="EA41" s="288">
        <f>(E41+AU41+BP41+CK41)*'2. START'!$C$12</f>
        <v>0</v>
      </c>
      <c r="EB41" s="288">
        <f>(F41+AV41+BQ41+CL41)*'2. START'!$C$12</f>
        <v>0</v>
      </c>
      <c r="EC41" s="288">
        <f>(G41+AW41+BR41+CM41)*'2. START'!$C$12</f>
        <v>0</v>
      </c>
      <c r="ED41" s="288">
        <f>(H41+AX41+BS41+CN41)*'2. START'!$C$12</f>
        <v>0</v>
      </c>
      <c r="EE41" s="288">
        <f>(I41+AY41+BT41+CO41)*'2. START'!$C$12</f>
        <v>0</v>
      </c>
      <c r="EF41" s="288">
        <f>(J41+AZ41+BU41+CP41)*'2. START'!$C$12</f>
        <v>0</v>
      </c>
      <c r="EG41" s="288">
        <f>(K41+BA41+BV41+CQ41)*'2. START'!$C$12</f>
        <v>0</v>
      </c>
      <c r="EH41" s="288">
        <f>(L41+BB41+BW41+CR41)*'2. START'!$C$12</f>
        <v>0</v>
      </c>
      <c r="EI41" s="288">
        <f>(M41+BC41+BX41+CS41)*'2. START'!$C$12</f>
        <v>0</v>
      </c>
      <c r="EJ41" s="288">
        <f>(N41+BD41+BY41+CT41)*'2. START'!$C$12</f>
        <v>0</v>
      </c>
      <c r="EK41" s="288">
        <f>(O41+BE41+BZ41+CU41)*'2. START'!$C$12</f>
        <v>0</v>
      </c>
      <c r="EL41" s="288">
        <f>(P41+BF41+CA41+CV41)*'2. START'!$C$12</f>
        <v>0</v>
      </c>
      <c r="EM41" s="288">
        <f>(Q41+BG41+CB41+CW41)*'2. START'!$C$12</f>
        <v>0</v>
      </c>
      <c r="EN41" s="288">
        <f>(R41+BH41+CC41+CX41)*'2. START'!$C$12</f>
        <v>0</v>
      </c>
      <c r="EO41" s="288">
        <f>(S41+BI41+CD41+CY41)*'2. START'!$C$12</f>
        <v>0</v>
      </c>
      <c r="EP41" s="288">
        <f>(T41+BJ41+CE41+CZ41)*'2. START'!$C$12</f>
        <v>0</v>
      </c>
      <c r="EQ41" s="288">
        <f>(U41+BK41+CF41+DA41)*'2. START'!$C$12</f>
        <v>0</v>
      </c>
      <c r="ER41" s="288">
        <f>(V41+BL41+CG41+DB41)*'2. START'!$C$12</f>
        <v>0</v>
      </c>
      <c r="ES41" s="288">
        <f>(W41+BM41+CH41+DC41)*'2. START'!$C$12</f>
        <v>0</v>
      </c>
      <c r="ET41" s="105">
        <f t="shared" si="4"/>
        <v>0</v>
      </c>
      <c r="EU41" s="105">
        <f t="shared" si="5"/>
        <v>0</v>
      </c>
      <c r="EV41" s="105">
        <f t="shared" si="6"/>
        <v>0</v>
      </c>
      <c r="EW41" s="105">
        <f t="shared" si="7"/>
        <v>0</v>
      </c>
      <c r="EX41" s="105">
        <f t="shared" si="8"/>
        <v>0</v>
      </c>
      <c r="EY41" s="105">
        <f t="shared" si="9"/>
        <v>0</v>
      </c>
      <c r="EZ41" s="105">
        <f t="shared" si="10"/>
        <v>0</v>
      </c>
      <c r="FA41" s="105">
        <f t="shared" si="11"/>
        <v>0</v>
      </c>
      <c r="FB41" s="105">
        <f t="shared" si="12"/>
        <v>0</v>
      </c>
      <c r="FC41" s="105">
        <f t="shared" si="13"/>
        <v>0</v>
      </c>
      <c r="FD41" s="105">
        <f t="shared" si="14"/>
        <v>0</v>
      </c>
      <c r="FE41" s="105">
        <f t="shared" si="18"/>
        <v>0</v>
      </c>
      <c r="FF41" s="105">
        <f t="shared" si="19"/>
        <v>0</v>
      </c>
      <c r="FG41" s="105">
        <f t="shared" si="20"/>
        <v>0</v>
      </c>
      <c r="FH41" s="105">
        <f t="shared" si="21"/>
        <v>0</v>
      </c>
      <c r="FI41" s="105">
        <f t="shared" si="22"/>
        <v>0</v>
      </c>
      <c r="FJ41" s="105">
        <f t="shared" si="23"/>
        <v>0</v>
      </c>
      <c r="FK41" s="105">
        <f t="shared" si="24"/>
        <v>0</v>
      </c>
      <c r="FL41" s="105">
        <f t="shared" si="25"/>
        <v>0</v>
      </c>
      <c r="FM41" s="105">
        <f t="shared" si="26"/>
        <v>0</v>
      </c>
      <c r="FN41" s="105">
        <f t="shared" si="27"/>
        <v>0</v>
      </c>
      <c r="FO41" s="273" t="str">
        <f t="shared" si="17"/>
        <v/>
      </c>
      <c r="FP41" s="105">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943">
        <f t="shared" si="16"/>
        <v>0</v>
      </c>
      <c r="FR41" s="940">
        <f>SUMIFS('5. PERSON'!$AE$17:$AE$192,'5. PERSON'!$B$17:$B$192,'14. EUFP'!$B41,'5. PERSON'!$D$17:$D$192,FR$18)</f>
        <v>0</v>
      </c>
      <c r="FS41" s="940">
        <f>SUMIFS('5. PERSON'!$AE$17:$AE$192,'5. PERSON'!$B$17:$B$192,'14. EUFP'!$B41,'5. PERSON'!$D$17:$D$192,FS$18)</f>
        <v>0</v>
      </c>
      <c r="FT41" s="940">
        <f>SUMIFS('5. PERSON'!$AE$17:$AE$192,'5. PERSON'!$B$17:$B$192,'14. EUFP'!$B41,'5. PERSON'!$D$17:$D$192,FT$18)</f>
        <v>0</v>
      </c>
      <c r="FU41" s="940">
        <f>SUMIFS('5. PERSON'!$AE$17:$AE$192,'5. PERSON'!$B$17:$B$192,'14. EUFP'!$B41,'5. PERSON'!$D$17:$D$192,FU$18)</f>
        <v>0</v>
      </c>
      <c r="FV41" s="940">
        <f>SUMIFS('5. PERSON'!$AE$17:$AE$192,'5. PERSON'!$B$17:$B$192,'14. EUFP'!$B41,'5. PERSON'!$D$17:$D$192,FV$18)</f>
        <v>0</v>
      </c>
      <c r="FW41" s="940">
        <f>SUMIFS('5. PERSON'!$AE$17:$AE$192,'5. PERSON'!$B$17:$B$192,'14. EUFP'!$B41,'5. PERSON'!$D$17:$D$192,FW$18)</f>
        <v>0</v>
      </c>
      <c r="FX41" s="940">
        <f>SUMIFS('5. PERSON'!$AE$17:$AE$192,'5. PERSON'!$B$17:$B$192,'14. EUFP'!$B41,'5. PERSON'!$D$17:$D$192,FX$18)</f>
        <v>0</v>
      </c>
      <c r="FY41" s="940">
        <f>SUMIFS('5. PERSON'!$AE$17:$AE$192,'5. PERSON'!$B$17:$B$192,'14. EUFP'!$B41,'5. PERSON'!$D$17:$D$192,FY$18)</f>
        <v>0</v>
      </c>
      <c r="FZ41" s="940">
        <f>SUMIFS('5. PERSON'!$AE$17:$AE$192,'5. PERSON'!$B$17:$B$192,'14. EUFP'!$B41,'5. PERSON'!$D$17:$D$192,FZ$18)</f>
        <v>0</v>
      </c>
      <c r="GA41" s="940">
        <f>SUMIFS('5. PERSON'!$AE$17:$AE$192,'5. PERSON'!$B$17:$B$192,'14. EUFP'!$B41,'5. PERSON'!$D$17:$D$192,GA$18)</f>
        <v>0</v>
      </c>
      <c r="GB41" s="940">
        <f>SUMIFS('5. PERSON'!$AE$17:$AE$192,'5. PERSON'!$B$17:$B$192,'14. EUFP'!$B41,'5. PERSON'!$D$17:$D$192,GB$18)</f>
        <v>0</v>
      </c>
      <c r="GC41" s="940">
        <f>SUMIFS('5. PERSON'!$AE$17:$AE$192,'5. PERSON'!$B$17:$B$192,'14. EUFP'!$B41,'5. PERSON'!$D$17:$D$192,GC$18)</f>
        <v>0</v>
      </c>
      <c r="GD41" s="940">
        <f>SUMIFS('5. PERSON'!$AE$17:$AE$192,'5. PERSON'!$B$17:$B$192,'14. EUFP'!$B41,'5. PERSON'!$D$17:$D$192,GD$18)</f>
        <v>0</v>
      </c>
      <c r="GE41" s="940">
        <f>SUMIFS('5. PERSON'!$AE$17:$AE$192,'5. PERSON'!$B$17:$B$192,'14. EUFP'!$B41,'5. PERSON'!$D$17:$D$192,GE$18)</f>
        <v>0</v>
      </c>
      <c r="GF41" s="940">
        <f>SUMIFS('5. PERSON'!$AE$17:$AE$192,'5. PERSON'!$B$17:$B$192,'14. EUFP'!$B41,'5. PERSON'!$D$17:$D$192,GF$18)</f>
        <v>0</v>
      </c>
      <c r="GG41" s="940">
        <f>SUMIFS('5. PERSON'!$AE$17:$AE$192,'5. PERSON'!$B$17:$B$192,'14. EUFP'!$B41,'5. PERSON'!$D$17:$D$192,GG$18)</f>
        <v>0</v>
      </c>
      <c r="GH41" s="940">
        <f>SUMIFS('5. PERSON'!$AE$17:$AE$192,'5. PERSON'!$B$17:$B$192,'14. EUFP'!$B41,'5. PERSON'!$D$17:$D$192,GH$18)</f>
        <v>0</v>
      </c>
      <c r="GI41" s="940">
        <f>SUMIFS('5. PERSON'!$AE$17:$AE$192,'5. PERSON'!$B$17:$B$192,'14. EUFP'!$B41,'5. PERSON'!$D$17:$D$192,GI$18)</f>
        <v>0</v>
      </c>
      <c r="GJ41" s="940">
        <f>SUMIFS('5. PERSON'!$AE$17:$AE$192,'5. PERSON'!$B$17:$B$192,'14. EUFP'!$B41,'5. PERSON'!$D$17:$D$192,GJ$18)</f>
        <v>0</v>
      </c>
      <c r="GK41" s="940">
        <f>SUMIFS('5. PERSON'!$AE$17:$AE$192,'5. PERSON'!$B$17:$B$192,'14. EUFP'!$B41,'5. PERSON'!$D$17:$D$192,GK$18)</f>
        <v>0</v>
      </c>
      <c r="GL41" s="940">
        <f t="shared" si="28"/>
        <v>0</v>
      </c>
    </row>
    <row r="42" spans="2:194" ht="13.5" customHeight="1" x14ac:dyDescent="0.2">
      <c r="B42" s="261" t="str">
        <f>'3. PARTNER'!B69</f>
        <v>EXT119</v>
      </c>
      <c r="C42" s="262">
        <f>SUMIF('5. PERSON'!B$17:B$192,B42,'5. PERSON'!AR$17:AR$192)</f>
        <v>0</v>
      </c>
      <c r="D42" s="262">
        <f>SUMIFS('5. PERSON'!$AR$17:$AR$192,'5. PERSON'!$B$17:$B$192,$B42,'5. PERSON'!$D$17:$D$192,D$18)</f>
        <v>0</v>
      </c>
      <c r="E42" s="262">
        <f>SUMIFS('5. PERSON'!$AR$17:$AR$192,'5. PERSON'!$B$17:$B$192,$B42,'5. PERSON'!$D$17:$D$192,E$18)</f>
        <v>0</v>
      </c>
      <c r="F42" s="262">
        <f>SUMIFS('5. PERSON'!$AR$17:$AR$192,'5. PERSON'!$B$17:$B$192,$B42,'5. PERSON'!$D$17:$D$192,F$18)</f>
        <v>0</v>
      </c>
      <c r="G42" s="262">
        <f>SUMIFS('5. PERSON'!$AR$17:$AR$192,'5. PERSON'!$B$17:$B$192,$B42,'5. PERSON'!$D$17:$D$192,G$18)</f>
        <v>0</v>
      </c>
      <c r="H42" s="262">
        <f>SUMIFS('5. PERSON'!$AR$17:$AR$192,'5. PERSON'!$B$17:$B$192,$B42,'5. PERSON'!$D$17:$D$192,H$18)</f>
        <v>0</v>
      </c>
      <c r="I42" s="262">
        <f>SUMIFS('5. PERSON'!$AR$17:$AR$192,'5. PERSON'!$B$17:$B$192,$B42,'5. PERSON'!$D$17:$D$192,I$18)</f>
        <v>0</v>
      </c>
      <c r="J42" s="262">
        <f>SUMIFS('5. PERSON'!$AR$17:$AR$192,'5. PERSON'!$B$17:$B$192,$B42,'5. PERSON'!$D$17:$D$192,J$18)</f>
        <v>0</v>
      </c>
      <c r="K42" s="262">
        <f>SUMIFS('5. PERSON'!$AR$17:$AR$192,'5. PERSON'!$B$17:$B$192,$B42,'5. PERSON'!$D$17:$D$192,K$18)</f>
        <v>0</v>
      </c>
      <c r="L42" s="262">
        <f>SUMIFS('5. PERSON'!$AR$17:$AR$192,'5. PERSON'!$B$17:$B$192,$B42,'5. PERSON'!$D$17:$D$192,L$18)</f>
        <v>0</v>
      </c>
      <c r="M42" s="262">
        <f>SUMIFS('5. PERSON'!$AR$17:$AR$192,'5. PERSON'!$B$17:$B$192,$B42,'5. PERSON'!$D$17:$D$192,M$18)</f>
        <v>0</v>
      </c>
      <c r="N42" s="262">
        <f>SUMIFS('5. PERSON'!$AR$17:$AR$192,'5. PERSON'!$B$17:$B$192,$B42,'5. PERSON'!$D$17:$D$192,N$18)</f>
        <v>0</v>
      </c>
      <c r="O42" s="262">
        <f>SUMIFS('5. PERSON'!$AR$17:$AR$192,'5. PERSON'!$B$17:$B$192,$B42,'5. PERSON'!$D$17:$D$192,O$18)</f>
        <v>0</v>
      </c>
      <c r="P42" s="262">
        <f>SUMIFS('5. PERSON'!$AR$17:$AR$192,'5. PERSON'!$B$17:$B$192,$B42,'5. PERSON'!$D$17:$D$192,P$18)</f>
        <v>0</v>
      </c>
      <c r="Q42" s="262">
        <f>SUMIFS('5. PERSON'!$AR$17:$AR$192,'5. PERSON'!$B$17:$B$192,$B42,'5. PERSON'!$D$17:$D$192,Q$18)</f>
        <v>0</v>
      </c>
      <c r="R42" s="262">
        <f>SUMIFS('5. PERSON'!$AR$17:$AR$192,'5. PERSON'!$B$17:$B$192,$B42,'5. PERSON'!$D$17:$D$192,R$18)</f>
        <v>0</v>
      </c>
      <c r="S42" s="262">
        <f>SUMIFS('5. PERSON'!$AR$17:$AR$192,'5. PERSON'!$B$17:$B$192,$B42,'5. PERSON'!$D$17:$D$192,S$18)</f>
        <v>0</v>
      </c>
      <c r="T42" s="262">
        <f>SUMIFS('5. PERSON'!$AR$17:$AR$192,'5. PERSON'!$B$17:$B$192,$B42,'5. PERSON'!$D$17:$D$192,T$18)</f>
        <v>0</v>
      </c>
      <c r="U42" s="262">
        <f>SUMIFS('5. PERSON'!$AR$17:$AR$192,'5. PERSON'!$B$17:$B$192,$B42,'5. PERSON'!$D$17:$D$192,U$18)</f>
        <v>0</v>
      </c>
      <c r="V42" s="262">
        <f>SUMIFS('5. PERSON'!$AR$17:$AR$192,'5. PERSON'!$B$17:$B$192,$B42,'5. PERSON'!$D$17:$D$192,V$18)</f>
        <v>0</v>
      </c>
      <c r="W42" s="262">
        <f>SUMIFS('5. PERSON'!$AR$17:$AR$192,'5. PERSON'!$B$17:$B$192,$B42,'5. PERSON'!$D$17:$D$192,W$18)</f>
        <v>0</v>
      </c>
      <c r="X42" s="262">
        <f>SUMIFS('6. OPERATION'!R$17:R$149,'6. OPERATION'!B$17:B$149,B42,'6. OPERATION'!G$17:G$149,"SUBCON")</f>
        <v>0</v>
      </c>
      <c r="Y42" s="262">
        <f>SUMIFS('6. OPERATION'!$R$17:$R$149,'6. OPERATION'!$B$17:$B$149,$B42,'6. OPERATION'!$G$17:$G$149,"SUBCON",'6. OPERATION'!$D$17:$D$149,Y$18)</f>
        <v>0</v>
      </c>
      <c r="Z42" s="262">
        <f>SUMIFS('6. OPERATION'!$R$17:$R$149,'6. OPERATION'!$B$17:$B$149,$B42,'6. OPERATION'!$G$17:$G$149,"SUBCON",'6. OPERATION'!$D$17:$D$149,Z$18)</f>
        <v>0</v>
      </c>
      <c r="AA42" s="262">
        <f>SUMIFS('6. OPERATION'!$R$17:$R$149,'6. OPERATION'!$B$17:$B$149,$B42,'6. OPERATION'!$G$17:$G$149,"SUBCON",'6. OPERATION'!$D$17:$D$149,AA$18)</f>
        <v>0</v>
      </c>
      <c r="AB42" s="262">
        <f>SUMIFS('6. OPERATION'!$R$17:$R$149,'6. OPERATION'!$B$17:$B$149,$B42,'6. OPERATION'!$G$17:$G$149,"SUBCON",'6. OPERATION'!$D$17:$D$149,AB$18)</f>
        <v>0</v>
      </c>
      <c r="AC42" s="262">
        <f>SUMIFS('6. OPERATION'!$R$17:$R$149,'6. OPERATION'!$B$17:$B$149,$B42,'6. OPERATION'!$G$17:$G$149,"SUBCON",'6. OPERATION'!$D$17:$D$149,AC$18)</f>
        <v>0</v>
      </c>
      <c r="AD42" s="262">
        <f>SUMIFS('6. OPERATION'!$R$17:$R$149,'6. OPERATION'!$B$17:$B$149,$B42,'6. OPERATION'!$G$17:$G$149,"SUBCON",'6. OPERATION'!$D$17:$D$149,AD$18)</f>
        <v>0</v>
      </c>
      <c r="AE42" s="262">
        <f>SUMIFS('6. OPERATION'!$R$17:$R$149,'6. OPERATION'!$B$17:$B$149,$B42,'6. OPERATION'!$G$17:$G$149,"SUBCON",'6. OPERATION'!$D$17:$D$149,AE$18)</f>
        <v>0</v>
      </c>
      <c r="AF42" s="262">
        <f>SUMIFS('6. OPERATION'!$R$17:$R$149,'6. OPERATION'!$B$17:$B$149,$B42,'6. OPERATION'!$G$17:$G$149,"SUBCON",'6. OPERATION'!$D$17:$D$149,AF$18)</f>
        <v>0</v>
      </c>
      <c r="AG42" s="262">
        <f>SUMIFS('6. OPERATION'!$R$17:$R$149,'6. OPERATION'!$B$17:$B$149,$B42,'6. OPERATION'!$G$17:$G$149,"SUBCON",'6. OPERATION'!$D$17:$D$149,AG$18)</f>
        <v>0</v>
      </c>
      <c r="AH42" s="262">
        <f>SUMIFS('6. OPERATION'!$R$17:$R$149,'6. OPERATION'!$B$17:$B$149,$B42,'6. OPERATION'!$G$17:$G$149,"SUBCON",'6. OPERATION'!$D$17:$D$149,AH$18)</f>
        <v>0</v>
      </c>
      <c r="AI42" s="262">
        <f>SUMIFS('6. OPERATION'!$R$17:$R$149,'6. OPERATION'!$B$17:$B$149,$B42,'6. OPERATION'!$G$17:$G$149,"SUBCON",'6. OPERATION'!$D$17:$D$149,AI$18)</f>
        <v>0</v>
      </c>
      <c r="AJ42" s="262">
        <f>SUMIFS('6. OPERATION'!$R$17:$R$149,'6. OPERATION'!$B$17:$B$149,$B42,'6. OPERATION'!$G$17:$G$149,"SUBCON",'6. OPERATION'!$D$17:$D$149,AJ$18)</f>
        <v>0</v>
      </c>
      <c r="AK42" s="262">
        <f>SUMIFS('6. OPERATION'!$R$17:$R$149,'6. OPERATION'!$B$17:$B$149,$B42,'6. OPERATION'!$G$17:$G$149,"SUBCON",'6. OPERATION'!$D$17:$D$149,AK$18)</f>
        <v>0</v>
      </c>
      <c r="AL42" s="262">
        <f>SUMIFS('6. OPERATION'!$R$17:$R$149,'6. OPERATION'!$B$17:$B$149,$B42,'6. OPERATION'!$G$17:$G$149,"SUBCON",'6. OPERATION'!$D$17:$D$149,AL$18)</f>
        <v>0</v>
      </c>
      <c r="AM42" s="262">
        <f>SUMIFS('6. OPERATION'!$R$17:$R$149,'6. OPERATION'!$B$17:$B$149,$B42,'6. OPERATION'!$G$17:$G$149,"SUBCON",'6. OPERATION'!$D$17:$D$149,AM$18)</f>
        <v>0</v>
      </c>
      <c r="AN42" s="262">
        <f>SUMIFS('6. OPERATION'!$R$17:$R$149,'6. OPERATION'!$B$17:$B$149,$B42,'6. OPERATION'!$G$17:$G$149,"SUBCON",'6. OPERATION'!$D$17:$D$149,AN$18)</f>
        <v>0</v>
      </c>
      <c r="AO42" s="262">
        <f>SUMIFS('6. OPERATION'!$R$17:$R$149,'6. OPERATION'!$B$17:$B$149,$B42,'6. OPERATION'!$G$17:$G$149,"SUBCON",'6. OPERATION'!$D$17:$D$149,AO$18)</f>
        <v>0</v>
      </c>
      <c r="AP42" s="262">
        <f>SUMIFS('6. OPERATION'!$R$17:$R$149,'6. OPERATION'!$B$17:$B$149,$B42,'6. OPERATION'!$G$17:$G$149,"SUBCON",'6. OPERATION'!$D$17:$D$149,AP$18)</f>
        <v>0</v>
      </c>
      <c r="AQ42" s="262">
        <f>SUMIFS('6. OPERATION'!$R$17:$R$149,'6. OPERATION'!$B$17:$B$149,$B42,'6. OPERATION'!$G$17:$G$149,"SUBCON",'6. OPERATION'!$D$17:$D$149,AQ$18)</f>
        <v>0</v>
      </c>
      <c r="AR42" s="262">
        <f>SUMIFS('6. OPERATION'!$R$17:$R$149,'6. OPERATION'!$B$17:$B$149,$B42,'6. OPERATION'!$G$17:$G$149,"SUBCON",'6. OPERATION'!$D$17:$D$149,AR$18)</f>
        <v>0</v>
      </c>
      <c r="AS42" s="262">
        <f>SUMIFS('6. OPERATION'!R$17:R$149,'6. OPERATION'!B$17:B$149,B42,'6. OPERATION'!G$17:G$149,"TRAVEL")</f>
        <v>0</v>
      </c>
      <c r="AT42" s="262">
        <f>SUMIFS('6. OPERATION'!$R$17:$R$149,'6. OPERATION'!$B$17:$B$149,$B42,'6. OPERATION'!$G$17:$G$149,"TRAVEL",'6. OPERATION'!$D$17:$D$149,AT$18)</f>
        <v>0</v>
      </c>
      <c r="AU42" s="262">
        <f>SUMIFS('6. OPERATION'!$R$17:$R$149,'6. OPERATION'!$B$17:$B$149,$B42,'6. OPERATION'!$G$17:$G$149,"TRAVEL",'6. OPERATION'!$D$17:$D$149,AU$18)</f>
        <v>0</v>
      </c>
      <c r="AV42" s="262">
        <f>SUMIFS('6. OPERATION'!$R$17:$R$149,'6. OPERATION'!$B$17:$B$149,$B42,'6. OPERATION'!$G$17:$G$149,"TRAVEL",'6. OPERATION'!$D$17:$D$149,AV$18)</f>
        <v>0</v>
      </c>
      <c r="AW42" s="262">
        <f>SUMIFS('6. OPERATION'!$R$17:$R$149,'6. OPERATION'!$B$17:$B$149,$B42,'6. OPERATION'!$G$17:$G$149,"TRAVEL",'6. OPERATION'!$D$17:$D$149,AW$18)</f>
        <v>0</v>
      </c>
      <c r="AX42" s="262">
        <f>SUMIFS('6. OPERATION'!$R$17:$R$149,'6. OPERATION'!$B$17:$B$149,$B42,'6. OPERATION'!$G$17:$G$149,"TRAVEL",'6. OPERATION'!$D$17:$D$149,AX$18)</f>
        <v>0</v>
      </c>
      <c r="AY42" s="262">
        <f>SUMIFS('6. OPERATION'!$R$17:$R$149,'6. OPERATION'!$B$17:$B$149,$B42,'6. OPERATION'!$G$17:$G$149,"TRAVEL",'6. OPERATION'!$D$17:$D$149,AY$18)</f>
        <v>0</v>
      </c>
      <c r="AZ42" s="262">
        <f>SUMIFS('6. OPERATION'!$R$17:$R$149,'6. OPERATION'!$B$17:$B$149,$B42,'6. OPERATION'!$G$17:$G$149,"TRAVEL",'6. OPERATION'!$D$17:$D$149,AZ$18)</f>
        <v>0</v>
      </c>
      <c r="BA42" s="262">
        <f>SUMIFS('6. OPERATION'!$R$17:$R$149,'6. OPERATION'!$B$17:$B$149,$B42,'6. OPERATION'!$G$17:$G$149,"TRAVEL",'6. OPERATION'!$D$17:$D$149,BA$18)</f>
        <v>0</v>
      </c>
      <c r="BB42" s="262">
        <f>SUMIFS('6. OPERATION'!$R$17:$R$149,'6. OPERATION'!$B$17:$B$149,$B42,'6. OPERATION'!$G$17:$G$149,"TRAVEL",'6. OPERATION'!$D$17:$D$149,BB$18)</f>
        <v>0</v>
      </c>
      <c r="BC42" s="262">
        <f>SUMIFS('6. OPERATION'!$R$17:$R$149,'6. OPERATION'!$B$17:$B$149,$B42,'6. OPERATION'!$G$17:$G$149,"TRAVEL",'6. OPERATION'!$D$17:$D$149,BC$18)</f>
        <v>0</v>
      </c>
      <c r="BD42" s="262">
        <f>SUMIFS('6. OPERATION'!$R$17:$R$149,'6. OPERATION'!$B$17:$B$149,$B42,'6. OPERATION'!$G$17:$G$149,"TRAVEL",'6. OPERATION'!$D$17:$D$149,BD$18)</f>
        <v>0</v>
      </c>
      <c r="BE42" s="262">
        <f>SUMIFS('6. OPERATION'!$R$17:$R$149,'6. OPERATION'!$B$17:$B$149,$B42,'6. OPERATION'!$G$17:$G$149,"TRAVEL",'6. OPERATION'!$D$17:$D$149,BE$18)</f>
        <v>0</v>
      </c>
      <c r="BF42" s="262">
        <f>SUMIFS('6. OPERATION'!$R$17:$R$149,'6. OPERATION'!$B$17:$B$149,$B42,'6. OPERATION'!$G$17:$G$149,"TRAVEL",'6. OPERATION'!$D$17:$D$149,BF$18)</f>
        <v>0</v>
      </c>
      <c r="BG42" s="262">
        <f>SUMIFS('6. OPERATION'!$R$17:$R$149,'6. OPERATION'!$B$17:$B$149,$B42,'6. OPERATION'!$G$17:$G$149,"TRAVEL",'6. OPERATION'!$D$17:$D$149,BG$18)</f>
        <v>0</v>
      </c>
      <c r="BH42" s="262">
        <f>SUMIFS('6. OPERATION'!$R$17:$R$149,'6. OPERATION'!$B$17:$B$149,$B42,'6. OPERATION'!$G$17:$G$149,"TRAVEL",'6. OPERATION'!$D$17:$D$149,BH$18)</f>
        <v>0</v>
      </c>
      <c r="BI42" s="262">
        <f>SUMIFS('6. OPERATION'!$R$17:$R$149,'6. OPERATION'!$B$17:$B$149,$B42,'6. OPERATION'!$G$17:$G$149,"TRAVEL",'6. OPERATION'!$D$17:$D$149,BI$18)</f>
        <v>0</v>
      </c>
      <c r="BJ42" s="262">
        <f>SUMIFS('6. OPERATION'!$R$17:$R$149,'6. OPERATION'!$B$17:$B$149,$B42,'6. OPERATION'!$G$17:$G$149,"TRAVEL",'6. OPERATION'!$D$17:$D$149,BJ$18)</f>
        <v>0</v>
      </c>
      <c r="BK42" s="262">
        <f>SUMIFS('6. OPERATION'!$R$17:$R$149,'6. OPERATION'!$B$17:$B$149,$B42,'6. OPERATION'!$G$17:$G$149,"TRAVEL",'6. OPERATION'!$D$17:$D$149,BK$18)</f>
        <v>0</v>
      </c>
      <c r="BL42" s="262">
        <f>SUMIFS('6. OPERATION'!$R$17:$R$149,'6. OPERATION'!$B$17:$B$149,$B42,'6. OPERATION'!$G$17:$G$149,"TRAVEL",'6. OPERATION'!$D$17:$D$149,BL$18)</f>
        <v>0</v>
      </c>
      <c r="BM42" s="262">
        <f>SUMIFS('6. OPERATION'!$R$17:$R$149,'6. OPERATION'!$B$17:$B$149,$B42,'6. OPERATION'!$G$17:$G$149,"TRAVEL",'6. OPERATION'!$D$17:$D$149,BM$18)</f>
        <v>0</v>
      </c>
      <c r="BN42" s="262">
        <f>SUMIF('7. INVEST'!B$17:B$49,B42,'7. INVEST'!S$17:S$49)</f>
        <v>0</v>
      </c>
      <c r="BO42" s="262">
        <f>SUMIFS('7. INVEST'!$S$17:$S$49,'7. INVEST'!$B$17:$B$49,$B42,'7. INVEST'!$D$17:$D$49,BO$18)</f>
        <v>0</v>
      </c>
      <c r="BP42" s="262">
        <f>SUMIFS('7. INVEST'!$S$17:$S$49,'7. INVEST'!$B$17:$B$49,$B42,'7. INVEST'!$D$17:$D$49,BP$18)</f>
        <v>0</v>
      </c>
      <c r="BQ42" s="262">
        <f>SUMIFS('7. INVEST'!$S$17:$S$49,'7. INVEST'!$B$17:$B$49,$B42,'7. INVEST'!$D$17:$D$49,BQ$18)</f>
        <v>0</v>
      </c>
      <c r="BR42" s="262">
        <f>SUMIFS('7. INVEST'!$S$17:$S$49,'7. INVEST'!$B$17:$B$49,$B42,'7. INVEST'!$D$17:$D$49,BR$18)</f>
        <v>0</v>
      </c>
      <c r="BS42" s="262">
        <f>SUMIFS('7. INVEST'!$S$17:$S$49,'7. INVEST'!$B$17:$B$49,$B42,'7. INVEST'!$D$17:$D$49,BS$18)</f>
        <v>0</v>
      </c>
      <c r="BT42" s="262">
        <f>SUMIFS('7. INVEST'!$S$17:$S$49,'7. INVEST'!$B$17:$B$49,$B42,'7. INVEST'!$D$17:$D$49,BT$18)</f>
        <v>0</v>
      </c>
      <c r="BU42" s="262">
        <f>SUMIFS('7. INVEST'!$S$17:$S$49,'7. INVEST'!$B$17:$B$49,$B42,'7. INVEST'!$D$17:$D$49,BU$18)</f>
        <v>0</v>
      </c>
      <c r="BV42" s="262">
        <f>SUMIFS('7. INVEST'!$S$17:$S$49,'7. INVEST'!$B$17:$B$49,$B42,'7. INVEST'!$D$17:$D$49,BV$18)</f>
        <v>0</v>
      </c>
      <c r="BW42" s="262">
        <f>SUMIFS('7. INVEST'!$S$17:$S$49,'7. INVEST'!$B$17:$B$49,$B42,'7. INVEST'!$D$17:$D$49,BW$18)</f>
        <v>0</v>
      </c>
      <c r="BX42" s="262">
        <f>SUMIFS('7. INVEST'!$S$17:$S$49,'7. INVEST'!$B$17:$B$49,$B42,'7. INVEST'!$D$17:$D$49,BX$18)</f>
        <v>0</v>
      </c>
      <c r="BY42" s="262">
        <f>SUMIFS('7. INVEST'!$S$17:$S$49,'7. INVEST'!$B$17:$B$49,$B42,'7. INVEST'!$D$17:$D$49,BY$18)</f>
        <v>0</v>
      </c>
      <c r="BZ42" s="262">
        <f>SUMIFS('7. INVEST'!$S$17:$S$49,'7. INVEST'!$B$17:$B$49,$B42,'7. INVEST'!$D$17:$D$49,BZ$18)</f>
        <v>0</v>
      </c>
      <c r="CA42" s="262">
        <f>SUMIFS('7. INVEST'!$S$17:$S$49,'7. INVEST'!$B$17:$B$49,$B42,'7. INVEST'!$D$17:$D$49,CA$18)</f>
        <v>0</v>
      </c>
      <c r="CB42" s="262">
        <f>SUMIFS('7. INVEST'!$S$17:$S$49,'7. INVEST'!$B$17:$B$49,$B42,'7. INVEST'!$D$17:$D$49,CB$18)</f>
        <v>0</v>
      </c>
      <c r="CC42" s="262">
        <f>SUMIFS('7. INVEST'!$S$17:$S$49,'7. INVEST'!$B$17:$B$49,$B42,'7. INVEST'!$D$17:$D$49,CC$18)</f>
        <v>0</v>
      </c>
      <c r="CD42" s="262">
        <f>SUMIFS('7. INVEST'!$S$17:$S$49,'7. INVEST'!$B$17:$B$49,$B42,'7. INVEST'!$D$17:$D$49,CD$18)</f>
        <v>0</v>
      </c>
      <c r="CE42" s="262">
        <f>SUMIFS('7. INVEST'!$S$17:$S$49,'7. INVEST'!$B$17:$B$49,$B42,'7. INVEST'!$D$17:$D$49,CE$18)</f>
        <v>0</v>
      </c>
      <c r="CF42" s="262">
        <f>SUMIFS('7. INVEST'!$S$17:$S$49,'7. INVEST'!$B$17:$B$49,$B42,'7. INVEST'!$D$17:$D$49,CF$18)</f>
        <v>0</v>
      </c>
      <c r="CG42" s="262">
        <f>SUMIFS('7. INVEST'!$S$17:$S$49,'7. INVEST'!$B$17:$B$49,$B42,'7. INVEST'!$D$17:$D$49,CG$18)</f>
        <v>0</v>
      </c>
      <c r="CH42" s="262">
        <f>SUMIFS('7. INVEST'!$S$17:$S$49,'7. INVEST'!$B$17:$B$49,$B42,'7. INVEST'!$D$17:$D$49,CH$18)</f>
        <v>0</v>
      </c>
      <c r="CI42" s="262">
        <f>SUMIFS('6. OPERATION'!$R$17:$R$149,'6. OPERATION'!$B$17:$B$149,$B42,'6. OPERATION'!$G$17:$G$149,"OTHER")+SUMIF('8. FACILIT'!$B$18:$B$50,$B42,'8. FACILIT'!$P$18:$P$50)</f>
        <v>0</v>
      </c>
      <c r="CJ42" s="262">
        <f>SUMIFS('6. OPERATION'!$R$17:$R$149,'6. OPERATION'!$B$17:$B$149,$B42,'6. OPERATION'!$G$17:$G$149,"OTHER",'6. OPERATION'!$D$17:$D$149,CJ$18)+SUMIFS('8. FACILIT'!$P$18:$P$50,'8. FACILIT'!$B$18:$B$50,$B42,'8. FACILIT'!$D$18:$D$50,CJ$18)</f>
        <v>0</v>
      </c>
      <c r="CK42" s="262">
        <f>SUMIFS('6. OPERATION'!$R$17:$R$149,'6. OPERATION'!$B$17:$B$149,$B42,'6. OPERATION'!$G$17:$G$149,"OTHER",'6. OPERATION'!$D$17:$D$149,CK$18)+SUMIFS('8. FACILIT'!$P$18:$P$50,'8. FACILIT'!$B$18:$B$50,$B42,'8. FACILIT'!$D$18:$D$50,CK$18)</f>
        <v>0</v>
      </c>
      <c r="CL42" s="262">
        <f>SUMIFS('6. OPERATION'!$R$17:$R$149,'6. OPERATION'!$B$17:$B$149,$B42,'6. OPERATION'!$G$17:$G$149,"OTHER",'6. OPERATION'!$D$17:$D$149,CL$18)+SUMIFS('8. FACILIT'!$P$18:$P$50,'8. FACILIT'!$B$18:$B$50,$B42,'8. FACILIT'!$D$18:$D$50,CL$18)</f>
        <v>0</v>
      </c>
      <c r="CM42" s="262">
        <f>SUMIFS('6. OPERATION'!$R$17:$R$149,'6. OPERATION'!$B$17:$B$149,$B42,'6. OPERATION'!$G$17:$G$149,"OTHER",'6. OPERATION'!$D$17:$D$149,CM$18)+SUMIFS('8. FACILIT'!$P$18:$P$50,'8. FACILIT'!$B$18:$B$50,$B42,'8. FACILIT'!$D$18:$D$50,CM$18)</f>
        <v>0</v>
      </c>
      <c r="CN42" s="262">
        <f>SUMIFS('6. OPERATION'!$R$17:$R$149,'6. OPERATION'!$B$17:$B$149,$B42,'6. OPERATION'!$G$17:$G$149,"OTHER",'6. OPERATION'!$D$17:$D$149,CN$18)+SUMIFS('8. FACILIT'!$P$18:$P$50,'8. FACILIT'!$B$18:$B$50,$B42,'8. FACILIT'!$D$18:$D$50,CN$18)</f>
        <v>0</v>
      </c>
      <c r="CO42" s="262">
        <f>SUMIFS('6. OPERATION'!$R$17:$R$149,'6. OPERATION'!$B$17:$B$149,$B42,'6. OPERATION'!$G$17:$G$149,"OTHER",'6. OPERATION'!$D$17:$D$149,CO$18)+SUMIFS('8. FACILIT'!$P$18:$P$50,'8. FACILIT'!$B$18:$B$50,$B42,'8. FACILIT'!$D$18:$D$50,CO$18)</f>
        <v>0</v>
      </c>
      <c r="CP42" s="262">
        <f>SUMIFS('6. OPERATION'!$R$17:$R$149,'6. OPERATION'!$B$17:$B$149,$B42,'6. OPERATION'!$G$17:$G$149,"OTHER",'6. OPERATION'!$D$17:$D$149,CP$18)+SUMIFS('8. FACILIT'!$P$18:$P$50,'8. FACILIT'!$B$18:$B$50,$B42,'8. FACILIT'!$D$18:$D$50,CP$18)</f>
        <v>0</v>
      </c>
      <c r="CQ42" s="262">
        <f>SUMIFS('6. OPERATION'!$R$17:$R$149,'6. OPERATION'!$B$17:$B$149,$B42,'6. OPERATION'!$G$17:$G$149,"OTHER",'6. OPERATION'!$D$17:$D$149,CQ$18)+SUMIFS('8. FACILIT'!$P$18:$P$50,'8. FACILIT'!$B$18:$B$50,$B42,'8. FACILIT'!$D$18:$D$50,CQ$18)</f>
        <v>0</v>
      </c>
      <c r="CR42" s="262">
        <f>SUMIFS('6. OPERATION'!$R$17:$R$149,'6. OPERATION'!$B$17:$B$149,$B42,'6. OPERATION'!$G$17:$G$149,"OTHER",'6. OPERATION'!$D$17:$D$149,CR$18)+SUMIFS('8. FACILIT'!$P$18:$P$50,'8. FACILIT'!$B$18:$B$50,$B42,'8. FACILIT'!$D$18:$D$50,CR$18)</f>
        <v>0</v>
      </c>
      <c r="CS42" s="262">
        <f>SUMIFS('6. OPERATION'!$R$17:$R$149,'6. OPERATION'!$B$17:$B$149,$B42,'6. OPERATION'!$G$17:$G$149,"OTHER",'6. OPERATION'!$D$17:$D$149,CS$18)+SUMIFS('8. FACILIT'!$P$18:$P$50,'8. FACILIT'!$B$18:$B$50,$B42,'8. FACILIT'!$D$18:$D$50,CS$18)</f>
        <v>0</v>
      </c>
      <c r="CT42" s="262">
        <f>SUMIFS('6. OPERATION'!$R$17:$R$149,'6. OPERATION'!$B$17:$B$149,$B42,'6. OPERATION'!$G$17:$G$149,"OTHER",'6. OPERATION'!$D$17:$D$149,CT$18)+SUMIFS('8. FACILIT'!$P$18:$P$50,'8. FACILIT'!$B$18:$B$50,$B42,'8. FACILIT'!$D$18:$D$50,CT$18)</f>
        <v>0</v>
      </c>
      <c r="CU42" s="262">
        <f>SUMIFS('6. OPERATION'!$R$17:$R$149,'6. OPERATION'!$B$17:$B$149,$B42,'6. OPERATION'!$G$17:$G$149,"OTHER",'6. OPERATION'!$D$17:$D$149,CU$18)+SUMIFS('8. FACILIT'!$P$18:$P$50,'8. FACILIT'!$B$18:$B$50,$B42,'8. FACILIT'!$D$18:$D$50,CU$18)</f>
        <v>0</v>
      </c>
      <c r="CV42" s="262">
        <f>SUMIFS('6. OPERATION'!$R$17:$R$149,'6. OPERATION'!$B$17:$B$149,$B42,'6. OPERATION'!$G$17:$G$149,"OTHER",'6. OPERATION'!$D$17:$D$149,CV$18)+SUMIFS('8. FACILIT'!$P$18:$P$50,'8. FACILIT'!$B$18:$B$50,$B42,'8. FACILIT'!$D$18:$D$50,CV$18)</f>
        <v>0</v>
      </c>
      <c r="CW42" s="262">
        <f>SUMIFS('6. OPERATION'!$R$17:$R$149,'6. OPERATION'!$B$17:$B$149,$B42,'6. OPERATION'!$G$17:$G$149,"OTHER",'6. OPERATION'!$D$17:$D$149,CW$18)+SUMIFS('8. FACILIT'!$P$18:$P$50,'8. FACILIT'!$B$18:$B$50,$B42,'8. FACILIT'!$D$18:$D$50,CW$18)</f>
        <v>0</v>
      </c>
      <c r="CX42" s="262">
        <f>SUMIFS('6. OPERATION'!$R$17:$R$149,'6. OPERATION'!$B$17:$B$149,$B42,'6. OPERATION'!$G$17:$G$149,"OTHER",'6. OPERATION'!$D$17:$D$149,CX$18)+SUMIFS('8. FACILIT'!$P$18:$P$50,'8. FACILIT'!$B$18:$B$50,$B42,'8. FACILIT'!$D$18:$D$50,CX$18)</f>
        <v>0</v>
      </c>
      <c r="CY42" s="262">
        <f>SUMIFS('6. OPERATION'!$R$17:$R$149,'6. OPERATION'!$B$17:$B$149,$B42,'6. OPERATION'!$G$17:$G$149,"OTHER",'6. OPERATION'!$D$17:$D$149,CY$18)+SUMIFS('8. FACILIT'!$P$18:$P$50,'8. FACILIT'!$B$18:$B$50,$B42,'8. FACILIT'!$D$18:$D$50,CY$18)</f>
        <v>0</v>
      </c>
      <c r="CZ42" s="262">
        <f>SUMIFS('6. OPERATION'!$R$17:$R$149,'6. OPERATION'!$B$17:$B$149,$B42,'6. OPERATION'!$G$17:$G$149,"OTHER",'6. OPERATION'!$D$17:$D$149,CZ$18)+SUMIFS('8. FACILIT'!$P$18:$P$50,'8. FACILIT'!$B$18:$B$50,$B42,'8. FACILIT'!$D$18:$D$50,CZ$18)</f>
        <v>0</v>
      </c>
      <c r="DA42" s="262">
        <f>SUMIFS('6. OPERATION'!$R$17:$R$149,'6. OPERATION'!$B$17:$B$149,$B42,'6. OPERATION'!$G$17:$G$149,"OTHER",'6. OPERATION'!$D$17:$D$149,DA$18)+SUMIFS('8. FACILIT'!$P$18:$P$50,'8. FACILIT'!$B$18:$B$50,$B42,'8. FACILIT'!$D$18:$D$50,DA$18)</f>
        <v>0</v>
      </c>
      <c r="DB42" s="262">
        <f>SUMIFS('6. OPERATION'!$R$17:$R$149,'6. OPERATION'!$B$17:$B$149,$B42,'6. OPERATION'!$G$17:$G$149,"OTHER",'6. OPERATION'!$D$17:$D$149,DB$18)+SUMIFS('8. FACILIT'!$P$18:$P$50,'8. FACILIT'!$B$18:$B$50,$B42,'8. FACILIT'!$D$18:$D$50,DB$18)</f>
        <v>0</v>
      </c>
      <c r="DC42" s="262">
        <f>SUMIFS('6. OPERATION'!$R$17:$R$149,'6. OPERATION'!$B$17:$B$149,$B42,'6. OPERATION'!$G$17:$G$149,"OTHER",'6. OPERATION'!$D$17:$D$149,DC$18)+SUMIFS('8. FACILIT'!$P$18:$P$50,'8. FACILIT'!$B$18:$B$50,$B42,'8. FACILIT'!$D$18:$D$50,DC$18)</f>
        <v>0</v>
      </c>
      <c r="DD42" s="262">
        <f>SUMIFS('6. OPERATION'!R$17:R$149,'6. OPERATION'!B$17:B$149,B42,'6. OPERATION'!G$17:G$149,"INTERN")</f>
        <v>0</v>
      </c>
      <c r="DE42" s="262">
        <f>SUMIFS('6. OPERATION'!$R$17:$R$149,'6. OPERATION'!$B$17:$B$149,$B42,'6. OPERATION'!$G$17:$G$149,"INTERN",'6. OPERATION'!$D$17:$D$149,DE$18)</f>
        <v>0</v>
      </c>
      <c r="DF42" s="262">
        <f>SUMIFS('6. OPERATION'!$R$17:$R$149,'6. OPERATION'!$B$17:$B$149,$B42,'6. OPERATION'!$G$17:$G$149,"INTERN",'6. OPERATION'!$D$17:$D$149,DF$18)</f>
        <v>0</v>
      </c>
      <c r="DG42" s="262">
        <f>SUMIFS('6. OPERATION'!$R$17:$R$149,'6. OPERATION'!$B$17:$B$149,$B42,'6. OPERATION'!$G$17:$G$149,"INTERN",'6. OPERATION'!$D$17:$D$149,DG$18)</f>
        <v>0</v>
      </c>
      <c r="DH42" s="262">
        <f>SUMIFS('6. OPERATION'!$R$17:$R$149,'6. OPERATION'!$B$17:$B$149,$B42,'6. OPERATION'!$G$17:$G$149,"INTERN",'6. OPERATION'!$D$17:$D$149,DH$18)</f>
        <v>0</v>
      </c>
      <c r="DI42" s="262">
        <f>SUMIFS('6. OPERATION'!$R$17:$R$149,'6. OPERATION'!$B$17:$B$149,$B42,'6. OPERATION'!$G$17:$G$149,"INTERN",'6. OPERATION'!$D$17:$D$149,DI$18)</f>
        <v>0</v>
      </c>
      <c r="DJ42" s="262">
        <f>SUMIFS('6. OPERATION'!$R$17:$R$149,'6. OPERATION'!$B$17:$B$149,$B42,'6. OPERATION'!$G$17:$G$149,"INTERN",'6. OPERATION'!$D$17:$D$149,DJ$18)</f>
        <v>0</v>
      </c>
      <c r="DK42" s="262">
        <f>SUMIFS('6. OPERATION'!$R$17:$R$149,'6. OPERATION'!$B$17:$B$149,$B42,'6. OPERATION'!$G$17:$G$149,"INTERN",'6. OPERATION'!$D$17:$D$149,DK$18)</f>
        <v>0</v>
      </c>
      <c r="DL42" s="262">
        <f>SUMIFS('6. OPERATION'!$R$17:$R$149,'6. OPERATION'!$B$17:$B$149,$B42,'6. OPERATION'!$G$17:$G$149,"INTERN",'6. OPERATION'!$D$17:$D$149,DL$18)</f>
        <v>0</v>
      </c>
      <c r="DM42" s="262">
        <f>SUMIFS('6. OPERATION'!$R$17:$R$149,'6. OPERATION'!$B$17:$B$149,$B42,'6. OPERATION'!$G$17:$G$149,"INTERN",'6. OPERATION'!$D$17:$D$149,DM$18)</f>
        <v>0</v>
      </c>
      <c r="DN42" s="262">
        <f>SUMIFS('6. OPERATION'!$R$17:$R$149,'6. OPERATION'!$B$17:$B$149,$B42,'6. OPERATION'!$G$17:$G$149,"INTERN",'6. OPERATION'!$D$17:$D$149,DN$18)</f>
        <v>0</v>
      </c>
      <c r="DO42" s="262">
        <f>SUMIFS('6. OPERATION'!$R$17:$R$149,'6. OPERATION'!$B$17:$B$149,$B42,'6. OPERATION'!$G$17:$G$149,"INTERN",'6. OPERATION'!$D$17:$D$149,DO$18)</f>
        <v>0</v>
      </c>
      <c r="DP42" s="262">
        <f>SUMIFS('6. OPERATION'!$R$17:$R$149,'6. OPERATION'!$B$17:$B$149,$B42,'6. OPERATION'!$G$17:$G$149,"INTERN",'6. OPERATION'!$D$17:$D$149,DP$18)</f>
        <v>0</v>
      </c>
      <c r="DQ42" s="262">
        <f>SUMIFS('6. OPERATION'!$R$17:$R$149,'6. OPERATION'!$B$17:$B$149,$B42,'6. OPERATION'!$G$17:$G$149,"INTERN",'6. OPERATION'!$D$17:$D$149,DQ$18)</f>
        <v>0</v>
      </c>
      <c r="DR42" s="262">
        <f>SUMIFS('6. OPERATION'!$R$17:$R$149,'6. OPERATION'!$B$17:$B$149,$B42,'6. OPERATION'!$G$17:$G$149,"INTERN",'6. OPERATION'!$D$17:$D$149,DR$18)</f>
        <v>0</v>
      </c>
      <c r="DS42" s="262">
        <f>SUMIFS('6. OPERATION'!$R$17:$R$149,'6. OPERATION'!$B$17:$B$149,$B42,'6. OPERATION'!$G$17:$G$149,"INTERN",'6. OPERATION'!$D$17:$D$149,DS$18)</f>
        <v>0</v>
      </c>
      <c r="DT42" s="262">
        <f>SUMIFS('6. OPERATION'!$R$17:$R$149,'6. OPERATION'!$B$17:$B$149,$B42,'6. OPERATION'!$G$17:$G$149,"INTERN",'6. OPERATION'!$D$17:$D$149,DT$18)</f>
        <v>0</v>
      </c>
      <c r="DU42" s="262">
        <f>SUMIFS('6. OPERATION'!$R$17:$R$149,'6. OPERATION'!$B$17:$B$149,$B42,'6. OPERATION'!$G$17:$G$149,"INTERN",'6. OPERATION'!$D$17:$D$149,DU$18)</f>
        <v>0</v>
      </c>
      <c r="DV42" s="262">
        <f>SUMIFS('6. OPERATION'!$R$17:$R$149,'6. OPERATION'!$B$17:$B$149,$B42,'6. OPERATION'!$G$17:$G$149,"INTERN",'6. OPERATION'!$D$17:$D$149,DV$18)</f>
        <v>0</v>
      </c>
      <c r="DW42" s="262">
        <f>SUMIFS('6. OPERATION'!$R$17:$R$149,'6. OPERATION'!$B$17:$B$149,$B42,'6. OPERATION'!$G$17:$G$149,"INTERN",'6. OPERATION'!$D$17:$D$149,DW$18)</f>
        <v>0</v>
      </c>
      <c r="DX42" s="262">
        <f>SUMIFS('6. OPERATION'!$R$17:$R$149,'6. OPERATION'!$B$17:$B$149,$B42,'6. OPERATION'!$G$17:$G$149,"INTERN",'6. OPERATION'!$D$17:$D$149,DX$18)</f>
        <v>0</v>
      </c>
      <c r="DY42" s="262">
        <f>(C42+AS42+BN42+CI42)*'2. START'!$C$12</f>
        <v>0</v>
      </c>
      <c r="DZ42" s="262">
        <f>(D42+AT42+BO42+CJ42)*'2. START'!$C$12</f>
        <v>0</v>
      </c>
      <c r="EA42" s="262">
        <f>(E42+AU42+BP42+CK42)*'2. START'!$C$12</f>
        <v>0</v>
      </c>
      <c r="EB42" s="262">
        <f>(F42+AV42+BQ42+CL42)*'2. START'!$C$12</f>
        <v>0</v>
      </c>
      <c r="EC42" s="262">
        <f>(G42+AW42+BR42+CM42)*'2. START'!$C$12</f>
        <v>0</v>
      </c>
      <c r="ED42" s="262">
        <f>(H42+AX42+BS42+CN42)*'2. START'!$C$12</f>
        <v>0</v>
      </c>
      <c r="EE42" s="262">
        <f>(I42+AY42+BT42+CO42)*'2. START'!$C$12</f>
        <v>0</v>
      </c>
      <c r="EF42" s="262">
        <f>(J42+AZ42+BU42+CP42)*'2. START'!$C$12</f>
        <v>0</v>
      </c>
      <c r="EG42" s="262">
        <f>(K42+BA42+BV42+CQ42)*'2. START'!$C$12</f>
        <v>0</v>
      </c>
      <c r="EH42" s="262">
        <f>(L42+BB42+BW42+CR42)*'2. START'!$C$12</f>
        <v>0</v>
      </c>
      <c r="EI42" s="262">
        <f>(M42+BC42+BX42+CS42)*'2. START'!$C$12</f>
        <v>0</v>
      </c>
      <c r="EJ42" s="262">
        <f>(N42+BD42+BY42+CT42)*'2. START'!$C$12</f>
        <v>0</v>
      </c>
      <c r="EK42" s="262">
        <f>(O42+BE42+BZ42+CU42)*'2. START'!$C$12</f>
        <v>0</v>
      </c>
      <c r="EL42" s="262">
        <f>(P42+BF42+CA42+CV42)*'2. START'!$C$12</f>
        <v>0</v>
      </c>
      <c r="EM42" s="262">
        <f>(Q42+BG42+CB42+CW42)*'2. START'!$C$12</f>
        <v>0</v>
      </c>
      <c r="EN42" s="262">
        <f>(R42+BH42+CC42+CX42)*'2. START'!$C$12</f>
        <v>0</v>
      </c>
      <c r="EO42" s="262">
        <f>(S42+BI42+CD42+CY42)*'2. START'!$C$12</f>
        <v>0</v>
      </c>
      <c r="EP42" s="262">
        <f>(T42+BJ42+CE42+CZ42)*'2. START'!$C$12</f>
        <v>0</v>
      </c>
      <c r="EQ42" s="262">
        <f>(U42+BK42+CF42+DA42)*'2. START'!$C$12</f>
        <v>0</v>
      </c>
      <c r="ER42" s="262">
        <f>(V42+BL42+CG42+DB42)*'2. START'!$C$12</f>
        <v>0</v>
      </c>
      <c r="ES42" s="262">
        <f>(W42+BM42+CH42+DC42)*'2. START'!$C$12</f>
        <v>0</v>
      </c>
      <c r="ET42" s="98">
        <f t="shared" si="4"/>
        <v>0</v>
      </c>
      <c r="EU42" s="98">
        <f t="shared" si="5"/>
        <v>0</v>
      </c>
      <c r="EV42" s="98">
        <f t="shared" si="6"/>
        <v>0</v>
      </c>
      <c r="EW42" s="98">
        <f t="shared" si="7"/>
        <v>0</v>
      </c>
      <c r="EX42" s="98">
        <f t="shared" si="8"/>
        <v>0</v>
      </c>
      <c r="EY42" s="98">
        <f t="shared" si="9"/>
        <v>0</v>
      </c>
      <c r="EZ42" s="98">
        <f t="shared" si="10"/>
        <v>0</v>
      </c>
      <c r="FA42" s="98">
        <f t="shared" si="11"/>
        <v>0</v>
      </c>
      <c r="FB42" s="98">
        <f t="shared" si="12"/>
        <v>0</v>
      </c>
      <c r="FC42" s="98">
        <f t="shared" si="13"/>
        <v>0</v>
      </c>
      <c r="FD42" s="98">
        <f t="shared" si="14"/>
        <v>0</v>
      </c>
      <c r="FE42" s="98">
        <f t="shared" si="18"/>
        <v>0</v>
      </c>
      <c r="FF42" s="98">
        <f t="shared" si="19"/>
        <v>0</v>
      </c>
      <c r="FG42" s="98">
        <f t="shared" si="20"/>
        <v>0</v>
      </c>
      <c r="FH42" s="98">
        <f t="shared" si="21"/>
        <v>0</v>
      </c>
      <c r="FI42" s="98">
        <f t="shared" si="22"/>
        <v>0</v>
      </c>
      <c r="FJ42" s="98">
        <f t="shared" si="23"/>
        <v>0</v>
      </c>
      <c r="FK42" s="98">
        <f t="shared" si="24"/>
        <v>0</v>
      </c>
      <c r="FL42" s="98">
        <f t="shared" si="25"/>
        <v>0</v>
      </c>
      <c r="FM42" s="98">
        <f t="shared" si="26"/>
        <v>0</v>
      </c>
      <c r="FN42" s="98">
        <f t="shared" si="27"/>
        <v>0</v>
      </c>
      <c r="FO42" s="272" t="str">
        <f t="shared" si="17"/>
        <v/>
      </c>
      <c r="FP42" s="98">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944">
        <f t="shared" si="16"/>
        <v>0</v>
      </c>
      <c r="FR42" s="941">
        <f>SUMIFS('5. PERSON'!$AE$17:$AE$192,'5. PERSON'!$B$17:$B$192,'14. EUFP'!$B42,'5. PERSON'!$D$17:$D$192,FR$18)</f>
        <v>0</v>
      </c>
      <c r="FS42" s="941">
        <f>SUMIFS('5. PERSON'!$AE$17:$AE$192,'5. PERSON'!$B$17:$B$192,'14. EUFP'!$B42,'5. PERSON'!$D$17:$D$192,FS$18)</f>
        <v>0</v>
      </c>
      <c r="FT42" s="941">
        <f>SUMIFS('5. PERSON'!$AE$17:$AE$192,'5. PERSON'!$B$17:$B$192,'14. EUFP'!$B42,'5. PERSON'!$D$17:$D$192,FT$18)</f>
        <v>0</v>
      </c>
      <c r="FU42" s="941">
        <f>SUMIFS('5. PERSON'!$AE$17:$AE$192,'5. PERSON'!$B$17:$B$192,'14. EUFP'!$B42,'5. PERSON'!$D$17:$D$192,FU$18)</f>
        <v>0</v>
      </c>
      <c r="FV42" s="941">
        <f>SUMIFS('5. PERSON'!$AE$17:$AE$192,'5. PERSON'!$B$17:$B$192,'14. EUFP'!$B42,'5. PERSON'!$D$17:$D$192,FV$18)</f>
        <v>0</v>
      </c>
      <c r="FW42" s="941">
        <f>SUMIFS('5. PERSON'!$AE$17:$AE$192,'5. PERSON'!$B$17:$B$192,'14. EUFP'!$B42,'5. PERSON'!$D$17:$D$192,FW$18)</f>
        <v>0</v>
      </c>
      <c r="FX42" s="941">
        <f>SUMIFS('5. PERSON'!$AE$17:$AE$192,'5. PERSON'!$B$17:$B$192,'14. EUFP'!$B42,'5. PERSON'!$D$17:$D$192,FX$18)</f>
        <v>0</v>
      </c>
      <c r="FY42" s="941">
        <f>SUMIFS('5. PERSON'!$AE$17:$AE$192,'5. PERSON'!$B$17:$B$192,'14. EUFP'!$B42,'5. PERSON'!$D$17:$D$192,FY$18)</f>
        <v>0</v>
      </c>
      <c r="FZ42" s="941">
        <f>SUMIFS('5. PERSON'!$AE$17:$AE$192,'5. PERSON'!$B$17:$B$192,'14. EUFP'!$B42,'5. PERSON'!$D$17:$D$192,FZ$18)</f>
        <v>0</v>
      </c>
      <c r="GA42" s="941">
        <f>SUMIFS('5. PERSON'!$AE$17:$AE$192,'5. PERSON'!$B$17:$B$192,'14. EUFP'!$B42,'5. PERSON'!$D$17:$D$192,GA$18)</f>
        <v>0</v>
      </c>
      <c r="GB42" s="941">
        <f>SUMIFS('5. PERSON'!$AE$17:$AE$192,'5. PERSON'!$B$17:$B$192,'14. EUFP'!$B42,'5. PERSON'!$D$17:$D$192,GB$18)</f>
        <v>0</v>
      </c>
      <c r="GC42" s="941">
        <f>SUMIFS('5. PERSON'!$AE$17:$AE$192,'5. PERSON'!$B$17:$B$192,'14. EUFP'!$B42,'5. PERSON'!$D$17:$D$192,GC$18)</f>
        <v>0</v>
      </c>
      <c r="GD42" s="941">
        <f>SUMIFS('5. PERSON'!$AE$17:$AE$192,'5. PERSON'!$B$17:$B$192,'14. EUFP'!$B42,'5. PERSON'!$D$17:$D$192,GD$18)</f>
        <v>0</v>
      </c>
      <c r="GE42" s="941">
        <f>SUMIFS('5. PERSON'!$AE$17:$AE$192,'5. PERSON'!$B$17:$B$192,'14. EUFP'!$B42,'5. PERSON'!$D$17:$D$192,GE$18)</f>
        <v>0</v>
      </c>
      <c r="GF42" s="941">
        <f>SUMIFS('5. PERSON'!$AE$17:$AE$192,'5. PERSON'!$B$17:$B$192,'14. EUFP'!$B42,'5. PERSON'!$D$17:$D$192,GF$18)</f>
        <v>0</v>
      </c>
      <c r="GG42" s="941">
        <f>SUMIFS('5. PERSON'!$AE$17:$AE$192,'5. PERSON'!$B$17:$B$192,'14. EUFP'!$B42,'5. PERSON'!$D$17:$D$192,GG$18)</f>
        <v>0</v>
      </c>
      <c r="GH42" s="941">
        <f>SUMIFS('5. PERSON'!$AE$17:$AE$192,'5. PERSON'!$B$17:$B$192,'14. EUFP'!$B42,'5. PERSON'!$D$17:$D$192,GH$18)</f>
        <v>0</v>
      </c>
      <c r="GI42" s="941">
        <f>SUMIFS('5. PERSON'!$AE$17:$AE$192,'5. PERSON'!$B$17:$B$192,'14. EUFP'!$B42,'5. PERSON'!$D$17:$D$192,GI$18)</f>
        <v>0</v>
      </c>
      <c r="GJ42" s="941">
        <f>SUMIFS('5. PERSON'!$AE$17:$AE$192,'5. PERSON'!$B$17:$B$192,'14. EUFP'!$B42,'5. PERSON'!$D$17:$D$192,GJ$18)</f>
        <v>0</v>
      </c>
      <c r="GK42" s="941">
        <f>SUMIFS('5. PERSON'!$AE$17:$AE$192,'5. PERSON'!$B$17:$B$192,'14. EUFP'!$B42,'5. PERSON'!$D$17:$D$192,GK$18)</f>
        <v>0</v>
      </c>
      <c r="GL42" s="941">
        <f t="shared" si="28"/>
        <v>0</v>
      </c>
    </row>
    <row r="43" spans="2:194" s="71" customFormat="1" ht="13.5" customHeight="1" x14ac:dyDescent="0.2">
      <c r="B43" s="259" t="str">
        <f>'3. PARTNER'!B70</f>
        <v>EXT120</v>
      </c>
      <c r="C43" s="281">
        <f>SUMIF('5. PERSON'!B$17:B$192,B43,'5. PERSON'!AR$17:AR$192)</f>
        <v>0</v>
      </c>
      <c r="D43" s="281">
        <f>SUMIFS('5. PERSON'!$AR$17:$AR$192,'5. PERSON'!$B$17:$B$192,$B43,'5. PERSON'!$D$17:$D$192,D$18)</f>
        <v>0</v>
      </c>
      <c r="E43" s="281">
        <f>SUMIFS('5. PERSON'!$AR$17:$AR$192,'5. PERSON'!$B$17:$B$192,$B43,'5. PERSON'!$D$17:$D$192,E$18)</f>
        <v>0</v>
      </c>
      <c r="F43" s="281">
        <f>SUMIFS('5. PERSON'!$AR$17:$AR$192,'5. PERSON'!$B$17:$B$192,$B43,'5. PERSON'!$D$17:$D$192,F$18)</f>
        <v>0</v>
      </c>
      <c r="G43" s="281">
        <f>SUMIFS('5. PERSON'!$AR$17:$AR$192,'5. PERSON'!$B$17:$B$192,$B43,'5. PERSON'!$D$17:$D$192,G$18)</f>
        <v>0</v>
      </c>
      <c r="H43" s="281">
        <f>SUMIFS('5. PERSON'!$AR$17:$AR$192,'5. PERSON'!$B$17:$B$192,$B43,'5. PERSON'!$D$17:$D$192,H$18)</f>
        <v>0</v>
      </c>
      <c r="I43" s="281">
        <f>SUMIFS('5. PERSON'!$AR$17:$AR$192,'5. PERSON'!$B$17:$B$192,$B43,'5. PERSON'!$D$17:$D$192,I$18)</f>
        <v>0</v>
      </c>
      <c r="J43" s="281">
        <f>SUMIFS('5. PERSON'!$AR$17:$AR$192,'5. PERSON'!$B$17:$B$192,$B43,'5. PERSON'!$D$17:$D$192,J$18)</f>
        <v>0</v>
      </c>
      <c r="K43" s="281">
        <f>SUMIFS('5. PERSON'!$AR$17:$AR$192,'5. PERSON'!$B$17:$B$192,$B43,'5. PERSON'!$D$17:$D$192,K$18)</f>
        <v>0</v>
      </c>
      <c r="L43" s="281">
        <f>SUMIFS('5. PERSON'!$AR$17:$AR$192,'5. PERSON'!$B$17:$B$192,$B43,'5. PERSON'!$D$17:$D$192,L$18)</f>
        <v>0</v>
      </c>
      <c r="M43" s="281">
        <f>SUMIFS('5. PERSON'!$AR$17:$AR$192,'5. PERSON'!$B$17:$B$192,$B43,'5. PERSON'!$D$17:$D$192,M$18)</f>
        <v>0</v>
      </c>
      <c r="N43" s="281">
        <f>SUMIFS('5. PERSON'!$AR$17:$AR$192,'5. PERSON'!$B$17:$B$192,$B43,'5. PERSON'!$D$17:$D$192,N$18)</f>
        <v>0</v>
      </c>
      <c r="O43" s="281">
        <f>SUMIFS('5. PERSON'!$AR$17:$AR$192,'5. PERSON'!$B$17:$B$192,$B43,'5. PERSON'!$D$17:$D$192,O$18)</f>
        <v>0</v>
      </c>
      <c r="P43" s="281">
        <f>SUMIFS('5. PERSON'!$AR$17:$AR$192,'5. PERSON'!$B$17:$B$192,$B43,'5. PERSON'!$D$17:$D$192,P$18)</f>
        <v>0</v>
      </c>
      <c r="Q43" s="281">
        <f>SUMIFS('5. PERSON'!$AR$17:$AR$192,'5. PERSON'!$B$17:$B$192,$B43,'5. PERSON'!$D$17:$D$192,Q$18)</f>
        <v>0</v>
      </c>
      <c r="R43" s="281">
        <f>SUMIFS('5. PERSON'!$AR$17:$AR$192,'5. PERSON'!$B$17:$B$192,$B43,'5. PERSON'!$D$17:$D$192,R$18)</f>
        <v>0</v>
      </c>
      <c r="S43" s="281">
        <f>SUMIFS('5. PERSON'!$AR$17:$AR$192,'5. PERSON'!$B$17:$B$192,$B43,'5. PERSON'!$D$17:$D$192,S$18)</f>
        <v>0</v>
      </c>
      <c r="T43" s="281">
        <f>SUMIFS('5. PERSON'!$AR$17:$AR$192,'5. PERSON'!$B$17:$B$192,$B43,'5. PERSON'!$D$17:$D$192,T$18)</f>
        <v>0</v>
      </c>
      <c r="U43" s="281">
        <f>SUMIFS('5. PERSON'!$AR$17:$AR$192,'5. PERSON'!$B$17:$B$192,$B43,'5. PERSON'!$D$17:$D$192,U$18)</f>
        <v>0</v>
      </c>
      <c r="V43" s="281">
        <f>SUMIFS('5. PERSON'!$AR$17:$AR$192,'5. PERSON'!$B$17:$B$192,$B43,'5. PERSON'!$D$17:$D$192,V$18)</f>
        <v>0</v>
      </c>
      <c r="W43" s="281">
        <f>SUMIFS('5. PERSON'!$AR$17:$AR$192,'5. PERSON'!$B$17:$B$192,$B43,'5. PERSON'!$D$17:$D$192,W$18)</f>
        <v>0</v>
      </c>
      <c r="X43" s="281">
        <f>SUMIFS('6. OPERATION'!R$17:R$149,'6. OPERATION'!B$17:B$149,B43,'6. OPERATION'!G$17:G$149,"SUBCON")</f>
        <v>0</v>
      </c>
      <c r="Y43" s="281">
        <f>SUMIFS('6. OPERATION'!$R$17:$R$149,'6. OPERATION'!$B$17:$B$149,$B43,'6. OPERATION'!$G$17:$G$149,"SUBCON",'6. OPERATION'!$D$17:$D$149,Y$18)</f>
        <v>0</v>
      </c>
      <c r="Z43" s="281">
        <f>SUMIFS('6. OPERATION'!$R$17:$R$149,'6. OPERATION'!$B$17:$B$149,$B43,'6. OPERATION'!$G$17:$G$149,"SUBCON",'6. OPERATION'!$D$17:$D$149,Z$18)</f>
        <v>0</v>
      </c>
      <c r="AA43" s="281">
        <f>SUMIFS('6. OPERATION'!$R$17:$R$149,'6. OPERATION'!$B$17:$B$149,$B43,'6. OPERATION'!$G$17:$G$149,"SUBCON",'6. OPERATION'!$D$17:$D$149,AA$18)</f>
        <v>0</v>
      </c>
      <c r="AB43" s="281">
        <f>SUMIFS('6. OPERATION'!$R$17:$R$149,'6. OPERATION'!$B$17:$B$149,$B43,'6. OPERATION'!$G$17:$G$149,"SUBCON",'6. OPERATION'!$D$17:$D$149,AB$18)</f>
        <v>0</v>
      </c>
      <c r="AC43" s="281">
        <f>SUMIFS('6. OPERATION'!$R$17:$R$149,'6. OPERATION'!$B$17:$B$149,$B43,'6. OPERATION'!$G$17:$G$149,"SUBCON",'6. OPERATION'!$D$17:$D$149,AC$18)</f>
        <v>0</v>
      </c>
      <c r="AD43" s="281">
        <f>SUMIFS('6. OPERATION'!$R$17:$R$149,'6. OPERATION'!$B$17:$B$149,$B43,'6. OPERATION'!$G$17:$G$149,"SUBCON",'6. OPERATION'!$D$17:$D$149,AD$18)</f>
        <v>0</v>
      </c>
      <c r="AE43" s="281">
        <f>SUMIFS('6. OPERATION'!$R$17:$R$149,'6. OPERATION'!$B$17:$B$149,$B43,'6. OPERATION'!$G$17:$G$149,"SUBCON",'6. OPERATION'!$D$17:$D$149,AE$18)</f>
        <v>0</v>
      </c>
      <c r="AF43" s="281">
        <f>SUMIFS('6. OPERATION'!$R$17:$R$149,'6. OPERATION'!$B$17:$B$149,$B43,'6. OPERATION'!$G$17:$G$149,"SUBCON",'6. OPERATION'!$D$17:$D$149,AF$18)</f>
        <v>0</v>
      </c>
      <c r="AG43" s="281">
        <f>SUMIFS('6. OPERATION'!$R$17:$R$149,'6. OPERATION'!$B$17:$B$149,$B43,'6. OPERATION'!$G$17:$G$149,"SUBCON",'6. OPERATION'!$D$17:$D$149,AG$18)</f>
        <v>0</v>
      </c>
      <c r="AH43" s="281">
        <f>SUMIFS('6. OPERATION'!$R$17:$R$149,'6. OPERATION'!$B$17:$B$149,$B43,'6. OPERATION'!$G$17:$G$149,"SUBCON",'6. OPERATION'!$D$17:$D$149,AH$18)</f>
        <v>0</v>
      </c>
      <c r="AI43" s="281">
        <f>SUMIFS('6. OPERATION'!$R$17:$R$149,'6. OPERATION'!$B$17:$B$149,$B43,'6. OPERATION'!$G$17:$G$149,"SUBCON",'6. OPERATION'!$D$17:$D$149,AI$18)</f>
        <v>0</v>
      </c>
      <c r="AJ43" s="281">
        <f>SUMIFS('6. OPERATION'!$R$17:$R$149,'6. OPERATION'!$B$17:$B$149,$B43,'6. OPERATION'!$G$17:$G$149,"SUBCON",'6. OPERATION'!$D$17:$D$149,AJ$18)</f>
        <v>0</v>
      </c>
      <c r="AK43" s="281">
        <f>SUMIFS('6. OPERATION'!$R$17:$R$149,'6. OPERATION'!$B$17:$B$149,$B43,'6. OPERATION'!$G$17:$G$149,"SUBCON",'6. OPERATION'!$D$17:$D$149,AK$18)</f>
        <v>0</v>
      </c>
      <c r="AL43" s="281">
        <f>SUMIFS('6. OPERATION'!$R$17:$R$149,'6. OPERATION'!$B$17:$B$149,$B43,'6. OPERATION'!$G$17:$G$149,"SUBCON",'6. OPERATION'!$D$17:$D$149,AL$18)</f>
        <v>0</v>
      </c>
      <c r="AM43" s="281">
        <f>SUMIFS('6. OPERATION'!$R$17:$R$149,'6. OPERATION'!$B$17:$B$149,$B43,'6. OPERATION'!$G$17:$G$149,"SUBCON",'6. OPERATION'!$D$17:$D$149,AM$18)</f>
        <v>0</v>
      </c>
      <c r="AN43" s="281">
        <f>SUMIFS('6. OPERATION'!$R$17:$R$149,'6. OPERATION'!$B$17:$B$149,$B43,'6. OPERATION'!$G$17:$G$149,"SUBCON",'6. OPERATION'!$D$17:$D$149,AN$18)</f>
        <v>0</v>
      </c>
      <c r="AO43" s="281">
        <f>SUMIFS('6. OPERATION'!$R$17:$R$149,'6. OPERATION'!$B$17:$B$149,$B43,'6. OPERATION'!$G$17:$G$149,"SUBCON",'6. OPERATION'!$D$17:$D$149,AO$18)</f>
        <v>0</v>
      </c>
      <c r="AP43" s="281">
        <f>SUMIFS('6. OPERATION'!$R$17:$R$149,'6. OPERATION'!$B$17:$B$149,$B43,'6. OPERATION'!$G$17:$G$149,"SUBCON",'6. OPERATION'!$D$17:$D$149,AP$18)</f>
        <v>0</v>
      </c>
      <c r="AQ43" s="281">
        <f>SUMIFS('6. OPERATION'!$R$17:$R$149,'6. OPERATION'!$B$17:$B$149,$B43,'6. OPERATION'!$G$17:$G$149,"SUBCON",'6. OPERATION'!$D$17:$D$149,AQ$18)</f>
        <v>0</v>
      </c>
      <c r="AR43" s="281">
        <f>SUMIFS('6. OPERATION'!$R$17:$R$149,'6. OPERATION'!$B$17:$B$149,$B43,'6. OPERATION'!$G$17:$G$149,"SUBCON",'6. OPERATION'!$D$17:$D$149,AR$18)</f>
        <v>0</v>
      </c>
      <c r="AS43" s="281">
        <f>SUMIFS('6. OPERATION'!R$17:R$149,'6. OPERATION'!B$17:B$149,B43,'6. OPERATION'!G$17:G$149,"TRAVEL")</f>
        <v>0</v>
      </c>
      <c r="AT43" s="281">
        <f>SUMIFS('6. OPERATION'!$R$17:$R$149,'6. OPERATION'!$B$17:$B$149,$B43,'6. OPERATION'!$G$17:$G$149,"TRAVEL",'6. OPERATION'!$D$17:$D$149,AT$18)</f>
        <v>0</v>
      </c>
      <c r="AU43" s="281">
        <f>SUMIFS('6. OPERATION'!$R$17:$R$149,'6. OPERATION'!$B$17:$B$149,$B43,'6. OPERATION'!$G$17:$G$149,"TRAVEL",'6. OPERATION'!$D$17:$D$149,AU$18)</f>
        <v>0</v>
      </c>
      <c r="AV43" s="281">
        <f>SUMIFS('6. OPERATION'!$R$17:$R$149,'6. OPERATION'!$B$17:$B$149,$B43,'6. OPERATION'!$G$17:$G$149,"TRAVEL",'6. OPERATION'!$D$17:$D$149,AV$18)</f>
        <v>0</v>
      </c>
      <c r="AW43" s="281">
        <f>SUMIFS('6. OPERATION'!$R$17:$R$149,'6. OPERATION'!$B$17:$B$149,$B43,'6. OPERATION'!$G$17:$G$149,"TRAVEL",'6. OPERATION'!$D$17:$D$149,AW$18)</f>
        <v>0</v>
      </c>
      <c r="AX43" s="281">
        <f>SUMIFS('6. OPERATION'!$R$17:$R$149,'6. OPERATION'!$B$17:$B$149,$B43,'6. OPERATION'!$G$17:$G$149,"TRAVEL",'6. OPERATION'!$D$17:$D$149,AX$18)</f>
        <v>0</v>
      </c>
      <c r="AY43" s="281">
        <f>SUMIFS('6. OPERATION'!$R$17:$R$149,'6. OPERATION'!$B$17:$B$149,$B43,'6. OPERATION'!$G$17:$G$149,"TRAVEL",'6. OPERATION'!$D$17:$D$149,AY$18)</f>
        <v>0</v>
      </c>
      <c r="AZ43" s="281">
        <f>SUMIFS('6. OPERATION'!$R$17:$R$149,'6. OPERATION'!$B$17:$B$149,$B43,'6. OPERATION'!$G$17:$G$149,"TRAVEL",'6. OPERATION'!$D$17:$D$149,AZ$18)</f>
        <v>0</v>
      </c>
      <c r="BA43" s="281">
        <f>SUMIFS('6. OPERATION'!$R$17:$R$149,'6. OPERATION'!$B$17:$B$149,$B43,'6. OPERATION'!$G$17:$G$149,"TRAVEL",'6. OPERATION'!$D$17:$D$149,BA$18)</f>
        <v>0</v>
      </c>
      <c r="BB43" s="281">
        <f>SUMIFS('6. OPERATION'!$R$17:$R$149,'6. OPERATION'!$B$17:$B$149,$B43,'6. OPERATION'!$G$17:$G$149,"TRAVEL",'6. OPERATION'!$D$17:$D$149,BB$18)</f>
        <v>0</v>
      </c>
      <c r="BC43" s="281">
        <f>SUMIFS('6. OPERATION'!$R$17:$R$149,'6. OPERATION'!$B$17:$B$149,$B43,'6. OPERATION'!$G$17:$G$149,"TRAVEL",'6. OPERATION'!$D$17:$D$149,BC$18)</f>
        <v>0</v>
      </c>
      <c r="BD43" s="281">
        <f>SUMIFS('6. OPERATION'!$R$17:$R$149,'6. OPERATION'!$B$17:$B$149,$B43,'6. OPERATION'!$G$17:$G$149,"TRAVEL",'6. OPERATION'!$D$17:$D$149,BD$18)</f>
        <v>0</v>
      </c>
      <c r="BE43" s="281">
        <f>SUMIFS('6. OPERATION'!$R$17:$R$149,'6. OPERATION'!$B$17:$B$149,$B43,'6. OPERATION'!$G$17:$G$149,"TRAVEL",'6. OPERATION'!$D$17:$D$149,BE$18)</f>
        <v>0</v>
      </c>
      <c r="BF43" s="281">
        <f>SUMIFS('6. OPERATION'!$R$17:$R$149,'6. OPERATION'!$B$17:$B$149,$B43,'6. OPERATION'!$G$17:$G$149,"TRAVEL",'6. OPERATION'!$D$17:$D$149,BF$18)</f>
        <v>0</v>
      </c>
      <c r="BG43" s="281">
        <f>SUMIFS('6. OPERATION'!$R$17:$R$149,'6. OPERATION'!$B$17:$B$149,$B43,'6. OPERATION'!$G$17:$G$149,"TRAVEL",'6. OPERATION'!$D$17:$D$149,BG$18)</f>
        <v>0</v>
      </c>
      <c r="BH43" s="281">
        <f>SUMIFS('6. OPERATION'!$R$17:$R$149,'6. OPERATION'!$B$17:$B$149,$B43,'6. OPERATION'!$G$17:$G$149,"TRAVEL",'6. OPERATION'!$D$17:$D$149,BH$18)</f>
        <v>0</v>
      </c>
      <c r="BI43" s="281">
        <f>SUMIFS('6. OPERATION'!$R$17:$R$149,'6. OPERATION'!$B$17:$B$149,$B43,'6. OPERATION'!$G$17:$G$149,"TRAVEL",'6. OPERATION'!$D$17:$D$149,BI$18)</f>
        <v>0</v>
      </c>
      <c r="BJ43" s="281">
        <f>SUMIFS('6. OPERATION'!$R$17:$R$149,'6. OPERATION'!$B$17:$B$149,$B43,'6. OPERATION'!$G$17:$G$149,"TRAVEL",'6. OPERATION'!$D$17:$D$149,BJ$18)</f>
        <v>0</v>
      </c>
      <c r="BK43" s="281">
        <f>SUMIFS('6. OPERATION'!$R$17:$R$149,'6. OPERATION'!$B$17:$B$149,$B43,'6. OPERATION'!$G$17:$G$149,"TRAVEL",'6. OPERATION'!$D$17:$D$149,BK$18)</f>
        <v>0</v>
      </c>
      <c r="BL43" s="281">
        <f>SUMIFS('6. OPERATION'!$R$17:$R$149,'6. OPERATION'!$B$17:$B$149,$B43,'6. OPERATION'!$G$17:$G$149,"TRAVEL",'6. OPERATION'!$D$17:$D$149,BL$18)</f>
        <v>0</v>
      </c>
      <c r="BM43" s="281">
        <f>SUMIFS('6. OPERATION'!$R$17:$R$149,'6. OPERATION'!$B$17:$B$149,$B43,'6. OPERATION'!$G$17:$G$149,"TRAVEL",'6. OPERATION'!$D$17:$D$149,BM$18)</f>
        <v>0</v>
      </c>
      <c r="BN43" s="281">
        <f>SUMIF('7. INVEST'!B$17:B$49,B43,'7. INVEST'!S$17:S$49)</f>
        <v>0</v>
      </c>
      <c r="BO43" s="281">
        <f>SUMIFS('7. INVEST'!$S$17:$S$49,'7. INVEST'!$B$17:$B$49,$B43,'7. INVEST'!$D$17:$D$49,BO$18)</f>
        <v>0</v>
      </c>
      <c r="BP43" s="281">
        <f>SUMIFS('7. INVEST'!$S$17:$S$49,'7. INVEST'!$B$17:$B$49,$B43,'7. INVEST'!$D$17:$D$49,BP$18)</f>
        <v>0</v>
      </c>
      <c r="BQ43" s="281">
        <f>SUMIFS('7. INVEST'!$S$17:$S$49,'7. INVEST'!$B$17:$B$49,$B43,'7. INVEST'!$D$17:$D$49,BQ$18)</f>
        <v>0</v>
      </c>
      <c r="BR43" s="281">
        <f>SUMIFS('7. INVEST'!$S$17:$S$49,'7. INVEST'!$B$17:$B$49,$B43,'7. INVEST'!$D$17:$D$49,BR$18)</f>
        <v>0</v>
      </c>
      <c r="BS43" s="281">
        <f>SUMIFS('7. INVEST'!$S$17:$S$49,'7. INVEST'!$B$17:$B$49,$B43,'7. INVEST'!$D$17:$D$49,BS$18)</f>
        <v>0</v>
      </c>
      <c r="BT43" s="281">
        <f>SUMIFS('7. INVEST'!$S$17:$S$49,'7. INVEST'!$B$17:$B$49,$B43,'7. INVEST'!$D$17:$D$49,BT$18)</f>
        <v>0</v>
      </c>
      <c r="BU43" s="281">
        <f>SUMIFS('7. INVEST'!$S$17:$S$49,'7. INVEST'!$B$17:$B$49,$B43,'7. INVEST'!$D$17:$D$49,BU$18)</f>
        <v>0</v>
      </c>
      <c r="BV43" s="281">
        <f>SUMIFS('7. INVEST'!$S$17:$S$49,'7. INVEST'!$B$17:$B$49,$B43,'7. INVEST'!$D$17:$D$49,BV$18)</f>
        <v>0</v>
      </c>
      <c r="BW43" s="281">
        <f>SUMIFS('7. INVEST'!$S$17:$S$49,'7. INVEST'!$B$17:$B$49,$B43,'7. INVEST'!$D$17:$D$49,BW$18)</f>
        <v>0</v>
      </c>
      <c r="BX43" s="281">
        <f>SUMIFS('7. INVEST'!$S$17:$S$49,'7. INVEST'!$B$17:$B$49,$B43,'7. INVEST'!$D$17:$D$49,BX$18)</f>
        <v>0</v>
      </c>
      <c r="BY43" s="281">
        <f>SUMIFS('7. INVEST'!$S$17:$S$49,'7. INVEST'!$B$17:$B$49,$B43,'7. INVEST'!$D$17:$D$49,BY$18)</f>
        <v>0</v>
      </c>
      <c r="BZ43" s="281">
        <f>SUMIFS('7. INVEST'!$S$17:$S$49,'7. INVEST'!$B$17:$B$49,$B43,'7. INVEST'!$D$17:$D$49,BZ$18)</f>
        <v>0</v>
      </c>
      <c r="CA43" s="281">
        <f>SUMIFS('7. INVEST'!$S$17:$S$49,'7. INVEST'!$B$17:$B$49,$B43,'7. INVEST'!$D$17:$D$49,CA$18)</f>
        <v>0</v>
      </c>
      <c r="CB43" s="281">
        <f>SUMIFS('7. INVEST'!$S$17:$S$49,'7. INVEST'!$B$17:$B$49,$B43,'7. INVEST'!$D$17:$D$49,CB$18)</f>
        <v>0</v>
      </c>
      <c r="CC43" s="281">
        <f>SUMIFS('7. INVEST'!$S$17:$S$49,'7. INVEST'!$B$17:$B$49,$B43,'7. INVEST'!$D$17:$D$49,CC$18)</f>
        <v>0</v>
      </c>
      <c r="CD43" s="281">
        <f>SUMIFS('7. INVEST'!$S$17:$S$49,'7. INVEST'!$B$17:$B$49,$B43,'7. INVEST'!$D$17:$D$49,CD$18)</f>
        <v>0</v>
      </c>
      <c r="CE43" s="281">
        <f>SUMIFS('7. INVEST'!$S$17:$S$49,'7. INVEST'!$B$17:$B$49,$B43,'7. INVEST'!$D$17:$D$49,CE$18)</f>
        <v>0</v>
      </c>
      <c r="CF43" s="281">
        <f>SUMIFS('7. INVEST'!$S$17:$S$49,'7. INVEST'!$B$17:$B$49,$B43,'7. INVEST'!$D$17:$D$49,CF$18)</f>
        <v>0</v>
      </c>
      <c r="CG43" s="281">
        <f>SUMIFS('7. INVEST'!$S$17:$S$49,'7. INVEST'!$B$17:$B$49,$B43,'7. INVEST'!$D$17:$D$49,CG$18)</f>
        <v>0</v>
      </c>
      <c r="CH43" s="281">
        <f>SUMIFS('7. INVEST'!$S$17:$S$49,'7. INVEST'!$B$17:$B$49,$B43,'7. INVEST'!$D$17:$D$49,CH$18)</f>
        <v>0</v>
      </c>
      <c r="CI43" s="281">
        <f>SUMIFS('6. OPERATION'!$R$17:$R$149,'6. OPERATION'!$B$17:$B$149,$B43,'6. OPERATION'!$G$17:$G$149,"OTHER")+SUMIF('8. FACILIT'!$B$18:$B$50,$B43,'8. FACILIT'!$P$18:$P$50)</f>
        <v>0</v>
      </c>
      <c r="CJ43" s="281">
        <f>SUMIFS('6. OPERATION'!$R$17:$R$149,'6. OPERATION'!$B$17:$B$149,$B43,'6. OPERATION'!$G$17:$G$149,"OTHER",'6. OPERATION'!$D$17:$D$149,CJ$18)+SUMIFS('8. FACILIT'!$P$18:$P$50,'8. FACILIT'!$B$18:$B$50,$B43,'8. FACILIT'!$D$18:$D$50,CJ$18)</f>
        <v>0</v>
      </c>
      <c r="CK43" s="281">
        <f>SUMIFS('6. OPERATION'!$R$17:$R$149,'6. OPERATION'!$B$17:$B$149,$B43,'6. OPERATION'!$G$17:$G$149,"OTHER",'6. OPERATION'!$D$17:$D$149,CK$18)+SUMIFS('8. FACILIT'!$P$18:$P$50,'8. FACILIT'!$B$18:$B$50,$B43,'8. FACILIT'!$D$18:$D$50,CK$18)</f>
        <v>0</v>
      </c>
      <c r="CL43" s="281">
        <f>SUMIFS('6. OPERATION'!$R$17:$R$149,'6. OPERATION'!$B$17:$B$149,$B43,'6. OPERATION'!$G$17:$G$149,"OTHER",'6. OPERATION'!$D$17:$D$149,CL$18)+SUMIFS('8. FACILIT'!$P$18:$P$50,'8. FACILIT'!$B$18:$B$50,$B43,'8. FACILIT'!$D$18:$D$50,CL$18)</f>
        <v>0</v>
      </c>
      <c r="CM43" s="281">
        <f>SUMIFS('6. OPERATION'!$R$17:$R$149,'6. OPERATION'!$B$17:$B$149,$B43,'6. OPERATION'!$G$17:$G$149,"OTHER",'6. OPERATION'!$D$17:$D$149,CM$18)+SUMIFS('8. FACILIT'!$P$18:$P$50,'8. FACILIT'!$B$18:$B$50,$B43,'8. FACILIT'!$D$18:$D$50,CM$18)</f>
        <v>0</v>
      </c>
      <c r="CN43" s="281">
        <f>SUMIFS('6. OPERATION'!$R$17:$R$149,'6. OPERATION'!$B$17:$B$149,$B43,'6. OPERATION'!$G$17:$G$149,"OTHER",'6. OPERATION'!$D$17:$D$149,CN$18)+SUMIFS('8. FACILIT'!$P$18:$P$50,'8. FACILIT'!$B$18:$B$50,$B43,'8. FACILIT'!$D$18:$D$50,CN$18)</f>
        <v>0</v>
      </c>
      <c r="CO43" s="281">
        <f>SUMIFS('6. OPERATION'!$R$17:$R$149,'6. OPERATION'!$B$17:$B$149,$B43,'6. OPERATION'!$G$17:$G$149,"OTHER",'6. OPERATION'!$D$17:$D$149,CO$18)+SUMIFS('8. FACILIT'!$P$18:$P$50,'8. FACILIT'!$B$18:$B$50,$B43,'8. FACILIT'!$D$18:$D$50,CO$18)</f>
        <v>0</v>
      </c>
      <c r="CP43" s="281">
        <f>SUMIFS('6. OPERATION'!$R$17:$R$149,'6. OPERATION'!$B$17:$B$149,$B43,'6. OPERATION'!$G$17:$G$149,"OTHER",'6. OPERATION'!$D$17:$D$149,CP$18)+SUMIFS('8. FACILIT'!$P$18:$P$50,'8. FACILIT'!$B$18:$B$50,$B43,'8. FACILIT'!$D$18:$D$50,CP$18)</f>
        <v>0</v>
      </c>
      <c r="CQ43" s="281">
        <f>SUMIFS('6. OPERATION'!$R$17:$R$149,'6. OPERATION'!$B$17:$B$149,$B43,'6. OPERATION'!$G$17:$G$149,"OTHER",'6. OPERATION'!$D$17:$D$149,CQ$18)+SUMIFS('8. FACILIT'!$P$18:$P$50,'8. FACILIT'!$B$18:$B$50,$B43,'8. FACILIT'!$D$18:$D$50,CQ$18)</f>
        <v>0</v>
      </c>
      <c r="CR43" s="281">
        <f>SUMIFS('6. OPERATION'!$R$17:$R$149,'6. OPERATION'!$B$17:$B$149,$B43,'6. OPERATION'!$G$17:$G$149,"OTHER",'6. OPERATION'!$D$17:$D$149,CR$18)+SUMIFS('8. FACILIT'!$P$18:$P$50,'8. FACILIT'!$B$18:$B$50,$B43,'8. FACILIT'!$D$18:$D$50,CR$18)</f>
        <v>0</v>
      </c>
      <c r="CS43" s="281">
        <f>SUMIFS('6. OPERATION'!$R$17:$R$149,'6. OPERATION'!$B$17:$B$149,$B43,'6. OPERATION'!$G$17:$G$149,"OTHER",'6. OPERATION'!$D$17:$D$149,CS$18)+SUMIFS('8. FACILIT'!$P$18:$P$50,'8. FACILIT'!$B$18:$B$50,$B43,'8. FACILIT'!$D$18:$D$50,CS$18)</f>
        <v>0</v>
      </c>
      <c r="CT43" s="281">
        <f>SUMIFS('6. OPERATION'!$R$17:$R$149,'6. OPERATION'!$B$17:$B$149,$B43,'6. OPERATION'!$G$17:$G$149,"OTHER",'6. OPERATION'!$D$17:$D$149,CT$18)+SUMIFS('8. FACILIT'!$P$18:$P$50,'8. FACILIT'!$B$18:$B$50,$B43,'8. FACILIT'!$D$18:$D$50,CT$18)</f>
        <v>0</v>
      </c>
      <c r="CU43" s="281">
        <f>SUMIFS('6. OPERATION'!$R$17:$R$149,'6. OPERATION'!$B$17:$B$149,$B43,'6. OPERATION'!$G$17:$G$149,"OTHER",'6. OPERATION'!$D$17:$D$149,CU$18)+SUMIFS('8. FACILIT'!$P$18:$P$50,'8. FACILIT'!$B$18:$B$50,$B43,'8. FACILIT'!$D$18:$D$50,CU$18)</f>
        <v>0</v>
      </c>
      <c r="CV43" s="281">
        <f>SUMIFS('6. OPERATION'!$R$17:$R$149,'6. OPERATION'!$B$17:$B$149,$B43,'6. OPERATION'!$G$17:$G$149,"OTHER",'6. OPERATION'!$D$17:$D$149,CV$18)+SUMIFS('8. FACILIT'!$P$18:$P$50,'8. FACILIT'!$B$18:$B$50,$B43,'8. FACILIT'!$D$18:$D$50,CV$18)</f>
        <v>0</v>
      </c>
      <c r="CW43" s="281">
        <f>SUMIFS('6. OPERATION'!$R$17:$R$149,'6. OPERATION'!$B$17:$B$149,$B43,'6. OPERATION'!$G$17:$G$149,"OTHER",'6. OPERATION'!$D$17:$D$149,CW$18)+SUMIFS('8. FACILIT'!$P$18:$P$50,'8. FACILIT'!$B$18:$B$50,$B43,'8. FACILIT'!$D$18:$D$50,CW$18)</f>
        <v>0</v>
      </c>
      <c r="CX43" s="281">
        <f>SUMIFS('6. OPERATION'!$R$17:$R$149,'6. OPERATION'!$B$17:$B$149,$B43,'6. OPERATION'!$G$17:$G$149,"OTHER",'6. OPERATION'!$D$17:$D$149,CX$18)+SUMIFS('8. FACILIT'!$P$18:$P$50,'8. FACILIT'!$B$18:$B$50,$B43,'8. FACILIT'!$D$18:$D$50,CX$18)</f>
        <v>0</v>
      </c>
      <c r="CY43" s="281">
        <f>SUMIFS('6. OPERATION'!$R$17:$R$149,'6. OPERATION'!$B$17:$B$149,$B43,'6. OPERATION'!$G$17:$G$149,"OTHER",'6. OPERATION'!$D$17:$D$149,CY$18)+SUMIFS('8. FACILIT'!$P$18:$P$50,'8. FACILIT'!$B$18:$B$50,$B43,'8. FACILIT'!$D$18:$D$50,CY$18)</f>
        <v>0</v>
      </c>
      <c r="CZ43" s="281">
        <f>SUMIFS('6. OPERATION'!$R$17:$R$149,'6. OPERATION'!$B$17:$B$149,$B43,'6. OPERATION'!$G$17:$G$149,"OTHER",'6. OPERATION'!$D$17:$D$149,CZ$18)+SUMIFS('8. FACILIT'!$P$18:$P$50,'8. FACILIT'!$B$18:$B$50,$B43,'8. FACILIT'!$D$18:$D$50,CZ$18)</f>
        <v>0</v>
      </c>
      <c r="DA43" s="281">
        <f>SUMIFS('6. OPERATION'!$R$17:$R$149,'6. OPERATION'!$B$17:$B$149,$B43,'6. OPERATION'!$G$17:$G$149,"OTHER",'6. OPERATION'!$D$17:$D$149,DA$18)+SUMIFS('8. FACILIT'!$P$18:$P$50,'8. FACILIT'!$B$18:$B$50,$B43,'8. FACILIT'!$D$18:$D$50,DA$18)</f>
        <v>0</v>
      </c>
      <c r="DB43" s="281">
        <f>SUMIFS('6. OPERATION'!$R$17:$R$149,'6. OPERATION'!$B$17:$B$149,$B43,'6. OPERATION'!$G$17:$G$149,"OTHER",'6. OPERATION'!$D$17:$D$149,DB$18)+SUMIFS('8. FACILIT'!$P$18:$P$50,'8. FACILIT'!$B$18:$B$50,$B43,'8. FACILIT'!$D$18:$D$50,DB$18)</f>
        <v>0</v>
      </c>
      <c r="DC43" s="281">
        <f>SUMIFS('6. OPERATION'!$R$17:$R$149,'6. OPERATION'!$B$17:$B$149,$B43,'6. OPERATION'!$G$17:$G$149,"OTHER",'6. OPERATION'!$D$17:$D$149,DC$18)+SUMIFS('8. FACILIT'!$P$18:$P$50,'8. FACILIT'!$B$18:$B$50,$B43,'8. FACILIT'!$D$18:$D$50,DC$18)</f>
        <v>0</v>
      </c>
      <c r="DD43" s="281">
        <f>SUMIFS('6. OPERATION'!R$17:R$149,'6. OPERATION'!B$17:B$149,B43,'6. OPERATION'!G$17:G$149,"INTERN")</f>
        <v>0</v>
      </c>
      <c r="DE43" s="281">
        <f>SUMIFS('6. OPERATION'!$R$17:$R$149,'6. OPERATION'!$B$17:$B$149,$B43,'6. OPERATION'!$G$17:$G$149,"INTERN",'6. OPERATION'!$D$17:$D$149,DE$18)</f>
        <v>0</v>
      </c>
      <c r="DF43" s="281">
        <f>SUMIFS('6. OPERATION'!$R$17:$R$149,'6. OPERATION'!$B$17:$B$149,$B43,'6. OPERATION'!$G$17:$G$149,"INTERN",'6. OPERATION'!$D$17:$D$149,DF$18)</f>
        <v>0</v>
      </c>
      <c r="DG43" s="281">
        <f>SUMIFS('6. OPERATION'!$R$17:$R$149,'6. OPERATION'!$B$17:$B$149,$B43,'6. OPERATION'!$G$17:$G$149,"INTERN",'6. OPERATION'!$D$17:$D$149,DG$18)</f>
        <v>0</v>
      </c>
      <c r="DH43" s="281">
        <f>SUMIFS('6. OPERATION'!$R$17:$R$149,'6. OPERATION'!$B$17:$B$149,$B43,'6. OPERATION'!$G$17:$G$149,"INTERN",'6. OPERATION'!$D$17:$D$149,DH$18)</f>
        <v>0</v>
      </c>
      <c r="DI43" s="281">
        <f>SUMIFS('6. OPERATION'!$R$17:$R$149,'6. OPERATION'!$B$17:$B$149,$B43,'6. OPERATION'!$G$17:$G$149,"INTERN",'6. OPERATION'!$D$17:$D$149,DI$18)</f>
        <v>0</v>
      </c>
      <c r="DJ43" s="281">
        <f>SUMIFS('6. OPERATION'!$R$17:$R$149,'6. OPERATION'!$B$17:$B$149,$B43,'6. OPERATION'!$G$17:$G$149,"INTERN",'6. OPERATION'!$D$17:$D$149,DJ$18)</f>
        <v>0</v>
      </c>
      <c r="DK43" s="281">
        <f>SUMIFS('6. OPERATION'!$R$17:$R$149,'6. OPERATION'!$B$17:$B$149,$B43,'6. OPERATION'!$G$17:$G$149,"INTERN",'6. OPERATION'!$D$17:$D$149,DK$18)</f>
        <v>0</v>
      </c>
      <c r="DL43" s="281">
        <f>SUMIFS('6. OPERATION'!$R$17:$R$149,'6. OPERATION'!$B$17:$B$149,$B43,'6. OPERATION'!$G$17:$G$149,"INTERN",'6. OPERATION'!$D$17:$D$149,DL$18)</f>
        <v>0</v>
      </c>
      <c r="DM43" s="281">
        <f>SUMIFS('6. OPERATION'!$R$17:$R$149,'6. OPERATION'!$B$17:$B$149,$B43,'6. OPERATION'!$G$17:$G$149,"INTERN",'6. OPERATION'!$D$17:$D$149,DM$18)</f>
        <v>0</v>
      </c>
      <c r="DN43" s="281">
        <f>SUMIFS('6. OPERATION'!$R$17:$R$149,'6. OPERATION'!$B$17:$B$149,$B43,'6. OPERATION'!$G$17:$G$149,"INTERN",'6. OPERATION'!$D$17:$D$149,DN$18)</f>
        <v>0</v>
      </c>
      <c r="DO43" s="281">
        <f>SUMIFS('6. OPERATION'!$R$17:$R$149,'6. OPERATION'!$B$17:$B$149,$B43,'6. OPERATION'!$G$17:$G$149,"INTERN",'6. OPERATION'!$D$17:$D$149,DO$18)</f>
        <v>0</v>
      </c>
      <c r="DP43" s="281">
        <f>SUMIFS('6. OPERATION'!$R$17:$R$149,'6. OPERATION'!$B$17:$B$149,$B43,'6. OPERATION'!$G$17:$G$149,"INTERN",'6. OPERATION'!$D$17:$D$149,DP$18)</f>
        <v>0</v>
      </c>
      <c r="DQ43" s="281">
        <f>SUMIFS('6. OPERATION'!$R$17:$R$149,'6. OPERATION'!$B$17:$B$149,$B43,'6. OPERATION'!$G$17:$G$149,"INTERN",'6. OPERATION'!$D$17:$D$149,DQ$18)</f>
        <v>0</v>
      </c>
      <c r="DR43" s="281">
        <f>SUMIFS('6. OPERATION'!$R$17:$R$149,'6. OPERATION'!$B$17:$B$149,$B43,'6. OPERATION'!$G$17:$G$149,"INTERN",'6. OPERATION'!$D$17:$D$149,DR$18)</f>
        <v>0</v>
      </c>
      <c r="DS43" s="281">
        <f>SUMIFS('6. OPERATION'!$R$17:$R$149,'6. OPERATION'!$B$17:$B$149,$B43,'6. OPERATION'!$G$17:$G$149,"INTERN",'6. OPERATION'!$D$17:$D$149,DS$18)</f>
        <v>0</v>
      </c>
      <c r="DT43" s="281">
        <f>SUMIFS('6. OPERATION'!$R$17:$R$149,'6. OPERATION'!$B$17:$B$149,$B43,'6. OPERATION'!$G$17:$G$149,"INTERN",'6. OPERATION'!$D$17:$D$149,DT$18)</f>
        <v>0</v>
      </c>
      <c r="DU43" s="281">
        <f>SUMIFS('6. OPERATION'!$R$17:$R$149,'6. OPERATION'!$B$17:$B$149,$B43,'6. OPERATION'!$G$17:$G$149,"INTERN",'6. OPERATION'!$D$17:$D$149,DU$18)</f>
        <v>0</v>
      </c>
      <c r="DV43" s="281">
        <f>SUMIFS('6. OPERATION'!$R$17:$R$149,'6. OPERATION'!$B$17:$B$149,$B43,'6. OPERATION'!$G$17:$G$149,"INTERN",'6. OPERATION'!$D$17:$D$149,DV$18)</f>
        <v>0</v>
      </c>
      <c r="DW43" s="281">
        <f>SUMIFS('6. OPERATION'!$R$17:$R$149,'6. OPERATION'!$B$17:$B$149,$B43,'6. OPERATION'!$G$17:$G$149,"INTERN",'6. OPERATION'!$D$17:$D$149,DW$18)</f>
        <v>0</v>
      </c>
      <c r="DX43" s="281">
        <f>SUMIFS('6. OPERATION'!$R$17:$R$149,'6. OPERATION'!$B$17:$B$149,$B43,'6. OPERATION'!$G$17:$G$149,"INTERN",'6. OPERATION'!$D$17:$D$149,DX$18)</f>
        <v>0</v>
      </c>
      <c r="DY43" s="288">
        <f>(C43+AS43+BN43+CI43)*'2. START'!$C$12</f>
        <v>0</v>
      </c>
      <c r="DZ43" s="288">
        <f>(D43+AT43+BO43+CJ43)*'2. START'!$C$12</f>
        <v>0</v>
      </c>
      <c r="EA43" s="288">
        <f>(E43+AU43+BP43+CK43)*'2. START'!$C$12</f>
        <v>0</v>
      </c>
      <c r="EB43" s="288">
        <f>(F43+AV43+BQ43+CL43)*'2. START'!$C$12</f>
        <v>0</v>
      </c>
      <c r="EC43" s="288">
        <f>(G43+AW43+BR43+CM43)*'2. START'!$C$12</f>
        <v>0</v>
      </c>
      <c r="ED43" s="288">
        <f>(H43+AX43+BS43+CN43)*'2. START'!$C$12</f>
        <v>0</v>
      </c>
      <c r="EE43" s="288">
        <f>(I43+AY43+BT43+CO43)*'2. START'!$C$12</f>
        <v>0</v>
      </c>
      <c r="EF43" s="288">
        <f>(J43+AZ43+BU43+CP43)*'2. START'!$C$12</f>
        <v>0</v>
      </c>
      <c r="EG43" s="288">
        <f>(K43+BA43+BV43+CQ43)*'2. START'!$C$12</f>
        <v>0</v>
      </c>
      <c r="EH43" s="288">
        <f>(L43+BB43+BW43+CR43)*'2. START'!$C$12</f>
        <v>0</v>
      </c>
      <c r="EI43" s="288">
        <f>(M43+BC43+BX43+CS43)*'2. START'!$C$12</f>
        <v>0</v>
      </c>
      <c r="EJ43" s="288">
        <f>(N43+BD43+BY43+CT43)*'2. START'!$C$12</f>
        <v>0</v>
      </c>
      <c r="EK43" s="288">
        <f>(O43+BE43+BZ43+CU43)*'2. START'!$C$12</f>
        <v>0</v>
      </c>
      <c r="EL43" s="288">
        <f>(P43+BF43+CA43+CV43)*'2. START'!$C$12</f>
        <v>0</v>
      </c>
      <c r="EM43" s="288">
        <f>(Q43+BG43+CB43+CW43)*'2. START'!$C$12</f>
        <v>0</v>
      </c>
      <c r="EN43" s="288">
        <f>(R43+BH43+CC43+CX43)*'2. START'!$C$12</f>
        <v>0</v>
      </c>
      <c r="EO43" s="288">
        <f>(S43+BI43+CD43+CY43)*'2. START'!$C$12</f>
        <v>0</v>
      </c>
      <c r="EP43" s="288">
        <f>(T43+BJ43+CE43+CZ43)*'2. START'!$C$12</f>
        <v>0</v>
      </c>
      <c r="EQ43" s="288">
        <f>(U43+BK43+CF43+DA43)*'2. START'!$C$12</f>
        <v>0</v>
      </c>
      <c r="ER43" s="288">
        <f>(V43+BL43+CG43+DB43)*'2. START'!$C$12</f>
        <v>0</v>
      </c>
      <c r="ES43" s="288">
        <f>(W43+BM43+CH43+DC43)*'2. START'!$C$12</f>
        <v>0</v>
      </c>
      <c r="ET43" s="105">
        <f t="shared" si="4"/>
        <v>0</v>
      </c>
      <c r="EU43" s="105">
        <f t="shared" si="5"/>
        <v>0</v>
      </c>
      <c r="EV43" s="105">
        <f t="shared" si="6"/>
        <v>0</v>
      </c>
      <c r="EW43" s="105">
        <f t="shared" si="7"/>
        <v>0</v>
      </c>
      <c r="EX43" s="105">
        <f t="shared" si="8"/>
        <v>0</v>
      </c>
      <c r="EY43" s="105">
        <f t="shared" si="9"/>
        <v>0</v>
      </c>
      <c r="EZ43" s="105">
        <f t="shared" si="10"/>
        <v>0</v>
      </c>
      <c r="FA43" s="105">
        <f t="shared" si="11"/>
        <v>0</v>
      </c>
      <c r="FB43" s="105">
        <f t="shared" si="12"/>
        <v>0</v>
      </c>
      <c r="FC43" s="105">
        <f t="shared" si="13"/>
        <v>0</v>
      </c>
      <c r="FD43" s="105">
        <f t="shared" si="14"/>
        <v>0</v>
      </c>
      <c r="FE43" s="105">
        <f t="shared" si="18"/>
        <v>0</v>
      </c>
      <c r="FF43" s="105">
        <f t="shared" si="19"/>
        <v>0</v>
      </c>
      <c r="FG43" s="105">
        <f t="shared" si="20"/>
        <v>0</v>
      </c>
      <c r="FH43" s="105">
        <f t="shared" si="21"/>
        <v>0</v>
      </c>
      <c r="FI43" s="105">
        <f t="shared" si="22"/>
        <v>0</v>
      </c>
      <c r="FJ43" s="105">
        <f t="shared" si="23"/>
        <v>0</v>
      </c>
      <c r="FK43" s="105">
        <f t="shared" si="24"/>
        <v>0</v>
      </c>
      <c r="FL43" s="105">
        <f t="shared" si="25"/>
        <v>0</v>
      </c>
      <c r="FM43" s="105">
        <f t="shared" si="26"/>
        <v>0</v>
      </c>
      <c r="FN43" s="105">
        <f t="shared" si="27"/>
        <v>0</v>
      </c>
      <c r="FO43" s="273" t="str">
        <f t="shared" si="17"/>
        <v/>
      </c>
      <c r="FP43" s="105">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943">
        <f t="shared" si="16"/>
        <v>0</v>
      </c>
      <c r="FR43" s="940">
        <f>SUMIFS('5. PERSON'!$AE$17:$AE$192,'5. PERSON'!$B$17:$B$192,'14. EUFP'!$B43,'5. PERSON'!$D$17:$D$192,FR$18)</f>
        <v>0</v>
      </c>
      <c r="FS43" s="940">
        <f>SUMIFS('5. PERSON'!$AE$17:$AE$192,'5. PERSON'!$B$17:$B$192,'14. EUFP'!$B43,'5. PERSON'!$D$17:$D$192,FS$18)</f>
        <v>0</v>
      </c>
      <c r="FT43" s="940">
        <f>SUMIFS('5. PERSON'!$AE$17:$AE$192,'5. PERSON'!$B$17:$B$192,'14. EUFP'!$B43,'5. PERSON'!$D$17:$D$192,FT$18)</f>
        <v>0</v>
      </c>
      <c r="FU43" s="940">
        <f>SUMIFS('5. PERSON'!$AE$17:$AE$192,'5. PERSON'!$B$17:$B$192,'14. EUFP'!$B43,'5. PERSON'!$D$17:$D$192,FU$18)</f>
        <v>0</v>
      </c>
      <c r="FV43" s="940">
        <f>SUMIFS('5. PERSON'!$AE$17:$AE$192,'5. PERSON'!$B$17:$B$192,'14. EUFP'!$B43,'5. PERSON'!$D$17:$D$192,FV$18)</f>
        <v>0</v>
      </c>
      <c r="FW43" s="940">
        <f>SUMIFS('5. PERSON'!$AE$17:$AE$192,'5. PERSON'!$B$17:$B$192,'14. EUFP'!$B43,'5. PERSON'!$D$17:$D$192,FW$18)</f>
        <v>0</v>
      </c>
      <c r="FX43" s="940">
        <f>SUMIFS('5. PERSON'!$AE$17:$AE$192,'5. PERSON'!$B$17:$B$192,'14. EUFP'!$B43,'5. PERSON'!$D$17:$D$192,FX$18)</f>
        <v>0</v>
      </c>
      <c r="FY43" s="940">
        <f>SUMIFS('5. PERSON'!$AE$17:$AE$192,'5. PERSON'!$B$17:$B$192,'14. EUFP'!$B43,'5. PERSON'!$D$17:$D$192,FY$18)</f>
        <v>0</v>
      </c>
      <c r="FZ43" s="940">
        <f>SUMIFS('5. PERSON'!$AE$17:$AE$192,'5. PERSON'!$B$17:$B$192,'14. EUFP'!$B43,'5. PERSON'!$D$17:$D$192,FZ$18)</f>
        <v>0</v>
      </c>
      <c r="GA43" s="940">
        <f>SUMIFS('5. PERSON'!$AE$17:$AE$192,'5. PERSON'!$B$17:$B$192,'14. EUFP'!$B43,'5. PERSON'!$D$17:$D$192,GA$18)</f>
        <v>0</v>
      </c>
      <c r="GB43" s="940">
        <f>SUMIFS('5. PERSON'!$AE$17:$AE$192,'5. PERSON'!$B$17:$B$192,'14. EUFP'!$B43,'5. PERSON'!$D$17:$D$192,GB$18)</f>
        <v>0</v>
      </c>
      <c r="GC43" s="940">
        <f>SUMIFS('5. PERSON'!$AE$17:$AE$192,'5. PERSON'!$B$17:$B$192,'14. EUFP'!$B43,'5. PERSON'!$D$17:$D$192,GC$18)</f>
        <v>0</v>
      </c>
      <c r="GD43" s="940">
        <f>SUMIFS('5. PERSON'!$AE$17:$AE$192,'5. PERSON'!$B$17:$B$192,'14. EUFP'!$B43,'5. PERSON'!$D$17:$D$192,GD$18)</f>
        <v>0</v>
      </c>
      <c r="GE43" s="940">
        <f>SUMIFS('5. PERSON'!$AE$17:$AE$192,'5. PERSON'!$B$17:$B$192,'14. EUFP'!$B43,'5. PERSON'!$D$17:$D$192,GE$18)</f>
        <v>0</v>
      </c>
      <c r="GF43" s="940">
        <f>SUMIFS('5. PERSON'!$AE$17:$AE$192,'5. PERSON'!$B$17:$B$192,'14. EUFP'!$B43,'5. PERSON'!$D$17:$D$192,GF$18)</f>
        <v>0</v>
      </c>
      <c r="GG43" s="940">
        <f>SUMIFS('5. PERSON'!$AE$17:$AE$192,'5. PERSON'!$B$17:$B$192,'14. EUFP'!$B43,'5. PERSON'!$D$17:$D$192,GG$18)</f>
        <v>0</v>
      </c>
      <c r="GH43" s="940">
        <f>SUMIFS('5. PERSON'!$AE$17:$AE$192,'5. PERSON'!$B$17:$B$192,'14. EUFP'!$B43,'5. PERSON'!$D$17:$D$192,GH$18)</f>
        <v>0</v>
      </c>
      <c r="GI43" s="940">
        <f>SUMIFS('5. PERSON'!$AE$17:$AE$192,'5. PERSON'!$B$17:$B$192,'14. EUFP'!$B43,'5. PERSON'!$D$17:$D$192,GI$18)</f>
        <v>0</v>
      </c>
      <c r="GJ43" s="940">
        <f>SUMIFS('5. PERSON'!$AE$17:$AE$192,'5. PERSON'!$B$17:$B$192,'14. EUFP'!$B43,'5. PERSON'!$D$17:$D$192,GJ$18)</f>
        <v>0</v>
      </c>
      <c r="GK43" s="940">
        <f>SUMIFS('5. PERSON'!$AE$17:$AE$192,'5. PERSON'!$B$17:$B$192,'14. EUFP'!$B43,'5. PERSON'!$D$17:$D$192,GK$18)</f>
        <v>0</v>
      </c>
      <c r="GL43" s="940">
        <f t="shared" si="28"/>
        <v>0</v>
      </c>
    </row>
    <row r="44" spans="2:194" ht="13.5" customHeight="1" x14ac:dyDescent="0.2">
      <c r="B44" s="261" t="str">
        <f>'3. PARTNER'!B71</f>
        <v>EXT121</v>
      </c>
      <c r="C44" s="262">
        <f>SUMIF('5. PERSON'!B$17:B$192,B44,'5. PERSON'!AR$17:AR$192)</f>
        <v>0</v>
      </c>
      <c r="D44" s="262">
        <f>SUMIFS('5. PERSON'!$AR$17:$AR$192,'5. PERSON'!$B$17:$B$192,$B44,'5. PERSON'!$D$17:$D$192,D$18)</f>
        <v>0</v>
      </c>
      <c r="E44" s="262">
        <f>SUMIFS('5. PERSON'!$AR$17:$AR$192,'5. PERSON'!$B$17:$B$192,$B44,'5. PERSON'!$D$17:$D$192,E$18)</f>
        <v>0</v>
      </c>
      <c r="F44" s="262">
        <f>SUMIFS('5. PERSON'!$AR$17:$AR$192,'5. PERSON'!$B$17:$B$192,$B44,'5. PERSON'!$D$17:$D$192,F$18)</f>
        <v>0</v>
      </c>
      <c r="G44" s="262">
        <f>SUMIFS('5. PERSON'!$AR$17:$AR$192,'5. PERSON'!$B$17:$B$192,$B44,'5. PERSON'!$D$17:$D$192,G$18)</f>
        <v>0</v>
      </c>
      <c r="H44" s="262">
        <f>SUMIFS('5. PERSON'!$AR$17:$AR$192,'5. PERSON'!$B$17:$B$192,$B44,'5. PERSON'!$D$17:$D$192,H$18)</f>
        <v>0</v>
      </c>
      <c r="I44" s="262">
        <f>SUMIFS('5. PERSON'!$AR$17:$AR$192,'5. PERSON'!$B$17:$B$192,$B44,'5. PERSON'!$D$17:$D$192,I$18)</f>
        <v>0</v>
      </c>
      <c r="J44" s="262">
        <f>SUMIFS('5. PERSON'!$AR$17:$AR$192,'5. PERSON'!$B$17:$B$192,$B44,'5. PERSON'!$D$17:$D$192,J$18)</f>
        <v>0</v>
      </c>
      <c r="K44" s="262">
        <f>SUMIFS('5. PERSON'!$AR$17:$AR$192,'5. PERSON'!$B$17:$B$192,$B44,'5. PERSON'!$D$17:$D$192,K$18)</f>
        <v>0</v>
      </c>
      <c r="L44" s="262">
        <f>SUMIFS('5. PERSON'!$AR$17:$AR$192,'5. PERSON'!$B$17:$B$192,$B44,'5. PERSON'!$D$17:$D$192,L$18)</f>
        <v>0</v>
      </c>
      <c r="M44" s="262">
        <f>SUMIFS('5. PERSON'!$AR$17:$AR$192,'5. PERSON'!$B$17:$B$192,$B44,'5. PERSON'!$D$17:$D$192,M$18)</f>
        <v>0</v>
      </c>
      <c r="N44" s="262">
        <f>SUMIFS('5. PERSON'!$AR$17:$AR$192,'5. PERSON'!$B$17:$B$192,$B44,'5. PERSON'!$D$17:$D$192,N$18)</f>
        <v>0</v>
      </c>
      <c r="O44" s="262">
        <f>SUMIFS('5. PERSON'!$AR$17:$AR$192,'5. PERSON'!$B$17:$B$192,$B44,'5. PERSON'!$D$17:$D$192,O$18)</f>
        <v>0</v>
      </c>
      <c r="P44" s="262">
        <f>SUMIFS('5. PERSON'!$AR$17:$AR$192,'5. PERSON'!$B$17:$B$192,$B44,'5. PERSON'!$D$17:$D$192,P$18)</f>
        <v>0</v>
      </c>
      <c r="Q44" s="262">
        <f>SUMIFS('5. PERSON'!$AR$17:$AR$192,'5. PERSON'!$B$17:$B$192,$B44,'5. PERSON'!$D$17:$D$192,Q$18)</f>
        <v>0</v>
      </c>
      <c r="R44" s="262">
        <f>SUMIFS('5. PERSON'!$AR$17:$AR$192,'5. PERSON'!$B$17:$B$192,$B44,'5. PERSON'!$D$17:$D$192,R$18)</f>
        <v>0</v>
      </c>
      <c r="S44" s="262">
        <f>SUMIFS('5. PERSON'!$AR$17:$AR$192,'5. PERSON'!$B$17:$B$192,$B44,'5. PERSON'!$D$17:$D$192,S$18)</f>
        <v>0</v>
      </c>
      <c r="T44" s="262">
        <f>SUMIFS('5. PERSON'!$AR$17:$AR$192,'5. PERSON'!$B$17:$B$192,$B44,'5. PERSON'!$D$17:$D$192,T$18)</f>
        <v>0</v>
      </c>
      <c r="U44" s="262">
        <f>SUMIFS('5. PERSON'!$AR$17:$AR$192,'5. PERSON'!$B$17:$B$192,$B44,'5. PERSON'!$D$17:$D$192,U$18)</f>
        <v>0</v>
      </c>
      <c r="V44" s="262">
        <f>SUMIFS('5. PERSON'!$AR$17:$AR$192,'5. PERSON'!$B$17:$B$192,$B44,'5. PERSON'!$D$17:$D$192,V$18)</f>
        <v>0</v>
      </c>
      <c r="W44" s="262">
        <f>SUMIFS('5. PERSON'!$AR$17:$AR$192,'5. PERSON'!$B$17:$B$192,$B44,'5. PERSON'!$D$17:$D$192,W$18)</f>
        <v>0</v>
      </c>
      <c r="X44" s="262">
        <f>SUMIFS('6. OPERATION'!R$17:R$149,'6. OPERATION'!B$17:B$149,B44,'6. OPERATION'!G$17:G$149,"SUBCON")</f>
        <v>0</v>
      </c>
      <c r="Y44" s="262">
        <f>SUMIFS('6. OPERATION'!$R$17:$R$149,'6. OPERATION'!$B$17:$B$149,$B44,'6. OPERATION'!$G$17:$G$149,"SUBCON",'6. OPERATION'!$D$17:$D$149,Y$18)</f>
        <v>0</v>
      </c>
      <c r="Z44" s="262">
        <f>SUMIFS('6. OPERATION'!$R$17:$R$149,'6. OPERATION'!$B$17:$B$149,$B44,'6. OPERATION'!$G$17:$G$149,"SUBCON",'6. OPERATION'!$D$17:$D$149,Z$18)</f>
        <v>0</v>
      </c>
      <c r="AA44" s="262">
        <f>SUMIFS('6. OPERATION'!$R$17:$R$149,'6. OPERATION'!$B$17:$B$149,$B44,'6. OPERATION'!$G$17:$G$149,"SUBCON",'6. OPERATION'!$D$17:$D$149,AA$18)</f>
        <v>0</v>
      </c>
      <c r="AB44" s="262">
        <f>SUMIFS('6. OPERATION'!$R$17:$R$149,'6. OPERATION'!$B$17:$B$149,$B44,'6. OPERATION'!$G$17:$G$149,"SUBCON",'6. OPERATION'!$D$17:$D$149,AB$18)</f>
        <v>0</v>
      </c>
      <c r="AC44" s="262">
        <f>SUMIFS('6. OPERATION'!$R$17:$R$149,'6. OPERATION'!$B$17:$B$149,$B44,'6. OPERATION'!$G$17:$G$149,"SUBCON",'6. OPERATION'!$D$17:$D$149,AC$18)</f>
        <v>0</v>
      </c>
      <c r="AD44" s="262">
        <f>SUMIFS('6. OPERATION'!$R$17:$R$149,'6. OPERATION'!$B$17:$B$149,$B44,'6. OPERATION'!$G$17:$G$149,"SUBCON",'6. OPERATION'!$D$17:$D$149,AD$18)</f>
        <v>0</v>
      </c>
      <c r="AE44" s="262">
        <f>SUMIFS('6. OPERATION'!$R$17:$R$149,'6. OPERATION'!$B$17:$B$149,$B44,'6. OPERATION'!$G$17:$G$149,"SUBCON",'6. OPERATION'!$D$17:$D$149,AE$18)</f>
        <v>0</v>
      </c>
      <c r="AF44" s="262">
        <f>SUMIFS('6. OPERATION'!$R$17:$R$149,'6. OPERATION'!$B$17:$B$149,$B44,'6. OPERATION'!$G$17:$G$149,"SUBCON",'6. OPERATION'!$D$17:$D$149,AF$18)</f>
        <v>0</v>
      </c>
      <c r="AG44" s="262">
        <f>SUMIFS('6. OPERATION'!$R$17:$R$149,'6. OPERATION'!$B$17:$B$149,$B44,'6. OPERATION'!$G$17:$G$149,"SUBCON",'6. OPERATION'!$D$17:$D$149,AG$18)</f>
        <v>0</v>
      </c>
      <c r="AH44" s="262">
        <f>SUMIFS('6. OPERATION'!$R$17:$R$149,'6. OPERATION'!$B$17:$B$149,$B44,'6. OPERATION'!$G$17:$G$149,"SUBCON",'6. OPERATION'!$D$17:$D$149,AH$18)</f>
        <v>0</v>
      </c>
      <c r="AI44" s="262">
        <f>SUMIFS('6. OPERATION'!$R$17:$R$149,'6. OPERATION'!$B$17:$B$149,$B44,'6. OPERATION'!$G$17:$G$149,"SUBCON",'6. OPERATION'!$D$17:$D$149,AI$18)</f>
        <v>0</v>
      </c>
      <c r="AJ44" s="262">
        <f>SUMIFS('6. OPERATION'!$R$17:$R$149,'6. OPERATION'!$B$17:$B$149,$B44,'6. OPERATION'!$G$17:$G$149,"SUBCON",'6. OPERATION'!$D$17:$D$149,AJ$18)</f>
        <v>0</v>
      </c>
      <c r="AK44" s="262">
        <f>SUMIFS('6. OPERATION'!$R$17:$R$149,'6. OPERATION'!$B$17:$B$149,$B44,'6. OPERATION'!$G$17:$G$149,"SUBCON",'6. OPERATION'!$D$17:$D$149,AK$18)</f>
        <v>0</v>
      </c>
      <c r="AL44" s="262">
        <f>SUMIFS('6. OPERATION'!$R$17:$R$149,'6. OPERATION'!$B$17:$B$149,$B44,'6. OPERATION'!$G$17:$G$149,"SUBCON",'6. OPERATION'!$D$17:$D$149,AL$18)</f>
        <v>0</v>
      </c>
      <c r="AM44" s="262">
        <f>SUMIFS('6. OPERATION'!$R$17:$R$149,'6. OPERATION'!$B$17:$B$149,$B44,'6. OPERATION'!$G$17:$G$149,"SUBCON",'6. OPERATION'!$D$17:$D$149,AM$18)</f>
        <v>0</v>
      </c>
      <c r="AN44" s="262">
        <f>SUMIFS('6. OPERATION'!$R$17:$R$149,'6. OPERATION'!$B$17:$B$149,$B44,'6. OPERATION'!$G$17:$G$149,"SUBCON",'6. OPERATION'!$D$17:$D$149,AN$18)</f>
        <v>0</v>
      </c>
      <c r="AO44" s="262">
        <f>SUMIFS('6. OPERATION'!$R$17:$R$149,'6. OPERATION'!$B$17:$B$149,$B44,'6. OPERATION'!$G$17:$G$149,"SUBCON",'6. OPERATION'!$D$17:$D$149,AO$18)</f>
        <v>0</v>
      </c>
      <c r="AP44" s="262">
        <f>SUMIFS('6. OPERATION'!$R$17:$R$149,'6. OPERATION'!$B$17:$B$149,$B44,'6. OPERATION'!$G$17:$G$149,"SUBCON",'6. OPERATION'!$D$17:$D$149,AP$18)</f>
        <v>0</v>
      </c>
      <c r="AQ44" s="262">
        <f>SUMIFS('6. OPERATION'!$R$17:$R$149,'6. OPERATION'!$B$17:$B$149,$B44,'6. OPERATION'!$G$17:$G$149,"SUBCON",'6. OPERATION'!$D$17:$D$149,AQ$18)</f>
        <v>0</v>
      </c>
      <c r="AR44" s="262">
        <f>SUMIFS('6. OPERATION'!$R$17:$R$149,'6. OPERATION'!$B$17:$B$149,$B44,'6. OPERATION'!$G$17:$G$149,"SUBCON",'6. OPERATION'!$D$17:$D$149,AR$18)</f>
        <v>0</v>
      </c>
      <c r="AS44" s="262">
        <f>SUMIFS('6. OPERATION'!R$17:R$149,'6. OPERATION'!B$17:B$149,B44,'6. OPERATION'!G$17:G$149,"TRAVEL")</f>
        <v>0</v>
      </c>
      <c r="AT44" s="262">
        <f>SUMIFS('6. OPERATION'!$R$17:$R$149,'6. OPERATION'!$B$17:$B$149,$B44,'6. OPERATION'!$G$17:$G$149,"TRAVEL",'6. OPERATION'!$D$17:$D$149,AT$18)</f>
        <v>0</v>
      </c>
      <c r="AU44" s="262">
        <f>SUMIFS('6. OPERATION'!$R$17:$R$149,'6. OPERATION'!$B$17:$B$149,$B44,'6. OPERATION'!$G$17:$G$149,"TRAVEL",'6. OPERATION'!$D$17:$D$149,AU$18)</f>
        <v>0</v>
      </c>
      <c r="AV44" s="262">
        <f>SUMIFS('6. OPERATION'!$R$17:$R$149,'6. OPERATION'!$B$17:$B$149,$B44,'6. OPERATION'!$G$17:$G$149,"TRAVEL",'6. OPERATION'!$D$17:$D$149,AV$18)</f>
        <v>0</v>
      </c>
      <c r="AW44" s="262">
        <f>SUMIFS('6. OPERATION'!$R$17:$R$149,'6. OPERATION'!$B$17:$B$149,$B44,'6. OPERATION'!$G$17:$G$149,"TRAVEL",'6. OPERATION'!$D$17:$D$149,AW$18)</f>
        <v>0</v>
      </c>
      <c r="AX44" s="262">
        <f>SUMIFS('6. OPERATION'!$R$17:$R$149,'6. OPERATION'!$B$17:$B$149,$B44,'6. OPERATION'!$G$17:$G$149,"TRAVEL",'6. OPERATION'!$D$17:$D$149,AX$18)</f>
        <v>0</v>
      </c>
      <c r="AY44" s="262">
        <f>SUMIFS('6. OPERATION'!$R$17:$R$149,'6. OPERATION'!$B$17:$B$149,$B44,'6. OPERATION'!$G$17:$G$149,"TRAVEL",'6. OPERATION'!$D$17:$D$149,AY$18)</f>
        <v>0</v>
      </c>
      <c r="AZ44" s="262">
        <f>SUMIFS('6. OPERATION'!$R$17:$R$149,'6. OPERATION'!$B$17:$B$149,$B44,'6. OPERATION'!$G$17:$G$149,"TRAVEL",'6. OPERATION'!$D$17:$D$149,AZ$18)</f>
        <v>0</v>
      </c>
      <c r="BA44" s="262">
        <f>SUMIFS('6. OPERATION'!$R$17:$R$149,'6. OPERATION'!$B$17:$B$149,$B44,'6. OPERATION'!$G$17:$G$149,"TRAVEL",'6. OPERATION'!$D$17:$D$149,BA$18)</f>
        <v>0</v>
      </c>
      <c r="BB44" s="262">
        <f>SUMIFS('6. OPERATION'!$R$17:$R$149,'6. OPERATION'!$B$17:$B$149,$B44,'6. OPERATION'!$G$17:$G$149,"TRAVEL",'6. OPERATION'!$D$17:$D$149,BB$18)</f>
        <v>0</v>
      </c>
      <c r="BC44" s="262">
        <f>SUMIFS('6. OPERATION'!$R$17:$R$149,'6. OPERATION'!$B$17:$B$149,$B44,'6. OPERATION'!$G$17:$G$149,"TRAVEL",'6. OPERATION'!$D$17:$D$149,BC$18)</f>
        <v>0</v>
      </c>
      <c r="BD44" s="262">
        <f>SUMIFS('6. OPERATION'!$R$17:$R$149,'6. OPERATION'!$B$17:$B$149,$B44,'6. OPERATION'!$G$17:$G$149,"TRAVEL",'6. OPERATION'!$D$17:$D$149,BD$18)</f>
        <v>0</v>
      </c>
      <c r="BE44" s="262">
        <f>SUMIFS('6. OPERATION'!$R$17:$R$149,'6. OPERATION'!$B$17:$B$149,$B44,'6. OPERATION'!$G$17:$G$149,"TRAVEL",'6. OPERATION'!$D$17:$D$149,BE$18)</f>
        <v>0</v>
      </c>
      <c r="BF44" s="262">
        <f>SUMIFS('6. OPERATION'!$R$17:$R$149,'6. OPERATION'!$B$17:$B$149,$B44,'6. OPERATION'!$G$17:$G$149,"TRAVEL",'6. OPERATION'!$D$17:$D$149,BF$18)</f>
        <v>0</v>
      </c>
      <c r="BG44" s="262">
        <f>SUMIFS('6. OPERATION'!$R$17:$R$149,'6. OPERATION'!$B$17:$B$149,$B44,'6. OPERATION'!$G$17:$G$149,"TRAVEL",'6. OPERATION'!$D$17:$D$149,BG$18)</f>
        <v>0</v>
      </c>
      <c r="BH44" s="262">
        <f>SUMIFS('6. OPERATION'!$R$17:$R$149,'6. OPERATION'!$B$17:$B$149,$B44,'6. OPERATION'!$G$17:$G$149,"TRAVEL",'6. OPERATION'!$D$17:$D$149,BH$18)</f>
        <v>0</v>
      </c>
      <c r="BI44" s="262">
        <f>SUMIFS('6. OPERATION'!$R$17:$R$149,'6. OPERATION'!$B$17:$B$149,$B44,'6. OPERATION'!$G$17:$G$149,"TRAVEL",'6. OPERATION'!$D$17:$D$149,BI$18)</f>
        <v>0</v>
      </c>
      <c r="BJ44" s="262">
        <f>SUMIFS('6. OPERATION'!$R$17:$R$149,'6. OPERATION'!$B$17:$B$149,$B44,'6. OPERATION'!$G$17:$G$149,"TRAVEL",'6. OPERATION'!$D$17:$D$149,BJ$18)</f>
        <v>0</v>
      </c>
      <c r="BK44" s="262">
        <f>SUMIFS('6. OPERATION'!$R$17:$R$149,'6. OPERATION'!$B$17:$B$149,$B44,'6. OPERATION'!$G$17:$G$149,"TRAVEL",'6. OPERATION'!$D$17:$D$149,BK$18)</f>
        <v>0</v>
      </c>
      <c r="BL44" s="262">
        <f>SUMIFS('6. OPERATION'!$R$17:$R$149,'6. OPERATION'!$B$17:$B$149,$B44,'6. OPERATION'!$G$17:$G$149,"TRAVEL",'6. OPERATION'!$D$17:$D$149,BL$18)</f>
        <v>0</v>
      </c>
      <c r="BM44" s="262">
        <f>SUMIFS('6. OPERATION'!$R$17:$R$149,'6. OPERATION'!$B$17:$B$149,$B44,'6. OPERATION'!$G$17:$G$149,"TRAVEL",'6. OPERATION'!$D$17:$D$149,BM$18)</f>
        <v>0</v>
      </c>
      <c r="BN44" s="262">
        <f>SUMIF('7. INVEST'!B$17:B$49,B44,'7. INVEST'!S$17:S$49)</f>
        <v>0</v>
      </c>
      <c r="BO44" s="262">
        <f>SUMIFS('7. INVEST'!$S$17:$S$49,'7. INVEST'!$B$17:$B$49,$B44,'7. INVEST'!$D$17:$D$49,BO$18)</f>
        <v>0</v>
      </c>
      <c r="BP44" s="262">
        <f>SUMIFS('7. INVEST'!$S$17:$S$49,'7. INVEST'!$B$17:$B$49,$B44,'7. INVEST'!$D$17:$D$49,BP$18)</f>
        <v>0</v>
      </c>
      <c r="BQ44" s="262">
        <f>SUMIFS('7. INVEST'!$S$17:$S$49,'7. INVEST'!$B$17:$B$49,$B44,'7. INVEST'!$D$17:$D$49,BQ$18)</f>
        <v>0</v>
      </c>
      <c r="BR44" s="262">
        <f>SUMIFS('7. INVEST'!$S$17:$S$49,'7. INVEST'!$B$17:$B$49,$B44,'7. INVEST'!$D$17:$D$49,BR$18)</f>
        <v>0</v>
      </c>
      <c r="BS44" s="262">
        <f>SUMIFS('7. INVEST'!$S$17:$S$49,'7. INVEST'!$B$17:$B$49,$B44,'7. INVEST'!$D$17:$D$49,BS$18)</f>
        <v>0</v>
      </c>
      <c r="BT44" s="262">
        <f>SUMIFS('7. INVEST'!$S$17:$S$49,'7. INVEST'!$B$17:$B$49,$B44,'7. INVEST'!$D$17:$D$49,BT$18)</f>
        <v>0</v>
      </c>
      <c r="BU44" s="262">
        <f>SUMIFS('7. INVEST'!$S$17:$S$49,'7. INVEST'!$B$17:$B$49,$B44,'7. INVEST'!$D$17:$D$49,BU$18)</f>
        <v>0</v>
      </c>
      <c r="BV44" s="262">
        <f>SUMIFS('7. INVEST'!$S$17:$S$49,'7. INVEST'!$B$17:$B$49,$B44,'7. INVEST'!$D$17:$D$49,BV$18)</f>
        <v>0</v>
      </c>
      <c r="BW44" s="262">
        <f>SUMIFS('7. INVEST'!$S$17:$S$49,'7. INVEST'!$B$17:$B$49,$B44,'7. INVEST'!$D$17:$D$49,BW$18)</f>
        <v>0</v>
      </c>
      <c r="BX44" s="262">
        <f>SUMIFS('7. INVEST'!$S$17:$S$49,'7. INVEST'!$B$17:$B$49,$B44,'7. INVEST'!$D$17:$D$49,BX$18)</f>
        <v>0</v>
      </c>
      <c r="BY44" s="262">
        <f>SUMIFS('7. INVEST'!$S$17:$S$49,'7. INVEST'!$B$17:$B$49,$B44,'7. INVEST'!$D$17:$D$49,BY$18)</f>
        <v>0</v>
      </c>
      <c r="BZ44" s="262">
        <f>SUMIFS('7. INVEST'!$S$17:$S$49,'7. INVEST'!$B$17:$B$49,$B44,'7. INVEST'!$D$17:$D$49,BZ$18)</f>
        <v>0</v>
      </c>
      <c r="CA44" s="262">
        <f>SUMIFS('7. INVEST'!$S$17:$S$49,'7. INVEST'!$B$17:$B$49,$B44,'7. INVEST'!$D$17:$D$49,CA$18)</f>
        <v>0</v>
      </c>
      <c r="CB44" s="262">
        <f>SUMIFS('7. INVEST'!$S$17:$S$49,'7. INVEST'!$B$17:$B$49,$B44,'7. INVEST'!$D$17:$D$49,CB$18)</f>
        <v>0</v>
      </c>
      <c r="CC44" s="262">
        <f>SUMIFS('7. INVEST'!$S$17:$S$49,'7. INVEST'!$B$17:$B$49,$B44,'7. INVEST'!$D$17:$D$49,CC$18)</f>
        <v>0</v>
      </c>
      <c r="CD44" s="262">
        <f>SUMIFS('7. INVEST'!$S$17:$S$49,'7. INVEST'!$B$17:$B$49,$B44,'7. INVEST'!$D$17:$D$49,CD$18)</f>
        <v>0</v>
      </c>
      <c r="CE44" s="262">
        <f>SUMIFS('7. INVEST'!$S$17:$S$49,'7. INVEST'!$B$17:$B$49,$B44,'7. INVEST'!$D$17:$D$49,CE$18)</f>
        <v>0</v>
      </c>
      <c r="CF44" s="262">
        <f>SUMIFS('7. INVEST'!$S$17:$S$49,'7. INVEST'!$B$17:$B$49,$B44,'7. INVEST'!$D$17:$D$49,CF$18)</f>
        <v>0</v>
      </c>
      <c r="CG44" s="262">
        <f>SUMIFS('7. INVEST'!$S$17:$S$49,'7. INVEST'!$B$17:$B$49,$B44,'7. INVEST'!$D$17:$D$49,CG$18)</f>
        <v>0</v>
      </c>
      <c r="CH44" s="262">
        <f>SUMIFS('7. INVEST'!$S$17:$S$49,'7. INVEST'!$B$17:$B$49,$B44,'7. INVEST'!$D$17:$D$49,CH$18)</f>
        <v>0</v>
      </c>
      <c r="CI44" s="262">
        <f>SUMIFS('6. OPERATION'!$R$17:$R$149,'6. OPERATION'!$B$17:$B$149,$B44,'6. OPERATION'!$G$17:$G$149,"OTHER")+SUMIF('8. FACILIT'!$B$18:$B$50,$B44,'8. FACILIT'!$P$18:$P$50)</f>
        <v>0</v>
      </c>
      <c r="CJ44" s="262">
        <f>SUMIFS('6. OPERATION'!$R$17:$R$149,'6. OPERATION'!$B$17:$B$149,$B44,'6. OPERATION'!$G$17:$G$149,"OTHER",'6. OPERATION'!$D$17:$D$149,CJ$18)+SUMIFS('8. FACILIT'!$P$18:$P$50,'8. FACILIT'!$B$18:$B$50,$B44,'8. FACILIT'!$D$18:$D$50,CJ$18)</f>
        <v>0</v>
      </c>
      <c r="CK44" s="262">
        <f>SUMIFS('6. OPERATION'!$R$17:$R$149,'6. OPERATION'!$B$17:$B$149,$B44,'6. OPERATION'!$G$17:$G$149,"OTHER",'6. OPERATION'!$D$17:$D$149,CK$18)+SUMIFS('8. FACILIT'!$P$18:$P$50,'8. FACILIT'!$B$18:$B$50,$B44,'8. FACILIT'!$D$18:$D$50,CK$18)</f>
        <v>0</v>
      </c>
      <c r="CL44" s="262">
        <f>SUMIFS('6. OPERATION'!$R$17:$R$149,'6. OPERATION'!$B$17:$B$149,$B44,'6. OPERATION'!$G$17:$G$149,"OTHER",'6. OPERATION'!$D$17:$D$149,CL$18)+SUMIFS('8. FACILIT'!$P$18:$P$50,'8. FACILIT'!$B$18:$B$50,$B44,'8. FACILIT'!$D$18:$D$50,CL$18)</f>
        <v>0</v>
      </c>
      <c r="CM44" s="262">
        <f>SUMIFS('6. OPERATION'!$R$17:$R$149,'6. OPERATION'!$B$17:$B$149,$B44,'6. OPERATION'!$G$17:$G$149,"OTHER",'6. OPERATION'!$D$17:$D$149,CM$18)+SUMIFS('8. FACILIT'!$P$18:$P$50,'8. FACILIT'!$B$18:$B$50,$B44,'8. FACILIT'!$D$18:$D$50,CM$18)</f>
        <v>0</v>
      </c>
      <c r="CN44" s="262">
        <f>SUMIFS('6. OPERATION'!$R$17:$R$149,'6. OPERATION'!$B$17:$B$149,$B44,'6. OPERATION'!$G$17:$G$149,"OTHER",'6. OPERATION'!$D$17:$D$149,CN$18)+SUMIFS('8. FACILIT'!$P$18:$P$50,'8. FACILIT'!$B$18:$B$50,$B44,'8. FACILIT'!$D$18:$D$50,CN$18)</f>
        <v>0</v>
      </c>
      <c r="CO44" s="262">
        <f>SUMIFS('6. OPERATION'!$R$17:$R$149,'6. OPERATION'!$B$17:$B$149,$B44,'6. OPERATION'!$G$17:$G$149,"OTHER",'6. OPERATION'!$D$17:$D$149,CO$18)+SUMIFS('8. FACILIT'!$P$18:$P$50,'8. FACILIT'!$B$18:$B$50,$B44,'8. FACILIT'!$D$18:$D$50,CO$18)</f>
        <v>0</v>
      </c>
      <c r="CP44" s="262">
        <f>SUMIFS('6. OPERATION'!$R$17:$R$149,'6. OPERATION'!$B$17:$B$149,$B44,'6. OPERATION'!$G$17:$G$149,"OTHER",'6. OPERATION'!$D$17:$D$149,CP$18)+SUMIFS('8. FACILIT'!$P$18:$P$50,'8. FACILIT'!$B$18:$B$50,$B44,'8. FACILIT'!$D$18:$D$50,CP$18)</f>
        <v>0</v>
      </c>
      <c r="CQ44" s="262">
        <f>SUMIFS('6. OPERATION'!$R$17:$R$149,'6. OPERATION'!$B$17:$B$149,$B44,'6. OPERATION'!$G$17:$G$149,"OTHER",'6. OPERATION'!$D$17:$D$149,CQ$18)+SUMIFS('8. FACILIT'!$P$18:$P$50,'8. FACILIT'!$B$18:$B$50,$B44,'8. FACILIT'!$D$18:$D$50,CQ$18)</f>
        <v>0</v>
      </c>
      <c r="CR44" s="262">
        <f>SUMIFS('6. OPERATION'!$R$17:$R$149,'6. OPERATION'!$B$17:$B$149,$B44,'6. OPERATION'!$G$17:$G$149,"OTHER",'6. OPERATION'!$D$17:$D$149,CR$18)+SUMIFS('8. FACILIT'!$P$18:$P$50,'8. FACILIT'!$B$18:$B$50,$B44,'8. FACILIT'!$D$18:$D$50,CR$18)</f>
        <v>0</v>
      </c>
      <c r="CS44" s="262">
        <f>SUMIFS('6. OPERATION'!$R$17:$R$149,'6. OPERATION'!$B$17:$B$149,$B44,'6. OPERATION'!$G$17:$G$149,"OTHER",'6. OPERATION'!$D$17:$D$149,CS$18)+SUMIFS('8. FACILIT'!$P$18:$P$50,'8. FACILIT'!$B$18:$B$50,$B44,'8. FACILIT'!$D$18:$D$50,CS$18)</f>
        <v>0</v>
      </c>
      <c r="CT44" s="262">
        <f>SUMIFS('6. OPERATION'!$R$17:$R$149,'6. OPERATION'!$B$17:$B$149,$B44,'6. OPERATION'!$G$17:$G$149,"OTHER",'6. OPERATION'!$D$17:$D$149,CT$18)+SUMIFS('8. FACILIT'!$P$18:$P$50,'8. FACILIT'!$B$18:$B$50,$B44,'8. FACILIT'!$D$18:$D$50,CT$18)</f>
        <v>0</v>
      </c>
      <c r="CU44" s="262">
        <f>SUMIFS('6. OPERATION'!$R$17:$R$149,'6. OPERATION'!$B$17:$B$149,$B44,'6. OPERATION'!$G$17:$G$149,"OTHER",'6. OPERATION'!$D$17:$D$149,CU$18)+SUMIFS('8. FACILIT'!$P$18:$P$50,'8. FACILIT'!$B$18:$B$50,$B44,'8. FACILIT'!$D$18:$D$50,CU$18)</f>
        <v>0</v>
      </c>
      <c r="CV44" s="262">
        <f>SUMIFS('6. OPERATION'!$R$17:$R$149,'6. OPERATION'!$B$17:$B$149,$B44,'6. OPERATION'!$G$17:$G$149,"OTHER",'6. OPERATION'!$D$17:$D$149,CV$18)+SUMIFS('8. FACILIT'!$P$18:$P$50,'8. FACILIT'!$B$18:$B$50,$B44,'8. FACILIT'!$D$18:$D$50,CV$18)</f>
        <v>0</v>
      </c>
      <c r="CW44" s="262">
        <f>SUMIFS('6. OPERATION'!$R$17:$R$149,'6. OPERATION'!$B$17:$B$149,$B44,'6. OPERATION'!$G$17:$G$149,"OTHER",'6. OPERATION'!$D$17:$D$149,CW$18)+SUMIFS('8. FACILIT'!$P$18:$P$50,'8. FACILIT'!$B$18:$B$50,$B44,'8. FACILIT'!$D$18:$D$50,CW$18)</f>
        <v>0</v>
      </c>
      <c r="CX44" s="262">
        <f>SUMIFS('6. OPERATION'!$R$17:$R$149,'6. OPERATION'!$B$17:$B$149,$B44,'6. OPERATION'!$G$17:$G$149,"OTHER",'6. OPERATION'!$D$17:$D$149,CX$18)+SUMIFS('8. FACILIT'!$P$18:$P$50,'8. FACILIT'!$B$18:$B$50,$B44,'8. FACILIT'!$D$18:$D$50,CX$18)</f>
        <v>0</v>
      </c>
      <c r="CY44" s="262">
        <f>SUMIFS('6. OPERATION'!$R$17:$R$149,'6. OPERATION'!$B$17:$B$149,$B44,'6. OPERATION'!$G$17:$G$149,"OTHER",'6. OPERATION'!$D$17:$D$149,CY$18)+SUMIFS('8. FACILIT'!$P$18:$P$50,'8. FACILIT'!$B$18:$B$50,$B44,'8. FACILIT'!$D$18:$D$50,CY$18)</f>
        <v>0</v>
      </c>
      <c r="CZ44" s="262">
        <f>SUMIFS('6. OPERATION'!$R$17:$R$149,'6. OPERATION'!$B$17:$B$149,$B44,'6. OPERATION'!$G$17:$G$149,"OTHER",'6. OPERATION'!$D$17:$D$149,CZ$18)+SUMIFS('8. FACILIT'!$P$18:$P$50,'8. FACILIT'!$B$18:$B$50,$B44,'8. FACILIT'!$D$18:$D$50,CZ$18)</f>
        <v>0</v>
      </c>
      <c r="DA44" s="262">
        <f>SUMIFS('6. OPERATION'!$R$17:$R$149,'6. OPERATION'!$B$17:$B$149,$B44,'6. OPERATION'!$G$17:$G$149,"OTHER",'6. OPERATION'!$D$17:$D$149,DA$18)+SUMIFS('8. FACILIT'!$P$18:$P$50,'8. FACILIT'!$B$18:$B$50,$B44,'8. FACILIT'!$D$18:$D$50,DA$18)</f>
        <v>0</v>
      </c>
      <c r="DB44" s="262">
        <f>SUMIFS('6. OPERATION'!$R$17:$R$149,'6. OPERATION'!$B$17:$B$149,$B44,'6. OPERATION'!$G$17:$G$149,"OTHER",'6. OPERATION'!$D$17:$D$149,DB$18)+SUMIFS('8. FACILIT'!$P$18:$P$50,'8. FACILIT'!$B$18:$B$50,$B44,'8. FACILIT'!$D$18:$D$50,DB$18)</f>
        <v>0</v>
      </c>
      <c r="DC44" s="262">
        <f>SUMIFS('6. OPERATION'!$R$17:$R$149,'6. OPERATION'!$B$17:$B$149,$B44,'6. OPERATION'!$G$17:$G$149,"OTHER",'6. OPERATION'!$D$17:$D$149,DC$18)+SUMIFS('8. FACILIT'!$P$18:$P$50,'8. FACILIT'!$B$18:$B$50,$B44,'8. FACILIT'!$D$18:$D$50,DC$18)</f>
        <v>0</v>
      </c>
      <c r="DD44" s="262">
        <f>SUMIFS('6. OPERATION'!R$17:R$149,'6. OPERATION'!B$17:B$149,B44,'6. OPERATION'!G$17:G$149,"INTERN")</f>
        <v>0</v>
      </c>
      <c r="DE44" s="262">
        <f>SUMIFS('6. OPERATION'!$R$17:$R$149,'6. OPERATION'!$B$17:$B$149,$B44,'6. OPERATION'!$G$17:$G$149,"INTERN",'6. OPERATION'!$D$17:$D$149,DE$18)</f>
        <v>0</v>
      </c>
      <c r="DF44" s="262">
        <f>SUMIFS('6. OPERATION'!$R$17:$R$149,'6. OPERATION'!$B$17:$B$149,$B44,'6. OPERATION'!$G$17:$G$149,"INTERN",'6. OPERATION'!$D$17:$D$149,DF$18)</f>
        <v>0</v>
      </c>
      <c r="DG44" s="262">
        <f>SUMIFS('6. OPERATION'!$R$17:$R$149,'6. OPERATION'!$B$17:$B$149,$B44,'6. OPERATION'!$G$17:$G$149,"INTERN",'6. OPERATION'!$D$17:$D$149,DG$18)</f>
        <v>0</v>
      </c>
      <c r="DH44" s="262">
        <f>SUMIFS('6. OPERATION'!$R$17:$R$149,'6. OPERATION'!$B$17:$B$149,$B44,'6. OPERATION'!$G$17:$G$149,"INTERN",'6. OPERATION'!$D$17:$D$149,DH$18)</f>
        <v>0</v>
      </c>
      <c r="DI44" s="262">
        <f>SUMIFS('6. OPERATION'!$R$17:$R$149,'6. OPERATION'!$B$17:$B$149,$B44,'6. OPERATION'!$G$17:$G$149,"INTERN",'6. OPERATION'!$D$17:$D$149,DI$18)</f>
        <v>0</v>
      </c>
      <c r="DJ44" s="262">
        <f>SUMIFS('6. OPERATION'!$R$17:$R$149,'6. OPERATION'!$B$17:$B$149,$B44,'6. OPERATION'!$G$17:$G$149,"INTERN",'6. OPERATION'!$D$17:$D$149,DJ$18)</f>
        <v>0</v>
      </c>
      <c r="DK44" s="262">
        <f>SUMIFS('6. OPERATION'!$R$17:$R$149,'6. OPERATION'!$B$17:$B$149,$B44,'6. OPERATION'!$G$17:$G$149,"INTERN",'6. OPERATION'!$D$17:$D$149,DK$18)</f>
        <v>0</v>
      </c>
      <c r="DL44" s="262">
        <f>SUMIFS('6. OPERATION'!$R$17:$R$149,'6. OPERATION'!$B$17:$B$149,$B44,'6. OPERATION'!$G$17:$G$149,"INTERN",'6. OPERATION'!$D$17:$D$149,DL$18)</f>
        <v>0</v>
      </c>
      <c r="DM44" s="262">
        <f>SUMIFS('6. OPERATION'!$R$17:$R$149,'6. OPERATION'!$B$17:$B$149,$B44,'6. OPERATION'!$G$17:$G$149,"INTERN",'6. OPERATION'!$D$17:$D$149,DM$18)</f>
        <v>0</v>
      </c>
      <c r="DN44" s="262">
        <f>SUMIFS('6. OPERATION'!$R$17:$R$149,'6. OPERATION'!$B$17:$B$149,$B44,'6. OPERATION'!$G$17:$G$149,"INTERN",'6. OPERATION'!$D$17:$D$149,DN$18)</f>
        <v>0</v>
      </c>
      <c r="DO44" s="262">
        <f>SUMIFS('6. OPERATION'!$R$17:$R$149,'6. OPERATION'!$B$17:$B$149,$B44,'6. OPERATION'!$G$17:$G$149,"INTERN",'6. OPERATION'!$D$17:$D$149,DO$18)</f>
        <v>0</v>
      </c>
      <c r="DP44" s="262">
        <f>SUMIFS('6. OPERATION'!$R$17:$R$149,'6. OPERATION'!$B$17:$B$149,$B44,'6. OPERATION'!$G$17:$G$149,"INTERN",'6. OPERATION'!$D$17:$D$149,DP$18)</f>
        <v>0</v>
      </c>
      <c r="DQ44" s="262">
        <f>SUMIFS('6. OPERATION'!$R$17:$R$149,'6. OPERATION'!$B$17:$B$149,$B44,'6. OPERATION'!$G$17:$G$149,"INTERN",'6. OPERATION'!$D$17:$D$149,DQ$18)</f>
        <v>0</v>
      </c>
      <c r="DR44" s="262">
        <f>SUMIFS('6. OPERATION'!$R$17:$R$149,'6. OPERATION'!$B$17:$B$149,$B44,'6. OPERATION'!$G$17:$G$149,"INTERN",'6. OPERATION'!$D$17:$D$149,DR$18)</f>
        <v>0</v>
      </c>
      <c r="DS44" s="262">
        <f>SUMIFS('6. OPERATION'!$R$17:$R$149,'6. OPERATION'!$B$17:$B$149,$B44,'6. OPERATION'!$G$17:$G$149,"INTERN",'6. OPERATION'!$D$17:$D$149,DS$18)</f>
        <v>0</v>
      </c>
      <c r="DT44" s="262">
        <f>SUMIFS('6. OPERATION'!$R$17:$R$149,'6. OPERATION'!$B$17:$B$149,$B44,'6. OPERATION'!$G$17:$G$149,"INTERN",'6. OPERATION'!$D$17:$D$149,DT$18)</f>
        <v>0</v>
      </c>
      <c r="DU44" s="262">
        <f>SUMIFS('6. OPERATION'!$R$17:$R$149,'6. OPERATION'!$B$17:$B$149,$B44,'6. OPERATION'!$G$17:$G$149,"INTERN",'6. OPERATION'!$D$17:$D$149,DU$18)</f>
        <v>0</v>
      </c>
      <c r="DV44" s="262">
        <f>SUMIFS('6. OPERATION'!$R$17:$R$149,'6. OPERATION'!$B$17:$B$149,$B44,'6. OPERATION'!$G$17:$G$149,"INTERN",'6. OPERATION'!$D$17:$D$149,DV$18)</f>
        <v>0</v>
      </c>
      <c r="DW44" s="262">
        <f>SUMIFS('6. OPERATION'!$R$17:$R$149,'6. OPERATION'!$B$17:$B$149,$B44,'6. OPERATION'!$G$17:$G$149,"INTERN",'6. OPERATION'!$D$17:$D$149,DW$18)</f>
        <v>0</v>
      </c>
      <c r="DX44" s="262">
        <f>SUMIFS('6. OPERATION'!$R$17:$R$149,'6. OPERATION'!$B$17:$B$149,$B44,'6. OPERATION'!$G$17:$G$149,"INTERN",'6. OPERATION'!$D$17:$D$149,DX$18)</f>
        <v>0</v>
      </c>
      <c r="DY44" s="262">
        <f>(C44+AS44+BN44+CI44)*'2. START'!$C$12</f>
        <v>0</v>
      </c>
      <c r="DZ44" s="262">
        <f>(D44+AT44+BO44+CJ44)*'2. START'!$C$12</f>
        <v>0</v>
      </c>
      <c r="EA44" s="262">
        <f>(E44+AU44+BP44+CK44)*'2. START'!$C$12</f>
        <v>0</v>
      </c>
      <c r="EB44" s="262">
        <f>(F44+AV44+BQ44+CL44)*'2. START'!$C$12</f>
        <v>0</v>
      </c>
      <c r="EC44" s="262">
        <f>(G44+AW44+BR44+CM44)*'2. START'!$C$12</f>
        <v>0</v>
      </c>
      <c r="ED44" s="262">
        <f>(H44+AX44+BS44+CN44)*'2. START'!$C$12</f>
        <v>0</v>
      </c>
      <c r="EE44" s="262">
        <f>(I44+AY44+BT44+CO44)*'2. START'!$C$12</f>
        <v>0</v>
      </c>
      <c r="EF44" s="262">
        <f>(J44+AZ44+BU44+CP44)*'2. START'!$C$12</f>
        <v>0</v>
      </c>
      <c r="EG44" s="262">
        <f>(K44+BA44+BV44+CQ44)*'2. START'!$C$12</f>
        <v>0</v>
      </c>
      <c r="EH44" s="262">
        <f>(L44+BB44+BW44+CR44)*'2. START'!$C$12</f>
        <v>0</v>
      </c>
      <c r="EI44" s="262">
        <f>(M44+BC44+BX44+CS44)*'2. START'!$C$12</f>
        <v>0</v>
      </c>
      <c r="EJ44" s="262">
        <f>(N44+BD44+BY44+CT44)*'2. START'!$C$12</f>
        <v>0</v>
      </c>
      <c r="EK44" s="262">
        <f>(O44+BE44+BZ44+CU44)*'2. START'!$C$12</f>
        <v>0</v>
      </c>
      <c r="EL44" s="262">
        <f>(P44+BF44+CA44+CV44)*'2. START'!$C$12</f>
        <v>0</v>
      </c>
      <c r="EM44" s="262">
        <f>(Q44+BG44+CB44+CW44)*'2. START'!$C$12</f>
        <v>0</v>
      </c>
      <c r="EN44" s="262">
        <f>(R44+BH44+CC44+CX44)*'2. START'!$C$12</f>
        <v>0</v>
      </c>
      <c r="EO44" s="262">
        <f>(S44+BI44+CD44+CY44)*'2. START'!$C$12</f>
        <v>0</v>
      </c>
      <c r="EP44" s="262">
        <f>(T44+BJ44+CE44+CZ44)*'2. START'!$C$12</f>
        <v>0</v>
      </c>
      <c r="EQ44" s="262">
        <f>(U44+BK44+CF44+DA44)*'2. START'!$C$12</f>
        <v>0</v>
      </c>
      <c r="ER44" s="262">
        <f>(V44+BL44+CG44+DB44)*'2. START'!$C$12</f>
        <v>0</v>
      </c>
      <c r="ES44" s="262">
        <f>(W44+BM44+CH44+DC44)*'2. START'!$C$12</f>
        <v>0</v>
      </c>
      <c r="ET44" s="98">
        <f t="shared" si="4"/>
        <v>0</v>
      </c>
      <c r="EU44" s="98">
        <f t="shared" si="5"/>
        <v>0</v>
      </c>
      <c r="EV44" s="98">
        <f t="shared" si="6"/>
        <v>0</v>
      </c>
      <c r="EW44" s="98">
        <f t="shared" si="7"/>
        <v>0</v>
      </c>
      <c r="EX44" s="98">
        <f t="shared" si="8"/>
        <v>0</v>
      </c>
      <c r="EY44" s="98">
        <f t="shared" si="9"/>
        <v>0</v>
      </c>
      <c r="EZ44" s="98">
        <f t="shared" si="10"/>
        <v>0</v>
      </c>
      <c r="FA44" s="98">
        <f t="shared" si="11"/>
        <v>0</v>
      </c>
      <c r="FB44" s="98">
        <f t="shared" si="12"/>
        <v>0</v>
      </c>
      <c r="FC44" s="98">
        <f t="shared" si="13"/>
        <v>0</v>
      </c>
      <c r="FD44" s="98">
        <f t="shared" si="14"/>
        <v>0</v>
      </c>
      <c r="FE44" s="98">
        <f t="shared" si="18"/>
        <v>0</v>
      </c>
      <c r="FF44" s="98">
        <f t="shared" si="19"/>
        <v>0</v>
      </c>
      <c r="FG44" s="98">
        <f t="shared" si="20"/>
        <v>0</v>
      </c>
      <c r="FH44" s="98">
        <f t="shared" si="21"/>
        <v>0</v>
      </c>
      <c r="FI44" s="98">
        <f t="shared" si="22"/>
        <v>0</v>
      </c>
      <c r="FJ44" s="98">
        <f t="shared" si="23"/>
        <v>0</v>
      </c>
      <c r="FK44" s="98">
        <f t="shared" si="24"/>
        <v>0</v>
      </c>
      <c r="FL44" s="98">
        <f t="shared" si="25"/>
        <v>0</v>
      </c>
      <c r="FM44" s="98">
        <f t="shared" si="26"/>
        <v>0</v>
      </c>
      <c r="FN44" s="98">
        <f t="shared" si="27"/>
        <v>0</v>
      </c>
      <c r="FO44" s="272" t="str">
        <f t="shared" si="17"/>
        <v/>
      </c>
      <c r="FP44" s="98">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944">
        <f t="shared" si="16"/>
        <v>0</v>
      </c>
      <c r="FR44" s="941">
        <f>SUMIFS('5. PERSON'!$AE$17:$AE$192,'5. PERSON'!$B$17:$B$192,'14. EUFP'!$B44,'5. PERSON'!$D$17:$D$192,FR$18)</f>
        <v>0</v>
      </c>
      <c r="FS44" s="941">
        <f>SUMIFS('5. PERSON'!$AE$17:$AE$192,'5. PERSON'!$B$17:$B$192,'14. EUFP'!$B44,'5. PERSON'!$D$17:$D$192,FS$18)</f>
        <v>0</v>
      </c>
      <c r="FT44" s="941">
        <f>SUMIFS('5. PERSON'!$AE$17:$AE$192,'5. PERSON'!$B$17:$B$192,'14. EUFP'!$B44,'5. PERSON'!$D$17:$D$192,FT$18)</f>
        <v>0</v>
      </c>
      <c r="FU44" s="941">
        <f>SUMIFS('5. PERSON'!$AE$17:$AE$192,'5. PERSON'!$B$17:$B$192,'14. EUFP'!$B44,'5. PERSON'!$D$17:$D$192,FU$18)</f>
        <v>0</v>
      </c>
      <c r="FV44" s="941">
        <f>SUMIFS('5. PERSON'!$AE$17:$AE$192,'5. PERSON'!$B$17:$B$192,'14. EUFP'!$B44,'5. PERSON'!$D$17:$D$192,FV$18)</f>
        <v>0</v>
      </c>
      <c r="FW44" s="941">
        <f>SUMIFS('5. PERSON'!$AE$17:$AE$192,'5. PERSON'!$B$17:$B$192,'14. EUFP'!$B44,'5. PERSON'!$D$17:$D$192,FW$18)</f>
        <v>0</v>
      </c>
      <c r="FX44" s="941">
        <f>SUMIFS('5. PERSON'!$AE$17:$AE$192,'5. PERSON'!$B$17:$B$192,'14. EUFP'!$B44,'5. PERSON'!$D$17:$D$192,FX$18)</f>
        <v>0</v>
      </c>
      <c r="FY44" s="941">
        <f>SUMIFS('5. PERSON'!$AE$17:$AE$192,'5. PERSON'!$B$17:$B$192,'14. EUFP'!$B44,'5. PERSON'!$D$17:$D$192,FY$18)</f>
        <v>0</v>
      </c>
      <c r="FZ44" s="941">
        <f>SUMIFS('5. PERSON'!$AE$17:$AE$192,'5. PERSON'!$B$17:$B$192,'14. EUFP'!$B44,'5. PERSON'!$D$17:$D$192,FZ$18)</f>
        <v>0</v>
      </c>
      <c r="GA44" s="941">
        <f>SUMIFS('5. PERSON'!$AE$17:$AE$192,'5. PERSON'!$B$17:$B$192,'14. EUFP'!$B44,'5. PERSON'!$D$17:$D$192,GA$18)</f>
        <v>0</v>
      </c>
      <c r="GB44" s="941">
        <f>SUMIFS('5. PERSON'!$AE$17:$AE$192,'5. PERSON'!$B$17:$B$192,'14. EUFP'!$B44,'5. PERSON'!$D$17:$D$192,GB$18)</f>
        <v>0</v>
      </c>
      <c r="GC44" s="941">
        <f>SUMIFS('5. PERSON'!$AE$17:$AE$192,'5. PERSON'!$B$17:$B$192,'14. EUFP'!$B44,'5. PERSON'!$D$17:$D$192,GC$18)</f>
        <v>0</v>
      </c>
      <c r="GD44" s="941">
        <f>SUMIFS('5. PERSON'!$AE$17:$AE$192,'5. PERSON'!$B$17:$B$192,'14. EUFP'!$B44,'5. PERSON'!$D$17:$D$192,GD$18)</f>
        <v>0</v>
      </c>
      <c r="GE44" s="941">
        <f>SUMIFS('5. PERSON'!$AE$17:$AE$192,'5. PERSON'!$B$17:$B$192,'14. EUFP'!$B44,'5. PERSON'!$D$17:$D$192,GE$18)</f>
        <v>0</v>
      </c>
      <c r="GF44" s="941">
        <f>SUMIFS('5. PERSON'!$AE$17:$AE$192,'5. PERSON'!$B$17:$B$192,'14. EUFP'!$B44,'5. PERSON'!$D$17:$D$192,GF$18)</f>
        <v>0</v>
      </c>
      <c r="GG44" s="941">
        <f>SUMIFS('5. PERSON'!$AE$17:$AE$192,'5. PERSON'!$B$17:$B$192,'14. EUFP'!$B44,'5. PERSON'!$D$17:$D$192,GG$18)</f>
        <v>0</v>
      </c>
      <c r="GH44" s="941">
        <f>SUMIFS('5. PERSON'!$AE$17:$AE$192,'5. PERSON'!$B$17:$B$192,'14. EUFP'!$B44,'5. PERSON'!$D$17:$D$192,GH$18)</f>
        <v>0</v>
      </c>
      <c r="GI44" s="941">
        <f>SUMIFS('5. PERSON'!$AE$17:$AE$192,'5. PERSON'!$B$17:$B$192,'14. EUFP'!$B44,'5. PERSON'!$D$17:$D$192,GI$18)</f>
        <v>0</v>
      </c>
      <c r="GJ44" s="941">
        <f>SUMIFS('5. PERSON'!$AE$17:$AE$192,'5. PERSON'!$B$17:$B$192,'14. EUFP'!$B44,'5. PERSON'!$D$17:$D$192,GJ$18)</f>
        <v>0</v>
      </c>
      <c r="GK44" s="941">
        <f>SUMIFS('5. PERSON'!$AE$17:$AE$192,'5. PERSON'!$B$17:$B$192,'14. EUFP'!$B44,'5. PERSON'!$D$17:$D$192,GK$18)</f>
        <v>0</v>
      </c>
      <c r="GL44" s="941">
        <f t="shared" si="28"/>
        <v>0</v>
      </c>
    </row>
    <row r="45" spans="2:194" s="71" customFormat="1" ht="13.5" customHeight="1" x14ac:dyDescent="0.2">
      <c r="B45" s="259" t="str">
        <f>'3. PARTNER'!B72</f>
        <v>EXT122</v>
      </c>
      <c r="C45" s="281">
        <f>SUMIF('5. PERSON'!B$17:B$192,B45,'5. PERSON'!AR$17:AR$192)</f>
        <v>0</v>
      </c>
      <c r="D45" s="281">
        <f>SUMIFS('5. PERSON'!$AR$17:$AR$192,'5. PERSON'!$B$17:$B$192,$B45,'5. PERSON'!$D$17:$D$192,D$18)</f>
        <v>0</v>
      </c>
      <c r="E45" s="281">
        <f>SUMIFS('5. PERSON'!$AR$17:$AR$192,'5. PERSON'!$B$17:$B$192,$B45,'5. PERSON'!$D$17:$D$192,E$18)</f>
        <v>0</v>
      </c>
      <c r="F45" s="281">
        <f>SUMIFS('5. PERSON'!$AR$17:$AR$192,'5. PERSON'!$B$17:$B$192,$B45,'5. PERSON'!$D$17:$D$192,F$18)</f>
        <v>0</v>
      </c>
      <c r="G45" s="281">
        <f>SUMIFS('5. PERSON'!$AR$17:$AR$192,'5. PERSON'!$B$17:$B$192,$B45,'5. PERSON'!$D$17:$D$192,G$18)</f>
        <v>0</v>
      </c>
      <c r="H45" s="281">
        <f>SUMIFS('5. PERSON'!$AR$17:$AR$192,'5. PERSON'!$B$17:$B$192,$B45,'5. PERSON'!$D$17:$D$192,H$18)</f>
        <v>0</v>
      </c>
      <c r="I45" s="281">
        <f>SUMIFS('5. PERSON'!$AR$17:$AR$192,'5. PERSON'!$B$17:$B$192,$B45,'5. PERSON'!$D$17:$D$192,I$18)</f>
        <v>0</v>
      </c>
      <c r="J45" s="281">
        <f>SUMIFS('5. PERSON'!$AR$17:$AR$192,'5. PERSON'!$B$17:$B$192,$B45,'5. PERSON'!$D$17:$D$192,J$18)</f>
        <v>0</v>
      </c>
      <c r="K45" s="281">
        <f>SUMIFS('5. PERSON'!$AR$17:$AR$192,'5. PERSON'!$B$17:$B$192,$B45,'5. PERSON'!$D$17:$D$192,K$18)</f>
        <v>0</v>
      </c>
      <c r="L45" s="281">
        <f>SUMIFS('5. PERSON'!$AR$17:$AR$192,'5. PERSON'!$B$17:$B$192,$B45,'5. PERSON'!$D$17:$D$192,L$18)</f>
        <v>0</v>
      </c>
      <c r="M45" s="281">
        <f>SUMIFS('5. PERSON'!$AR$17:$AR$192,'5. PERSON'!$B$17:$B$192,$B45,'5. PERSON'!$D$17:$D$192,M$18)</f>
        <v>0</v>
      </c>
      <c r="N45" s="281">
        <f>SUMIFS('5. PERSON'!$AR$17:$AR$192,'5. PERSON'!$B$17:$B$192,$B45,'5. PERSON'!$D$17:$D$192,N$18)</f>
        <v>0</v>
      </c>
      <c r="O45" s="281">
        <f>SUMIFS('5. PERSON'!$AR$17:$AR$192,'5. PERSON'!$B$17:$B$192,$B45,'5. PERSON'!$D$17:$D$192,O$18)</f>
        <v>0</v>
      </c>
      <c r="P45" s="281">
        <f>SUMIFS('5. PERSON'!$AR$17:$AR$192,'5. PERSON'!$B$17:$B$192,$B45,'5. PERSON'!$D$17:$D$192,P$18)</f>
        <v>0</v>
      </c>
      <c r="Q45" s="281">
        <f>SUMIFS('5. PERSON'!$AR$17:$AR$192,'5. PERSON'!$B$17:$B$192,$B45,'5. PERSON'!$D$17:$D$192,Q$18)</f>
        <v>0</v>
      </c>
      <c r="R45" s="281">
        <f>SUMIFS('5. PERSON'!$AR$17:$AR$192,'5. PERSON'!$B$17:$B$192,$B45,'5. PERSON'!$D$17:$D$192,R$18)</f>
        <v>0</v>
      </c>
      <c r="S45" s="281">
        <f>SUMIFS('5. PERSON'!$AR$17:$AR$192,'5. PERSON'!$B$17:$B$192,$B45,'5. PERSON'!$D$17:$D$192,S$18)</f>
        <v>0</v>
      </c>
      <c r="T45" s="281">
        <f>SUMIFS('5. PERSON'!$AR$17:$AR$192,'5. PERSON'!$B$17:$B$192,$B45,'5. PERSON'!$D$17:$D$192,T$18)</f>
        <v>0</v>
      </c>
      <c r="U45" s="281">
        <f>SUMIFS('5. PERSON'!$AR$17:$AR$192,'5. PERSON'!$B$17:$B$192,$B45,'5. PERSON'!$D$17:$D$192,U$18)</f>
        <v>0</v>
      </c>
      <c r="V45" s="281">
        <f>SUMIFS('5. PERSON'!$AR$17:$AR$192,'5. PERSON'!$B$17:$B$192,$B45,'5. PERSON'!$D$17:$D$192,V$18)</f>
        <v>0</v>
      </c>
      <c r="W45" s="281">
        <f>SUMIFS('5. PERSON'!$AR$17:$AR$192,'5. PERSON'!$B$17:$B$192,$B45,'5. PERSON'!$D$17:$D$192,W$18)</f>
        <v>0</v>
      </c>
      <c r="X45" s="281">
        <f>SUMIFS('6. OPERATION'!R$17:R$149,'6. OPERATION'!B$17:B$149,B45,'6. OPERATION'!G$17:G$149,"SUBCON")</f>
        <v>0</v>
      </c>
      <c r="Y45" s="281">
        <f>SUMIFS('6. OPERATION'!$R$17:$R$149,'6. OPERATION'!$B$17:$B$149,$B45,'6. OPERATION'!$G$17:$G$149,"SUBCON",'6. OPERATION'!$D$17:$D$149,Y$18)</f>
        <v>0</v>
      </c>
      <c r="Z45" s="281">
        <f>SUMIFS('6. OPERATION'!$R$17:$R$149,'6. OPERATION'!$B$17:$B$149,$B45,'6. OPERATION'!$G$17:$G$149,"SUBCON",'6. OPERATION'!$D$17:$D$149,Z$18)</f>
        <v>0</v>
      </c>
      <c r="AA45" s="281">
        <f>SUMIFS('6. OPERATION'!$R$17:$R$149,'6. OPERATION'!$B$17:$B$149,$B45,'6. OPERATION'!$G$17:$G$149,"SUBCON",'6. OPERATION'!$D$17:$D$149,AA$18)</f>
        <v>0</v>
      </c>
      <c r="AB45" s="281">
        <f>SUMIFS('6. OPERATION'!$R$17:$R$149,'6. OPERATION'!$B$17:$B$149,$B45,'6. OPERATION'!$G$17:$G$149,"SUBCON",'6. OPERATION'!$D$17:$D$149,AB$18)</f>
        <v>0</v>
      </c>
      <c r="AC45" s="281">
        <f>SUMIFS('6. OPERATION'!$R$17:$R$149,'6. OPERATION'!$B$17:$B$149,$B45,'6. OPERATION'!$G$17:$G$149,"SUBCON",'6. OPERATION'!$D$17:$D$149,AC$18)</f>
        <v>0</v>
      </c>
      <c r="AD45" s="281">
        <f>SUMIFS('6. OPERATION'!$R$17:$R$149,'6. OPERATION'!$B$17:$B$149,$B45,'6. OPERATION'!$G$17:$G$149,"SUBCON",'6. OPERATION'!$D$17:$D$149,AD$18)</f>
        <v>0</v>
      </c>
      <c r="AE45" s="281">
        <f>SUMIFS('6. OPERATION'!$R$17:$R$149,'6. OPERATION'!$B$17:$B$149,$B45,'6. OPERATION'!$G$17:$G$149,"SUBCON",'6. OPERATION'!$D$17:$D$149,AE$18)</f>
        <v>0</v>
      </c>
      <c r="AF45" s="281">
        <f>SUMIFS('6. OPERATION'!$R$17:$R$149,'6. OPERATION'!$B$17:$B$149,$B45,'6. OPERATION'!$G$17:$G$149,"SUBCON",'6. OPERATION'!$D$17:$D$149,AF$18)</f>
        <v>0</v>
      </c>
      <c r="AG45" s="281">
        <f>SUMIFS('6. OPERATION'!$R$17:$R$149,'6. OPERATION'!$B$17:$B$149,$B45,'6. OPERATION'!$G$17:$G$149,"SUBCON",'6. OPERATION'!$D$17:$D$149,AG$18)</f>
        <v>0</v>
      </c>
      <c r="AH45" s="281">
        <f>SUMIFS('6. OPERATION'!$R$17:$R$149,'6. OPERATION'!$B$17:$B$149,$B45,'6. OPERATION'!$G$17:$G$149,"SUBCON",'6. OPERATION'!$D$17:$D$149,AH$18)</f>
        <v>0</v>
      </c>
      <c r="AI45" s="281">
        <f>SUMIFS('6. OPERATION'!$R$17:$R$149,'6. OPERATION'!$B$17:$B$149,$B45,'6. OPERATION'!$G$17:$G$149,"SUBCON",'6. OPERATION'!$D$17:$D$149,AI$18)</f>
        <v>0</v>
      </c>
      <c r="AJ45" s="281">
        <f>SUMIFS('6. OPERATION'!$R$17:$R$149,'6. OPERATION'!$B$17:$B$149,$B45,'6. OPERATION'!$G$17:$G$149,"SUBCON",'6. OPERATION'!$D$17:$D$149,AJ$18)</f>
        <v>0</v>
      </c>
      <c r="AK45" s="281">
        <f>SUMIFS('6. OPERATION'!$R$17:$R$149,'6. OPERATION'!$B$17:$B$149,$B45,'6. OPERATION'!$G$17:$G$149,"SUBCON",'6. OPERATION'!$D$17:$D$149,AK$18)</f>
        <v>0</v>
      </c>
      <c r="AL45" s="281">
        <f>SUMIFS('6. OPERATION'!$R$17:$R$149,'6. OPERATION'!$B$17:$B$149,$B45,'6. OPERATION'!$G$17:$G$149,"SUBCON",'6. OPERATION'!$D$17:$D$149,AL$18)</f>
        <v>0</v>
      </c>
      <c r="AM45" s="281">
        <f>SUMIFS('6. OPERATION'!$R$17:$R$149,'6. OPERATION'!$B$17:$B$149,$B45,'6. OPERATION'!$G$17:$G$149,"SUBCON",'6. OPERATION'!$D$17:$D$149,AM$18)</f>
        <v>0</v>
      </c>
      <c r="AN45" s="281">
        <f>SUMIFS('6. OPERATION'!$R$17:$R$149,'6. OPERATION'!$B$17:$B$149,$B45,'6. OPERATION'!$G$17:$G$149,"SUBCON",'6. OPERATION'!$D$17:$D$149,AN$18)</f>
        <v>0</v>
      </c>
      <c r="AO45" s="281">
        <f>SUMIFS('6. OPERATION'!$R$17:$R$149,'6. OPERATION'!$B$17:$B$149,$B45,'6. OPERATION'!$G$17:$G$149,"SUBCON",'6. OPERATION'!$D$17:$D$149,AO$18)</f>
        <v>0</v>
      </c>
      <c r="AP45" s="281">
        <f>SUMIFS('6. OPERATION'!$R$17:$R$149,'6. OPERATION'!$B$17:$B$149,$B45,'6. OPERATION'!$G$17:$G$149,"SUBCON",'6. OPERATION'!$D$17:$D$149,AP$18)</f>
        <v>0</v>
      </c>
      <c r="AQ45" s="281">
        <f>SUMIFS('6. OPERATION'!$R$17:$R$149,'6. OPERATION'!$B$17:$B$149,$B45,'6. OPERATION'!$G$17:$G$149,"SUBCON",'6. OPERATION'!$D$17:$D$149,AQ$18)</f>
        <v>0</v>
      </c>
      <c r="AR45" s="281">
        <f>SUMIFS('6. OPERATION'!$R$17:$R$149,'6. OPERATION'!$B$17:$B$149,$B45,'6. OPERATION'!$G$17:$G$149,"SUBCON",'6. OPERATION'!$D$17:$D$149,AR$18)</f>
        <v>0</v>
      </c>
      <c r="AS45" s="281">
        <f>SUMIFS('6. OPERATION'!R$17:R$149,'6. OPERATION'!B$17:B$149,B45,'6. OPERATION'!G$17:G$149,"TRAVEL")</f>
        <v>0</v>
      </c>
      <c r="AT45" s="281">
        <f>SUMIFS('6. OPERATION'!$R$17:$R$149,'6. OPERATION'!$B$17:$B$149,$B45,'6. OPERATION'!$G$17:$G$149,"TRAVEL",'6. OPERATION'!$D$17:$D$149,AT$18)</f>
        <v>0</v>
      </c>
      <c r="AU45" s="281">
        <f>SUMIFS('6. OPERATION'!$R$17:$R$149,'6. OPERATION'!$B$17:$B$149,$B45,'6. OPERATION'!$G$17:$G$149,"TRAVEL",'6. OPERATION'!$D$17:$D$149,AU$18)</f>
        <v>0</v>
      </c>
      <c r="AV45" s="281">
        <f>SUMIFS('6. OPERATION'!$R$17:$R$149,'6. OPERATION'!$B$17:$B$149,$B45,'6. OPERATION'!$G$17:$G$149,"TRAVEL",'6. OPERATION'!$D$17:$D$149,AV$18)</f>
        <v>0</v>
      </c>
      <c r="AW45" s="281">
        <f>SUMIFS('6. OPERATION'!$R$17:$R$149,'6. OPERATION'!$B$17:$B$149,$B45,'6. OPERATION'!$G$17:$G$149,"TRAVEL",'6. OPERATION'!$D$17:$D$149,AW$18)</f>
        <v>0</v>
      </c>
      <c r="AX45" s="281">
        <f>SUMIFS('6. OPERATION'!$R$17:$R$149,'6. OPERATION'!$B$17:$B$149,$B45,'6. OPERATION'!$G$17:$G$149,"TRAVEL",'6. OPERATION'!$D$17:$D$149,AX$18)</f>
        <v>0</v>
      </c>
      <c r="AY45" s="281">
        <f>SUMIFS('6. OPERATION'!$R$17:$R$149,'6. OPERATION'!$B$17:$B$149,$B45,'6. OPERATION'!$G$17:$G$149,"TRAVEL",'6. OPERATION'!$D$17:$D$149,AY$18)</f>
        <v>0</v>
      </c>
      <c r="AZ45" s="281">
        <f>SUMIFS('6. OPERATION'!$R$17:$R$149,'6. OPERATION'!$B$17:$B$149,$B45,'6. OPERATION'!$G$17:$G$149,"TRAVEL",'6. OPERATION'!$D$17:$D$149,AZ$18)</f>
        <v>0</v>
      </c>
      <c r="BA45" s="281">
        <f>SUMIFS('6. OPERATION'!$R$17:$R$149,'6. OPERATION'!$B$17:$B$149,$B45,'6. OPERATION'!$G$17:$G$149,"TRAVEL",'6. OPERATION'!$D$17:$D$149,BA$18)</f>
        <v>0</v>
      </c>
      <c r="BB45" s="281">
        <f>SUMIFS('6. OPERATION'!$R$17:$R$149,'6. OPERATION'!$B$17:$B$149,$B45,'6. OPERATION'!$G$17:$G$149,"TRAVEL",'6. OPERATION'!$D$17:$D$149,BB$18)</f>
        <v>0</v>
      </c>
      <c r="BC45" s="281">
        <f>SUMIFS('6. OPERATION'!$R$17:$R$149,'6. OPERATION'!$B$17:$B$149,$B45,'6. OPERATION'!$G$17:$G$149,"TRAVEL",'6. OPERATION'!$D$17:$D$149,BC$18)</f>
        <v>0</v>
      </c>
      <c r="BD45" s="281">
        <f>SUMIFS('6. OPERATION'!$R$17:$R$149,'6. OPERATION'!$B$17:$B$149,$B45,'6. OPERATION'!$G$17:$G$149,"TRAVEL",'6. OPERATION'!$D$17:$D$149,BD$18)</f>
        <v>0</v>
      </c>
      <c r="BE45" s="281">
        <f>SUMIFS('6. OPERATION'!$R$17:$R$149,'6. OPERATION'!$B$17:$B$149,$B45,'6. OPERATION'!$G$17:$G$149,"TRAVEL",'6. OPERATION'!$D$17:$D$149,BE$18)</f>
        <v>0</v>
      </c>
      <c r="BF45" s="281">
        <f>SUMIFS('6. OPERATION'!$R$17:$R$149,'6. OPERATION'!$B$17:$B$149,$B45,'6. OPERATION'!$G$17:$G$149,"TRAVEL",'6. OPERATION'!$D$17:$D$149,BF$18)</f>
        <v>0</v>
      </c>
      <c r="BG45" s="281">
        <f>SUMIFS('6. OPERATION'!$R$17:$R$149,'6. OPERATION'!$B$17:$B$149,$B45,'6. OPERATION'!$G$17:$G$149,"TRAVEL",'6. OPERATION'!$D$17:$D$149,BG$18)</f>
        <v>0</v>
      </c>
      <c r="BH45" s="281">
        <f>SUMIFS('6. OPERATION'!$R$17:$R$149,'6. OPERATION'!$B$17:$B$149,$B45,'6. OPERATION'!$G$17:$G$149,"TRAVEL",'6. OPERATION'!$D$17:$D$149,BH$18)</f>
        <v>0</v>
      </c>
      <c r="BI45" s="281">
        <f>SUMIFS('6. OPERATION'!$R$17:$R$149,'6. OPERATION'!$B$17:$B$149,$B45,'6. OPERATION'!$G$17:$G$149,"TRAVEL",'6. OPERATION'!$D$17:$D$149,BI$18)</f>
        <v>0</v>
      </c>
      <c r="BJ45" s="281">
        <f>SUMIFS('6. OPERATION'!$R$17:$R$149,'6. OPERATION'!$B$17:$B$149,$B45,'6. OPERATION'!$G$17:$G$149,"TRAVEL",'6. OPERATION'!$D$17:$D$149,BJ$18)</f>
        <v>0</v>
      </c>
      <c r="BK45" s="281">
        <f>SUMIFS('6. OPERATION'!$R$17:$R$149,'6. OPERATION'!$B$17:$B$149,$B45,'6. OPERATION'!$G$17:$G$149,"TRAVEL",'6. OPERATION'!$D$17:$D$149,BK$18)</f>
        <v>0</v>
      </c>
      <c r="BL45" s="281">
        <f>SUMIFS('6. OPERATION'!$R$17:$R$149,'6. OPERATION'!$B$17:$B$149,$B45,'6. OPERATION'!$G$17:$G$149,"TRAVEL",'6. OPERATION'!$D$17:$D$149,BL$18)</f>
        <v>0</v>
      </c>
      <c r="BM45" s="281">
        <f>SUMIFS('6. OPERATION'!$R$17:$R$149,'6. OPERATION'!$B$17:$B$149,$B45,'6. OPERATION'!$G$17:$G$149,"TRAVEL",'6. OPERATION'!$D$17:$D$149,BM$18)</f>
        <v>0</v>
      </c>
      <c r="BN45" s="281">
        <f>SUMIF('7. INVEST'!B$17:B$49,B45,'7. INVEST'!S$17:S$49)</f>
        <v>0</v>
      </c>
      <c r="BO45" s="281">
        <f>SUMIFS('7. INVEST'!$S$17:$S$49,'7. INVEST'!$B$17:$B$49,$B45,'7. INVEST'!$D$17:$D$49,BO$18)</f>
        <v>0</v>
      </c>
      <c r="BP45" s="281">
        <f>SUMIFS('7. INVEST'!$S$17:$S$49,'7. INVEST'!$B$17:$B$49,$B45,'7. INVEST'!$D$17:$D$49,BP$18)</f>
        <v>0</v>
      </c>
      <c r="BQ45" s="281">
        <f>SUMIFS('7. INVEST'!$S$17:$S$49,'7. INVEST'!$B$17:$B$49,$B45,'7. INVEST'!$D$17:$D$49,BQ$18)</f>
        <v>0</v>
      </c>
      <c r="BR45" s="281">
        <f>SUMIFS('7. INVEST'!$S$17:$S$49,'7. INVEST'!$B$17:$B$49,$B45,'7. INVEST'!$D$17:$D$49,BR$18)</f>
        <v>0</v>
      </c>
      <c r="BS45" s="281">
        <f>SUMIFS('7. INVEST'!$S$17:$S$49,'7. INVEST'!$B$17:$B$49,$B45,'7. INVEST'!$D$17:$D$49,BS$18)</f>
        <v>0</v>
      </c>
      <c r="BT45" s="281">
        <f>SUMIFS('7. INVEST'!$S$17:$S$49,'7. INVEST'!$B$17:$B$49,$B45,'7. INVEST'!$D$17:$D$49,BT$18)</f>
        <v>0</v>
      </c>
      <c r="BU45" s="281">
        <f>SUMIFS('7. INVEST'!$S$17:$S$49,'7. INVEST'!$B$17:$B$49,$B45,'7. INVEST'!$D$17:$D$49,BU$18)</f>
        <v>0</v>
      </c>
      <c r="BV45" s="281">
        <f>SUMIFS('7. INVEST'!$S$17:$S$49,'7. INVEST'!$B$17:$B$49,$B45,'7. INVEST'!$D$17:$D$49,BV$18)</f>
        <v>0</v>
      </c>
      <c r="BW45" s="281">
        <f>SUMIFS('7. INVEST'!$S$17:$S$49,'7. INVEST'!$B$17:$B$49,$B45,'7. INVEST'!$D$17:$D$49,BW$18)</f>
        <v>0</v>
      </c>
      <c r="BX45" s="281">
        <f>SUMIFS('7. INVEST'!$S$17:$S$49,'7. INVEST'!$B$17:$B$49,$B45,'7. INVEST'!$D$17:$D$49,BX$18)</f>
        <v>0</v>
      </c>
      <c r="BY45" s="281">
        <f>SUMIFS('7. INVEST'!$S$17:$S$49,'7. INVEST'!$B$17:$B$49,$B45,'7. INVEST'!$D$17:$D$49,BY$18)</f>
        <v>0</v>
      </c>
      <c r="BZ45" s="281">
        <f>SUMIFS('7. INVEST'!$S$17:$S$49,'7. INVEST'!$B$17:$B$49,$B45,'7. INVEST'!$D$17:$D$49,BZ$18)</f>
        <v>0</v>
      </c>
      <c r="CA45" s="281">
        <f>SUMIFS('7. INVEST'!$S$17:$S$49,'7. INVEST'!$B$17:$B$49,$B45,'7. INVEST'!$D$17:$D$49,CA$18)</f>
        <v>0</v>
      </c>
      <c r="CB45" s="281">
        <f>SUMIFS('7. INVEST'!$S$17:$S$49,'7. INVEST'!$B$17:$B$49,$B45,'7. INVEST'!$D$17:$D$49,CB$18)</f>
        <v>0</v>
      </c>
      <c r="CC45" s="281">
        <f>SUMIFS('7. INVEST'!$S$17:$S$49,'7. INVEST'!$B$17:$B$49,$B45,'7. INVEST'!$D$17:$D$49,CC$18)</f>
        <v>0</v>
      </c>
      <c r="CD45" s="281">
        <f>SUMIFS('7. INVEST'!$S$17:$S$49,'7. INVEST'!$B$17:$B$49,$B45,'7. INVEST'!$D$17:$D$49,CD$18)</f>
        <v>0</v>
      </c>
      <c r="CE45" s="281">
        <f>SUMIFS('7. INVEST'!$S$17:$S$49,'7. INVEST'!$B$17:$B$49,$B45,'7. INVEST'!$D$17:$D$49,CE$18)</f>
        <v>0</v>
      </c>
      <c r="CF45" s="281">
        <f>SUMIFS('7. INVEST'!$S$17:$S$49,'7. INVEST'!$B$17:$B$49,$B45,'7. INVEST'!$D$17:$D$49,CF$18)</f>
        <v>0</v>
      </c>
      <c r="CG45" s="281">
        <f>SUMIFS('7. INVEST'!$S$17:$S$49,'7. INVEST'!$B$17:$B$49,$B45,'7. INVEST'!$D$17:$D$49,CG$18)</f>
        <v>0</v>
      </c>
      <c r="CH45" s="281">
        <f>SUMIFS('7. INVEST'!$S$17:$S$49,'7. INVEST'!$B$17:$B$49,$B45,'7. INVEST'!$D$17:$D$49,CH$18)</f>
        <v>0</v>
      </c>
      <c r="CI45" s="281">
        <f>SUMIFS('6. OPERATION'!$R$17:$R$149,'6. OPERATION'!$B$17:$B$149,$B45,'6. OPERATION'!$G$17:$G$149,"OTHER")+SUMIF('8. FACILIT'!$B$18:$B$50,$B45,'8. FACILIT'!$P$18:$P$50)</f>
        <v>0</v>
      </c>
      <c r="CJ45" s="281">
        <f>SUMIFS('6. OPERATION'!$R$17:$R$149,'6. OPERATION'!$B$17:$B$149,$B45,'6. OPERATION'!$G$17:$G$149,"OTHER",'6. OPERATION'!$D$17:$D$149,CJ$18)+SUMIFS('8. FACILIT'!$P$18:$P$50,'8. FACILIT'!$B$18:$B$50,$B45,'8. FACILIT'!$D$18:$D$50,CJ$18)</f>
        <v>0</v>
      </c>
      <c r="CK45" s="281">
        <f>SUMIFS('6. OPERATION'!$R$17:$R$149,'6. OPERATION'!$B$17:$B$149,$B45,'6. OPERATION'!$G$17:$G$149,"OTHER",'6. OPERATION'!$D$17:$D$149,CK$18)+SUMIFS('8. FACILIT'!$P$18:$P$50,'8. FACILIT'!$B$18:$B$50,$B45,'8. FACILIT'!$D$18:$D$50,CK$18)</f>
        <v>0</v>
      </c>
      <c r="CL45" s="281">
        <f>SUMIFS('6. OPERATION'!$R$17:$R$149,'6. OPERATION'!$B$17:$B$149,$B45,'6. OPERATION'!$G$17:$G$149,"OTHER",'6. OPERATION'!$D$17:$D$149,CL$18)+SUMIFS('8. FACILIT'!$P$18:$P$50,'8. FACILIT'!$B$18:$B$50,$B45,'8. FACILIT'!$D$18:$D$50,CL$18)</f>
        <v>0</v>
      </c>
      <c r="CM45" s="281">
        <f>SUMIFS('6. OPERATION'!$R$17:$R$149,'6. OPERATION'!$B$17:$B$149,$B45,'6. OPERATION'!$G$17:$G$149,"OTHER",'6. OPERATION'!$D$17:$D$149,CM$18)+SUMIFS('8. FACILIT'!$P$18:$P$50,'8. FACILIT'!$B$18:$B$50,$B45,'8. FACILIT'!$D$18:$D$50,CM$18)</f>
        <v>0</v>
      </c>
      <c r="CN45" s="281">
        <f>SUMIFS('6. OPERATION'!$R$17:$R$149,'6. OPERATION'!$B$17:$B$149,$B45,'6. OPERATION'!$G$17:$G$149,"OTHER",'6. OPERATION'!$D$17:$D$149,CN$18)+SUMIFS('8. FACILIT'!$P$18:$P$50,'8. FACILIT'!$B$18:$B$50,$B45,'8. FACILIT'!$D$18:$D$50,CN$18)</f>
        <v>0</v>
      </c>
      <c r="CO45" s="281">
        <f>SUMIFS('6. OPERATION'!$R$17:$R$149,'6. OPERATION'!$B$17:$B$149,$B45,'6. OPERATION'!$G$17:$G$149,"OTHER",'6. OPERATION'!$D$17:$D$149,CO$18)+SUMIFS('8. FACILIT'!$P$18:$P$50,'8. FACILIT'!$B$18:$B$50,$B45,'8. FACILIT'!$D$18:$D$50,CO$18)</f>
        <v>0</v>
      </c>
      <c r="CP45" s="281">
        <f>SUMIFS('6. OPERATION'!$R$17:$R$149,'6. OPERATION'!$B$17:$B$149,$B45,'6. OPERATION'!$G$17:$G$149,"OTHER",'6. OPERATION'!$D$17:$D$149,CP$18)+SUMIFS('8. FACILIT'!$P$18:$P$50,'8. FACILIT'!$B$18:$B$50,$B45,'8. FACILIT'!$D$18:$D$50,CP$18)</f>
        <v>0</v>
      </c>
      <c r="CQ45" s="281">
        <f>SUMIFS('6. OPERATION'!$R$17:$R$149,'6. OPERATION'!$B$17:$B$149,$B45,'6. OPERATION'!$G$17:$G$149,"OTHER",'6. OPERATION'!$D$17:$D$149,CQ$18)+SUMIFS('8. FACILIT'!$P$18:$P$50,'8. FACILIT'!$B$18:$B$50,$B45,'8. FACILIT'!$D$18:$D$50,CQ$18)</f>
        <v>0</v>
      </c>
      <c r="CR45" s="281">
        <f>SUMIFS('6. OPERATION'!$R$17:$R$149,'6. OPERATION'!$B$17:$B$149,$B45,'6. OPERATION'!$G$17:$G$149,"OTHER",'6. OPERATION'!$D$17:$D$149,CR$18)+SUMIFS('8. FACILIT'!$P$18:$P$50,'8. FACILIT'!$B$18:$B$50,$B45,'8. FACILIT'!$D$18:$D$50,CR$18)</f>
        <v>0</v>
      </c>
      <c r="CS45" s="281">
        <f>SUMIFS('6. OPERATION'!$R$17:$R$149,'6. OPERATION'!$B$17:$B$149,$B45,'6. OPERATION'!$G$17:$G$149,"OTHER",'6. OPERATION'!$D$17:$D$149,CS$18)+SUMIFS('8. FACILIT'!$P$18:$P$50,'8. FACILIT'!$B$18:$B$50,$B45,'8. FACILIT'!$D$18:$D$50,CS$18)</f>
        <v>0</v>
      </c>
      <c r="CT45" s="281">
        <f>SUMIFS('6. OPERATION'!$R$17:$R$149,'6. OPERATION'!$B$17:$B$149,$B45,'6. OPERATION'!$G$17:$G$149,"OTHER",'6. OPERATION'!$D$17:$D$149,CT$18)+SUMIFS('8. FACILIT'!$P$18:$P$50,'8. FACILIT'!$B$18:$B$50,$B45,'8. FACILIT'!$D$18:$D$50,CT$18)</f>
        <v>0</v>
      </c>
      <c r="CU45" s="281">
        <f>SUMIFS('6. OPERATION'!$R$17:$R$149,'6. OPERATION'!$B$17:$B$149,$B45,'6. OPERATION'!$G$17:$G$149,"OTHER",'6. OPERATION'!$D$17:$D$149,CU$18)+SUMIFS('8. FACILIT'!$P$18:$P$50,'8. FACILIT'!$B$18:$B$50,$B45,'8. FACILIT'!$D$18:$D$50,CU$18)</f>
        <v>0</v>
      </c>
      <c r="CV45" s="281">
        <f>SUMIFS('6. OPERATION'!$R$17:$R$149,'6. OPERATION'!$B$17:$B$149,$B45,'6. OPERATION'!$G$17:$G$149,"OTHER",'6. OPERATION'!$D$17:$D$149,CV$18)+SUMIFS('8. FACILIT'!$P$18:$P$50,'8. FACILIT'!$B$18:$B$50,$B45,'8. FACILIT'!$D$18:$D$50,CV$18)</f>
        <v>0</v>
      </c>
      <c r="CW45" s="281">
        <f>SUMIFS('6. OPERATION'!$R$17:$R$149,'6. OPERATION'!$B$17:$B$149,$B45,'6. OPERATION'!$G$17:$G$149,"OTHER",'6. OPERATION'!$D$17:$D$149,CW$18)+SUMIFS('8. FACILIT'!$P$18:$P$50,'8. FACILIT'!$B$18:$B$50,$B45,'8. FACILIT'!$D$18:$D$50,CW$18)</f>
        <v>0</v>
      </c>
      <c r="CX45" s="281">
        <f>SUMIFS('6. OPERATION'!$R$17:$R$149,'6. OPERATION'!$B$17:$B$149,$B45,'6. OPERATION'!$G$17:$G$149,"OTHER",'6. OPERATION'!$D$17:$D$149,CX$18)+SUMIFS('8. FACILIT'!$P$18:$P$50,'8. FACILIT'!$B$18:$B$50,$B45,'8. FACILIT'!$D$18:$D$50,CX$18)</f>
        <v>0</v>
      </c>
      <c r="CY45" s="281">
        <f>SUMIFS('6. OPERATION'!$R$17:$R$149,'6. OPERATION'!$B$17:$B$149,$B45,'6. OPERATION'!$G$17:$G$149,"OTHER",'6. OPERATION'!$D$17:$D$149,CY$18)+SUMIFS('8. FACILIT'!$P$18:$P$50,'8. FACILIT'!$B$18:$B$50,$B45,'8. FACILIT'!$D$18:$D$50,CY$18)</f>
        <v>0</v>
      </c>
      <c r="CZ45" s="281">
        <f>SUMIFS('6. OPERATION'!$R$17:$R$149,'6. OPERATION'!$B$17:$B$149,$B45,'6. OPERATION'!$G$17:$G$149,"OTHER",'6. OPERATION'!$D$17:$D$149,CZ$18)+SUMIFS('8. FACILIT'!$P$18:$P$50,'8. FACILIT'!$B$18:$B$50,$B45,'8. FACILIT'!$D$18:$D$50,CZ$18)</f>
        <v>0</v>
      </c>
      <c r="DA45" s="281">
        <f>SUMIFS('6. OPERATION'!$R$17:$R$149,'6. OPERATION'!$B$17:$B$149,$B45,'6. OPERATION'!$G$17:$G$149,"OTHER",'6. OPERATION'!$D$17:$D$149,DA$18)+SUMIFS('8. FACILIT'!$P$18:$P$50,'8. FACILIT'!$B$18:$B$50,$B45,'8. FACILIT'!$D$18:$D$50,DA$18)</f>
        <v>0</v>
      </c>
      <c r="DB45" s="281">
        <f>SUMIFS('6. OPERATION'!$R$17:$R$149,'6. OPERATION'!$B$17:$B$149,$B45,'6. OPERATION'!$G$17:$G$149,"OTHER",'6. OPERATION'!$D$17:$D$149,DB$18)+SUMIFS('8. FACILIT'!$P$18:$P$50,'8. FACILIT'!$B$18:$B$50,$B45,'8. FACILIT'!$D$18:$D$50,DB$18)</f>
        <v>0</v>
      </c>
      <c r="DC45" s="281">
        <f>SUMIFS('6. OPERATION'!$R$17:$R$149,'6. OPERATION'!$B$17:$B$149,$B45,'6. OPERATION'!$G$17:$G$149,"OTHER",'6. OPERATION'!$D$17:$D$149,DC$18)+SUMIFS('8. FACILIT'!$P$18:$P$50,'8. FACILIT'!$B$18:$B$50,$B45,'8. FACILIT'!$D$18:$D$50,DC$18)</f>
        <v>0</v>
      </c>
      <c r="DD45" s="281">
        <f>SUMIFS('6. OPERATION'!R$17:R$149,'6. OPERATION'!B$17:B$149,B45,'6. OPERATION'!G$17:G$149,"INTERN")</f>
        <v>0</v>
      </c>
      <c r="DE45" s="281">
        <f>SUMIFS('6. OPERATION'!$R$17:$R$149,'6. OPERATION'!$B$17:$B$149,$B45,'6. OPERATION'!$G$17:$G$149,"INTERN",'6. OPERATION'!$D$17:$D$149,DE$18)</f>
        <v>0</v>
      </c>
      <c r="DF45" s="281">
        <f>SUMIFS('6. OPERATION'!$R$17:$R$149,'6. OPERATION'!$B$17:$B$149,$B45,'6. OPERATION'!$G$17:$G$149,"INTERN",'6. OPERATION'!$D$17:$D$149,DF$18)</f>
        <v>0</v>
      </c>
      <c r="DG45" s="281">
        <f>SUMIFS('6. OPERATION'!$R$17:$R$149,'6. OPERATION'!$B$17:$B$149,$B45,'6. OPERATION'!$G$17:$G$149,"INTERN",'6. OPERATION'!$D$17:$D$149,DG$18)</f>
        <v>0</v>
      </c>
      <c r="DH45" s="281">
        <f>SUMIFS('6. OPERATION'!$R$17:$R$149,'6. OPERATION'!$B$17:$B$149,$B45,'6. OPERATION'!$G$17:$G$149,"INTERN",'6. OPERATION'!$D$17:$D$149,DH$18)</f>
        <v>0</v>
      </c>
      <c r="DI45" s="281">
        <f>SUMIFS('6. OPERATION'!$R$17:$R$149,'6. OPERATION'!$B$17:$B$149,$B45,'6. OPERATION'!$G$17:$G$149,"INTERN",'6. OPERATION'!$D$17:$D$149,DI$18)</f>
        <v>0</v>
      </c>
      <c r="DJ45" s="281">
        <f>SUMIFS('6. OPERATION'!$R$17:$R$149,'6. OPERATION'!$B$17:$B$149,$B45,'6. OPERATION'!$G$17:$G$149,"INTERN",'6. OPERATION'!$D$17:$D$149,DJ$18)</f>
        <v>0</v>
      </c>
      <c r="DK45" s="281">
        <f>SUMIFS('6. OPERATION'!$R$17:$R$149,'6. OPERATION'!$B$17:$B$149,$B45,'6. OPERATION'!$G$17:$G$149,"INTERN",'6. OPERATION'!$D$17:$D$149,DK$18)</f>
        <v>0</v>
      </c>
      <c r="DL45" s="281">
        <f>SUMIFS('6. OPERATION'!$R$17:$R$149,'6. OPERATION'!$B$17:$B$149,$B45,'6. OPERATION'!$G$17:$G$149,"INTERN",'6. OPERATION'!$D$17:$D$149,DL$18)</f>
        <v>0</v>
      </c>
      <c r="DM45" s="281">
        <f>SUMIFS('6. OPERATION'!$R$17:$R$149,'6. OPERATION'!$B$17:$B$149,$B45,'6. OPERATION'!$G$17:$G$149,"INTERN",'6. OPERATION'!$D$17:$D$149,DM$18)</f>
        <v>0</v>
      </c>
      <c r="DN45" s="281">
        <f>SUMIFS('6. OPERATION'!$R$17:$R$149,'6. OPERATION'!$B$17:$B$149,$B45,'6. OPERATION'!$G$17:$G$149,"INTERN",'6. OPERATION'!$D$17:$D$149,DN$18)</f>
        <v>0</v>
      </c>
      <c r="DO45" s="281">
        <f>SUMIFS('6. OPERATION'!$R$17:$R$149,'6. OPERATION'!$B$17:$B$149,$B45,'6. OPERATION'!$G$17:$G$149,"INTERN",'6. OPERATION'!$D$17:$D$149,DO$18)</f>
        <v>0</v>
      </c>
      <c r="DP45" s="281">
        <f>SUMIFS('6. OPERATION'!$R$17:$R$149,'6. OPERATION'!$B$17:$B$149,$B45,'6. OPERATION'!$G$17:$G$149,"INTERN",'6. OPERATION'!$D$17:$D$149,DP$18)</f>
        <v>0</v>
      </c>
      <c r="DQ45" s="281">
        <f>SUMIFS('6. OPERATION'!$R$17:$R$149,'6. OPERATION'!$B$17:$B$149,$B45,'6. OPERATION'!$G$17:$G$149,"INTERN",'6. OPERATION'!$D$17:$D$149,DQ$18)</f>
        <v>0</v>
      </c>
      <c r="DR45" s="281">
        <f>SUMIFS('6. OPERATION'!$R$17:$R$149,'6. OPERATION'!$B$17:$B$149,$B45,'6. OPERATION'!$G$17:$G$149,"INTERN",'6. OPERATION'!$D$17:$D$149,DR$18)</f>
        <v>0</v>
      </c>
      <c r="DS45" s="281">
        <f>SUMIFS('6. OPERATION'!$R$17:$R$149,'6. OPERATION'!$B$17:$B$149,$B45,'6. OPERATION'!$G$17:$G$149,"INTERN",'6. OPERATION'!$D$17:$D$149,DS$18)</f>
        <v>0</v>
      </c>
      <c r="DT45" s="281">
        <f>SUMIFS('6. OPERATION'!$R$17:$R$149,'6. OPERATION'!$B$17:$B$149,$B45,'6. OPERATION'!$G$17:$G$149,"INTERN",'6. OPERATION'!$D$17:$D$149,DT$18)</f>
        <v>0</v>
      </c>
      <c r="DU45" s="281">
        <f>SUMIFS('6. OPERATION'!$R$17:$R$149,'6. OPERATION'!$B$17:$B$149,$B45,'6. OPERATION'!$G$17:$G$149,"INTERN",'6. OPERATION'!$D$17:$D$149,DU$18)</f>
        <v>0</v>
      </c>
      <c r="DV45" s="281">
        <f>SUMIFS('6. OPERATION'!$R$17:$R$149,'6. OPERATION'!$B$17:$B$149,$B45,'6. OPERATION'!$G$17:$G$149,"INTERN",'6. OPERATION'!$D$17:$D$149,DV$18)</f>
        <v>0</v>
      </c>
      <c r="DW45" s="281">
        <f>SUMIFS('6. OPERATION'!$R$17:$R$149,'6. OPERATION'!$B$17:$B$149,$B45,'6. OPERATION'!$G$17:$G$149,"INTERN",'6. OPERATION'!$D$17:$D$149,DW$18)</f>
        <v>0</v>
      </c>
      <c r="DX45" s="281">
        <f>SUMIFS('6. OPERATION'!$R$17:$R$149,'6. OPERATION'!$B$17:$B$149,$B45,'6. OPERATION'!$G$17:$G$149,"INTERN",'6. OPERATION'!$D$17:$D$149,DX$18)</f>
        <v>0</v>
      </c>
      <c r="DY45" s="288">
        <f>(C45+AS45+BN45+CI45)*'2. START'!$C$12</f>
        <v>0</v>
      </c>
      <c r="DZ45" s="288">
        <f>(D45+AT45+BO45+CJ45)*'2. START'!$C$12</f>
        <v>0</v>
      </c>
      <c r="EA45" s="288">
        <f>(E45+AU45+BP45+CK45)*'2. START'!$C$12</f>
        <v>0</v>
      </c>
      <c r="EB45" s="288">
        <f>(F45+AV45+BQ45+CL45)*'2. START'!$C$12</f>
        <v>0</v>
      </c>
      <c r="EC45" s="288">
        <f>(G45+AW45+BR45+CM45)*'2. START'!$C$12</f>
        <v>0</v>
      </c>
      <c r="ED45" s="288">
        <f>(H45+AX45+BS45+CN45)*'2. START'!$C$12</f>
        <v>0</v>
      </c>
      <c r="EE45" s="288">
        <f>(I45+AY45+BT45+CO45)*'2. START'!$C$12</f>
        <v>0</v>
      </c>
      <c r="EF45" s="288">
        <f>(J45+AZ45+BU45+CP45)*'2. START'!$C$12</f>
        <v>0</v>
      </c>
      <c r="EG45" s="288">
        <f>(K45+BA45+BV45+CQ45)*'2. START'!$C$12</f>
        <v>0</v>
      </c>
      <c r="EH45" s="288">
        <f>(L45+BB45+BW45+CR45)*'2. START'!$C$12</f>
        <v>0</v>
      </c>
      <c r="EI45" s="288">
        <f>(M45+BC45+BX45+CS45)*'2. START'!$C$12</f>
        <v>0</v>
      </c>
      <c r="EJ45" s="288">
        <f>(N45+BD45+BY45+CT45)*'2. START'!$C$12</f>
        <v>0</v>
      </c>
      <c r="EK45" s="288">
        <f>(O45+BE45+BZ45+CU45)*'2. START'!$C$12</f>
        <v>0</v>
      </c>
      <c r="EL45" s="288">
        <f>(P45+BF45+CA45+CV45)*'2. START'!$C$12</f>
        <v>0</v>
      </c>
      <c r="EM45" s="288">
        <f>(Q45+BG45+CB45+CW45)*'2. START'!$C$12</f>
        <v>0</v>
      </c>
      <c r="EN45" s="288">
        <f>(R45+BH45+CC45+CX45)*'2. START'!$C$12</f>
        <v>0</v>
      </c>
      <c r="EO45" s="288">
        <f>(S45+BI45+CD45+CY45)*'2. START'!$C$12</f>
        <v>0</v>
      </c>
      <c r="EP45" s="288">
        <f>(T45+BJ45+CE45+CZ45)*'2. START'!$C$12</f>
        <v>0</v>
      </c>
      <c r="EQ45" s="288">
        <f>(U45+BK45+CF45+DA45)*'2. START'!$C$12</f>
        <v>0</v>
      </c>
      <c r="ER45" s="288">
        <f>(V45+BL45+CG45+DB45)*'2. START'!$C$12</f>
        <v>0</v>
      </c>
      <c r="ES45" s="288">
        <f>(W45+BM45+CH45+DC45)*'2. START'!$C$12</f>
        <v>0</v>
      </c>
      <c r="ET45" s="105">
        <f t="shared" si="4"/>
        <v>0</v>
      </c>
      <c r="EU45" s="105">
        <f t="shared" si="5"/>
        <v>0</v>
      </c>
      <c r="EV45" s="105">
        <f t="shared" si="6"/>
        <v>0</v>
      </c>
      <c r="EW45" s="105">
        <f t="shared" si="7"/>
        <v>0</v>
      </c>
      <c r="EX45" s="105">
        <f t="shared" si="8"/>
        <v>0</v>
      </c>
      <c r="EY45" s="105">
        <f t="shared" si="9"/>
        <v>0</v>
      </c>
      <c r="EZ45" s="105">
        <f t="shared" si="10"/>
        <v>0</v>
      </c>
      <c r="FA45" s="105">
        <f t="shared" si="11"/>
        <v>0</v>
      </c>
      <c r="FB45" s="105">
        <f t="shared" si="12"/>
        <v>0</v>
      </c>
      <c r="FC45" s="105">
        <f t="shared" si="13"/>
        <v>0</v>
      </c>
      <c r="FD45" s="105">
        <f t="shared" si="14"/>
        <v>0</v>
      </c>
      <c r="FE45" s="105">
        <f t="shared" si="18"/>
        <v>0</v>
      </c>
      <c r="FF45" s="105">
        <f t="shared" si="19"/>
        <v>0</v>
      </c>
      <c r="FG45" s="105">
        <f t="shared" si="20"/>
        <v>0</v>
      </c>
      <c r="FH45" s="105">
        <f t="shared" si="21"/>
        <v>0</v>
      </c>
      <c r="FI45" s="105">
        <f t="shared" si="22"/>
        <v>0</v>
      </c>
      <c r="FJ45" s="105">
        <f t="shared" si="23"/>
        <v>0</v>
      </c>
      <c r="FK45" s="105">
        <f t="shared" si="24"/>
        <v>0</v>
      </c>
      <c r="FL45" s="105">
        <f t="shared" si="25"/>
        <v>0</v>
      </c>
      <c r="FM45" s="105">
        <f t="shared" si="26"/>
        <v>0</v>
      </c>
      <c r="FN45" s="105">
        <f t="shared" si="27"/>
        <v>0</v>
      </c>
      <c r="FO45" s="273" t="str">
        <f t="shared" si="17"/>
        <v/>
      </c>
      <c r="FP45" s="105">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943">
        <f t="shared" si="16"/>
        <v>0</v>
      </c>
      <c r="FR45" s="940">
        <f>SUMIFS('5. PERSON'!$AE$17:$AE$192,'5. PERSON'!$B$17:$B$192,'14. EUFP'!$B45,'5. PERSON'!$D$17:$D$192,FR$18)</f>
        <v>0</v>
      </c>
      <c r="FS45" s="940">
        <f>SUMIFS('5. PERSON'!$AE$17:$AE$192,'5. PERSON'!$B$17:$B$192,'14. EUFP'!$B45,'5. PERSON'!$D$17:$D$192,FS$18)</f>
        <v>0</v>
      </c>
      <c r="FT45" s="940">
        <f>SUMIFS('5. PERSON'!$AE$17:$AE$192,'5. PERSON'!$B$17:$B$192,'14. EUFP'!$B45,'5. PERSON'!$D$17:$D$192,FT$18)</f>
        <v>0</v>
      </c>
      <c r="FU45" s="940">
        <f>SUMIFS('5. PERSON'!$AE$17:$AE$192,'5. PERSON'!$B$17:$B$192,'14. EUFP'!$B45,'5. PERSON'!$D$17:$D$192,FU$18)</f>
        <v>0</v>
      </c>
      <c r="FV45" s="940">
        <f>SUMIFS('5. PERSON'!$AE$17:$AE$192,'5. PERSON'!$B$17:$B$192,'14. EUFP'!$B45,'5. PERSON'!$D$17:$D$192,FV$18)</f>
        <v>0</v>
      </c>
      <c r="FW45" s="940">
        <f>SUMIFS('5. PERSON'!$AE$17:$AE$192,'5. PERSON'!$B$17:$B$192,'14. EUFP'!$B45,'5. PERSON'!$D$17:$D$192,FW$18)</f>
        <v>0</v>
      </c>
      <c r="FX45" s="940">
        <f>SUMIFS('5. PERSON'!$AE$17:$AE$192,'5. PERSON'!$B$17:$B$192,'14. EUFP'!$B45,'5. PERSON'!$D$17:$D$192,FX$18)</f>
        <v>0</v>
      </c>
      <c r="FY45" s="940">
        <f>SUMIFS('5. PERSON'!$AE$17:$AE$192,'5. PERSON'!$B$17:$B$192,'14. EUFP'!$B45,'5. PERSON'!$D$17:$D$192,FY$18)</f>
        <v>0</v>
      </c>
      <c r="FZ45" s="940">
        <f>SUMIFS('5. PERSON'!$AE$17:$AE$192,'5. PERSON'!$B$17:$B$192,'14. EUFP'!$B45,'5. PERSON'!$D$17:$D$192,FZ$18)</f>
        <v>0</v>
      </c>
      <c r="GA45" s="940">
        <f>SUMIFS('5. PERSON'!$AE$17:$AE$192,'5. PERSON'!$B$17:$B$192,'14. EUFP'!$B45,'5. PERSON'!$D$17:$D$192,GA$18)</f>
        <v>0</v>
      </c>
      <c r="GB45" s="940">
        <f>SUMIFS('5. PERSON'!$AE$17:$AE$192,'5. PERSON'!$B$17:$B$192,'14. EUFP'!$B45,'5. PERSON'!$D$17:$D$192,GB$18)</f>
        <v>0</v>
      </c>
      <c r="GC45" s="940">
        <f>SUMIFS('5. PERSON'!$AE$17:$AE$192,'5. PERSON'!$B$17:$B$192,'14. EUFP'!$B45,'5. PERSON'!$D$17:$D$192,GC$18)</f>
        <v>0</v>
      </c>
      <c r="GD45" s="940">
        <f>SUMIFS('5. PERSON'!$AE$17:$AE$192,'5. PERSON'!$B$17:$B$192,'14. EUFP'!$B45,'5. PERSON'!$D$17:$D$192,GD$18)</f>
        <v>0</v>
      </c>
      <c r="GE45" s="940">
        <f>SUMIFS('5. PERSON'!$AE$17:$AE$192,'5. PERSON'!$B$17:$B$192,'14. EUFP'!$B45,'5. PERSON'!$D$17:$D$192,GE$18)</f>
        <v>0</v>
      </c>
      <c r="GF45" s="940">
        <f>SUMIFS('5. PERSON'!$AE$17:$AE$192,'5. PERSON'!$B$17:$B$192,'14. EUFP'!$B45,'5. PERSON'!$D$17:$D$192,GF$18)</f>
        <v>0</v>
      </c>
      <c r="GG45" s="940">
        <f>SUMIFS('5. PERSON'!$AE$17:$AE$192,'5. PERSON'!$B$17:$B$192,'14. EUFP'!$B45,'5. PERSON'!$D$17:$D$192,GG$18)</f>
        <v>0</v>
      </c>
      <c r="GH45" s="940">
        <f>SUMIFS('5. PERSON'!$AE$17:$AE$192,'5. PERSON'!$B$17:$B$192,'14. EUFP'!$B45,'5. PERSON'!$D$17:$D$192,GH$18)</f>
        <v>0</v>
      </c>
      <c r="GI45" s="940">
        <f>SUMIFS('5. PERSON'!$AE$17:$AE$192,'5. PERSON'!$B$17:$B$192,'14. EUFP'!$B45,'5. PERSON'!$D$17:$D$192,GI$18)</f>
        <v>0</v>
      </c>
      <c r="GJ45" s="940">
        <f>SUMIFS('5. PERSON'!$AE$17:$AE$192,'5. PERSON'!$B$17:$B$192,'14. EUFP'!$B45,'5. PERSON'!$D$17:$D$192,GJ$18)</f>
        <v>0</v>
      </c>
      <c r="GK45" s="940">
        <f>SUMIFS('5. PERSON'!$AE$17:$AE$192,'5. PERSON'!$B$17:$B$192,'14. EUFP'!$B45,'5. PERSON'!$D$17:$D$192,GK$18)</f>
        <v>0</v>
      </c>
      <c r="GL45" s="940">
        <f t="shared" si="28"/>
        <v>0</v>
      </c>
    </row>
    <row r="46" spans="2:194" ht="13.5" customHeight="1" x14ac:dyDescent="0.2">
      <c r="B46" s="261" t="str">
        <f>'3. PARTNER'!B73</f>
        <v>EXT123</v>
      </c>
      <c r="C46" s="262">
        <f>SUMIF('5. PERSON'!B$17:B$192,B46,'5. PERSON'!AR$17:AR$192)</f>
        <v>0</v>
      </c>
      <c r="D46" s="262">
        <f>SUMIFS('5. PERSON'!$AR$17:$AR$192,'5. PERSON'!$B$17:$B$192,$B46,'5. PERSON'!$D$17:$D$192,D$18)</f>
        <v>0</v>
      </c>
      <c r="E46" s="262">
        <f>SUMIFS('5. PERSON'!$AR$17:$AR$192,'5. PERSON'!$B$17:$B$192,$B46,'5. PERSON'!$D$17:$D$192,E$18)</f>
        <v>0</v>
      </c>
      <c r="F46" s="262">
        <f>SUMIFS('5. PERSON'!$AR$17:$AR$192,'5. PERSON'!$B$17:$B$192,$B46,'5. PERSON'!$D$17:$D$192,F$18)</f>
        <v>0</v>
      </c>
      <c r="G46" s="262">
        <f>SUMIFS('5. PERSON'!$AR$17:$AR$192,'5. PERSON'!$B$17:$B$192,$B46,'5. PERSON'!$D$17:$D$192,G$18)</f>
        <v>0</v>
      </c>
      <c r="H46" s="262">
        <f>SUMIFS('5. PERSON'!$AR$17:$AR$192,'5. PERSON'!$B$17:$B$192,$B46,'5. PERSON'!$D$17:$D$192,H$18)</f>
        <v>0</v>
      </c>
      <c r="I46" s="262">
        <f>SUMIFS('5. PERSON'!$AR$17:$AR$192,'5. PERSON'!$B$17:$B$192,$B46,'5. PERSON'!$D$17:$D$192,I$18)</f>
        <v>0</v>
      </c>
      <c r="J46" s="262">
        <f>SUMIFS('5. PERSON'!$AR$17:$AR$192,'5. PERSON'!$B$17:$B$192,$B46,'5. PERSON'!$D$17:$D$192,J$18)</f>
        <v>0</v>
      </c>
      <c r="K46" s="262">
        <f>SUMIFS('5. PERSON'!$AR$17:$AR$192,'5. PERSON'!$B$17:$B$192,$B46,'5. PERSON'!$D$17:$D$192,K$18)</f>
        <v>0</v>
      </c>
      <c r="L46" s="262">
        <f>SUMIFS('5. PERSON'!$AR$17:$AR$192,'5. PERSON'!$B$17:$B$192,$B46,'5. PERSON'!$D$17:$D$192,L$18)</f>
        <v>0</v>
      </c>
      <c r="M46" s="262">
        <f>SUMIFS('5. PERSON'!$AR$17:$AR$192,'5. PERSON'!$B$17:$B$192,$B46,'5. PERSON'!$D$17:$D$192,M$18)</f>
        <v>0</v>
      </c>
      <c r="N46" s="262">
        <f>SUMIFS('5. PERSON'!$AR$17:$AR$192,'5. PERSON'!$B$17:$B$192,$B46,'5. PERSON'!$D$17:$D$192,N$18)</f>
        <v>0</v>
      </c>
      <c r="O46" s="262">
        <f>SUMIFS('5. PERSON'!$AR$17:$AR$192,'5. PERSON'!$B$17:$B$192,$B46,'5. PERSON'!$D$17:$D$192,O$18)</f>
        <v>0</v>
      </c>
      <c r="P46" s="262">
        <f>SUMIFS('5. PERSON'!$AR$17:$AR$192,'5. PERSON'!$B$17:$B$192,$B46,'5. PERSON'!$D$17:$D$192,P$18)</f>
        <v>0</v>
      </c>
      <c r="Q46" s="262">
        <f>SUMIFS('5. PERSON'!$AR$17:$AR$192,'5. PERSON'!$B$17:$B$192,$B46,'5. PERSON'!$D$17:$D$192,Q$18)</f>
        <v>0</v>
      </c>
      <c r="R46" s="262">
        <f>SUMIFS('5. PERSON'!$AR$17:$AR$192,'5. PERSON'!$B$17:$B$192,$B46,'5. PERSON'!$D$17:$D$192,R$18)</f>
        <v>0</v>
      </c>
      <c r="S46" s="262">
        <f>SUMIFS('5. PERSON'!$AR$17:$AR$192,'5. PERSON'!$B$17:$B$192,$B46,'5. PERSON'!$D$17:$D$192,S$18)</f>
        <v>0</v>
      </c>
      <c r="T46" s="262">
        <f>SUMIFS('5. PERSON'!$AR$17:$AR$192,'5. PERSON'!$B$17:$B$192,$B46,'5. PERSON'!$D$17:$D$192,T$18)</f>
        <v>0</v>
      </c>
      <c r="U46" s="262">
        <f>SUMIFS('5. PERSON'!$AR$17:$AR$192,'5. PERSON'!$B$17:$B$192,$B46,'5. PERSON'!$D$17:$D$192,U$18)</f>
        <v>0</v>
      </c>
      <c r="V46" s="262">
        <f>SUMIFS('5. PERSON'!$AR$17:$AR$192,'5. PERSON'!$B$17:$B$192,$B46,'5. PERSON'!$D$17:$D$192,V$18)</f>
        <v>0</v>
      </c>
      <c r="W46" s="262">
        <f>SUMIFS('5. PERSON'!$AR$17:$AR$192,'5. PERSON'!$B$17:$B$192,$B46,'5. PERSON'!$D$17:$D$192,W$18)</f>
        <v>0</v>
      </c>
      <c r="X46" s="262">
        <f>SUMIFS('6. OPERATION'!R$17:R$149,'6. OPERATION'!B$17:B$149,B46,'6. OPERATION'!G$17:G$149,"SUBCON")</f>
        <v>0</v>
      </c>
      <c r="Y46" s="262">
        <f>SUMIFS('6. OPERATION'!$R$17:$R$149,'6. OPERATION'!$B$17:$B$149,$B46,'6. OPERATION'!$G$17:$G$149,"SUBCON",'6. OPERATION'!$D$17:$D$149,Y$18)</f>
        <v>0</v>
      </c>
      <c r="Z46" s="262">
        <f>SUMIFS('6. OPERATION'!$R$17:$R$149,'6. OPERATION'!$B$17:$B$149,$B46,'6. OPERATION'!$G$17:$G$149,"SUBCON",'6. OPERATION'!$D$17:$D$149,Z$18)</f>
        <v>0</v>
      </c>
      <c r="AA46" s="262">
        <f>SUMIFS('6. OPERATION'!$R$17:$R$149,'6. OPERATION'!$B$17:$B$149,$B46,'6. OPERATION'!$G$17:$G$149,"SUBCON",'6. OPERATION'!$D$17:$D$149,AA$18)</f>
        <v>0</v>
      </c>
      <c r="AB46" s="262">
        <f>SUMIFS('6. OPERATION'!$R$17:$R$149,'6. OPERATION'!$B$17:$B$149,$B46,'6. OPERATION'!$G$17:$G$149,"SUBCON",'6. OPERATION'!$D$17:$D$149,AB$18)</f>
        <v>0</v>
      </c>
      <c r="AC46" s="262">
        <f>SUMIFS('6. OPERATION'!$R$17:$R$149,'6. OPERATION'!$B$17:$B$149,$B46,'6. OPERATION'!$G$17:$G$149,"SUBCON",'6. OPERATION'!$D$17:$D$149,AC$18)</f>
        <v>0</v>
      </c>
      <c r="AD46" s="262">
        <f>SUMIFS('6. OPERATION'!$R$17:$R$149,'6. OPERATION'!$B$17:$B$149,$B46,'6. OPERATION'!$G$17:$G$149,"SUBCON",'6. OPERATION'!$D$17:$D$149,AD$18)</f>
        <v>0</v>
      </c>
      <c r="AE46" s="262">
        <f>SUMIFS('6. OPERATION'!$R$17:$R$149,'6. OPERATION'!$B$17:$B$149,$B46,'6. OPERATION'!$G$17:$G$149,"SUBCON",'6. OPERATION'!$D$17:$D$149,AE$18)</f>
        <v>0</v>
      </c>
      <c r="AF46" s="262">
        <f>SUMIFS('6. OPERATION'!$R$17:$R$149,'6. OPERATION'!$B$17:$B$149,$B46,'6. OPERATION'!$G$17:$G$149,"SUBCON",'6. OPERATION'!$D$17:$D$149,AF$18)</f>
        <v>0</v>
      </c>
      <c r="AG46" s="262">
        <f>SUMIFS('6. OPERATION'!$R$17:$R$149,'6. OPERATION'!$B$17:$B$149,$B46,'6. OPERATION'!$G$17:$G$149,"SUBCON",'6. OPERATION'!$D$17:$D$149,AG$18)</f>
        <v>0</v>
      </c>
      <c r="AH46" s="262">
        <f>SUMIFS('6. OPERATION'!$R$17:$R$149,'6. OPERATION'!$B$17:$B$149,$B46,'6. OPERATION'!$G$17:$G$149,"SUBCON",'6. OPERATION'!$D$17:$D$149,AH$18)</f>
        <v>0</v>
      </c>
      <c r="AI46" s="262">
        <f>SUMIFS('6. OPERATION'!$R$17:$R$149,'6. OPERATION'!$B$17:$B$149,$B46,'6. OPERATION'!$G$17:$G$149,"SUBCON",'6. OPERATION'!$D$17:$D$149,AI$18)</f>
        <v>0</v>
      </c>
      <c r="AJ46" s="262">
        <f>SUMIFS('6. OPERATION'!$R$17:$R$149,'6. OPERATION'!$B$17:$B$149,$B46,'6. OPERATION'!$G$17:$G$149,"SUBCON",'6. OPERATION'!$D$17:$D$149,AJ$18)</f>
        <v>0</v>
      </c>
      <c r="AK46" s="262">
        <f>SUMIFS('6. OPERATION'!$R$17:$R$149,'6. OPERATION'!$B$17:$B$149,$B46,'6. OPERATION'!$G$17:$G$149,"SUBCON",'6. OPERATION'!$D$17:$D$149,AK$18)</f>
        <v>0</v>
      </c>
      <c r="AL46" s="262">
        <f>SUMIFS('6. OPERATION'!$R$17:$R$149,'6. OPERATION'!$B$17:$B$149,$B46,'6. OPERATION'!$G$17:$G$149,"SUBCON",'6. OPERATION'!$D$17:$D$149,AL$18)</f>
        <v>0</v>
      </c>
      <c r="AM46" s="262">
        <f>SUMIFS('6. OPERATION'!$R$17:$R$149,'6. OPERATION'!$B$17:$B$149,$B46,'6. OPERATION'!$G$17:$G$149,"SUBCON",'6. OPERATION'!$D$17:$D$149,AM$18)</f>
        <v>0</v>
      </c>
      <c r="AN46" s="262">
        <f>SUMIFS('6. OPERATION'!$R$17:$R$149,'6. OPERATION'!$B$17:$B$149,$B46,'6. OPERATION'!$G$17:$G$149,"SUBCON",'6. OPERATION'!$D$17:$D$149,AN$18)</f>
        <v>0</v>
      </c>
      <c r="AO46" s="262">
        <f>SUMIFS('6. OPERATION'!$R$17:$R$149,'6. OPERATION'!$B$17:$B$149,$B46,'6. OPERATION'!$G$17:$G$149,"SUBCON",'6. OPERATION'!$D$17:$D$149,AO$18)</f>
        <v>0</v>
      </c>
      <c r="AP46" s="262">
        <f>SUMIFS('6. OPERATION'!$R$17:$R$149,'6. OPERATION'!$B$17:$B$149,$B46,'6. OPERATION'!$G$17:$G$149,"SUBCON",'6. OPERATION'!$D$17:$D$149,AP$18)</f>
        <v>0</v>
      </c>
      <c r="AQ46" s="262">
        <f>SUMIFS('6. OPERATION'!$R$17:$R$149,'6. OPERATION'!$B$17:$B$149,$B46,'6. OPERATION'!$G$17:$G$149,"SUBCON",'6. OPERATION'!$D$17:$D$149,AQ$18)</f>
        <v>0</v>
      </c>
      <c r="AR46" s="262">
        <f>SUMIFS('6. OPERATION'!$R$17:$R$149,'6. OPERATION'!$B$17:$B$149,$B46,'6. OPERATION'!$G$17:$G$149,"SUBCON",'6. OPERATION'!$D$17:$D$149,AR$18)</f>
        <v>0</v>
      </c>
      <c r="AS46" s="262">
        <f>SUMIFS('6. OPERATION'!R$17:R$149,'6. OPERATION'!B$17:B$149,B46,'6. OPERATION'!G$17:G$149,"TRAVEL")</f>
        <v>0</v>
      </c>
      <c r="AT46" s="262">
        <f>SUMIFS('6. OPERATION'!$R$17:$R$149,'6. OPERATION'!$B$17:$B$149,$B46,'6. OPERATION'!$G$17:$G$149,"TRAVEL",'6. OPERATION'!$D$17:$D$149,AT$18)</f>
        <v>0</v>
      </c>
      <c r="AU46" s="262">
        <f>SUMIFS('6. OPERATION'!$R$17:$R$149,'6. OPERATION'!$B$17:$B$149,$B46,'6. OPERATION'!$G$17:$G$149,"TRAVEL",'6. OPERATION'!$D$17:$D$149,AU$18)</f>
        <v>0</v>
      </c>
      <c r="AV46" s="262">
        <f>SUMIFS('6. OPERATION'!$R$17:$R$149,'6. OPERATION'!$B$17:$B$149,$B46,'6. OPERATION'!$G$17:$G$149,"TRAVEL",'6. OPERATION'!$D$17:$D$149,AV$18)</f>
        <v>0</v>
      </c>
      <c r="AW46" s="262">
        <f>SUMIFS('6. OPERATION'!$R$17:$R$149,'6. OPERATION'!$B$17:$B$149,$B46,'6. OPERATION'!$G$17:$G$149,"TRAVEL",'6. OPERATION'!$D$17:$D$149,AW$18)</f>
        <v>0</v>
      </c>
      <c r="AX46" s="262">
        <f>SUMIFS('6. OPERATION'!$R$17:$R$149,'6. OPERATION'!$B$17:$B$149,$B46,'6. OPERATION'!$G$17:$G$149,"TRAVEL",'6. OPERATION'!$D$17:$D$149,AX$18)</f>
        <v>0</v>
      </c>
      <c r="AY46" s="262">
        <f>SUMIFS('6. OPERATION'!$R$17:$R$149,'6. OPERATION'!$B$17:$B$149,$B46,'6. OPERATION'!$G$17:$G$149,"TRAVEL",'6. OPERATION'!$D$17:$D$149,AY$18)</f>
        <v>0</v>
      </c>
      <c r="AZ46" s="262">
        <f>SUMIFS('6. OPERATION'!$R$17:$R$149,'6. OPERATION'!$B$17:$B$149,$B46,'6. OPERATION'!$G$17:$G$149,"TRAVEL",'6. OPERATION'!$D$17:$D$149,AZ$18)</f>
        <v>0</v>
      </c>
      <c r="BA46" s="262">
        <f>SUMIFS('6. OPERATION'!$R$17:$R$149,'6. OPERATION'!$B$17:$B$149,$B46,'6. OPERATION'!$G$17:$G$149,"TRAVEL",'6. OPERATION'!$D$17:$D$149,BA$18)</f>
        <v>0</v>
      </c>
      <c r="BB46" s="262">
        <f>SUMIFS('6. OPERATION'!$R$17:$R$149,'6. OPERATION'!$B$17:$B$149,$B46,'6. OPERATION'!$G$17:$G$149,"TRAVEL",'6. OPERATION'!$D$17:$D$149,BB$18)</f>
        <v>0</v>
      </c>
      <c r="BC46" s="262">
        <f>SUMIFS('6. OPERATION'!$R$17:$R$149,'6. OPERATION'!$B$17:$B$149,$B46,'6. OPERATION'!$G$17:$G$149,"TRAVEL",'6. OPERATION'!$D$17:$D$149,BC$18)</f>
        <v>0</v>
      </c>
      <c r="BD46" s="262">
        <f>SUMIFS('6. OPERATION'!$R$17:$R$149,'6. OPERATION'!$B$17:$B$149,$B46,'6. OPERATION'!$G$17:$G$149,"TRAVEL",'6. OPERATION'!$D$17:$D$149,BD$18)</f>
        <v>0</v>
      </c>
      <c r="BE46" s="262">
        <f>SUMIFS('6. OPERATION'!$R$17:$R$149,'6. OPERATION'!$B$17:$B$149,$B46,'6. OPERATION'!$G$17:$G$149,"TRAVEL",'6. OPERATION'!$D$17:$D$149,BE$18)</f>
        <v>0</v>
      </c>
      <c r="BF46" s="262">
        <f>SUMIFS('6. OPERATION'!$R$17:$R$149,'6. OPERATION'!$B$17:$B$149,$B46,'6. OPERATION'!$G$17:$G$149,"TRAVEL",'6. OPERATION'!$D$17:$D$149,BF$18)</f>
        <v>0</v>
      </c>
      <c r="BG46" s="262">
        <f>SUMIFS('6. OPERATION'!$R$17:$R$149,'6. OPERATION'!$B$17:$B$149,$B46,'6. OPERATION'!$G$17:$G$149,"TRAVEL",'6. OPERATION'!$D$17:$D$149,BG$18)</f>
        <v>0</v>
      </c>
      <c r="BH46" s="262">
        <f>SUMIFS('6. OPERATION'!$R$17:$R$149,'6. OPERATION'!$B$17:$B$149,$B46,'6. OPERATION'!$G$17:$G$149,"TRAVEL",'6. OPERATION'!$D$17:$D$149,BH$18)</f>
        <v>0</v>
      </c>
      <c r="BI46" s="262">
        <f>SUMIFS('6. OPERATION'!$R$17:$R$149,'6. OPERATION'!$B$17:$B$149,$B46,'6. OPERATION'!$G$17:$G$149,"TRAVEL",'6. OPERATION'!$D$17:$D$149,BI$18)</f>
        <v>0</v>
      </c>
      <c r="BJ46" s="262">
        <f>SUMIFS('6. OPERATION'!$R$17:$R$149,'6. OPERATION'!$B$17:$B$149,$B46,'6. OPERATION'!$G$17:$G$149,"TRAVEL",'6. OPERATION'!$D$17:$D$149,BJ$18)</f>
        <v>0</v>
      </c>
      <c r="BK46" s="262">
        <f>SUMIFS('6. OPERATION'!$R$17:$R$149,'6. OPERATION'!$B$17:$B$149,$B46,'6. OPERATION'!$G$17:$G$149,"TRAVEL",'6. OPERATION'!$D$17:$D$149,BK$18)</f>
        <v>0</v>
      </c>
      <c r="BL46" s="262">
        <f>SUMIFS('6. OPERATION'!$R$17:$R$149,'6. OPERATION'!$B$17:$B$149,$B46,'6. OPERATION'!$G$17:$G$149,"TRAVEL",'6. OPERATION'!$D$17:$D$149,BL$18)</f>
        <v>0</v>
      </c>
      <c r="BM46" s="262">
        <f>SUMIFS('6. OPERATION'!$R$17:$R$149,'6. OPERATION'!$B$17:$B$149,$B46,'6. OPERATION'!$G$17:$G$149,"TRAVEL",'6. OPERATION'!$D$17:$D$149,BM$18)</f>
        <v>0</v>
      </c>
      <c r="BN46" s="262">
        <f>SUMIF('7. INVEST'!B$17:B$49,B46,'7. INVEST'!S$17:S$49)</f>
        <v>0</v>
      </c>
      <c r="BO46" s="262">
        <f>SUMIFS('7. INVEST'!$S$17:$S$49,'7. INVEST'!$B$17:$B$49,$B46,'7. INVEST'!$D$17:$D$49,BO$18)</f>
        <v>0</v>
      </c>
      <c r="BP46" s="262">
        <f>SUMIFS('7. INVEST'!$S$17:$S$49,'7. INVEST'!$B$17:$B$49,$B46,'7. INVEST'!$D$17:$D$49,BP$18)</f>
        <v>0</v>
      </c>
      <c r="BQ46" s="262">
        <f>SUMIFS('7. INVEST'!$S$17:$S$49,'7. INVEST'!$B$17:$B$49,$B46,'7. INVEST'!$D$17:$D$49,BQ$18)</f>
        <v>0</v>
      </c>
      <c r="BR46" s="262">
        <f>SUMIFS('7. INVEST'!$S$17:$S$49,'7. INVEST'!$B$17:$B$49,$B46,'7. INVEST'!$D$17:$D$49,BR$18)</f>
        <v>0</v>
      </c>
      <c r="BS46" s="262">
        <f>SUMIFS('7. INVEST'!$S$17:$S$49,'7. INVEST'!$B$17:$B$49,$B46,'7. INVEST'!$D$17:$D$49,BS$18)</f>
        <v>0</v>
      </c>
      <c r="BT46" s="262">
        <f>SUMIFS('7. INVEST'!$S$17:$S$49,'7. INVEST'!$B$17:$B$49,$B46,'7. INVEST'!$D$17:$D$49,BT$18)</f>
        <v>0</v>
      </c>
      <c r="BU46" s="262">
        <f>SUMIFS('7. INVEST'!$S$17:$S$49,'7. INVEST'!$B$17:$B$49,$B46,'7. INVEST'!$D$17:$D$49,BU$18)</f>
        <v>0</v>
      </c>
      <c r="BV46" s="262">
        <f>SUMIFS('7. INVEST'!$S$17:$S$49,'7. INVEST'!$B$17:$B$49,$B46,'7. INVEST'!$D$17:$D$49,BV$18)</f>
        <v>0</v>
      </c>
      <c r="BW46" s="262">
        <f>SUMIFS('7. INVEST'!$S$17:$S$49,'7. INVEST'!$B$17:$B$49,$B46,'7. INVEST'!$D$17:$D$49,BW$18)</f>
        <v>0</v>
      </c>
      <c r="BX46" s="262">
        <f>SUMIFS('7. INVEST'!$S$17:$S$49,'7. INVEST'!$B$17:$B$49,$B46,'7. INVEST'!$D$17:$D$49,BX$18)</f>
        <v>0</v>
      </c>
      <c r="BY46" s="262">
        <f>SUMIFS('7. INVEST'!$S$17:$S$49,'7. INVEST'!$B$17:$B$49,$B46,'7. INVEST'!$D$17:$D$49,BY$18)</f>
        <v>0</v>
      </c>
      <c r="BZ46" s="262">
        <f>SUMIFS('7. INVEST'!$S$17:$S$49,'7. INVEST'!$B$17:$B$49,$B46,'7. INVEST'!$D$17:$D$49,BZ$18)</f>
        <v>0</v>
      </c>
      <c r="CA46" s="262">
        <f>SUMIFS('7. INVEST'!$S$17:$S$49,'7. INVEST'!$B$17:$B$49,$B46,'7. INVEST'!$D$17:$D$49,CA$18)</f>
        <v>0</v>
      </c>
      <c r="CB46" s="262">
        <f>SUMIFS('7. INVEST'!$S$17:$S$49,'7. INVEST'!$B$17:$B$49,$B46,'7. INVEST'!$D$17:$D$49,CB$18)</f>
        <v>0</v>
      </c>
      <c r="CC46" s="262">
        <f>SUMIFS('7. INVEST'!$S$17:$S$49,'7. INVEST'!$B$17:$B$49,$B46,'7. INVEST'!$D$17:$D$49,CC$18)</f>
        <v>0</v>
      </c>
      <c r="CD46" s="262">
        <f>SUMIFS('7. INVEST'!$S$17:$S$49,'7. INVEST'!$B$17:$B$49,$B46,'7. INVEST'!$D$17:$D$49,CD$18)</f>
        <v>0</v>
      </c>
      <c r="CE46" s="262">
        <f>SUMIFS('7. INVEST'!$S$17:$S$49,'7. INVEST'!$B$17:$B$49,$B46,'7. INVEST'!$D$17:$D$49,CE$18)</f>
        <v>0</v>
      </c>
      <c r="CF46" s="262">
        <f>SUMIFS('7. INVEST'!$S$17:$S$49,'7. INVEST'!$B$17:$B$49,$B46,'7. INVEST'!$D$17:$D$49,CF$18)</f>
        <v>0</v>
      </c>
      <c r="CG46" s="262">
        <f>SUMIFS('7. INVEST'!$S$17:$S$49,'7. INVEST'!$B$17:$B$49,$B46,'7. INVEST'!$D$17:$D$49,CG$18)</f>
        <v>0</v>
      </c>
      <c r="CH46" s="262">
        <f>SUMIFS('7. INVEST'!$S$17:$S$49,'7. INVEST'!$B$17:$B$49,$B46,'7. INVEST'!$D$17:$D$49,CH$18)</f>
        <v>0</v>
      </c>
      <c r="CI46" s="262">
        <f>SUMIFS('6. OPERATION'!$R$17:$R$149,'6. OPERATION'!$B$17:$B$149,$B46,'6. OPERATION'!$G$17:$G$149,"OTHER")+SUMIF('8. FACILIT'!$B$18:$B$50,$B46,'8. FACILIT'!$P$18:$P$50)</f>
        <v>0</v>
      </c>
      <c r="CJ46" s="262">
        <f>SUMIFS('6. OPERATION'!$R$17:$R$149,'6. OPERATION'!$B$17:$B$149,$B46,'6. OPERATION'!$G$17:$G$149,"OTHER",'6. OPERATION'!$D$17:$D$149,CJ$18)+SUMIFS('8. FACILIT'!$P$18:$P$50,'8. FACILIT'!$B$18:$B$50,$B46,'8. FACILIT'!$D$18:$D$50,CJ$18)</f>
        <v>0</v>
      </c>
      <c r="CK46" s="262">
        <f>SUMIFS('6. OPERATION'!$R$17:$R$149,'6. OPERATION'!$B$17:$B$149,$B46,'6. OPERATION'!$G$17:$G$149,"OTHER",'6. OPERATION'!$D$17:$D$149,CK$18)+SUMIFS('8. FACILIT'!$P$18:$P$50,'8. FACILIT'!$B$18:$B$50,$B46,'8. FACILIT'!$D$18:$D$50,CK$18)</f>
        <v>0</v>
      </c>
      <c r="CL46" s="262">
        <f>SUMIFS('6. OPERATION'!$R$17:$R$149,'6. OPERATION'!$B$17:$B$149,$B46,'6. OPERATION'!$G$17:$G$149,"OTHER",'6. OPERATION'!$D$17:$D$149,CL$18)+SUMIFS('8. FACILIT'!$P$18:$P$50,'8. FACILIT'!$B$18:$B$50,$B46,'8. FACILIT'!$D$18:$D$50,CL$18)</f>
        <v>0</v>
      </c>
      <c r="CM46" s="262">
        <f>SUMIFS('6. OPERATION'!$R$17:$R$149,'6. OPERATION'!$B$17:$B$149,$B46,'6. OPERATION'!$G$17:$G$149,"OTHER",'6. OPERATION'!$D$17:$D$149,CM$18)+SUMIFS('8. FACILIT'!$P$18:$P$50,'8. FACILIT'!$B$18:$B$50,$B46,'8. FACILIT'!$D$18:$D$50,CM$18)</f>
        <v>0</v>
      </c>
      <c r="CN46" s="262">
        <f>SUMIFS('6. OPERATION'!$R$17:$R$149,'6. OPERATION'!$B$17:$B$149,$B46,'6. OPERATION'!$G$17:$G$149,"OTHER",'6. OPERATION'!$D$17:$D$149,CN$18)+SUMIFS('8. FACILIT'!$P$18:$P$50,'8. FACILIT'!$B$18:$B$50,$B46,'8. FACILIT'!$D$18:$D$50,CN$18)</f>
        <v>0</v>
      </c>
      <c r="CO46" s="262">
        <f>SUMIFS('6. OPERATION'!$R$17:$R$149,'6. OPERATION'!$B$17:$B$149,$B46,'6. OPERATION'!$G$17:$G$149,"OTHER",'6. OPERATION'!$D$17:$D$149,CO$18)+SUMIFS('8. FACILIT'!$P$18:$P$50,'8. FACILIT'!$B$18:$B$50,$B46,'8. FACILIT'!$D$18:$D$50,CO$18)</f>
        <v>0</v>
      </c>
      <c r="CP46" s="262">
        <f>SUMIFS('6. OPERATION'!$R$17:$R$149,'6. OPERATION'!$B$17:$B$149,$B46,'6. OPERATION'!$G$17:$G$149,"OTHER",'6. OPERATION'!$D$17:$D$149,CP$18)+SUMIFS('8. FACILIT'!$P$18:$P$50,'8. FACILIT'!$B$18:$B$50,$B46,'8. FACILIT'!$D$18:$D$50,CP$18)</f>
        <v>0</v>
      </c>
      <c r="CQ46" s="262">
        <f>SUMIFS('6. OPERATION'!$R$17:$R$149,'6. OPERATION'!$B$17:$B$149,$B46,'6. OPERATION'!$G$17:$G$149,"OTHER",'6. OPERATION'!$D$17:$D$149,CQ$18)+SUMIFS('8. FACILIT'!$P$18:$P$50,'8. FACILIT'!$B$18:$B$50,$B46,'8. FACILIT'!$D$18:$D$50,CQ$18)</f>
        <v>0</v>
      </c>
      <c r="CR46" s="262">
        <f>SUMIFS('6. OPERATION'!$R$17:$R$149,'6. OPERATION'!$B$17:$B$149,$B46,'6. OPERATION'!$G$17:$G$149,"OTHER",'6. OPERATION'!$D$17:$D$149,CR$18)+SUMIFS('8. FACILIT'!$P$18:$P$50,'8. FACILIT'!$B$18:$B$50,$B46,'8. FACILIT'!$D$18:$D$50,CR$18)</f>
        <v>0</v>
      </c>
      <c r="CS46" s="262">
        <f>SUMIFS('6. OPERATION'!$R$17:$R$149,'6. OPERATION'!$B$17:$B$149,$B46,'6. OPERATION'!$G$17:$G$149,"OTHER",'6. OPERATION'!$D$17:$D$149,CS$18)+SUMIFS('8. FACILIT'!$P$18:$P$50,'8. FACILIT'!$B$18:$B$50,$B46,'8. FACILIT'!$D$18:$D$50,CS$18)</f>
        <v>0</v>
      </c>
      <c r="CT46" s="262">
        <f>SUMIFS('6. OPERATION'!$R$17:$R$149,'6. OPERATION'!$B$17:$B$149,$B46,'6. OPERATION'!$G$17:$G$149,"OTHER",'6. OPERATION'!$D$17:$D$149,CT$18)+SUMIFS('8. FACILIT'!$P$18:$P$50,'8. FACILIT'!$B$18:$B$50,$B46,'8. FACILIT'!$D$18:$D$50,CT$18)</f>
        <v>0</v>
      </c>
      <c r="CU46" s="262">
        <f>SUMIFS('6. OPERATION'!$R$17:$R$149,'6. OPERATION'!$B$17:$B$149,$B46,'6. OPERATION'!$G$17:$G$149,"OTHER",'6. OPERATION'!$D$17:$D$149,CU$18)+SUMIFS('8. FACILIT'!$P$18:$P$50,'8. FACILIT'!$B$18:$B$50,$B46,'8. FACILIT'!$D$18:$D$50,CU$18)</f>
        <v>0</v>
      </c>
      <c r="CV46" s="262">
        <f>SUMIFS('6. OPERATION'!$R$17:$R$149,'6. OPERATION'!$B$17:$B$149,$B46,'6. OPERATION'!$G$17:$G$149,"OTHER",'6. OPERATION'!$D$17:$D$149,CV$18)+SUMIFS('8. FACILIT'!$P$18:$P$50,'8. FACILIT'!$B$18:$B$50,$B46,'8. FACILIT'!$D$18:$D$50,CV$18)</f>
        <v>0</v>
      </c>
      <c r="CW46" s="262">
        <f>SUMIFS('6. OPERATION'!$R$17:$R$149,'6. OPERATION'!$B$17:$B$149,$B46,'6. OPERATION'!$G$17:$G$149,"OTHER",'6. OPERATION'!$D$17:$D$149,CW$18)+SUMIFS('8. FACILIT'!$P$18:$P$50,'8. FACILIT'!$B$18:$B$50,$B46,'8. FACILIT'!$D$18:$D$50,CW$18)</f>
        <v>0</v>
      </c>
      <c r="CX46" s="262">
        <f>SUMIFS('6. OPERATION'!$R$17:$R$149,'6. OPERATION'!$B$17:$B$149,$B46,'6. OPERATION'!$G$17:$G$149,"OTHER",'6. OPERATION'!$D$17:$D$149,CX$18)+SUMIFS('8. FACILIT'!$P$18:$P$50,'8. FACILIT'!$B$18:$B$50,$B46,'8. FACILIT'!$D$18:$D$50,CX$18)</f>
        <v>0</v>
      </c>
      <c r="CY46" s="262">
        <f>SUMIFS('6. OPERATION'!$R$17:$R$149,'6. OPERATION'!$B$17:$B$149,$B46,'6. OPERATION'!$G$17:$G$149,"OTHER",'6. OPERATION'!$D$17:$D$149,CY$18)+SUMIFS('8. FACILIT'!$P$18:$P$50,'8. FACILIT'!$B$18:$B$50,$B46,'8. FACILIT'!$D$18:$D$50,CY$18)</f>
        <v>0</v>
      </c>
      <c r="CZ46" s="262">
        <f>SUMIFS('6. OPERATION'!$R$17:$R$149,'6. OPERATION'!$B$17:$B$149,$B46,'6. OPERATION'!$G$17:$G$149,"OTHER",'6. OPERATION'!$D$17:$D$149,CZ$18)+SUMIFS('8. FACILIT'!$P$18:$P$50,'8. FACILIT'!$B$18:$B$50,$B46,'8. FACILIT'!$D$18:$D$50,CZ$18)</f>
        <v>0</v>
      </c>
      <c r="DA46" s="262">
        <f>SUMIFS('6. OPERATION'!$R$17:$R$149,'6. OPERATION'!$B$17:$B$149,$B46,'6. OPERATION'!$G$17:$G$149,"OTHER",'6. OPERATION'!$D$17:$D$149,DA$18)+SUMIFS('8. FACILIT'!$P$18:$P$50,'8. FACILIT'!$B$18:$B$50,$B46,'8. FACILIT'!$D$18:$D$50,DA$18)</f>
        <v>0</v>
      </c>
      <c r="DB46" s="262">
        <f>SUMIFS('6. OPERATION'!$R$17:$R$149,'6. OPERATION'!$B$17:$B$149,$B46,'6. OPERATION'!$G$17:$G$149,"OTHER",'6. OPERATION'!$D$17:$D$149,DB$18)+SUMIFS('8. FACILIT'!$P$18:$P$50,'8. FACILIT'!$B$18:$B$50,$B46,'8. FACILIT'!$D$18:$D$50,DB$18)</f>
        <v>0</v>
      </c>
      <c r="DC46" s="262">
        <f>SUMIFS('6. OPERATION'!$R$17:$R$149,'6. OPERATION'!$B$17:$B$149,$B46,'6. OPERATION'!$G$17:$G$149,"OTHER",'6. OPERATION'!$D$17:$D$149,DC$18)+SUMIFS('8. FACILIT'!$P$18:$P$50,'8. FACILIT'!$B$18:$B$50,$B46,'8. FACILIT'!$D$18:$D$50,DC$18)</f>
        <v>0</v>
      </c>
      <c r="DD46" s="262">
        <f>SUMIFS('6. OPERATION'!R$17:R$149,'6. OPERATION'!B$17:B$149,B46,'6. OPERATION'!G$17:G$149,"INTERN")</f>
        <v>0</v>
      </c>
      <c r="DE46" s="262">
        <f>SUMIFS('6. OPERATION'!$R$17:$R$149,'6. OPERATION'!$B$17:$B$149,$B46,'6. OPERATION'!$G$17:$G$149,"INTERN",'6. OPERATION'!$D$17:$D$149,DE$18)</f>
        <v>0</v>
      </c>
      <c r="DF46" s="262">
        <f>SUMIFS('6. OPERATION'!$R$17:$R$149,'6. OPERATION'!$B$17:$B$149,$B46,'6. OPERATION'!$G$17:$G$149,"INTERN",'6. OPERATION'!$D$17:$D$149,DF$18)</f>
        <v>0</v>
      </c>
      <c r="DG46" s="262">
        <f>SUMIFS('6. OPERATION'!$R$17:$R$149,'6. OPERATION'!$B$17:$B$149,$B46,'6. OPERATION'!$G$17:$G$149,"INTERN",'6. OPERATION'!$D$17:$D$149,DG$18)</f>
        <v>0</v>
      </c>
      <c r="DH46" s="262">
        <f>SUMIFS('6. OPERATION'!$R$17:$R$149,'6. OPERATION'!$B$17:$B$149,$B46,'6. OPERATION'!$G$17:$G$149,"INTERN",'6. OPERATION'!$D$17:$D$149,DH$18)</f>
        <v>0</v>
      </c>
      <c r="DI46" s="262">
        <f>SUMIFS('6. OPERATION'!$R$17:$R$149,'6. OPERATION'!$B$17:$B$149,$B46,'6. OPERATION'!$G$17:$G$149,"INTERN",'6. OPERATION'!$D$17:$D$149,DI$18)</f>
        <v>0</v>
      </c>
      <c r="DJ46" s="262">
        <f>SUMIFS('6. OPERATION'!$R$17:$R$149,'6. OPERATION'!$B$17:$B$149,$B46,'6. OPERATION'!$G$17:$G$149,"INTERN",'6. OPERATION'!$D$17:$D$149,DJ$18)</f>
        <v>0</v>
      </c>
      <c r="DK46" s="262">
        <f>SUMIFS('6. OPERATION'!$R$17:$R$149,'6. OPERATION'!$B$17:$B$149,$B46,'6. OPERATION'!$G$17:$G$149,"INTERN",'6. OPERATION'!$D$17:$D$149,DK$18)</f>
        <v>0</v>
      </c>
      <c r="DL46" s="262">
        <f>SUMIFS('6. OPERATION'!$R$17:$R$149,'6. OPERATION'!$B$17:$B$149,$B46,'6. OPERATION'!$G$17:$G$149,"INTERN",'6. OPERATION'!$D$17:$D$149,DL$18)</f>
        <v>0</v>
      </c>
      <c r="DM46" s="262">
        <f>SUMIFS('6. OPERATION'!$R$17:$R$149,'6. OPERATION'!$B$17:$B$149,$B46,'6. OPERATION'!$G$17:$G$149,"INTERN",'6. OPERATION'!$D$17:$D$149,DM$18)</f>
        <v>0</v>
      </c>
      <c r="DN46" s="262">
        <f>SUMIFS('6. OPERATION'!$R$17:$R$149,'6. OPERATION'!$B$17:$B$149,$B46,'6. OPERATION'!$G$17:$G$149,"INTERN",'6. OPERATION'!$D$17:$D$149,DN$18)</f>
        <v>0</v>
      </c>
      <c r="DO46" s="262">
        <f>SUMIFS('6. OPERATION'!$R$17:$R$149,'6. OPERATION'!$B$17:$B$149,$B46,'6. OPERATION'!$G$17:$G$149,"INTERN",'6. OPERATION'!$D$17:$D$149,DO$18)</f>
        <v>0</v>
      </c>
      <c r="DP46" s="262">
        <f>SUMIFS('6. OPERATION'!$R$17:$R$149,'6. OPERATION'!$B$17:$B$149,$B46,'6. OPERATION'!$G$17:$G$149,"INTERN",'6. OPERATION'!$D$17:$D$149,DP$18)</f>
        <v>0</v>
      </c>
      <c r="DQ46" s="262">
        <f>SUMIFS('6. OPERATION'!$R$17:$R$149,'6. OPERATION'!$B$17:$B$149,$B46,'6. OPERATION'!$G$17:$G$149,"INTERN",'6. OPERATION'!$D$17:$D$149,DQ$18)</f>
        <v>0</v>
      </c>
      <c r="DR46" s="262">
        <f>SUMIFS('6. OPERATION'!$R$17:$R$149,'6. OPERATION'!$B$17:$B$149,$B46,'6. OPERATION'!$G$17:$G$149,"INTERN",'6. OPERATION'!$D$17:$D$149,DR$18)</f>
        <v>0</v>
      </c>
      <c r="DS46" s="262">
        <f>SUMIFS('6. OPERATION'!$R$17:$R$149,'6. OPERATION'!$B$17:$B$149,$B46,'6. OPERATION'!$G$17:$G$149,"INTERN",'6. OPERATION'!$D$17:$D$149,DS$18)</f>
        <v>0</v>
      </c>
      <c r="DT46" s="262">
        <f>SUMIFS('6. OPERATION'!$R$17:$R$149,'6. OPERATION'!$B$17:$B$149,$B46,'6. OPERATION'!$G$17:$G$149,"INTERN",'6. OPERATION'!$D$17:$D$149,DT$18)</f>
        <v>0</v>
      </c>
      <c r="DU46" s="262">
        <f>SUMIFS('6. OPERATION'!$R$17:$R$149,'6. OPERATION'!$B$17:$B$149,$B46,'6. OPERATION'!$G$17:$G$149,"INTERN",'6. OPERATION'!$D$17:$D$149,DU$18)</f>
        <v>0</v>
      </c>
      <c r="DV46" s="262">
        <f>SUMIFS('6. OPERATION'!$R$17:$R$149,'6. OPERATION'!$B$17:$B$149,$B46,'6. OPERATION'!$G$17:$G$149,"INTERN",'6. OPERATION'!$D$17:$D$149,DV$18)</f>
        <v>0</v>
      </c>
      <c r="DW46" s="262">
        <f>SUMIFS('6. OPERATION'!$R$17:$R$149,'6. OPERATION'!$B$17:$B$149,$B46,'6. OPERATION'!$G$17:$G$149,"INTERN",'6. OPERATION'!$D$17:$D$149,DW$18)</f>
        <v>0</v>
      </c>
      <c r="DX46" s="262">
        <f>SUMIFS('6. OPERATION'!$R$17:$R$149,'6. OPERATION'!$B$17:$B$149,$B46,'6. OPERATION'!$G$17:$G$149,"INTERN",'6. OPERATION'!$D$17:$D$149,DX$18)</f>
        <v>0</v>
      </c>
      <c r="DY46" s="262">
        <f>(C46+AS46+BN46+CI46)*'2. START'!$C$12</f>
        <v>0</v>
      </c>
      <c r="DZ46" s="262">
        <f>(D46+AT46+BO46+CJ46)*'2. START'!$C$12</f>
        <v>0</v>
      </c>
      <c r="EA46" s="262">
        <f>(E46+AU46+BP46+CK46)*'2. START'!$C$12</f>
        <v>0</v>
      </c>
      <c r="EB46" s="262">
        <f>(F46+AV46+BQ46+CL46)*'2. START'!$C$12</f>
        <v>0</v>
      </c>
      <c r="EC46" s="262">
        <f>(G46+AW46+BR46+CM46)*'2. START'!$C$12</f>
        <v>0</v>
      </c>
      <c r="ED46" s="262">
        <f>(H46+AX46+BS46+CN46)*'2. START'!$C$12</f>
        <v>0</v>
      </c>
      <c r="EE46" s="262">
        <f>(I46+AY46+BT46+CO46)*'2. START'!$C$12</f>
        <v>0</v>
      </c>
      <c r="EF46" s="262">
        <f>(J46+AZ46+BU46+CP46)*'2. START'!$C$12</f>
        <v>0</v>
      </c>
      <c r="EG46" s="262">
        <f>(K46+BA46+BV46+CQ46)*'2. START'!$C$12</f>
        <v>0</v>
      </c>
      <c r="EH46" s="262">
        <f>(L46+BB46+BW46+CR46)*'2. START'!$C$12</f>
        <v>0</v>
      </c>
      <c r="EI46" s="262">
        <f>(M46+BC46+BX46+CS46)*'2. START'!$C$12</f>
        <v>0</v>
      </c>
      <c r="EJ46" s="262">
        <f>(N46+BD46+BY46+CT46)*'2. START'!$C$12</f>
        <v>0</v>
      </c>
      <c r="EK46" s="262">
        <f>(O46+BE46+BZ46+CU46)*'2. START'!$C$12</f>
        <v>0</v>
      </c>
      <c r="EL46" s="262">
        <f>(P46+BF46+CA46+CV46)*'2. START'!$C$12</f>
        <v>0</v>
      </c>
      <c r="EM46" s="262">
        <f>(Q46+BG46+CB46+CW46)*'2. START'!$C$12</f>
        <v>0</v>
      </c>
      <c r="EN46" s="262">
        <f>(R46+BH46+CC46+CX46)*'2. START'!$C$12</f>
        <v>0</v>
      </c>
      <c r="EO46" s="262">
        <f>(S46+BI46+CD46+CY46)*'2. START'!$C$12</f>
        <v>0</v>
      </c>
      <c r="EP46" s="262">
        <f>(T46+BJ46+CE46+CZ46)*'2. START'!$C$12</f>
        <v>0</v>
      </c>
      <c r="EQ46" s="262">
        <f>(U46+BK46+CF46+DA46)*'2. START'!$C$12</f>
        <v>0</v>
      </c>
      <c r="ER46" s="262">
        <f>(V46+BL46+CG46+DB46)*'2. START'!$C$12</f>
        <v>0</v>
      </c>
      <c r="ES46" s="262">
        <f>(W46+BM46+CH46+DC46)*'2. START'!$C$12</f>
        <v>0</v>
      </c>
      <c r="ET46" s="98">
        <f t="shared" si="4"/>
        <v>0</v>
      </c>
      <c r="EU46" s="98">
        <f t="shared" si="5"/>
        <v>0</v>
      </c>
      <c r="EV46" s="98">
        <f t="shared" si="6"/>
        <v>0</v>
      </c>
      <c r="EW46" s="98">
        <f t="shared" si="7"/>
        <v>0</v>
      </c>
      <c r="EX46" s="98">
        <f t="shared" si="8"/>
        <v>0</v>
      </c>
      <c r="EY46" s="98">
        <f t="shared" si="9"/>
        <v>0</v>
      </c>
      <c r="EZ46" s="98">
        <f t="shared" si="10"/>
        <v>0</v>
      </c>
      <c r="FA46" s="98">
        <f t="shared" si="11"/>
        <v>0</v>
      </c>
      <c r="FB46" s="98">
        <f t="shared" si="12"/>
        <v>0</v>
      </c>
      <c r="FC46" s="98">
        <f t="shared" si="13"/>
        <v>0</v>
      </c>
      <c r="FD46" s="98">
        <f t="shared" si="14"/>
        <v>0</v>
      </c>
      <c r="FE46" s="98">
        <f t="shared" si="18"/>
        <v>0</v>
      </c>
      <c r="FF46" s="98">
        <f t="shared" si="19"/>
        <v>0</v>
      </c>
      <c r="FG46" s="98">
        <f t="shared" si="20"/>
        <v>0</v>
      </c>
      <c r="FH46" s="98">
        <f t="shared" si="21"/>
        <v>0</v>
      </c>
      <c r="FI46" s="98">
        <f t="shared" si="22"/>
        <v>0</v>
      </c>
      <c r="FJ46" s="98">
        <f t="shared" si="23"/>
        <v>0</v>
      </c>
      <c r="FK46" s="98">
        <f t="shared" si="24"/>
        <v>0</v>
      </c>
      <c r="FL46" s="98">
        <f t="shared" si="25"/>
        <v>0</v>
      </c>
      <c r="FM46" s="98">
        <f t="shared" si="26"/>
        <v>0</v>
      </c>
      <c r="FN46" s="98">
        <f t="shared" si="27"/>
        <v>0</v>
      </c>
      <c r="FO46" s="272" t="str">
        <f t="shared" si="17"/>
        <v/>
      </c>
      <c r="FP46" s="98">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944">
        <f t="shared" si="16"/>
        <v>0</v>
      </c>
      <c r="FR46" s="941">
        <f>SUMIFS('5. PERSON'!$AE$17:$AE$192,'5. PERSON'!$B$17:$B$192,'14. EUFP'!$B46,'5. PERSON'!$D$17:$D$192,FR$18)</f>
        <v>0</v>
      </c>
      <c r="FS46" s="941">
        <f>SUMIFS('5. PERSON'!$AE$17:$AE$192,'5. PERSON'!$B$17:$B$192,'14. EUFP'!$B46,'5. PERSON'!$D$17:$D$192,FS$18)</f>
        <v>0</v>
      </c>
      <c r="FT46" s="941">
        <f>SUMIFS('5. PERSON'!$AE$17:$AE$192,'5. PERSON'!$B$17:$B$192,'14. EUFP'!$B46,'5. PERSON'!$D$17:$D$192,FT$18)</f>
        <v>0</v>
      </c>
      <c r="FU46" s="941">
        <f>SUMIFS('5. PERSON'!$AE$17:$AE$192,'5. PERSON'!$B$17:$B$192,'14. EUFP'!$B46,'5. PERSON'!$D$17:$D$192,FU$18)</f>
        <v>0</v>
      </c>
      <c r="FV46" s="941">
        <f>SUMIFS('5. PERSON'!$AE$17:$AE$192,'5. PERSON'!$B$17:$B$192,'14. EUFP'!$B46,'5. PERSON'!$D$17:$D$192,FV$18)</f>
        <v>0</v>
      </c>
      <c r="FW46" s="941">
        <f>SUMIFS('5. PERSON'!$AE$17:$AE$192,'5. PERSON'!$B$17:$B$192,'14. EUFP'!$B46,'5. PERSON'!$D$17:$D$192,FW$18)</f>
        <v>0</v>
      </c>
      <c r="FX46" s="941">
        <f>SUMIFS('5. PERSON'!$AE$17:$AE$192,'5. PERSON'!$B$17:$B$192,'14. EUFP'!$B46,'5. PERSON'!$D$17:$D$192,FX$18)</f>
        <v>0</v>
      </c>
      <c r="FY46" s="941">
        <f>SUMIFS('5. PERSON'!$AE$17:$AE$192,'5. PERSON'!$B$17:$B$192,'14. EUFP'!$B46,'5. PERSON'!$D$17:$D$192,FY$18)</f>
        <v>0</v>
      </c>
      <c r="FZ46" s="941">
        <f>SUMIFS('5. PERSON'!$AE$17:$AE$192,'5. PERSON'!$B$17:$B$192,'14. EUFP'!$B46,'5. PERSON'!$D$17:$D$192,FZ$18)</f>
        <v>0</v>
      </c>
      <c r="GA46" s="941">
        <f>SUMIFS('5. PERSON'!$AE$17:$AE$192,'5. PERSON'!$B$17:$B$192,'14. EUFP'!$B46,'5. PERSON'!$D$17:$D$192,GA$18)</f>
        <v>0</v>
      </c>
      <c r="GB46" s="941">
        <f>SUMIFS('5. PERSON'!$AE$17:$AE$192,'5. PERSON'!$B$17:$B$192,'14. EUFP'!$B46,'5. PERSON'!$D$17:$D$192,GB$18)</f>
        <v>0</v>
      </c>
      <c r="GC46" s="941">
        <f>SUMIFS('5. PERSON'!$AE$17:$AE$192,'5. PERSON'!$B$17:$B$192,'14. EUFP'!$B46,'5. PERSON'!$D$17:$D$192,GC$18)</f>
        <v>0</v>
      </c>
      <c r="GD46" s="941">
        <f>SUMIFS('5. PERSON'!$AE$17:$AE$192,'5. PERSON'!$B$17:$B$192,'14. EUFP'!$B46,'5. PERSON'!$D$17:$D$192,GD$18)</f>
        <v>0</v>
      </c>
      <c r="GE46" s="941">
        <f>SUMIFS('5. PERSON'!$AE$17:$AE$192,'5. PERSON'!$B$17:$B$192,'14. EUFP'!$B46,'5. PERSON'!$D$17:$D$192,GE$18)</f>
        <v>0</v>
      </c>
      <c r="GF46" s="941">
        <f>SUMIFS('5. PERSON'!$AE$17:$AE$192,'5. PERSON'!$B$17:$B$192,'14. EUFP'!$B46,'5. PERSON'!$D$17:$D$192,GF$18)</f>
        <v>0</v>
      </c>
      <c r="GG46" s="941">
        <f>SUMIFS('5. PERSON'!$AE$17:$AE$192,'5. PERSON'!$B$17:$B$192,'14. EUFP'!$B46,'5. PERSON'!$D$17:$D$192,GG$18)</f>
        <v>0</v>
      </c>
      <c r="GH46" s="941">
        <f>SUMIFS('5. PERSON'!$AE$17:$AE$192,'5. PERSON'!$B$17:$B$192,'14. EUFP'!$B46,'5. PERSON'!$D$17:$D$192,GH$18)</f>
        <v>0</v>
      </c>
      <c r="GI46" s="941">
        <f>SUMIFS('5. PERSON'!$AE$17:$AE$192,'5. PERSON'!$B$17:$B$192,'14. EUFP'!$B46,'5. PERSON'!$D$17:$D$192,GI$18)</f>
        <v>0</v>
      </c>
      <c r="GJ46" s="941">
        <f>SUMIFS('5. PERSON'!$AE$17:$AE$192,'5. PERSON'!$B$17:$B$192,'14. EUFP'!$B46,'5. PERSON'!$D$17:$D$192,GJ$18)</f>
        <v>0</v>
      </c>
      <c r="GK46" s="941">
        <f>SUMIFS('5. PERSON'!$AE$17:$AE$192,'5. PERSON'!$B$17:$B$192,'14. EUFP'!$B46,'5. PERSON'!$D$17:$D$192,GK$18)</f>
        <v>0</v>
      </c>
      <c r="GL46" s="941">
        <f t="shared" si="28"/>
        <v>0</v>
      </c>
    </row>
    <row r="47" spans="2:194" s="71" customFormat="1" ht="13.5" customHeight="1" x14ac:dyDescent="0.2">
      <c r="B47" s="259" t="str">
        <f>'3. PARTNER'!B74</f>
        <v>EXT124</v>
      </c>
      <c r="C47" s="281">
        <f>SUMIF('5. PERSON'!B$17:B$192,B47,'5. PERSON'!AR$17:AR$192)</f>
        <v>0</v>
      </c>
      <c r="D47" s="281">
        <f>SUMIFS('5. PERSON'!$AR$17:$AR$192,'5. PERSON'!$B$17:$B$192,$B47,'5. PERSON'!$D$17:$D$192,D$18)</f>
        <v>0</v>
      </c>
      <c r="E47" s="281">
        <f>SUMIFS('5. PERSON'!$AR$17:$AR$192,'5. PERSON'!$B$17:$B$192,$B47,'5. PERSON'!$D$17:$D$192,E$18)</f>
        <v>0</v>
      </c>
      <c r="F47" s="281">
        <f>SUMIFS('5. PERSON'!$AR$17:$AR$192,'5. PERSON'!$B$17:$B$192,$B47,'5. PERSON'!$D$17:$D$192,F$18)</f>
        <v>0</v>
      </c>
      <c r="G47" s="281">
        <f>SUMIFS('5. PERSON'!$AR$17:$AR$192,'5. PERSON'!$B$17:$B$192,$B47,'5. PERSON'!$D$17:$D$192,G$18)</f>
        <v>0</v>
      </c>
      <c r="H47" s="281">
        <f>SUMIFS('5. PERSON'!$AR$17:$AR$192,'5. PERSON'!$B$17:$B$192,$B47,'5. PERSON'!$D$17:$D$192,H$18)</f>
        <v>0</v>
      </c>
      <c r="I47" s="281">
        <f>SUMIFS('5. PERSON'!$AR$17:$AR$192,'5. PERSON'!$B$17:$B$192,$B47,'5. PERSON'!$D$17:$D$192,I$18)</f>
        <v>0</v>
      </c>
      <c r="J47" s="281">
        <f>SUMIFS('5. PERSON'!$AR$17:$AR$192,'5. PERSON'!$B$17:$B$192,$B47,'5. PERSON'!$D$17:$D$192,J$18)</f>
        <v>0</v>
      </c>
      <c r="K47" s="281">
        <f>SUMIFS('5. PERSON'!$AR$17:$AR$192,'5. PERSON'!$B$17:$B$192,$B47,'5. PERSON'!$D$17:$D$192,K$18)</f>
        <v>0</v>
      </c>
      <c r="L47" s="281">
        <f>SUMIFS('5. PERSON'!$AR$17:$AR$192,'5. PERSON'!$B$17:$B$192,$B47,'5. PERSON'!$D$17:$D$192,L$18)</f>
        <v>0</v>
      </c>
      <c r="M47" s="281">
        <f>SUMIFS('5. PERSON'!$AR$17:$AR$192,'5. PERSON'!$B$17:$B$192,$B47,'5. PERSON'!$D$17:$D$192,M$18)</f>
        <v>0</v>
      </c>
      <c r="N47" s="281">
        <f>SUMIFS('5. PERSON'!$AR$17:$AR$192,'5. PERSON'!$B$17:$B$192,$B47,'5. PERSON'!$D$17:$D$192,N$18)</f>
        <v>0</v>
      </c>
      <c r="O47" s="281">
        <f>SUMIFS('5. PERSON'!$AR$17:$AR$192,'5. PERSON'!$B$17:$B$192,$B47,'5. PERSON'!$D$17:$D$192,O$18)</f>
        <v>0</v>
      </c>
      <c r="P47" s="281">
        <f>SUMIFS('5. PERSON'!$AR$17:$AR$192,'5. PERSON'!$B$17:$B$192,$B47,'5. PERSON'!$D$17:$D$192,P$18)</f>
        <v>0</v>
      </c>
      <c r="Q47" s="281">
        <f>SUMIFS('5. PERSON'!$AR$17:$AR$192,'5. PERSON'!$B$17:$B$192,$B47,'5. PERSON'!$D$17:$D$192,Q$18)</f>
        <v>0</v>
      </c>
      <c r="R47" s="281">
        <f>SUMIFS('5. PERSON'!$AR$17:$AR$192,'5. PERSON'!$B$17:$B$192,$B47,'5. PERSON'!$D$17:$D$192,R$18)</f>
        <v>0</v>
      </c>
      <c r="S47" s="281">
        <f>SUMIFS('5. PERSON'!$AR$17:$AR$192,'5. PERSON'!$B$17:$B$192,$B47,'5. PERSON'!$D$17:$D$192,S$18)</f>
        <v>0</v>
      </c>
      <c r="T47" s="281">
        <f>SUMIFS('5. PERSON'!$AR$17:$AR$192,'5. PERSON'!$B$17:$B$192,$B47,'5. PERSON'!$D$17:$D$192,T$18)</f>
        <v>0</v>
      </c>
      <c r="U47" s="281">
        <f>SUMIFS('5. PERSON'!$AR$17:$AR$192,'5. PERSON'!$B$17:$B$192,$B47,'5. PERSON'!$D$17:$D$192,U$18)</f>
        <v>0</v>
      </c>
      <c r="V47" s="281">
        <f>SUMIFS('5. PERSON'!$AR$17:$AR$192,'5. PERSON'!$B$17:$B$192,$B47,'5. PERSON'!$D$17:$D$192,V$18)</f>
        <v>0</v>
      </c>
      <c r="W47" s="281">
        <f>SUMIFS('5. PERSON'!$AR$17:$AR$192,'5. PERSON'!$B$17:$B$192,$B47,'5. PERSON'!$D$17:$D$192,W$18)</f>
        <v>0</v>
      </c>
      <c r="X47" s="281">
        <f>SUMIFS('6. OPERATION'!R$17:R$149,'6. OPERATION'!B$17:B$149,B47,'6. OPERATION'!G$17:G$149,"SUBCON")</f>
        <v>0</v>
      </c>
      <c r="Y47" s="281">
        <f>SUMIFS('6. OPERATION'!$R$17:$R$149,'6. OPERATION'!$B$17:$B$149,$B47,'6. OPERATION'!$G$17:$G$149,"SUBCON",'6. OPERATION'!$D$17:$D$149,Y$18)</f>
        <v>0</v>
      </c>
      <c r="Z47" s="281">
        <f>SUMIFS('6. OPERATION'!$R$17:$R$149,'6. OPERATION'!$B$17:$B$149,$B47,'6. OPERATION'!$G$17:$G$149,"SUBCON",'6. OPERATION'!$D$17:$D$149,Z$18)</f>
        <v>0</v>
      </c>
      <c r="AA47" s="281">
        <f>SUMIFS('6. OPERATION'!$R$17:$R$149,'6. OPERATION'!$B$17:$B$149,$B47,'6. OPERATION'!$G$17:$G$149,"SUBCON",'6. OPERATION'!$D$17:$D$149,AA$18)</f>
        <v>0</v>
      </c>
      <c r="AB47" s="281">
        <f>SUMIFS('6. OPERATION'!$R$17:$R$149,'6. OPERATION'!$B$17:$B$149,$B47,'6. OPERATION'!$G$17:$G$149,"SUBCON",'6. OPERATION'!$D$17:$D$149,AB$18)</f>
        <v>0</v>
      </c>
      <c r="AC47" s="281">
        <f>SUMIFS('6. OPERATION'!$R$17:$R$149,'6. OPERATION'!$B$17:$B$149,$B47,'6. OPERATION'!$G$17:$G$149,"SUBCON",'6. OPERATION'!$D$17:$D$149,AC$18)</f>
        <v>0</v>
      </c>
      <c r="AD47" s="281">
        <f>SUMIFS('6. OPERATION'!$R$17:$R$149,'6. OPERATION'!$B$17:$B$149,$B47,'6. OPERATION'!$G$17:$G$149,"SUBCON",'6. OPERATION'!$D$17:$D$149,AD$18)</f>
        <v>0</v>
      </c>
      <c r="AE47" s="281">
        <f>SUMIFS('6. OPERATION'!$R$17:$R$149,'6. OPERATION'!$B$17:$B$149,$B47,'6. OPERATION'!$G$17:$G$149,"SUBCON",'6. OPERATION'!$D$17:$D$149,AE$18)</f>
        <v>0</v>
      </c>
      <c r="AF47" s="281">
        <f>SUMIFS('6. OPERATION'!$R$17:$R$149,'6. OPERATION'!$B$17:$B$149,$B47,'6. OPERATION'!$G$17:$G$149,"SUBCON",'6. OPERATION'!$D$17:$D$149,AF$18)</f>
        <v>0</v>
      </c>
      <c r="AG47" s="281">
        <f>SUMIFS('6. OPERATION'!$R$17:$R$149,'6. OPERATION'!$B$17:$B$149,$B47,'6. OPERATION'!$G$17:$G$149,"SUBCON",'6. OPERATION'!$D$17:$D$149,AG$18)</f>
        <v>0</v>
      </c>
      <c r="AH47" s="281">
        <f>SUMIFS('6. OPERATION'!$R$17:$R$149,'6. OPERATION'!$B$17:$B$149,$B47,'6. OPERATION'!$G$17:$G$149,"SUBCON",'6. OPERATION'!$D$17:$D$149,AH$18)</f>
        <v>0</v>
      </c>
      <c r="AI47" s="281">
        <f>SUMIFS('6. OPERATION'!$R$17:$R$149,'6. OPERATION'!$B$17:$B$149,$B47,'6. OPERATION'!$G$17:$G$149,"SUBCON",'6. OPERATION'!$D$17:$D$149,AI$18)</f>
        <v>0</v>
      </c>
      <c r="AJ47" s="281">
        <f>SUMIFS('6. OPERATION'!$R$17:$R$149,'6. OPERATION'!$B$17:$B$149,$B47,'6. OPERATION'!$G$17:$G$149,"SUBCON",'6. OPERATION'!$D$17:$D$149,AJ$18)</f>
        <v>0</v>
      </c>
      <c r="AK47" s="281">
        <f>SUMIFS('6. OPERATION'!$R$17:$R$149,'6. OPERATION'!$B$17:$B$149,$B47,'6. OPERATION'!$G$17:$G$149,"SUBCON",'6. OPERATION'!$D$17:$D$149,AK$18)</f>
        <v>0</v>
      </c>
      <c r="AL47" s="281">
        <f>SUMIFS('6. OPERATION'!$R$17:$R$149,'6. OPERATION'!$B$17:$B$149,$B47,'6. OPERATION'!$G$17:$G$149,"SUBCON",'6. OPERATION'!$D$17:$D$149,AL$18)</f>
        <v>0</v>
      </c>
      <c r="AM47" s="281">
        <f>SUMIFS('6. OPERATION'!$R$17:$R$149,'6. OPERATION'!$B$17:$B$149,$B47,'6. OPERATION'!$G$17:$G$149,"SUBCON",'6. OPERATION'!$D$17:$D$149,AM$18)</f>
        <v>0</v>
      </c>
      <c r="AN47" s="281">
        <f>SUMIFS('6. OPERATION'!$R$17:$R$149,'6. OPERATION'!$B$17:$B$149,$B47,'6. OPERATION'!$G$17:$G$149,"SUBCON",'6. OPERATION'!$D$17:$D$149,AN$18)</f>
        <v>0</v>
      </c>
      <c r="AO47" s="281">
        <f>SUMIFS('6. OPERATION'!$R$17:$R$149,'6. OPERATION'!$B$17:$B$149,$B47,'6. OPERATION'!$G$17:$G$149,"SUBCON",'6. OPERATION'!$D$17:$D$149,AO$18)</f>
        <v>0</v>
      </c>
      <c r="AP47" s="281">
        <f>SUMIFS('6. OPERATION'!$R$17:$R$149,'6. OPERATION'!$B$17:$B$149,$B47,'6. OPERATION'!$G$17:$G$149,"SUBCON",'6. OPERATION'!$D$17:$D$149,AP$18)</f>
        <v>0</v>
      </c>
      <c r="AQ47" s="281">
        <f>SUMIFS('6. OPERATION'!$R$17:$R$149,'6. OPERATION'!$B$17:$B$149,$B47,'6. OPERATION'!$G$17:$G$149,"SUBCON",'6. OPERATION'!$D$17:$D$149,AQ$18)</f>
        <v>0</v>
      </c>
      <c r="AR47" s="281">
        <f>SUMIFS('6. OPERATION'!$R$17:$R$149,'6. OPERATION'!$B$17:$B$149,$B47,'6. OPERATION'!$G$17:$G$149,"SUBCON",'6. OPERATION'!$D$17:$D$149,AR$18)</f>
        <v>0</v>
      </c>
      <c r="AS47" s="281">
        <f>SUMIFS('6. OPERATION'!R$17:R$149,'6. OPERATION'!B$17:B$149,B47,'6. OPERATION'!G$17:G$149,"TRAVEL")</f>
        <v>0</v>
      </c>
      <c r="AT47" s="281">
        <f>SUMIFS('6. OPERATION'!$R$17:$R$149,'6. OPERATION'!$B$17:$B$149,$B47,'6. OPERATION'!$G$17:$G$149,"TRAVEL",'6. OPERATION'!$D$17:$D$149,AT$18)</f>
        <v>0</v>
      </c>
      <c r="AU47" s="281">
        <f>SUMIFS('6. OPERATION'!$R$17:$R$149,'6. OPERATION'!$B$17:$B$149,$B47,'6. OPERATION'!$G$17:$G$149,"TRAVEL",'6. OPERATION'!$D$17:$D$149,AU$18)</f>
        <v>0</v>
      </c>
      <c r="AV47" s="281">
        <f>SUMIFS('6. OPERATION'!$R$17:$R$149,'6. OPERATION'!$B$17:$B$149,$B47,'6. OPERATION'!$G$17:$G$149,"TRAVEL",'6. OPERATION'!$D$17:$D$149,AV$18)</f>
        <v>0</v>
      </c>
      <c r="AW47" s="281">
        <f>SUMIFS('6. OPERATION'!$R$17:$R$149,'6. OPERATION'!$B$17:$B$149,$B47,'6. OPERATION'!$G$17:$G$149,"TRAVEL",'6. OPERATION'!$D$17:$D$149,AW$18)</f>
        <v>0</v>
      </c>
      <c r="AX47" s="281">
        <f>SUMIFS('6. OPERATION'!$R$17:$R$149,'6. OPERATION'!$B$17:$B$149,$B47,'6. OPERATION'!$G$17:$G$149,"TRAVEL",'6. OPERATION'!$D$17:$D$149,AX$18)</f>
        <v>0</v>
      </c>
      <c r="AY47" s="281">
        <f>SUMIFS('6. OPERATION'!$R$17:$R$149,'6. OPERATION'!$B$17:$B$149,$B47,'6. OPERATION'!$G$17:$G$149,"TRAVEL",'6. OPERATION'!$D$17:$D$149,AY$18)</f>
        <v>0</v>
      </c>
      <c r="AZ47" s="281">
        <f>SUMIFS('6. OPERATION'!$R$17:$R$149,'6. OPERATION'!$B$17:$B$149,$B47,'6. OPERATION'!$G$17:$G$149,"TRAVEL",'6. OPERATION'!$D$17:$D$149,AZ$18)</f>
        <v>0</v>
      </c>
      <c r="BA47" s="281">
        <f>SUMIFS('6. OPERATION'!$R$17:$R$149,'6. OPERATION'!$B$17:$B$149,$B47,'6. OPERATION'!$G$17:$G$149,"TRAVEL",'6. OPERATION'!$D$17:$D$149,BA$18)</f>
        <v>0</v>
      </c>
      <c r="BB47" s="281">
        <f>SUMIFS('6. OPERATION'!$R$17:$R$149,'6. OPERATION'!$B$17:$B$149,$B47,'6. OPERATION'!$G$17:$G$149,"TRAVEL",'6. OPERATION'!$D$17:$D$149,BB$18)</f>
        <v>0</v>
      </c>
      <c r="BC47" s="281">
        <f>SUMIFS('6. OPERATION'!$R$17:$R$149,'6. OPERATION'!$B$17:$B$149,$B47,'6. OPERATION'!$G$17:$G$149,"TRAVEL",'6. OPERATION'!$D$17:$D$149,BC$18)</f>
        <v>0</v>
      </c>
      <c r="BD47" s="281">
        <f>SUMIFS('6. OPERATION'!$R$17:$R$149,'6. OPERATION'!$B$17:$B$149,$B47,'6. OPERATION'!$G$17:$G$149,"TRAVEL",'6. OPERATION'!$D$17:$D$149,BD$18)</f>
        <v>0</v>
      </c>
      <c r="BE47" s="281">
        <f>SUMIFS('6. OPERATION'!$R$17:$R$149,'6. OPERATION'!$B$17:$B$149,$B47,'6. OPERATION'!$G$17:$G$149,"TRAVEL",'6. OPERATION'!$D$17:$D$149,BE$18)</f>
        <v>0</v>
      </c>
      <c r="BF47" s="281">
        <f>SUMIFS('6. OPERATION'!$R$17:$R$149,'6. OPERATION'!$B$17:$B$149,$B47,'6. OPERATION'!$G$17:$G$149,"TRAVEL",'6. OPERATION'!$D$17:$D$149,BF$18)</f>
        <v>0</v>
      </c>
      <c r="BG47" s="281">
        <f>SUMIFS('6. OPERATION'!$R$17:$R$149,'6. OPERATION'!$B$17:$B$149,$B47,'6. OPERATION'!$G$17:$G$149,"TRAVEL",'6. OPERATION'!$D$17:$D$149,BG$18)</f>
        <v>0</v>
      </c>
      <c r="BH47" s="281">
        <f>SUMIFS('6. OPERATION'!$R$17:$R$149,'6. OPERATION'!$B$17:$B$149,$B47,'6. OPERATION'!$G$17:$G$149,"TRAVEL",'6. OPERATION'!$D$17:$D$149,BH$18)</f>
        <v>0</v>
      </c>
      <c r="BI47" s="281">
        <f>SUMIFS('6. OPERATION'!$R$17:$R$149,'6. OPERATION'!$B$17:$B$149,$B47,'6. OPERATION'!$G$17:$G$149,"TRAVEL",'6. OPERATION'!$D$17:$D$149,BI$18)</f>
        <v>0</v>
      </c>
      <c r="BJ47" s="281">
        <f>SUMIFS('6. OPERATION'!$R$17:$R$149,'6. OPERATION'!$B$17:$B$149,$B47,'6. OPERATION'!$G$17:$G$149,"TRAVEL",'6. OPERATION'!$D$17:$D$149,BJ$18)</f>
        <v>0</v>
      </c>
      <c r="BK47" s="281">
        <f>SUMIFS('6. OPERATION'!$R$17:$R$149,'6. OPERATION'!$B$17:$B$149,$B47,'6. OPERATION'!$G$17:$G$149,"TRAVEL",'6. OPERATION'!$D$17:$D$149,BK$18)</f>
        <v>0</v>
      </c>
      <c r="BL47" s="281">
        <f>SUMIFS('6. OPERATION'!$R$17:$R$149,'6. OPERATION'!$B$17:$B$149,$B47,'6. OPERATION'!$G$17:$G$149,"TRAVEL",'6. OPERATION'!$D$17:$D$149,BL$18)</f>
        <v>0</v>
      </c>
      <c r="BM47" s="281">
        <f>SUMIFS('6. OPERATION'!$R$17:$R$149,'6. OPERATION'!$B$17:$B$149,$B47,'6. OPERATION'!$G$17:$G$149,"TRAVEL",'6. OPERATION'!$D$17:$D$149,BM$18)</f>
        <v>0</v>
      </c>
      <c r="BN47" s="281">
        <f>SUMIF('7. INVEST'!B$17:B$49,B47,'7. INVEST'!S$17:S$49)</f>
        <v>0</v>
      </c>
      <c r="BO47" s="281">
        <f>SUMIFS('7. INVEST'!$S$17:$S$49,'7. INVEST'!$B$17:$B$49,$B47,'7. INVEST'!$D$17:$D$49,BO$18)</f>
        <v>0</v>
      </c>
      <c r="BP47" s="281">
        <f>SUMIFS('7. INVEST'!$S$17:$S$49,'7. INVEST'!$B$17:$B$49,$B47,'7. INVEST'!$D$17:$D$49,BP$18)</f>
        <v>0</v>
      </c>
      <c r="BQ47" s="281">
        <f>SUMIFS('7. INVEST'!$S$17:$S$49,'7. INVEST'!$B$17:$B$49,$B47,'7. INVEST'!$D$17:$D$49,BQ$18)</f>
        <v>0</v>
      </c>
      <c r="BR47" s="281">
        <f>SUMIFS('7. INVEST'!$S$17:$S$49,'7. INVEST'!$B$17:$B$49,$B47,'7. INVEST'!$D$17:$D$49,BR$18)</f>
        <v>0</v>
      </c>
      <c r="BS47" s="281">
        <f>SUMIFS('7. INVEST'!$S$17:$S$49,'7. INVEST'!$B$17:$B$49,$B47,'7. INVEST'!$D$17:$D$49,BS$18)</f>
        <v>0</v>
      </c>
      <c r="BT47" s="281">
        <f>SUMIFS('7. INVEST'!$S$17:$S$49,'7. INVEST'!$B$17:$B$49,$B47,'7. INVEST'!$D$17:$D$49,BT$18)</f>
        <v>0</v>
      </c>
      <c r="BU47" s="281">
        <f>SUMIFS('7. INVEST'!$S$17:$S$49,'7. INVEST'!$B$17:$B$49,$B47,'7. INVEST'!$D$17:$D$49,BU$18)</f>
        <v>0</v>
      </c>
      <c r="BV47" s="281">
        <f>SUMIFS('7. INVEST'!$S$17:$S$49,'7. INVEST'!$B$17:$B$49,$B47,'7. INVEST'!$D$17:$D$49,BV$18)</f>
        <v>0</v>
      </c>
      <c r="BW47" s="281">
        <f>SUMIFS('7. INVEST'!$S$17:$S$49,'7. INVEST'!$B$17:$B$49,$B47,'7. INVEST'!$D$17:$D$49,BW$18)</f>
        <v>0</v>
      </c>
      <c r="BX47" s="281">
        <f>SUMIFS('7. INVEST'!$S$17:$S$49,'7. INVEST'!$B$17:$B$49,$B47,'7. INVEST'!$D$17:$D$49,BX$18)</f>
        <v>0</v>
      </c>
      <c r="BY47" s="281">
        <f>SUMIFS('7. INVEST'!$S$17:$S$49,'7. INVEST'!$B$17:$B$49,$B47,'7. INVEST'!$D$17:$D$49,BY$18)</f>
        <v>0</v>
      </c>
      <c r="BZ47" s="281">
        <f>SUMIFS('7. INVEST'!$S$17:$S$49,'7. INVEST'!$B$17:$B$49,$B47,'7. INVEST'!$D$17:$D$49,BZ$18)</f>
        <v>0</v>
      </c>
      <c r="CA47" s="281">
        <f>SUMIFS('7. INVEST'!$S$17:$S$49,'7. INVEST'!$B$17:$B$49,$B47,'7. INVEST'!$D$17:$D$49,CA$18)</f>
        <v>0</v>
      </c>
      <c r="CB47" s="281">
        <f>SUMIFS('7. INVEST'!$S$17:$S$49,'7. INVEST'!$B$17:$B$49,$B47,'7. INVEST'!$D$17:$D$49,CB$18)</f>
        <v>0</v>
      </c>
      <c r="CC47" s="281">
        <f>SUMIFS('7. INVEST'!$S$17:$S$49,'7. INVEST'!$B$17:$B$49,$B47,'7. INVEST'!$D$17:$D$49,CC$18)</f>
        <v>0</v>
      </c>
      <c r="CD47" s="281">
        <f>SUMIFS('7. INVEST'!$S$17:$S$49,'7. INVEST'!$B$17:$B$49,$B47,'7. INVEST'!$D$17:$D$49,CD$18)</f>
        <v>0</v>
      </c>
      <c r="CE47" s="281">
        <f>SUMIFS('7. INVEST'!$S$17:$S$49,'7. INVEST'!$B$17:$B$49,$B47,'7. INVEST'!$D$17:$D$49,CE$18)</f>
        <v>0</v>
      </c>
      <c r="CF47" s="281">
        <f>SUMIFS('7. INVEST'!$S$17:$S$49,'7. INVEST'!$B$17:$B$49,$B47,'7. INVEST'!$D$17:$D$49,CF$18)</f>
        <v>0</v>
      </c>
      <c r="CG47" s="281">
        <f>SUMIFS('7. INVEST'!$S$17:$S$49,'7. INVEST'!$B$17:$B$49,$B47,'7. INVEST'!$D$17:$D$49,CG$18)</f>
        <v>0</v>
      </c>
      <c r="CH47" s="281">
        <f>SUMIFS('7. INVEST'!$S$17:$S$49,'7. INVEST'!$B$17:$B$49,$B47,'7. INVEST'!$D$17:$D$49,CH$18)</f>
        <v>0</v>
      </c>
      <c r="CI47" s="281">
        <f>SUMIFS('6. OPERATION'!$R$17:$R$149,'6. OPERATION'!$B$17:$B$149,$B47,'6. OPERATION'!$G$17:$G$149,"OTHER")+SUMIF('8. FACILIT'!$B$18:$B$50,$B47,'8. FACILIT'!$P$18:$P$50)</f>
        <v>0</v>
      </c>
      <c r="CJ47" s="281">
        <f>SUMIFS('6. OPERATION'!$R$17:$R$149,'6. OPERATION'!$B$17:$B$149,$B47,'6. OPERATION'!$G$17:$G$149,"OTHER",'6. OPERATION'!$D$17:$D$149,CJ$18)+SUMIFS('8. FACILIT'!$P$18:$P$50,'8. FACILIT'!$B$18:$B$50,$B47,'8. FACILIT'!$D$18:$D$50,CJ$18)</f>
        <v>0</v>
      </c>
      <c r="CK47" s="281">
        <f>SUMIFS('6. OPERATION'!$R$17:$R$149,'6. OPERATION'!$B$17:$B$149,$B47,'6. OPERATION'!$G$17:$G$149,"OTHER",'6. OPERATION'!$D$17:$D$149,CK$18)+SUMIFS('8. FACILIT'!$P$18:$P$50,'8. FACILIT'!$B$18:$B$50,$B47,'8. FACILIT'!$D$18:$D$50,CK$18)</f>
        <v>0</v>
      </c>
      <c r="CL47" s="281">
        <f>SUMIFS('6. OPERATION'!$R$17:$R$149,'6. OPERATION'!$B$17:$B$149,$B47,'6. OPERATION'!$G$17:$G$149,"OTHER",'6. OPERATION'!$D$17:$D$149,CL$18)+SUMIFS('8. FACILIT'!$P$18:$P$50,'8. FACILIT'!$B$18:$B$50,$B47,'8. FACILIT'!$D$18:$D$50,CL$18)</f>
        <v>0</v>
      </c>
      <c r="CM47" s="281">
        <f>SUMIFS('6. OPERATION'!$R$17:$R$149,'6. OPERATION'!$B$17:$B$149,$B47,'6. OPERATION'!$G$17:$G$149,"OTHER",'6. OPERATION'!$D$17:$D$149,CM$18)+SUMIFS('8. FACILIT'!$P$18:$P$50,'8. FACILIT'!$B$18:$B$50,$B47,'8. FACILIT'!$D$18:$D$50,CM$18)</f>
        <v>0</v>
      </c>
      <c r="CN47" s="281">
        <f>SUMIFS('6. OPERATION'!$R$17:$R$149,'6. OPERATION'!$B$17:$B$149,$B47,'6. OPERATION'!$G$17:$G$149,"OTHER",'6. OPERATION'!$D$17:$D$149,CN$18)+SUMIFS('8. FACILIT'!$P$18:$P$50,'8. FACILIT'!$B$18:$B$50,$B47,'8. FACILIT'!$D$18:$D$50,CN$18)</f>
        <v>0</v>
      </c>
      <c r="CO47" s="281">
        <f>SUMIFS('6. OPERATION'!$R$17:$R$149,'6. OPERATION'!$B$17:$B$149,$B47,'6. OPERATION'!$G$17:$G$149,"OTHER",'6. OPERATION'!$D$17:$D$149,CO$18)+SUMIFS('8. FACILIT'!$P$18:$P$50,'8. FACILIT'!$B$18:$B$50,$B47,'8. FACILIT'!$D$18:$D$50,CO$18)</f>
        <v>0</v>
      </c>
      <c r="CP47" s="281">
        <f>SUMIFS('6. OPERATION'!$R$17:$R$149,'6. OPERATION'!$B$17:$B$149,$B47,'6. OPERATION'!$G$17:$G$149,"OTHER",'6. OPERATION'!$D$17:$D$149,CP$18)+SUMIFS('8. FACILIT'!$P$18:$P$50,'8. FACILIT'!$B$18:$B$50,$B47,'8. FACILIT'!$D$18:$D$50,CP$18)</f>
        <v>0</v>
      </c>
      <c r="CQ47" s="281">
        <f>SUMIFS('6. OPERATION'!$R$17:$R$149,'6. OPERATION'!$B$17:$B$149,$B47,'6. OPERATION'!$G$17:$G$149,"OTHER",'6. OPERATION'!$D$17:$D$149,CQ$18)+SUMIFS('8. FACILIT'!$P$18:$P$50,'8. FACILIT'!$B$18:$B$50,$B47,'8. FACILIT'!$D$18:$D$50,CQ$18)</f>
        <v>0</v>
      </c>
      <c r="CR47" s="281">
        <f>SUMIFS('6. OPERATION'!$R$17:$R$149,'6. OPERATION'!$B$17:$B$149,$B47,'6. OPERATION'!$G$17:$G$149,"OTHER",'6. OPERATION'!$D$17:$D$149,CR$18)+SUMIFS('8. FACILIT'!$P$18:$P$50,'8. FACILIT'!$B$18:$B$50,$B47,'8. FACILIT'!$D$18:$D$50,CR$18)</f>
        <v>0</v>
      </c>
      <c r="CS47" s="281">
        <f>SUMIFS('6. OPERATION'!$R$17:$R$149,'6. OPERATION'!$B$17:$B$149,$B47,'6. OPERATION'!$G$17:$G$149,"OTHER",'6. OPERATION'!$D$17:$D$149,CS$18)+SUMIFS('8. FACILIT'!$P$18:$P$50,'8. FACILIT'!$B$18:$B$50,$B47,'8. FACILIT'!$D$18:$D$50,CS$18)</f>
        <v>0</v>
      </c>
      <c r="CT47" s="281">
        <f>SUMIFS('6. OPERATION'!$R$17:$R$149,'6. OPERATION'!$B$17:$B$149,$B47,'6. OPERATION'!$G$17:$G$149,"OTHER",'6. OPERATION'!$D$17:$D$149,CT$18)+SUMIFS('8. FACILIT'!$P$18:$P$50,'8. FACILIT'!$B$18:$B$50,$B47,'8. FACILIT'!$D$18:$D$50,CT$18)</f>
        <v>0</v>
      </c>
      <c r="CU47" s="281">
        <f>SUMIFS('6. OPERATION'!$R$17:$R$149,'6. OPERATION'!$B$17:$B$149,$B47,'6. OPERATION'!$G$17:$G$149,"OTHER",'6. OPERATION'!$D$17:$D$149,CU$18)+SUMIFS('8. FACILIT'!$P$18:$P$50,'8. FACILIT'!$B$18:$B$50,$B47,'8. FACILIT'!$D$18:$D$50,CU$18)</f>
        <v>0</v>
      </c>
      <c r="CV47" s="281">
        <f>SUMIFS('6. OPERATION'!$R$17:$R$149,'6. OPERATION'!$B$17:$B$149,$B47,'6. OPERATION'!$G$17:$G$149,"OTHER",'6. OPERATION'!$D$17:$D$149,CV$18)+SUMIFS('8. FACILIT'!$P$18:$P$50,'8. FACILIT'!$B$18:$B$50,$B47,'8. FACILIT'!$D$18:$D$50,CV$18)</f>
        <v>0</v>
      </c>
      <c r="CW47" s="281">
        <f>SUMIFS('6. OPERATION'!$R$17:$R$149,'6. OPERATION'!$B$17:$B$149,$B47,'6. OPERATION'!$G$17:$G$149,"OTHER",'6. OPERATION'!$D$17:$D$149,CW$18)+SUMIFS('8. FACILIT'!$P$18:$P$50,'8. FACILIT'!$B$18:$B$50,$B47,'8. FACILIT'!$D$18:$D$50,CW$18)</f>
        <v>0</v>
      </c>
      <c r="CX47" s="281">
        <f>SUMIFS('6. OPERATION'!$R$17:$R$149,'6. OPERATION'!$B$17:$B$149,$B47,'6. OPERATION'!$G$17:$G$149,"OTHER",'6. OPERATION'!$D$17:$D$149,CX$18)+SUMIFS('8. FACILIT'!$P$18:$P$50,'8. FACILIT'!$B$18:$B$50,$B47,'8. FACILIT'!$D$18:$D$50,CX$18)</f>
        <v>0</v>
      </c>
      <c r="CY47" s="281">
        <f>SUMIFS('6. OPERATION'!$R$17:$R$149,'6. OPERATION'!$B$17:$B$149,$B47,'6. OPERATION'!$G$17:$G$149,"OTHER",'6. OPERATION'!$D$17:$D$149,CY$18)+SUMIFS('8. FACILIT'!$P$18:$P$50,'8. FACILIT'!$B$18:$B$50,$B47,'8. FACILIT'!$D$18:$D$50,CY$18)</f>
        <v>0</v>
      </c>
      <c r="CZ47" s="281">
        <f>SUMIFS('6. OPERATION'!$R$17:$R$149,'6. OPERATION'!$B$17:$B$149,$B47,'6. OPERATION'!$G$17:$G$149,"OTHER",'6. OPERATION'!$D$17:$D$149,CZ$18)+SUMIFS('8. FACILIT'!$P$18:$P$50,'8. FACILIT'!$B$18:$B$50,$B47,'8. FACILIT'!$D$18:$D$50,CZ$18)</f>
        <v>0</v>
      </c>
      <c r="DA47" s="281">
        <f>SUMIFS('6. OPERATION'!$R$17:$R$149,'6. OPERATION'!$B$17:$B$149,$B47,'6. OPERATION'!$G$17:$G$149,"OTHER",'6. OPERATION'!$D$17:$D$149,DA$18)+SUMIFS('8. FACILIT'!$P$18:$P$50,'8. FACILIT'!$B$18:$B$50,$B47,'8. FACILIT'!$D$18:$D$50,DA$18)</f>
        <v>0</v>
      </c>
      <c r="DB47" s="281">
        <f>SUMIFS('6. OPERATION'!$R$17:$R$149,'6. OPERATION'!$B$17:$B$149,$B47,'6. OPERATION'!$G$17:$G$149,"OTHER",'6. OPERATION'!$D$17:$D$149,DB$18)+SUMIFS('8. FACILIT'!$P$18:$P$50,'8. FACILIT'!$B$18:$B$50,$B47,'8. FACILIT'!$D$18:$D$50,DB$18)</f>
        <v>0</v>
      </c>
      <c r="DC47" s="281">
        <f>SUMIFS('6. OPERATION'!$R$17:$R$149,'6. OPERATION'!$B$17:$B$149,$B47,'6. OPERATION'!$G$17:$G$149,"OTHER",'6. OPERATION'!$D$17:$D$149,DC$18)+SUMIFS('8. FACILIT'!$P$18:$P$50,'8. FACILIT'!$B$18:$B$50,$B47,'8. FACILIT'!$D$18:$D$50,DC$18)</f>
        <v>0</v>
      </c>
      <c r="DD47" s="281">
        <f>SUMIFS('6. OPERATION'!R$17:R$149,'6. OPERATION'!B$17:B$149,B47,'6. OPERATION'!G$17:G$149,"INTERN")</f>
        <v>0</v>
      </c>
      <c r="DE47" s="281">
        <f>SUMIFS('6. OPERATION'!$R$17:$R$149,'6. OPERATION'!$B$17:$B$149,$B47,'6. OPERATION'!$G$17:$G$149,"INTERN",'6. OPERATION'!$D$17:$D$149,DE$18)</f>
        <v>0</v>
      </c>
      <c r="DF47" s="281">
        <f>SUMIFS('6. OPERATION'!$R$17:$R$149,'6. OPERATION'!$B$17:$B$149,$B47,'6. OPERATION'!$G$17:$G$149,"INTERN",'6. OPERATION'!$D$17:$D$149,DF$18)</f>
        <v>0</v>
      </c>
      <c r="DG47" s="281">
        <f>SUMIFS('6. OPERATION'!$R$17:$R$149,'6. OPERATION'!$B$17:$B$149,$B47,'6. OPERATION'!$G$17:$G$149,"INTERN",'6. OPERATION'!$D$17:$D$149,DG$18)</f>
        <v>0</v>
      </c>
      <c r="DH47" s="281">
        <f>SUMIFS('6. OPERATION'!$R$17:$R$149,'6. OPERATION'!$B$17:$B$149,$B47,'6. OPERATION'!$G$17:$G$149,"INTERN",'6. OPERATION'!$D$17:$D$149,DH$18)</f>
        <v>0</v>
      </c>
      <c r="DI47" s="281">
        <f>SUMIFS('6. OPERATION'!$R$17:$R$149,'6. OPERATION'!$B$17:$B$149,$B47,'6. OPERATION'!$G$17:$G$149,"INTERN",'6. OPERATION'!$D$17:$D$149,DI$18)</f>
        <v>0</v>
      </c>
      <c r="DJ47" s="281">
        <f>SUMIFS('6. OPERATION'!$R$17:$R$149,'6. OPERATION'!$B$17:$B$149,$B47,'6. OPERATION'!$G$17:$G$149,"INTERN",'6. OPERATION'!$D$17:$D$149,DJ$18)</f>
        <v>0</v>
      </c>
      <c r="DK47" s="281">
        <f>SUMIFS('6. OPERATION'!$R$17:$R$149,'6. OPERATION'!$B$17:$B$149,$B47,'6. OPERATION'!$G$17:$G$149,"INTERN",'6. OPERATION'!$D$17:$D$149,DK$18)</f>
        <v>0</v>
      </c>
      <c r="DL47" s="281">
        <f>SUMIFS('6. OPERATION'!$R$17:$R$149,'6. OPERATION'!$B$17:$B$149,$B47,'6. OPERATION'!$G$17:$G$149,"INTERN",'6. OPERATION'!$D$17:$D$149,DL$18)</f>
        <v>0</v>
      </c>
      <c r="DM47" s="281">
        <f>SUMIFS('6. OPERATION'!$R$17:$R$149,'6. OPERATION'!$B$17:$B$149,$B47,'6. OPERATION'!$G$17:$G$149,"INTERN",'6. OPERATION'!$D$17:$D$149,DM$18)</f>
        <v>0</v>
      </c>
      <c r="DN47" s="281">
        <f>SUMIFS('6. OPERATION'!$R$17:$R$149,'6. OPERATION'!$B$17:$B$149,$B47,'6. OPERATION'!$G$17:$G$149,"INTERN",'6. OPERATION'!$D$17:$D$149,DN$18)</f>
        <v>0</v>
      </c>
      <c r="DO47" s="281">
        <f>SUMIFS('6. OPERATION'!$R$17:$R$149,'6. OPERATION'!$B$17:$B$149,$B47,'6. OPERATION'!$G$17:$G$149,"INTERN",'6. OPERATION'!$D$17:$D$149,DO$18)</f>
        <v>0</v>
      </c>
      <c r="DP47" s="281">
        <f>SUMIFS('6. OPERATION'!$R$17:$R$149,'6. OPERATION'!$B$17:$B$149,$B47,'6. OPERATION'!$G$17:$G$149,"INTERN",'6. OPERATION'!$D$17:$D$149,DP$18)</f>
        <v>0</v>
      </c>
      <c r="DQ47" s="281">
        <f>SUMIFS('6. OPERATION'!$R$17:$R$149,'6. OPERATION'!$B$17:$B$149,$B47,'6. OPERATION'!$G$17:$G$149,"INTERN",'6. OPERATION'!$D$17:$D$149,DQ$18)</f>
        <v>0</v>
      </c>
      <c r="DR47" s="281">
        <f>SUMIFS('6. OPERATION'!$R$17:$R$149,'6. OPERATION'!$B$17:$B$149,$B47,'6. OPERATION'!$G$17:$G$149,"INTERN",'6. OPERATION'!$D$17:$D$149,DR$18)</f>
        <v>0</v>
      </c>
      <c r="DS47" s="281">
        <f>SUMIFS('6. OPERATION'!$R$17:$R$149,'6. OPERATION'!$B$17:$B$149,$B47,'6. OPERATION'!$G$17:$G$149,"INTERN",'6. OPERATION'!$D$17:$D$149,DS$18)</f>
        <v>0</v>
      </c>
      <c r="DT47" s="281">
        <f>SUMIFS('6. OPERATION'!$R$17:$R$149,'6. OPERATION'!$B$17:$B$149,$B47,'6. OPERATION'!$G$17:$G$149,"INTERN",'6. OPERATION'!$D$17:$D$149,DT$18)</f>
        <v>0</v>
      </c>
      <c r="DU47" s="281">
        <f>SUMIFS('6. OPERATION'!$R$17:$R$149,'6. OPERATION'!$B$17:$B$149,$B47,'6. OPERATION'!$G$17:$G$149,"INTERN",'6. OPERATION'!$D$17:$D$149,DU$18)</f>
        <v>0</v>
      </c>
      <c r="DV47" s="281">
        <f>SUMIFS('6. OPERATION'!$R$17:$R$149,'6. OPERATION'!$B$17:$B$149,$B47,'6. OPERATION'!$G$17:$G$149,"INTERN",'6. OPERATION'!$D$17:$D$149,DV$18)</f>
        <v>0</v>
      </c>
      <c r="DW47" s="281">
        <f>SUMIFS('6. OPERATION'!$R$17:$R$149,'6. OPERATION'!$B$17:$B$149,$B47,'6. OPERATION'!$G$17:$G$149,"INTERN",'6. OPERATION'!$D$17:$D$149,DW$18)</f>
        <v>0</v>
      </c>
      <c r="DX47" s="281">
        <f>SUMIFS('6. OPERATION'!$R$17:$R$149,'6. OPERATION'!$B$17:$B$149,$B47,'6. OPERATION'!$G$17:$G$149,"INTERN",'6. OPERATION'!$D$17:$D$149,DX$18)</f>
        <v>0</v>
      </c>
      <c r="DY47" s="288">
        <f>(C47+AS47+BN47+CI47)*'2. START'!$C$12</f>
        <v>0</v>
      </c>
      <c r="DZ47" s="288">
        <f>(D47+AT47+BO47+CJ47)*'2. START'!$C$12</f>
        <v>0</v>
      </c>
      <c r="EA47" s="288">
        <f>(E47+AU47+BP47+CK47)*'2. START'!$C$12</f>
        <v>0</v>
      </c>
      <c r="EB47" s="288">
        <f>(F47+AV47+BQ47+CL47)*'2. START'!$C$12</f>
        <v>0</v>
      </c>
      <c r="EC47" s="288">
        <f>(G47+AW47+BR47+CM47)*'2. START'!$C$12</f>
        <v>0</v>
      </c>
      <c r="ED47" s="288">
        <f>(H47+AX47+BS47+CN47)*'2. START'!$C$12</f>
        <v>0</v>
      </c>
      <c r="EE47" s="288">
        <f>(I47+AY47+BT47+CO47)*'2. START'!$C$12</f>
        <v>0</v>
      </c>
      <c r="EF47" s="288">
        <f>(J47+AZ47+BU47+CP47)*'2. START'!$C$12</f>
        <v>0</v>
      </c>
      <c r="EG47" s="288">
        <f>(K47+BA47+BV47+CQ47)*'2. START'!$C$12</f>
        <v>0</v>
      </c>
      <c r="EH47" s="288">
        <f>(L47+BB47+BW47+CR47)*'2. START'!$C$12</f>
        <v>0</v>
      </c>
      <c r="EI47" s="288">
        <f>(M47+BC47+BX47+CS47)*'2. START'!$C$12</f>
        <v>0</v>
      </c>
      <c r="EJ47" s="288">
        <f>(N47+BD47+BY47+CT47)*'2. START'!$C$12</f>
        <v>0</v>
      </c>
      <c r="EK47" s="288">
        <f>(O47+BE47+BZ47+CU47)*'2. START'!$C$12</f>
        <v>0</v>
      </c>
      <c r="EL47" s="288">
        <f>(P47+BF47+CA47+CV47)*'2. START'!$C$12</f>
        <v>0</v>
      </c>
      <c r="EM47" s="288">
        <f>(Q47+BG47+CB47+CW47)*'2. START'!$C$12</f>
        <v>0</v>
      </c>
      <c r="EN47" s="288">
        <f>(R47+BH47+CC47+CX47)*'2. START'!$C$12</f>
        <v>0</v>
      </c>
      <c r="EO47" s="288">
        <f>(S47+BI47+CD47+CY47)*'2. START'!$C$12</f>
        <v>0</v>
      </c>
      <c r="EP47" s="288">
        <f>(T47+BJ47+CE47+CZ47)*'2. START'!$C$12</f>
        <v>0</v>
      </c>
      <c r="EQ47" s="288">
        <f>(U47+BK47+CF47+DA47)*'2. START'!$C$12</f>
        <v>0</v>
      </c>
      <c r="ER47" s="288">
        <f>(V47+BL47+CG47+DB47)*'2. START'!$C$12</f>
        <v>0</v>
      </c>
      <c r="ES47" s="288">
        <f>(W47+BM47+CH47+DC47)*'2. START'!$C$12</f>
        <v>0</v>
      </c>
      <c r="ET47" s="105">
        <f t="shared" si="4"/>
        <v>0</v>
      </c>
      <c r="EU47" s="105">
        <f t="shared" si="5"/>
        <v>0</v>
      </c>
      <c r="EV47" s="105">
        <f t="shared" si="6"/>
        <v>0</v>
      </c>
      <c r="EW47" s="105">
        <f t="shared" si="7"/>
        <v>0</v>
      </c>
      <c r="EX47" s="105">
        <f t="shared" si="8"/>
        <v>0</v>
      </c>
      <c r="EY47" s="105">
        <f t="shared" si="9"/>
        <v>0</v>
      </c>
      <c r="EZ47" s="105">
        <f t="shared" si="10"/>
        <v>0</v>
      </c>
      <c r="FA47" s="105">
        <f t="shared" si="11"/>
        <v>0</v>
      </c>
      <c r="FB47" s="105">
        <f t="shared" si="12"/>
        <v>0</v>
      </c>
      <c r="FC47" s="105">
        <f t="shared" si="13"/>
        <v>0</v>
      </c>
      <c r="FD47" s="105">
        <f t="shared" si="14"/>
        <v>0</v>
      </c>
      <c r="FE47" s="105">
        <f t="shared" si="18"/>
        <v>0</v>
      </c>
      <c r="FF47" s="105">
        <f t="shared" si="19"/>
        <v>0</v>
      </c>
      <c r="FG47" s="105">
        <f t="shared" si="20"/>
        <v>0</v>
      </c>
      <c r="FH47" s="105">
        <f t="shared" si="21"/>
        <v>0</v>
      </c>
      <c r="FI47" s="105">
        <f t="shared" si="22"/>
        <v>0</v>
      </c>
      <c r="FJ47" s="105">
        <f t="shared" si="23"/>
        <v>0</v>
      </c>
      <c r="FK47" s="105">
        <f t="shared" si="24"/>
        <v>0</v>
      </c>
      <c r="FL47" s="105">
        <f t="shared" si="25"/>
        <v>0</v>
      </c>
      <c r="FM47" s="105">
        <f t="shared" si="26"/>
        <v>0</v>
      </c>
      <c r="FN47" s="105">
        <f t="shared" si="27"/>
        <v>0</v>
      </c>
      <c r="FO47" s="273" t="str">
        <f t="shared" si="17"/>
        <v/>
      </c>
      <c r="FP47" s="105">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943">
        <f t="shared" si="16"/>
        <v>0</v>
      </c>
      <c r="FR47" s="940">
        <f>SUMIFS('5. PERSON'!$AE$17:$AE$192,'5. PERSON'!$B$17:$B$192,'14. EUFP'!$B47,'5. PERSON'!$D$17:$D$192,FR$18)</f>
        <v>0</v>
      </c>
      <c r="FS47" s="940">
        <f>SUMIFS('5. PERSON'!$AE$17:$AE$192,'5. PERSON'!$B$17:$B$192,'14. EUFP'!$B47,'5. PERSON'!$D$17:$D$192,FS$18)</f>
        <v>0</v>
      </c>
      <c r="FT47" s="940">
        <f>SUMIFS('5. PERSON'!$AE$17:$AE$192,'5. PERSON'!$B$17:$B$192,'14. EUFP'!$B47,'5. PERSON'!$D$17:$D$192,FT$18)</f>
        <v>0</v>
      </c>
      <c r="FU47" s="940">
        <f>SUMIFS('5. PERSON'!$AE$17:$AE$192,'5. PERSON'!$B$17:$B$192,'14. EUFP'!$B47,'5. PERSON'!$D$17:$D$192,FU$18)</f>
        <v>0</v>
      </c>
      <c r="FV47" s="940">
        <f>SUMIFS('5. PERSON'!$AE$17:$AE$192,'5. PERSON'!$B$17:$B$192,'14. EUFP'!$B47,'5. PERSON'!$D$17:$D$192,FV$18)</f>
        <v>0</v>
      </c>
      <c r="FW47" s="940">
        <f>SUMIFS('5. PERSON'!$AE$17:$AE$192,'5. PERSON'!$B$17:$B$192,'14. EUFP'!$B47,'5. PERSON'!$D$17:$D$192,FW$18)</f>
        <v>0</v>
      </c>
      <c r="FX47" s="940">
        <f>SUMIFS('5. PERSON'!$AE$17:$AE$192,'5. PERSON'!$B$17:$B$192,'14. EUFP'!$B47,'5. PERSON'!$D$17:$D$192,FX$18)</f>
        <v>0</v>
      </c>
      <c r="FY47" s="940">
        <f>SUMIFS('5. PERSON'!$AE$17:$AE$192,'5. PERSON'!$B$17:$B$192,'14. EUFP'!$B47,'5. PERSON'!$D$17:$D$192,FY$18)</f>
        <v>0</v>
      </c>
      <c r="FZ47" s="940">
        <f>SUMIFS('5. PERSON'!$AE$17:$AE$192,'5. PERSON'!$B$17:$B$192,'14. EUFP'!$B47,'5. PERSON'!$D$17:$D$192,FZ$18)</f>
        <v>0</v>
      </c>
      <c r="GA47" s="940">
        <f>SUMIFS('5. PERSON'!$AE$17:$AE$192,'5. PERSON'!$B$17:$B$192,'14. EUFP'!$B47,'5. PERSON'!$D$17:$D$192,GA$18)</f>
        <v>0</v>
      </c>
      <c r="GB47" s="940">
        <f>SUMIFS('5. PERSON'!$AE$17:$AE$192,'5. PERSON'!$B$17:$B$192,'14. EUFP'!$B47,'5. PERSON'!$D$17:$D$192,GB$18)</f>
        <v>0</v>
      </c>
      <c r="GC47" s="940">
        <f>SUMIFS('5. PERSON'!$AE$17:$AE$192,'5. PERSON'!$B$17:$B$192,'14. EUFP'!$B47,'5. PERSON'!$D$17:$D$192,GC$18)</f>
        <v>0</v>
      </c>
      <c r="GD47" s="940">
        <f>SUMIFS('5. PERSON'!$AE$17:$AE$192,'5. PERSON'!$B$17:$B$192,'14. EUFP'!$B47,'5. PERSON'!$D$17:$D$192,GD$18)</f>
        <v>0</v>
      </c>
      <c r="GE47" s="940">
        <f>SUMIFS('5. PERSON'!$AE$17:$AE$192,'5. PERSON'!$B$17:$B$192,'14. EUFP'!$B47,'5. PERSON'!$D$17:$D$192,GE$18)</f>
        <v>0</v>
      </c>
      <c r="GF47" s="940">
        <f>SUMIFS('5. PERSON'!$AE$17:$AE$192,'5. PERSON'!$B$17:$B$192,'14. EUFP'!$B47,'5. PERSON'!$D$17:$D$192,GF$18)</f>
        <v>0</v>
      </c>
      <c r="GG47" s="940">
        <f>SUMIFS('5. PERSON'!$AE$17:$AE$192,'5. PERSON'!$B$17:$B$192,'14. EUFP'!$B47,'5. PERSON'!$D$17:$D$192,GG$18)</f>
        <v>0</v>
      </c>
      <c r="GH47" s="940">
        <f>SUMIFS('5. PERSON'!$AE$17:$AE$192,'5. PERSON'!$B$17:$B$192,'14. EUFP'!$B47,'5. PERSON'!$D$17:$D$192,GH$18)</f>
        <v>0</v>
      </c>
      <c r="GI47" s="940">
        <f>SUMIFS('5. PERSON'!$AE$17:$AE$192,'5. PERSON'!$B$17:$B$192,'14. EUFP'!$B47,'5. PERSON'!$D$17:$D$192,GI$18)</f>
        <v>0</v>
      </c>
      <c r="GJ47" s="940">
        <f>SUMIFS('5. PERSON'!$AE$17:$AE$192,'5. PERSON'!$B$17:$B$192,'14. EUFP'!$B47,'5. PERSON'!$D$17:$D$192,GJ$18)</f>
        <v>0</v>
      </c>
      <c r="GK47" s="940">
        <f>SUMIFS('5. PERSON'!$AE$17:$AE$192,'5. PERSON'!$B$17:$B$192,'14. EUFP'!$B47,'5. PERSON'!$D$17:$D$192,GK$18)</f>
        <v>0</v>
      </c>
      <c r="GL47" s="940">
        <f t="shared" si="28"/>
        <v>0</v>
      </c>
    </row>
    <row r="48" spans="2:194" ht="13.5" customHeight="1" x14ac:dyDescent="0.2">
      <c r="B48" s="261" t="str">
        <f>'3. PARTNER'!B75</f>
        <v>EXT125</v>
      </c>
      <c r="C48" s="262">
        <f>SUMIF('5. PERSON'!B$17:B$192,B48,'5. PERSON'!AR$17:AR$192)</f>
        <v>0</v>
      </c>
      <c r="D48" s="262">
        <f>SUMIFS('5. PERSON'!$AR$17:$AR$192,'5. PERSON'!$B$17:$B$192,$B48,'5. PERSON'!$D$17:$D$192,D$18)</f>
        <v>0</v>
      </c>
      <c r="E48" s="262">
        <f>SUMIFS('5. PERSON'!$AR$17:$AR$192,'5. PERSON'!$B$17:$B$192,$B48,'5. PERSON'!$D$17:$D$192,E$18)</f>
        <v>0</v>
      </c>
      <c r="F48" s="262">
        <f>SUMIFS('5. PERSON'!$AR$17:$AR$192,'5. PERSON'!$B$17:$B$192,$B48,'5. PERSON'!$D$17:$D$192,F$18)</f>
        <v>0</v>
      </c>
      <c r="G48" s="262">
        <f>SUMIFS('5. PERSON'!$AR$17:$AR$192,'5. PERSON'!$B$17:$B$192,$B48,'5. PERSON'!$D$17:$D$192,G$18)</f>
        <v>0</v>
      </c>
      <c r="H48" s="262">
        <f>SUMIFS('5. PERSON'!$AR$17:$AR$192,'5. PERSON'!$B$17:$B$192,$B48,'5. PERSON'!$D$17:$D$192,H$18)</f>
        <v>0</v>
      </c>
      <c r="I48" s="262">
        <f>SUMIFS('5. PERSON'!$AR$17:$AR$192,'5. PERSON'!$B$17:$B$192,$B48,'5. PERSON'!$D$17:$D$192,I$18)</f>
        <v>0</v>
      </c>
      <c r="J48" s="262">
        <f>SUMIFS('5. PERSON'!$AR$17:$AR$192,'5. PERSON'!$B$17:$B$192,$B48,'5. PERSON'!$D$17:$D$192,J$18)</f>
        <v>0</v>
      </c>
      <c r="K48" s="262">
        <f>SUMIFS('5. PERSON'!$AR$17:$AR$192,'5. PERSON'!$B$17:$B$192,$B48,'5. PERSON'!$D$17:$D$192,K$18)</f>
        <v>0</v>
      </c>
      <c r="L48" s="262">
        <f>SUMIFS('5. PERSON'!$AR$17:$AR$192,'5. PERSON'!$B$17:$B$192,$B48,'5. PERSON'!$D$17:$D$192,L$18)</f>
        <v>0</v>
      </c>
      <c r="M48" s="262">
        <f>SUMIFS('5. PERSON'!$AR$17:$AR$192,'5. PERSON'!$B$17:$B$192,$B48,'5. PERSON'!$D$17:$D$192,M$18)</f>
        <v>0</v>
      </c>
      <c r="N48" s="262">
        <f>SUMIFS('5. PERSON'!$AR$17:$AR$192,'5. PERSON'!$B$17:$B$192,$B48,'5. PERSON'!$D$17:$D$192,N$18)</f>
        <v>0</v>
      </c>
      <c r="O48" s="262">
        <f>SUMIFS('5. PERSON'!$AR$17:$AR$192,'5. PERSON'!$B$17:$B$192,$B48,'5. PERSON'!$D$17:$D$192,O$18)</f>
        <v>0</v>
      </c>
      <c r="P48" s="262">
        <f>SUMIFS('5. PERSON'!$AR$17:$AR$192,'5. PERSON'!$B$17:$B$192,$B48,'5. PERSON'!$D$17:$D$192,P$18)</f>
        <v>0</v>
      </c>
      <c r="Q48" s="262">
        <f>SUMIFS('5. PERSON'!$AR$17:$AR$192,'5. PERSON'!$B$17:$B$192,$B48,'5. PERSON'!$D$17:$D$192,Q$18)</f>
        <v>0</v>
      </c>
      <c r="R48" s="262">
        <f>SUMIFS('5. PERSON'!$AR$17:$AR$192,'5. PERSON'!$B$17:$B$192,$B48,'5. PERSON'!$D$17:$D$192,R$18)</f>
        <v>0</v>
      </c>
      <c r="S48" s="262">
        <f>SUMIFS('5. PERSON'!$AR$17:$AR$192,'5. PERSON'!$B$17:$B$192,$B48,'5. PERSON'!$D$17:$D$192,S$18)</f>
        <v>0</v>
      </c>
      <c r="T48" s="262">
        <f>SUMIFS('5. PERSON'!$AR$17:$AR$192,'5. PERSON'!$B$17:$B$192,$B48,'5. PERSON'!$D$17:$D$192,T$18)</f>
        <v>0</v>
      </c>
      <c r="U48" s="262">
        <f>SUMIFS('5. PERSON'!$AR$17:$AR$192,'5. PERSON'!$B$17:$B$192,$B48,'5. PERSON'!$D$17:$D$192,U$18)</f>
        <v>0</v>
      </c>
      <c r="V48" s="262">
        <f>SUMIFS('5. PERSON'!$AR$17:$AR$192,'5. PERSON'!$B$17:$B$192,$B48,'5. PERSON'!$D$17:$D$192,V$18)</f>
        <v>0</v>
      </c>
      <c r="W48" s="262">
        <f>SUMIFS('5. PERSON'!$AR$17:$AR$192,'5. PERSON'!$B$17:$B$192,$B48,'5. PERSON'!$D$17:$D$192,W$18)</f>
        <v>0</v>
      </c>
      <c r="X48" s="262">
        <f>SUMIFS('6. OPERATION'!R$17:R$149,'6. OPERATION'!B$17:B$149,B48,'6. OPERATION'!G$17:G$149,"SUBCON")</f>
        <v>0</v>
      </c>
      <c r="Y48" s="262">
        <f>SUMIFS('6. OPERATION'!$R$17:$R$149,'6. OPERATION'!$B$17:$B$149,$B48,'6. OPERATION'!$G$17:$G$149,"SUBCON",'6. OPERATION'!$D$17:$D$149,Y$18)</f>
        <v>0</v>
      </c>
      <c r="Z48" s="262">
        <f>SUMIFS('6. OPERATION'!$R$17:$R$149,'6. OPERATION'!$B$17:$B$149,$B48,'6. OPERATION'!$G$17:$G$149,"SUBCON",'6. OPERATION'!$D$17:$D$149,Z$18)</f>
        <v>0</v>
      </c>
      <c r="AA48" s="262">
        <f>SUMIFS('6. OPERATION'!$R$17:$R$149,'6. OPERATION'!$B$17:$B$149,$B48,'6. OPERATION'!$G$17:$G$149,"SUBCON",'6. OPERATION'!$D$17:$D$149,AA$18)</f>
        <v>0</v>
      </c>
      <c r="AB48" s="262">
        <f>SUMIFS('6. OPERATION'!$R$17:$R$149,'6. OPERATION'!$B$17:$B$149,$B48,'6. OPERATION'!$G$17:$G$149,"SUBCON",'6. OPERATION'!$D$17:$D$149,AB$18)</f>
        <v>0</v>
      </c>
      <c r="AC48" s="262">
        <f>SUMIFS('6. OPERATION'!$R$17:$R$149,'6. OPERATION'!$B$17:$B$149,$B48,'6. OPERATION'!$G$17:$G$149,"SUBCON",'6. OPERATION'!$D$17:$D$149,AC$18)</f>
        <v>0</v>
      </c>
      <c r="AD48" s="262">
        <f>SUMIFS('6. OPERATION'!$R$17:$R$149,'6. OPERATION'!$B$17:$B$149,$B48,'6. OPERATION'!$G$17:$G$149,"SUBCON",'6. OPERATION'!$D$17:$D$149,AD$18)</f>
        <v>0</v>
      </c>
      <c r="AE48" s="262">
        <f>SUMIFS('6. OPERATION'!$R$17:$R$149,'6. OPERATION'!$B$17:$B$149,$B48,'6. OPERATION'!$G$17:$G$149,"SUBCON",'6. OPERATION'!$D$17:$D$149,AE$18)</f>
        <v>0</v>
      </c>
      <c r="AF48" s="262">
        <f>SUMIFS('6. OPERATION'!$R$17:$R$149,'6. OPERATION'!$B$17:$B$149,$B48,'6. OPERATION'!$G$17:$G$149,"SUBCON",'6. OPERATION'!$D$17:$D$149,AF$18)</f>
        <v>0</v>
      </c>
      <c r="AG48" s="262">
        <f>SUMIFS('6. OPERATION'!$R$17:$R$149,'6. OPERATION'!$B$17:$B$149,$B48,'6. OPERATION'!$G$17:$G$149,"SUBCON",'6. OPERATION'!$D$17:$D$149,AG$18)</f>
        <v>0</v>
      </c>
      <c r="AH48" s="262">
        <f>SUMIFS('6. OPERATION'!$R$17:$R$149,'6. OPERATION'!$B$17:$B$149,$B48,'6. OPERATION'!$G$17:$G$149,"SUBCON",'6. OPERATION'!$D$17:$D$149,AH$18)</f>
        <v>0</v>
      </c>
      <c r="AI48" s="262">
        <f>SUMIFS('6. OPERATION'!$R$17:$R$149,'6. OPERATION'!$B$17:$B$149,$B48,'6. OPERATION'!$G$17:$G$149,"SUBCON",'6. OPERATION'!$D$17:$D$149,AI$18)</f>
        <v>0</v>
      </c>
      <c r="AJ48" s="262">
        <f>SUMIFS('6. OPERATION'!$R$17:$R$149,'6. OPERATION'!$B$17:$B$149,$B48,'6. OPERATION'!$G$17:$G$149,"SUBCON",'6. OPERATION'!$D$17:$D$149,AJ$18)</f>
        <v>0</v>
      </c>
      <c r="AK48" s="262">
        <f>SUMIFS('6. OPERATION'!$R$17:$R$149,'6. OPERATION'!$B$17:$B$149,$B48,'6. OPERATION'!$G$17:$G$149,"SUBCON",'6. OPERATION'!$D$17:$D$149,AK$18)</f>
        <v>0</v>
      </c>
      <c r="AL48" s="262">
        <f>SUMIFS('6. OPERATION'!$R$17:$R$149,'6. OPERATION'!$B$17:$B$149,$B48,'6. OPERATION'!$G$17:$G$149,"SUBCON",'6. OPERATION'!$D$17:$D$149,AL$18)</f>
        <v>0</v>
      </c>
      <c r="AM48" s="262">
        <f>SUMIFS('6. OPERATION'!$R$17:$R$149,'6. OPERATION'!$B$17:$B$149,$B48,'6. OPERATION'!$G$17:$G$149,"SUBCON",'6. OPERATION'!$D$17:$D$149,AM$18)</f>
        <v>0</v>
      </c>
      <c r="AN48" s="262">
        <f>SUMIFS('6. OPERATION'!$R$17:$R$149,'6. OPERATION'!$B$17:$B$149,$B48,'6. OPERATION'!$G$17:$G$149,"SUBCON",'6. OPERATION'!$D$17:$D$149,AN$18)</f>
        <v>0</v>
      </c>
      <c r="AO48" s="262">
        <f>SUMIFS('6. OPERATION'!$R$17:$R$149,'6. OPERATION'!$B$17:$B$149,$B48,'6. OPERATION'!$G$17:$G$149,"SUBCON",'6. OPERATION'!$D$17:$D$149,AO$18)</f>
        <v>0</v>
      </c>
      <c r="AP48" s="262">
        <f>SUMIFS('6. OPERATION'!$R$17:$R$149,'6. OPERATION'!$B$17:$B$149,$B48,'6. OPERATION'!$G$17:$G$149,"SUBCON",'6. OPERATION'!$D$17:$D$149,AP$18)</f>
        <v>0</v>
      </c>
      <c r="AQ48" s="262">
        <f>SUMIFS('6. OPERATION'!$R$17:$R$149,'6. OPERATION'!$B$17:$B$149,$B48,'6. OPERATION'!$G$17:$G$149,"SUBCON",'6. OPERATION'!$D$17:$D$149,AQ$18)</f>
        <v>0</v>
      </c>
      <c r="AR48" s="262">
        <f>SUMIFS('6. OPERATION'!$R$17:$R$149,'6. OPERATION'!$B$17:$B$149,$B48,'6. OPERATION'!$G$17:$G$149,"SUBCON",'6. OPERATION'!$D$17:$D$149,AR$18)</f>
        <v>0</v>
      </c>
      <c r="AS48" s="262">
        <f>SUMIFS('6. OPERATION'!R$17:R$149,'6. OPERATION'!B$17:B$149,B48,'6. OPERATION'!G$17:G$149,"TRAVEL")</f>
        <v>0</v>
      </c>
      <c r="AT48" s="262">
        <f>SUMIFS('6. OPERATION'!$R$17:$R$149,'6. OPERATION'!$B$17:$B$149,$B48,'6. OPERATION'!$G$17:$G$149,"TRAVEL",'6. OPERATION'!$D$17:$D$149,AT$18)</f>
        <v>0</v>
      </c>
      <c r="AU48" s="262">
        <f>SUMIFS('6. OPERATION'!$R$17:$R$149,'6. OPERATION'!$B$17:$B$149,$B48,'6. OPERATION'!$G$17:$G$149,"TRAVEL",'6. OPERATION'!$D$17:$D$149,AU$18)</f>
        <v>0</v>
      </c>
      <c r="AV48" s="262">
        <f>SUMIFS('6. OPERATION'!$R$17:$R$149,'6. OPERATION'!$B$17:$B$149,$B48,'6. OPERATION'!$G$17:$G$149,"TRAVEL",'6. OPERATION'!$D$17:$D$149,AV$18)</f>
        <v>0</v>
      </c>
      <c r="AW48" s="262">
        <f>SUMIFS('6. OPERATION'!$R$17:$R$149,'6. OPERATION'!$B$17:$B$149,$B48,'6. OPERATION'!$G$17:$G$149,"TRAVEL",'6. OPERATION'!$D$17:$D$149,AW$18)</f>
        <v>0</v>
      </c>
      <c r="AX48" s="262">
        <f>SUMIFS('6. OPERATION'!$R$17:$R$149,'6. OPERATION'!$B$17:$B$149,$B48,'6. OPERATION'!$G$17:$G$149,"TRAVEL",'6. OPERATION'!$D$17:$D$149,AX$18)</f>
        <v>0</v>
      </c>
      <c r="AY48" s="262">
        <f>SUMIFS('6. OPERATION'!$R$17:$R$149,'6. OPERATION'!$B$17:$B$149,$B48,'6. OPERATION'!$G$17:$G$149,"TRAVEL",'6. OPERATION'!$D$17:$D$149,AY$18)</f>
        <v>0</v>
      </c>
      <c r="AZ48" s="262">
        <f>SUMIFS('6. OPERATION'!$R$17:$R$149,'6. OPERATION'!$B$17:$B$149,$B48,'6. OPERATION'!$G$17:$G$149,"TRAVEL",'6. OPERATION'!$D$17:$D$149,AZ$18)</f>
        <v>0</v>
      </c>
      <c r="BA48" s="262">
        <f>SUMIFS('6. OPERATION'!$R$17:$R$149,'6. OPERATION'!$B$17:$B$149,$B48,'6. OPERATION'!$G$17:$G$149,"TRAVEL",'6. OPERATION'!$D$17:$D$149,BA$18)</f>
        <v>0</v>
      </c>
      <c r="BB48" s="262">
        <f>SUMIFS('6. OPERATION'!$R$17:$R$149,'6. OPERATION'!$B$17:$B$149,$B48,'6. OPERATION'!$G$17:$G$149,"TRAVEL",'6. OPERATION'!$D$17:$D$149,BB$18)</f>
        <v>0</v>
      </c>
      <c r="BC48" s="262">
        <f>SUMIFS('6. OPERATION'!$R$17:$R$149,'6. OPERATION'!$B$17:$B$149,$B48,'6. OPERATION'!$G$17:$G$149,"TRAVEL",'6. OPERATION'!$D$17:$D$149,BC$18)</f>
        <v>0</v>
      </c>
      <c r="BD48" s="262">
        <f>SUMIFS('6. OPERATION'!$R$17:$R$149,'6. OPERATION'!$B$17:$B$149,$B48,'6. OPERATION'!$G$17:$G$149,"TRAVEL",'6. OPERATION'!$D$17:$D$149,BD$18)</f>
        <v>0</v>
      </c>
      <c r="BE48" s="262">
        <f>SUMIFS('6. OPERATION'!$R$17:$R$149,'6. OPERATION'!$B$17:$B$149,$B48,'6. OPERATION'!$G$17:$G$149,"TRAVEL",'6. OPERATION'!$D$17:$D$149,BE$18)</f>
        <v>0</v>
      </c>
      <c r="BF48" s="262">
        <f>SUMIFS('6. OPERATION'!$R$17:$R$149,'6. OPERATION'!$B$17:$B$149,$B48,'6. OPERATION'!$G$17:$G$149,"TRAVEL",'6. OPERATION'!$D$17:$D$149,BF$18)</f>
        <v>0</v>
      </c>
      <c r="BG48" s="262">
        <f>SUMIFS('6. OPERATION'!$R$17:$R$149,'6. OPERATION'!$B$17:$B$149,$B48,'6. OPERATION'!$G$17:$G$149,"TRAVEL",'6. OPERATION'!$D$17:$D$149,BG$18)</f>
        <v>0</v>
      </c>
      <c r="BH48" s="262">
        <f>SUMIFS('6. OPERATION'!$R$17:$R$149,'6. OPERATION'!$B$17:$B$149,$B48,'6. OPERATION'!$G$17:$G$149,"TRAVEL",'6. OPERATION'!$D$17:$D$149,BH$18)</f>
        <v>0</v>
      </c>
      <c r="BI48" s="262">
        <f>SUMIFS('6. OPERATION'!$R$17:$R$149,'6. OPERATION'!$B$17:$B$149,$B48,'6. OPERATION'!$G$17:$G$149,"TRAVEL",'6. OPERATION'!$D$17:$D$149,BI$18)</f>
        <v>0</v>
      </c>
      <c r="BJ48" s="262">
        <f>SUMIFS('6. OPERATION'!$R$17:$R$149,'6. OPERATION'!$B$17:$B$149,$B48,'6. OPERATION'!$G$17:$G$149,"TRAVEL",'6. OPERATION'!$D$17:$D$149,BJ$18)</f>
        <v>0</v>
      </c>
      <c r="BK48" s="262">
        <f>SUMIFS('6. OPERATION'!$R$17:$R$149,'6. OPERATION'!$B$17:$B$149,$B48,'6. OPERATION'!$G$17:$G$149,"TRAVEL",'6. OPERATION'!$D$17:$D$149,BK$18)</f>
        <v>0</v>
      </c>
      <c r="BL48" s="262">
        <f>SUMIFS('6. OPERATION'!$R$17:$R$149,'6. OPERATION'!$B$17:$B$149,$B48,'6. OPERATION'!$G$17:$G$149,"TRAVEL",'6. OPERATION'!$D$17:$D$149,BL$18)</f>
        <v>0</v>
      </c>
      <c r="BM48" s="262">
        <f>SUMIFS('6. OPERATION'!$R$17:$R$149,'6. OPERATION'!$B$17:$B$149,$B48,'6. OPERATION'!$G$17:$G$149,"TRAVEL",'6. OPERATION'!$D$17:$D$149,BM$18)</f>
        <v>0</v>
      </c>
      <c r="BN48" s="262">
        <f>SUMIF('7. INVEST'!B$17:B$49,B48,'7. INVEST'!S$17:S$49)</f>
        <v>0</v>
      </c>
      <c r="BO48" s="262">
        <f>SUMIFS('7. INVEST'!$S$17:$S$49,'7. INVEST'!$B$17:$B$49,$B48,'7. INVEST'!$D$17:$D$49,BO$18)</f>
        <v>0</v>
      </c>
      <c r="BP48" s="262">
        <f>SUMIFS('7. INVEST'!$S$17:$S$49,'7. INVEST'!$B$17:$B$49,$B48,'7. INVEST'!$D$17:$D$49,BP$18)</f>
        <v>0</v>
      </c>
      <c r="BQ48" s="262">
        <f>SUMIFS('7. INVEST'!$S$17:$S$49,'7. INVEST'!$B$17:$B$49,$B48,'7. INVEST'!$D$17:$D$49,BQ$18)</f>
        <v>0</v>
      </c>
      <c r="BR48" s="262">
        <f>SUMIFS('7. INVEST'!$S$17:$S$49,'7. INVEST'!$B$17:$B$49,$B48,'7. INVEST'!$D$17:$D$49,BR$18)</f>
        <v>0</v>
      </c>
      <c r="BS48" s="262">
        <f>SUMIFS('7. INVEST'!$S$17:$S$49,'7. INVEST'!$B$17:$B$49,$B48,'7. INVEST'!$D$17:$D$49,BS$18)</f>
        <v>0</v>
      </c>
      <c r="BT48" s="262">
        <f>SUMIFS('7. INVEST'!$S$17:$S$49,'7. INVEST'!$B$17:$B$49,$B48,'7. INVEST'!$D$17:$D$49,BT$18)</f>
        <v>0</v>
      </c>
      <c r="BU48" s="262">
        <f>SUMIFS('7. INVEST'!$S$17:$S$49,'7. INVEST'!$B$17:$B$49,$B48,'7. INVEST'!$D$17:$D$49,BU$18)</f>
        <v>0</v>
      </c>
      <c r="BV48" s="262">
        <f>SUMIFS('7. INVEST'!$S$17:$S$49,'7. INVEST'!$B$17:$B$49,$B48,'7. INVEST'!$D$17:$D$49,BV$18)</f>
        <v>0</v>
      </c>
      <c r="BW48" s="262">
        <f>SUMIFS('7. INVEST'!$S$17:$S$49,'7. INVEST'!$B$17:$B$49,$B48,'7. INVEST'!$D$17:$D$49,BW$18)</f>
        <v>0</v>
      </c>
      <c r="BX48" s="262">
        <f>SUMIFS('7. INVEST'!$S$17:$S$49,'7. INVEST'!$B$17:$B$49,$B48,'7. INVEST'!$D$17:$D$49,BX$18)</f>
        <v>0</v>
      </c>
      <c r="BY48" s="262">
        <f>SUMIFS('7. INVEST'!$S$17:$S$49,'7. INVEST'!$B$17:$B$49,$B48,'7. INVEST'!$D$17:$D$49,BY$18)</f>
        <v>0</v>
      </c>
      <c r="BZ48" s="262">
        <f>SUMIFS('7. INVEST'!$S$17:$S$49,'7. INVEST'!$B$17:$B$49,$B48,'7. INVEST'!$D$17:$D$49,BZ$18)</f>
        <v>0</v>
      </c>
      <c r="CA48" s="262">
        <f>SUMIFS('7. INVEST'!$S$17:$S$49,'7. INVEST'!$B$17:$B$49,$B48,'7. INVEST'!$D$17:$D$49,CA$18)</f>
        <v>0</v>
      </c>
      <c r="CB48" s="262">
        <f>SUMIFS('7. INVEST'!$S$17:$S$49,'7. INVEST'!$B$17:$B$49,$B48,'7. INVEST'!$D$17:$D$49,CB$18)</f>
        <v>0</v>
      </c>
      <c r="CC48" s="262">
        <f>SUMIFS('7. INVEST'!$S$17:$S$49,'7. INVEST'!$B$17:$B$49,$B48,'7. INVEST'!$D$17:$D$49,CC$18)</f>
        <v>0</v>
      </c>
      <c r="CD48" s="262">
        <f>SUMIFS('7. INVEST'!$S$17:$S$49,'7. INVEST'!$B$17:$B$49,$B48,'7. INVEST'!$D$17:$D$49,CD$18)</f>
        <v>0</v>
      </c>
      <c r="CE48" s="262">
        <f>SUMIFS('7. INVEST'!$S$17:$S$49,'7. INVEST'!$B$17:$B$49,$B48,'7. INVEST'!$D$17:$D$49,CE$18)</f>
        <v>0</v>
      </c>
      <c r="CF48" s="262">
        <f>SUMIFS('7. INVEST'!$S$17:$S$49,'7. INVEST'!$B$17:$B$49,$B48,'7. INVEST'!$D$17:$D$49,CF$18)</f>
        <v>0</v>
      </c>
      <c r="CG48" s="262">
        <f>SUMIFS('7. INVEST'!$S$17:$S$49,'7. INVEST'!$B$17:$B$49,$B48,'7. INVEST'!$D$17:$D$49,CG$18)</f>
        <v>0</v>
      </c>
      <c r="CH48" s="262">
        <f>SUMIFS('7. INVEST'!$S$17:$S$49,'7. INVEST'!$B$17:$B$49,$B48,'7. INVEST'!$D$17:$D$49,CH$18)</f>
        <v>0</v>
      </c>
      <c r="CI48" s="262">
        <f>SUMIFS('6. OPERATION'!$R$17:$R$149,'6. OPERATION'!$B$17:$B$149,$B48,'6. OPERATION'!$G$17:$G$149,"OTHER")+SUMIF('8. FACILIT'!$B$18:$B$50,$B48,'8. FACILIT'!$P$18:$P$50)</f>
        <v>0</v>
      </c>
      <c r="CJ48" s="262">
        <f>SUMIFS('6. OPERATION'!$R$17:$R$149,'6. OPERATION'!$B$17:$B$149,$B48,'6. OPERATION'!$G$17:$G$149,"OTHER",'6. OPERATION'!$D$17:$D$149,CJ$18)+SUMIFS('8. FACILIT'!$P$18:$P$50,'8. FACILIT'!$B$18:$B$50,$B48,'8. FACILIT'!$D$18:$D$50,CJ$18)</f>
        <v>0</v>
      </c>
      <c r="CK48" s="262">
        <f>SUMIFS('6. OPERATION'!$R$17:$R$149,'6. OPERATION'!$B$17:$B$149,$B48,'6. OPERATION'!$G$17:$G$149,"OTHER",'6. OPERATION'!$D$17:$D$149,CK$18)+SUMIFS('8. FACILIT'!$P$18:$P$50,'8. FACILIT'!$B$18:$B$50,$B48,'8. FACILIT'!$D$18:$D$50,CK$18)</f>
        <v>0</v>
      </c>
      <c r="CL48" s="262">
        <f>SUMIFS('6. OPERATION'!$R$17:$R$149,'6. OPERATION'!$B$17:$B$149,$B48,'6. OPERATION'!$G$17:$G$149,"OTHER",'6. OPERATION'!$D$17:$D$149,CL$18)+SUMIFS('8. FACILIT'!$P$18:$P$50,'8. FACILIT'!$B$18:$B$50,$B48,'8. FACILIT'!$D$18:$D$50,CL$18)</f>
        <v>0</v>
      </c>
      <c r="CM48" s="262">
        <f>SUMIFS('6. OPERATION'!$R$17:$R$149,'6. OPERATION'!$B$17:$B$149,$B48,'6. OPERATION'!$G$17:$G$149,"OTHER",'6. OPERATION'!$D$17:$D$149,CM$18)+SUMIFS('8. FACILIT'!$P$18:$P$50,'8. FACILIT'!$B$18:$B$50,$B48,'8. FACILIT'!$D$18:$D$50,CM$18)</f>
        <v>0</v>
      </c>
      <c r="CN48" s="262">
        <f>SUMIFS('6. OPERATION'!$R$17:$R$149,'6. OPERATION'!$B$17:$B$149,$B48,'6. OPERATION'!$G$17:$G$149,"OTHER",'6. OPERATION'!$D$17:$D$149,CN$18)+SUMIFS('8. FACILIT'!$P$18:$P$50,'8. FACILIT'!$B$18:$B$50,$B48,'8. FACILIT'!$D$18:$D$50,CN$18)</f>
        <v>0</v>
      </c>
      <c r="CO48" s="262">
        <f>SUMIFS('6. OPERATION'!$R$17:$R$149,'6. OPERATION'!$B$17:$B$149,$B48,'6. OPERATION'!$G$17:$G$149,"OTHER",'6. OPERATION'!$D$17:$D$149,CO$18)+SUMIFS('8. FACILIT'!$P$18:$P$50,'8. FACILIT'!$B$18:$B$50,$B48,'8. FACILIT'!$D$18:$D$50,CO$18)</f>
        <v>0</v>
      </c>
      <c r="CP48" s="262">
        <f>SUMIFS('6. OPERATION'!$R$17:$R$149,'6. OPERATION'!$B$17:$B$149,$B48,'6. OPERATION'!$G$17:$G$149,"OTHER",'6. OPERATION'!$D$17:$D$149,CP$18)+SUMIFS('8. FACILIT'!$P$18:$P$50,'8. FACILIT'!$B$18:$B$50,$B48,'8. FACILIT'!$D$18:$D$50,CP$18)</f>
        <v>0</v>
      </c>
      <c r="CQ48" s="262">
        <f>SUMIFS('6. OPERATION'!$R$17:$R$149,'6. OPERATION'!$B$17:$B$149,$B48,'6. OPERATION'!$G$17:$G$149,"OTHER",'6. OPERATION'!$D$17:$D$149,CQ$18)+SUMIFS('8. FACILIT'!$P$18:$P$50,'8. FACILIT'!$B$18:$B$50,$B48,'8. FACILIT'!$D$18:$D$50,CQ$18)</f>
        <v>0</v>
      </c>
      <c r="CR48" s="262">
        <f>SUMIFS('6. OPERATION'!$R$17:$R$149,'6. OPERATION'!$B$17:$B$149,$B48,'6. OPERATION'!$G$17:$G$149,"OTHER",'6. OPERATION'!$D$17:$D$149,CR$18)+SUMIFS('8. FACILIT'!$P$18:$P$50,'8. FACILIT'!$B$18:$B$50,$B48,'8. FACILIT'!$D$18:$D$50,CR$18)</f>
        <v>0</v>
      </c>
      <c r="CS48" s="262">
        <f>SUMIFS('6. OPERATION'!$R$17:$R$149,'6. OPERATION'!$B$17:$B$149,$B48,'6. OPERATION'!$G$17:$G$149,"OTHER",'6. OPERATION'!$D$17:$D$149,CS$18)+SUMIFS('8. FACILIT'!$P$18:$P$50,'8. FACILIT'!$B$18:$B$50,$B48,'8. FACILIT'!$D$18:$D$50,CS$18)</f>
        <v>0</v>
      </c>
      <c r="CT48" s="262">
        <f>SUMIFS('6. OPERATION'!$R$17:$R$149,'6. OPERATION'!$B$17:$B$149,$B48,'6. OPERATION'!$G$17:$G$149,"OTHER",'6. OPERATION'!$D$17:$D$149,CT$18)+SUMIFS('8. FACILIT'!$P$18:$P$50,'8. FACILIT'!$B$18:$B$50,$B48,'8. FACILIT'!$D$18:$D$50,CT$18)</f>
        <v>0</v>
      </c>
      <c r="CU48" s="262">
        <f>SUMIFS('6. OPERATION'!$R$17:$R$149,'6. OPERATION'!$B$17:$B$149,$B48,'6. OPERATION'!$G$17:$G$149,"OTHER",'6. OPERATION'!$D$17:$D$149,CU$18)+SUMIFS('8. FACILIT'!$P$18:$P$50,'8. FACILIT'!$B$18:$B$50,$B48,'8. FACILIT'!$D$18:$D$50,CU$18)</f>
        <v>0</v>
      </c>
      <c r="CV48" s="262">
        <f>SUMIFS('6. OPERATION'!$R$17:$R$149,'6. OPERATION'!$B$17:$B$149,$B48,'6. OPERATION'!$G$17:$G$149,"OTHER",'6. OPERATION'!$D$17:$D$149,CV$18)+SUMIFS('8. FACILIT'!$P$18:$P$50,'8. FACILIT'!$B$18:$B$50,$B48,'8. FACILIT'!$D$18:$D$50,CV$18)</f>
        <v>0</v>
      </c>
      <c r="CW48" s="262">
        <f>SUMIFS('6. OPERATION'!$R$17:$R$149,'6. OPERATION'!$B$17:$B$149,$B48,'6. OPERATION'!$G$17:$G$149,"OTHER",'6. OPERATION'!$D$17:$D$149,CW$18)+SUMIFS('8. FACILIT'!$P$18:$P$50,'8. FACILIT'!$B$18:$B$50,$B48,'8. FACILIT'!$D$18:$D$50,CW$18)</f>
        <v>0</v>
      </c>
      <c r="CX48" s="262">
        <f>SUMIFS('6. OPERATION'!$R$17:$R$149,'6. OPERATION'!$B$17:$B$149,$B48,'6. OPERATION'!$G$17:$G$149,"OTHER",'6. OPERATION'!$D$17:$D$149,CX$18)+SUMIFS('8. FACILIT'!$P$18:$P$50,'8. FACILIT'!$B$18:$B$50,$B48,'8. FACILIT'!$D$18:$D$50,CX$18)</f>
        <v>0</v>
      </c>
      <c r="CY48" s="262">
        <f>SUMIFS('6. OPERATION'!$R$17:$R$149,'6. OPERATION'!$B$17:$B$149,$B48,'6. OPERATION'!$G$17:$G$149,"OTHER",'6. OPERATION'!$D$17:$D$149,CY$18)+SUMIFS('8. FACILIT'!$P$18:$P$50,'8. FACILIT'!$B$18:$B$50,$B48,'8. FACILIT'!$D$18:$D$50,CY$18)</f>
        <v>0</v>
      </c>
      <c r="CZ48" s="262">
        <f>SUMIFS('6. OPERATION'!$R$17:$R$149,'6. OPERATION'!$B$17:$B$149,$B48,'6. OPERATION'!$G$17:$G$149,"OTHER",'6. OPERATION'!$D$17:$D$149,CZ$18)+SUMIFS('8. FACILIT'!$P$18:$P$50,'8. FACILIT'!$B$18:$B$50,$B48,'8. FACILIT'!$D$18:$D$50,CZ$18)</f>
        <v>0</v>
      </c>
      <c r="DA48" s="262">
        <f>SUMIFS('6. OPERATION'!$R$17:$R$149,'6. OPERATION'!$B$17:$B$149,$B48,'6. OPERATION'!$G$17:$G$149,"OTHER",'6. OPERATION'!$D$17:$D$149,DA$18)+SUMIFS('8. FACILIT'!$P$18:$P$50,'8. FACILIT'!$B$18:$B$50,$B48,'8. FACILIT'!$D$18:$D$50,DA$18)</f>
        <v>0</v>
      </c>
      <c r="DB48" s="262">
        <f>SUMIFS('6. OPERATION'!$R$17:$R$149,'6. OPERATION'!$B$17:$B$149,$B48,'6. OPERATION'!$G$17:$G$149,"OTHER",'6. OPERATION'!$D$17:$D$149,DB$18)+SUMIFS('8. FACILIT'!$P$18:$P$50,'8. FACILIT'!$B$18:$B$50,$B48,'8. FACILIT'!$D$18:$D$50,DB$18)</f>
        <v>0</v>
      </c>
      <c r="DC48" s="262">
        <f>SUMIFS('6. OPERATION'!$R$17:$R$149,'6. OPERATION'!$B$17:$B$149,$B48,'6. OPERATION'!$G$17:$G$149,"OTHER",'6. OPERATION'!$D$17:$D$149,DC$18)+SUMIFS('8. FACILIT'!$P$18:$P$50,'8. FACILIT'!$B$18:$B$50,$B48,'8. FACILIT'!$D$18:$D$50,DC$18)</f>
        <v>0</v>
      </c>
      <c r="DD48" s="262">
        <f>SUMIFS('6. OPERATION'!R$17:R$149,'6. OPERATION'!B$17:B$149,B48,'6. OPERATION'!G$17:G$149,"INTERN")</f>
        <v>0</v>
      </c>
      <c r="DE48" s="262">
        <f>SUMIFS('6. OPERATION'!$R$17:$R$149,'6. OPERATION'!$B$17:$B$149,$B48,'6. OPERATION'!$G$17:$G$149,"INTERN",'6. OPERATION'!$D$17:$D$149,DE$18)</f>
        <v>0</v>
      </c>
      <c r="DF48" s="262">
        <f>SUMIFS('6. OPERATION'!$R$17:$R$149,'6. OPERATION'!$B$17:$B$149,$B48,'6. OPERATION'!$G$17:$G$149,"INTERN",'6. OPERATION'!$D$17:$D$149,DF$18)</f>
        <v>0</v>
      </c>
      <c r="DG48" s="262">
        <f>SUMIFS('6. OPERATION'!$R$17:$R$149,'6. OPERATION'!$B$17:$B$149,$B48,'6. OPERATION'!$G$17:$G$149,"INTERN",'6. OPERATION'!$D$17:$D$149,DG$18)</f>
        <v>0</v>
      </c>
      <c r="DH48" s="262">
        <f>SUMIFS('6. OPERATION'!$R$17:$R$149,'6. OPERATION'!$B$17:$B$149,$B48,'6. OPERATION'!$G$17:$G$149,"INTERN",'6. OPERATION'!$D$17:$D$149,DH$18)</f>
        <v>0</v>
      </c>
      <c r="DI48" s="262">
        <f>SUMIFS('6. OPERATION'!$R$17:$R$149,'6. OPERATION'!$B$17:$B$149,$B48,'6. OPERATION'!$G$17:$G$149,"INTERN",'6. OPERATION'!$D$17:$D$149,DI$18)</f>
        <v>0</v>
      </c>
      <c r="DJ48" s="262">
        <f>SUMIFS('6. OPERATION'!$R$17:$R$149,'6. OPERATION'!$B$17:$B$149,$B48,'6. OPERATION'!$G$17:$G$149,"INTERN",'6. OPERATION'!$D$17:$D$149,DJ$18)</f>
        <v>0</v>
      </c>
      <c r="DK48" s="262">
        <f>SUMIFS('6. OPERATION'!$R$17:$R$149,'6. OPERATION'!$B$17:$B$149,$B48,'6. OPERATION'!$G$17:$G$149,"INTERN",'6. OPERATION'!$D$17:$D$149,DK$18)</f>
        <v>0</v>
      </c>
      <c r="DL48" s="262">
        <f>SUMIFS('6. OPERATION'!$R$17:$R$149,'6. OPERATION'!$B$17:$B$149,$B48,'6. OPERATION'!$G$17:$G$149,"INTERN",'6. OPERATION'!$D$17:$D$149,DL$18)</f>
        <v>0</v>
      </c>
      <c r="DM48" s="262">
        <f>SUMIFS('6. OPERATION'!$R$17:$R$149,'6. OPERATION'!$B$17:$B$149,$B48,'6. OPERATION'!$G$17:$G$149,"INTERN",'6. OPERATION'!$D$17:$D$149,DM$18)</f>
        <v>0</v>
      </c>
      <c r="DN48" s="262">
        <f>SUMIFS('6. OPERATION'!$R$17:$R$149,'6. OPERATION'!$B$17:$B$149,$B48,'6. OPERATION'!$G$17:$G$149,"INTERN",'6. OPERATION'!$D$17:$D$149,DN$18)</f>
        <v>0</v>
      </c>
      <c r="DO48" s="262">
        <f>SUMIFS('6. OPERATION'!$R$17:$R$149,'6. OPERATION'!$B$17:$B$149,$B48,'6. OPERATION'!$G$17:$G$149,"INTERN",'6. OPERATION'!$D$17:$D$149,DO$18)</f>
        <v>0</v>
      </c>
      <c r="DP48" s="262">
        <f>SUMIFS('6. OPERATION'!$R$17:$R$149,'6. OPERATION'!$B$17:$B$149,$B48,'6. OPERATION'!$G$17:$G$149,"INTERN",'6. OPERATION'!$D$17:$D$149,DP$18)</f>
        <v>0</v>
      </c>
      <c r="DQ48" s="262">
        <f>SUMIFS('6. OPERATION'!$R$17:$R$149,'6. OPERATION'!$B$17:$B$149,$B48,'6. OPERATION'!$G$17:$G$149,"INTERN",'6. OPERATION'!$D$17:$D$149,DQ$18)</f>
        <v>0</v>
      </c>
      <c r="DR48" s="262">
        <f>SUMIFS('6. OPERATION'!$R$17:$R$149,'6. OPERATION'!$B$17:$B$149,$B48,'6. OPERATION'!$G$17:$G$149,"INTERN",'6. OPERATION'!$D$17:$D$149,DR$18)</f>
        <v>0</v>
      </c>
      <c r="DS48" s="262">
        <f>SUMIFS('6. OPERATION'!$R$17:$R$149,'6. OPERATION'!$B$17:$B$149,$B48,'6. OPERATION'!$G$17:$G$149,"INTERN",'6. OPERATION'!$D$17:$D$149,DS$18)</f>
        <v>0</v>
      </c>
      <c r="DT48" s="262">
        <f>SUMIFS('6. OPERATION'!$R$17:$R$149,'6. OPERATION'!$B$17:$B$149,$B48,'6. OPERATION'!$G$17:$G$149,"INTERN",'6. OPERATION'!$D$17:$D$149,DT$18)</f>
        <v>0</v>
      </c>
      <c r="DU48" s="262">
        <f>SUMIFS('6. OPERATION'!$R$17:$R$149,'6. OPERATION'!$B$17:$B$149,$B48,'6. OPERATION'!$G$17:$G$149,"INTERN",'6. OPERATION'!$D$17:$D$149,DU$18)</f>
        <v>0</v>
      </c>
      <c r="DV48" s="262">
        <f>SUMIFS('6. OPERATION'!$R$17:$R$149,'6. OPERATION'!$B$17:$B$149,$B48,'6. OPERATION'!$G$17:$G$149,"INTERN",'6. OPERATION'!$D$17:$D$149,DV$18)</f>
        <v>0</v>
      </c>
      <c r="DW48" s="262">
        <f>SUMIFS('6. OPERATION'!$R$17:$R$149,'6. OPERATION'!$B$17:$B$149,$B48,'6. OPERATION'!$G$17:$G$149,"INTERN",'6. OPERATION'!$D$17:$D$149,DW$18)</f>
        <v>0</v>
      </c>
      <c r="DX48" s="262">
        <f>SUMIFS('6. OPERATION'!$R$17:$R$149,'6. OPERATION'!$B$17:$B$149,$B48,'6. OPERATION'!$G$17:$G$149,"INTERN",'6. OPERATION'!$D$17:$D$149,DX$18)</f>
        <v>0</v>
      </c>
      <c r="DY48" s="262">
        <f>(C48+AS48+BN48+CI48)*'2. START'!$C$12</f>
        <v>0</v>
      </c>
      <c r="DZ48" s="262">
        <f>(D48+AT48+BO48+CJ48)*'2. START'!$C$12</f>
        <v>0</v>
      </c>
      <c r="EA48" s="262">
        <f>(E48+AU48+BP48+CK48)*'2. START'!$C$12</f>
        <v>0</v>
      </c>
      <c r="EB48" s="262">
        <f>(F48+AV48+BQ48+CL48)*'2. START'!$C$12</f>
        <v>0</v>
      </c>
      <c r="EC48" s="262">
        <f>(G48+AW48+BR48+CM48)*'2. START'!$C$12</f>
        <v>0</v>
      </c>
      <c r="ED48" s="262">
        <f>(H48+AX48+BS48+CN48)*'2. START'!$C$12</f>
        <v>0</v>
      </c>
      <c r="EE48" s="262">
        <f>(I48+AY48+BT48+CO48)*'2. START'!$C$12</f>
        <v>0</v>
      </c>
      <c r="EF48" s="262">
        <f>(J48+AZ48+BU48+CP48)*'2. START'!$C$12</f>
        <v>0</v>
      </c>
      <c r="EG48" s="262">
        <f>(K48+BA48+BV48+CQ48)*'2. START'!$C$12</f>
        <v>0</v>
      </c>
      <c r="EH48" s="262">
        <f>(L48+BB48+BW48+CR48)*'2. START'!$C$12</f>
        <v>0</v>
      </c>
      <c r="EI48" s="262">
        <f>(M48+BC48+BX48+CS48)*'2. START'!$C$12</f>
        <v>0</v>
      </c>
      <c r="EJ48" s="262">
        <f>(N48+BD48+BY48+CT48)*'2. START'!$C$12</f>
        <v>0</v>
      </c>
      <c r="EK48" s="262">
        <f>(O48+BE48+BZ48+CU48)*'2. START'!$C$12</f>
        <v>0</v>
      </c>
      <c r="EL48" s="262">
        <f>(P48+BF48+CA48+CV48)*'2. START'!$C$12</f>
        <v>0</v>
      </c>
      <c r="EM48" s="262">
        <f>(Q48+BG48+CB48+CW48)*'2. START'!$C$12</f>
        <v>0</v>
      </c>
      <c r="EN48" s="262">
        <f>(R48+BH48+CC48+CX48)*'2. START'!$C$12</f>
        <v>0</v>
      </c>
      <c r="EO48" s="262">
        <f>(S48+BI48+CD48+CY48)*'2. START'!$C$12</f>
        <v>0</v>
      </c>
      <c r="EP48" s="262">
        <f>(T48+BJ48+CE48+CZ48)*'2. START'!$C$12</f>
        <v>0</v>
      </c>
      <c r="EQ48" s="262">
        <f>(U48+BK48+CF48+DA48)*'2. START'!$C$12</f>
        <v>0</v>
      </c>
      <c r="ER48" s="262">
        <f>(V48+BL48+CG48+DB48)*'2. START'!$C$12</f>
        <v>0</v>
      </c>
      <c r="ES48" s="262">
        <f>(W48+BM48+CH48+DC48)*'2. START'!$C$12</f>
        <v>0</v>
      </c>
      <c r="ET48" s="98">
        <f t="shared" si="4"/>
        <v>0</v>
      </c>
      <c r="EU48" s="98">
        <f t="shared" si="5"/>
        <v>0</v>
      </c>
      <c r="EV48" s="98">
        <f t="shared" si="6"/>
        <v>0</v>
      </c>
      <c r="EW48" s="98">
        <f t="shared" si="7"/>
        <v>0</v>
      </c>
      <c r="EX48" s="98">
        <f t="shared" si="8"/>
        <v>0</v>
      </c>
      <c r="EY48" s="98">
        <f t="shared" si="9"/>
        <v>0</v>
      </c>
      <c r="EZ48" s="98">
        <f t="shared" si="10"/>
        <v>0</v>
      </c>
      <c r="FA48" s="98">
        <f t="shared" si="11"/>
        <v>0</v>
      </c>
      <c r="FB48" s="98">
        <f t="shared" si="12"/>
        <v>0</v>
      </c>
      <c r="FC48" s="98">
        <f t="shared" si="13"/>
        <v>0</v>
      </c>
      <c r="FD48" s="98">
        <f t="shared" si="14"/>
        <v>0</v>
      </c>
      <c r="FE48" s="98">
        <f t="shared" si="18"/>
        <v>0</v>
      </c>
      <c r="FF48" s="98">
        <f t="shared" si="19"/>
        <v>0</v>
      </c>
      <c r="FG48" s="98">
        <f t="shared" si="20"/>
        <v>0</v>
      </c>
      <c r="FH48" s="98">
        <f t="shared" si="21"/>
        <v>0</v>
      </c>
      <c r="FI48" s="98">
        <f t="shared" si="22"/>
        <v>0</v>
      </c>
      <c r="FJ48" s="98">
        <f t="shared" si="23"/>
        <v>0</v>
      </c>
      <c r="FK48" s="98">
        <f t="shared" si="24"/>
        <v>0</v>
      </c>
      <c r="FL48" s="98">
        <f t="shared" si="25"/>
        <v>0</v>
      </c>
      <c r="FM48" s="98">
        <f t="shared" si="26"/>
        <v>0</v>
      </c>
      <c r="FN48" s="98">
        <f t="shared" si="27"/>
        <v>0</v>
      </c>
      <c r="FO48" s="272" t="str">
        <f t="shared" si="17"/>
        <v/>
      </c>
      <c r="FP48" s="98">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944">
        <f t="shared" si="16"/>
        <v>0</v>
      </c>
      <c r="FR48" s="941">
        <f>SUMIFS('5. PERSON'!$AE$17:$AE$192,'5. PERSON'!$B$17:$B$192,'14. EUFP'!$B48,'5. PERSON'!$D$17:$D$192,FR$18)</f>
        <v>0</v>
      </c>
      <c r="FS48" s="941">
        <f>SUMIFS('5. PERSON'!$AE$17:$AE$192,'5. PERSON'!$B$17:$B$192,'14. EUFP'!$B48,'5. PERSON'!$D$17:$D$192,FS$18)</f>
        <v>0</v>
      </c>
      <c r="FT48" s="941">
        <f>SUMIFS('5. PERSON'!$AE$17:$AE$192,'5. PERSON'!$B$17:$B$192,'14. EUFP'!$B48,'5. PERSON'!$D$17:$D$192,FT$18)</f>
        <v>0</v>
      </c>
      <c r="FU48" s="941">
        <f>SUMIFS('5. PERSON'!$AE$17:$AE$192,'5. PERSON'!$B$17:$B$192,'14. EUFP'!$B48,'5. PERSON'!$D$17:$D$192,FU$18)</f>
        <v>0</v>
      </c>
      <c r="FV48" s="941">
        <f>SUMIFS('5. PERSON'!$AE$17:$AE$192,'5. PERSON'!$B$17:$B$192,'14. EUFP'!$B48,'5. PERSON'!$D$17:$D$192,FV$18)</f>
        <v>0</v>
      </c>
      <c r="FW48" s="941">
        <f>SUMIFS('5. PERSON'!$AE$17:$AE$192,'5. PERSON'!$B$17:$B$192,'14. EUFP'!$B48,'5. PERSON'!$D$17:$D$192,FW$18)</f>
        <v>0</v>
      </c>
      <c r="FX48" s="941">
        <f>SUMIFS('5. PERSON'!$AE$17:$AE$192,'5. PERSON'!$B$17:$B$192,'14. EUFP'!$B48,'5. PERSON'!$D$17:$D$192,FX$18)</f>
        <v>0</v>
      </c>
      <c r="FY48" s="941">
        <f>SUMIFS('5. PERSON'!$AE$17:$AE$192,'5. PERSON'!$B$17:$B$192,'14. EUFP'!$B48,'5. PERSON'!$D$17:$D$192,FY$18)</f>
        <v>0</v>
      </c>
      <c r="FZ48" s="941">
        <f>SUMIFS('5. PERSON'!$AE$17:$AE$192,'5. PERSON'!$B$17:$B$192,'14. EUFP'!$B48,'5. PERSON'!$D$17:$D$192,FZ$18)</f>
        <v>0</v>
      </c>
      <c r="GA48" s="941">
        <f>SUMIFS('5. PERSON'!$AE$17:$AE$192,'5. PERSON'!$B$17:$B$192,'14. EUFP'!$B48,'5. PERSON'!$D$17:$D$192,GA$18)</f>
        <v>0</v>
      </c>
      <c r="GB48" s="941">
        <f>SUMIFS('5. PERSON'!$AE$17:$AE$192,'5. PERSON'!$B$17:$B$192,'14. EUFP'!$B48,'5. PERSON'!$D$17:$D$192,GB$18)</f>
        <v>0</v>
      </c>
      <c r="GC48" s="941">
        <f>SUMIFS('5. PERSON'!$AE$17:$AE$192,'5. PERSON'!$B$17:$B$192,'14. EUFP'!$B48,'5. PERSON'!$D$17:$D$192,GC$18)</f>
        <v>0</v>
      </c>
      <c r="GD48" s="941">
        <f>SUMIFS('5. PERSON'!$AE$17:$AE$192,'5. PERSON'!$B$17:$B$192,'14. EUFP'!$B48,'5. PERSON'!$D$17:$D$192,GD$18)</f>
        <v>0</v>
      </c>
      <c r="GE48" s="941">
        <f>SUMIFS('5. PERSON'!$AE$17:$AE$192,'5. PERSON'!$B$17:$B$192,'14. EUFP'!$B48,'5. PERSON'!$D$17:$D$192,GE$18)</f>
        <v>0</v>
      </c>
      <c r="GF48" s="941">
        <f>SUMIFS('5. PERSON'!$AE$17:$AE$192,'5. PERSON'!$B$17:$B$192,'14. EUFP'!$B48,'5. PERSON'!$D$17:$D$192,GF$18)</f>
        <v>0</v>
      </c>
      <c r="GG48" s="941">
        <f>SUMIFS('5. PERSON'!$AE$17:$AE$192,'5. PERSON'!$B$17:$B$192,'14. EUFP'!$B48,'5. PERSON'!$D$17:$D$192,GG$18)</f>
        <v>0</v>
      </c>
      <c r="GH48" s="941">
        <f>SUMIFS('5. PERSON'!$AE$17:$AE$192,'5. PERSON'!$B$17:$B$192,'14. EUFP'!$B48,'5. PERSON'!$D$17:$D$192,GH$18)</f>
        <v>0</v>
      </c>
      <c r="GI48" s="941">
        <f>SUMIFS('5. PERSON'!$AE$17:$AE$192,'5. PERSON'!$B$17:$B$192,'14. EUFP'!$B48,'5. PERSON'!$D$17:$D$192,GI$18)</f>
        <v>0</v>
      </c>
      <c r="GJ48" s="941">
        <f>SUMIFS('5. PERSON'!$AE$17:$AE$192,'5. PERSON'!$B$17:$B$192,'14. EUFP'!$B48,'5. PERSON'!$D$17:$D$192,GJ$18)</f>
        <v>0</v>
      </c>
      <c r="GK48" s="941">
        <f>SUMIFS('5. PERSON'!$AE$17:$AE$192,'5. PERSON'!$B$17:$B$192,'14. EUFP'!$B48,'5. PERSON'!$D$17:$D$192,GK$18)</f>
        <v>0</v>
      </c>
      <c r="GL48" s="941">
        <f t="shared" si="28"/>
        <v>0</v>
      </c>
    </row>
    <row r="49" spans="2:194" s="71" customFormat="1" ht="13.5" customHeight="1" x14ac:dyDescent="0.2">
      <c r="B49" s="259" t="str">
        <f>'3. PARTNER'!B76</f>
        <v>EXT126</v>
      </c>
      <c r="C49" s="281">
        <f>SUMIF('5. PERSON'!B$17:B$192,B49,'5. PERSON'!AR$17:AR$192)</f>
        <v>0</v>
      </c>
      <c r="D49" s="281">
        <f>SUMIFS('5. PERSON'!$AR$17:$AR$192,'5. PERSON'!$B$17:$B$192,$B49,'5. PERSON'!$D$17:$D$192,D$18)</f>
        <v>0</v>
      </c>
      <c r="E49" s="281">
        <f>SUMIFS('5. PERSON'!$AR$17:$AR$192,'5. PERSON'!$B$17:$B$192,$B49,'5. PERSON'!$D$17:$D$192,E$18)</f>
        <v>0</v>
      </c>
      <c r="F49" s="281">
        <f>SUMIFS('5. PERSON'!$AR$17:$AR$192,'5. PERSON'!$B$17:$B$192,$B49,'5. PERSON'!$D$17:$D$192,F$18)</f>
        <v>0</v>
      </c>
      <c r="G49" s="281">
        <f>SUMIFS('5. PERSON'!$AR$17:$AR$192,'5. PERSON'!$B$17:$B$192,$B49,'5. PERSON'!$D$17:$D$192,G$18)</f>
        <v>0</v>
      </c>
      <c r="H49" s="281">
        <f>SUMIFS('5. PERSON'!$AR$17:$AR$192,'5. PERSON'!$B$17:$B$192,$B49,'5. PERSON'!$D$17:$D$192,H$18)</f>
        <v>0</v>
      </c>
      <c r="I49" s="281">
        <f>SUMIFS('5. PERSON'!$AR$17:$AR$192,'5. PERSON'!$B$17:$B$192,$B49,'5. PERSON'!$D$17:$D$192,I$18)</f>
        <v>0</v>
      </c>
      <c r="J49" s="281">
        <f>SUMIFS('5. PERSON'!$AR$17:$AR$192,'5. PERSON'!$B$17:$B$192,$B49,'5. PERSON'!$D$17:$D$192,J$18)</f>
        <v>0</v>
      </c>
      <c r="K49" s="281">
        <f>SUMIFS('5. PERSON'!$AR$17:$AR$192,'5. PERSON'!$B$17:$B$192,$B49,'5. PERSON'!$D$17:$D$192,K$18)</f>
        <v>0</v>
      </c>
      <c r="L49" s="281">
        <f>SUMIFS('5. PERSON'!$AR$17:$AR$192,'5. PERSON'!$B$17:$B$192,$B49,'5. PERSON'!$D$17:$D$192,L$18)</f>
        <v>0</v>
      </c>
      <c r="M49" s="281">
        <f>SUMIFS('5. PERSON'!$AR$17:$AR$192,'5. PERSON'!$B$17:$B$192,$B49,'5. PERSON'!$D$17:$D$192,M$18)</f>
        <v>0</v>
      </c>
      <c r="N49" s="281">
        <f>SUMIFS('5. PERSON'!$AR$17:$AR$192,'5. PERSON'!$B$17:$B$192,$B49,'5. PERSON'!$D$17:$D$192,N$18)</f>
        <v>0</v>
      </c>
      <c r="O49" s="281">
        <f>SUMIFS('5. PERSON'!$AR$17:$AR$192,'5. PERSON'!$B$17:$B$192,$B49,'5. PERSON'!$D$17:$D$192,O$18)</f>
        <v>0</v>
      </c>
      <c r="P49" s="281">
        <f>SUMIFS('5. PERSON'!$AR$17:$AR$192,'5. PERSON'!$B$17:$B$192,$B49,'5. PERSON'!$D$17:$D$192,P$18)</f>
        <v>0</v>
      </c>
      <c r="Q49" s="281">
        <f>SUMIFS('5. PERSON'!$AR$17:$AR$192,'5. PERSON'!$B$17:$B$192,$B49,'5. PERSON'!$D$17:$D$192,Q$18)</f>
        <v>0</v>
      </c>
      <c r="R49" s="281">
        <f>SUMIFS('5. PERSON'!$AR$17:$AR$192,'5. PERSON'!$B$17:$B$192,$B49,'5. PERSON'!$D$17:$D$192,R$18)</f>
        <v>0</v>
      </c>
      <c r="S49" s="281">
        <f>SUMIFS('5. PERSON'!$AR$17:$AR$192,'5. PERSON'!$B$17:$B$192,$B49,'5. PERSON'!$D$17:$D$192,S$18)</f>
        <v>0</v>
      </c>
      <c r="T49" s="281">
        <f>SUMIFS('5. PERSON'!$AR$17:$AR$192,'5. PERSON'!$B$17:$B$192,$B49,'5. PERSON'!$D$17:$D$192,T$18)</f>
        <v>0</v>
      </c>
      <c r="U49" s="281">
        <f>SUMIFS('5. PERSON'!$AR$17:$AR$192,'5. PERSON'!$B$17:$B$192,$B49,'5. PERSON'!$D$17:$D$192,U$18)</f>
        <v>0</v>
      </c>
      <c r="V49" s="281">
        <f>SUMIFS('5. PERSON'!$AR$17:$AR$192,'5. PERSON'!$B$17:$B$192,$B49,'5. PERSON'!$D$17:$D$192,V$18)</f>
        <v>0</v>
      </c>
      <c r="W49" s="281">
        <f>SUMIFS('5. PERSON'!$AR$17:$AR$192,'5. PERSON'!$B$17:$B$192,$B49,'5. PERSON'!$D$17:$D$192,W$18)</f>
        <v>0</v>
      </c>
      <c r="X49" s="281">
        <f>SUMIFS('6. OPERATION'!R$17:R$149,'6. OPERATION'!B$17:B$149,B49,'6. OPERATION'!G$17:G$149,"SUBCON")</f>
        <v>0</v>
      </c>
      <c r="Y49" s="281">
        <f>SUMIFS('6. OPERATION'!$R$17:$R$149,'6. OPERATION'!$B$17:$B$149,$B49,'6. OPERATION'!$G$17:$G$149,"SUBCON",'6. OPERATION'!$D$17:$D$149,Y$18)</f>
        <v>0</v>
      </c>
      <c r="Z49" s="281">
        <f>SUMIFS('6. OPERATION'!$R$17:$R$149,'6. OPERATION'!$B$17:$B$149,$B49,'6. OPERATION'!$G$17:$G$149,"SUBCON",'6. OPERATION'!$D$17:$D$149,Z$18)</f>
        <v>0</v>
      </c>
      <c r="AA49" s="281">
        <f>SUMIFS('6. OPERATION'!$R$17:$R$149,'6. OPERATION'!$B$17:$B$149,$B49,'6. OPERATION'!$G$17:$G$149,"SUBCON",'6. OPERATION'!$D$17:$D$149,AA$18)</f>
        <v>0</v>
      </c>
      <c r="AB49" s="281">
        <f>SUMIFS('6. OPERATION'!$R$17:$R$149,'6. OPERATION'!$B$17:$B$149,$B49,'6. OPERATION'!$G$17:$G$149,"SUBCON",'6. OPERATION'!$D$17:$D$149,AB$18)</f>
        <v>0</v>
      </c>
      <c r="AC49" s="281">
        <f>SUMIFS('6. OPERATION'!$R$17:$R$149,'6. OPERATION'!$B$17:$B$149,$B49,'6. OPERATION'!$G$17:$G$149,"SUBCON",'6. OPERATION'!$D$17:$D$149,AC$18)</f>
        <v>0</v>
      </c>
      <c r="AD49" s="281">
        <f>SUMIFS('6. OPERATION'!$R$17:$R$149,'6. OPERATION'!$B$17:$B$149,$B49,'6. OPERATION'!$G$17:$G$149,"SUBCON",'6. OPERATION'!$D$17:$D$149,AD$18)</f>
        <v>0</v>
      </c>
      <c r="AE49" s="281">
        <f>SUMIFS('6. OPERATION'!$R$17:$R$149,'6. OPERATION'!$B$17:$B$149,$B49,'6. OPERATION'!$G$17:$G$149,"SUBCON",'6. OPERATION'!$D$17:$D$149,AE$18)</f>
        <v>0</v>
      </c>
      <c r="AF49" s="281">
        <f>SUMIFS('6. OPERATION'!$R$17:$R$149,'6. OPERATION'!$B$17:$B$149,$B49,'6. OPERATION'!$G$17:$G$149,"SUBCON",'6. OPERATION'!$D$17:$D$149,AF$18)</f>
        <v>0</v>
      </c>
      <c r="AG49" s="281">
        <f>SUMIFS('6. OPERATION'!$R$17:$R$149,'6. OPERATION'!$B$17:$B$149,$B49,'6. OPERATION'!$G$17:$G$149,"SUBCON",'6. OPERATION'!$D$17:$D$149,AG$18)</f>
        <v>0</v>
      </c>
      <c r="AH49" s="281">
        <f>SUMIFS('6. OPERATION'!$R$17:$R$149,'6. OPERATION'!$B$17:$B$149,$B49,'6. OPERATION'!$G$17:$G$149,"SUBCON",'6. OPERATION'!$D$17:$D$149,AH$18)</f>
        <v>0</v>
      </c>
      <c r="AI49" s="281">
        <f>SUMIFS('6. OPERATION'!$R$17:$R$149,'6. OPERATION'!$B$17:$B$149,$B49,'6. OPERATION'!$G$17:$G$149,"SUBCON",'6. OPERATION'!$D$17:$D$149,AI$18)</f>
        <v>0</v>
      </c>
      <c r="AJ49" s="281">
        <f>SUMIFS('6. OPERATION'!$R$17:$R$149,'6. OPERATION'!$B$17:$B$149,$B49,'6. OPERATION'!$G$17:$G$149,"SUBCON",'6. OPERATION'!$D$17:$D$149,AJ$18)</f>
        <v>0</v>
      </c>
      <c r="AK49" s="281">
        <f>SUMIFS('6. OPERATION'!$R$17:$R$149,'6. OPERATION'!$B$17:$B$149,$B49,'6. OPERATION'!$G$17:$G$149,"SUBCON",'6. OPERATION'!$D$17:$D$149,AK$18)</f>
        <v>0</v>
      </c>
      <c r="AL49" s="281">
        <f>SUMIFS('6. OPERATION'!$R$17:$R$149,'6. OPERATION'!$B$17:$B$149,$B49,'6. OPERATION'!$G$17:$G$149,"SUBCON",'6. OPERATION'!$D$17:$D$149,AL$18)</f>
        <v>0</v>
      </c>
      <c r="AM49" s="281">
        <f>SUMIFS('6. OPERATION'!$R$17:$R$149,'6. OPERATION'!$B$17:$B$149,$B49,'6. OPERATION'!$G$17:$G$149,"SUBCON",'6. OPERATION'!$D$17:$D$149,AM$18)</f>
        <v>0</v>
      </c>
      <c r="AN49" s="281">
        <f>SUMIFS('6. OPERATION'!$R$17:$R$149,'6. OPERATION'!$B$17:$B$149,$B49,'6. OPERATION'!$G$17:$G$149,"SUBCON",'6. OPERATION'!$D$17:$D$149,AN$18)</f>
        <v>0</v>
      </c>
      <c r="AO49" s="281">
        <f>SUMIFS('6. OPERATION'!$R$17:$R$149,'6. OPERATION'!$B$17:$B$149,$B49,'6. OPERATION'!$G$17:$G$149,"SUBCON",'6. OPERATION'!$D$17:$D$149,AO$18)</f>
        <v>0</v>
      </c>
      <c r="AP49" s="281">
        <f>SUMIFS('6. OPERATION'!$R$17:$R$149,'6. OPERATION'!$B$17:$B$149,$B49,'6. OPERATION'!$G$17:$G$149,"SUBCON",'6. OPERATION'!$D$17:$D$149,AP$18)</f>
        <v>0</v>
      </c>
      <c r="AQ49" s="281">
        <f>SUMIFS('6. OPERATION'!$R$17:$R$149,'6. OPERATION'!$B$17:$B$149,$B49,'6. OPERATION'!$G$17:$G$149,"SUBCON",'6. OPERATION'!$D$17:$D$149,AQ$18)</f>
        <v>0</v>
      </c>
      <c r="AR49" s="281">
        <f>SUMIFS('6. OPERATION'!$R$17:$R$149,'6. OPERATION'!$B$17:$B$149,$B49,'6. OPERATION'!$G$17:$G$149,"SUBCON",'6. OPERATION'!$D$17:$D$149,AR$18)</f>
        <v>0</v>
      </c>
      <c r="AS49" s="281">
        <f>SUMIFS('6. OPERATION'!R$17:R$149,'6. OPERATION'!B$17:B$149,B49,'6. OPERATION'!G$17:G$149,"TRAVEL")</f>
        <v>0</v>
      </c>
      <c r="AT49" s="281">
        <f>SUMIFS('6. OPERATION'!$R$17:$R$149,'6. OPERATION'!$B$17:$B$149,$B49,'6. OPERATION'!$G$17:$G$149,"TRAVEL",'6. OPERATION'!$D$17:$D$149,AT$18)</f>
        <v>0</v>
      </c>
      <c r="AU49" s="281">
        <f>SUMIFS('6. OPERATION'!$R$17:$R$149,'6. OPERATION'!$B$17:$B$149,$B49,'6. OPERATION'!$G$17:$G$149,"TRAVEL",'6. OPERATION'!$D$17:$D$149,AU$18)</f>
        <v>0</v>
      </c>
      <c r="AV49" s="281">
        <f>SUMIFS('6. OPERATION'!$R$17:$R$149,'6. OPERATION'!$B$17:$B$149,$B49,'6. OPERATION'!$G$17:$G$149,"TRAVEL",'6. OPERATION'!$D$17:$D$149,AV$18)</f>
        <v>0</v>
      </c>
      <c r="AW49" s="281">
        <f>SUMIFS('6. OPERATION'!$R$17:$R$149,'6. OPERATION'!$B$17:$B$149,$B49,'6. OPERATION'!$G$17:$G$149,"TRAVEL",'6. OPERATION'!$D$17:$D$149,AW$18)</f>
        <v>0</v>
      </c>
      <c r="AX49" s="281">
        <f>SUMIFS('6. OPERATION'!$R$17:$R$149,'6. OPERATION'!$B$17:$B$149,$B49,'6. OPERATION'!$G$17:$G$149,"TRAVEL",'6. OPERATION'!$D$17:$D$149,AX$18)</f>
        <v>0</v>
      </c>
      <c r="AY49" s="281">
        <f>SUMIFS('6. OPERATION'!$R$17:$R$149,'6. OPERATION'!$B$17:$B$149,$B49,'6. OPERATION'!$G$17:$G$149,"TRAVEL",'6. OPERATION'!$D$17:$D$149,AY$18)</f>
        <v>0</v>
      </c>
      <c r="AZ49" s="281">
        <f>SUMIFS('6. OPERATION'!$R$17:$R$149,'6. OPERATION'!$B$17:$B$149,$B49,'6. OPERATION'!$G$17:$G$149,"TRAVEL",'6. OPERATION'!$D$17:$D$149,AZ$18)</f>
        <v>0</v>
      </c>
      <c r="BA49" s="281">
        <f>SUMIFS('6. OPERATION'!$R$17:$R$149,'6. OPERATION'!$B$17:$B$149,$B49,'6. OPERATION'!$G$17:$G$149,"TRAVEL",'6. OPERATION'!$D$17:$D$149,BA$18)</f>
        <v>0</v>
      </c>
      <c r="BB49" s="281">
        <f>SUMIFS('6. OPERATION'!$R$17:$R$149,'6. OPERATION'!$B$17:$B$149,$B49,'6. OPERATION'!$G$17:$G$149,"TRAVEL",'6. OPERATION'!$D$17:$D$149,BB$18)</f>
        <v>0</v>
      </c>
      <c r="BC49" s="281">
        <f>SUMIFS('6. OPERATION'!$R$17:$R$149,'6. OPERATION'!$B$17:$B$149,$B49,'6. OPERATION'!$G$17:$G$149,"TRAVEL",'6. OPERATION'!$D$17:$D$149,BC$18)</f>
        <v>0</v>
      </c>
      <c r="BD49" s="281">
        <f>SUMIFS('6. OPERATION'!$R$17:$R$149,'6. OPERATION'!$B$17:$B$149,$B49,'6. OPERATION'!$G$17:$G$149,"TRAVEL",'6. OPERATION'!$D$17:$D$149,BD$18)</f>
        <v>0</v>
      </c>
      <c r="BE49" s="281">
        <f>SUMIFS('6. OPERATION'!$R$17:$R$149,'6. OPERATION'!$B$17:$B$149,$B49,'6. OPERATION'!$G$17:$G$149,"TRAVEL",'6. OPERATION'!$D$17:$D$149,BE$18)</f>
        <v>0</v>
      </c>
      <c r="BF49" s="281">
        <f>SUMIFS('6. OPERATION'!$R$17:$R$149,'6. OPERATION'!$B$17:$B$149,$B49,'6. OPERATION'!$G$17:$G$149,"TRAVEL",'6. OPERATION'!$D$17:$D$149,BF$18)</f>
        <v>0</v>
      </c>
      <c r="BG49" s="281">
        <f>SUMIFS('6. OPERATION'!$R$17:$R$149,'6. OPERATION'!$B$17:$B$149,$B49,'6. OPERATION'!$G$17:$G$149,"TRAVEL",'6. OPERATION'!$D$17:$D$149,BG$18)</f>
        <v>0</v>
      </c>
      <c r="BH49" s="281">
        <f>SUMIFS('6. OPERATION'!$R$17:$R$149,'6. OPERATION'!$B$17:$B$149,$B49,'6. OPERATION'!$G$17:$G$149,"TRAVEL",'6. OPERATION'!$D$17:$D$149,BH$18)</f>
        <v>0</v>
      </c>
      <c r="BI49" s="281">
        <f>SUMIFS('6. OPERATION'!$R$17:$R$149,'6. OPERATION'!$B$17:$B$149,$B49,'6. OPERATION'!$G$17:$G$149,"TRAVEL",'6. OPERATION'!$D$17:$D$149,BI$18)</f>
        <v>0</v>
      </c>
      <c r="BJ49" s="281">
        <f>SUMIFS('6. OPERATION'!$R$17:$R$149,'6. OPERATION'!$B$17:$B$149,$B49,'6. OPERATION'!$G$17:$G$149,"TRAVEL",'6. OPERATION'!$D$17:$D$149,BJ$18)</f>
        <v>0</v>
      </c>
      <c r="BK49" s="281">
        <f>SUMIFS('6. OPERATION'!$R$17:$R$149,'6. OPERATION'!$B$17:$B$149,$B49,'6. OPERATION'!$G$17:$G$149,"TRAVEL",'6. OPERATION'!$D$17:$D$149,BK$18)</f>
        <v>0</v>
      </c>
      <c r="BL49" s="281">
        <f>SUMIFS('6. OPERATION'!$R$17:$R$149,'6. OPERATION'!$B$17:$B$149,$B49,'6. OPERATION'!$G$17:$G$149,"TRAVEL",'6. OPERATION'!$D$17:$D$149,BL$18)</f>
        <v>0</v>
      </c>
      <c r="BM49" s="281">
        <f>SUMIFS('6. OPERATION'!$R$17:$R$149,'6. OPERATION'!$B$17:$B$149,$B49,'6. OPERATION'!$G$17:$G$149,"TRAVEL",'6. OPERATION'!$D$17:$D$149,BM$18)</f>
        <v>0</v>
      </c>
      <c r="BN49" s="281">
        <f>SUMIF('7. INVEST'!B$17:B$49,B49,'7. INVEST'!S$17:S$49)</f>
        <v>0</v>
      </c>
      <c r="BO49" s="281">
        <f>SUMIFS('7. INVEST'!$S$17:$S$49,'7. INVEST'!$B$17:$B$49,$B49,'7. INVEST'!$D$17:$D$49,BO$18)</f>
        <v>0</v>
      </c>
      <c r="BP49" s="281">
        <f>SUMIFS('7. INVEST'!$S$17:$S$49,'7. INVEST'!$B$17:$B$49,$B49,'7. INVEST'!$D$17:$D$49,BP$18)</f>
        <v>0</v>
      </c>
      <c r="BQ49" s="281">
        <f>SUMIFS('7. INVEST'!$S$17:$S$49,'7. INVEST'!$B$17:$B$49,$B49,'7. INVEST'!$D$17:$D$49,BQ$18)</f>
        <v>0</v>
      </c>
      <c r="BR49" s="281">
        <f>SUMIFS('7. INVEST'!$S$17:$S$49,'7. INVEST'!$B$17:$B$49,$B49,'7. INVEST'!$D$17:$D$49,BR$18)</f>
        <v>0</v>
      </c>
      <c r="BS49" s="281">
        <f>SUMIFS('7. INVEST'!$S$17:$S$49,'7. INVEST'!$B$17:$B$49,$B49,'7. INVEST'!$D$17:$D$49,BS$18)</f>
        <v>0</v>
      </c>
      <c r="BT49" s="281">
        <f>SUMIFS('7. INVEST'!$S$17:$S$49,'7. INVEST'!$B$17:$B$49,$B49,'7. INVEST'!$D$17:$D$49,BT$18)</f>
        <v>0</v>
      </c>
      <c r="BU49" s="281">
        <f>SUMIFS('7. INVEST'!$S$17:$S$49,'7. INVEST'!$B$17:$B$49,$B49,'7. INVEST'!$D$17:$D$49,BU$18)</f>
        <v>0</v>
      </c>
      <c r="BV49" s="281">
        <f>SUMIFS('7. INVEST'!$S$17:$S$49,'7. INVEST'!$B$17:$B$49,$B49,'7. INVEST'!$D$17:$D$49,BV$18)</f>
        <v>0</v>
      </c>
      <c r="BW49" s="281">
        <f>SUMIFS('7. INVEST'!$S$17:$S$49,'7. INVEST'!$B$17:$B$49,$B49,'7. INVEST'!$D$17:$D$49,BW$18)</f>
        <v>0</v>
      </c>
      <c r="BX49" s="281">
        <f>SUMIFS('7. INVEST'!$S$17:$S$49,'7. INVEST'!$B$17:$B$49,$B49,'7. INVEST'!$D$17:$D$49,BX$18)</f>
        <v>0</v>
      </c>
      <c r="BY49" s="281">
        <f>SUMIFS('7. INVEST'!$S$17:$S$49,'7. INVEST'!$B$17:$B$49,$B49,'7. INVEST'!$D$17:$D$49,BY$18)</f>
        <v>0</v>
      </c>
      <c r="BZ49" s="281">
        <f>SUMIFS('7. INVEST'!$S$17:$S$49,'7. INVEST'!$B$17:$B$49,$B49,'7. INVEST'!$D$17:$D$49,BZ$18)</f>
        <v>0</v>
      </c>
      <c r="CA49" s="281">
        <f>SUMIFS('7. INVEST'!$S$17:$S$49,'7. INVEST'!$B$17:$B$49,$B49,'7. INVEST'!$D$17:$D$49,CA$18)</f>
        <v>0</v>
      </c>
      <c r="CB49" s="281">
        <f>SUMIFS('7. INVEST'!$S$17:$S$49,'7. INVEST'!$B$17:$B$49,$B49,'7. INVEST'!$D$17:$D$49,CB$18)</f>
        <v>0</v>
      </c>
      <c r="CC49" s="281">
        <f>SUMIFS('7. INVEST'!$S$17:$S$49,'7. INVEST'!$B$17:$B$49,$B49,'7. INVEST'!$D$17:$D$49,CC$18)</f>
        <v>0</v>
      </c>
      <c r="CD49" s="281">
        <f>SUMIFS('7. INVEST'!$S$17:$S$49,'7. INVEST'!$B$17:$B$49,$B49,'7. INVEST'!$D$17:$D$49,CD$18)</f>
        <v>0</v>
      </c>
      <c r="CE49" s="281">
        <f>SUMIFS('7. INVEST'!$S$17:$S$49,'7. INVEST'!$B$17:$B$49,$B49,'7. INVEST'!$D$17:$D$49,CE$18)</f>
        <v>0</v>
      </c>
      <c r="CF49" s="281">
        <f>SUMIFS('7. INVEST'!$S$17:$S$49,'7. INVEST'!$B$17:$B$49,$B49,'7. INVEST'!$D$17:$D$49,CF$18)</f>
        <v>0</v>
      </c>
      <c r="CG49" s="281">
        <f>SUMIFS('7. INVEST'!$S$17:$S$49,'7. INVEST'!$B$17:$B$49,$B49,'7. INVEST'!$D$17:$D$49,CG$18)</f>
        <v>0</v>
      </c>
      <c r="CH49" s="281">
        <f>SUMIFS('7. INVEST'!$S$17:$S$49,'7. INVEST'!$B$17:$B$49,$B49,'7. INVEST'!$D$17:$D$49,CH$18)</f>
        <v>0</v>
      </c>
      <c r="CI49" s="281">
        <f>SUMIFS('6. OPERATION'!$R$17:$R$149,'6. OPERATION'!$B$17:$B$149,$B49,'6. OPERATION'!$G$17:$G$149,"OTHER")+SUMIF('8. FACILIT'!$B$18:$B$50,$B49,'8. FACILIT'!$P$18:$P$50)</f>
        <v>0</v>
      </c>
      <c r="CJ49" s="281">
        <f>SUMIFS('6. OPERATION'!$R$17:$R$149,'6. OPERATION'!$B$17:$B$149,$B49,'6. OPERATION'!$G$17:$G$149,"OTHER",'6. OPERATION'!$D$17:$D$149,CJ$18)+SUMIFS('8. FACILIT'!$P$18:$P$50,'8. FACILIT'!$B$18:$B$50,$B49,'8. FACILIT'!$D$18:$D$50,CJ$18)</f>
        <v>0</v>
      </c>
      <c r="CK49" s="281">
        <f>SUMIFS('6. OPERATION'!$R$17:$R$149,'6. OPERATION'!$B$17:$B$149,$B49,'6. OPERATION'!$G$17:$G$149,"OTHER",'6. OPERATION'!$D$17:$D$149,CK$18)+SUMIFS('8. FACILIT'!$P$18:$P$50,'8. FACILIT'!$B$18:$B$50,$B49,'8. FACILIT'!$D$18:$D$50,CK$18)</f>
        <v>0</v>
      </c>
      <c r="CL49" s="281">
        <f>SUMIFS('6. OPERATION'!$R$17:$R$149,'6. OPERATION'!$B$17:$B$149,$B49,'6. OPERATION'!$G$17:$G$149,"OTHER",'6. OPERATION'!$D$17:$D$149,CL$18)+SUMIFS('8. FACILIT'!$P$18:$P$50,'8. FACILIT'!$B$18:$B$50,$B49,'8. FACILIT'!$D$18:$D$50,CL$18)</f>
        <v>0</v>
      </c>
      <c r="CM49" s="281">
        <f>SUMIFS('6. OPERATION'!$R$17:$R$149,'6. OPERATION'!$B$17:$B$149,$B49,'6. OPERATION'!$G$17:$G$149,"OTHER",'6. OPERATION'!$D$17:$D$149,CM$18)+SUMIFS('8. FACILIT'!$P$18:$P$50,'8. FACILIT'!$B$18:$B$50,$B49,'8. FACILIT'!$D$18:$D$50,CM$18)</f>
        <v>0</v>
      </c>
      <c r="CN49" s="281">
        <f>SUMIFS('6. OPERATION'!$R$17:$R$149,'6. OPERATION'!$B$17:$B$149,$B49,'6. OPERATION'!$G$17:$G$149,"OTHER",'6. OPERATION'!$D$17:$D$149,CN$18)+SUMIFS('8. FACILIT'!$P$18:$P$50,'8. FACILIT'!$B$18:$B$50,$B49,'8. FACILIT'!$D$18:$D$50,CN$18)</f>
        <v>0</v>
      </c>
      <c r="CO49" s="281">
        <f>SUMIFS('6. OPERATION'!$R$17:$R$149,'6. OPERATION'!$B$17:$B$149,$B49,'6. OPERATION'!$G$17:$G$149,"OTHER",'6. OPERATION'!$D$17:$D$149,CO$18)+SUMIFS('8. FACILIT'!$P$18:$P$50,'8. FACILIT'!$B$18:$B$50,$B49,'8. FACILIT'!$D$18:$D$50,CO$18)</f>
        <v>0</v>
      </c>
      <c r="CP49" s="281">
        <f>SUMIFS('6. OPERATION'!$R$17:$R$149,'6. OPERATION'!$B$17:$B$149,$B49,'6. OPERATION'!$G$17:$G$149,"OTHER",'6. OPERATION'!$D$17:$D$149,CP$18)+SUMIFS('8. FACILIT'!$P$18:$P$50,'8. FACILIT'!$B$18:$B$50,$B49,'8. FACILIT'!$D$18:$D$50,CP$18)</f>
        <v>0</v>
      </c>
      <c r="CQ49" s="281">
        <f>SUMIFS('6. OPERATION'!$R$17:$R$149,'6. OPERATION'!$B$17:$B$149,$B49,'6. OPERATION'!$G$17:$G$149,"OTHER",'6. OPERATION'!$D$17:$D$149,CQ$18)+SUMIFS('8. FACILIT'!$P$18:$P$50,'8. FACILIT'!$B$18:$B$50,$B49,'8. FACILIT'!$D$18:$D$50,CQ$18)</f>
        <v>0</v>
      </c>
      <c r="CR49" s="281">
        <f>SUMIFS('6. OPERATION'!$R$17:$R$149,'6. OPERATION'!$B$17:$B$149,$B49,'6. OPERATION'!$G$17:$G$149,"OTHER",'6. OPERATION'!$D$17:$D$149,CR$18)+SUMIFS('8. FACILIT'!$P$18:$P$50,'8. FACILIT'!$B$18:$B$50,$B49,'8. FACILIT'!$D$18:$D$50,CR$18)</f>
        <v>0</v>
      </c>
      <c r="CS49" s="281">
        <f>SUMIFS('6. OPERATION'!$R$17:$R$149,'6. OPERATION'!$B$17:$B$149,$B49,'6. OPERATION'!$G$17:$G$149,"OTHER",'6. OPERATION'!$D$17:$D$149,CS$18)+SUMIFS('8. FACILIT'!$P$18:$P$50,'8. FACILIT'!$B$18:$B$50,$B49,'8. FACILIT'!$D$18:$D$50,CS$18)</f>
        <v>0</v>
      </c>
      <c r="CT49" s="281">
        <f>SUMIFS('6. OPERATION'!$R$17:$R$149,'6. OPERATION'!$B$17:$B$149,$B49,'6. OPERATION'!$G$17:$G$149,"OTHER",'6. OPERATION'!$D$17:$D$149,CT$18)+SUMIFS('8. FACILIT'!$P$18:$P$50,'8. FACILIT'!$B$18:$B$50,$B49,'8. FACILIT'!$D$18:$D$50,CT$18)</f>
        <v>0</v>
      </c>
      <c r="CU49" s="281">
        <f>SUMIFS('6. OPERATION'!$R$17:$R$149,'6. OPERATION'!$B$17:$B$149,$B49,'6. OPERATION'!$G$17:$G$149,"OTHER",'6. OPERATION'!$D$17:$D$149,CU$18)+SUMIFS('8. FACILIT'!$P$18:$P$50,'8. FACILIT'!$B$18:$B$50,$B49,'8. FACILIT'!$D$18:$D$50,CU$18)</f>
        <v>0</v>
      </c>
      <c r="CV49" s="281">
        <f>SUMIFS('6. OPERATION'!$R$17:$R$149,'6. OPERATION'!$B$17:$B$149,$B49,'6. OPERATION'!$G$17:$G$149,"OTHER",'6. OPERATION'!$D$17:$D$149,CV$18)+SUMIFS('8. FACILIT'!$P$18:$P$50,'8. FACILIT'!$B$18:$B$50,$B49,'8. FACILIT'!$D$18:$D$50,CV$18)</f>
        <v>0</v>
      </c>
      <c r="CW49" s="281">
        <f>SUMIFS('6. OPERATION'!$R$17:$R$149,'6. OPERATION'!$B$17:$B$149,$B49,'6. OPERATION'!$G$17:$G$149,"OTHER",'6. OPERATION'!$D$17:$D$149,CW$18)+SUMIFS('8. FACILIT'!$P$18:$P$50,'8. FACILIT'!$B$18:$B$50,$B49,'8. FACILIT'!$D$18:$D$50,CW$18)</f>
        <v>0</v>
      </c>
      <c r="CX49" s="281">
        <f>SUMIFS('6. OPERATION'!$R$17:$R$149,'6. OPERATION'!$B$17:$B$149,$B49,'6. OPERATION'!$G$17:$G$149,"OTHER",'6. OPERATION'!$D$17:$D$149,CX$18)+SUMIFS('8. FACILIT'!$P$18:$P$50,'8. FACILIT'!$B$18:$B$50,$B49,'8. FACILIT'!$D$18:$D$50,CX$18)</f>
        <v>0</v>
      </c>
      <c r="CY49" s="281">
        <f>SUMIFS('6. OPERATION'!$R$17:$R$149,'6. OPERATION'!$B$17:$B$149,$B49,'6. OPERATION'!$G$17:$G$149,"OTHER",'6. OPERATION'!$D$17:$D$149,CY$18)+SUMIFS('8. FACILIT'!$P$18:$P$50,'8. FACILIT'!$B$18:$B$50,$B49,'8. FACILIT'!$D$18:$D$50,CY$18)</f>
        <v>0</v>
      </c>
      <c r="CZ49" s="281">
        <f>SUMIFS('6. OPERATION'!$R$17:$R$149,'6. OPERATION'!$B$17:$B$149,$B49,'6. OPERATION'!$G$17:$G$149,"OTHER",'6. OPERATION'!$D$17:$D$149,CZ$18)+SUMIFS('8. FACILIT'!$P$18:$P$50,'8. FACILIT'!$B$18:$B$50,$B49,'8. FACILIT'!$D$18:$D$50,CZ$18)</f>
        <v>0</v>
      </c>
      <c r="DA49" s="281">
        <f>SUMIFS('6. OPERATION'!$R$17:$R$149,'6. OPERATION'!$B$17:$B$149,$B49,'6. OPERATION'!$G$17:$G$149,"OTHER",'6. OPERATION'!$D$17:$D$149,DA$18)+SUMIFS('8. FACILIT'!$P$18:$P$50,'8. FACILIT'!$B$18:$B$50,$B49,'8. FACILIT'!$D$18:$D$50,DA$18)</f>
        <v>0</v>
      </c>
      <c r="DB49" s="281">
        <f>SUMIFS('6. OPERATION'!$R$17:$R$149,'6. OPERATION'!$B$17:$B$149,$B49,'6. OPERATION'!$G$17:$G$149,"OTHER",'6. OPERATION'!$D$17:$D$149,DB$18)+SUMIFS('8. FACILIT'!$P$18:$P$50,'8. FACILIT'!$B$18:$B$50,$B49,'8. FACILIT'!$D$18:$D$50,DB$18)</f>
        <v>0</v>
      </c>
      <c r="DC49" s="281">
        <f>SUMIFS('6. OPERATION'!$R$17:$R$149,'6. OPERATION'!$B$17:$B$149,$B49,'6. OPERATION'!$G$17:$G$149,"OTHER",'6. OPERATION'!$D$17:$D$149,DC$18)+SUMIFS('8. FACILIT'!$P$18:$P$50,'8. FACILIT'!$B$18:$B$50,$B49,'8. FACILIT'!$D$18:$D$50,DC$18)</f>
        <v>0</v>
      </c>
      <c r="DD49" s="281">
        <f>SUMIFS('6. OPERATION'!R$17:R$149,'6. OPERATION'!B$17:B$149,B49,'6. OPERATION'!G$17:G$149,"INTERN")</f>
        <v>0</v>
      </c>
      <c r="DE49" s="281">
        <f>SUMIFS('6. OPERATION'!$R$17:$R$149,'6. OPERATION'!$B$17:$B$149,$B49,'6. OPERATION'!$G$17:$G$149,"INTERN",'6. OPERATION'!$D$17:$D$149,DE$18)</f>
        <v>0</v>
      </c>
      <c r="DF49" s="281">
        <f>SUMIFS('6. OPERATION'!$R$17:$R$149,'6. OPERATION'!$B$17:$B$149,$B49,'6. OPERATION'!$G$17:$G$149,"INTERN",'6. OPERATION'!$D$17:$D$149,DF$18)</f>
        <v>0</v>
      </c>
      <c r="DG49" s="281">
        <f>SUMIFS('6. OPERATION'!$R$17:$R$149,'6. OPERATION'!$B$17:$B$149,$B49,'6. OPERATION'!$G$17:$G$149,"INTERN",'6. OPERATION'!$D$17:$D$149,DG$18)</f>
        <v>0</v>
      </c>
      <c r="DH49" s="281">
        <f>SUMIFS('6. OPERATION'!$R$17:$R$149,'6. OPERATION'!$B$17:$B$149,$B49,'6. OPERATION'!$G$17:$G$149,"INTERN",'6. OPERATION'!$D$17:$D$149,DH$18)</f>
        <v>0</v>
      </c>
      <c r="DI49" s="281">
        <f>SUMIFS('6. OPERATION'!$R$17:$R$149,'6. OPERATION'!$B$17:$B$149,$B49,'6. OPERATION'!$G$17:$G$149,"INTERN",'6. OPERATION'!$D$17:$D$149,DI$18)</f>
        <v>0</v>
      </c>
      <c r="DJ49" s="281">
        <f>SUMIFS('6. OPERATION'!$R$17:$R$149,'6. OPERATION'!$B$17:$B$149,$B49,'6. OPERATION'!$G$17:$G$149,"INTERN",'6. OPERATION'!$D$17:$D$149,DJ$18)</f>
        <v>0</v>
      </c>
      <c r="DK49" s="281">
        <f>SUMIFS('6. OPERATION'!$R$17:$R$149,'6. OPERATION'!$B$17:$B$149,$B49,'6. OPERATION'!$G$17:$G$149,"INTERN",'6. OPERATION'!$D$17:$D$149,DK$18)</f>
        <v>0</v>
      </c>
      <c r="DL49" s="281">
        <f>SUMIFS('6. OPERATION'!$R$17:$R$149,'6. OPERATION'!$B$17:$B$149,$B49,'6. OPERATION'!$G$17:$G$149,"INTERN",'6. OPERATION'!$D$17:$D$149,DL$18)</f>
        <v>0</v>
      </c>
      <c r="DM49" s="281">
        <f>SUMIFS('6. OPERATION'!$R$17:$R$149,'6. OPERATION'!$B$17:$B$149,$B49,'6. OPERATION'!$G$17:$G$149,"INTERN",'6. OPERATION'!$D$17:$D$149,DM$18)</f>
        <v>0</v>
      </c>
      <c r="DN49" s="281">
        <f>SUMIFS('6. OPERATION'!$R$17:$R$149,'6. OPERATION'!$B$17:$B$149,$B49,'6. OPERATION'!$G$17:$G$149,"INTERN",'6. OPERATION'!$D$17:$D$149,DN$18)</f>
        <v>0</v>
      </c>
      <c r="DO49" s="281">
        <f>SUMIFS('6. OPERATION'!$R$17:$R$149,'6. OPERATION'!$B$17:$B$149,$B49,'6. OPERATION'!$G$17:$G$149,"INTERN",'6. OPERATION'!$D$17:$D$149,DO$18)</f>
        <v>0</v>
      </c>
      <c r="DP49" s="281">
        <f>SUMIFS('6. OPERATION'!$R$17:$R$149,'6. OPERATION'!$B$17:$B$149,$B49,'6. OPERATION'!$G$17:$G$149,"INTERN",'6. OPERATION'!$D$17:$D$149,DP$18)</f>
        <v>0</v>
      </c>
      <c r="DQ49" s="281">
        <f>SUMIFS('6. OPERATION'!$R$17:$R$149,'6. OPERATION'!$B$17:$B$149,$B49,'6. OPERATION'!$G$17:$G$149,"INTERN",'6. OPERATION'!$D$17:$D$149,DQ$18)</f>
        <v>0</v>
      </c>
      <c r="DR49" s="281">
        <f>SUMIFS('6. OPERATION'!$R$17:$R$149,'6. OPERATION'!$B$17:$B$149,$B49,'6. OPERATION'!$G$17:$G$149,"INTERN",'6. OPERATION'!$D$17:$D$149,DR$18)</f>
        <v>0</v>
      </c>
      <c r="DS49" s="281">
        <f>SUMIFS('6. OPERATION'!$R$17:$R$149,'6. OPERATION'!$B$17:$B$149,$B49,'6. OPERATION'!$G$17:$G$149,"INTERN",'6. OPERATION'!$D$17:$D$149,DS$18)</f>
        <v>0</v>
      </c>
      <c r="DT49" s="281">
        <f>SUMIFS('6. OPERATION'!$R$17:$R$149,'6. OPERATION'!$B$17:$B$149,$B49,'6. OPERATION'!$G$17:$G$149,"INTERN",'6. OPERATION'!$D$17:$D$149,DT$18)</f>
        <v>0</v>
      </c>
      <c r="DU49" s="281">
        <f>SUMIFS('6. OPERATION'!$R$17:$R$149,'6. OPERATION'!$B$17:$B$149,$B49,'6. OPERATION'!$G$17:$G$149,"INTERN",'6. OPERATION'!$D$17:$D$149,DU$18)</f>
        <v>0</v>
      </c>
      <c r="DV49" s="281">
        <f>SUMIFS('6. OPERATION'!$R$17:$R$149,'6. OPERATION'!$B$17:$B$149,$B49,'6. OPERATION'!$G$17:$G$149,"INTERN",'6. OPERATION'!$D$17:$D$149,DV$18)</f>
        <v>0</v>
      </c>
      <c r="DW49" s="281">
        <f>SUMIFS('6. OPERATION'!$R$17:$R$149,'6. OPERATION'!$B$17:$B$149,$B49,'6. OPERATION'!$G$17:$G$149,"INTERN",'6. OPERATION'!$D$17:$D$149,DW$18)</f>
        <v>0</v>
      </c>
      <c r="DX49" s="281">
        <f>SUMIFS('6. OPERATION'!$R$17:$R$149,'6. OPERATION'!$B$17:$B$149,$B49,'6. OPERATION'!$G$17:$G$149,"INTERN",'6. OPERATION'!$D$17:$D$149,DX$18)</f>
        <v>0</v>
      </c>
      <c r="DY49" s="288">
        <f>(C49+AS49+BN49+CI49)*'2. START'!$C$12</f>
        <v>0</v>
      </c>
      <c r="DZ49" s="288">
        <f>(D49+AT49+BO49+CJ49)*'2. START'!$C$12</f>
        <v>0</v>
      </c>
      <c r="EA49" s="288">
        <f>(E49+AU49+BP49+CK49)*'2. START'!$C$12</f>
        <v>0</v>
      </c>
      <c r="EB49" s="288">
        <f>(F49+AV49+BQ49+CL49)*'2. START'!$C$12</f>
        <v>0</v>
      </c>
      <c r="EC49" s="288">
        <f>(G49+AW49+BR49+CM49)*'2. START'!$C$12</f>
        <v>0</v>
      </c>
      <c r="ED49" s="288">
        <f>(H49+AX49+BS49+CN49)*'2. START'!$C$12</f>
        <v>0</v>
      </c>
      <c r="EE49" s="288">
        <f>(I49+AY49+BT49+CO49)*'2. START'!$C$12</f>
        <v>0</v>
      </c>
      <c r="EF49" s="288">
        <f>(J49+AZ49+BU49+CP49)*'2. START'!$C$12</f>
        <v>0</v>
      </c>
      <c r="EG49" s="288">
        <f>(K49+BA49+BV49+CQ49)*'2. START'!$C$12</f>
        <v>0</v>
      </c>
      <c r="EH49" s="288">
        <f>(L49+BB49+BW49+CR49)*'2. START'!$C$12</f>
        <v>0</v>
      </c>
      <c r="EI49" s="288">
        <f>(M49+BC49+BX49+CS49)*'2. START'!$C$12</f>
        <v>0</v>
      </c>
      <c r="EJ49" s="288">
        <f>(N49+BD49+BY49+CT49)*'2. START'!$C$12</f>
        <v>0</v>
      </c>
      <c r="EK49" s="288">
        <f>(O49+BE49+BZ49+CU49)*'2. START'!$C$12</f>
        <v>0</v>
      </c>
      <c r="EL49" s="288">
        <f>(P49+BF49+CA49+CV49)*'2. START'!$C$12</f>
        <v>0</v>
      </c>
      <c r="EM49" s="288">
        <f>(Q49+BG49+CB49+CW49)*'2. START'!$C$12</f>
        <v>0</v>
      </c>
      <c r="EN49" s="288">
        <f>(R49+BH49+CC49+CX49)*'2. START'!$C$12</f>
        <v>0</v>
      </c>
      <c r="EO49" s="288">
        <f>(S49+BI49+CD49+CY49)*'2. START'!$C$12</f>
        <v>0</v>
      </c>
      <c r="EP49" s="288">
        <f>(T49+BJ49+CE49+CZ49)*'2. START'!$C$12</f>
        <v>0</v>
      </c>
      <c r="EQ49" s="288">
        <f>(U49+BK49+CF49+DA49)*'2. START'!$C$12</f>
        <v>0</v>
      </c>
      <c r="ER49" s="288">
        <f>(V49+BL49+CG49+DB49)*'2. START'!$C$12</f>
        <v>0</v>
      </c>
      <c r="ES49" s="288">
        <f>(W49+BM49+CH49+DC49)*'2. START'!$C$12</f>
        <v>0</v>
      </c>
      <c r="ET49" s="105">
        <f t="shared" si="4"/>
        <v>0</v>
      </c>
      <c r="EU49" s="105">
        <f t="shared" si="5"/>
        <v>0</v>
      </c>
      <c r="EV49" s="105">
        <f t="shared" si="6"/>
        <v>0</v>
      </c>
      <c r="EW49" s="105">
        <f t="shared" si="7"/>
        <v>0</v>
      </c>
      <c r="EX49" s="105">
        <f t="shared" si="8"/>
        <v>0</v>
      </c>
      <c r="EY49" s="105">
        <f t="shared" si="9"/>
        <v>0</v>
      </c>
      <c r="EZ49" s="105">
        <f t="shared" si="10"/>
        <v>0</v>
      </c>
      <c r="FA49" s="105">
        <f t="shared" si="11"/>
        <v>0</v>
      </c>
      <c r="FB49" s="105">
        <f t="shared" si="12"/>
        <v>0</v>
      </c>
      <c r="FC49" s="105">
        <f t="shared" si="13"/>
        <v>0</v>
      </c>
      <c r="FD49" s="105">
        <f t="shared" si="14"/>
        <v>0</v>
      </c>
      <c r="FE49" s="105">
        <f t="shared" si="18"/>
        <v>0</v>
      </c>
      <c r="FF49" s="105">
        <f t="shared" si="19"/>
        <v>0</v>
      </c>
      <c r="FG49" s="105">
        <f t="shared" si="20"/>
        <v>0</v>
      </c>
      <c r="FH49" s="105">
        <f t="shared" si="21"/>
        <v>0</v>
      </c>
      <c r="FI49" s="105">
        <f t="shared" si="22"/>
        <v>0</v>
      </c>
      <c r="FJ49" s="105">
        <f t="shared" si="23"/>
        <v>0</v>
      </c>
      <c r="FK49" s="105">
        <f t="shared" si="24"/>
        <v>0</v>
      </c>
      <c r="FL49" s="105">
        <f t="shared" si="25"/>
        <v>0</v>
      </c>
      <c r="FM49" s="105">
        <f t="shared" si="26"/>
        <v>0</v>
      </c>
      <c r="FN49" s="105">
        <f t="shared" si="27"/>
        <v>0</v>
      </c>
      <c r="FO49" s="273" t="str">
        <f t="shared" si="17"/>
        <v/>
      </c>
      <c r="FP49" s="105">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943">
        <f t="shared" si="16"/>
        <v>0</v>
      </c>
      <c r="FR49" s="940">
        <f>SUMIFS('5. PERSON'!$AE$17:$AE$192,'5. PERSON'!$B$17:$B$192,'14. EUFP'!$B49,'5. PERSON'!$D$17:$D$192,FR$18)</f>
        <v>0</v>
      </c>
      <c r="FS49" s="940">
        <f>SUMIFS('5. PERSON'!$AE$17:$AE$192,'5. PERSON'!$B$17:$B$192,'14. EUFP'!$B49,'5. PERSON'!$D$17:$D$192,FS$18)</f>
        <v>0</v>
      </c>
      <c r="FT49" s="940">
        <f>SUMIFS('5. PERSON'!$AE$17:$AE$192,'5. PERSON'!$B$17:$B$192,'14. EUFP'!$B49,'5. PERSON'!$D$17:$D$192,FT$18)</f>
        <v>0</v>
      </c>
      <c r="FU49" s="940">
        <f>SUMIFS('5. PERSON'!$AE$17:$AE$192,'5. PERSON'!$B$17:$B$192,'14. EUFP'!$B49,'5. PERSON'!$D$17:$D$192,FU$18)</f>
        <v>0</v>
      </c>
      <c r="FV49" s="940">
        <f>SUMIFS('5. PERSON'!$AE$17:$AE$192,'5. PERSON'!$B$17:$B$192,'14. EUFP'!$B49,'5. PERSON'!$D$17:$D$192,FV$18)</f>
        <v>0</v>
      </c>
      <c r="FW49" s="940">
        <f>SUMIFS('5. PERSON'!$AE$17:$AE$192,'5. PERSON'!$B$17:$B$192,'14. EUFP'!$B49,'5. PERSON'!$D$17:$D$192,FW$18)</f>
        <v>0</v>
      </c>
      <c r="FX49" s="940">
        <f>SUMIFS('5. PERSON'!$AE$17:$AE$192,'5. PERSON'!$B$17:$B$192,'14. EUFP'!$B49,'5. PERSON'!$D$17:$D$192,FX$18)</f>
        <v>0</v>
      </c>
      <c r="FY49" s="940">
        <f>SUMIFS('5. PERSON'!$AE$17:$AE$192,'5. PERSON'!$B$17:$B$192,'14. EUFP'!$B49,'5. PERSON'!$D$17:$D$192,FY$18)</f>
        <v>0</v>
      </c>
      <c r="FZ49" s="940">
        <f>SUMIFS('5. PERSON'!$AE$17:$AE$192,'5. PERSON'!$B$17:$B$192,'14. EUFP'!$B49,'5. PERSON'!$D$17:$D$192,FZ$18)</f>
        <v>0</v>
      </c>
      <c r="GA49" s="940">
        <f>SUMIFS('5. PERSON'!$AE$17:$AE$192,'5. PERSON'!$B$17:$B$192,'14. EUFP'!$B49,'5. PERSON'!$D$17:$D$192,GA$18)</f>
        <v>0</v>
      </c>
      <c r="GB49" s="940">
        <f>SUMIFS('5. PERSON'!$AE$17:$AE$192,'5. PERSON'!$B$17:$B$192,'14. EUFP'!$B49,'5. PERSON'!$D$17:$D$192,GB$18)</f>
        <v>0</v>
      </c>
      <c r="GC49" s="940">
        <f>SUMIFS('5. PERSON'!$AE$17:$AE$192,'5. PERSON'!$B$17:$B$192,'14. EUFP'!$B49,'5. PERSON'!$D$17:$D$192,GC$18)</f>
        <v>0</v>
      </c>
      <c r="GD49" s="940">
        <f>SUMIFS('5. PERSON'!$AE$17:$AE$192,'5. PERSON'!$B$17:$B$192,'14. EUFP'!$B49,'5. PERSON'!$D$17:$D$192,GD$18)</f>
        <v>0</v>
      </c>
      <c r="GE49" s="940">
        <f>SUMIFS('5. PERSON'!$AE$17:$AE$192,'5. PERSON'!$B$17:$B$192,'14. EUFP'!$B49,'5. PERSON'!$D$17:$D$192,GE$18)</f>
        <v>0</v>
      </c>
      <c r="GF49" s="940">
        <f>SUMIFS('5. PERSON'!$AE$17:$AE$192,'5. PERSON'!$B$17:$B$192,'14. EUFP'!$B49,'5. PERSON'!$D$17:$D$192,GF$18)</f>
        <v>0</v>
      </c>
      <c r="GG49" s="940">
        <f>SUMIFS('5. PERSON'!$AE$17:$AE$192,'5. PERSON'!$B$17:$B$192,'14. EUFP'!$B49,'5. PERSON'!$D$17:$D$192,GG$18)</f>
        <v>0</v>
      </c>
      <c r="GH49" s="940">
        <f>SUMIFS('5. PERSON'!$AE$17:$AE$192,'5. PERSON'!$B$17:$B$192,'14. EUFP'!$B49,'5. PERSON'!$D$17:$D$192,GH$18)</f>
        <v>0</v>
      </c>
      <c r="GI49" s="940">
        <f>SUMIFS('5. PERSON'!$AE$17:$AE$192,'5. PERSON'!$B$17:$B$192,'14. EUFP'!$B49,'5. PERSON'!$D$17:$D$192,GI$18)</f>
        <v>0</v>
      </c>
      <c r="GJ49" s="940">
        <f>SUMIFS('5. PERSON'!$AE$17:$AE$192,'5. PERSON'!$B$17:$B$192,'14. EUFP'!$B49,'5. PERSON'!$D$17:$D$192,GJ$18)</f>
        <v>0</v>
      </c>
      <c r="GK49" s="940">
        <f>SUMIFS('5. PERSON'!$AE$17:$AE$192,'5. PERSON'!$B$17:$B$192,'14. EUFP'!$B49,'5. PERSON'!$D$17:$D$192,GK$18)</f>
        <v>0</v>
      </c>
      <c r="GL49" s="940">
        <f t="shared" si="28"/>
        <v>0</v>
      </c>
    </row>
    <row r="50" spans="2:194" ht="13.5" customHeight="1" x14ac:dyDescent="0.2">
      <c r="B50" s="261" t="str">
        <f>'3. PARTNER'!B77</f>
        <v>EXT127</v>
      </c>
      <c r="C50" s="262">
        <f>SUMIF('5. PERSON'!B$17:B$192,B50,'5. PERSON'!AR$17:AR$192)</f>
        <v>0</v>
      </c>
      <c r="D50" s="262">
        <f>SUMIFS('5. PERSON'!$AR$17:$AR$192,'5. PERSON'!$B$17:$B$192,$B50,'5. PERSON'!$D$17:$D$192,D$18)</f>
        <v>0</v>
      </c>
      <c r="E50" s="262">
        <f>SUMIFS('5. PERSON'!$AR$17:$AR$192,'5. PERSON'!$B$17:$B$192,$B50,'5. PERSON'!$D$17:$D$192,E$18)</f>
        <v>0</v>
      </c>
      <c r="F50" s="262">
        <f>SUMIFS('5. PERSON'!$AR$17:$AR$192,'5. PERSON'!$B$17:$B$192,$B50,'5. PERSON'!$D$17:$D$192,F$18)</f>
        <v>0</v>
      </c>
      <c r="G50" s="262">
        <f>SUMIFS('5. PERSON'!$AR$17:$AR$192,'5. PERSON'!$B$17:$B$192,$B50,'5. PERSON'!$D$17:$D$192,G$18)</f>
        <v>0</v>
      </c>
      <c r="H50" s="262">
        <f>SUMIFS('5. PERSON'!$AR$17:$AR$192,'5. PERSON'!$B$17:$B$192,$B50,'5. PERSON'!$D$17:$D$192,H$18)</f>
        <v>0</v>
      </c>
      <c r="I50" s="262">
        <f>SUMIFS('5. PERSON'!$AR$17:$AR$192,'5. PERSON'!$B$17:$B$192,$B50,'5. PERSON'!$D$17:$D$192,I$18)</f>
        <v>0</v>
      </c>
      <c r="J50" s="262">
        <f>SUMIFS('5. PERSON'!$AR$17:$AR$192,'5. PERSON'!$B$17:$B$192,$B50,'5. PERSON'!$D$17:$D$192,J$18)</f>
        <v>0</v>
      </c>
      <c r="K50" s="262">
        <f>SUMIFS('5. PERSON'!$AR$17:$AR$192,'5. PERSON'!$B$17:$B$192,$B50,'5. PERSON'!$D$17:$D$192,K$18)</f>
        <v>0</v>
      </c>
      <c r="L50" s="262">
        <f>SUMIFS('5. PERSON'!$AR$17:$AR$192,'5. PERSON'!$B$17:$B$192,$B50,'5. PERSON'!$D$17:$D$192,L$18)</f>
        <v>0</v>
      </c>
      <c r="M50" s="262">
        <f>SUMIFS('5. PERSON'!$AR$17:$AR$192,'5. PERSON'!$B$17:$B$192,$B50,'5. PERSON'!$D$17:$D$192,M$18)</f>
        <v>0</v>
      </c>
      <c r="N50" s="262">
        <f>SUMIFS('5. PERSON'!$AR$17:$AR$192,'5. PERSON'!$B$17:$B$192,$B50,'5. PERSON'!$D$17:$D$192,N$18)</f>
        <v>0</v>
      </c>
      <c r="O50" s="262">
        <f>SUMIFS('5. PERSON'!$AR$17:$AR$192,'5. PERSON'!$B$17:$B$192,$B50,'5. PERSON'!$D$17:$D$192,O$18)</f>
        <v>0</v>
      </c>
      <c r="P50" s="262">
        <f>SUMIFS('5. PERSON'!$AR$17:$AR$192,'5. PERSON'!$B$17:$B$192,$B50,'5. PERSON'!$D$17:$D$192,P$18)</f>
        <v>0</v>
      </c>
      <c r="Q50" s="262">
        <f>SUMIFS('5. PERSON'!$AR$17:$AR$192,'5. PERSON'!$B$17:$B$192,$B50,'5. PERSON'!$D$17:$D$192,Q$18)</f>
        <v>0</v>
      </c>
      <c r="R50" s="262">
        <f>SUMIFS('5. PERSON'!$AR$17:$AR$192,'5. PERSON'!$B$17:$B$192,$B50,'5. PERSON'!$D$17:$D$192,R$18)</f>
        <v>0</v>
      </c>
      <c r="S50" s="262">
        <f>SUMIFS('5. PERSON'!$AR$17:$AR$192,'5. PERSON'!$B$17:$B$192,$B50,'5. PERSON'!$D$17:$D$192,S$18)</f>
        <v>0</v>
      </c>
      <c r="T50" s="262">
        <f>SUMIFS('5. PERSON'!$AR$17:$AR$192,'5. PERSON'!$B$17:$B$192,$B50,'5. PERSON'!$D$17:$D$192,T$18)</f>
        <v>0</v>
      </c>
      <c r="U50" s="262">
        <f>SUMIFS('5. PERSON'!$AR$17:$AR$192,'5. PERSON'!$B$17:$B$192,$B50,'5. PERSON'!$D$17:$D$192,U$18)</f>
        <v>0</v>
      </c>
      <c r="V50" s="262">
        <f>SUMIFS('5. PERSON'!$AR$17:$AR$192,'5. PERSON'!$B$17:$B$192,$B50,'5. PERSON'!$D$17:$D$192,V$18)</f>
        <v>0</v>
      </c>
      <c r="W50" s="262">
        <f>SUMIFS('5. PERSON'!$AR$17:$AR$192,'5. PERSON'!$B$17:$B$192,$B50,'5. PERSON'!$D$17:$D$192,W$18)</f>
        <v>0</v>
      </c>
      <c r="X50" s="262">
        <f>SUMIFS('6. OPERATION'!R$17:R$149,'6. OPERATION'!B$17:B$149,B50,'6. OPERATION'!G$17:G$149,"SUBCON")</f>
        <v>0</v>
      </c>
      <c r="Y50" s="262">
        <f>SUMIFS('6. OPERATION'!$R$17:$R$149,'6. OPERATION'!$B$17:$B$149,$B50,'6. OPERATION'!$G$17:$G$149,"SUBCON",'6. OPERATION'!$D$17:$D$149,Y$18)</f>
        <v>0</v>
      </c>
      <c r="Z50" s="262">
        <f>SUMIFS('6. OPERATION'!$R$17:$R$149,'6. OPERATION'!$B$17:$B$149,$B50,'6. OPERATION'!$G$17:$G$149,"SUBCON",'6. OPERATION'!$D$17:$D$149,Z$18)</f>
        <v>0</v>
      </c>
      <c r="AA50" s="262">
        <f>SUMIFS('6. OPERATION'!$R$17:$R$149,'6. OPERATION'!$B$17:$B$149,$B50,'6. OPERATION'!$G$17:$G$149,"SUBCON",'6. OPERATION'!$D$17:$D$149,AA$18)</f>
        <v>0</v>
      </c>
      <c r="AB50" s="262">
        <f>SUMIFS('6. OPERATION'!$R$17:$R$149,'6. OPERATION'!$B$17:$B$149,$B50,'6. OPERATION'!$G$17:$G$149,"SUBCON",'6. OPERATION'!$D$17:$D$149,AB$18)</f>
        <v>0</v>
      </c>
      <c r="AC50" s="262">
        <f>SUMIFS('6. OPERATION'!$R$17:$R$149,'6. OPERATION'!$B$17:$B$149,$B50,'6. OPERATION'!$G$17:$G$149,"SUBCON",'6. OPERATION'!$D$17:$D$149,AC$18)</f>
        <v>0</v>
      </c>
      <c r="AD50" s="262">
        <f>SUMIFS('6. OPERATION'!$R$17:$R$149,'6. OPERATION'!$B$17:$B$149,$B50,'6. OPERATION'!$G$17:$G$149,"SUBCON",'6. OPERATION'!$D$17:$D$149,AD$18)</f>
        <v>0</v>
      </c>
      <c r="AE50" s="262">
        <f>SUMIFS('6. OPERATION'!$R$17:$R$149,'6. OPERATION'!$B$17:$B$149,$B50,'6. OPERATION'!$G$17:$G$149,"SUBCON",'6. OPERATION'!$D$17:$D$149,AE$18)</f>
        <v>0</v>
      </c>
      <c r="AF50" s="262">
        <f>SUMIFS('6. OPERATION'!$R$17:$R$149,'6. OPERATION'!$B$17:$B$149,$B50,'6. OPERATION'!$G$17:$G$149,"SUBCON",'6. OPERATION'!$D$17:$D$149,AF$18)</f>
        <v>0</v>
      </c>
      <c r="AG50" s="262">
        <f>SUMIFS('6. OPERATION'!$R$17:$R$149,'6. OPERATION'!$B$17:$B$149,$B50,'6. OPERATION'!$G$17:$G$149,"SUBCON",'6. OPERATION'!$D$17:$D$149,AG$18)</f>
        <v>0</v>
      </c>
      <c r="AH50" s="262">
        <f>SUMIFS('6. OPERATION'!$R$17:$R$149,'6. OPERATION'!$B$17:$B$149,$B50,'6. OPERATION'!$G$17:$G$149,"SUBCON",'6. OPERATION'!$D$17:$D$149,AH$18)</f>
        <v>0</v>
      </c>
      <c r="AI50" s="262">
        <f>SUMIFS('6. OPERATION'!$R$17:$R$149,'6. OPERATION'!$B$17:$B$149,$B50,'6. OPERATION'!$G$17:$G$149,"SUBCON",'6. OPERATION'!$D$17:$D$149,AI$18)</f>
        <v>0</v>
      </c>
      <c r="AJ50" s="262">
        <f>SUMIFS('6. OPERATION'!$R$17:$R$149,'6. OPERATION'!$B$17:$B$149,$B50,'6. OPERATION'!$G$17:$G$149,"SUBCON",'6. OPERATION'!$D$17:$D$149,AJ$18)</f>
        <v>0</v>
      </c>
      <c r="AK50" s="262">
        <f>SUMIFS('6. OPERATION'!$R$17:$R$149,'6. OPERATION'!$B$17:$B$149,$B50,'6. OPERATION'!$G$17:$G$149,"SUBCON",'6. OPERATION'!$D$17:$D$149,AK$18)</f>
        <v>0</v>
      </c>
      <c r="AL50" s="262">
        <f>SUMIFS('6. OPERATION'!$R$17:$R$149,'6. OPERATION'!$B$17:$B$149,$B50,'6. OPERATION'!$G$17:$G$149,"SUBCON",'6. OPERATION'!$D$17:$D$149,AL$18)</f>
        <v>0</v>
      </c>
      <c r="AM50" s="262">
        <f>SUMIFS('6. OPERATION'!$R$17:$R$149,'6. OPERATION'!$B$17:$B$149,$B50,'6. OPERATION'!$G$17:$G$149,"SUBCON",'6. OPERATION'!$D$17:$D$149,AM$18)</f>
        <v>0</v>
      </c>
      <c r="AN50" s="262">
        <f>SUMIFS('6. OPERATION'!$R$17:$R$149,'6. OPERATION'!$B$17:$B$149,$B50,'6. OPERATION'!$G$17:$G$149,"SUBCON",'6. OPERATION'!$D$17:$D$149,AN$18)</f>
        <v>0</v>
      </c>
      <c r="AO50" s="262">
        <f>SUMIFS('6. OPERATION'!$R$17:$R$149,'6. OPERATION'!$B$17:$B$149,$B50,'6. OPERATION'!$G$17:$G$149,"SUBCON",'6. OPERATION'!$D$17:$D$149,AO$18)</f>
        <v>0</v>
      </c>
      <c r="AP50" s="262">
        <f>SUMIFS('6. OPERATION'!$R$17:$R$149,'6. OPERATION'!$B$17:$B$149,$B50,'6. OPERATION'!$G$17:$G$149,"SUBCON",'6. OPERATION'!$D$17:$D$149,AP$18)</f>
        <v>0</v>
      </c>
      <c r="AQ50" s="262">
        <f>SUMIFS('6. OPERATION'!$R$17:$R$149,'6. OPERATION'!$B$17:$B$149,$B50,'6. OPERATION'!$G$17:$G$149,"SUBCON",'6. OPERATION'!$D$17:$D$149,AQ$18)</f>
        <v>0</v>
      </c>
      <c r="AR50" s="262">
        <f>SUMIFS('6. OPERATION'!$R$17:$R$149,'6. OPERATION'!$B$17:$B$149,$B50,'6. OPERATION'!$G$17:$G$149,"SUBCON",'6. OPERATION'!$D$17:$D$149,AR$18)</f>
        <v>0</v>
      </c>
      <c r="AS50" s="262">
        <f>SUMIFS('6. OPERATION'!R$17:R$149,'6. OPERATION'!B$17:B$149,B50,'6. OPERATION'!G$17:G$149,"TRAVEL")</f>
        <v>0</v>
      </c>
      <c r="AT50" s="262">
        <f>SUMIFS('6. OPERATION'!$R$17:$R$149,'6. OPERATION'!$B$17:$B$149,$B50,'6. OPERATION'!$G$17:$G$149,"TRAVEL",'6. OPERATION'!$D$17:$D$149,AT$18)</f>
        <v>0</v>
      </c>
      <c r="AU50" s="262">
        <f>SUMIFS('6. OPERATION'!$R$17:$R$149,'6. OPERATION'!$B$17:$B$149,$B50,'6. OPERATION'!$G$17:$G$149,"TRAVEL",'6. OPERATION'!$D$17:$D$149,AU$18)</f>
        <v>0</v>
      </c>
      <c r="AV50" s="262">
        <f>SUMIFS('6. OPERATION'!$R$17:$R$149,'6. OPERATION'!$B$17:$B$149,$B50,'6. OPERATION'!$G$17:$G$149,"TRAVEL",'6. OPERATION'!$D$17:$D$149,AV$18)</f>
        <v>0</v>
      </c>
      <c r="AW50" s="262">
        <f>SUMIFS('6. OPERATION'!$R$17:$R$149,'6. OPERATION'!$B$17:$B$149,$B50,'6. OPERATION'!$G$17:$G$149,"TRAVEL",'6. OPERATION'!$D$17:$D$149,AW$18)</f>
        <v>0</v>
      </c>
      <c r="AX50" s="262">
        <f>SUMIFS('6. OPERATION'!$R$17:$R$149,'6. OPERATION'!$B$17:$B$149,$B50,'6. OPERATION'!$G$17:$G$149,"TRAVEL",'6. OPERATION'!$D$17:$D$149,AX$18)</f>
        <v>0</v>
      </c>
      <c r="AY50" s="262">
        <f>SUMIFS('6. OPERATION'!$R$17:$R$149,'6. OPERATION'!$B$17:$B$149,$B50,'6. OPERATION'!$G$17:$G$149,"TRAVEL",'6. OPERATION'!$D$17:$D$149,AY$18)</f>
        <v>0</v>
      </c>
      <c r="AZ50" s="262">
        <f>SUMIFS('6. OPERATION'!$R$17:$R$149,'6. OPERATION'!$B$17:$B$149,$B50,'6. OPERATION'!$G$17:$G$149,"TRAVEL",'6. OPERATION'!$D$17:$D$149,AZ$18)</f>
        <v>0</v>
      </c>
      <c r="BA50" s="262">
        <f>SUMIFS('6. OPERATION'!$R$17:$R$149,'6. OPERATION'!$B$17:$B$149,$B50,'6. OPERATION'!$G$17:$G$149,"TRAVEL",'6. OPERATION'!$D$17:$D$149,BA$18)</f>
        <v>0</v>
      </c>
      <c r="BB50" s="262">
        <f>SUMIFS('6. OPERATION'!$R$17:$R$149,'6. OPERATION'!$B$17:$B$149,$B50,'6. OPERATION'!$G$17:$G$149,"TRAVEL",'6. OPERATION'!$D$17:$D$149,BB$18)</f>
        <v>0</v>
      </c>
      <c r="BC50" s="262">
        <f>SUMIFS('6. OPERATION'!$R$17:$R$149,'6. OPERATION'!$B$17:$B$149,$B50,'6. OPERATION'!$G$17:$G$149,"TRAVEL",'6. OPERATION'!$D$17:$D$149,BC$18)</f>
        <v>0</v>
      </c>
      <c r="BD50" s="262">
        <f>SUMIFS('6. OPERATION'!$R$17:$R$149,'6. OPERATION'!$B$17:$B$149,$B50,'6. OPERATION'!$G$17:$G$149,"TRAVEL",'6. OPERATION'!$D$17:$D$149,BD$18)</f>
        <v>0</v>
      </c>
      <c r="BE50" s="262">
        <f>SUMIFS('6. OPERATION'!$R$17:$R$149,'6. OPERATION'!$B$17:$B$149,$B50,'6. OPERATION'!$G$17:$G$149,"TRAVEL",'6. OPERATION'!$D$17:$D$149,BE$18)</f>
        <v>0</v>
      </c>
      <c r="BF50" s="262">
        <f>SUMIFS('6. OPERATION'!$R$17:$R$149,'6. OPERATION'!$B$17:$B$149,$B50,'6. OPERATION'!$G$17:$G$149,"TRAVEL",'6. OPERATION'!$D$17:$D$149,BF$18)</f>
        <v>0</v>
      </c>
      <c r="BG50" s="262">
        <f>SUMIFS('6. OPERATION'!$R$17:$R$149,'6. OPERATION'!$B$17:$B$149,$B50,'6. OPERATION'!$G$17:$G$149,"TRAVEL",'6. OPERATION'!$D$17:$D$149,BG$18)</f>
        <v>0</v>
      </c>
      <c r="BH50" s="262">
        <f>SUMIFS('6. OPERATION'!$R$17:$R$149,'6. OPERATION'!$B$17:$B$149,$B50,'6. OPERATION'!$G$17:$G$149,"TRAVEL",'6. OPERATION'!$D$17:$D$149,BH$18)</f>
        <v>0</v>
      </c>
      <c r="BI50" s="262">
        <f>SUMIFS('6. OPERATION'!$R$17:$R$149,'6. OPERATION'!$B$17:$B$149,$B50,'6. OPERATION'!$G$17:$G$149,"TRAVEL",'6. OPERATION'!$D$17:$D$149,BI$18)</f>
        <v>0</v>
      </c>
      <c r="BJ50" s="262">
        <f>SUMIFS('6. OPERATION'!$R$17:$R$149,'6. OPERATION'!$B$17:$B$149,$B50,'6. OPERATION'!$G$17:$G$149,"TRAVEL",'6. OPERATION'!$D$17:$D$149,BJ$18)</f>
        <v>0</v>
      </c>
      <c r="BK50" s="262">
        <f>SUMIFS('6. OPERATION'!$R$17:$R$149,'6. OPERATION'!$B$17:$B$149,$B50,'6. OPERATION'!$G$17:$G$149,"TRAVEL",'6. OPERATION'!$D$17:$D$149,BK$18)</f>
        <v>0</v>
      </c>
      <c r="BL50" s="262">
        <f>SUMIFS('6. OPERATION'!$R$17:$R$149,'6. OPERATION'!$B$17:$B$149,$B50,'6. OPERATION'!$G$17:$G$149,"TRAVEL",'6. OPERATION'!$D$17:$D$149,BL$18)</f>
        <v>0</v>
      </c>
      <c r="BM50" s="262">
        <f>SUMIFS('6. OPERATION'!$R$17:$R$149,'6. OPERATION'!$B$17:$B$149,$B50,'6. OPERATION'!$G$17:$G$149,"TRAVEL",'6. OPERATION'!$D$17:$D$149,BM$18)</f>
        <v>0</v>
      </c>
      <c r="BN50" s="262">
        <f>SUMIF('7. INVEST'!B$17:B$49,B50,'7. INVEST'!S$17:S$49)</f>
        <v>0</v>
      </c>
      <c r="BO50" s="262">
        <f>SUMIFS('7. INVEST'!$S$17:$S$49,'7. INVEST'!$B$17:$B$49,$B50,'7. INVEST'!$D$17:$D$49,BO$18)</f>
        <v>0</v>
      </c>
      <c r="BP50" s="262">
        <f>SUMIFS('7. INVEST'!$S$17:$S$49,'7. INVEST'!$B$17:$B$49,$B50,'7. INVEST'!$D$17:$D$49,BP$18)</f>
        <v>0</v>
      </c>
      <c r="BQ50" s="262">
        <f>SUMIFS('7. INVEST'!$S$17:$S$49,'7. INVEST'!$B$17:$B$49,$B50,'7. INVEST'!$D$17:$D$49,BQ$18)</f>
        <v>0</v>
      </c>
      <c r="BR50" s="262">
        <f>SUMIFS('7. INVEST'!$S$17:$S$49,'7. INVEST'!$B$17:$B$49,$B50,'7. INVEST'!$D$17:$D$49,BR$18)</f>
        <v>0</v>
      </c>
      <c r="BS50" s="262">
        <f>SUMIFS('7. INVEST'!$S$17:$S$49,'7. INVEST'!$B$17:$B$49,$B50,'7. INVEST'!$D$17:$D$49,BS$18)</f>
        <v>0</v>
      </c>
      <c r="BT50" s="262">
        <f>SUMIFS('7. INVEST'!$S$17:$S$49,'7. INVEST'!$B$17:$B$49,$B50,'7. INVEST'!$D$17:$D$49,BT$18)</f>
        <v>0</v>
      </c>
      <c r="BU50" s="262">
        <f>SUMIFS('7. INVEST'!$S$17:$S$49,'7. INVEST'!$B$17:$B$49,$B50,'7. INVEST'!$D$17:$D$49,BU$18)</f>
        <v>0</v>
      </c>
      <c r="BV50" s="262">
        <f>SUMIFS('7. INVEST'!$S$17:$S$49,'7. INVEST'!$B$17:$B$49,$B50,'7. INVEST'!$D$17:$D$49,BV$18)</f>
        <v>0</v>
      </c>
      <c r="BW50" s="262">
        <f>SUMIFS('7. INVEST'!$S$17:$S$49,'7. INVEST'!$B$17:$B$49,$B50,'7. INVEST'!$D$17:$D$49,BW$18)</f>
        <v>0</v>
      </c>
      <c r="BX50" s="262">
        <f>SUMIFS('7. INVEST'!$S$17:$S$49,'7. INVEST'!$B$17:$B$49,$B50,'7. INVEST'!$D$17:$D$49,BX$18)</f>
        <v>0</v>
      </c>
      <c r="BY50" s="262">
        <f>SUMIFS('7. INVEST'!$S$17:$S$49,'7. INVEST'!$B$17:$B$49,$B50,'7. INVEST'!$D$17:$D$49,BY$18)</f>
        <v>0</v>
      </c>
      <c r="BZ50" s="262">
        <f>SUMIFS('7. INVEST'!$S$17:$S$49,'7. INVEST'!$B$17:$B$49,$B50,'7. INVEST'!$D$17:$D$49,BZ$18)</f>
        <v>0</v>
      </c>
      <c r="CA50" s="262">
        <f>SUMIFS('7. INVEST'!$S$17:$S$49,'7. INVEST'!$B$17:$B$49,$B50,'7. INVEST'!$D$17:$D$49,CA$18)</f>
        <v>0</v>
      </c>
      <c r="CB50" s="262">
        <f>SUMIFS('7. INVEST'!$S$17:$S$49,'7. INVEST'!$B$17:$B$49,$B50,'7. INVEST'!$D$17:$D$49,CB$18)</f>
        <v>0</v>
      </c>
      <c r="CC50" s="262">
        <f>SUMIFS('7. INVEST'!$S$17:$S$49,'7. INVEST'!$B$17:$B$49,$B50,'7. INVEST'!$D$17:$D$49,CC$18)</f>
        <v>0</v>
      </c>
      <c r="CD50" s="262">
        <f>SUMIFS('7. INVEST'!$S$17:$S$49,'7. INVEST'!$B$17:$B$49,$B50,'7. INVEST'!$D$17:$D$49,CD$18)</f>
        <v>0</v>
      </c>
      <c r="CE50" s="262">
        <f>SUMIFS('7. INVEST'!$S$17:$S$49,'7. INVEST'!$B$17:$B$49,$B50,'7. INVEST'!$D$17:$D$49,CE$18)</f>
        <v>0</v>
      </c>
      <c r="CF50" s="262">
        <f>SUMIFS('7. INVEST'!$S$17:$S$49,'7. INVEST'!$B$17:$B$49,$B50,'7. INVEST'!$D$17:$D$49,CF$18)</f>
        <v>0</v>
      </c>
      <c r="CG50" s="262">
        <f>SUMIFS('7. INVEST'!$S$17:$S$49,'7. INVEST'!$B$17:$B$49,$B50,'7. INVEST'!$D$17:$D$49,CG$18)</f>
        <v>0</v>
      </c>
      <c r="CH50" s="262">
        <f>SUMIFS('7. INVEST'!$S$17:$S$49,'7. INVEST'!$B$17:$B$49,$B50,'7. INVEST'!$D$17:$D$49,CH$18)</f>
        <v>0</v>
      </c>
      <c r="CI50" s="262">
        <f>SUMIFS('6. OPERATION'!$R$17:$R$149,'6. OPERATION'!$B$17:$B$149,$B50,'6. OPERATION'!$G$17:$G$149,"OTHER")+SUMIF('8. FACILIT'!$B$18:$B$50,$B50,'8. FACILIT'!$P$18:$P$50)</f>
        <v>0</v>
      </c>
      <c r="CJ50" s="262">
        <f>SUMIFS('6. OPERATION'!$R$17:$R$149,'6. OPERATION'!$B$17:$B$149,$B50,'6. OPERATION'!$G$17:$G$149,"OTHER",'6. OPERATION'!$D$17:$D$149,CJ$18)+SUMIFS('8. FACILIT'!$P$18:$P$50,'8. FACILIT'!$B$18:$B$50,$B50,'8. FACILIT'!$D$18:$D$50,CJ$18)</f>
        <v>0</v>
      </c>
      <c r="CK50" s="262">
        <f>SUMIFS('6. OPERATION'!$R$17:$R$149,'6. OPERATION'!$B$17:$B$149,$B50,'6. OPERATION'!$G$17:$G$149,"OTHER",'6. OPERATION'!$D$17:$D$149,CK$18)+SUMIFS('8. FACILIT'!$P$18:$P$50,'8. FACILIT'!$B$18:$B$50,$B50,'8. FACILIT'!$D$18:$D$50,CK$18)</f>
        <v>0</v>
      </c>
      <c r="CL50" s="262">
        <f>SUMIFS('6. OPERATION'!$R$17:$R$149,'6. OPERATION'!$B$17:$B$149,$B50,'6. OPERATION'!$G$17:$G$149,"OTHER",'6. OPERATION'!$D$17:$D$149,CL$18)+SUMIFS('8. FACILIT'!$P$18:$P$50,'8. FACILIT'!$B$18:$B$50,$B50,'8. FACILIT'!$D$18:$D$50,CL$18)</f>
        <v>0</v>
      </c>
      <c r="CM50" s="262">
        <f>SUMIFS('6. OPERATION'!$R$17:$R$149,'6. OPERATION'!$B$17:$B$149,$B50,'6. OPERATION'!$G$17:$G$149,"OTHER",'6. OPERATION'!$D$17:$D$149,CM$18)+SUMIFS('8. FACILIT'!$P$18:$P$50,'8. FACILIT'!$B$18:$B$50,$B50,'8. FACILIT'!$D$18:$D$50,CM$18)</f>
        <v>0</v>
      </c>
      <c r="CN50" s="262">
        <f>SUMIFS('6. OPERATION'!$R$17:$R$149,'6. OPERATION'!$B$17:$B$149,$B50,'6. OPERATION'!$G$17:$G$149,"OTHER",'6. OPERATION'!$D$17:$D$149,CN$18)+SUMIFS('8. FACILIT'!$P$18:$P$50,'8. FACILIT'!$B$18:$B$50,$B50,'8. FACILIT'!$D$18:$D$50,CN$18)</f>
        <v>0</v>
      </c>
      <c r="CO50" s="262">
        <f>SUMIFS('6. OPERATION'!$R$17:$R$149,'6. OPERATION'!$B$17:$B$149,$B50,'6. OPERATION'!$G$17:$G$149,"OTHER",'6. OPERATION'!$D$17:$D$149,CO$18)+SUMIFS('8. FACILIT'!$P$18:$P$50,'8. FACILIT'!$B$18:$B$50,$B50,'8. FACILIT'!$D$18:$D$50,CO$18)</f>
        <v>0</v>
      </c>
      <c r="CP50" s="262">
        <f>SUMIFS('6. OPERATION'!$R$17:$R$149,'6. OPERATION'!$B$17:$B$149,$B50,'6. OPERATION'!$G$17:$G$149,"OTHER",'6. OPERATION'!$D$17:$D$149,CP$18)+SUMIFS('8. FACILIT'!$P$18:$P$50,'8. FACILIT'!$B$18:$B$50,$B50,'8. FACILIT'!$D$18:$D$50,CP$18)</f>
        <v>0</v>
      </c>
      <c r="CQ50" s="262">
        <f>SUMIFS('6. OPERATION'!$R$17:$R$149,'6. OPERATION'!$B$17:$B$149,$B50,'6. OPERATION'!$G$17:$G$149,"OTHER",'6. OPERATION'!$D$17:$D$149,CQ$18)+SUMIFS('8. FACILIT'!$P$18:$P$50,'8. FACILIT'!$B$18:$B$50,$B50,'8. FACILIT'!$D$18:$D$50,CQ$18)</f>
        <v>0</v>
      </c>
      <c r="CR50" s="262">
        <f>SUMIFS('6. OPERATION'!$R$17:$R$149,'6. OPERATION'!$B$17:$B$149,$B50,'6. OPERATION'!$G$17:$G$149,"OTHER",'6. OPERATION'!$D$17:$D$149,CR$18)+SUMIFS('8. FACILIT'!$P$18:$P$50,'8. FACILIT'!$B$18:$B$50,$B50,'8. FACILIT'!$D$18:$D$50,CR$18)</f>
        <v>0</v>
      </c>
      <c r="CS50" s="262">
        <f>SUMIFS('6. OPERATION'!$R$17:$R$149,'6. OPERATION'!$B$17:$B$149,$B50,'6. OPERATION'!$G$17:$G$149,"OTHER",'6. OPERATION'!$D$17:$D$149,CS$18)+SUMIFS('8. FACILIT'!$P$18:$P$50,'8. FACILIT'!$B$18:$B$50,$B50,'8. FACILIT'!$D$18:$D$50,CS$18)</f>
        <v>0</v>
      </c>
      <c r="CT50" s="262">
        <f>SUMIFS('6. OPERATION'!$R$17:$R$149,'6. OPERATION'!$B$17:$B$149,$B50,'6. OPERATION'!$G$17:$G$149,"OTHER",'6. OPERATION'!$D$17:$D$149,CT$18)+SUMIFS('8. FACILIT'!$P$18:$P$50,'8. FACILIT'!$B$18:$B$50,$B50,'8. FACILIT'!$D$18:$D$50,CT$18)</f>
        <v>0</v>
      </c>
      <c r="CU50" s="262">
        <f>SUMIFS('6. OPERATION'!$R$17:$R$149,'6. OPERATION'!$B$17:$B$149,$B50,'6. OPERATION'!$G$17:$G$149,"OTHER",'6. OPERATION'!$D$17:$D$149,CU$18)+SUMIFS('8. FACILIT'!$P$18:$P$50,'8. FACILIT'!$B$18:$B$50,$B50,'8. FACILIT'!$D$18:$D$50,CU$18)</f>
        <v>0</v>
      </c>
      <c r="CV50" s="262">
        <f>SUMIFS('6. OPERATION'!$R$17:$R$149,'6. OPERATION'!$B$17:$B$149,$B50,'6. OPERATION'!$G$17:$G$149,"OTHER",'6. OPERATION'!$D$17:$D$149,CV$18)+SUMIFS('8. FACILIT'!$P$18:$P$50,'8. FACILIT'!$B$18:$B$50,$B50,'8. FACILIT'!$D$18:$D$50,CV$18)</f>
        <v>0</v>
      </c>
      <c r="CW50" s="262">
        <f>SUMIFS('6. OPERATION'!$R$17:$R$149,'6. OPERATION'!$B$17:$B$149,$B50,'6. OPERATION'!$G$17:$G$149,"OTHER",'6. OPERATION'!$D$17:$D$149,CW$18)+SUMIFS('8. FACILIT'!$P$18:$P$50,'8. FACILIT'!$B$18:$B$50,$B50,'8. FACILIT'!$D$18:$D$50,CW$18)</f>
        <v>0</v>
      </c>
      <c r="CX50" s="262">
        <f>SUMIFS('6. OPERATION'!$R$17:$R$149,'6. OPERATION'!$B$17:$B$149,$B50,'6. OPERATION'!$G$17:$G$149,"OTHER",'6. OPERATION'!$D$17:$D$149,CX$18)+SUMIFS('8. FACILIT'!$P$18:$P$50,'8. FACILIT'!$B$18:$B$50,$B50,'8. FACILIT'!$D$18:$D$50,CX$18)</f>
        <v>0</v>
      </c>
      <c r="CY50" s="262">
        <f>SUMIFS('6. OPERATION'!$R$17:$R$149,'6. OPERATION'!$B$17:$B$149,$B50,'6. OPERATION'!$G$17:$G$149,"OTHER",'6. OPERATION'!$D$17:$D$149,CY$18)+SUMIFS('8. FACILIT'!$P$18:$P$50,'8. FACILIT'!$B$18:$B$50,$B50,'8. FACILIT'!$D$18:$D$50,CY$18)</f>
        <v>0</v>
      </c>
      <c r="CZ50" s="262">
        <f>SUMIFS('6. OPERATION'!$R$17:$R$149,'6. OPERATION'!$B$17:$B$149,$B50,'6. OPERATION'!$G$17:$G$149,"OTHER",'6. OPERATION'!$D$17:$D$149,CZ$18)+SUMIFS('8. FACILIT'!$P$18:$P$50,'8. FACILIT'!$B$18:$B$50,$B50,'8. FACILIT'!$D$18:$D$50,CZ$18)</f>
        <v>0</v>
      </c>
      <c r="DA50" s="262">
        <f>SUMIFS('6. OPERATION'!$R$17:$R$149,'6. OPERATION'!$B$17:$B$149,$B50,'6. OPERATION'!$G$17:$G$149,"OTHER",'6. OPERATION'!$D$17:$D$149,DA$18)+SUMIFS('8. FACILIT'!$P$18:$P$50,'8. FACILIT'!$B$18:$B$50,$B50,'8. FACILIT'!$D$18:$D$50,DA$18)</f>
        <v>0</v>
      </c>
      <c r="DB50" s="262">
        <f>SUMIFS('6. OPERATION'!$R$17:$R$149,'6. OPERATION'!$B$17:$B$149,$B50,'6. OPERATION'!$G$17:$G$149,"OTHER",'6. OPERATION'!$D$17:$D$149,DB$18)+SUMIFS('8. FACILIT'!$P$18:$P$50,'8. FACILIT'!$B$18:$B$50,$B50,'8. FACILIT'!$D$18:$D$50,DB$18)</f>
        <v>0</v>
      </c>
      <c r="DC50" s="262">
        <f>SUMIFS('6. OPERATION'!$R$17:$R$149,'6. OPERATION'!$B$17:$B$149,$B50,'6. OPERATION'!$G$17:$G$149,"OTHER",'6. OPERATION'!$D$17:$D$149,DC$18)+SUMIFS('8. FACILIT'!$P$18:$P$50,'8. FACILIT'!$B$18:$B$50,$B50,'8. FACILIT'!$D$18:$D$50,DC$18)</f>
        <v>0</v>
      </c>
      <c r="DD50" s="262">
        <f>SUMIFS('6. OPERATION'!R$17:R$149,'6. OPERATION'!B$17:B$149,B50,'6. OPERATION'!G$17:G$149,"INTERN")</f>
        <v>0</v>
      </c>
      <c r="DE50" s="262">
        <f>SUMIFS('6. OPERATION'!$R$17:$R$149,'6. OPERATION'!$B$17:$B$149,$B50,'6. OPERATION'!$G$17:$G$149,"INTERN",'6. OPERATION'!$D$17:$D$149,DE$18)</f>
        <v>0</v>
      </c>
      <c r="DF50" s="262">
        <f>SUMIFS('6. OPERATION'!$R$17:$R$149,'6. OPERATION'!$B$17:$B$149,$B50,'6. OPERATION'!$G$17:$G$149,"INTERN",'6. OPERATION'!$D$17:$D$149,DF$18)</f>
        <v>0</v>
      </c>
      <c r="DG50" s="262">
        <f>SUMIFS('6. OPERATION'!$R$17:$R$149,'6. OPERATION'!$B$17:$B$149,$B50,'6. OPERATION'!$G$17:$G$149,"INTERN",'6. OPERATION'!$D$17:$D$149,DG$18)</f>
        <v>0</v>
      </c>
      <c r="DH50" s="262">
        <f>SUMIFS('6. OPERATION'!$R$17:$R$149,'6. OPERATION'!$B$17:$B$149,$B50,'6. OPERATION'!$G$17:$G$149,"INTERN",'6. OPERATION'!$D$17:$D$149,DH$18)</f>
        <v>0</v>
      </c>
      <c r="DI50" s="262">
        <f>SUMIFS('6. OPERATION'!$R$17:$R$149,'6. OPERATION'!$B$17:$B$149,$B50,'6. OPERATION'!$G$17:$G$149,"INTERN",'6. OPERATION'!$D$17:$D$149,DI$18)</f>
        <v>0</v>
      </c>
      <c r="DJ50" s="262">
        <f>SUMIFS('6. OPERATION'!$R$17:$R$149,'6. OPERATION'!$B$17:$B$149,$B50,'6. OPERATION'!$G$17:$G$149,"INTERN",'6. OPERATION'!$D$17:$D$149,DJ$18)</f>
        <v>0</v>
      </c>
      <c r="DK50" s="262">
        <f>SUMIFS('6. OPERATION'!$R$17:$R$149,'6. OPERATION'!$B$17:$B$149,$B50,'6. OPERATION'!$G$17:$G$149,"INTERN",'6. OPERATION'!$D$17:$D$149,DK$18)</f>
        <v>0</v>
      </c>
      <c r="DL50" s="262">
        <f>SUMIFS('6. OPERATION'!$R$17:$R$149,'6. OPERATION'!$B$17:$B$149,$B50,'6. OPERATION'!$G$17:$G$149,"INTERN",'6. OPERATION'!$D$17:$D$149,DL$18)</f>
        <v>0</v>
      </c>
      <c r="DM50" s="262">
        <f>SUMIFS('6. OPERATION'!$R$17:$R$149,'6. OPERATION'!$B$17:$B$149,$B50,'6. OPERATION'!$G$17:$G$149,"INTERN",'6. OPERATION'!$D$17:$D$149,DM$18)</f>
        <v>0</v>
      </c>
      <c r="DN50" s="262">
        <f>SUMIFS('6. OPERATION'!$R$17:$R$149,'6. OPERATION'!$B$17:$B$149,$B50,'6. OPERATION'!$G$17:$G$149,"INTERN",'6. OPERATION'!$D$17:$D$149,DN$18)</f>
        <v>0</v>
      </c>
      <c r="DO50" s="262">
        <f>SUMIFS('6. OPERATION'!$R$17:$R$149,'6. OPERATION'!$B$17:$B$149,$B50,'6. OPERATION'!$G$17:$G$149,"INTERN",'6. OPERATION'!$D$17:$D$149,DO$18)</f>
        <v>0</v>
      </c>
      <c r="DP50" s="262">
        <f>SUMIFS('6. OPERATION'!$R$17:$R$149,'6. OPERATION'!$B$17:$B$149,$B50,'6. OPERATION'!$G$17:$G$149,"INTERN",'6. OPERATION'!$D$17:$D$149,DP$18)</f>
        <v>0</v>
      </c>
      <c r="DQ50" s="262">
        <f>SUMIFS('6. OPERATION'!$R$17:$R$149,'6. OPERATION'!$B$17:$B$149,$B50,'6. OPERATION'!$G$17:$G$149,"INTERN",'6. OPERATION'!$D$17:$D$149,DQ$18)</f>
        <v>0</v>
      </c>
      <c r="DR50" s="262">
        <f>SUMIFS('6. OPERATION'!$R$17:$R$149,'6. OPERATION'!$B$17:$B$149,$B50,'6. OPERATION'!$G$17:$G$149,"INTERN",'6. OPERATION'!$D$17:$D$149,DR$18)</f>
        <v>0</v>
      </c>
      <c r="DS50" s="262">
        <f>SUMIFS('6. OPERATION'!$R$17:$R$149,'6. OPERATION'!$B$17:$B$149,$B50,'6. OPERATION'!$G$17:$G$149,"INTERN",'6. OPERATION'!$D$17:$D$149,DS$18)</f>
        <v>0</v>
      </c>
      <c r="DT50" s="262">
        <f>SUMIFS('6. OPERATION'!$R$17:$R$149,'6. OPERATION'!$B$17:$B$149,$B50,'6. OPERATION'!$G$17:$G$149,"INTERN",'6. OPERATION'!$D$17:$D$149,DT$18)</f>
        <v>0</v>
      </c>
      <c r="DU50" s="262">
        <f>SUMIFS('6. OPERATION'!$R$17:$R$149,'6. OPERATION'!$B$17:$B$149,$B50,'6. OPERATION'!$G$17:$G$149,"INTERN",'6. OPERATION'!$D$17:$D$149,DU$18)</f>
        <v>0</v>
      </c>
      <c r="DV50" s="262">
        <f>SUMIFS('6. OPERATION'!$R$17:$R$149,'6. OPERATION'!$B$17:$B$149,$B50,'6. OPERATION'!$G$17:$G$149,"INTERN",'6. OPERATION'!$D$17:$D$149,DV$18)</f>
        <v>0</v>
      </c>
      <c r="DW50" s="262">
        <f>SUMIFS('6. OPERATION'!$R$17:$R$149,'6. OPERATION'!$B$17:$B$149,$B50,'6. OPERATION'!$G$17:$G$149,"INTERN",'6. OPERATION'!$D$17:$D$149,DW$18)</f>
        <v>0</v>
      </c>
      <c r="DX50" s="262">
        <f>SUMIFS('6. OPERATION'!$R$17:$R$149,'6. OPERATION'!$B$17:$B$149,$B50,'6. OPERATION'!$G$17:$G$149,"INTERN",'6. OPERATION'!$D$17:$D$149,DX$18)</f>
        <v>0</v>
      </c>
      <c r="DY50" s="262">
        <f>(C50+AS50+BN50+CI50)*'2. START'!$C$12</f>
        <v>0</v>
      </c>
      <c r="DZ50" s="262">
        <f>(D50+AT50+BO50+CJ50)*'2. START'!$C$12</f>
        <v>0</v>
      </c>
      <c r="EA50" s="262">
        <f>(E50+AU50+BP50+CK50)*'2. START'!$C$12</f>
        <v>0</v>
      </c>
      <c r="EB50" s="262">
        <f>(F50+AV50+BQ50+CL50)*'2. START'!$C$12</f>
        <v>0</v>
      </c>
      <c r="EC50" s="262">
        <f>(G50+AW50+BR50+CM50)*'2. START'!$C$12</f>
        <v>0</v>
      </c>
      <c r="ED50" s="262">
        <f>(H50+AX50+BS50+CN50)*'2. START'!$C$12</f>
        <v>0</v>
      </c>
      <c r="EE50" s="262">
        <f>(I50+AY50+BT50+CO50)*'2. START'!$C$12</f>
        <v>0</v>
      </c>
      <c r="EF50" s="262">
        <f>(J50+AZ50+BU50+CP50)*'2. START'!$C$12</f>
        <v>0</v>
      </c>
      <c r="EG50" s="262">
        <f>(K50+BA50+BV50+CQ50)*'2. START'!$C$12</f>
        <v>0</v>
      </c>
      <c r="EH50" s="262">
        <f>(L50+BB50+BW50+CR50)*'2. START'!$C$12</f>
        <v>0</v>
      </c>
      <c r="EI50" s="262">
        <f>(M50+BC50+BX50+CS50)*'2. START'!$C$12</f>
        <v>0</v>
      </c>
      <c r="EJ50" s="262">
        <f>(N50+BD50+BY50+CT50)*'2. START'!$C$12</f>
        <v>0</v>
      </c>
      <c r="EK50" s="262">
        <f>(O50+BE50+BZ50+CU50)*'2. START'!$C$12</f>
        <v>0</v>
      </c>
      <c r="EL50" s="262">
        <f>(P50+BF50+CA50+CV50)*'2. START'!$C$12</f>
        <v>0</v>
      </c>
      <c r="EM50" s="262">
        <f>(Q50+BG50+CB50+CW50)*'2. START'!$C$12</f>
        <v>0</v>
      </c>
      <c r="EN50" s="262">
        <f>(R50+BH50+CC50+CX50)*'2. START'!$C$12</f>
        <v>0</v>
      </c>
      <c r="EO50" s="262">
        <f>(S50+BI50+CD50+CY50)*'2. START'!$C$12</f>
        <v>0</v>
      </c>
      <c r="EP50" s="262">
        <f>(T50+BJ50+CE50+CZ50)*'2. START'!$C$12</f>
        <v>0</v>
      </c>
      <c r="EQ50" s="262">
        <f>(U50+BK50+CF50+DA50)*'2. START'!$C$12</f>
        <v>0</v>
      </c>
      <c r="ER50" s="262">
        <f>(V50+BL50+CG50+DB50)*'2. START'!$C$12</f>
        <v>0</v>
      </c>
      <c r="ES50" s="262">
        <f>(W50+BM50+CH50+DC50)*'2. START'!$C$12</f>
        <v>0</v>
      </c>
      <c r="ET50" s="98">
        <f t="shared" si="4"/>
        <v>0</v>
      </c>
      <c r="EU50" s="98">
        <f t="shared" si="5"/>
        <v>0</v>
      </c>
      <c r="EV50" s="98">
        <f t="shared" si="6"/>
        <v>0</v>
      </c>
      <c r="EW50" s="98">
        <f t="shared" si="7"/>
        <v>0</v>
      </c>
      <c r="EX50" s="98">
        <f t="shared" si="8"/>
        <v>0</v>
      </c>
      <c r="EY50" s="98">
        <f t="shared" si="9"/>
        <v>0</v>
      </c>
      <c r="EZ50" s="98">
        <f t="shared" si="10"/>
        <v>0</v>
      </c>
      <c r="FA50" s="98">
        <f t="shared" si="11"/>
        <v>0</v>
      </c>
      <c r="FB50" s="98">
        <f t="shared" si="12"/>
        <v>0</v>
      </c>
      <c r="FC50" s="98">
        <f t="shared" si="13"/>
        <v>0</v>
      </c>
      <c r="FD50" s="98">
        <f t="shared" si="14"/>
        <v>0</v>
      </c>
      <c r="FE50" s="98">
        <f t="shared" si="18"/>
        <v>0</v>
      </c>
      <c r="FF50" s="98">
        <f t="shared" si="19"/>
        <v>0</v>
      </c>
      <c r="FG50" s="98">
        <f t="shared" si="20"/>
        <v>0</v>
      </c>
      <c r="FH50" s="98">
        <f t="shared" si="21"/>
        <v>0</v>
      </c>
      <c r="FI50" s="98">
        <f t="shared" si="22"/>
        <v>0</v>
      </c>
      <c r="FJ50" s="98">
        <f t="shared" si="23"/>
        <v>0</v>
      </c>
      <c r="FK50" s="98">
        <f t="shared" si="24"/>
        <v>0</v>
      </c>
      <c r="FL50" s="98">
        <f t="shared" si="25"/>
        <v>0</v>
      </c>
      <c r="FM50" s="98">
        <f t="shared" si="26"/>
        <v>0</v>
      </c>
      <c r="FN50" s="98">
        <f t="shared" si="27"/>
        <v>0</v>
      </c>
      <c r="FO50" s="272" t="str">
        <f t="shared" si="17"/>
        <v/>
      </c>
      <c r="FP50" s="98">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944">
        <f t="shared" si="16"/>
        <v>0</v>
      </c>
      <c r="FR50" s="941">
        <f>SUMIFS('5. PERSON'!$AE$17:$AE$192,'5. PERSON'!$B$17:$B$192,'14. EUFP'!$B50,'5. PERSON'!$D$17:$D$192,FR$18)</f>
        <v>0</v>
      </c>
      <c r="FS50" s="941">
        <f>SUMIFS('5. PERSON'!$AE$17:$AE$192,'5. PERSON'!$B$17:$B$192,'14. EUFP'!$B50,'5. PERSON'!$D$17:$D$192,FS$18)</f>
        <v>0</v>
      </c>
      <c r="FT50" s="941">
        <f>SUMIFS('5. PERSON'!$AE$17:$AE$192,'5. PERSON'!$B$17:$B$192,'14. EUFP'!$B50,'5. PERSON'!$D$17:$D$192,FT$18)</f>
        <v>0</v>
      </c>
      <c r="FU50" s="941">
        <f>SUMIFS('5. PERSON'!$AE$17:$AE$192,'5. PERSON'!$B$17:$B$192,'14. EUFP'!$B50,'5. PERSON'!$D$17:$D$192,FU$18)</f>
        <v>0</v>
      </c>
      <c r="FV50" s="941">
        <f>SUMIFS('5. PERSON'!$AE$17:$AE$192,'5. PERSON'!$B$17:$B$192,'14. EUFP'!$B50,'5. PERSON'!$D$17:$D$192,FV$18)</f>
        <v>0</v>
      </c>
      <c r="FW50" s="941">
        <f>SUMIFS('5. PERSON'!$AE$17:$AE$192,'5. PERSON'!$B$17:$B$192,'14. EUFP'!$B50,'5. PERSON'!$D$17:$D$192,FW$18)</f>
        <v>0</v>
      </c>
      <c r="FX50" s="941">
        <f>SUMIFS('5. PERSON'!$AE$17:$AE$192,'5. PERSON'!$B$17:$B$192,'14. EUFP'!$B50,'5. PERSON'!$D$17:$D$192,FX$18)</f>
        <v>0</v>
      </c>
      <c r="FY50" s="941">
        <f>SUMIFS('5. PERSON'!$AE$17:$AE$192,'5. PERSON'!$B$17:$B$192,'14. EUFP'!$B50,'5. PERSON'!$D$17:$D$192,FY$18)</f>
        <v>0</v>
      </c>
      <c r="FZ50" s="941">
        <f>SUMIFS('5. PERSON'!$AE$17:$AE$192,'5. PERSON'!$B$17:$B$192,'14. EUFP'!$B50,'5. PERSON'!$D$17:$D$192,FZ$18)</f>
        <v>0</v>
      </c>
      <c r="GA50" s="941">
        <f>SUMIFS('5. PERSON'!$AE$17:$AE$192,'5. PERSON'!$B$17:$B$192,'14. EUFP'!$B50,'5. PERSON'!$D$17:$D$192,GA$18)</f>
        <v>0</v>
      </c>
      <c r="GB50" s="941">
        <f>SUMIFS('5. PERSON'!$AE$17:$AE$192,'5. PERSON'!$B$17:$B$192,'14. EUFP'!$B50,'5. PERSON'!$D$17:$D$192,GB$18)</f>
        <v>0</v>
      </c>
      <c r="GC50" s="941">
        <f>SUMIFS('5. PERSON'!$AE$17:$AE$192,'5. PERSON'!$B$17:$B$192,'14. EUFP'!$B50,'5. PERSON'!$D$17:$D$192,GC$18)</f>
        <v>0</v>
      </c>
      <c r="GD50" s="941">
        <f>SUMIFS('5. PERSON'!$AE$17:$AE$192,'5. PERSON'!$B$17:$B$192,'14. EUFP'!$B50,'5. PERSON'!$D$17:$D$192,GD$18)</f>
        <v>0</v>
      </c>
      <c r="GE50" s="941">
        <f>SUMIFS('5. PERSON'!$AE$17:$AE$192,'5. PERSON'!$B$17:$B$192,'14. EUFP'!$B50,'5. PERSON'!$D$17:$D$192,GE$18)</f>
        <v>0</v>
      </c>
      <c r="GF50" s="941">
        <f>SUMIFS('5. PERSON'!$AE$17:$AE$192,'5. PERSON'!$B$17:$B$192,'14. EUFP'!$B50,'5. PERSON'!$D$17:$D$192,GF$18)</f>
        <v>0</v>
      </c>
      <c r="GG50" s="941">
        <f>SUMIFS('5. PERSON'!$AE$17:$AE$192,'5. PERSON'!$B$17:$B$192,'14. EUFP'!$B50,'5. PERSON'!$D$17:$D$192,GG$18)</f>
        <v>0</v>
      </c>
      <c r="GH50" s="941">
        <f>SUMIFS('5. PERSON'!$AE$17:$AE$192,'5. PERSON'!$B$17:$B$192,'14. EUFP'!$B50,'5. PERSON'!$D$17:$D$192,GH$18)</f>
        <v>0</v>
      </c>
      <c r="GI50" s="941">
        <f>SUMIFS('5. PERSON'!$AE$17:$AE$192,'5. PERSON'!$B$17:$B$192,'14. EUFP'!$B50,'5. PERSON'!$D$17:$D$192,GI$18)</f>
        <v>0</v>
      </c>
      <c r="GJ50" s="941">
        <f>SUMIFS('5. PERSON'!$AE$17:$AE$192,'5. PERSON'!$B$17:$B$192,'14. EUFP'!$B50,'5. PERSON'!$D$17:$D$192,GJ$18)</f>
        <v>0</v>
      </c>
      <c r="GK50" s="941">
        <f>SUMIFS('5. PERSON'!$AE$17:$AE$192,'5. PERSON'!$B$17:$B$192,'14. EUFP'!$B50,'5. PERSON'!$D$17:$D$192,GK$18)</f>
        <v>0</v>
      </c>
      <c r="GL50" s="941">
        <f t="shared" si="28"/>
        <v>0</v>
      </c>
    </row>
    <row r="51" spans="2:194" s="71" customFormat="1" ht="13.5" customHeight="1" x14ac:dyDescent="0.2">
      <c r="B51" s="259" t="str">
        <f>'3. PARTNER'!B78</f>
        <v>EXT128</v>
      </c>
      <c r="C51" s="281">
        <f>SUMIF('5. PERSON'!B$17:B$192,B51,'5. PERSON'!AR$17:AR$192)</f>
        <v>0</v>
      </c>
      <c r="D51" s="281">
        <f>SUMIFS('5. PERSON'!$AR$17:$AR$192,'5. PERSON'!$B$17:$B$192,$B51,'5. PERSON'!$D$17:$D$192,D$18)</f>
        <v>0</v>
      </c>
      <c r="E51" s="281">
        <f>SUMIFS('5. PERSON'!$AR$17:$AR$192,'5. PERSON'!$B$17:$B$192,$B51,'5. PERSON'!$D$17:$D$192,E$18)</f>
        <v>0</v>
      </c>
      <c r="F51" s="281">
        <f>SUMIFS('5. PERSON'!$AR$17:$AR$192,'5. PERSON'!$B$17:$B$192,$B51,'5. PERSON'!$D$17:$D$192,F$18)</f>
        <v>0</v>
      </c>
      <c r="G51" s="281">
        <f>SUMIFS('5. PERSON'!$AR$17:$AR$192,'5. PERSON'!$B$17:$B$192,$B51,'5. PERSON'!$D$17:$D$192,G$18)</f>
        <v>0</v>
      </c>
      <c r="H51" s="281">
        <f>SUMIFS('5. PERSON'!$AR$17:$AR$192,'5. PERSON'!$B$17:$B$192,$B51,'5. PERSON'!$D$17:$D$192,H$18)</f>
        <v>0</v>
      </c>
      <c r="I51" s="281">
        <f>SUMIFS('5. PERSON'!$AR$17:$AR$192,'5. PERSON'!$B$17:$B$192,$B51,'5. PERSON'!$D$17:$D$192,I$18)</f>
        <v>0</v>
      </c>
      <c r="J51" s="281">
        <f>SUMIFS('5. PERSON'!$AR$17:$AR$192,'5. PERSON'!$B$17:$B$192,$B51,'5. PERSON'!$D$17:$D$192,J$18)</f>
        <v>0</v>
      </c>
      <c r="K51" s="281">
        <f>SUMIFS('5. PERSON'!$AR$17:$AR$192,'5. PERSON'!$B$17:$B$192,$B51,'5. PERSON'!$D$17:$D$192,K$18)</f>
        <v>0</v>
      </c>
      <c r="L51" s="281">
        <f>SUMIFS('5. PERSON'!$AR$17:$AR$192,'5. PERSON'!$B$17:$B$192,$B51,'5. PERSON'!$D$17:$D$192,L$18)</f>
        <v>0</v>
      </c>
      <c r="M51" s="281">
        <f>SUMIFS('5. PERSON'!$AR$17:$AR$192,'5. PERSON'!$B$17:$B$192,$B51,'5. PERSON'!$D$17:$D$192,M$18)</f>
        <v>0</v>
      </c>
      <c r="N51" s="281">
        <f>SUMIFS('5. PERSON'!$AR$17:$AR$192,'5. PERSON'!$B$17:$B$192,$B51,'5. PERSON'!$D$17:$D$192,N$18)</f>
        <v>0</v>
      </c>
      <c r="O51" s="281">
        <f>SUMIFS('5. PERSON'!$AR$17:$AR$192,'5. PERSON'!$B$17:$B$192,$B51,'5. PERSON'!$D$17:$D$192,O$18)</f>
        <v>0</v>
      </c>
      <c r="P51" s="281">
        <f>SUMIFS('5. PERSON'!$AR$17:$AR$192,'5. PERSON'!$B$17:$B$192,$B51,'5. PERSON'!$D$17:$D$192,P$18)</f>
        <v>0</v>
      </c>
      <c r="Q51" s="281">
        <f>SUMIFS('5. PERSON'!$AR$17:$AR$192,'5. PERSON'!$B$17:$B$192,$B51,'5. PERSON'!$D$17:$D$192,Q$18)</f>
        <v>0</v>
      </c>
      <c r="R51" s="281">
        <f>SUMIFS('5. PERSON'!$AR$17:$AR$192,'5. PERSON'!$B$17:$B$192,$B51,'5. PERSON'!$D$17:$D$192,R$18)</f>
        <v>0</v>
      </c>
      <c r="S51" s="281">
        <f>SUMIFS('5. PERSON'!$AR$17:$AR$192,'5. PERSON'!$B$17:$B$192,$B51,'5. PERSON'!$D$17:$D$192,S$18)</f>
        <v>0</v>
      </c>
      <c r="T51" s="281">
        <f>SUMIFS('5. PERSON'!$AR$17:$AR$192,'5. PERSON'!$B$17:$B$192,$B51,'5. PERSON'!$D$17:$D$192,T$18)</f>
        <v>0</v>
      </c>
      <c r="U51" s="281">
        <f>SUMIFS('5. PERSON'!$AR$17:$AR$192,'5. PERSON'!$B$17:$B$192,$B51,'5. PERSON'!$D$17:$D$192,U$18)</f>
        <v>0</v>
      </c>
      <c r="V51" s="281">
        <f>SUMIFS('5. PERSON'!$AR$17:$AR$192,'5. PERSON'!$B$17:$B$192,$B51,'5. PERSON'!$D$17:$D$192,V$18)</f>
        <v>0</v>
      </c>
      <c r="W51" s="281">
        <f>SUMIFS('5. PERSON'!$AR$17:$AR$192,'5. PERSON'!$B$17:$B$192,$B51,'5. PERSON'!$D$17:$D$192,W$18)</f>
        <v>0</v>
      </c>
      <c r="X51" s="281">
        <f>SUMIFS('6. OPERATION'!R$17:R$149,'6. OPERATION'!B$17:B$149,B51,'6. OPERATION'!G$17:G$149,"SUBCON")</f>
        <v>0</v>
      </c>
      <c r="Y51" s="281">
        <f>SUMIFS('6. OPERATION'!$R$17:$R$149,'6. OPERATION'!$B$17:$B$149,$B51,'6. OPERATION'!$G$17:$G$149,"SUBCON",'6. OPERATION'!$D$17:$D$149,Y$18)</f>
        <v>0</v>
      </c>
      <c r="Z51" s="281">
        <f>SUMIFS('6. OPERATION'!$R$17:$R$149,'6. OPERATION'!$B$17:$B$149,$B51,'6. OPERATION'!$G$17:$G$149,"SUBCON",'6. OPERATION'!$D$17:$D$149,Z$18)</f>
        <v>0</v>
      </c>
      <c r="AA51" s="281">
        <f>SUMIFS('6. OPERATION'!$R$17:$R$149,'6. OPERATION'!$B$17:$B$149,$B51,'6. OPERATION'!$G$17:$G$149,"SUBCON",'6. OPERATION'!$D$17:$D$149,AA$18)</f>
        <v>0</v>
      </c>
      <c r="AB51" s="281">
        <f>SUMIFS('6. OPERATION'!$R$17:$R$149,'6. OPERATION'!$B$17:$B$149,$B51,'6. OPERATION'!$G$17:$G$149,"SUBCON",'6. OPERATION'!$D$17:$D$149,AB$18)</f>
        <v>0</v>
      </c>
      <c r="AC51" s="281">
        <f>SUMIFS('6. OPERATION'!$R$17:$R$149,'6. OPERATION'!$B$17:$B$149,$B51,'6. OPERATION'!$G$17:$G$149,"SUBCON",'6. OPERATION'!$D$17:$D$149,AC$18)</f>
        <v>0</v>
      </c>
      <c r="AD51" s="281">
        <f>SUMIFS('6. OPERATION'!$R$17:$R$149,'6. OPERATION'!$B$17:$B$149,$B51,'6. OPERATION'!$G$17:$G$149,"SUBCON",'6. OPERATION'!$D$17:$D$149,AD$18)</f>
        <v>0</v>
      </c>
      <c r="AE51" s="281">
        <f>SUMIFS('6. OPERATION'!$R$17:$R$149,'6. OPERATION'!$B$17:$B$149,$B51,'6. OPERATION'!$G$17:$G$149,"SUBCON",'6. OPERATION'!$D$17:$D$149,AE$18)</f>
        <v>0</v>
      </c>
      <c r="AF51" s="281">
        <f>SUMIFS('6. OPERATION'!$R$17:$R$149,'6. OPERATION'!$B$17:$B$149,$B51,'6. OPERATION'!$G$17:$G$149,"SUBCON",'6. OPERATION'!$D$17:$D$149,AF$18)</f>
        <v>0</v>
      </c>
      <c r="AG51" s="281">
        <f>SUMIFS('6. OPERATION'!$R$17:$R$149,'6. OPERATION'!$B$17:$B$149,$B51,'6. OPERATION'!$G$17:$G$149,"SUBCON",'6. OPERATION'!$D$17:$D$149,AG$18)</f>
        <v>0</v>
      </c>
      <c r="AH51" s="281">
        <f>SUMIFS('6. OPERATION'!$R$17:$R$149,'6. OPERATION'!$B$17:$B$149,$B51,'6. OPERATION'!$G$17:$G$149,"SUBCON",'6. OPERATION'!$D$17:$D$149,AH$18)</f>
        <v>0</v>
      </c>
      <c r="AI51" s="281">
        <f>SUMIFS('6. OPERATION'!$R$17:$R$149,'6. OPERATION'!$B$17:$B$149,$B51,'6. OPERATION'!$G$17:$G$149,"SUBCON",'6. OPERATION'!$D$17:$D$149,AI$18)</f>
        <v>0</v>
      </c>
      <c r="AJ51" s="281">
        <f>SUMIFS('6. OPERATION'!$R$17:$R$149,'6. OPERATION'!$B$17:$B$149,$B51,'6. OPERATION'!$G$17:$G$149,"SUBCON",'6. OPERATION'!$D$17:$D$149,AJ$18)</f>
        <v>0</v>
      </c>
      <c r="AK51" s="281">
        <f>SUMIFS('6. OPERATION'!$R$17:$R$149,'6. OPERATION'!$B$17:$B$149,$B51,'6. OPERATION'!$G$17:$G$149,"SUBCON",'6. OPERATION'!$D$17:$D$149,AK$18)</f>
        <v>0</v>
      </c>
      <c r="AL51" s="281">
        <f>SUMIFS('6. OPERATION'!$R$17:$R$149,'6. OPERATION'!$B$17:$B$149,$B51,'6. OPERATION'!$G$17:$G$149,"SUBCON",'6. OPERATION'!$D$17:$D$149,AL$18)</f>
        <v>0</v>
      </c>
      <c r="AM51" s="281">
        <f>SUMIFS('6. OPERATION'!$R$17:$R$149,'6. OPERATION'!$B$17:$B$149,$B51,'6. OPERATION'!$G$17:$G$149,"SUBCON",'6. OPERATION'!$D$17:$D$149,AM$18)</f>
        <v>0</v>
      </c>
      <c r="AN51" s="281">
        <f>SUMIFS('6. OPERATION'!$R$17:$R$149,'6. OPERATION'!$B$17:$B$149,$B51,'6. OPERATION'!$G$17:$G$149,"SUBCON",'6. OPERATION'!$D$17:$D$149,AN$18)</f>
        <v>0</v>
      </c>
      <c r="AO51" s="281">
        <f>SUMIFS('6. OPERATION'!$R$17:$R$149,'6. OPERATION'!$B$17:$B$149,$B51,'6. OPERATION'!$G$17:$G$149,"SUBCON",'6. OPERATION'!$D$17:$D$149,AO$18)</f>
        <v>0</v>
      </c>
      <c r="AP51" s="281">
        <f>SUMIFS('6. OPERATION'!$R$17:$R$149,'6. OPERATION'!$B$17:$B$149,$B51,'6. OPERATION'!$G$17:$G$149,"SUBCON",'6. OPERATION'!$D$17:$D$149,AP$18)</f>
        <v>0</v>
      </c>
      <c r="AQ51" s="281">
        <f>SUMIFS('6. OPERATION'!$R$17:$R$149,'6. OPERATION'!$B$17:$B$149,$B51,'6. OPERATION'!$G$17:$G$149,"SUBCON",'6. OPERATION'!$D$17:$D$149,AQ$18)</f>
        <v>0</v>
      </c>
      <c r="AR51" s="281">
        <f>SUMIFS('6. OPERATION'!$R$17:$R$149,'6. OPERATION'!$B$17:$B$149,$B51,'6. OPERATION'!$G$17:$G$149,"SUBCON",'6. OPERATION'!$D$17:$D$149,AR$18)</f>
        <v>0</v>
      </c>
      <c r="AS51" s="281">
        <f>SUMIFS('6. OPERATION'!R$17:R$149,'6. OPERATION'!B$17:B$149,B51,'6. OPERATION'!G$17:G$149,"TRAVEL")</f>
        <v>0</v>
      </c>
      <c r="AT51" s="281">
        <f>SUMIFS('6. OPERATION'!$R$17:$R$149,'6. OPERATION'!$B$17:$B$149,$B51,'6. OPERATION'!$G$17:$G$149,"TRAVEL",'6. OPERATION'!$D$17:$D$149,AT$18)</f>
        <v>0</v>
      </c>
      <c r="AU51" s="281">
        <f>SUMIFS('6. OPERATION'!$R$17:$R$149,'6. OPERATION'!$B$17:$B$149,$B51,'6. OPERATION'!$G$17:$G$149,"TRAVEL",'6. OPERATION'!$D$17:$D$149,AU$18)</f>
        <v>0</v>
      </c>
      <c r="AV51" s="281">
        <f>SUMIFS('6. OPERATION'!$R$17:$R$149,'6. OPERATION'!$B$17:$B$149,$B51,'6. OPERATION'!$G$17:$G$149,"TRAVEL",'6. OPERATION'!$D$17:$D$149,AV$18)</f>
        <v>0</v>
      </c>
      <c r="AW51" s="281">
        <f>SUMIFS('6. OPERATION'!$R$17:$R$149,'6. OPERATION'!$B$17:$B$149,$B51,'6. OPERATION'!$G$17:$G$149,"TRAVEL",'6. OPERATION'!$D$17:$D$149,AW$18)</f>
        <v>0</v>
      </c>
      <c r="AX51" s="281">
        <f>SUMIFS('6. OPERATION'!$R$17:$R$149,'6. OPERATION'!$B$17:$B$149,$B51,'6. OPERATION'!$G$17:$G$149,"TRAVEL",'6. OPERATION'!$D$17:$D$149,AX$18)</f>
        <v>0</v>
      </c>
      <c r="AY51" s="281">
        <f>SUMIFS('6. OPERATION'!$R$17:$R$149,'6. OPERATION'!$B$17:$B$149,$B51,'6. OPERATION'!$G$17:$G$149,"TRAVEL",'6. OPERATION'!$D$17:$D$149,AY$18)</f>
        <v>0</v>
      </c>
      <c r="AZ51" s="281">
        <f>SUMIFS('6. OPERATION'!$R$17:$R$149,'6. OPERATION'!$B$17:$B$149,$B51,'6. OPERATION'!$G$17:$G$149,"TRAVEL",'6. OPERATION'!$D$17:$D$149,AZ$18)</f>
        <v>0</v>
      </c>
      <c r="BA51" s="281">
        <f>SUMIFS('6. OPERATION'!$R$17:$R$149,'6. OPERATION'!$B$17:$B$149,$B51,'6. OPERATION'!$G$17:$G$149,"TRAVEL",'6. OPERATION'!$D$17:$D$149,BA$18)</f>
        <v>0</v>
      </c>
      <c r="BB51" s="281">
        <f>SUMIFS('6. OPERATION'!$R$17:$R$149,'6. OPERATION'!$B$17:$B$149,$B51,'6. OPERATION'!$G$17:$G$149,"TRAVEL",'6. OPERATION'!$D$17:$D$149,BB$18)</f>
        <v>0</v>
      </c>
      <c r="BC51" s="281">
        <f>SUMIFS('6. OPERATION'!$R$17:$R$149,'6. OPERATION'!$B$17:$B$149,$B51,'6. OPERATION'!$G$17:$G$149,"TRAVEL",'6. OPERATION'!$D$17:$D$149,BC$18)</f>
        <v>0</v>
      </c>
      <c r="BD51" s="281">
        <f>SUMIFS('6. OPERATION'!$R$17:$R$149,'6. OPERATION'!$B$17:$B$149,$B51,'6. OPERATION'!$G$17:$G$149,"TRAVEL",'6. OPERATION'!$D$17:$D$149,BD$18)</f>
        <v>0</v>
      </c>
      <c r="BE51" s="281">
        <f>SUMIFS('6. OPERATION'!$R$17:$R$149,'6. OPERATION'!$B$17:$B$149,$B51,'6. OPERATION'!$G$17:$G$149,"TRAVEL",'6. OPERATION'!$D$17:$D$149,BE$18)</f>
        <v>0</v>
      </c>
      <c r="BF51" s="281">
        <f>SUMIFS('6. OPERATION'!$R$17:$R$149,'6. OPERATION'!$B$17:$B$149,$B51,'6. OPERATION'!$G$17:$G$149,"TRAVEL",'6. OPERATION'!$D$17:$D$149,BF$18)</f>
        <v>0</v>
      </c>
      <c r="BG51" s="281">
        <f>SUMIFS('6. OPERATION'!$R$17:$R$149,'6. OPERATION'!$B$17:$B$149,$B51,'6. OPERATION'!$G$17:$G$149,"TRAVEL",'6. OPERATION'!$D$17:$D$149,BG$18)</f>
        <v>0</v>
      </c>
      <c r="BH51" s="281">
        <f>SUMIFS('6. OPERATION'!$R$17:$R$149,'6. OPERATION'!$B$17:$B$149,$B51,'6. OPERATION'!$G$17:$G$149,"TRAVEL",'6. OPERATION'!$D$17:$D$149,BH$18)</f>
        <v>0</v>
      </c>
      <c r="BI51" s="281">
        <f>SUMIFS('6. OPERATION'!$R$17:$R$149,'6. OPERATION'!$B$17:$B$149,$B51,'6. OPERATION'!$G$17:$G$149,"TRAVEL",'6. OPERATION'!$D$17:$D$149,BI$18)</f>
        <v>0</v>
      </c>
      <c r="BJ51" s="281">
        <f>SUMIFS('6. OPERATION'!$R$17:$R$149,'6. OPERATION'!$B$17:$B$149,$B51,'6. OPERATION'!$G$17:$G$149,"TRAVEL",'6. OPERATION'!$D$17:$D$149,BJ$18)</f>
        <v>0</v>
      </c>
      <c r="BK51" s="281">
        <f>SUMIFS('6. OPERATION'!$R$17:$R$149,'6. OPERATION'!$B$17:$B$149,$B51,'6. OPERATION'!$G$17:$G$149,"TRAVEL",'6. OPERATION'!$D$17:$D$149,BK$18)</f>
        <v>0</v>
      </c>
      <c r="BL51" s="281">
        <f>SUMIFS('6. OPERATION'!$R$17:$R$149,'6. OPERATION'!$B$17:$B$149,$B51,'6. OPERATION'!$G$17:$G$149,"TRAVEL",'6. OPERATION'!$D$17:$D$149,BL$18)</f>
        <v>0</v>
      </c>
      <c r="BM51" s="281">
        <f>SUMIFS('6. OPERATION'!$R$17:$R$149,'6. OPERATION'!$B$17:$B$149,$B51,'6. OPERATION'!$G$17:$G$149,"TRAVEL",'6. OPERATION'!$D$17:$D$149,BM$18)</f>
        <v>0</v>
      </c>
      <c r="BN51" s="281">
        <f>SUMIF('7. INVEST'!B$17:B$49,B51,'7. INVEST'!S$17:S$49)</f>
        <v>0</v>
      </c>
      <c r="BO51" s="281">
        <f>SUMIFS('7. INVEST'!$S$17:$S$49,'7. INVEST'!$B$17:$B$49,$B51,'7. INVEST'!$D$17:$D$49,BO$18)</f>
        <v>0</v>
      </c>
      <c r="BP51" s="281">
        <f>SUMIFS('7. INVEST'!$S$17:$S$49,'7. INVEST'!$B$17:$B$49,$B51,'7. INVEST'!$D$17:$D$49,BP$18)</f>
        <v>0</v>
      </c>
      <c r="BQ51" s="281">
        <f>SUMIFS('7. INVEST'!$S$17:$S$49,'7. INVEST'!$B$17:$B$49,$B51,'7. INVEST'!$D$17:$D$49,BQ$18)</f>
        <v>0</v>
      </c>
      <c r="BR51" s="281">
        <f>SUMIFS('7. INVEST'!$S$17:$S$49,'7. INVEST'!$B$17:$B$49,$B51,'7. INVEST'!$D$17:$D$49,BR$18)</f>
        <v>0</v>
      </c>
      <c r="BS51" s="281">
        <f>SUMIFS('7. INVEST'!$S$17:$S$49,'7. INVEST'!$B$17:$B$49,$B51,'7. INVEST'!$D$17:$D$49,BS$18)</f>
        <v>0</v>
      </c>
      <c r="BT51" s="281">
        <f>SUMIFS('7. INVEST'!$S$17:$S$49,'7. INVEST'!$B$17:$B$49,$B51,'7. INVEST'!$D$17:$D$49,BT$18)</f>
        <v>0</v>
      </c>
      <c r="BU51" s="281">
        <f>SUMIFS('7. INVEST'!$S$17:$S$49,'7. INVEST'!$B$17:$B$49,$B51,'7. INVEST'!$D$17:$D$49,BU$18)</f>
        <v>0</v>
      </c>
      <c r="BV51" s="281">
        <f>SUMIFS('7. INVEST'!$S$17:$S$49,'7. INVEST'!$B$17:$B$49,$B51,'7. INVEST'!$D$17:$D$49,BV$18)</f>
        <v>0</v>
      </c>
      <c r="BW51" s="281">
        <f>SUMIFS('7. INVEST'!$S$17:$S$49,'7. INVEST'!$B$17:$B$49,$B51,'7. INVEST'!$D$17:$D$49,BW$18)</f>
        <v>0</v>
      </c>
      <c r="BX51" s="281">
        <f>SUMIFS('7. INVEST'!$S$17:$S$49,'7. INVEST'!$B$17:$B$49,$B51,'7. INVEST'!$D$17:$D$49,BX$18)</f>
        <v>0</v>
      </c>
      <c r="BY51" s="281">
        <f>SUMIFS('7. INVEST'!$S$17:$S$49,'7. INVEST'!$B$17:$B$49,$B51,'7. INVEST'!$D$17:$D$49,BY$18)</f>
        <v>0</v>
      </c>
      <c r="BZ51" s="281">
        <f>SUMIFS('7. INVEST'!$S$17:$S$49,'7. INVEST'!$B$17:$B$49,$B51,'7. INVEST'!$D$17:$D$49,BZ$18)</f>
        <v>0</v>
      </c>
      <c r="CA51" s="281">
        <f>SUMIFS('7. INVEST'!$S$17:$S$49,'7. INVEST'!$B$17:$B$49,$B51,'7. INVEST'!$D$17:$D$49,CA$18)</f>
        <v>0</v>
      </c>
      <c r="CB51" s="281">
        <f>SUMIFS('7. INVEST'!$S$17:$S$49,'7. INVEST'!$B$17:$B$49,$B51,'7. INVEST'!$D$17:$D$49,CB$18)</f>
        <v>0</v>
      </c>
      <c r="CC51" s="281">
        <f>SUMIFS('7. INVEST'!$S$17:$S$49,'7. INVEST'!$B$17:$B$49,$B51,'7. INVEST'!$D$17:$D$49,CC$18)</f>
        <v>0</v>
      </c>
      <c r="CD51" s="281">
        <f>SUMIFS('7. INVEST'!$S$17:$S$49,'7. INVEST'!$B$17:$B$49,$B51,'7. INVEST'!$D$17:$D$49,CD$18)</f>
        <v>0</v>
      </c>
      <c r="CE51" s="281">
        <f>SUMIFS('7. INVEST'!$S$17:$S$49,'7. INVEST'!$B$17:$B$49,$B51,'7. INVEST'!$D$17:$D$49,CE$18)</f>
        <v>0</v>
      </c>
      <c r="CF51" s="281">
        <f>SUMIFS('7. INVEST'!$S$17:$S$49,'7. INVEST'!$B$17:$B$49,$B51,'7. INVEST'!$D$17:$D$49,CF$18)</f>
        <v>0</v>
      </c>
      <c r="CG51" s="281">
        <f>SUMIFS('7. INVEST'!$S$17:$S$49,'7. INVEST'!$B$17:$B$49,$B51,'7. INVEST'!$D$17:$D$49,CG$18)</f>
        <v>0</v>
      </c>
      <c r="CH51" s="281">
        <f>SUMIFS('7. INVEST'!$S$17:$S$49,'7. INVEST'!$B$17:$B$49,$B51,'7. INVEST'!$D$17:$D$49,CH$18)</f>
        <v>0</v>
      </c>
      <c r="CI51" s="281">
        <f>SUMIFS('6. OPERATION'!$R$17:$R$149,'6. OPERATION'!$B$17:$B$149,$B51,'6. OPERATION'!$G$17:$G$149,"OTHER")+SUMIF('8. FACILIT'!$B$18:$B$50,$B51,'8. FACILIT'!$P$18:$P$50)</f>
        <v>0</v>
      </c>
      <c r="CJ51" s="281">
        <f>SUMIFS('6. OPERATION'!$R$17:$R$149,'6. OPERATION'!$B$17:$B$149,$B51,'6. OPERATION'!$G$17:$G$149,"OTHER",'6. OPERATION'!$D$17:$D$149,CJ$18)+SUMIFS('8. FACILIT'!$P$18:$P$50,'8. FACILIT'!$B$18:$B$50,$B51,'8. FACILIT'!$D$18:$D$50,CJ$18)</f>
        <v>0</v>
      </c>
      <c r="CK51" s="281">
        <f>SUMIFS('6. OPERATION'!$R$17:$R$149,'6. OPERATION'!$B$17:$B$149,$B51,'6. OPERATION'!$G$17:$G$149,"OTHER",'6. OPERATION'!$D$17:$D$149,CK$18)+SUMIFS('8. FACILIT'!$P$18:$P$50,'8. FACILIT'!$B$18:$B$50,$B51,'8. FACILIT'!$D$18:$D$50,CK$18)</f>
        <v>0</v>
      </c>
      <c r="CL51" s="281">
        <f>SUMIFS('6. OPERATION'!$R$17:$R$149,'6. OPERATION'!$B$17:$B$149,$B51,'6. OPERATION'!$G$17:$G$149,"OTHER",'6. OPERATION'!$D$17:$D$149,CL$18)+SUMIFS('8. FACILIT'!$P$18:$P$50,'8. FACILIT'!$B$18:$B$50,$B51,'8. FACILIT'!$D$18:$D$50,CL$18)</f>
        <v>0</v>
      </c>
      <c r="CM51" s="281">
        <f>SUMIFS('6. OPERATION'!$R$17:$R$149,'6. OPERATION'!$B$17:$B$149,$B51,'6. OPERATION'!$G$17:$G$149,"OTHER",'6. OPERATION'!$D$17:$D$149,CM$18)+SUMIFS('8. FACILIT'!$P$18:$P$50,'8. FACILIT'!$B$18:$B$50,$B51,'8. FACILIT'!$D$18:$D$50,CM$18)</f>
        <v>0</v>
      </c>
      <c r="CN51" s="281">
        <f>SUMIFS('6. OPERATION'!$R$17:$R$149,'6. OPERATION'!$B$17:$B$149,$B51,'6. OPERATION'!$G$17:$G$149,"OTHER",'6. OPERATION'!$D$17:$D$149,CN$18)+SUMIFS('8. FACILIT'!$P$18:$P$50,'8. FACILIT'!$B$18:$B$50,$B51,'8. FACILIT'!$D$18:$D$50,CN$18)</f>
        <v>0</v>
      </c>
      <c r="CO51" s="281">
        <f>SUMIFS('6. OPERATION'!$R$17:$R$149,'6. OPERATION'!$B$17:$B$149,$B51,'6. OPERATION'!$G$17:$G$149,"OTHER",'6. OPERATION'!$D$17:$D$149,CO$18)+SUMIFS('8. FACILIT'!$P$18:$P$50,'8. FACILIT'!$B$18:$B$50,$B51,'8. FACILIT'!$D$18:$D$50,CO$18)</f>
        <v>0</v>
      </c>
      <c r="CP51" s="281">
        <f>SUMIFS('6. OPERATION'!$R$17:$R$149,'6. OPERATION'!$B$17:$B$149,$B51,'6. OPERATION'!$G$17:$G$149,"OTHER",'6. OPERATION'!$D$17:$D$149,CP$18)+SUMIFS('8. FACILIT'!$P$18:$P$50,'8. FACILIT'!$B$18:$B$50,$B51,'8. FACILIT'!$D$18:$D$50,CP$18)</f>
        <v>0</v>
      </c>
      <c r="CQ51" s="281">
        <f>SUMIFS('6. OPERATION'!$R$17:$R$149,'6. OPERATION'!$B$17:$B$149,$B51,'6. OPERATION'!$G$17:$G$149,"OTHER",'6. OPERATION'!$D$17:$D$149,CQ$18)+SUMIFS('8. FACILIT'!$P$18:$P$50,'8. FACILIT'!$B$18:$B$50,$B51,'8. FACILIT'!$D$18:$D$50,CQ$18)</f>
        <v>0</v>
      </c>
      <c r="CR51" s="281">
        <f>SUMIFS('6. OPERATION'!$R$17:$R$149,'6. OPERATION'!$B$17:$B$149,$B51,'6. OPERATION'!$G$17:$G$149,"OTHER",'6. OPERATION'!$D$17:$D$149,CR$18)+SUMIFS('8. FACILIT'!$P$18:$P$50,'8. FACILIT'!$B$18:$B$50,$B51,'8. FACILIT'!$D$18:$D$50,CR$18)</f>
        <v>0</v>
      </c>
      <c r="CS51" s="281">
        <f>SUMIFS('6. OPERATION'!$R$17:$R$149,'6. OPERATION'!$B$17:$B$149,$B51,'6. OPERATION'!$G$17:$G$149,"OTHER",'6. OPERATION'!$D$17:$D$149,CS$18)+SUMIFS('8. FACILIT'!$P$18:$P$50,'8. FACILIT'!$B$18:$B$50,$B51,'8. FACILIT'!$D$18:$D$50,CS$18)</f>
        <v>0</v>
      </c>
      <c r="CT51" s="281">
        <f>SUMIFS('6. OPERATION'!$R$17:$R$149,'6. OPERATION'!$B$17:$B$149,$B51,'6. OPERATION'!$G$17:$G$149,"OTHER",'6. OPERATION'!$D$17:$D$149,CT$18)+SUMIFS('8. FACILIT'!$P$18:$P$50,'8. FACILIT'!$B$18:$B$50,$B51,'8. FACILIT'!$D$18:$D$50,CT$18)</f>
        <v>0</v>
      </c>
      <c r="CU51" s="281">
        <f>SUMIFS('6. OPERATION'!$R$17:$R$149,'6. OPERATION'!$B$17:$B$149,$B51,'6. OPERATION'!$G$17:$G$149,"OTHER",'6. OPERATION'!$D$17:$D$149,CU$18)+SUMIFS('8. FACILIT'!$P$18:$P$50,'8. FACILIT'!$B$18:$B$50,$B51,'8. FACILIT'!$D$18:$D$50,CU$18)</f>
        <v>0</v>
      </c>
      <c r="CV51" s="281">
        <f>SUMIFS('6. OPERATION'!$R$17:$R$149,'6. OPERATION'!$B$17:$B$149,$B51,'6. OPERATION'!$G$17:$G$149,"OTHER",'6. OPERATION'!$D$17:$D$149,CV$18)+SUMIFS('8. FACILIT'!$P$18:$P$50,'8. FACILIT'!$B$18:$B$50,$B51,'8. FACILIT'!$D$18:$D$50,CV$18)</f>
        <v>0</v>
      </c>
      <c r="CW51" s="281">
        <f>SUMIFS('6. OPERATION'!$R$17:$R$149,'6. OPERATION'!$B$17:$B$149,$B51,'6. OPERATION'!$G$17:$G$149,"OTHER",'6. OPERATION'!$D$17:$D$149,CW$18)+SUMIFS('8. FACILIT'!$P$18:$P$50,'8. FACILIT'!$B$18:$B$50,$B51,'8. FACILIT'!$D$18:$D$50,CW$18)</f>
        <v>0</v>
      </c>
      <c r="CX51" s="281">
        <f>SUMIFS('6. OPERATION'!$R$17:$R$149,'6. OPERATION'!$B$17:$B$149,$B51,'6. OPERATION'!$G$17:$G$149,"OTHER",'6. OPERATION'!$D$17:$D$149,CX$18)+SUMIFS('8. FACILIT'!$P$18:$P$50,'8. FACILIT'!$B$18:$B$50,$B51,'8. FACILIT'!$D$18:$D$50,CX$18)</f>
        <v>0</v>
      </c>
      <c r="CY51" s="281">
        <f>SUMIFS('6. OPERATION'!$R$17:$R$149,'6. OPERATION'!$B$17:$B$149,$B51,'6. OPERATION'!$G$17:$G$149,"OTHER",'6. OPERATION'!$D$17:$D$149,CY$18)+SUMIFS('8. FACILIT'!$P$18:$P$50,'8. FACILIT'!$B$18:$B$50,$B51,'8. FACILIT'!$D$18:$D$50,CY$18)</f>
        <v>0</v>
      </c>
      <c r="CZ51" s="281">
        <f>SUMIFS('6. OPERATION'!$R$17:$R$149,'6. OPERATION'!$B$17:$B$149,$B51,'6. OPERATION'!$G$17:$G$149,"OTHER",'6. OPERATION'!$D$17:$D$149,CZ$18)+SUMIFS('8. FACILIT'!$P$18:$P$50,'8. FACILIT'!$B$18:$B$50,$B51,'8. FACILIT'!$D$18:$D$50,CZ$18)</f>
        <v>0</v>
      </c>
      <c r="DA51" s="281">
        <f>SUMIFS('6. OPERATION'!$R$17:$R$149,'6. OPERATION'!$B$17:$B$149,$B51,'6. OPERATION'!$G$17:$G$149,"OTHER",'6. OPERATION'!$D$17:$D$149,DA$18)+SUMIFS('8. FACILIT'!$P$18:$P$50,'8. FACILIT'!$B$18:$B$50,$B51,'8. FACILIT'!$D$18:$D$50,DA$18)</f>
        <v>0</v>
      </c>
      <c r="DB51" s="281">
        <f>SUMIFS('6. OPERATION'!$R$17:$R$149,'6. OPERATION'!$B$17:$B$149,$B51,'6. OPERATION'!$G$17:$G$149,"OTHER",'6. OPERATION'!$D$17:$D$149,DB$18)+SUMIFS('8. FACILIT'!$P$18:$P$50,'8. FACILIT'!$B$18:$B$50,$B51,'8. FACILIT'!$D$18:$D$50,DB$18)</f>
        <v>0</v>
      </c>
      <c r="DC51" s="281">
        <f>SUMIFS('6. OPERATION'!$R$17:$R$149,'6. OPERATION'!$B$17:$B$149,$B51,'6. OPERATION'!$G$17:$G$149,"OTHER",'6. OPERATION'!$D$17:$D$149,DC$18)+SUMIFS('8. FACILIT'!$P$18:$P$50,'8. FACILIT'!$B$18:$B$50,$B51,'8. FACILIT'!$D$18:$D$50,DC$18)</f>
        <v>0</v>
      </c>
      <c r="DD51" s="281">
        <f>SUMIFS('6. OPERATION'!R$17:R$149,'6. OPERATION'!B$17:B$149,B51,'6. OPERATION'!G$17:G$149,"INTERN")</f>
        <v>0</v>
      </c>
      <c r="DE51" s="281">
        <f>SUMIFS('6. OPERATION'!$R$17:$R$149,'6. OPERATION'!$B$17:$B$149,$B51,'6. OPERATION'!$G$17:$G$149,"INTERN",'6. OPERATION'!$D$17:$D$149,DE$18)</f>
        <v>0</v>
      </c>
      <c r="DF51" s="281">
        <f>SUMIFS('6. OPERATION'!$R$17:$R$149,'6. OPERATION'!$B$17:$B$149,$B51,'6. OPERATION'!$G$17:$G$149,"INTERN",'6. OPERATION'!$D$17:$D$149,DF$18)</f>
        <v>0</v>
      </c>
      <c r="DG51" s="281">
        <f>SUMIFS('6. OPERATION'!$R$17:$R$149,'6. OPERATION'!$B$17:$B$149,$B51,'6. OPERATION'!$G$17:$G$149,"INTERN",'6. OPERATION'!$D$17:$D$149,DG$18)</f>
        <v>0</v>
      </c>
      <c r="DH51" s="281">
        <f>SUMIFS('6. OPERATION'!$R$17:$R$149,'6. OPERATION'!$B$17:$B$149,$B51,'6. OPERATION'!$G$17:$G$149,"INTERN",'6. OPERATION'!$D$17:$D$149,DH$18)</f>
        <v>0</v>
      </c>
      <c r="DI51" s="281">
        <f>SUMIFS('6. OPERATION'!$R$17:$R$149,'6. OPERATION'!$B$17:$B$149,$B51,'6. OPERATION'!$G$17:$G$149,"INTERN",'6. OPERATION'!$D$17:$D$149,DI$18)</f>
        <v>0</v>
      </c>
      <c r="DJ51" s="281">
        <f>SUMIFS('6. OPERATION'!$R$17:$R$149,'6. OPERATION'!$B$17:$B$149,$B51,'6. OPERATION'!$G$17:$G$149,"INTERN",'6. OPERATION'!$D$17:$D$149,DJ$18)</f>
        <v>0</v>
      </c>
      <c r="DK51" s="281">
        <f>SUMIFS('6. OPERATION'!$R$17:$R$149,'6. OPERATION'!$B$17:$B$149,$B51,'6. OPERATION'!$G$17:$G$149,"INTERN",'6. OPERATION'!$D$17:$D$149,DK$18)</f>
        <v>0</v>
      </c>
      <c r="DL51" s="281">
        <f>SUMIFS('6. OPERATION'!$R$17:$R$149,'6. OPERATION'!$B$17:$B$149,$B51,'6. OPERATION'!$G$17:$G$149,"INTERN",'6. OPERATION'!$D$17:$D$149,DL$18)</f>
        <v>0</v>
      </c>
      <c r="DM51" s="281">
        <f>SUMIFS('6. OPERATION'!$R$17:$R$149,'6. OPERATION'!$B$17:$B$149,$B51,'6. OPERATION'!$G$17:$G$149,"INTERN",'6. OPERATION'!$D$17:$D$149,DM$18)</f>
        <v>0</v>
      </c>
      <c r="DN51" s="281">
        <f>SUMIFS('6. OPERATION'!$R$17:$R$149,'6. OPERATION'!$B$17:$B$149,$B51,'6. OPERATION'!$G$17:$G$149,"INTERN",'6. OPERATION'!$D$17:$D$149,DN$18)</f>
        <v>0</v>
      </c>
      <c r="DO51" s="281">
        <f>SUMIFS('6. OPERATION'!$R$17:$R$149,'6. OPERATION'!$B$17:$B$149,$B51,'6. OPERATION'!$G$17:$G$149,"INTERN",'6. OPERATION'!$D$17:$D$149,DO$18)</f>
        <v>0</v>
      </c>
      <c r="DP51" s="281">
        <f>SUMIFS('6. OPERATION'!$R$17:$R$149,'6. OPERATION'!$B$17:$B$149,$B51,'6. OPERATION'!$G$17:$G$149,"INTERN",'6. OPERATION'!$D$17:$D$149,DP$18)</f>
        <v>0</v>
      </c>
      <c r="DQ51" s="281">
        <f>SUMIFS('6. OPERATION'!$R$17:$R$149,'6. OPERATION'!$B$17:$B$149,$B51,'6. OPERATION'!$G$17:$G$149,"INTERN",'6. OPERATION'!$D$17:$D$149,DQ$18)</f>
        <v>0</v>
      </c>
      <c r="DR51" s="281">
        <f>SUMIFS('6. OPERATION'!$R$17:$R$149,'6. OPERATION'!$B$17:$B$149,$B51,'6. OPERATION'!$G$17:$G$149,"INTERN",'6. OPERATION'!$D$17:$D$149,DR$18)</f>
        <v>0</v>
      </c>
      <c r="DS51" s="281">
        <f>SUMIFS('6. OPERATION'!$R$17:$R$149,'6. OPERATION'!$B$17:$B$149,$B51,'6. OPERATION'!$G$17:$G$149,"INTERN",'6. OPERATION'!$D$17:$D$149,DS$18)</f>
        <v>0</v>
      </c>
      <c r="DT51" s="281">
        <f>SUMIFS('6. OPERATION'!$R$17:$R$149,'6. OPERATION'!$B$17:$B$149,$B51,'6. OPERATION'!$G$17:$G$149,"INTERN",'6. OPERATION'!$D$17:$D$149,DT$18)</f>
        <v>0</v>
      </c>
      <c r="DU51" s="281">
        <f>SUMIFS('6. OPERATION'!$R$17:$R$149,'6. OPERATION'!$B$17:$B$149,$B51,'6. OPERATION'!$G$17:$G$149,"INTERN",'6. OPERATION'!$D$17:$D$149,DU$18)</f>
        <v>0</v>
      </c>
      <c r="DV51" s="281">
        <f>SUMIFS('6. OPERATION'!$R$17:$R$149,'6. OPERATION'!$B$17:$B$149,$B51,'6. OPERATION'!$G$17:$G$149,"INTERN",'6. OPERATION'!$D$17:$D$149,DV$18)</f>
        <v>0</v>
      </c>
      <c r="DW51" s="281">
        <f>SUMIFS('6. OPERATION'!$R$17:$R$149,'6. OPERATION'!$B$17:$B$149,$B51,'6. OPERATION'!$G$17:$G$149,"INTERN",'6. OPERATION'!$D$17:$D$149,DW$18)</f>
        <v>0</v>
      </c>
      <c r="DX51" s="281">
        <f>SUMIFS('6. OPERATION'!$R$17:$R$149,'6. OPERATION'!$B$17:$B$149,$B51,'6. OPERATION'!$G$17:$G$149,"INTERN",'6. OPERATION'!$D$17:$D$149,DX$18)</f>
        <v>0</v>
      </c>
      <c r="DY51" s="288">
        <f>(C51+AS51+BN51+CI51)*'2. START'!$C$12</f>
        <v>0</v>
      </c>
      <c r="DZ51" s="288">
        <f>(D51+AT51+BO51+CJ51)*'2. START'!$C$12</f>
        <v>0</v>
      </c>
      <c r="EA51" s="288">
        <f>(E51+AU51+BP51+CK51)*'2. START'!$C$12</f>
        <v>0</v>
      </c>
      <c r="EB51" s="288">
        <f>(F51+AV51+BQ51+CL51)*'2. START'!$C$12</f>
        <v>0</v>
      </c>
      <c r="EC51" s="288">
        <f>(G51+AW51+BR51+CM51)*'2. START'!$C$12</f>
        <v>0</v>
      </c>
      <c r="ED51" s="288">
        <f>(H51+AX51+BS51+CN51)*'2. START'!$C$12</f>
        <v>0</v>
      </c>
      <c r="EE51" s="288">
        <f>(I51+AY51+BT51+CO51)*'2. START'!$C$12</f>
        <v>0</v>
      </c>
      <c r="EF51" s="288">
        <f>(J51+AZ51+BU51+CP51)*'2. START'!$C$12</f>
        <v>0</v>
      </c>
      <c r="EG51" s="288">
        <f>(K51+BA51+BV51+CQ51)*'2. START'!$C$12</f>
        <v>0</v>
      </c>
      <c r="EH51" s="288">
        <f>(L51+BB51+BW51+CR51)*'2. START'!$C$12</f>
        <v>0</v>
      </c>
      <c r="EI51" s="288">
        <f>(M51+BC51+BX51+CS51)*'2. START'!$C$12</f>
        <v>0</v>
      </c>
      <c r="EJ51" s="288">
        <f>(N51+BD51+BY51+CT51)*'2. START'!$C$12</f>
        <v>0</v>
      </c>
      <c r="EK51" s="288">
        <f>(O51+BE51+BZ51+CU51)*'2. START'!$C$12</f>
        <v>0</v>
      </c>
      <c r="EL51" s="288">
        <f>(P51+BF51+CA51+CV51)*'2. START'!$C$12</f>
        <v>0</v>
      </c>
      <c r="EM51" s="288">
        <f>(Q51+BG51+CB51+CW51)*'2. START'!$C$12</f>
        <v>0</v>
      </c>
      <c r="EN51" s="288">
        <f>(R51+BH51+CC51+CX51)*'2. START'!$C$12</f>
        <v>0</v>
      </c>
      <c r="EO51" s="288">
        <f>(S51+BI51+CD51+CY51)*'2. START'!$C$12</f>
        <v>0</v>
      </c>
      <c r="EP51" s="288">
        <f>(T51+BJ51+CE51+CZ51)*'2. START'!$C$12</f>
        <v>0</v>
      </c>
      <c r="EQ51" s="288">
        <f>(U51+BK51+CF51+DA51)*'2. START'!$C$12</f>
        <v>0</v>
      </c>
      <c r="ER51" s="288">
        <f>(V51+BL51+CG51+DB51)*'2. START'!$C$12</f>
        <v>0</v>
      </c>
      <c r="ES51" s="288">
        <f>(W51+BM51+CH51+DC51)*'2. START'!$C$12</f>
        <v>0</v>
      </c>
      <c r="ET51" s="105">
        <f t="shared" si="4"/>
        <v>0</v>
      </c>
      <c r="EU51" s="105">
        <f t="shared" si="5"/>
        <v>0</v>
      </c>
      <c r="EV51" s="105">
        <f t="shared" si="6"/>
        <v>0</v>
      </c>
      <c r="EW51" s="105">
        <f t="shared" si="7"/>
        <v>0</v>
      </c>
      <c r="EX51" s="105">
        <f t="shared" si="8"/>
        <v>0</v>
      </c>
      <c r="EY51" s="105">
        <f t="shared" si="9"/>
        <v>0</v>
      </c>
      <c r="EZ51" s="105">
        <f t="shared" si="10"/>
        <v>0</v>
      </c>
      <c r="FA51" s="105">
        <f t="shared" si="11"/>
        <v>0</v>
      </c>
      <c r="FB51" s="105">
        <f t="shared" si="12"/>
        <v>0</v>
      </c>
      <c r="FC51" s="105">
        <f t="shared" si="13"/>
        <v>0</v>
      </c>
      <c r="FD51" s="105">
        <f t="shared" si="14"/>
        <v>0</v>
      </c>
      <c r="FE51" s="105">
        <f t="shared" si="18"/>
        <v>0</v>
      </c>
      <c r="FF51" s="105">
        <f t="shared" si="19"/>
        <v>0</v>
      </c>
      <c r="FG51" s="105">
        <f t="shared" si="20"/>
        <v>0</v>
      </c>
      <c r="FH51" s="105">
        <f t="shared" si="21"/>
        <v>0</v>
      </c>
      <c r="FI51" s="105">
        <f t="shared" si="22"/>
        <v>0</v>
      </c>
      <c r="FJ51" s="105">
        <f t="shared" si="23"/>
        <v>0</v>
      </c>
      <c r="FK51" s="105">
        <f t="shared" si="24"/>
        <v>0</v>
      </c>
      <c r="FL51" s="105">
        <f t="shared" si="25"/>
        <v>0</v>
      </c>
      <c r="FM51" s="105">
        <f t="shared" si="26"/>
        <v>0</v>
      </c>
      <c r="FN51" s="105">
        <f t="shared" si="27"/>
        <v>0</v>
      </c>
      <c r="FO51" s="273" t="str">
        <f t="shared" si="17"/>
        <v/>
      </c>
      <c r="FP51" s="105">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943">
        <f t="shared" si="16"/>
        <v>0</v>
      </c>
      <c r="FR51" s="940">
        <f>SUMIFS('5. PERSON'!$AE$17:$AE$192,'5. PERSON'!$B$17:$B$192,'14. EUFP'!$B51,'5. PERSON'!$D$17:$D$192,FR$18)</f>
        <v>0</v>
      </c>
      <c r="FS51" s="940">
        <f>SUMIFS('5. PERSON'!$AE$17:$AE$192,'5. PERSON'!$B$17:$B$192,'14. EUFP'!$B51,'5. PERSON'!$D$17:$D$192,FS$18)</f>
        <v>0</v>
      </c>
      <c r="FT51" s="940">
        <f>SUMIFS('5. PERSON'!$AE$17:$AE$192,'5. PERSON'!$B$17:$B$192,'14. EUFP'!$B51,'5. PERSON'!$D$17:$D$192,FT$18)</f>
        <v>0</v>
      </c>
      <c r="FU51" s="940">
        <f>SUMIFS('5. PERSON'!$AE$17:$AE$192,'5. PERSON'!$B$17:$B$192,'14. EUFP'!$B51,'5. PERSON'!$D$17:$D$192,FU$18)</f>
        <v>0</v>
      </c>
      <c r="FV51" s="940">
        <f>SUMIFS('5. PERSON'!$AE$17:$AE$192,'5. PERSON'!$B$17:$B$192,'14. EUFP'!$B51,'5. PERSON'!$D$17:$D$192,FV$18)</f>
        <v>0</v>
      </c>
      <c r="FW51" s="940">
        <f>SUMIFS('5. PERSON'!$AE$17:$AE$192,'5. PERSON'!$B$17:$B$192,'14. EUFP'!$B51,'5. PERSON'!$D$17:$D$192,FW$18)</f>
        <v>0</v>
      </c>
      <c r="FX51" s="940">
        <f>SUMIFS('5. PERSON'!$AE$17:$AE$192,'5. PERSON'!$B$17:$B$192,'14. EUFP'!$B51,'5. PERSON'!$D$17:$D$192,FX$18)</f>
        <v>0</v>
      </c>
      <c r="FY51" s="940">
        <f>SUMIFS('5. PERSON'!$AE$17:$AE$192,'5. PERSON'!$B$17:$B$192,'14. EUFP'!$B51,'5. PERSON'!$D$17:$D$192,FY$18)</f>
        <v>0</v>
      </c>
      <c r="FZ51" s="940">
        <f>SUMIFS('5. PERSON'!$AE$17:$AE$192,'5. PERSON'!$B$17:$B$192,'14. EUFP'!$B51,'5. PERSON'!$D$17:$D$192,FZ$18)</f>
        <v>0</v>
      </c>
      <c r="GA51" s="940">
        <f>SUMIFS('5. PERSON'!$AE$17:$AE$192,'5. PERSON'!$B$17:$B$192,'14. EUFP'!$B51,'5. PERSON'!$D$17:$D$192,GA$18)</f>
        <v>0</v>
      </c>
      <c r="GB51" s="940">
        <f>SUMIFS('5. PERSON'!$AE$17:$AE$192,'5. PERSON'!$B$17:$B$192,'14. EUFP'!$B51,'5. PERSON'!$D$17:$D$192,GB$18)</f>
        <v>0</v>
      </c>
      <c r="GC51" s="940">
        <f>SUMIFS('5. PERSON'!$AE$17:$AE$192,'5. PERSON'!$B$17:$B$192,'14. EUFP'!$B51,'5. PERSON'!$D$17:$D$192,GC$18)</f>
        <v>0</v>
      </c>
      <c r="GD51" s="940">
        <f>SUMIFS('5. PERSON'!$AE$17:$AE$192,'5. PERSON'!$B$17:$B$192,'14. EUFP'!$B51,'5. PERSON'!$D$17:$D$192,GD$18)</f>
        <v>0</v>
      </c>
      <c r="GE51" s="940">
        <f>SUMIFS('5. PERSON'!$AE$17:$AE$192,'5. PERSON'!$B$17:$B$192,'14. EUFP'!$B51,'5. PERSON'!$D$17:$D$192,GE$18)</f>
        <v>0</v>
      </c>
      <c r="GF51" s="940">
        <f>SUMIFS('5. PERSON'!$AE$17:$AE$192,'5. PERSON'!$B$17:$B$192,'14. EUFP'!$B51,'5. PERSON'!$D$17:$D$192,GF$18)</f>
        <v>0</v>
      </c>
      <c r="GG51" s="940">
        <f>SUMIFS('5. PERSON'!$AE$17:$AE$192,'5. PERSON'!$B$17:$B$192,'14. EUFP'!$B51,'5. PERSON'!$D$17:$D$192,GG$18)</f>
        <v>0</v>
      </c>
      <c r="GH51" s="940">
        <f>SUMIFS('5. PERSON'!$AE$17:$AE$192,'5. PERSON'!$B$17:$B$192,'14. EUFP'!$B51,'5. PERSON'!$D$17:$D$192,GH$18)</f>
        <v>0</v>
      </c>
      <c r="GI51" s="940">
        <f>SUMIFS('5. PERSON'!$AE$17:$AE$192,'5. PERSON'!$B$17:$B$192,'14. EUFP'!$B51,'5. PERSON'!$D$17:$D$192,GI$18)</f>
        <v>0</v>
      </c>
      <c r="GJ51" s="940">
        <f>SUMIFS('5. PERSON'!$AE$17:$AE$192,'5. PERSON'!$B$17:$B$192,'14. EUFP'!$B51,'5. PERSON'!$D$17:$D$192,GJ$18)</f>
        <v>0</v>
      </c>
      <c r="GK51" s="940">
        <f>SUMIFS('5. PERSON'!$AE$17:$AE$192,'5. PERSON'!$B$17:$B$192,'14. EUFP'!$B51,'5. PERSON'!$D$17:$D$192,GK$18)</f>
        <v>0</v>
      </c>
      <c r="GL51" s="940">
        <f t="shared" si="28"/>
        <v>0</v>
      </c>
    </row>
    <row r="52" spans="2:194" ht="13.5" customHeight="1" x14ac:dyDescent="0.2">
      <c r="B52" s="261" t="str">
        <f>'3. PARTNER'!B79</f>
        <v>EXT129</v>
      </c>
      <c r="C52" s="262">
        <f>SUMIF('5. PERSON'!B$17:B$192,B52,'5. PERSON'!AR$17:AR$192)</f>
        <v>0</v>
      </c>
      <c r="D52" s="262">
        <f>SUMIFS('5. PERSON'!$AR$17:$AR$192,'5. PERSON'!$B$17:$B$192,$B52,'5. PERSON'!$D$17:$D$192,D$18)</f>
        <v>0</v>
      </c>
      <c r="E52" s="262">
        <f>SUMIFS('5. PERSON'!$AR$17:$AR$192,'5. PERSON'!$B$17:$B$192,$B52,'5. PERSON'!$D$17:$D$192,E$18)</f>
        <v>0</v>
      </c>
      <c r="F52" s="262">
        <f>SUMIFS('5. PERSON'!$AR$17:$AR$192,'5. PERSON'!$B$17:$B$192,$B52,'5. PERSON'!$D$17:$D$192,F$18)</f>
        <v>0</v>
      </c>
      <c r="G52" s="262">
        <f>SUMIFS('5. PERSON'!$AR$17:$AR$192,'5. PERSON'!$B$17:$B$192,$B52,'5. PERSON'!$D$17:$D$192,G$18)</f>
        <v>0</v>
      </c>
      <c r="H52" s="262">
        <f>SUMIFS('5. PERSON'!$AR$17:$AR$192,'5. PERSON'!$B$17:$B$192,$B52,'5. PERSON'!$D$17:$D$192,H$18)</f>
        <v>0</v>
      </c>
      <c r="I52" s="262">
        <f>SUMIFS('5. PERSON'!$AR$17:$AR$192,'5. PERSON'!$B$17:$B$192,$B52,'5. PERSON'!$D$17:$D$192,I$18)</f>
        <v>0</v>
      </c>
      <c r="J52" s="262">
        <f>SUMIFS('5. PERSON'!$AR$17:$AR$192,'5. PERSON'!$B$17:$B$192,$B52,'5. PERSON'!$D$17:$D$192,J$18)</f>
        <v>0</v>
      </c>
      <c r="K52" s="262">
        <f>SUMIFS('5. PERSON'!$AR$17:$AR$192,'5. PERSON'!$B$17:$B$192,$B52,'5. PERSON'!$D$17:$D$192,K$18)</f>
        <v>0</v>
      </c>
      <c r="L52" s="262">
        <f>SUMIFS('5. PERSON'!$AR$17:$AR$192,'5. PERSON'!$B$17:$B$192,$B52,'5. PERSON'!$D$17:$D$192,L$18)</f>
        <v>0</v>
      </c>
      <c r="M52" s="262">
        <f>SUMIFS('5. PERSON'!$AR$17:$AR$192,'5. PERSON'!$B$17:$B$192,$B52,'5. PERSON'!$D$17:$D$192,M$18)</f>
        <v>0</v>
      </c>
      <c r="N52" s="262">
        <f>SUMIFS('5. PERSON'!$AR$17:$AR$192,'5. PERSON'!$B$17:$B$192,$B52,'5. PERSON'!$D$17:$D$192,N$18)</f>
        <v>0</v>
      </c>
      <c r="O52" s="262">
        <f>SUMIFS('5. PERSON'!$AR$17:$AR$192,'5. PERSON'!$B$17:$B$192,$B52,'5. PERSON'!$D$17:$D$192,O$18)</f>
        <v>0</v>
      </c>
      <c r="P52" s="262">
        <f>SUMIFS('5. PERSON'!$AR$17:$AR$192,'5. PERSON'!$B$17:$B$192,$B52,'5. PERSON'!$D$17:$D$192,P$18)</f>
        <v>0</v>
      </c>
      <c r="Q52" s="262">
        <f>SUMIFS('5. PERSON'!$AR$17:$AR$192,'5. PERSON'!$B$17:$B$192,$B52,'5. PERSON'!$D$17:$D$192,Q$18)</f>
        <v>0</v>
      </c>
      <c r="R52" s="262">
        <f>SUMIFS('5. PERSON'!$AR$17:$AR$192,'5. PERSON'!$B$17:$B$192,$B52,'5. PERSON'!$D$17:$D$192,R$18)</f>
        <v>0</v>
      </c>
      <c r="S52" s="262">
        <f>SUMIFS('5. PERSON'!$AR$17:$AR$192,'5. PERSON'!$B$17:$B$192,$B52,'5. PERSON'!$D$17:$D$192,S$18)</f>
        <v>0</v>
      </c>
      <c r="T52" s="262">
        <f>SUMIFS('5. PERSON'!$AR$17:$AR$192,'5. PERSON'!$B$17:$B$192,$B52,'5. PERSON'!$D$17:$D$192,T$18)</f>
        <v>0</v>
      </c>
      <c r="U52" s="262">
        <f>SUMIFS('5. PERSON'!$AR$17:$AR$192,'5. PERSON'!$B$17:$B$192,$B52,'5. PERSON'!$D$17:$D$192,U$18)</f>
        <v>0</v>
      </c>
      <c r="V52" s="262">
        <f>SUMIFS('5. PERSON'!$AR$17:$AR$192,'5. PERSON'!$B$17:$B$192,$B52,'5. PERSON'!$D$17:$D$192,V$18)</f>
        <v>0</v>
      </c>
      <c r="W52" s="262">
        <f>SUMIFS('5. PERSON'!$AR$17:$AR$192,'5. PERSON'!$B$17:$B$192,$B52,'5. PERSON'!$D$17:$D$192,W$18)</f>
        <v>0</v>
      </c>
      <c r="X52" s="262">
        <f>SUMIFS('6. OPERATION'!R$17:R$149,'6. OPERATION'!B$17:B$149,B52,'6. OPERATION'!G$17:G$149,"SUBCON")</f>
        <v>0</v>
      </c>
      <c r="Y52" s="262">
        <f>SUMIFS('6. OPERATION'!$R$17:$R$149,'6. OPERATION'!$B$17:$B$149,$B52,'6. OPERATION'!$G$17:$G$149,"SUBCON",'6. OPERATION'!$D$17:$D$149,Y$18)</f>
        <v>0</v>
      </c>
      <c r="Z52" s="262">
        <f>SUMIFS('6. OPERATION'!$R$17:$R$149,'6. OPERATION'!$B$17:$B$149,$B52,'6. OPERATION'!$G$17:$G$149,"SUBCON",'6. OPERATION'!$D$17:$D$149,Z$18)</f>
        <v>0</v>
      </c>
      <c r="AA52" s="262">
        <f>SUMIFS('6. OPERATION'!$R$17:$R$149,'6. OPERATION'!$B$17:$B$149,$B52,'6. OPERATION'!$G$17:$G$149,"SUBCON",'6. OPERATION'!$D$17:$D$149,AA$18)</f>
        <v>0</v>
      </c>
      <c r="AB52" s="262">
        <f>SUMIFS('6. OPERATION'!$R$17:$R$149,'6. OPERATION'!$B$17:$B$149,$B52,'6. OPERATION'!$G$17:$G$149,"SUBCON",'6. OPERATION'!$D$17:$D$149,AB$18)</f>
        <v>0</v>
      </c>
      <c r="AC52" s="262">
        <f>SUMIFS('6. OPERATION'!$R$17:$R$149,'6. OPERATION'!$B$17:$B$149,$B52,'6. OPERATION'!$G$17:$G$149,"SUBCON",'6. OPERATION'!$D$17:$D$149,AC$18)</f>
        <v>0</v>
      </c>
      <c r="AD52" s="262">
        <f>SUMIFS('6. OPERATION'!$R$17:$R$149,'6. OPERATION'!$B$17:$B$149,$B52,'6. OPERATION'!$G$17:$G$149,"SUBCON",'6. OPERATION'!$D$17:$D$149,AD$18)</f>
        <v>0</v>
      </c>
      <c r="AE52" s="262">
        <f>SUMIFS('6. OPERATION'!$R$17:$R$149,'6. OPERATION'!$B$17:$B$149,$B52,'6. OPERATION'!$G$17:$G$149,"SUBCON",'6. OPERATION'!$D$17:$D$149,AE$18)</f>
        <v>0</v>
      </c>
      <c r="AF52" s="262">
        <f>SUMIFS('6. OPERATION'!$R$17:$R$149,'6. OPERATION'!$B$17:$B$149,$B52,'6. OPERATION'!$G$17:$G$149,"SUBCON",'6. OPERATION'!$D$17:$D$149,AF$18)</f>
        <v>0</v>
      </c>
      <c r="AG52" s="262">
        <f>SUMIFS('6. OPERATION'!$R$17:$R$149,'6. OPERATION'!$B$17:$B$149,$B52,'6. OPERATION'!$G$17:$G$149,"SUBCON",'6. OPERATION'!$D$17:$D$149,AG$18)</f>
        <v>0</v>
      </c>
      <c r="AH52" s="262">
        <f>SUMIFS('6. OPERATION'!$R$17:$R$149,'6. OPERATION'!$B$17:$B$149,$B52,'6. OPERATION'!$G$17:$G$149,"SUBCON",'6. OPERATION'!$D$17:$D$149,AH$18)</f>
        <v>0</v>
      </c>
      <c r="AI52" s="262">
        <f>SUMIFS('6. OPERATION'!$R$17:$R$149,'6. OPERATION'!$B$17:$B$149,$B52,'6. OPERATION'!$G$17:$G$149,"SUBCON",'6. OPERATION'!$D$17:$D$149,AI$18)</f>
        <v>0</v>
      </c>
      <c r="AJ52" s="262">
        <f>SUMIFS('6. OPERATION'!$R$17:$R$149,'6. OPERATION'!$B$17:$B$149,$B52,'6. OPERATION'!$G$17:$G$149,"SUBCON",'6. OPERATION'!$D$17:$D$149,AJ$18)</f>
        <v>0</v>
      </c>
      <c r="AK52" s="262">
        <f>SUMIFS('6. OPERATION'!$R$17:$R$149,'6. OPERATION'!$B$17:$B$149,$B52,'6. OPERATION'!$G$17:$G$149,"SUBCON",'6. OPERATION'!$D$17:$D$149,AK$18)</f>
        <v>0</v>
      </c>
      <c r="AL52" s="262">
        <f>SUMIFS('6. OPERATION'!$R$17:$R$149,'6. OPERATION'!$B$17:$B$149,$B52,'6. OPERATION'!$G$17:$G$149,"SUBCON",'6. OPERATION'!$D$17:$D$149,AL$18)</f>
        <v>0</v>
      </c>
      <c r="AM52" s="262">
        <f>SUMIFS('6. OPERATION'!$R$17:$R$149,'6. OPERATION'!$B$17:$B$149,$B52,'6. OPERATION'!$G$17:$G$149,"SUBCON",'6. OPERATION'!$D$17:$D$149,AM$18)</f>
        <v>0</v>
      </c>
      <c r="AN52" s="262">
        <f>SUMIFS('6. OPERATION'!$R$17:$R$149,'6. OPERATION'!$B$17:$B$149,$B52,'6. OPERATION'!$G$17:$G$149,"SUBCON",'6. OPERATION'!$D$17:$D$149,AN$18)</f>
        <v>0</v>
      </c>
      <c r="AO52" s="262">
        <f>SUMIFS('6. OPERATION'!$R$17:$R$149,'6. OPERATION'!$B$17:$B$149,$B52,'6. OPERATION'!$G$17:$G$149,"SUBCON",'6. OPERATION'!$D$17:$D$149,AO$18)</f>
        <v>0</v>
      </c>
      <c r="AP52" s="262">
        <f>SUMIFS('6. OPERATION'!$R$17:$R$149,'6. OPERATION'!$B$17:$B$149,$B52,'6. OPERATION'!$G$17:$G$149,"SUBCON",'6. OPERATION'!$D$17:$D$149,AP$18)</f>
        <v>0</v>
      </c>
      <c r="AQ52" s="262">
        <f>SUMIFS('6. OPERATION'!$R$17:$R$149,'6. OPERATION'!$B$17:$B$149,$B52,'6. OPERATION'!$G$17:$G$149,"SUBCON",'6. OPERATION'!$D$17:$D$149,AQ$18)</f>
        <v>0</v>
      </c>
      <c r="AR52" s="262">
        <f>SUMIFS('6. OPERATION'!$R$17:$R$149,'6. OPERATION'!$B$17:$B$149,$B52,'6. OPERATION'!$G$17:$G$149,"SUBCON",'6. OPERATION'!$D$17:$D$149,AR$18)</f>
        <v>0</v>
      </c>
      <c r="AS52" s="262">
        <f>SUMIFS('6. OPERATION'!R$17:R$149,'6. OPERATION'!B$17:B$149,B52,'6. OPERATION'!G$17:G$149,"TRAVEL")</f>
        <v>0</v>
      </c>
      <c r="AT52" s="262">
        <f>SUMIFS('6. OPERATION'!$R$17:$R$149,'6. OPERATION'!$B$17:$B$149,$B52,'6. OPERATION'!$G$17:$G$149,"TRAVEL",'6. OPERATION'!$D$17:$D$149,AT$18)</f>
        <v>0</v>
      </c>
      <c r="AU52" s="262">
        <f>SUMIFS('6. OPERATION'!$R$17:$R$149,'6. OPERATION'!$B$17:$B$149,$B52,'6. OPERATION'!$G$17:$G$149,"TRAVEL",'6. OPERATION'!$D$17:$D$149,AU$18)</f>
        <v>0</v>
      </c>
      <c r="AV52" s="262">
        <f>SUMIFS('6. OPERATION'!$R$17:$R$149,'6. OPERATION'!$B$17:$B$149,$B52,'6. OPERATION'!$G$17:$G$149,"TRAVEL",'6. OPERATION'!$D$17:$D$149,AV$18)</f>
        <v>0</v>
      </c>
      <c r="AW52" s="262">
        <f>SUMIFS('6. OPERATION'!$R$17:$R$149,'6. OPERATION'!$B$17:$B$149,$B52,'6. OPERATION'!$G$17:$G$149,"TRAVEL",'6. OPERATION'!$D$17:$D$149,AW$18)</f>
        <v>0</v>
      </c>
      <c r="AX52" s="262">
        <f>SUMIFS('6. OPERATION'!$R$17:$R$149,'6. OPERATION'!$B$17:$B$149,$B52,'6. OPERATION'!$G$17:$G$149,"TRAVEL",'6. OPERATION'!$D$17:$D$149,AX$18)</f>
        <v>0</v>
      </c>
      <c r="AY52" s="262">
        <f>SUMIFS('6. OPERATION'!$R$17:$R$149,'6. OPERATION'!$B$17:$B$149,$B52,'6. OPERATION'!$G$17:$G$149,"TRAVEL",'6. OPERATION'!$D$17:$D$149,AY$18)</f>
        <v>0</v>
      </c>
      <c r="AZ52" s="262">
        <f>SUMIFS('6. OPERATION'!$R$17:$R$149,'6. OPERATION'!$B$17:$B$149,$B52,'6. OPERATION'!$G$17:$G$149,"TRAVEL",'6. OPERATION'!$D$17:$D$149,AZ$18)</f>
        <v>0</v>
      </c>
      <c r="BA52" s="262">
        <f>SUMIFS('6. OPERATION'!$R$17:$R$149,'6. OPERATION'!$B$17:$B$149,$B52,'6. OPERATION'!$G$17:$G$149,"TRAVEL",'6. OPERATION'!$D$17:$D$149,BA$18)</f>
        <v>0</v>
      </c>
      <c r="BB52" s="262">
        <f>SUMIFS('6. OPERATION'!$R$17:$R$149,'6. OPERATION'!$B$17:$B$149,$B52,'6. OPERATION'!$G$17:$G$149,"TRAVEL",'6. OPERATION'!$D$17:$D$149,BB$18)</f>
        <v>0</v>
      </c>
      <c r="BC52" s="262">
        <f>SUMIFS('6. OPERATION'!$R$17:$R$149,'6. OPERATION'!$B$17:$B$149,$B52,'6. OPERATION'!$G$17:$G$149,"TRAVEL",'6. OPERATION'!$D$17:$D$149,BC$18)</f>
        <v>0</v>
      </c>
      <c r="BD52" s="262">
        <f>SUMIFS('6. OPERATION'!$R$17:$R$149,'6. OPERATION'!$B$17:$B$149,$B52,'6. OPERATION'!$G$17:$G$149,"TRAVEL",'6. OPERATION'!$D$17:$D$149,BD$18)</f>
        <v>0</v>
      </c>
      <c r="BE52" s="262">
        <f>SUMIFS('6. OPERATION'!$R$17:$R$149,'6. OPERATION'!$B$17:$B$149,$B52,'6. OPERATION'!$G$17:$G$149,"TRAVEL",'6. OPERATION'!$D$17:$D$149,BE$18)</f>
        <v>0</v>
      </c>
      <c r="BF52" s="262">
        <f>SUMIFS('6. OPERATION'!$R$17:$R$149,'6. OPERATION'!$B$17:$B$149,$B52,'6. OPERATION'!$G$17:$G$149,"TRAVEL",'6. OPERATION'!$D$17:$D$149,BF$18)</f>
        <v>0</v>
      </c>
      <c r="BG52" s="262">
        <f>SUMIFS('6. OPERATION'!$R$17:$R$149,'6. OPERATION'!$B$17:$B$149,$B52,'6. OPERATION'!$G$17:$G$149,"TRAVEL",'6. OPERATION'!$D$17:$D$149,BG$18)</f>
        <v>0</v>
      </c>
      <c r="BH52" s="262">
        <f>SUMIFS('6. OPERATION'!$R$17:$R$149,'6. OPERATION'!$B$17:$B$149,$B52,'6. OPERATION'!$G$17:$G$149,"TRAVEL",'6. OPERATION'!$D$17:$D$149,BH$18)</f>
        <v>0</v>
      </c>
      <c r="BI52" s="262">
        <f>SUMIFS('6. OPERATION'!$R$17:$R$149,'6. OPERATION'!$B$17:$B$149,$B52,'6. OPERATION'!$G$17:$G$149,"TRAVEL",'6. OPERATION'!$D$17:$D$149,BI$18)</f>
        <v>0</v>
      </c>
      <c r="BJ52" s="262">
        <f>SUMIFS('6. OPERATION'!$R$17:$R$149,'6. OPERATION'!$B$17:$B$149,$B52,'6. OPERATION'!$G$17:$G$149,"TRAVEL",'6. OPERATION'!$D$17:$D$149,BJ$18)</f>
        <v>0</v>
      </c>
      <c r="BK52" s="262">
        <f>SUMIFS('6. OPERATION'!$R$17:$R$149,'6. OPERATION'!$B$17:$B$149,$B52,'6. OPERATION'!$G$17:$G$149,"TRAVEL",'6. OPERATION'!$D$17:$D$149,BK$18)</f>
        <v>0</v>
      </c>
      <c r="BL52" s="262">
        <f>SUMIFS('6. OPERATION'!$R$17:$R$149,'6. OPERATION'!$B$17:$B$149,$B52,'6. OPERATION'!$G$17:$G$149,"TRAVEL",'6. OPERATION'!$D$17:$D$149,BL$18)</f>
        <v>0</v>
      </c>
      <c r="BM52" s="262">
        <f>SUMIFS('6. OPERATION'!$R$17:$R$149,'6. OPERATION'!$B$17:$B$149,$B52,'6. OPERATION'!$G$17:$G$149,"TRAVEL",'6. OPERATION'!$D$17:$D$149,BM$18)</f>
        <v>0</v>
      </c>
      <c r="BN52" s="262">
        <f>SUMIF('7. INVEST'!B$17:B$49,B52,'7. INVEST'!S$17:S$49)</f>
        <v>0</v>
      </c>
      <c r="BO52" s="262">
        <f>SUMIFS('7. INVEST'!$S$17:$S$49,'7. INVEST'!$B$17:$B$49,$B52,'7. INVEST'!$D$17:$D$49,BO$18)</f>
        <v>0</v>
      </c>
      <c r="BP52" s="262">
        <f>SUMIFS('7. INVEST'!$S$17:$S$49,'7. INVEST'!$B$17:$B$49,$B52,'7. INVEST'!$D$17:$D$49,BP$18)</f>
        <v>0</v>
      </c>
      <c r="BQ52" s="262">
        <f>SUMIFS('7. INVEST'!$S$17:$S$49,'7. INVEST'!$B$17:$B$49,$B52,'7. INVEST'!$D$17:$D$49,BQ$18)</f>
        <v>0</v>
      </c>
      <c r="BR52" s="262">
        <f>SUMIFS('7. INVEST'!$S$17:$S$49,'7. INVEST'!$B$17:$B$49,$B52,'7. INVEST'!$D$17:$D$49,BR$18)</f>
        <v>0</v>
      </c>
      <c r="BS52" s="262">
        <f>SUMIFS('7. INVEST'!$S$17:$S$49,'7. INVEST'!$B$17:$B$49,$B52,'7. INVEST'!$D$17:$D$49,BS$18)</f>
        <v>0</v>
      </c>
      <c r="BT52" s="262">
        <f>SUMIFS('7. INVEST'!$S$17:$S$49,'7. INVEST'!$B$17:$B$49,$B52,'7. INVEST'!$D$17:$D$49,BT$18)</f>
        <v>0</v>
      </c>
      <c r="BU52" s="262">
        <f>SUMIFS('7. INVEST'!$S$17:$S$49,'7. INVEST'!$B$17:$B$49,$B52,'7. INVEST'!$D$17:$D$49,BU$18)</f>
        <v>0</v>
      </c>
      <c r="BV52" s="262">
        <f>SUMIFS('7. INVEST'!$S$17:$S$49,'7. INVEST'!$B$17:$B$49,$B52,'7. INVEST'!$D$17:$D$49,BV$18)</f>
        <v>0</v>
      </c>
      <c r="BW52" s="262">
        <f>SUMIFS('7. INVEST'!$S$17:$S$49,'7. INVEST'!$B$17:$B$49,$B52,'7. INVEST'!$D$17:$D$49,BW$18)</f>
        <v>0</v>
      </c>
      <c r="BX52" s="262">
        <f>SUMIFS('7. INVEST'!$S$17:$S$49,'7. INVEST'!$B$17:$B$49,$B52,'7. INVEST'!$D$17:$D$49,BX$18)</f>
        <v>0</v>
      </c>
      <c r="BY52" s="262">
        <f>SUMIFS('7. INVEST'!$S$17:$S$49,'7. INVEST'!$B$17:$B$49,$B52,'7. INVEST'!$D$17:$D$49,BY$18)</f>
        <v>0</v>
      </c>
      <c r="BZ52" s="262">
        <f>SUMIFS('7. INVEST'!$S$17:$S$49,'7. INVEST'!$B$17:$B$49,$B52,'7. INVEST'!$D$17:$D$49,BZ$18)</f>
        <v>0</v>
      </c>
      <c r="CA52" s="262">
        <f>SUMIFS('7. INVEST'!$S$17:$S$49,'7. INVEST'!$B$17:$B$49,$B52,'7. INVEST'!$D$17:$D$49,CA$18)</f>
        <v>0</v>
      </c>
      <c r="CB52" s="262">
        <f>SUMIFS('7. INVEST'!$S$17:$S$49,'7. INVEST'!$B$17:$B$49,$B52,'7. INVEST'!$D$17:$D$49,CB$18)</f>
        <v>0</v>
      </c>
      <c r="CC52" s="262">
        <f>SUMIFS('7. INVEST'!$S$17:$S$49,'7. INVEST'!$B$17:$B$49,$B52,'7. INVEST'!$D$17:$D$49,CC$18)</f>
        <v>0</v>
      </c>
      <c r="CD52" s="262">
        <f>SUMIFS('7. INVEST'!$S$17:$S$49,'7. INVEST'!$B$17:$B$49,$B52,'7. INVEST'!$D$17:$D$49,CD$18)</f>
        <v>0</v>
      </c>
      <c r="CE52" s="262">
        <f>SUMIFS('7. INVEST'!$S$17:$S$49,'7. INVEST'!$B$17:$B$49,$B52,'7. INVEST'!$D$17:$D$49,CE$18)</f>
        <v>0</v>
      </c>
      <c r="CF52" s="262">
        <f>SUMIFS('7. INVEST'!$S$17:$S$49,'7. INVEST'!$B$17:$B$49,$B52,'7. INVEST'!$D$17:$D$49,CF$18)</f>
        <v>0</v>
      </c>
      <c r="CG52" s="262">
        <f>SUMIFS('7. INVEST'!$S$17:$S$49,'7. INVEST'!$B$17:$B$49,$B52,'7. INVEST'!$D$17:$D$49,CG$18)</f>
        <v>0</v>
      </c>
      <c r="CH52" s="262">
        <f>SUMIFS('7. INVEST'!$S$17:$S$49,'7. INVEST'!$B$17:$B$49,$B52,'7. INVEST'!$D$17:$D$49,CH$18)</f>
        <v>0</v>
      </c>
      <c r="CI52" s="262">
        <f>SUMIFS('6. OPERATION'!$R$17:$R$149,'6. OPERATION'!$B$17:$B$149,$B52,'6. OPERATION'!$G$17:$G$149,"OTHER")+SUMIF('8. FACILIT'!$B$18:$B$50,$B52,'8. FACILIT'!$P$18:$P$50)</f>
        <v>0</v>
      </c>
      <c r="CJ52" s="262">
        <f>SUMIFS('6. OPERATION'!$R$17:$R$149,'6. OPERATION'!$B$17:$B$149,$B52,'6. OPERATION'!$G$17:$G$149,"OTHER",'6. OPERATION'!$D$17:$D$149,CJ$18)+SUMIFS('8. FACILIT'!$P$18:$P$50,'8. FACILIT'!$B$18:$B$50,$B52,'8. FACILIT'!$D$18:$D$50,CJ$18)</f>
        <v>0</v>
      </c>
      <c r="CK52" s="262">
        <f>SUMIFS('6. OPERATION'!$R$17:$R$149,'6. OPERATION'!$B$17:$B$149,$B52,'6. OPERATION'!$G$17:$G$149,"OTHER",'6. OPERATION'!$D$17:$D$149,CK$18)+SUMIFS('8. FACILIT'!$P$18:$P$50,'8. FACILIT'!$B$18:$B$50,$B52,'8. FACILIT'!$D$18:$D$50,CK$18)</f>
        <v>0</v>
      </c>
      <c r="CL52" s="262">
        <f>SUMIFS('6. OPERATION'!$R$17:$R$149,'6. OPERATION'!$B$17:$B$149,$B52,'6. OPERATION'!$G$17:$G$149,"OTHER",'6. OPERATION'!$D$17:$D$149,CL$18)+SUMIFS('8. FACILIT'!$P$18:$P$50,'8. FACILIT'!$B$18:$B$50,$B52,'8. FACILIT'!$D$18:$D$50,CL$18)</f>
        <v>0</v>
      </c>
      <c r="CM52" s="262">
        <f>SUMIFS('6. OPERATION'!$R$17:$R$149,'6. OPERATION'!$B$17:$B$149,$B52,'6. OPERATION'!$G$17:$G$149,"OTHER",'6. OPERATION'!$D$17:$D$149,CM$18)+SUMIFS('8. FACILIT'!$P$18:$P$50,'8. FACILIT'!$B$18:$B$50,$B52,'8. FACILIT'!$D$18:$D$50,CM$18)</f>
        <v>0</v>
      </c>
      <c r="CN52" s="262">
        <f>SUMIFS('6. OPERATION'!$R$17:$R$149,'6. OPERATION'!$B$17:$B$149,$B52,'6. OPERATION'!$G$17:$G$149,"OTHER",'6. OPERATION'!$D$17:$D$149,CN$18)+SUMIFS('8. FACILIT'!$P$18:$P$50,'8. FACILIT'!$B$18:$B$50,$B52,'8. FACILIT'!$D$18:$D$50,CN$18)</f>
        <v>0</v>
      </c>
      <c r="CO52" s="262">
        <f>SUMIFS('6. OPERATION'!$R$17:$R$149,'6. OPERATION'!$B$17:$B$149,$B52,'6. OPERATION'!$G$17:$G$149,"OTHER",'6. OPERATION'!$D$17:$D$149,CO$18)+SUMIFS('8. FACILIT'!$P$18:$P$50,'8. FACILIT'!$B$18:$B$50,$B52,'8. FACILIT'!$D$18:$D$50,CO$18)</f>
        <v>0</v>
      </c>
      <c r="CP52" s="262">
        <f>SUMIFS('6. OPERATION'!$R$17:$R$149,'6. OPERATION'!$B$17:$B$149,$B52,'6. OPERATION'!$G$17:$G$149,"OTHER",'6. OPERATION'!$D$17:$D$149,CP$18)+SUMIFS('8. FACILIT'!$P$18:$P$50,'8. FACILIT'!$B$18:$B$50,$B52,'8. FACILIT'!$D$18:$D$50,CP$18)</f>
        <v>0</v>
      </c>
      <c r="CQ52" s="262">
        <f>SUMIFS('6. OPERATION'!$R$17:$R$149,'6. OPERATION'!$B$17:$B$149,$B52,'6. OPERATION'!$G$17:$G$149,"OTHER",'6. OPERATION'!$D$17:$D$149,CQ$18)+SUMIFS('8. FACILIT'!$P$18:$P$50,'8. FACILIT'!$B$18:$B$50,$B52,'8. FACILIT'!$D$18:$D$50,CQ$18)</f>
        <v>0</v>
      </c>
      <c r="CR52" s="262">
        <f>SUMIFS('6. OPERATION'!$R$17:$R$149,'6. OPERATION'!$B$17:$B$149,$B52,'6. OPERATION'!$G$17:$G$149,"OTHER",'6. OPERATION'!$D$17:$D$149,CR$18)+SUMIFS('8. FACILIT'!$P$18:$P$50,'8. FACILIT'!$B$18:$B$50,$B52,'8. FACILIT'!$D$18:$D$50,CR$18)</f>
        <v>0</v>
      </c>
      <c r="CS52" s="262">
        <f>SUMIFS('6. OPERATION'!$R$17:$R$149,'6. OPERATION'!$B$17:$B$149,$B52,'6. OPERATION'!$G$17:$G$149,"OTHER",'6. OPERATION'!$D$17:$D$149,CS$18)+SUMIFS('8. FACILIT'!$P$18:$P$50,'8. FACILIT'!$B$18:$B$50,$B52,'8. FACILIT'!$D$18:$D$50,CS$18)</f>
        <v>0</v>
      </c>
      <c r="CT52" s="262">
        <f>SUMIFS('6. OPERATION'!$R$17:$R$149,'6. OPERATION'!$B$17:$B$149,$B52,'6. OPERATION'!$G$17:$G$149,"OTHER",'6. OPERATION'!$D$17:$D$149,CT$18)+SUMIFS('8. FACILIT'!$P$18:$P$50,'8. FACILIT'!$B$18:$B$50,$B52,'8. FACILIT'!$D$18:$D$50,CT$18)</f>
        <v>0</v>
      </c>
      <c r="CU52" s="262">
        <f>SUMIFS('6. OPERATION'!$R$17:$R$149,'6. OPERATION'!$B$17:$B$149,$B52,'6. OPERATION'!$G$17:$G$149,"OTHER",'6. OPERATION'!$D$17:$D$149,CU$18)+SUMIFS('8. FACILIT'!$P$18:$P$50,'8. FACILIT'!$B$18:$B$50,$B52,'8. FACILIT'!$D$18:$D$50,CU$18)</f>
        <v>0</v>
      </c>
      <c r="CV52" s="262">
        <f>SUMIFS('6. OPERATION'!$R$17:$R$149,'6. OPERATION'!$B$17:$B$149,$B52,'6. OPERATION'!$G$17:$G$149,"OTHER",'6. OPERATION'!$D$17:$D$149,CV$18)+SUMIFS('8. FACILIT'!$P$18:$P$50,'8. FACILIT'!$B$18:$B$50,$B52,'8. FACILIT'!$D$18:$D$50,CV$18)</f>
        <v>0</v>
      </c>
      <c r="CW52" s="262">
        <f>SUMIFS('6. OPERATION'!$R$17:$R$149,'6. OPERATION'!$B$17:$B$149,$B52,'6. OPERATION'!$G$17:$G$149,"OTHER",'6. OPERATION'!$D$17:$D$149,CW$18)+SUMIFS('8. FACILIT'!$P$18:$P$50,'8. FACILIT'!$B$18:$B$50,$B52,'8. FACILIT'!$D$18:$D$50,CW$18)</f>
        <v>0</v>
      </c>
      <c r="CX52" s="262">
        <f>SUMIFS('6. OPERATION'!$R$17:$R$149,'6. OPERATION'!$B$17:$B$149,$B52,'6. OPERATION'!$G$17:$G$149,"OTHER",'6. OPERATION'!$D$17:$D$149,CX$18)+SUMIFS('8. FACILIT'!$P$18:$P$50,'8. FACILIT'!$B$18:$B$50,$B52,'8. FACILIT'!$D$18:$D$50,CX$18)</f>
        <v>0</v>
      </c>
      <c r="CY52" s="262">
        <f>SUMIFS('6. OPERATION'!$R$17:$R$149,'6. OPERATION'!$B$17:$B$149,$B52,'6. OPERATION'!$G$17:$G$149,"OTHER",'6. OPERATION'!$D$17:$D$149,CY$18)+SUMIFS('8. FACILIT'!$P$18:$P$50,'8. FACILIT'!$B$18:$B$50,$B52,'8. FACILIT'!$D$18:$D$50,CY$18)</f>
        <v>0</v>
      </c>
      <c r="CZ52" s="262">
        <f>SUMIFS('6. OPERATION'!$R$17:$R$149,'6. OPERATION'!$B$17:$B$149,$B52,'6. OPERATION'!$G$17:$G$149,"OTHER",'6. OPERATION'!$D$17:$D$149,CZ$18)+SUMIFS('8. FACILIT'!$P$18:$P$50,'8. FACILIT'!$B$18:$B$50,$B52,'8. FACILIT'!$D$18:$D$50,CZ$18)</f>
        <v>0</v>
      </c>
      <c r="DA52" s="262">
        <f>SUMIFS('6. OPERATION'!$R$17:$R$149,'6. OPERATION'!$B$17:$B$149,$B52,'6. OPERATION'!$G$17:$G$149,"OTHER",'6. OPERATION'!$D$17:$D$149,DA$18)+SUMIFS('8. FACILIT'!$P$18:$P$50,'8. FACILIT'!$B$18:$B$50,$B52,'8. FACILIT'!$D$18:$D$50,DA$18)</f>
        <v>0</v>
      </c>
      <c r="DB52" s="262">
        <f>SUMIFS('6. OPERATION'!$R$17:$R$149,'6. OPERATION'!$B$17:$B$149,$B52,'6. OPERATION'!$G$17:$G$149,"OTHER",'6. OPERATION'!$D$17:$D$149,DB$18)+SUMIFS('8. FACILIT'!$P$18:$P$50,'8. FACILIT'!$B$18:$B$50,$B52,'8. FACILIT'!$D$18:$D$50,DB$18)</f>
        <v>0</v>
      </c>
      <c r="DC52" s="262">
        <f>SUMIFS('6. OPERATION'!$R$17:$R$149,'6. OPERATION'!$B$17:$B$149,$B52,'6. OPERATION'!$G$17:$G$149,"OTHER",'6. OPERATION'!$D$17:$D$149,DC$18)+SUMIFS('8. FACILIT'!$P$18:$P$50,'8. FACILIT'!$B$18:$B$50,$B52,'8. FACILIT'!$D$18:$D$50,DC$18)</f>
        <v>0</v>
      </c>
      <c r="DD52" s="262">
        <f>SUMIFS('6. OPERATION'!R$17:R$149,'6. OPERATION'!B$17:B$149,B52,'6. OPERATION'!G$17:G$149,"INTERN")</f>
        <v>0</v>
      </c>
      <c r="DE52" s="262">
        <f>SUMIFS('6. OPERATION'!$R$17:$R$149,'6. OPERATION'!$B$17:$B$149,$B52,'6. OPERATION'!$G$17:$G$149,"INTERN",'6. OPERATION'!$D$17:$D$149,DE$18)</f>
        <v>0</v>
      </c>
      <c r="DF52" s="262">
        <f>SUMIFS('6. OPERATION'!$R$17:$R$149,'6. OPERATION'!$B$17:$B$149,$B52,'6. OPERATION'!$G$17:$G$149,"INTERN",'6. OPERATION'!$D$17:$D$149,DF$18)</f>
        <v>0</v>
      </c>
      <c r="DG52" s="262">
        <f>SUMIFS('6. OPERATION'!$R$17:$R$149,'6. OPERATION'!$B$17:$B$149,$B52,'6. OPERATION'!$G$17:$G$149,"INTERN",'6. OPERATION'!$D$17:$D$149,DG$18)</f>
        <v>0</v>
      </c>
      <c r="DH52" s="262">
        <f>SUMIFS('6. OPERATION'!$R$17:$R$149,'6. OPERATION'!$B$17:$B$149,$B52,'6. OPERATION'!$G$17:$G$149,"INTERN",'6. OPERATION'!$D$17:$D$149,DH$18)</f>
        <v>0</v>
      </c>
      <c r="DI52" s="262">
        <f>SUMIFS('6. OPERATION'!$R$17:$R$149,'6. OPERATION'!$B$17:$B$149,$B52,'6. OPERATION'!$G$17:$G$149,"INTERN",'6. OPERATION'!$D$17:$D$149,DI$18)</f>
        <v>0</v>
      </c>
      <c r="DJ52" s="262">
        <f>SUMIFS('6. OPERATION'!$R$17:$R$149,'6. OPERATION'!$B$17:$B$149,$B52,'6. OPERATION'!$G$17:$G$149,"INTERN",'6. OPERATION'!$D$17:$D$149,DJ$18)</f>
        <v>0</v>
      </c>
      <c r="DK52" s="262">
        <f>SUMIFS('6. OPERATION'!$R$17:$R$149,'6. OPERATION'!$B$17:$B$149,$B52,'6. OPERATION'!$G$17:$G$149,"INTERN",'6. OPERATION'!$D$17:$D$149,DK$18)</f>
        <v>0</v>
      </c>
      <c r="DL52" s="262">
        <f>SUMIFS('6. OPERATION'!$R$17:$R$149,'6. OPERATION'!$B$17:$B$149,$B52,'6. OPERATION'!$G$17:$G$149,"INTERN",'6. OPERATION'!$D$17:$D$149,DL$18)</f>
        <v>0</v>
      </c>
      <c r="DM52" s="262">
        <f>SUMIFS('6. OPERATION'!$R$17:$R$149,'6. OPERATION'!$B$17:$B$149,$B52,'6. OPERATION'!$G$17:$G$149,"INTERN",'6. OPERATION'!$D$17:$D$149,DM$18)</f>
        <v>0</v>
      </c>
      <c r="DN52" s="262">
        <f>SUMIFS('6. OPERATION'!$R$17:$R$149,'6. OPERATION'!$B$17:$B$149,$B52,'6. OPERATION'!$G$17:$G$149,"INTERN",'6. OPERATION'!$D$17:$D$149,DN$18)</f>
        <v>0</v>
      </c>
      <c r="DO52" s="262">
        <f>SUMIFS('6. OPERATION'!$R$17:$R$149,'6. OPERATION'!$B$17:$B$149,$B52,'6. OPERATION'!$G$17:$G$149,"INTERN",'6. OPERATION'!$D$17:$D$149,DO$18)</f>
        <v>0</v>
      </c>
      <c r="DP52" s="262">
        <f>SUMIFS('6. OPERATION'!$R$17:$R$149,'6. OPERATION'!$B$17:$B$149,$B52,'6. OPERATION'!$G$17:$G$149,"INTERN",'6. OPERATION'!$D$17:$D$149,DP$18)</f>
        <v>0</v>
      </c>
      <c r="DQ52" s="262">
        <f>SUMIFS('6. OPERATION'!$R$17:$R$149,'6. OPERATION'!$B$17:$B$149,$B52,'6. OPERATION'!$G$17:$G$149,"INTERN",'6. OPERATION'!$D$17:$D$149,DQ$18)</f>
        <v>0</v>
      </c>
      <c r="DR52" s="262">
        <f>SUMIFS('6. OPERATION'!$R$17:$R$149,'6. OPERATION'!$B$17:$B$149,$B52,'6. OPERATION'!$G$17:$G$149,"INTERN",'6. OPERATION'!$D$17:$D$149,DR$18)</f>
        <v>0</v>
      </c>
      <c r="DS52" s="262">
        <f>SUMIFS('6. OPERATION'!$R$17:$R$149,'6. OPERATION'!$B$17:$B$149,$B52,'6. OPERATION'!$G$17:$G$149,"INTERN",'6. OPERATION'!$D$17:$D$149,DS$18)</f>
        <v>0</v>
      </c>
      <c r="DT52" s="262">
        <f>SUMIFS('6. OPERATION'!$R$17:$R$149,'6. OPERATION'!$B$17:$B$149,$B52,'6. OPERATION'!$G$17:$G$149,"INTERN",'6. OPERATION'!$D$17:$D$149,DT$18)</f>
        <v>0</v>
      </c>
      <c r="DU52" s="262">
        <f>SUMIFS('6. OPERATION'!$R$17:$R$149,'6. OPERATION'!$B$17:$B$149,$B52,'6. OPERATION'!$G$17:$G$149,"INTERN",'6. OPERATION'!$D$17:$D$149,DU$18)</f>
        <v>0</v>
      </c>
      <c r="DV52" s="262">
        <f>SUMIFS('6. OPERATION'!$R$17:$R$149,'6. OPERATION'!$B$17:$B$149,$B52,'6. OPERATION'!$G$17:$G$149,"INTERN",'6. OPERATION'!$D$17:$D$149,DV$18)</f>
        <v>0</v>
      </c>
      <c r="DW52" s="262">
        <f>SUMIFS('6. OPERATION'!$R$17:$R$149,'6. OPERATION'!$B$17:$B$149,$B52,'6. OPERATION'!$G$17:$G$149,"INTERN",'6. OPERATION'!$D$17:$D$149,DW$18)</f>
        <v>0</v>
      </c>
      <c r="DX52" s="262">
        <f>SUMIFS('6. OPERATION'!$R$17:$R$149,'6. OPERATION'!$B$17:$B$149,$B52,'6. OPERATION'!$G$17:$G$149,"INTERN",'6. OPERATION'!$D$17:$D$149,DX$18)</f>
        <v>0</v>
      </c>
      <c r="DY52" s="262">
        <f>(C52+AS52+BN52+CI52)*'2. START'!$C$12</f>
        <v>0</v>
      </c>
      <c r="DZ52" s="262">
        <f>(D52+AT52+BO52+CJ52)*'2. START'!$C$12</f>
        <v>0</v>
      </c>
      <c r="EA52" s="262">
        <f>(E52+AU52+BP52+CK52)*'2. START'!$C$12</f>
        <v>0</v>
      </c>
      <c r="EB52" s="262">
        <f>(F52+AV52+BQ52+CL52)*'2. START'!$C$12</f>
        <v>0</v>
      </c>
      <c r="EC52" s="262">
        <f>(G52+AW52+BR52+CM52)*'2. START'!$C$12</f>
        <v>0</v>
      </c>
      <c r="ED52" s="262">
        <f>(H52+AX52+BS52+CN52)*'2. START'!$C$12</f>
        <v>0</v>
      </c>
      <c r="EE52" s="262">
        <f>(I52+AY52+BT52+CO52)*'2. START'!$C$12</f>
        <v>0</v>
      </c>
      <c r="EF52" s="262">
        <f>(J52+AZ52+BU52+CP52)*'2. START'!$C$12</f>
        <v>0</v>
      </c>
      <c r="EG52" s="262">
        <f>(K52+BA52+BV52+CQ52)*'2. START'!$C$12</f>
        <v>0</v>
      </c>
      <c r="EH52" s="262">
        <f>(L52+BB52+BW52+CR52)*'2. START'!$C$12</f>
        <v>0</v>
      </c>
      <c r="EI52" s="262">
        <f>(M52+BC52+BX52+CS52)*'2. START'!$C$12</f>
        <v>0</v>
      </c>
      <c r="EJ52" s="262">
        <f>(N52+BD52+BY52+CT52)*'2. START'!$C$12</f>
        <v>0</v>
      </c>
      <c r="EK52" s="262">
        <f>(O52+BE52+BZ52+CU52)*'2. START'!$C$12</f>
        <v>0</v>
      </c>
      <c r="EL52" s="262">
        <f>(P52+BF52+CA52+CV52)*'2. START'!$C$12</f>
        <v>0</v>
      </c>
      <c r="EM52" s="262">
        <f>(Q52+BG52+CB52+CW52)*'2. START'!$C$12</f>
        <v>0</v>
      </c>
      <c r="EN52" s="262">
        <f>(R52+BH52+CC52+CX52)*'2. START'!$C$12</f>
        <v>0</v>
      </c>
      <c r="EO52" s="262">
        <f>(S52+BI52+CD52+CY52)*'2. START'!$C$12</f>
        <v>0</v>
      </c>
      <c r="EP52" s="262">
        <f>(T52+BJ52+CE52+CZ52)*'2. START'!$C$12</f>
        <v>0</v>
      </c>
      <c r="EQ52" s="262">
        <f>(U52+BK52+CF52+DA52)*'2. START'!$C$12</f>
        <v>0</v>
      </c>
      <c r="ER52" s="262">
        <f>(V52+BL52+CG52+DB52)*'2. START'!$C$12</f>
        <v>0</v>
      </c>
      <c r="ES52" s="262">
        <f>(W52+BM52+CH52+DC52)*'2. START'!$C$12</f>
        <v>0</v>
      </c>
      <c r="ET52" s="98">
        <f t="shared" si="4"/>
        <v>0</v>
      </c>
      <c r="EU52" s="98">
        <f t="shared" si="5"/>
        <v>0</v>
      </c>
      <c r="EV52" s="98">
        <f t="shared" si="6"/>
        <v>0</v>
      </c>
      <c r="EW52" s="98">
        <f t="shared" si="7"/>
        <v>0</v>
      </c>
      <c r="EX52" s="98">
        <f t="shared" si="8"/>
        <v>0</v>
      </c>
      <c r="EY52" s="98">
        <f t="shared" si="9"/>
        <v>0</v>
      </c>
      <c r="EZ52" s="98">
        <f t="shared" si="10"/>
        <v>0</v>
      </c>
      <c r="FA52" s="98">
        <f t="shared" si="11"/>
        <v>0</v>
      </c>
      <c r="FB52" s="98">
        <f t="shared" si="12"/>
        <v>0</v>
      </c>
      <c r="FC52" s="98">
        <f t="shared" si="13"/>
        <v>0</v>
      </c>
      <c r="FD52" s="98">
        <f t="shared" si="14"/>
        <v>0</v>
      </c>
      <c r="FE52" s="98">
        <f t="shared" si="18"/>
        <v>0</v>
      </c>
      <c r="FF52" s="98">
        <f t="shared" si="19"/>
        <v>0</v>
      </c>
      <c r="FG52" s="98">
        <f t="shared" si="20"/>
        <v>0</v>
      </c>
      <c r="FH52" s="98">
        <f t="shared" si="21"/>
        <v>0</v>
      </c>
      <c r="FI52" s="98">
        <f t="shared" si="22"/>
        <v>0</v>
      </c>
      <c r="FJ52" s="98">
        <f t="shared" si="23"/>
        <v>0</v>
      </c>
      <c r="FK52" s="98">
        <f t="shared" si="24"/>
        <v>0</v>
      </c>
      <c r="FL52" s="98">
        <f t="shared" si="25"/>
        <v>0</v>
      </c>
      <c r="FM52" s="98">
        <f t="shared" si="26"/>
        <v>0</v>
      </c>
      <c r="FN52" s="98">
        <f t="shared" si="27"/>
        <v>0</v>
      </c>
      <c r="FO52" s="272" t="str">
        <f t="shared" si="17"/>
        <v/>
      </c>
      <c r="FP52" s="98">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944">
        <f t="shared" si="16"/>
        <v>0</v>
      </c>
      <c r="FR52" s="941">
        <f>SUMIFS('5. PERSON'!$AE$17:$AE$192,'5. PERSON'!$B$17:$B$192,'14. EUFP'!$B52,'5. PERSON'!$D$17:$D$192,FR$18)</f>
        <v>0</v>
      </c>
      <c r="FS52" s="941">
        <f>SUMIFS('5. PERSON'!$AE$17:$AE$192,'5. PERSON'!$B$17:$B$192,'14. EUFP'!$B52,'5. PERSON'!$D$17:$D$192,FS$18)</f>
        <v>0</v>
      </c>
      <c r="FT52" s="941">
        <f>SUMIFS('5. PERSON'!$AE$17:$AE$192,'5. PERSON'!$B$17:$B$192,'14. EUFP'!$B52,'5. PERSON'!$D$17:$D$192,FT$18)</f>
        <v>0</v>
      </c>
      <c r="FU52" s="941">
        <f>SUMIFS('5. PERSON'!$AE$17:$AE$192,'5. PERSON'!$B$17:$B$192,'14. EUFP'!$B52,'5. PERSON'!$D$17:$D$192,FU$18)</f>
        <v>0</v>
      </c>
      <c r="FV52" s="941">
        <f>SUMIFS('5. PERSON'!$AE$17:$AE$192,'5. PERSON'!$B$17:$B$192,'14. EUFP'!$B52,'5. PERSON'!$D$17:$D$192,FV$18)</f>
        <v>0</v>
      </c>
      <c r="FW52" s="941">
        <f>SUMIFS('5. PERSON'!$AE$17:$AE$192,'5. PERSON'!$B$17:$B$192,'14. EUFP'!$B52,'5. PERSON'!$D$17:$D$192,FW$18)</f>
        <v>0</v>
      </c>
      <c r="FX52" s="941">
        <f>SUMIFS('5. PERSON'!$AE$17:$AE$192,'5. PERSON'!$B$17:$B$192,'14. EUFP'!$B52,'5. PERSON'!$D$17:$D$192,FX$18)</f>
        <v>0</v>
      </c>
      <c r="FY52" s="941">
        <f>SUMIFS('5. PERSON'!$AE$17:$AE$192,'5. PERSON'!$B$17:$B$192,'14. EUFP'!$B52,'5. PERSON'!$D$17:$D$192,FY$18)</f>
        <v>0</v>
      </c>
      <c r="FZ52" s="941">
        <f>SUMIFS('5. PERSON'!$AE$17:$AE$192,'5. PERSON'!$B$17:$B$192,'14. EUFP'!$B52,'5. PERSON'!$D$17:$D$192,FZ$18)</f>
        <v>0</v>
      </c>
      <c r="GA52" s="941">
        <f>SUMIFS('5. PERSON'!$AE$17:$AE$192,'5. PERSON'!$B$17:$B$192,'14. EUFP'!$B52,'5. PERSON'!$D$17:$D$192,GA$18)</f>
        <v>0</v>
      </c>
      <c r="GB52" s="941">
        <f>SUMIFS('5. PERSON'!$AE$17:$AE$192,'5. PERSON'!$B$17:$B$192,'14. EUFP'!$B52,'5. PERSON'!$D$17:$D$192,GB$18)</f>
        <v>0</v>
      </c>
      <c r="GC52" s="941">
        <f>SUMIFS('5. PERSON'!$AE$17:$AE$192,'5. PERSON'!$B$17:$B$192,'14. EUFP'!$B52,'5. PERSON'!$D$17:$D$192,GC$18)</f>
        <v>0</v>
      </c>
      <c r="GD52" s="941">
        <f>SUMIFS('5. PERSON'!$AE$17:$AE$192,'5. PERSON'!$B$17:$B$192,'14. EUFP'!$B52,'5. PERSON'!$D$17:$D$192,GD$18)</f>
        <v>0</v>
      </c>
      <c r="GE52" s="941">
        <f>SUMIFS('5. PERSON'!$AE$17:$AE$192,'5. PERSON'!$B$17:$B$192,'14. EUFP'!$B52,'5. PERSON'!$D$17:$D$192,GE$18)</f>
        <v>0</v>
      </c>
      <c r="GF52" s="941">
        <f>SUMIFS('5. PERSON'!$AE$17:$AE$192,'5. PERSON'!$B$17:$B$192,'14. EUFP'!$B52,'5. PERSON'!$D$17:$D$192,GF$18)</f>
        <v>0</v>
      </c>
      <c r="GG52" s="941">
        <f>SUMIFS('5. PERSON'!$AE$17:$AE$192,'5. PERSON'!$B$17:$B$192,'14. EUFP'!$B52,'5. PERSON'!$D$17:$D$192,GG$18)</f>
        <v>0</v>
      </c>
      <c r="GH52" s="941">
        <f>SUMIFS('5. PERSON'!$AE$17:$AE$192,'5. PERSON'!$B$17:$B$192,'14. EUFP'!$B52,'5. PERSON'!$D$17:$D$192,GH$18)</f>
        <v>0</v>
      </c>
      <c r="GI52" s="941">
        <f>SUMIFS('5. PERSON'!$AE$17:$AE$192,'5. PERSON'!$B$17:$B$192,'14. EUFP'!$B52,'5. PERSON'!$D$17:$D$192,GI$18)</f>
        <v>0</v>
      </c>
      <c r="GJ52" s="941">
        <f>SUMIFS('5. PERSON'!$AE$17:$AE$192,'5. PERSON'!$B$17:$B$192,'14. EUFP'!$B52,'5. PERSON'!$D$17:$D$192,GJ$18)</f>
        <v>0</v>
      </c>
      <c r="GK52" s="941">
        <f>SUMIFS('5. PERSON'!$AE$17:$AE$192,'5. PERSON'!$B$17:$B$192,'14. EUFP'!$B52,'5. PERSON'!$D$17:$D$192,GK$18)</f>
        <v>0</v>
      </c>
      <c r="GL52" s="941">
        <f t="shared" si="28"/>
        <v>0</v>
      </c>
    </row>
    <row r="53" spans="2:194" ht="13.5" customHeight="1" x14ac:dyDescent="0.25">
      <c r="B53" s="260" t="s">
        <v>113</v>
      </c>
      <c r="C53" s="87">
        <f>SUM(C23:C52)</f>
        <v>0</v>
      </c>
      <c r="D53" s="87">
        <f t="shared" ref="D53:W53" si="29">SUM(D23:D52)</f>
        <v>0</v>
      </c>
      <c r="E53" s="87">
        <f t="shared" si="29"/>
        <v>0</v>
      </c>
      <c r="F53" s="87">
        <f t="shared" si="29"/>
        <v>0</v>
      </c>
      <c r="G53" s="87">
        <f t="shared" si="29"/>
        <v>0</v>
      </c>
      <c r="H53" s="87">
        <f t="shared" si="29"/>
        <v>0</v>
      </c>
      <c r="I53" s="87">
        <f t="shared" si="29"/>
        <v>0</v>
      </c>
      <c r="J53" s="87">
        <f t="shared" si="29"/>
        <v>0</v>
      </c>
      <c r="K53" s="87">
        <f t="shared" si="29"/>
        <v>0</v>
      </c>
      <c r="L53" s="87">
        <f t="shared" si="29"/>
        <v>0</v>
      </c>
      <c r="M53" s="87">
        <f t="shared" si="29"/>
        <v>0</v>
      </c>
      <c r="N53" s="87">
        <f t="shared" si="29"/>
        <v>0</v>
      </c>
      <c r="O53" s="87">
        <f t="shared" si="29"/>
        <v>0</v>
      </c>
      <c r="P53" s="87">
        <f t="shared" si="29"/>
        <v>0</v>
      </c>
      <c r="Q53" s="87">
        <f t="shared" si="29"/>
        <v>0</v>
      </c>
      <c r="R53" s="87">
        <f t="shared" si="29"/>
        <v>0</v>
      </c>
      <c r="S53" s="87">
        <f t="shared" si="29"/>
        <v>0</v>
      </c>
      <c r="T53" s="87">
        <f t="shared" si="29"/>
        <v>0</v>
      </c>
      <c r="U53" s="87">
        <f t="shared" si="29"/>
        <v>0</v>
      </c>
      <c r="V53" s="87">
        <f t="shared" si="29"/>
        <v>0</v>
      </c>
      <c r="W53" s="87">
        <f t="shared" si="29"/>
        <v>0</v>
      </c>
      <c r="X53" s="87">
        <f t="shared" ref="X53:EU53" si="30">SUM(X23:X52)</f>
        <v>0</v>
      </c>
      <c r="Y53" s="87">
        <f t="shared" si="30"/>
        <v>0</v>
      </c>
      <c r="Z53" s="87">
        <f t="shared" si="30"/>
        <v>0</v>
      </c>
      <c r="AA53" s="87">
        <f t="shared" si="30"/>
        <v>0</v>
      </c>
      <c r="AB53" s="87">
        <f t="shared" si="30"/>
        <v>0</v>
      </c>
      <c r="AC53" s="87">
        <f t="shared" si="30"/>
        <v>0</v>
      </c>
      <c r="AD53" s="87">
        <f t="shared" si="30"/>
        <v>0</v>
      </c>
      <c r="AE53" s="87">
        <f t="shared" si="30"/>
        <v>0</v>
      </c>
      <c r="AF53" s="87">
        <f t="shared" si="30"/>
        <v>0</v>
      </c>
      <c r="AG53" s="87">
        <f t="shared" si="30"/>
        <v>0</v>
      </c>
      <c r="AH53" s="87">
        <f t="shared" si="30"/>
        <v>0</v>
      </c>
      <c r="AI53" s="87">
        <f t="shared" si="30"/>
        <v>0</v>
      </c>
      <c r="AJ53" s="87">
        <f t="shared" si="30"/>
        <v>0</v>
      </c>
      <c r="AK53" s="87">
        <f t="shared" si="30"/>
        <v>0</v>
      </c>
      <c r="AL53" s="87">
        <f t="shared" si="30"/>
        <v>0</v>
      </c>
      <c r="AM53" s="87">
        <f t="shared" si="30"/>
        <v>0</v>
      </c>
      <c r="AN53" s="87">
        <f t="shared" si="30"/>
        <v>0</v>
      </c>
      <c r="AO53" s="87">
        <f t="shared" si="30"/>
        <v>0</v>
      </c>
      <c r="AP53" s="87">
        <f t="shared" si="30"/>
        <v>0</v>
      </c>
      <c r="AQ53" s="87">
        <f t="shared" si="30"/>
        <v>0</v>
      </c>
      <c r="AR53" s="87">
        <f t="shared" si="30"/>
        <v>0</v>
      </c>
      <c r="AS53" s="87">
        <f t="shared" si="30"/>
        <v>0</v>
      </c>
      <c r="AT53" s="87">
        <f t="shared" si="30"/>
        <v>0</v>
      </c>
      <c r="AU53" s="87">
        <f t="shared" si="30"/>
        <v>0</v>
      </c>
      <c r="AV53" s="87">
        <f t="shared" si="30"/>
        <v>0</v>
      </c>
      <c r="AW53" s="87">
        <f t="shared" si="30"/>
        <v>0</v>
      </c>
      <c r="AX53" s="87">
        <f t="shared" si="30"/>
        <v>0</v>
      </c>
      <c r="AY53" s="87">
        <f t="shared" si="30"/>
        <v>0</v>
      </c>
      <c r="AZ53" s="87">
        <f t="shared" si="30"/>
        <v>0</v>
      </c>
      <c r="BA53" s="87">
        <f t="shared" si="30"/>
        <v>0</v>
      </c>
      <c r="BB53" s="87">
        <f t="shared" si="30"/>
        <v>0</v>
      </c>
      <c r="BC53" s="87">
        <f t="shared" si="30"/>
        <v>0</v>
      </c>
      <c r="BD53" s="87">
        <f t="shared" si="30"/>
        <v>0</v>
      </c>
      <c r="BE53" s="87">
        <f t="shared" si="30"/>
        <v>0</v>
      </c>
      <c r="BF53" s="87">
        <f t="shared" si="30"/>
        <v>0</v>
      </c>
      <c r="BG53" s="87">
        <f t="shared" si="30"/>
        <v>0</v>
      </c>
      <c r="BH53" s="87">
        <f t="shared" si="30"/>
        <v>0</v>
      </c>
      <c r="BI53" s="87">
        <f t="shared" si="30"/>
        <v>0</v>
      </c>
      <c r="BJ53" s="87">
        <f t="shared" si="30"/>
        <v>0</v>
      </c>
      <c r="BK53" s="87">
        <f t="shared" si="30"/>
        <v>0</v>
      </c>
      <c r="BL53" s="87">
        <f t="shared" si="30"/>
        <v>0</v>
      </c>
      <c r="BM53" s="87">
        <f t="shared" si="30"/>
        <v>0</v>
      </c>
      <c r="BN53" s="87">
        <f t="shared" si="30"/>
        <v>0</v>
      </c>
      <c r="BO53" s="87">
        <f t="shared" si="30"/>
        <v>0</v>
      </c>
      <c r="BP53" s="87">
        <f t="shared" si="30"/>
        <v>0</v>
      </c>
      <c r="BQ53" s="87">
        <f t="shared" si="30"/>
        <v>0</v>
      </c>
      <c r="BR53" s="87">
        <f t="shared" si="30"/>
        <v>0</v>
      </c>
      <c r="BS53" s="87">
        <f t="shared" si="30"/>
        <v>0</v>
      </c>
      <c r="BT53" s="87">
        <f t="shared" si="30"/>
        <v>0</v>
      </c>
      <c r="BU53" s="87">
        <f t="shared" si="30"/>
        <v>0</v>
      </c>
      <c r="BV53" s="87">
        <f t="shared" si="30"/>
        <v>0</v>
      </c>
      <c r="BW53" s="87">
        <f t="shared" si="30"/>
        <v>0</v>
      </c>
      <c r="BX53" s="87">
        <f t="shared" si="30"/>
        <v>0</v>
      </c>
      <c r="BY53" s="87">
        <f t="shared" si="30"/>
        <v>0</v>
      </c>
      <c r="BZ53" s="87">
        <f t="shared" si="30"/>
        <v>0</v>
      </c>
      <c r="CA53" s="87">
        <f t="shared" si="30"/>
        <v>0</v>
      </c>
      <c r="CB53" s="87">
        <f t="shared" si="30"/>
        <v>0</v>
      </c>
      <c r="CC53" s="87">
        <f t="shared" si="30"/>
        <v>0</v>
      </c>
      <c r="CD53" s="87">
        <f t="shared" si="30"/>
        <v>0</v>
      </c>
      <c r="CE53" s="87">
        <f t="shared" si="30"/>
        <v>0</v>
      </c>
      <c r="CF53" s="87">
        <f t="shared" si="30"/>
        <v>0</v>
      </c>
      <c r="CG53" s="87">
        <f t="shared" si="30"/>
        <v>0</v>
      </c>
      <c r="CH53" s="87">
        <f t="shared" si="30"/>
        <v>0</v>
      </c>
      <c r="CI53" s="87">
        <f t="shared" si="30"/>
        <v>0</v>
      </c>
      <c r="CJ53" s="87">
        <f t="shared" si="30"/>
        <v>0</v>
      </c>
      <c r="CK53" s="87">
        <f t="shared" si="30"/>
        <v>0</v>
      </c>
      <c r="CL53" s="87">
        <f t="shared" si="30"/>
        <v>0</v>
      </c>
      <c r="CM53" s="87">
        <f t="shared" si="30"/>
        <v>0</v>
      </c>
      <c r="CN53" s="87">
        <f t="shared" si="30"/>
        <v>0</v>
      </c>
      <c r="CO53" s="87">
        <f t="shared" si="30"/>
        <v>0</v>
      </c>
      <c r="CP53" s="87">
        <f t="shared" si="30"/>
        <v>0</v>
      </c>
      <c r="CQ53" s="87">
        <f t="shared" si="30"/>
        <v>0</v>
      </c>
      <c r="CR53" s="87">
        <f t="shared" si="30"/>
        <v>0</v>
      </c>
      <c r="CS53" s="87">
        <f t="shared" si="30"/>
        <v>0</v>
      </c>
      <c r="CT53" s="87">
        <f t="shared" si="30"/>
        <v>0</v>
      </c>
      <c r="CU53" s="87">
        <f t="shared" si="30"/>
        <v>0</v>
      </c>
      <c r="CV53" s="87">
        <f t="shared" si="30"/>
        <v>0</v>
      </c>
      <c r="CW53" s="87">
        <f t="shared" si="30"/>
        <v>0</v>
      </c>
      <c r="CX53" s="87">
        <f t="shared" si="30"/>
        <v>0</v>
      </c>
      <c r="CY53" s="87">
        <f t="shared" si="30"/>
        <v>0</v>
      </c>
      <c r="CZ53" s="87">
        <f t="shared" si="30"/>
        <v>0</v>
      </c>
      <c r="DA53" s="87">
        <f t="shared" si="30"/>
        <v>0</v>
      </c>
      <c r="DB53" s="87">
        <f t="shared" si="30"/>
        <v>0</v>
      </c>
      <c r="DC53" s="87">
        <f t="shared" si="30"/>
        <v>0</v>
      </c>
      <c r="DD53" s="87">
        <f t="shared" si="30"/>
        <v>0</v>
      </c>
      <c r="DE53" s="87">
        <f t="shared" si="30"/>
        <v>0</v>
      </c>
      <c r="DF53" s="87">
        <f t="shared" si="30"/>
        <v>0</v>
      </c>
      <c r="DG53" s="87">
        <f t="shared" si="30"/>
        <v>0</v>
      </c>
      <c r="DH53" s="87">
        <f t="shared" si="30"/>
        <v>0</v>
      </c>
      <c r="DI53" s="87">
        <f t="shared" si="30"/>
        <v>0</v>
      </c>
      <c r="DJ53" s="87">
        <f t="shared" si="30"/>
        <v>0</v>
      </c>
      <c r="DK53" s="87">
        <f t="shared" si="30"/>
        <v>0</v>
      </c>
      <c r="DL53" s="87">
        <f t="shared" si="30"/>
        <v>0</v>
      </c>
      <c r="DM53" s="87">
        <f t="shared" si="30"/>
        <v>0</v>
      </c>
      <c r="DN53" s="87">
        <f t="shared" si="30"/>
        <v>0</v>
      </c>
      <c r="DO53" s="87">
        <f t="shared" si="30"/>
        <v>0</v>
      </c>
      <c r="DP53" s="87">
        <f t="shared" si="30"/>
        <v>0</v>
      </c>
      <c r="DQ53" s="87">
        <f t="shared" si="30"/>
        <v>0</v>
      </c>
      <c r="DR53" s="87">
        <f t="shared" si="30"/>
        <v>0</v>
      </c>
      <c r="DS53" s="87">
        <f t="shared" si="30"/>
        <v>0</v>
      </c>
      <c r="DT53" s="87">
        <f t="shared" si="30"/>
        <v>0</v>
      </c>
      <c r="DU53" s="87">
        <f t="shared" si="30"/>
        <v>0</v>
      </c>
      <c r="DV53" s="87">
        <f t="shared" si="30"/>
        <v>0</v>
      </c>
      <c r="DW53" s="87">
        <f t="shared" si="30"/>
        <v>0</v>
      </c>
      <c r="DX53" s="87">
        <f t="shared" si="30"/>
        <v>0</v>
      </c>
      <c r="DY53" s="288">
        <f>(C53+AS53+BN53+CI53)*'2. START'!$C$12</f>
        <v>0</v>
      </c>
      <c r="DZ53" s="288">
        <f>(D53+AT53+BO53+CJ53)*'2. START'!$C$12</f>
        <v>0</v>
      </c>
      <c r="EA53" s="288">
        <f>(E53+AU53+BP53+CK53)*'2. START'!$C$12</f>
        <v>0</v>
      </c>
      <c r="EB53" s="288">
        <f>(F53+AV53+BQ53+CL53)*'2. START'!$C$12</f>
        <v>0</v>
      </c>
      <c r="EC53" s="288">
        <f>(G53+AW53+BR53+CM53)*'2. START'!$C$12</f>
        <v>0</v>
      </c>
      <c r="ED53" s="288">
        <f>(H53+AX53+BS53+CN53)*'2. START'!$C$12</f>
        <v>0</v>
      </c>
      <c r="EE53" s="288">
        <f>(I53+AY53+BT53+CO53)*'2. START'!$C$12</f>
        <v>0</v>
      </c>
      <c r="EF53" s="288">
        <f>(J53+AZ53+BU53+CP53)*'2. START'!$C$12</f>
        <v>0</v>
      </c>
      <c r="EG53" s="288">
        <f>(K53+BA53+BV53+CQ53)*'2. START'!$C$12</f>
        <v>0</v>
      </c>
      <c r="EH53" s="288">
        <f>(L53+BB53+BW53+CR53)*'2. START'!$C$12</f>
        <v>0</v>
      </c>
      <c r="EI53" s="288">
        <f>(M53+BC53+BX53+CS53)*'2. START'!$C$12</f>
        <v>0</v>
      </c>
      <c r="EJ53" s="288">
        <f>(N53+BD53+BY53+CT53)*'2. START'!$C$12</f>
        <v>0</v>
      </c>
      <c r="EK53" s="288">
        <f>(O53+BE53+BZ53+CU53)*'2. START'!$C$12</f>
        <v>0</v>
      </c>
      <c r="EL53" s="288">
        <f>(P53+BF53+CA53+CV53)*'2. START'!$C$12</f>
        <v>0</v>
      </c>
      <c r="EM53" s="288">
        <f>(Q53+BG53+CB53+CW53)*'2. START'!$C$12</f>
        <v>0</v>
      </c>
      <c r="EN53" s="288">
        <f>(R53+BH53+CC53+CX53)*'2. START'!$C$12</f>
        <v>0</v>
      </c>
      <c r="EO53" s="288">
        <f>(S53+BI53+CD53+CY53)*'2. START'!$C$12</f>
        <v>0</v>
      </c>
      <c r="EP53" s="288">
        <f>(T53+BJ53+CE53+CZ53)*'2. START'!$C$12</f>
        <v>0</v>
      </c>
      <c r="EQ53" s="288">
        <f>(U53+BK53+CF53+DA53)*'2. START'!$C$12</f>
        <v>0</v>
      </c>
      <c r="ER53" s="288">
        <f>(V53+BL53+CG53+DB53)*'2. START'!$C$12</f>
        <v>0</v>
      </c>
      <c r="ES53" s="288">
        <f>(W53+BM53+CH53+DC53)*'2. START'!$C$12</f>
        <v>0</v>
      </c>
      <c r="ET53" s="87">
        <f t="shared" si="30"/>
        <v>0</v>
      </c>
      <c r="EU53" s="87">
        <f t="shared" si="30"/>
        <v>0</v>
      </c>
      <c r="EV53" s="87">
        <f t="shared" ref="EV53:FP53" si="31">SUM(EV23:EV52)</f>
        <v>0</v>
      </c>
      <c r="EW53" s="87">
        <f t="shared" si="31"/>
        <v>0</v>
      </c>
      <c r="EX53" s="87">
        <f t="shared" si="31"/>
        <v>0</v>
      </c>
      <c r="EY53" s="87">
        <f t="shared" si="31"/>
        <v>0</v>
      </c>
      <c r="EZ53" s="87">
        <f t="shared" si="31"/>
        <v>0</v>
      </c>
      <c r="FA53" s="87">
        <f t="shared" si="31"/>
        <v>0</v>
      </c>
      <c r="FB53" s="87">
        <f t="shared" si="31"/>
        <v>0</v>
      </c>
      <c r="FC53" s="87">
        <f t="shared" si="31"/>
        <v>0</v>
      </c>
      <c r="FD53" s="271">
        <f t="shared" si="31"/>
        <v>0</v>
      </c>
      <c r="FE53" s="271">
        <f t="shared" si="31"/>
        <v>0</v>
      </c>
      <c r="FF53" s="271">
        <f t="shared" si="31"/>
        <v>0</v>
      </c>
      <c r="FG53" s="271">
        <f t="shared" si="31"/>
        <v>0</v>
      </c>
      <c r="FH53" s="271">
        <f t="shared" si="31"/>
        <v>0</v>
      </c>
      <c r="FI53" s="271">
        <f t="shared" si="31"/>
        <v>0</v>
      </c>
      <c r="FJ53" s="271">
        <f t="shared" si="31"/>
        <v>0</v>
      </c>
      <c r="FK53" s="271">
        <f t="shared" si="31"/>
        <v>0</v>
      </c>
      <c r="FL53" s="271">
        <f t="shared" si="31"/>
        <v>0</v>
      </c>
      <c r="FM53" s="271">
        <f t="shared" si="31"/>
        <v>0</v>
      </c>
      <c r="FN53" s="271">
        <f t="shared" si="31"/>
        <v>0</v>
      </c>
      <c r="FO53" s="269"/>
      <c r="FP53" s="87">
        <f t="shared" si="31"/>
        <v>0</v>
      </c>
      <c r="FQ53" s="61"/>
      <c r="FR53" s="942">
        <f>SUM(FR23:FR52)</f>
        <v>0</v>
      </c>
      <c r="FS53" s="942">
        <f t="shared" ref="FS53:GK53" si="32">SUM(FS23:FS52)</f>
        <v>0</v>
      </c>
      <c r="FT53" s="942">
        <f t="shared" si="32"/>
        <v>0</v>
      </c>
      <c r="FU53" s="942">
        <f t="shared" si="32"/>
        <v>0</v>
      </c>
      <c r="FV53" s="942">
        <f t="shared" si="32"/>
        <v>0</v>
      </c>
      <c r="FW53" s="942">
        <f t="shared" si="32"/>
        <v>0</v>
      </c>
      <c r="FX53" s="942">
        <f t="shared" si="32"/>
        <v>0</v>
      </c>
      <c r="FY53" s="942">
        <f t="shared" si="32"/>
        <v>0</v>
      </c>
      <c r="FZ53" s="942">
        <f t="shared" si="32"/>
        <v>0</v>
      </c>
      <c r="GA53" s="942">
        <f t="shared" si="32"/>
        <v>0</v>
      </c>
      <c r="GB53" s="942">
        <f t="shared" si="32"/>
        <v>0</v>
      </c>
      <c r="GC53" s="942">
        <f t="shared" si="32"/>
        <v>0</v>
      </c>
      <c r="GD53" s="942">
        <f t="shared" si="32"/>
        <v>0</v>
      </c>
      <c r="GE53" s="942">
        <f t="shared" si="32"/>
        <v>0</v>
      </c>
      <c r="GF53" s="942">
        <f t="shared" si="32"/>
        <v>0</v>
      </c>
      <c r="GG53" s="942">
        <f t="shared" si="32"/>
        <v>0</v>
      </c>
      <c r="GH53" s="942">
        <f t="shared" si="32"/>
        <v>0</v>
      </c>
      <c r="GI53" s="942">
        <f t="shared" si="32"/>
        <v>0</v>
      </c>
      <c r="GJ53" s="942">
        <f t="shared" si="32"/>
        <v>0</v>
      </c>
      <c r="GK53" s="942">
        <f t="shared" si="32"/>
        <v>0</v>
      </c>
      <c r="GL53" s="942">
        <f t="shared" si="28"/>
        <v>0</v>
      </c>
    </row>
    <row r="54" spans="2:194" ht="13.5" customHeight="1" x14ac:dyDescent="0.2">
      <c r="B54" s="256"/>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K18:AK21"/>
    <mergeCell ref="AL18:AL21"/>
    <mergeCell ref="AM18:AM21"/>
    <mergeCell ref="AN18:AN21"/>
    <mergeCell ref="AO18:AO21"/>
    <mergeCell ref="AP18:AP21"/>
    <mergeCell ref="AQ18:AQ21"/>
    <mergeCell ref="AR18:AR21"/>
    <mergeCell ref="BD18:BD21"/>
    <mergeCell ref="BA18:BA21"/>
    <mergeCell ref="BB18:BB21"/>
    <mergeCell ref="BE18:BE21"/>
    <mergeCell ref="BF18:BF21"/>
    <mergeCell ref="BG18:BG21"/>
    <mergeCell ref="BH18:BH21"/>
    <mergeCell ref="BI18:BI21"/>
    <mergeCell ref="BJ18:BJ21"/>
    <mergeCell ref="BC18:BC21"/>
    <mergeCell ref="AS17:AS20"/>
    <mergeCell ref="BK18:BK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DO18:DO21"/>
    <mergeCell ref="DP18:DP21"/>
    <mergeCell ref="DQ18:DQ21"/>
    <mergeCell ref="DR18:DR21"/>
    <mergeCell ref="DS18:DS21"/>
    <mergeCell ref="DT18:DT21"/>
    <mergeCell ref="DU18:DU21"/>
    <mergeCell ref="DV18:DV21"/>
    <mergeCell ref="DW18:DW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D60"/>
  <sheetViews>
    <sheetView showGridLines="0" zoomScaleNormal="100" workbookViewId="0">
      <selection activeCell="B2" sqref="B2"/>
    </sheetView>
  </sheetViews>
  <sheetFormatPr defaultColWidth="9.109375" defaultRowHeight="13.2" x14ac:dyDescent="0.25"/>
  <cols>
    <col min="1" max="1" width="3.5546875" style="3" customWidth="1"/>
    <col min="2" max="2" width="25.6640625" style="3" customWidth="1" collapsed="1"/>
    <col min="3" max="3" width="21.109375" style="3" customWidth="1"/>
    <col min="4" max="4" width="39.109375" style="3" customWidth="1"/>
    <col min="5" max="5" width="2.44140625" style="3" customWidth="1"/>
    <col min="6" max="6" width="44.6640625" style="3" customWidth="1"/>
    <col min="7" max="7" width="19.109375" style="3" customWidth="1" collapsed="1"/>
    <col min="8" max="8" width="35.44140625" style="43" hidden="1" customWidth="1" collapsed="1"/>
    <col min="9" max="9" width="71.88671875" style="3" hidden="1" customWidth="1" collapsed="1"/>
    <col min="10" max="10" width="50.109375" style="3" hidden="1" customWidth="1" collapsed="1"/>
    <col min="11" max="11" width="71.88671875" style="3" hidden="1" customWidth="1" collapsed="1"/>
    <col min="12" max="12" width="50.109375" style="3" hidden="1" customWidth="1" collapsed="1"/>
    <col min="13" max="13" width="71.88671875" style="3" hidden="1" customWidth="1" collapsed="1"/>
    <col min="14" max="14" width="50.109375" style="3" hidden="1" customWidth="1" collapsed="1"/>
    <col min="15" max="15" width="71.88671875" style="3" hidden="1" customWidth="1"/>
    <col min="16" max="16" width="50.109375" style="3" hidden="1" customWidth="1"/>
    <col min="17" max="17" width="71.88671875" style="3" hidden="1" customWidth="1"/>
    <col min="18" max="18" width="50.109375" style="3" hidden="1" customWidth="1" collapsed="1"/>
    <col min="19" max="19" width="71.88671875" style="3" hidden="1" customWidth="1"/>
    <col min="20" max="20" width="50.109375" style="3" hidden="1" customWidth="1" collapsed="1"/>
    <col min="21" max="21" width="71.88671875" style="3" hidden="1" customWidth="1" collapsed="1"/>
    <col min="22" max="22" width="50.109375" style="3" hidden="1" customWidth="1" collapsed="1"/>
    <col min="23" max="23" width="71.88671875" style="3" hidden="1" customWidth="1" collapsed="1"/>
    <col min="24" max="24" width="50.109375" style="3" hidden="1" customWidth="1" collapsed="1"/>
    <col min="25" max="25" width="71.88671875" style="3" hidden="1" customWidth="1" collapsed="1"/>
    <col min="26" max="26" width="50.109375" style="3" hidden="1" customWidth="1" collapsed="1"/>
    <col min="27" max="27" width="71.88671875" style="3" hidden="1" customWidth="1"/>
    <col min="28" max="28" width="50.109375" style="3" hidden="1" customWidth="1"/>
    <col min="29" max="29" width="35.44140625" style="3" customWidth="1"/>
    <col min="30" max="30" width="10.6640625" style="3" customWidth="1" collapsed="1"/>
    <col min="31" max="32" width="10.88671875" style="3" customWidth="1" collapsed="1"/>
    <col min="33" max="40" width="10.88671875" style="3" customWidth="1"/>
    <col min="41" max="41" width="12" style="3" customWidth="1"/>
    <col min="42" max="42" width="5.5546875" style="3" customWidth="1"/>
    <col min="43" max="43" width="11" style="3" customWidth="1"/>
    <col min="44" max="44" width="10.88671875" style="3" customWidth="1"/>
    <col min="45" max="45" width="11" style="3" customWidth="1"/>
    <col min="46" max="46" width="11" style="3" customWidth="1" collapsed="1"/>
    <col min="47" max="52" width="11" style="3" customWidth="1"/>
    <col min="53" max="53" width="11.88671875" style="3" customWidth="1"/>
    <col min="54" max="54" width="5.5546875" style="3" customWidth="1"/>
    <col min="55" max="64" width="11" style="3" customWidth="1"/>
    <col min="65" max="65" width="11.88671875" style="3" customWidth="1"/>
    <col min="66" max="66" width="5.88671875" style="3" customWidth="1"/>
    <col min="67" max="70" width="11.6640625" style="3" customWidth="1"/>
    <col min="71" max="71" width="11.5546875" style="3" customWidth="1"/>
    <col min="72" max="75" width="11.6640625" style="3" customWidth="1"/>
    <col min="76" max="76" width="11.6640625" style="3" customWidth="1" collapsed="1"/>
    <col min="77" max="77" width="12" style="3" customWidth="1" collapsed="1"/>
    <col min="78" max="78" width="5.6640625" style="3" customWidth="1" collapsed="1"/>
    <col min="79" max="85" width="11.109375" style="3" customWidth="1" collapsed="1"/>
    <col min="86" max="86" width="11.33203125" style="3" customWidth="1" collapsed="1"/>
    <col min="87" max="88" width="11.109375" style="3" customWidth="1" collapsed="1"/>
    <col min="89" max="89" width="13" style="3" customWidth="1" collapsed="1"/>
    <col min="90" max="90" width="5.88671875" style="3" customWidth="1" collapsed="1"/>
    <col min="91" max="91" width="11.6640625" style="3" customWidth="1" collapsed="1"/>
    <col min="92" max="93" width="11.33203125" style="3" customWidth="1" collapsed="1"/>
    <col min="94" max="94" width="11.109375" style="3" customWidth="1" collapsed="1"/>
    <col min="95" max="95" width="11.33203125" style="3" customWidth="1" collapsed="1"/>
    <col min="96" max="96" width="11.109375" style="3" customWidth="1" collapsed="1"/>
    <col min="97" max="97" width="11.33203125" style="3" customWidth="1" collapsed="1"/>
    <col min="98" max="98" width="11.109375" style="3" customWidth="1" collapsed="1"/>
    <col min="99" max="99" width="11.33203125" style="3" customWidth="1" collapsed="1"/>
    <col min="100" max="100" width="11.109375" style="3" customWidth="1" collapsed="1"/>
    <col min="101" max="101" width="12.6640625" style="3" customWidth="1" collapsed="1"/>
    <col min="102" max="102" width="5.88671875" style="3" customWidth="1" collapsed="1"/>
    <col min="103" max="104" width="11.109375" style="3" customWidth="1" collapsed="1"/>
    <col min="105" max="106" width="11.44140625" style="3" customWidth="1" collapsed="1"/>
    <col min="107" max="108" width="11.33203125" style="3" customWidth="1" collapsed="1"/>
    <col min="109" max="109" width="11.109375" style="3" customWidth="1" collapsed="1"/>
    <col min="110" max="110" width="11.33203125" style="3" customWidth="1" collapsed="1"/>
    <col min="111" max="111" width="11.109375" style="3" customWidth="1" collapsed="1"/>
    <col min="112" max="112" width="11.33203125" style="3" customWidth="1" collapsed="1"/>
    <col min="113" max="113" width="13.5546875" style="3" customWidth="1" collapsed="1"/>
    <col min="114" max="114" width="5.5546875" style="3" customWidth="1" collapsed="1"/>
    <col min="115" max="115" width="9.109375" style="3" collapsed="1"/>
    <col min="116" max="157" width="9.109375" style="3"/>
    <col min="158" max="158" width="9.109375" style="3" collapsed="1"/>
    <col min="159" max="160" width="9.109375" style="3"/>
    <col min="161" max="16384" width="9.109375" style="3" collapsed="1"/>
  </cols>
  <sheetData>
    <row r="1" spans="2:79" ht="15" customHeight="1" x14ac:dyDescent="0.25">
      <c r="G1" s="296" t="str">
        <f>'1. INTRO'!J1</f>
        <v>projectcalculator@slu.se</v>
      </c>
    </row>
    <row r="2" spans="2:79" s="2" customFormat="1" ht="15.6" x14ac:dyDescent="0.25">
      <c r="B2" s="306" t="str">
        <f>'1. INTRO'!B2:C2</f>
        <v>SLU project calculator</v>
      </c>
      <c r="C2" s="314" t="s">
        <v>157</v>
      </c>
      <c r="D2" s="586" t="s">
        <v>308</v>
      </c>
      <c r="E2" s="83"/>
      <c r="F2" s="587" t="str">
        <f>IF('1. INTRO'!I2="English","Note comments, in Eng &amp; Swe, behind red triangles.","Notera kommentarer, eng &amp; sve, bakom röda trianglar.")</f>
        <v>Note comments, in Eng &amp; Swe, behind red triangles.</v>
      </c>
      <c r="G2" s="295">
        <f>'1. INTRO'!J2</f>
        <v>45677</v>
      </c>
      <c r="H2" s="21"/>
      <c r="O2" s="30"/>
      <c r="P2" s="30"/>
      <c r="Q2" s="30"/>
      <c r="R2" s="31"/>
      <c r="S2" s="31"/>
      <c r="T2" s="45"/>
      <c r="U2" s="45"/>
      <c r="AC2" s="9"/>
    </row>
    <row r="3" spans="2:79" s="2" customFormat="1" ht="15" customHeight="1" x14ac:dyDescent="0.3">
      <c r="B3" s="6"/>
      <c r="C3" s="1026"/>
      <c r="D3" s="1027"/>
      <c r="E3" s="308"/>
      <c r="F3" s="308"/>
      <c r="G3" s="307"/>
      <c r="H3" s="1025"/>
      <c r="I3" s="1025"/>
      <c r="J3" s="1004"/>
      <c r="O3" s="30"/>
      <c r="P3" s="30"/>
      <c r="Q3" s="30"/>
      <c r="R3" s="31"/>
      <c r="S3" s="31"/>
      <c r="T3" s="45"/>
      <c r="U3" s="45"/>
      <c r="AC3" s="9"/>
    </row>
    <row r="4" spans="2:79" s="2" customFormat="1" ht="15" customHeight="1" x14ac:dyDescent="0.25">
      <c r="B4" s="44" t="str">
        <f>IF('1. INTRO'!I2="English","Calculation connected to: ","Kalkyl kopplad till: ")</f>
        <v xml:space="preserve">Calculation connected to: </v>
      </c>
      <c r="C4" s="1010" t="s">
        <v>34</v>
      </c>
      <c r="D4" s="1010"/>
      <c r="E4" s="1010"/>
      <c r="F4" s="1010"/>
      <c r="G4" s="1009"/>
      <c r="H4" s="52" t="s">
        <v>34</v>
      </c>
      <c r="I4" s="37" t="s">
        <v>158</v>
      </c>
      <c r="K4" s="33"/>
      <c r="L4" s="33"/>
      <c r="M4" s="33"/>
      <c r="N4" s="33"/>
      <c r="O4" s="33"/>
      <c r="P4" s="33"/>
      <c r="Q4" s="33"/>
      <c r="R4" s="33"/>
      <c r="S4" s="33"/>
      <c r="T4" s="33"/>
      <c r="U4" s="33"/>
      <c r="W4" s="12"/>
      <c r="X4" s="13"/>
      <c r="Y4" s="13"/>
      <c r="Z4" s="13"/>
      <c r="AA4" s="13"/>
      <c r="AB4" s="13"/>
      <c r="AC4" s="13"/>
    </row>
    <row r="5" spans="2:79" s="2" customFormat="1" ht="15" customHeight="1" x14ac:dyDescent="0.25">
      <c r="B5" s="35" t="str">
        <f>IF('1. INTRO'!I2="English","Project title: ","Projekttitel: ")</f>
        <v xml:space="preserve">Project title: </v>
      </c>
      <c r="C5" s="1008"/>
      <c r="D5" s="1008"/>
      <c r="E5" s="1008"/>
      <c r="F5" s="1008"/>
      <c r="G5" s="1009"/>
      <c r="H5" s="52" t="s">
        <v>35</v>
      </c>
      <c r="I5" s="37" t="s">
        <v>159</v>
      </c>
      <c r="K5" s="33"/>
      <c r="L5" s="33"/>
      <c r="M5" s="33"/>
      <c r="N5" s="33"/>
      <c r="O5" s="33"/>
      <c r="P5" s="33"/>
      <c r="Q5" s="33"/>
      <c r="R5" s="33"/>
      <c r="S5" s="33"/>
      <c r="T5" s="33"/>
      <c r="U5" s="33"/>
      <c r="W5" s="27"/>
      <c r="X5" s="13"/>
      <c r="Y5" s="13"/>
      <c r="Z5" s="13"/>
      <c r="AA5" s="13"/>
      <c r="AB5" s="13"/>
      <c r="AC5" s="13"/>
    </row>
    <row r="6" spans="2:79" s="2" customFormat="1" ht="15" customHeight="1" x14ac:dyDescent="0.25">
      <c r="B6" s="35" t="str">
        <f>IF('1. INTRO'!I2="English","Project leading person: ","Projektledande person: ")</f>
        <v xml:space="preserve">Project leading person: </v>
      </c>
      <c r="C6" s="1010"/>
      <c r="D6" s="1010"/>
      <c r="E6" s="1010"/>
      <c r="F6" s="1010"/>
      <c r="G6" s="1009"/>
      <c r="H6" s="52" t="s">
        <v>36</v>
      </c>
      <c r="I6" s="37" t="s">
        <v>160</v>
      </c>
      <c r="K6" s="33"/>
      <c r="L6" s="33"/>
      <c r="M6" s="33"/>
      <c r="N6" s="33"/>
      <c r="O6" s="33"/>
      <c r="P6" s="33"/>
      <c r="Q6" s="33"/>
      <c r="R6" s="33"/>
      <c r="S6" s="33"/>
      <c r="T6" s="33"/>
      <c r="U6" s="33"/>
      <c r="W6" s="46"/>
      <c r="X6" s="18"/>
      <c r="Y6" s="18"/>
      <c r="Z6" s="18"/>
      <c r="AA6" s="18"/>
      <c r="AB6" s="18"/>
      <c r="AC6" s="18"/>
    </row>
    <row r="7" spans="2:79" s="2" customFormat="1" ht="15" customHeight="1" x14ac:dyDescent="0.25">
      <c r="B7" s="35" t="str">
        <f>IF('1. INTRO'!I2="English","Project leading partner: ","Projektledande partner: ")</f>
        <v xml:space="preserve">Project leading partner: </v>
      </c>
      <c r="C7" s="1008" t="s">
        <v>198</v>
      </c>
      <c r="D7" s="1008"/>
      <c r="E7" s="1008"/>
      <c r="F7" s="1008"/>
      <c r="G7" s="1009"/>
      <c r="H7" s="52" t="s">
        <v>37</v>
      </c>
      <c r="I7" s="37" t="s">
        <v>170</v>
      </c>
      <c r="K7" s="33"/>
      <c r="L7" s="33"/>
      <c r="M7" s="33"/>
      <c r="N7" s="33"/>
      <c r="O7" s="33"/>
      <c r="P7" s="33"/>
      <c r="Q7" s="33"/>
      <c r="R7" s="33"/>
      <c r="S7" s="33"/>
      <c r="T7" s="33"/>
      <c r="U7" s="33"/>
      <c r="W7" s="13"/>
      <c r="X7" s="13"/>
      <c r="Y7" s="13"/>
      <c r="Z7" s="13"/>
      <c r="AA7" s="13"/>
      <c r="AB7" s="13"/>
      <c r="AC7" s="13"/>
    </row>
    <row r="8" spans="2:79" s="2" customFormat="1" ht="15" customHeight="1" x14ac:dyDescent="0.25">
      <c r="B8" s="35" t="str">
        <f>IF('1. INTRO'!I2="English","Funding body: ","Finansiär: ")</f>
        <v xml:space="preserve">Funding body: </v>
      </c>
      <c r="C8" s="1010" t="s">
        <v>177</v>
      </c>
      <c r="D8" s="1010"/>
      <c r="E8" s="1010"/>
      <c r="F8" s="1010"/>
      <c r="G8" s="1009"/>
      <c r="H8" s="54" t="s">
        <v>187</v>
      </c>
      <c r="I8" s="304" t="s">
        <v>171</v>
      </c>
      <c r="J8" s="45"/>
      <c r="K8" s="28"/>
      <c r="L8" s="17"/>
      <c r="M8" s="16"/>
      <c r="N8" s="18"/>
      <c r="O8" s="18"/>
      <c r="P8" s="18"/>
      <c r="Q8" s="18"/>
      <c r="R8" s="18"/>
      <c r="S8" s="18"/>
      <c r="T8" s="18"/>
      <c r="U8" s="18"/>
      <c r="W8" s="14"/>
      <c r="X8" s="15"/>
      <c r="Y8" s="15"/>
      <c r="Z8" s="15"/>
      <c r="AA8" s="15"/>
      <c r="AB8" s="15"/>
      <c r="AC8" s="15"/>
    </row>
    <row r="9" spans="2:79" s="2" customFormat="1" ht="15" customHeight="1" x14ac:dyDescent="0.25">
      <c r="B9" s="35" t="str">
        <f>IF('1. INTRO'!I2="English","If Other in cell C8, which: ","Om Other i cell C8, vilken: ")</f>
        <v xml:space="preserve">If Other in cell C8, which: </v>
      </c>
      <c r="C9" s="1008"/>
      <c r="D9" s="1008"/>
      <c r="E9" s="1008"/>
      <c r="F9" s="1008"/>
      <c r="G9" s="1009"/>
      <c r="H9" s="55" t="s">
        <v>188</v>
      </c>
      <c r="I9" s="304" t="s">
        <v>165</v>
      </c>
      <c r="J9" s="45"/>
      <c r="K9" s="28"/>
      <c r="L9" s="17"/>
      <c r="M9" s="16"/>
      <c r="N9" s="18"/>
      <c r="O9" s="18"/>
      <c r="P9" s="18"/>
      <c r="Q9" s="18"/>
      <c r="R9" s="18"/>
      <c r="S9" s="18"/>
      <c r="T9" s="18"/>
      <c r="U9" s="18"/>
      <c r="W9" s="14"/>
      <c r="X9" s="15"/>
      <c r="Y9" s="15"/>
      <c r="Z9" s="15"/>
      <c r="AA9" s="15"/>
      <c r="AB9" s="15"/>
      <c r="AC9" s="15"/>
      <c r="CA9" s="1"/>
    </row>
    <row r="10" spans="2:79" s="2" customFormat="1" ht="15" customHeight="1" x14ac:dyDescent="0.25">
      <c r="B10" s="35" t="str">
        <f>IF('1. INTRO'!I2="English","Call: ","Utlysning: ")</f>
        <v xml:space="preserve">Call: </v>
      </c>
      <c r="C10" s="1010"/>
      <c r="D10" s="1010"/>
      <c r="E10" s="1010"/>
      <c r="F10" s="1010"/>
      <c r="G10" s="1009"/>
      <c r="H10" s="55" t="s">
        <v>183</v>
      </c>
      <c r="I10" s="304" t="s">
        <v>161</v>
      </c>
      <c r="J10" s="45"/>
      <c r="K10" s="28"/>
      <c r="L10" s="17"/>
      <c r="M10" s="16"/>
      <c r="N10" s="18"/>
      <c r="O10" s="18"/>
      <c r="P10" s="18"/>
      <c r="Q10" s="18"/>
      <c r="R10" s="18"/>
      <c r="S10" s="18"/>
      <c r="T10" s="18"/>
      <c r="U10" s="18"/>
      <c r="W10" s="14"/>
      <c r="X10" s="15"/>
      <c r="Y10" s="15"/>
      <c r="Z10" s="15"/>
      <c r="AA10" s="15"/>
      <c r="AB10" s="15"/>
      <c r="AC10" s="15"/>
      <c r="CA10" s="1"/>
    </row>
    <row r="11" spans="2:79" s="2" customFormat="1" ht="15" customHeight="1" x14ac:dyDescent="0.25">
      <c r="B11" s="35" t="str">
        <f>IF('1. INTRO'!I2="English","Full cost funder: ","Fullkostnadsfinansiär: ")</f>
        <v xml:space="preserve">Full cost funder: </v>
      </c>
      <c r="C11" s="1008" t="s">
        <v>36</v>
      </c>
      <c r="D11" s="1008"/>
      <c r="E11" s="1008"/>
      <c r="F11" s="1008"/>
      <c r="G11" s="1009"/>
      <c r="H11" s="55" t="s">
        <v>184</v>
      </c>
      <c r="I11" s="37" t="s">
        <v>162</v>
      </c>
      <c r="K11" s="47"/>
      <c r="L11" s="38"/>
      <c r="M11" s="18"/>
      <c r="N11" s="18"/>
      <c r="O11" s="18"/>
      <c r="P11" s="18"/>
      <c r="Q11" s="16"/>
      <c r="R11" s="16"/>
      <c r="S11" s="16"/>
      <c r="T11" s="11"/>
      <c r="U11" s="10"/>
      <c r="W11" s="15"/>
      <c r="X11" s="15"/>
      <c r="Y11" s="15"/>
      <c r="Z11" s="15"/>
      <c r="AA11" s="15"/>
      <c r="AB11" s="15"/>
      <c r="AC11" s="15"/>
    </row>
    <row r="12" spans="2:79" s="2" customFormat="1" ht="15" customHeight="1" x14ac:dyDescent="0.25">
      <c r="B12" s="35" t="str">
        <f>IF('1. INTRO'!I2="English","OH-funding (%): ","OH-finansiering (%): ")</f>
        <v xml:space="preserve">OH-funding (%): </v>
      </c>
      <c r="C12" s="1011"/>
      <c r="D12" s="1011"/>
      <c r="E12" s="1011"/>
      <c r="F12" s="1011"/>
      <c r="G12" s="1012"/>
      <c r="H12" s="1" t="s">
        <v>176</v>
      </c>
      <c r="I12" s="37" t="s">
        <v>163</v>
      </c>
      <c r="K12" s="48"/>
      <c r="L12" s="38"/>
      <c r="M12" s="18"/>
      <c r="N12" s="18"/>
      <c r="O12" s="18"/>
      <c r="P12" s="18"/>
      <c r="Q12" s="16"/>
      <c r="R12" s="16"/>
      <c r="S12" s="16"/>
      <c r="T12" s="11"/>
      <c r="U12" s="10"/>
      <c r="W12" s="15"/>
      <c r="X12" s="15"/>
      <c r="Y12" s="15"/>
      <c r="Z12" s="15"/>
      <c r="AA12" s="15"/>
      <c r="AB12" s="15"/>
      <c r="AC12" s="15"/>
      <c r="CA12" s="1"/>
    </row>
    <row r="13" spans="2:79" s="2" customFormat="1" ht="15" customHeight="1" x14ac:dyDescent="0.25">
      <c r="B13" s="35" t="str">
        <f>IF('1. INTRO'!I2="English","OH-funding (base): ","OH-finansiering (bas): ")</f>
        <v xml:space="preserve">OH-funding (base): </v>
      </c>
      <c r="C13" s="1013"/>
      <c r="D13" s="1013"/>
      <c r="E13" s="1013"/>
      <c r="F13" s="1013"/>
      <c r="G13" s="1009"/>
      <c r="H13" s="37" t="s">
        <v>25</v>
      </c>
      <c r="I13" s="37" t="s">
        <v>172</v>
      </c>
      <c r="K13" s="48"/>
      <c r="L13" s="38"/>
      <c r="M13" s="18"/>
      <c r="N13" s="18"/>
      <c r="O13" s="18"/>
      <c r="P13" s="18"/>
      <c r="Q13" s="16"/>
      <c r="R13" s="16"/>
      <c r="S13" s="16"/>
      <c r="T13" s="11"/>
      <c r="U13" s="10"/>
      <c r="W13" s="15"/>
      <c r="X13" s="15"/>
      <c r="Y13" s="15"/>
      <c r="Z13" s="15"/>
      <c r="AA13" s="15"/>
      <c r="AB13" s="15"/>
      <c r="AC13" s="15"/>
      <c r="CA13" s="1"/>
    </row>
    <row r="14" spans="2:79" s="2" customFormat="1" ht="15" customHeight="1" x14ac:dyDescent="0.25">
      <c r="B14" s="35" t="str">
        <f>IF('1. INTRO'!I2="English","LKP-limitation (%): ","LKP-begränsning (%): ")</f>
        <v xml:space="preserve">LKP-limitation (%): </v>
      </c>
      <c r="C14" s="1011"/>
      <c r="D14" s="1011"/>
      <c r="E14" s="1011"/>
      <c r="F14" s="1011"/>
      <c r="G14" s="1012"/>
      <c r="H14" s="37" t="s">
        <v>12</v>
      </c>
      <c r="I14" s="37" t="s">
        <v>164</v>
      </c>
      <c r="K14" s="47"/>
      <c r="L14" s="47"/>
      <c r="M14" s="47"/>
      <c r="N14" s="47"/>
      <c r="O14" s="47"/>
      <c r="P14" s="47"/>
      <c r="Q14" s="47"/>
      <c r="R14" s="47"/>
      <c r="S14" s="47"/>
      <c r="T14" s="47"/>
      <c r="U14" s="47"/>
      <c r="W14" s="15"/>
      <c r="X14" s="15"/>
      <c r="Y14" s="15"/>
      <c r="Z14" s="15"/>
      <c r="AA14" s="15"/>
      <c r="AB14" s="15"/>
      <c r="AC14" s="15"/>
      <c r="AF14" s="34"/>
      <c r="AG14" s="34"/>
      <c r="AH14" s="34"/>
      <c r="AI14" s="34"/>
      <c r="CA14" s="1"/>
    </row>
    <row r="15" spans="2:79" s="2" customFormat="1" ht="15" customHeight="1" x14ac:dyDescent="0.25">
      <c r="B15" s="35" t="str">
        <f>IF('1. INTRO'!I2="English","Currency: ","Valuta: ")</f>
        <v xml:space="preserve">Currency: </v>
      </c>
      <c r="C15" s="1008" t="s">
        <v>170</v>
      </c>
      <c r="D15" s="1008"/>
      <c r="E15" s="1008"/>
      <c r="F15" s="1008"/>
      <c r="G15" s="1009"/>
      <c r="H15" s="55" t="s">
        <v>177</v>
      </c>
      <c r="I15" s="37" t="s">
        <v>173</v>
      </c>
      <c r="K15" s="49"/>
      <c r="L15" s="49"/>
      <c r="M15" s="19"/>
      <c r="N15" s="39"/>
      <c r="O15" s="39"/>
      <c r="P15" s="40"/>
      <c r="Q15" s="39"/>
      <c r="R15" s="39"/>
      <c r="S15" s="39"/>
      <c r="T15" s="11"/>
      <c r="U15" s="41"/>
      <c r="W15" s="1"/>
      <c r="CA15" s="34"/>
    </row>
    <row r="16" spans="2:79" s="2" customFormat="1" ht="15" customHeight="1" x14ac:dyDescent="0.25">
      <c r="B16" s="35" t="str">
        <f>IF('1. INTRO'!I2="English","Comparison currency: ","Jämförelsevaluta: ")</f>
        <v xml:space="preserve">Comparison currency: </v>
      </c>
      <c r="C16" s="1010"/>
      <c r="D16" s="1010"/>
      <c r="E16" s="1010"/>
      <c r="F16" s="1010"/>
      <c r="G16" s="1009"/>
      <c r="H16" s="37" t="s">
        <v>185</v>
      </c>
      <c r="I16" s="37" t="s">
        <v>166</v>
      </c>
      <c r="K16" s="49"/>
      <c r="L16" s="49"/>
      <c r="M16" s="19"/>
      <c r="N16" s="39"/>
      <c r="O16" s="39"/>
      <c r="P16" s="40"/>
      <c r="Q16" s="39"/>
      <c r="R16" s="39"/>
      <c r="S16" s="39"/>
      <c r="T16" s="11"/>
      <c r="U16" s="41"/>
      <c r="W16" s="1"/>
      <c r="CA16" s="34"/>
    </row>
    <row r="17" spans="2:79" s="2" customFormat="1" ht="15" customHeight="1" x14ac:dyDescent="0.25">
      <c r="B17" s="35" t="str">
        <f>IF('1. INTRO'!I2="English","Comparison rate: ","Jämförelsekurs: ")</f>
        <v xml:space="preserve">Comparison rate: </v>
      </c>
      <c r="C17" s="1034"/>
      <c r="D17" s="1034"/>
      <c r="E17" s="1034"/>
      <c r="F17" s="1034"/>
      <c r="G17" s="1035"/>
      <c r="H17" s="55" t="s">
        <v>120</v>
      </c>
      <c r="I17" s="37" t="s">
        <v>167</v>
      </c>
      <c r="K17" s="49"/>
      <c r="L17" s="49"/>
      <c r="M17" s="19"/>
      <c r="N17" s="39"/>
      <c r="O17" s="39"/>
      <c r="P17" s="40"/>
      <c r="Q17" s="39"/>
      <c r="R17" s="39"/>
      <c r="S17" s="39"/>
      <c r="T17" s="11"/>
      <c r="U17" s="41"/>
      <c r="W17" s="1"/>
      <c r="CA17" s="34"/>
    </row>
    <row r="18" spans="2:79" s="2" customFormat="1" ht="15" customHeight="1" x14ac:dyDescent="0.25">
      <c r="B18" s="35" t="str">
        <f>IF('1. INTRO'!I2="English","Project start (yyyy-mm-dd): ","Projektstart (åååå-mm-dd): ")</f>
        <v xml:space="preserve">Project start (yyyy-mm-dd): </v>
      </c>
      <c r="C18" s="1014"/>
      <c r="D18" s="1014"/>
      <c r="E18" s="1014"/>
      <c r="F18" s="1014"/>
      <c r="G18" s="1015"/>
      <c r="H18" s="37" t="s">
        <v>178</v>
      </c>
      <c r="I18" s="37" t="s">
        <v>174</v>
      </c>
      <c r="K18" s="49"/>
      <c r="L18" s="50"/>
      <c r="M18" s="19"/>
      <c r="N18" s="39"/>
      <c r="O18" s="39"/>
      <c r="P18" s="40"/>
      <c r="Q18" s="39"/>
      <c r="R18" s="39"/>
      <c r="S18" s="39"/>
      <c r="T18" s="11"/>
      <c r="U18" s="41"/>
      <c r="W18" s="1"/>
    </row>
    <row r="19" spans="2:79" s="2" customFormat="1" ht="15" customHeight="1" x14ac:dyDescent="0.25">
      <c r="B19" s="35" t="str">
        <f>IF('1. INTRO'!I2="English","Project end (yyyy-mm-dd): ","Projektslut (åååå-mm-dd): ")</f>
        <v xml:space="preserve">Project end (yyyy-mm-dd): </v>
      </c>
      <c r="C19" s="1016"/>
      <c r="D19" s="1016"/>
      <c r="E19" s="1016"/>
      <c r="F19" s="1016"/>
      <c r="G19" s="1015"/>
      <c r="H19" s="37" t="s">
        <v>356</v>
      </c>
      <c r="I19" s="37" t="s">
        <v>168</v>
      </c>
      <c r="K19" s="34"/>
      <c r="L19" s="34"/>
      <c r="M19" s="34"/>
      <c r="N19" s="34"/>
      <c r="O19" s="34"/>
      <c r="P19" s="8"/>
      <c r="T19" s="5"/>
      <c r="U19" s="1"/>
      <c r="W19" s="1"/>
    </row>
    <row r="20" spans="2:79" s="2" customFormat="1" ht="15" customHeight="1" x14ac:dyDescent="0.25">
      <c r="B20" s="35" t="str">
        <f>IF('1. INTRO'!I$2="English","Accounting area: ","Redovisningsområde: ")</f>
        <v xml:space="preserve">Accounting area: </v>
      </c>
      <c r="C20" s="1014" t="s">
        <v>178</v>
      </c>
      <c r="D20" s="1031"/>
      <c r="E20" s="1031"/>
      <c r="F20" s="1031"/>
      <c r="G20" s="1031"/>
      <c r="H20" s="55" t="s">
        <v>179</v>
      </c>
      <c r="I20" s="37" t="s">
        <v>169</v>
      </c>
      <c r="K20" s="34"/>
      <c r="L20" s="34"/>
      <c r="M20" s="34"/>
      <c r="N20" s="34"/>
      <c r="O20" s="34"/>
      <c r="P20" s="8"/>
      <c r="T20" s="5"/>
      <c r="U20" s="1"/>
      <c r="W20" s="1"/>
    </row>
    <row r="21" spans="2:79" s="2" customFormat="1" ht="15" customHeight="1" x14ac:dyDescent="0.25">
      <c r="B21" s="35" t="str">
        <f>IF('1. INTRO'!I$2="English","Type of external funding: ","Typ av externfinansiering: ")</f>
        <v xml:space="preserve">Type of external funding: </v>
      </c>
      <c r="C21" s="1016" t="s">
        <v>371</v>
      </c>
      <c r="D21" s="1016"/>
      <c r="E21" s="1016"/>
      <c r="F21" s="1016"/>
      <c r="G21" s="1017"/>
      <c r="H21" s="55" t="s">
        <v>371</v>
      </c>
      <c r="I21" s="37" t="s">
        <v>175</v>
      </c>
      <c r="K21" s="34"/>
      <c r="L21" s="34"/>
      <c r="M21" s="34"/>
      <c r="N21" s="34"/>
      <c r="O21" s="34"/>
      <c r="P21" s="8"/>
      <c r="T21" s="5"/>
      <c r="U21" s="1"/>
      <c r="W21" s="1"/>
    </row>
    <row r="22" spans="2:79" s="2" customFormat="1" ht="15" customHeight="1" x14ac:dyDescent="0.25">
      <c r="B22" s="35" t="s">
        <v>180</v>
      </c>
      <c r="C22" s="1022"/>
      <c r="D22" s="1023"/>
      <c r="E22" s="1023"/>
      <c r="F22" s="1023"/>
      <c r="G22" s="1024"/>
      <c r="H22" s="55" t="s">
        <v>372</v>
      </c>
      <c r="I22" s="37"/>
      <c r="K22" s="34"/>
      <c r="L22" s="34"/>
      <c r="M22" s="34"/>
      <c r="N22" s="34"/>
      <c r="O22" s="34"/>
      <c r="P22" s="8"/>
      <c r="T22" s="5"/>
      <c r="U22" s="1"/>
      <c r="W22" s="1"/>
    </row>
    <row r="23" spans="2:79" s="234" customFormat="1" ht="45" customHeight="1" x14ac:dyDescent="0.25">
      <c r="C23" s="1018" t="str">
        <f>IF('1. INTRO'!I2="English",I23,K23)</f>
        <v>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v>
      </c>
      <c r="D23" s="1018"/>
      <c r="E23" s="1018"/>
      <c r="F23" s="1018"/>
      <c r="G23" s="1019"/>
      <c r="H23" s="235"/>
      <c r="I23" s="1032" t="s">
        <v>181</v>
      </c>
      <c r="J23" s="1033"/>
      <c r="K23" s="1020" t="s">
        <v>182</v>
      </c>
      <c r="L23" s="1021"/>
    </row>
    <row r="24" spans="2:79" ht="150" customHeight="1" x14ac:dyDescent="0.25">
      <c r="C24" s="1028" t="str">
        <f>IF('1. INTRO'!I2="English",IF(C8="EUFP",I24,IF(C8="EUINTERREG",K24,IF(C8="FORMAS",M24,IF(C8="MISTRA",O24,IF(C8="NV",Q24,IF(C8="SLF",S24,IF(C8="SSF",U24,IF(C8="VR",W24,IF(C8="WALLENBERG",Y24,IF(C8="OTHER",AA24,"")))))))))),IF(C8="EUFP",I25,IF(C8="EUINTERREG",K25,IF(C8="FORMAS",M25,IF(C8="MISTRA",O25,IF(C8="NV",Q25,IF(C8="SLF",S25,IF(C8="SSF",U25,IF(C8="VR",W25,IF(C8="WALLENBERG",Y25,IF(C8="OTHER",AA25,"")))))))))))</f>
        <v>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  In some cases VR want the co-funding to be included in economic report to the funder.</v>
      </c>
      <c r="D24" s="1029"/>
      <c r="E24" s="1029"/>
      <c r="F24" s="1029"/>
      <c r="G24" s="1030"/>
      <c r="I24" s="1005" t="s">
        <v>342</v>
      </c>
      <c r="J24" s="1006"/>
      <c r="K24" s="1005" t="s">
        <v>189</v>
      </c>
      <c r="L24" s="1006"/>
      <c r="M24" s="1005" t="s">
        <v>381</v>
      </c>
      <c r="N24" s="1007"/>
      <c r="O24" s="1005" t="s">
        <v>194</v>
      </c>
      <c r="P24" s="1006"/>
      <c r="Q24" s="1005" t="s">
        <v>343</v>
      </c>
      <c r="R24" s="1006"/>
      <c r="S24" s="1005" t="s">
        <v>186</v>
      </c>
      <c r="T24" s="1006"/>
      <c r="U24" s="1005" t="s">
        <v>353</v>
      </c>
      <c r="V24" s="1006"/>
      <c r="W24" s="1005" t="s">
        <v>383</v>
      </c>
      <c r="X24" s="1006"/>
      <c r="Y24" s="1005" t="s">
        <v>359</v>
      </c>
      <c r="Z24" s="1007"/>
      <c r="AA24" s="1005" t="s">
        <v>379</v>
      </c>
      <c r="AB24" s="1006"/>
    </row>
    <row r="25" spans="2:79" ht="150" customHeight="1" x14ac:dyDescent="0.25">
      <c r="H25" s="52"/>
      <c r="I25" s="1005" t="s">
        <v>192</v>
      </c>
      <c r="J25" s="1006"/>
      <c r="K25" s="1005" t="s">
        <v>193</v>
      </c>
      <c r="L25" s="1006"/>
      <c r="M25" s="1005" t="s">
        <v>382</v>
      </c>
      <c r="N25" s="1007"/>
      <c r="O25" s="1005" t="s">
        <v>195</v>
      </c>
      <c r="P25" s="1006"/>
      <c r="Q25" s="1005" t="s">
        <v>196</v>
      </c>
      <c r="R25" s="1006"/>
      <c r="S25" s="1005" t="s">
        <v>197</v>
      </c>
      <c r="T25" s="1006"/>
      <c r="U25" s="1005" t="s">
        <v>354</v>
      </c>
      <c r="V25" s="1006"/>
      <c r="W25" s="1005" t="s">
        <v>384</v>
      </c>
      <c r="X25" s="1006"/>
      <c r="Y25" s="1005" t="s">
        <v>360</v>
      </c>
      <c r="Z25" s="1007"/>
      <c r="AA25" s="1005" t="s">
        <v>380</v>
      </c>
      <c r="AB25" s="1006"/>
    </row>
    <row r="26" spans="2:79" ht="15" customHeight="1" x14ac:dyDescent="0.25">
      <c r="C26" s="205"/>
      <c r="D26" s="205"/>
      <c r="E26" s="205"/>
      <c r="F26" s="205"/>
      <c r="H26" s="52"/>
    </row>
    <row r="27" spans="2:79" ht="15" customHeight="1" x14ac:dyDescent="0.25">
      <c r="H27" s="52"/>
    </row>
    <row r="28" spans="2:79" ht="15" customHeight="1" x14ac:dyDescent="0.25">
      <c r="C28" s="37"/>
      <c r="D28" s="37"/>
      <c r="E28" s="37"/>
      <c r="F28" s="37"/>
    </row>
    <row r="29" spans="2:79" ht="15" customHeight="1" x14ac:dyDescent="0.25"/>
    <row r="30" spans="2:79" ht="15" customHeight="1" x14ac:dyDescent="0.25"/>
    <row r="31" spans="2:79" ht="15" customHeight="1" x14ac:dyDescent="0.25"/>
    <row r="32" spans="2:79"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sheetData>
  <sheetProtection formatCells="0"/>
  <mergeCells count="45">
    <mergeCell ref="H3:J3"/>
    <mergeCell ref="C3:D3"/>
    <mergeCell ref="S25:T25"/>
    <mergeCell ref="U25:V25"/>
    <mergeCell ref="W25:X25"/>
    <mergeCell ref="C9:G9"/>
    <mergeCell ref="C4:G4"/>
    <mergeCell ref="C5:G5"/>
    <mergeCell ref="C6:G6"/>
    <mergeCell ref="C7:G7"/>
    <mergeCell ref="C8:G8"/>
    <mergeCell ref="K24:L24"/>
    <mergeCell ref="C24:G24"/>
    <mergeCell ref="C20:G20"/>
    <mergeCell ref="I23:J23"/>
    <mergeCell ref="C17:G17"/>
    <mergeCell ref="C18:G18"/>
    <mergeCell ref="C19:G19"/>
    <mergeCell ref="C21:G21"/>
    <mergeCell ref="Y24:Z24"/>
    <mergeCell ref="C23:G23"/>
    <mergeCell ref="M24:N24"/>
    <mergeCell ref="I24:J24"/>
    <mergeCell ref="K23:L23"/>
    <mergeCell ref="C22:G22"/>
    <mergeCell ref="C15:G15"/>
    <mergeCell ref="C16:G16"/>
    <mergeCell ref="C10:G10"/>
    <mergeCell ref="C11:G11"/>
    <mergeCell ref="C12:G12"/>
    <mergeCell ref="C13:G13"/>
    <mergeCell ref="C14:G14"/>
    <mergeCell ref="AA25:AB25"/>
    <mergeCell ref="I25:J25"/>
    <mergeCell ref="K25:L25"/>
    <mergeCell ref="M25:N25"/>
    <mergeCell ref="O25:P25"/>
    <mergeCell ref="Q25:R25"/>
    <mergeCell ref="Y25:Z25"/>
    <mergeCell ref="AA24:AB24"/>
    <mergeCell ref="O24:P24"/>
    <mergeCell ref="Q24:R24"/>
    <mergeCell ref="S24:T24"/>
    <mergeCell ref="U24:V24"/>
    <mergeCell ref="W24:X24"/>
  </mergeCells>
  <dataValidations count="15">
    <dataValidation type="date" operator="greaterThan" allowBlank="1" showErrorMessage="1" errorTitle="Data restriction" error="Only date on form YYYY-MM-DD allowed." promptTitle="Data restriction" prompt="Only date on form YYYY-MM-DD is allowed." sqref="K15:K18 L15:L17">
      <formula1>42005</formula1>
    </dataValidation>
    <dataValidation type="decimal" operator="greaterThanOrEqual" allowBlank="1" showErrorMessage="1" errorTitle="Data restriktion" error="Bara % noll eller större är tillåtet." promptTitle="Data restriction" prompt="Only % above zero is allowed." sqref="K11:K13">
      <formula1>0</formula1>
    </dataValidation>
    <dataValidation type="list" allowBlank="1" showInputMessage="1" showErrorMessage="1" errorTitle="Data restriction" error="Must be value from list." sqref="C13:G13">
      <formula1>$I$4:$I$6</formula1>
    </dataValidation>
    <dataValidation type="date" operator="greaterThan" allowBlank="1" showInputMessage="1" showErrorMessage="1" errorTitle="Data restriction" error="Must be a date on format YYYY-MM-DD." sqref="C18:G18">
      <formula1>43466</formula1>
    </dataValidation>
    <dataValidation type="list" allowBlank="1" showInputMessage="1" showErrorMessage="1" errorTitle="Data restriction" error="Must be value from list." sqref="C15:G16">
      <formula1>$I$7:$I$21</formula1>
    </dataValidation>
    <dataValidation type="list" allowBlank="1" showErrorMessage="1" errorTitle="Data restriktion" error="Bara JA eller NEJ från rullist är tillåtet." promptTitle="Data restriction" prompt="Choose YES or NO from drop list." sqref="K8:K10">
      <formula1>$H$6:$H$7</formula1>
    </dataValidation>
    <dataValidation type="list" allowBlank="1" showInputMessage="1" showErrorMessage="1" errorTitle="Data restriction" error="Must be value from list:" sqref="C11:G11">
      <formula1>$H$6:$H$7</formula1>
    </dataValidation>
    <dataValidation type="list" operator="greaterThan" allowBlank="1" showInputMessage="1" showErrorMessage="1" errorTitle="Data restriction" error="Must be value from list." sqref="C20:G20">
      <formula1>$H$18:$H$20</formula1>
    </dataValidation>
    <dataValidation type="decimal" operator="greaterThan" allowBlank="1" showInputMessage="1" showErrorMessage="1" errorTitle="Data restriction" error="Must be a numerical value (percentage) greater than zero." sqref="C14:G14">
      <formula1>0</formula1>
    </dataValidation>
    <dataValidation type="decimal" operator="greaterThan" allowBlank="1" showInputMessage="1" showErrorMessage="1" errorTitle="Data restriction" error="Must be a numerical value greater than zero." sqref="C17:G17">
      <formula1>0</formula1>
    </dataValidation>
    <dataValidation type="list" allowBlank="1" showInputMessage="1" showErrorMessage="1" errorTitle="Data restriction" error="Must be value from list." sqref="C4:G4">
      <formula1>$H$4:$H$5</formula1>
    </dataValidation>
    <dataValidation type="date" operator="greaterThan" allowBlank="1" showInputMessage="1" showErrorMessage="1" errorTitle="Data restriction" error="Must be a date on format YYYY-MM-DD." sqref="C19:G19">
      <formula1>43831</formula1>
    </dataValidation>
    <dataValidation type="list" allowBlank="1" showInputMessage="1" showErrorMessage="1" errorTitle="Data restriction" error="Must be value from list." sqref="C8:G8">
      <formula1>$H$8:$H$17</formula1>
    </dataValidation>
    <dataValidation type="decimal" operator="greaterThanOrEqual" allowBlank="1" showInputMessage="1" showErrorMessage="1" errorTitle="Data restriction" error="Must be a numerical value (percentage) zero or greater." sqref="C12:G12">
      <formula1>0</formula1>
    </dataValidation>
    <dataValidation type="list" allowBlank="1" showInputMessage="1" showErrorMessage="1" errorTitle="Data restriction" error="Must be value from list." sqref="C21:G21">
      <formula1>$H$21:$H$22</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PARTNER'!$B$13:$B$75</xm:f>
          </x14:formula1>
          <xm:sqref>K6:U6</xm:sqref>
        </x14:dataValidation>
        <x14:dataValidation type="list" allowBlank="1" showInputMessage="1" showErrorMessage="1" errorTitle="Data restriction" error="Must be value from list.">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R80"/>
  <sheetViews>
    <sheetView showGridLines="0" zoomScaleNormal="100" workbookViewId="0">
      <pane ySplit="12" topLeftCell="A13" activePane="bottomLeft" state="frozen"/>
      <selection pane="bottomLeft" activeCell="B2" sqref="B2:C2"/>
    </sheetView>
  </sheetViews>
  <sheetFormatPr defaultColWidth="9.109375" defaultRowHeight="13.2" x14ac:dyDescent="0.25"/>
  <cols>
    <col min="1" max="1" width="3.5546875" style="29" customWidth="1"/>
    <col min="2" max="2" width="8.6640625" style="29" customWidth="1"/>
    <col min="3" max="3" width="17.6640625" style="29" customWidth="1"/>
    <col min="4" max="4" width="24.33203125" style="29" customWidth="1"/>
    <col min="5" max="14" width="10.33203125" style="29" customWidth="1"/>
    <col min="15" max="16" width="124.88671875" style="29" hidden="1" customWidth="1"/>
    <col min="17" max="17" width="9.109375" style="29"/>
    <col min="18" max="18" width="9.5546875" style="29" bestFit="1" customWidth="1"/>
    <col min="19" max="16384" width="9.109375" style="29"/>
  </cols>
  <sheetData>
    <row r="1" spans="2:16" ht="15" customHeight="1" x14ac:dyDescent="0.25">
      <c r="I1" s="1048"/>
      <c r="J1" s="1004"/>
      <c r="K1" s="946"/>
      <c r="L1" s="946"/>
      <c r="M1" s="1036" t="str">
        <f>'1. INTRO'!J1</f>
        <v>projectcalculator@slu.se</v>
      </c>
      <c r="N1" s="1036"/>
    </row>
    <row r="2" spans="2:16" ht="15" customHeight="1" x14ac:dyDescent="0.3">
      <c r="B2" s="1046" t="str">
        <f>'1. INTRO'!B2</f>
        <v>SLU project calculator</v>
      </c>
      <c r="C2" s="1047"/>
      <c r="D2" s="316" t="s">
        <v>367</v>
      </c>
      <c r="E2" s="1051" t="s">
        <v>309</v>
      </c>
      <c r="F2" s="1052"/>
      <c r="G2" s="1052"/>
      <c r="H2" s="1052"/>
      <c r="I2" s="309"/>
      <c r="J2" s="318"/>
      <c r="K2" s="318"/>
      <c r="L2" s="318"/>
      <c r="M2" s="318"/>
      <c r="N2" s="318">
        <f>'1. INTRO'!J2</f>
        <v>45677</v>
      </c>
    </row>
    <row r="3" spans="2:16" ht="15" customHeight="1" x14ac:dyDescent="0.3">
      <c r="B3" s="217"/>
      <c r="C3" s="217"/>
      <c r="I3" s="7"/>
    </row>
    <row r="4" spans="2:16" ht="15" customHeight="1" x14ac:dyDescent="0.25">
      <c r="C4" s="313" t="str">
        <f>IF('1. INTRO'!I2="English","Project: ","Projekt: ")</f>
        <v xml:space="preserve">Project: </v>
      </c>
      <c r="D4" s="1062" t="str">
        <f>IF('2. START'!C5="","",'2. START'!C5)</f>
        <v/>
      </c>
      <c r="E4" s="1001"/>
      <c r="F4" s="1001"/>
      <c r="G4" s="1001"/>
      <c r="H4" s="1001"/>
      <c r="I4" s="1001"/>
      <c r="J4" s="1001"/>
      <c r="K4" s="945"/>
      <c r="L4" s="945"/>
      <c r="M4" s="945"/>
      <c r="N4" s="945"/>
    </row>
    <row r="5" spans="2:16" ht="15" customHeight="1" x14ac:dyDescent="0.25">
      <c r="C5" s="313" t="str">
        <f>IF('1. INTRO'!I2="English","Calculation for: ","Kalkyl för: ")</f>
        <v xml:space="preserve">Calculation for: </v>
      </c>
      <c r="D5" s="358" t="str">
        <f>IF('2. START'!$C$4="APPLICATION","APPLICATION",(IF('2. START'!$C$4="CONTRACT","CONTRACT","")))</f>
        <v>APPLICATION</v>
      </c>
      <c r="E5" s="681"/>
      <c r="F5" s="681"/>
      <c r="G5" s="681"/>
      <c r="H5" s="681"/>
      <c r="I5" s="681"/>
      <c r="J5" s="681"/>
      <c r="K5" s="945"/>
      <c r="L5" s="945"/>
      <c r="M5" s="945"/>
      <c r="N5" s="945"/>
    </row>
    <row r="6" spans="2:16" ht="15" customHeight="1" x14ac:dyDescent="0.25">
      <c r="C6" s="35" t="str">
        <f>IF('1. INTRO'!I2="English","Project leader: ","Projektledare: ")</f>
        <v xml:space="preserve">Project leader: </v>
      </c>
      <c r="D6" s="1062" t="str">
        <f>IF('2. START'!C6="","",'2. START'!C6)</f>
        <v/>
      </c>
      <c r="E6" s="1001"/>
      <c r="F6" s="1001"/>
      <c r="G6" s="1001"/>
      <c r="H6" s="1001"/>
      <c r="I6" s="1001"/>
      <c r="J6" s="1001"/>
      <c r="K6" s="945"/>
      <c r="L6" s="945"/>
      <c r="M6" s="945"/>
      <c r="N6" s="945"/>
    </row>
    <row r="7" spans="2:16" ht="15" customHeight="1" x14ac:dyDescent="0.25">
      <c r="B7" s="35"/>
      <c r="C7" s="35"/>
      <c r="D7" s="1053" t="str">
        <f>IF('1. INTRO'!I2="English","Other basic data about the project is in sheet 2.","Övriga grunddata om projektet finns i blad 2.")</f>
        <v>Other basic data about the project is in sheet 2.</v>
      </c>
      <c r="E7" s="1001"/>
      <c r="F7" s="1001"/>
      <c r="G7" s="681"/>
      <c r="H7" s="681"/>
      <c r="I7" s="932"/>
      <c r="J7" s="531"/>
      <c r="K7" s="531"/>
      <c r="L7" s="531"/>
      <c r="M7" s="531"/>
      <c r="N7" s="531"/>
    </row>
    <row r="8" spans="2:16" ht="15" customHeight="1" x14ac:dyDescent="0.3">
      <c r="B8" s="217"/>
      <c r="C8" s="217"/>
      <c r="I8" s="7"/>
    </row>
    <row r="9" spans="2:16" s="531" customFormat="1" ht="60" customHeight="1" x14ac:dyDescent="0.25">
      <c r="B9" s="530" t="s">
        <v>300</v>
      </c>
      <c r="C9" s="1037" t="str">
        <f>IF('1. INTRO'!I2="English",O9,P9)</f>
        <v>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or on PERSON+OPERATION. If education (UTB) is choosen in sheet 2 cell C20 percent for indirect and facility below in column K-N are used in the calculation, otherwise percent in column G-J are used in the calculation.</v>
      </c>
      <c r="D9" s="1038"/>
      <c r="E9" s="1038"/>
      <c r="F9" s="1038"/>
      <c r="G9" s="1038"/>
      <c r="H9" s="1038"/>
      <c r="I9" s="1038"/>
      <c r="J9" s="1038"/>
      <c r="K9" s="1038"/>
      <c r="L9" s="1038"/>
      <c r="M9" s="1038"/>
      <c r="N9" s="1038"/>
      <c r="O9" s="673" t="s">
        <v>369</v>
      </c>
      <c r="P9" s="673" t="s">
        <v>368</v>
      </c>
    </row>
    <row r="10" spans="2:16" ht="15" customHeight="1" x14ac:dyDescent="0.25">
      <c r="B10" s="1039" t="s">
        <v>303</v>
      </c>
      <c r="C10" s="1039" t="str">
        <f>IF('1. INTRO'!$I$2="English","Partner name","Partner namn")</f>
        <v>Partner name</v>
      </c>
      <c r="D10" s="1040"/>
      <c r="E10" s="1041" t="str">
        <f>IF('1. INTRO'!I2="English","LKP social costs","LKP")</f>
        <v>LKP social costs</v>
      </c>
      <c r="F10" s="1041" t="str">
        <f>IF('1. INTRO'!I2="English","Salary rise","Löne-ökning")</f>
        <v>Salary rise</v>
      </c>
      <c r="G10" s="1042" t="str">
        <f>IF('1. INTRO'!I2="English","Research &amp; Envornmental Monitoring","Forskning &amp; Miljöanalys")</f>
        <v>Research &amp; Envornmental Monitoring</v>
      </c>
      <c r="H10" s="1043"/>
      <c r="I10" s="1043"/>
      <c r="J10" s="1043"/>
      <c r="K10" s="1042" t="str">
        <f>IF('1. INTRO'!I2="English","Education (first- &amp; second-cycle)","Utbildning (grund- &amp; avancerad nivå)")</f>
        <v>Education (first- &amp; second-cycle)</v>
      </c>
      <c r="L10" s="1043"/>
      <c r="M10" s="1043"/>
      <c r="N10" s="1043"/>
    </row>
    <row r="11" spans="2:16" ht="15" customHeight="1" x14ac:dyDescent="0.25">
      <c r="B11" s="1040"/>
      <c r="C11" s="1040"/>
      <c r="D11" s="1040"/>
      <c r="E11" s="1040"/>
      <c r="F11" s="1040"/>
      <c r="G11" s="1044" t="s">
        <v>158</v>
      </c>
      <c r="H11" s="1045"/>
      <c r="I11" s="1044" t="s">
        <v>159</v>
      </c>
      <c r="J11" s="1045"/>
      <c r="K11" s="1044" t="s">
        <v>158</v>
      </c>
      <c r="L11" s="1045"/>
      <c r="M11" s="1044" t="s">
        <v>159</v>
      </c>
      <c r="N11" s="1045"/>
    </row>
    <row r="12" spans="2:16" ht="15" customHeight="1" x14ac:dyDescent="0.25">
      <c r="B12" s="1040"/>
      <c r="C12" s="1040"/>
      <c r="D12" s="1040"/>
      <c r="E12" s="1040"/>
      <c r="F12" s="1040"/>
      <c r="G12" s="338" t="str">
        <f>IF('1. INTRO'!$I2="English","Indirect","Indirekt")</f>
        <v>Indirect</v>
      </c>
      <c r="H12" s="338" t="str">
        <f>IF('1. INTRO'!$I2="English","Facility","Lokal")</f>
        <v>Facility</v>
      </c>
      <c r="I12" s="338" t="str">
        <f>IF('1. INTRO'!$I2="English","Indirect","Indirekt")</f>
        <v>Indirect</v>
      </c>
      <c r="J12" s="338" t="str">
        <f>IF('1. INTRO'!$I2="English","Facility","Lokal")</f>
        <v>Facility</v>
      </c>
      <c r="K12" s="338" t="str">
        <f>IF('1. INTRO'!$I2="English","Indirect","Indirekt")</f>
        <v>Indirect</v>
      </c>
      <c r="L12" s="338" t="str">
        <f>IF('1. INTRO'!$I2="English","Facility","Lokal")</f>
        <v>Facility</v>
      </c>
      <c r="M12" s="338" t="str">
        <f>IF('1. INTRO'!$I2="English","Indirect","Indirekt")</f>
        <v>Indirect</v>
      </c>
      <c r="N12" s="338" t="str">
        <f>IF('1. INTRO'!$I2="English","Facility","Lokal")</f>
        <v>Facility</v>
      </c>
      <c r="O12" s="79"/>
    </row>
    <row r="13" spans="2:16" ht="15" customHeight="1" x14ac:dyDescent="0.25">
      <c r="B13" s="947" t="s">
        <v>198</v>
      </c>
      <c r="C13" s="1060" t="str">
        <f>IF('1. INTRO'!I$2="English",O13,P13)</f>
        <v>University administration</v>
      </c>
      <c r="D13" s="1061"/>
      <c r="E13" s="319">
        <v>0.5595</v>
      </c>
      <c r="F13" s="320">
        <v>0.02</v>
      </c>
      <c r="G13" s="990">
        <v>0.16000843770704321</v>
      </c>
      <c r="H13" s="990">
        <v>0</v>
      </c>
      <c r="I13" s="219"/>
      <c r="J13" s="339"/>
      <c r="K13" s="991">
        <v>0.13801913003616931</v>
      </c>
      <c r="L13" s="991">
        <v>0</v>
      </c>
      <c r="M13" s="948"/>
      <c r="N13" s="948"/>
      <c r="O13" s="327" t="s">
        <v>108</v>
      </c>
      <c r="P13" s="327" t="s">
        <v>265</v>
      </c>
    </row>
    <row r="14" spans="2:16" s="216" customFormat="1" ht="15" customHeight="1" x14ac:dyDescent="0.25">
      <c r="B14" s="310" t="s">
        <v>199</v>
      </c>
      <c r="C14" s="1056" t="str">
        <f>IF('1. INTRO'!I$2="English",O14,P14)</f>
        <v>Aquatic Resources</v>
      </c>
      <c r="D14" s="1057"/>
      <c r="E14" s="321">
        <v>0.5595</v>
      </c>
      <c r="F14" s="322">
        <v>0.02</v>
      </c>
      <c r="G14" s="955">
        <v>0.53905025847497823</v>
      </c>
      <c r="H14" s="955">
        <v>0.10439999999999999</v>
      </c>
      <c r="I14" s="219"/>
      <c r="J14" s="339"/>
      <c r="K14" s="992">
        <v>0.33637797813618775</v>
      </c>
      <c r="L14" s="992">
        <v>0.10439999999999999</v>
      </c>
      <c r="M14" s="339"/>
      <c r="N14" s="339"/>
      <c r="O14" s="327" t="s">
        <v>45</v>
      </c>
      <c r="P14" s="327" t="s">
        <v>266</v>
      </c>
    </row>
    <row r="15" spans="2:16" s="216" customFormat="1" ht="15" customHeight="1" x14ac:dyDescent="0.25">
      <c r="B15" s="359" t="s">
        <v>200</v>
      </c>
      <c r="C15" s="1058" t="str">
        <f>IF('1. INTRO'!I$2="English",O15,P15)</f>
        <v>SLU-library</v>
      </c>
      <c r="D15" s="1059"/>
      <c r="E15" s="319">
        <v>0.5595</v>
      </c>
      <c r="F15" s="320">
        <v>0.02</v>
      </c>
      <c r="G15" s="954">
        <v>0.16000843770704321</v>
      </c>
      <c r="H15" s="954">
        <v>0</v>
      </c>
      <c r="I15" s="219"/>
      <c r="J15" s="339"/>
      <c r="K15" s="991">
        <v>0.13801913003616931</v>
      </c>
      <c r="L15" s="991">
        <v>0</v>
      </c>
      <c r="M15" s="339"/>
      <c r="N15" s="339"/>
      <c r="O15" s="327" t="s">
        <v>67</v>
      </c>
      <c r="P15" s="327" t="s">
        <v>267</v>
      </c>
    </row>
    <row r="16" spans="2:16" s="216" customFormat="1" ht="15" customHeight="1" x14ac:dyDescent="0.25">
      <c r="B16" s="310" t="s">
        <v>201</v>
      </c>
      <c r="C16" s="1056" t="str">
        <f>IF('1. INTRO'!I$2="English",O16,P16)</f>
        <v>Field-based Forest Research</v>
      </c>
      <c r="D16" s="1057"/>
      <c r="E16" s="321">
        <v>0.5595</v>
      </c>
      <c r="F16" s="322">
        <v>0.02</v>
      </c>
      <c r="G16" s="955">
        <v>0.34014355703703958</v>
      </c>
      <c r="H16" s="955">
        <v>0</v>
      </c>
      <c r="I16" s="219"/>
      <c r="J16" s="339"/>
      <c r="K16" s="992">
        <v>0.16701913003616931</v>
      </c>
      <c r="L16" s="992">
        <v>0</v>
      </c>
      <c r="M16" s="339"/>
      <c r="N16" s="339"/>
      <c r="O16" s="327" t="s">
        <v>53</v>
      </c>
      <c r="P16" s="327" t="s">
        <v>268</v>
      </c>
    </row>
    <row r="17" spans="2:16" ht="15" customHeight="1" x14ac:dyDescent="0.25">
      <c r="B17" s="359" t="s">
        <v>202</v>
      </c>
      <c r="C17" s="1058" t="str">
        <f>IF('1. INTRO'!I$2="English",O17,P17)</f>
        <v>School for Forest Management</v>
      </c>
      <c r="D17" s="1059"/>
      <c r="E17" s="319">
        <v>0.5595</v>
      </c>
      <c r="F17" s="320">
        <v>0.02</v>
      </c>
      <c r="G17" s="954">
        <v>0.38981268738222552</v>
      </c>
      <c r="H17" s="954">
        <v>0.1704</v>
      </c>
      <c r="I17" s="219"/>
      <c r="J17" s="339"/>
      <c r="K17" s="991">
        <v>0.34953982007564566</v>
      </c>
      <c r="L17" s="991">
        <v>0.1704</v>
      </c>
      <c r="M17" s="339"/>
      <c r="N17" s="339"/>
      <c r="O17" s="327" t="s">
        <v>66</v>
      </c>
      <c r="P17" s="327" t="s">
        <v>269</v>
      </c>
    </row>
    <row r="18" spans="2:16" s="216" customFormat="1" ht="15" customHeight="1" x14ac:dyDescent="0.25">
      <c r="B18" s="310" t="s">
        <v>203</v>
      </c>
      <c r="C18" s="1056" t="str">
        <f>IF('1. INTRO'!I$2="English",O18,P18)</f>
        <v>Forest Ecology and Management</v>
      </c>
      <c r="D18" s="1057"/>
      <c r="E18" s="321">
        <v>0.5595</v>
      </c>
      <c r="F18" s="322">
        <v>0.02</v>
      </c>
      <c r="G18" s="955">
        <v>0.37292755492546437</v>
      </c>
      <c r="H18" s="955">
        <v>6.8400000000000002E-2</v>
      </c>
      <c r="I18" s="219"/>
      <c r="J18" s="339"/>
      <c r="K18" s="992">
        <v>0.37915381097884576</v>
      </c>
      <c r="L18" s="992">
        <v>6.8400000000000002E-2</v>
      </c>
      <c r="M18" s="339"/>
      <c r="N18" s="339"/>
      <c r="O18" s="327" t="s">
        <v>55</v>
      </c>
      <c r="P18" s="327" t="s">
        <v>270</v>
      </c>
    </row>
    <row r="19" spans="2:16" ht="15" customHeight="1" x14ac:dyDescent="0.25">
      <c r="B19" s="359" t="s">
        <v>204</v>
      </c>
      <c r="C19" s="1058" t="str">
        <f>IF('1. INTRO'!I$2="English",O19,P19)</f>
        <v>Wildlife, Fish and Environmental Studies</v>
      </c>
      <c r="D19" s="1059"/>
      <c r="E19" s="319">
        <v>0.5595</v>
      </c>
      <c r="F19" s="320">
        <v>0.02</v>
      </c>
      <c r="G19" s="954">
        <v>0.41190974681466436</v>
      </c>
      <c r="H19" s="954">
        <v>8.8100000000000012E-2</v>
      </c>
      <c r="I19" s="219"/>
      <c r="J19" s="339"/>
      <c r="K19" s="991">
        <v>0.43470144165640112</v>
      </c>
      <c r="L19" s="991">
        <v>6.5299999999999997E-2</v>
      </c>
      <c r="M19" s="339"/>
      <c r="N19" s="339"/>
      <c r="O19" s="327" t="s">
        <v>114</v>
      </c>
      <c r="P19" s="327" t="s">
        <v>271</v>
      </c>
    </row>
    <row r="20" spans="2:16" s="216" customFormat="1" ht="15" customHeight="1" x14ac:dyDescent="0.25">
      <c r="B20" s="310" t="s">
        <v>205</v>
      </c>
      <c r="C20" s="1056" t="str">
        <f>IF('1. INTRO'!I$2="English",O20,P20)</f>
        <v xml:space="preserve">Forest Resource Management </v>
      </c>
      <c r="D20" s="1057"/>
      <c r="E20" s="321">
        <v>0.5595</v>
      </c>
      <c r="F20" s="322">
        <v>0.02</v>
      </c>
      <c r="G20" s="955">
        <v>0.39000845098269099</v>
      </c>
      <c r="H20" s="955">
        <v>0.09</v>
      </c>
      <c r="I20" s="219"/>
      <c r="J20" s="339"/>
      <c r="K20" s="992">
        <v>0.39001928591644197</v>
      </c>
      <c r="L20" s="992">
        <v>0.09</v>
      </c>
      <c r="M20" s="339"/>
      <c r="N20" s="339"/>
      <c r="O20" s="327" t="s">
        <v>60</v>
      </c>
      <c r="P20" s="327" t="s">
        <v>272</v>
      </c>
    </row>
    <row r="21" spans="2:16" s="216" customFormat="1" ht="15" customHeight="1" x14ac:dyDescent="0.25">
      <c r="B21" s="359" t="s">
        <v>206</v>
      </c>
      <c r="C21" s="1058" t="str">
        <f>IF('1. INTRO'!I$2="English",O21,P21)</f>
        <v>Aquatic Sciences and Assessment</v>
      </c>
      <c r="D21" s="1059"/>
      <c r="E21" s="319">
        <v>0.5595</v>
      </c>
      <c r="F21" s="320">
        <v>0.02</v>
      </c>
      <c r="G21" s="954">
        <v>0.38189754364245565</v>
      </c>
      <c r="H21" s="954">
        <v>0.14810000000000001</v>
      </c>
      <c r="I21" s="219"/>
      <c r="J21" s="339"/>
      <c r="K21" s="991">
        <v>0.32232044390285519</v>
      </c>
      <c r="L21" s="991">
        <v>0.14810000000000001</v>
      </c>
      <c r="M21" s="339"/>
      <c r="N21" s="339"/>
      <c r="O21" s="327" t="s">
        <v>46</v>
      </c>
      <c r="P21" s="327" t="s">
        <v>273</v>
      </c>
    </row>
    <row r="22" spans="2:16" ht="15" customHeight="1" x14ac:dyDescent="0.25">
      <c r="B22" s="310" t="s">
        <v>207</v>
      </c>
      <c r="C22" s="1056" t="str">
        <f>IF('1. INTRO'!I$2="English",O22,P22)</f>
        <v>Southern Swedish Forest Research Centre</v>
      </c>
      <c r="D22" s="1057"/>
      <c r="E22" s="321">
        <v>0.5595</v>
      </c>
      <c r="F22" s="322">
        <v>0.02</v>
      </c>
      <c r="G22" s="955">
        <v>0.3950400095772939</v>
      </c>
      <c r="H22" s="955">
        <v>7.0000000000000007E-2</v>
      </c>
      <c r="I22" s="219"/>
      <c r="J22" s="339"/>
      <c r="K22" s="992">
        <v>0.35305539371445921</v>
      </c>
      <c r="L22" s="992">
        <v>7.0000000000000007E-2</v>
      </c>
      <c r="M22" s="339"/>
      <c r="N22" s="339"/>
      <c r="O22" s="327" t="s">
        <v>70</v>
      </c>
      <c r="P22" s="327" t="s">
        <v>274</v>
      </c>
    </row>
    <row r="23" spans="2:16" s="216" customFormat="1" ht="15" customHeight="1" x14ac:dyDescent="0.25">
      <c r="B23" s="359" t="s">
        <v>208</v>
      </c>
      <c r="C23" s="1058" t="str">
        <f>IF('1. INTRO'!I$2="English",O23,P23)</f>
        <v>Forest Economics</v>
      </c>
      <c r="D23" s="1059"/>
      <c r="E23" s="319">
        <v>0.5595</v>
      </c>
      <c r="F23" s="320">
        <v>0.02</v>
      </c>
      <c r="G23" s="954">
        <v>0.41564692190572122</v>
      </c>
      <c r="H23" s="954">
        <v>7.2999999999999995E-2</v>
      </c>
      <c r="I23" s="219"/>
      <c r="J23" s="339"/>
      <c r="K23" s="991">
        <v>0.45508988741989109</v>
      </c>
      <c r="L23" s="991">
        <v>7.2999999999999995E-2</v>
      </c>
      <c r="M23" s="339"/>
      <c r="N23" s="339"/>
      <c r="O23" s="327" t="s">
        <v>56</v>
      </c>
      <c r="P23" s="327" t="s">
        <v>275</v>
      </c>
    </row>
    <row r="24" spans="2:16" s="216" customFormat="1" ht="15" customHeight="1" x14ac:dyDescent="0.25">
      <c r="B24" s="310" t="s">
        <v>209</v>
      </c>
      <c r="C24" s="1056" t="str">
        <f>IF('1. INTRO'!I$2="English",O24,P24)</f>
        <v>Forest Genetics and Plant Physiology</v>
      </c>
      <c r="D24" s="1057"/>
      <c r="E24" s="321">
        <v>0.5595</v>
      </c>
      <c r="F24" s="322">
        <v>0.02</v>
      </c>
      <c r="G24" s="955">
        <v>0.39456681519900993</v>
      </c>
      <c r="H24" s="955">
        <v>0.1231</v>
      </c>
      <c r="I24" s="219"/>
      <c r="J24" s="339"/>
      <c r="K24" s="992">
        <v>0.36116617130228934</v>
      </c>
      <c r="L24" s="992">
        <v>0.1231</v>
      </c>
      <c r="M24" s="339"/>
      <c r="N24" s="339"/>
      <c r="O24" s="327" t="s">
        <v>57</v>
      </c>
      <c r="P24" s="327" t="s">
        <v>276</v>
      </c>
    </row>
    <row r="25" spans="2:16" s="216" customFormat="1" ht="15" customHeight="1" x14ac:dyDescent="0.25">
      <c r="B25" s="359" t="s">
        <v>210</v>
      </c>
      <c r="C25" s="1058" t="str">
        <f>IF('1. INTRO'!I$2="English",O25,P25)</f>
        <v>Forest Mycology and Plant Pathology NJ</v>
      </c>
      <c r="D25" s="1059"/>
      <c r="E25" s="319">
        <v>0.5595</v>
      </c>
      <c r="F25" s="320">
        <v>0.02</v>
      </c>
      <c r="G25" s="954">
        <v>0.42571240708495195</v>
      </c>
      <c r="H25" s="954">
        <v>0.17920000000000003</v>
      </c>
      <c r="I25" s="219"/>
      <c r="J25" s="339"/>
      <c r="K25" s="991">
        <v>0.37885031650971412</v>
      </c>
      <c r="L25" s="991">
        <v>8.7400000000000005E-2</v>
      </c>
      <c r="M25" s="339"/>
      <c r="N25" s="339"/>
      <c r="O25" s="327" t="s">
        <v>58</v>
      </c>
      <c r="P25" s="327" t="s">
        <v>277</v>
      </c>
    </row>
    <row r="26" spans="2:16" ht="15" customHeight="1" x14ac:dyDescent="0.25">
      <c r="B26" s="310" t="s">
        <v>211</v>
      </c>
      <c r="C26" s="1056" t="str">
        <f>IF('1. INTRO'!I$2="English",O26,P26)</f>
        <v>Forest Mycology and Plant Pathology S</v>
      </c>
      <c r="D26" s="1057"/>
      <c r="E26" s="321">
        <v>0.5595</v>
      </c>
      <c r="F26" s="322">
        <v>0.02</v>
      </c>
      <c r="G26" s="955">
        <v>0.42571240708495195</v>
      </c>
      <c r="H26" s="955">
        <v>0.17920000000000003</v>
      </c>
      <c r="I26" s="219"/>
      <c r="J26" s="339"/>
      <c r="K26" s="992">
        <v>0.37885031650971412</v>
      </c>
      <c r="L26" s="992">
        <v>8.7400000000000005E-2</v>
      </c>
      <c r="M26" s="339"/>
      <c r="N26" s="339"/>
      <c r="O26" s="327" t="s">
        <v>59</v>
      </c>
      <c r="P26" s="327" t="s">
        <v>278</v>
      </c>
    </row>
    <row r="27" spans="2:16" ht="15" customHeight="1" x14ac:dyDescent="0.25">
      <c r="B27" s="359" t="s">
        <v>212</v>
      </c>
      <c r="C27" s="1058" t="str">
        <f>IF('1. INTRO'!I$2="English",O27,P27)</f>
        <v>Ecology NJ</v>
      </c>
      <c r="D27" s="1059"/>
      <c r="E27" s="319">
        <v>0.5595</v>
      </c>
      <c r="F27" s="320">
        <v>0.02</v>
      </c>
      <c r="G27" s="954">
        <v>0.47464596392278413</v>
      </c>
      <c r="H27" s="954">
        <v>0.1343</v>
      </c>
      <c r="I27" s="219"/>
      <c r="J27" s="339"/>
      <c r="K27" s="991">
        <v>0.5341570165458781</v>
      </c>
      <c r="L27" s="991">
        <v>0.1343</v>
      </c>
      <c r="M27" s="339"/>
      <c r="N27" s="339"/>
      <c r="O27" s="327" t="s">
        <v>49</v>
      </c>
      <c r="P27" s="327" t="s">
        <v>279</v>
      </c>
    </row>
    <row r="28" spans="2:16" ht="15" customHeight="1" x14ac:dyDescent="0.25">
      <c r="B28" s="310" t="s">
        <v>213</v>
      </c>
      <c r="C28" s="1056" t="str">
        <f>IF('1. INTRO'!I$2="English",O28,P28)</f>
        <v>Ecology S</v>
      </c>
      <c r="D28" s="1057"/>
      <c r="E28" s="321">
        <v>0.5595</v>
      </c>
      <c r="F28" s="322">
        <v>0.02</v>
      </c>
      <c r="G28" s="955">
        <v>0.47464596392278413</v>
      </c>
      <c r="H28" s="955">
        <v>0.1343</v>
      </c>
      <c r="I28" s="219"/>
      <c r="J28" s="339"/>
      <c r="K28" s="992">
        <v>0.5341570165458781</v>
      </c>
      <c r="L28" s="992">
        <v>0.1343</v>
      </c>
      <c r="M28" s="339"/>
      <c r="N28" s="339"/>
      <c r="O28" s="327" t="s">
        <v>50</v>
      </c>
      <c r="P28" s="327" t="s">
        <v>280</v>
      </c>
    </row>
    <row r="29" spans="2:16" ht="15" customHeight="1" x14ac:dyDescent="0.25">
      <c r="B29" s="359" t="s">
        <v>214</v>
      </c>
      <c r="C29" s="1058" t="str">
        <f>IF('1. INTRO'!I$2="English",O29,P29)</f>
        <v>Molecular sciences</v>
      </c>
      <c r="D29" s="1059"/>
      <c r="E29" s="319">
        <v>0.5595</v>
      </c>
      <c r="F29" s="320">
        <v>0.02</v>
      </c>
      <c r="G29" s="954">
        <v>0.37679906234705168</v>
      </c>
      <c r="H29" s="954">
        <v>0.25420000000000004</v>
      </c>
      <c r="I29" s="219"/>
      <c r="J29" s="339"/>
      <c r="K29" s="991">
        <v>0.71429452363955359</v>
      </c>
      <c r="L29" s="991">
        <v>0.11900000000000001</v>
      </c>
      <c r="M29" s="339"/>
      <c r="N29" s="339"/>
      <c r="O29" s="327" t="s">
        <v>62</v>
      </c>
      <c r="P29" s="327" t="s">
        <v>281</v>
      </c>
    </row>
    <row r="30" spans="2:16" ht="15" customHeight="1" x14ac:dyDescent="0.25">
      <c r="B30" s="310" t="s">
        <v>215</v>
      </c>
      <c r="C30" s="1056" t="str">
        <f>IF('1. INTRO'!I$2="English",O30,P30)</f>
        <v>Soil and Environment NJ</v>
      </c>
      <c r="D30" s="1057"/>
      <c r="E30" s="321">
        <v>0.5595</v>
      </c>
      <c r="F30" s="322">
        <v>0.02</v>
      </c>
      <c r="G30" s="955">
        <v>0.42609403431835702</v>
      </c>
      <c r="H30" s="955">
        <v>0.19</v>
      </c>
      <c r="I30" s="219"/>
      <c r="J30" s="339"/>
      <c r="K30" s="992">
        <v>0.5757239177826371</v>
      </c>
      <c r="L30" s="992">
        <v>0</v>
      </c>
      <c r="M30" s="339"/>
      <c r="N30" s="339"/>
      <c r="O30" s="327" t="s">
        <v>68</v>
      </c>
      <c r="P30" s="327" t="s">
        <v>282</v>
      </c>
    </row>
    <row r="31" spans="2:16" ht="15" customHeight="1" x14ac:dyDescent="0.25">
      <c r="B31" s="359" t="s">
        <v>216</v>
      </c>
      <c r="C31" s="1058" t="str">
        <f>IF('1. INTRO'!I$2="English",O31,P31)</f>
        <v>Soil and Environment S</v>
      </c>
      <c r="D31" s="1059"/>
      <c r="E31" s="319">
        <v>0.5595</v>
      </c>
      <c r="F31" s="320">
        <v>0.02</v>
      </c>
      <c r="G31" s="954">
        <v>0.42609403431835702</v>
      </c>
      <c r="H31" s="954">
        <v>0.19</v>
      </c>
      <c r="I31" s="219"/>
      <c r="J31" s="339"/>
      <c r="K31" s="991">
        <v>0.5757239177826371</v>
      </c>
      <c r="L31" s="991">
        <v>0</v>
      </c>
      <c r="M31" s="339"/>
      <c r="N31" s="339"/>
      <c r="O31" s="327" t="s">
        <v>69</v>
      </c>
      <c r="P31" s="327" t="s">
        <v>283</v>
      </c>
    </row>
    <row r="32" spans="2:16" s="216" customFormat="1" ht="15" customHeight="1" x14ac:dyDescent="0.25">
      <c r="B32" s="310" t="s">
        <v>217</v>
      </c>
      <c r="C32" s="1056" t="str">
        <f>IF('1. INTRO'!I$2="English",O32,P32)</f>
        <v>Plant Biology</v>
      </c>
      <c r="D32" s="1057"/>
      <c r="E32" s="321">
        <v>0.5595</v>
      </c>
      <c r="F32" s="322">
        <v>0.02</v>
      </c>
      <c r="G32" s="955">
        <v>0.38486689389491036</v>
      </c>
      <c r="H32" s="955">
        <v>0.20069999999999999</v>
      </c>
      <c r="I32" s="219"/>
      <c r="J32" s="339"/>
      <c r="K32" s="992">
        <v>0.55669646096275682</v>
      </c>
      <c r="L32" s="992">
        <v>9.2300000000000007E-2</v>
      </c>
      <c r="M32" s="339"/>
      <c r="N32" s="339"/>
      <c r="O32" s="327" t="s">
        <v>63</v>
      </c>
      <c r="P32" s="327" t="s">
        <v>284</v>
      </c>
    </row>
    <row r="33" spans="2:18" ht="15" customHeight="1" x14ac:dyDescent="0.25">
      <c r="B33" s="359" t="s">
        <v>314</v>
      </c>
      <c r="C33" s="1058" t="str">
        <f>IF('1. INTRO'!I$2="English",O33,P33)</f>
        <v>Crop Production Ecology</v>
      </c>
      <c r="D33" s="1059"/>
      <c r="E33" s="319">
        <v>0.5595</v>
      </c>
      <c r="F33" s="320">
        <v>0.02</v>
      </c>
      <c r="G33" s="954">
        <v>0.44552423339273017</v>
      </c>
      <c r="H33" s="954">
        <v>0.1754</v>
      </c>
      <c r="I33" s="219"/>
      <c r="J33" s="339"/>
      <c r="K33" s="991">
        <v>0.70419570461273218</v>
      </c>
      <c r="L33" s="991">
        <v>0.1754</v>
      </c>
      <c r="M33" s="339"/>
      <c r="N33" s="339"/>
      <c r="O33" s="327" t="s">
        <v>48</v>
      </c>
      <c r="P33" s="327" t="s">
        <v>285</v>
      </c>
    </row>
    <row r="34" spans="2:18" s="216" customFormat="1" ht="15" customHeight="1" x14ac:dyDescent="0.25">
      <c r="B34" s="310" t="s">
        <v>218</v>
      </c>
      <c r="C34" s="1056" t="str">
        <f>IF('1. INTRO'!I$2="English",O34,P34)</f>
        <v>Economics</v>
      </c>
      <c r="D34" s="1057"/>
      <c r="E34" s="321">
        <v>0.5595</v>
      </c>
      <c r="F34" s="322">
        <v>0.02</v>
      </c>
      <c r="G34" s="955">
        <v>0.35606253915144653</v>
      </c>
      <c r="H34" s="955">
        <v>7.400000000000001E-2</v>
      </c>
      <c r="I34" s="219"/>
      <c r="J34" s="339"/>
      <c r="K34" s="992">
        <v>0.87601185149286553</v>
      </c>
      <c r="L34" s="992">
        <v>7.400000000000001E-2</v>
      </c>
      <c r="M34" s="339"/>
      <c r="N34" s="339"/>
      <c r="O34" s="327" t="s">
        <v>51</v>
      </c>
      <c r="P34" s="327" t="s">
        <v>286</v>
      </c>
    </row>
    <row r="35" spans="2:18" s="216" customFormat="1" ht="15" customHeight="1" x14ac:dyDescent="0.25">
      <c r="B35" s="359" t="s">
        <v>219</v>
      </c>
      <c r="C35" s="1058" t="str">
        <f>IF('1. INTRO'!I$2="English",O35,P35)</f>
        <v>Forest Biomaterials and Technology</v>
      </c>
      <c r="D35" s="1059"/>
      <c r="E35" s="319">
        <v>0.5595</v>
      </c>
      <c r="F35" s="320">
        <v>0.02</v>
      </c>
      <c r="G35" s="954">
        <v>0.37965350262558162</v>
      </c>
      <c r="H35" s="954">
        <v>0.1061</v>
      </c>
      <c r="I35" s="219"/>
      <c r="J35" s="339"/>
      <c r="K35" s="991">
        <v>0.4821261346804977</v>
      </c>
      <c r="L35" s="991">
        <v>7.2300000000000003E-2</v>
      </c>
      <c r="M35" s="339"/>
      <c r="N35" s="339"/>
      <c r="O35" s="327" t="s">
        <v>54</v>
      </c>
      <c r="P35" s="327" t="s">
        <v>287</v>
      </c>
    </row>
    <row r="36" spans="2:18" s="216" customFormat="1" ht="15" customHeight="1" x14ac:dyDescent="0.25">
      <c r="B36" s="310" t="s">
        <v>220</v>
      </c>
      <c r="C36" s="1056" t="str">
        <f>IF('1. INTRO'!I$2="English",O36,P36)</f>
        <v>Energy and Technology</v>
      </c>
      <c r="D36" s="1057"/>
      <c r="E36" s="321">
        <v>0.5595</v>
      </c>
      <c r="F36" s="322">
        <v>0.02</v>
      </c>
      <c r="G36" s="955">
        <v>0.36226794050702549</v>
      </c>
      <c r="H36" s="955">
        <v>9.7599999999999992E-2</v>
      </c>
      <c r="I36" s="219"/>
      <c r="J36" s="339"/>
      <c r="K36" s="992">
        <v>0.31404428539530316</v>
      </c>
      <c r="L36" s="992">
        <v>9.7599999999999992E-2</v>
      </c>
      <c r="M36" s="339"/>
      <c r="N36" s="339"/>
      <c r="O36" s="327" t="s">
        <v>52</v>
      </c>
      <c r="P36" s="327" t="s">
        <v>288</v>
      </c>
    </row>
    <row r="37" spans="2:18" s="216" customFormat="1" ht="15" customHeight="1" x14ac:dyDescent="0.25">
      <c r="B37" s="359" t="s">
        <v>221</v>
      </c>
      <c r="C37" s="1058" t="str">
        <f>IF('1. INTRO'!I$2="English",O37,P37)</f>
        <v>Urban and Rural Development LTV</v>
      </c>
      <c r="D37" s="1059"/>
      <c r="E37" s="319">
        <v>0.5595</v>
      </c>
      <c r="F37" s="320">
        <v>0.02</v>
      </c>
      <c r="G37" s="954">
        <v>0.38079409730884561</v>
      </c>
      <c r="H37" s="954">
        <v>8.1199999999999994E-2</v>
      </c>
      <c r="I37" s="219"/>
      <c r="J37" s="339"/>
      <c r="K37" s="991">
        <v>0.34321721408422856</v>
      </c>
      <c r="L37" s="991">
        <v>8.1199999999999994E-2</v>
      </c>
      <c r="M37" s="339"/>
      <c r="N37" s="339"/>
      <c r="O37" s="327" t="s">
        <v>74</v>
      </c>
      <c r="P37" s="327" t="s">
        <v>289</v>
      </c>
    </row>
    <row r="38" spans="2:18" s="216" customFormat="1" ht="15" customHeight="1" x14ac:dyDescent="0.25">
      <c r="B38" s="310" t="s">
        <v>222</v>
      </c>
      <c r="C38" s="1056" t="str">
        <f>IF('1. INTRO'!I$2="English",O38,P38)</f>
        <v>Urban and Rural Development NJ</v>
      </c>
      <c r="D38" s="1057"/>
      <c r="E38" s="321">
        <v>0.5595</v>
      </c>
      <c r="F38" s="322">
        <v>0.02</v>
      </c>
      <c r="G38" s="955">
        <v>0.38079409730884561</v>
      </c>
      <c r="H38" s="955">
        <v>8.1199999999999994E-2</v>
      </c>
      <c r="I38" s="219"/>
      <c r="J38" s="339"/>
      <c r="K38" s="992">
        <v>0.34321721408422856</v>
      </c>
      <c r="L38" s="992">
        <v>8.1199999999999994E-2</v>
      </c>
      <c r="M38" s="339"/>
      <c r="N38" s="339"/>
      <c r="O38" s="327" t="s">
        <v>75</v>
      </c>
      <c r="P38" s="327" t="s">
        <v>290</v>
      </c>
    </row>
    <row r="39" spans="2:18" ht="15" customHeight="1" x14ac:dyDescent="0.25">
      <c r="B39" s="359" t="s">
        <v>223</v>
      </c>
      <c r="C39" s="1058" t="str">
        <f>IF('1. INTRO'!I$2="English",O39,P39)</f>
        <v>Plant Protection Biology</v>
      </c>
      <c r="D39" s="1059"/>
      <c r="E39" s="319">
        <v>0.5595</v>
      </c>
      <c r="F39" s="320">
        <v>0.02</v>
      </c>
      <c r="G39" s="954">
        <v>0.43301083430150011</v>
      </c>
      <c r="H39" s="954">
        <v>0.17</v>
      </c>
      <c r="I39" s="219"/>
      <c r="J39" s="339"/>
      <c r="K39" s="991">
        <v>0.3869979070658402</v>
      </c>
      <c r="L39" s="991">
        <v>0.17</v>
      </c>
      <c r="M39" s="339"/>
      <c r="N39" s="339"/>
      <c r="O39" s="327" t="s">
        <v>65</v>
      </c>
      <c r="P39" s="327" t="s">
        <v>291</v>
      </c>
    </row>
    <row r="40" spans="2:18" s="216" customFormat="1" ht="15" customHeight="1" x14ac:dyDescent="0.25">
      <c r="B40" s="310" t="s">
        <v>224</v>
      </c>
      <c r="C40" s="1056" t="str">
        <f>IF('1. INTRO'!I$2="English",O40,P40)</f>
        <v>People and Society</v>
      </c>
      <c r="D40" s="1057"/>
      <c r="E40" s="321">
        <v>0.5595</v>
      </c>
      <c r="F40" s="322">
        <v>0.02</v>
      </c>
      <c r="G40" s="955">
        <v>0.40555694559207034</v>
      </c>
      <c r="H40" s="955">
        <v>5.6500000000000002E-2</v>
      </c>
      <c r="I40" s="219"/>
      <c r="J40" s="339"/>
      <c r="K40" s="992">
        <v>0.3595741409789463</v>
      </c>
      <c r="L40" s="992">
        <v>5.6500000000000002E-2</v>
      </c>
      <c r="M40" s="339"/>
      <c r="N40" s="339"/>
      <c r="O40" s="327" t="s">
        <v>109</v>
      </c>
      <c r="P40" s="327" t="s">
        <v>292</v>
      </c>
    </row>
    <row r="41" spans="2:18" s="216" customFormat="1" ht="15" customHeight="1" x14ac:dyDescent="0.25">
      <c r="B41" s="359" t="s">
        <v>225</v>
      </c>
      <c r="C41" s="1058" t="str">
        <f>IF('1. INTRO'!I$2="English",O41,P41)</f>
        <v>Odlingsenheten</v>
      </c>
      <c r="D41" s="1059"/>
      <c r="E41" s="319">
        <v>0.5595</v>
      </c>
      <c r="F41" s="320">
        <v>0.02</v>
      </c>
      <c r="G41" s="954">
        <v>0.3539655220898279</v>
      </c>
      <c r="H41" s="954">
        <v>0</v>
      </c>
      <c r="I41" s="219"/>
      <c r="J41" s="339"/>
      <c r="K41" s="991">
        <v>0.30797635684743763</v>
      </c>
      <c r="L41" s="991">
        <v>0</v>
      </c>
      <c r="M41" s="339"/>
      <c r="N41" s="339"/>
      <c r="O41" s="327" t="s">
        <v>3</v>
      </c>
      <c r="P41" s="327" t="s">
        <v>3</v>
      </c>
    </row>
    <row r="42" spans="2:18" s="216" customFormat="1" ht="15" customHeight="1" x14ac:dyDescent="0.25">
      <c r="B42" s="310" t="s">
        <v>226</v>
      </c>
      <c r="C42" s="1056" t="str">
        <f>IF('1. INTRO'!I$2="English",O42,P42)</f>
        <v>Plant Breeding</v>
      </c>
      <c r="D42" s="1057"/>
      <c r="E42" s="321">
        <v>0.5595</v>
      </c>
      <c r="F42" s="322">
        <v>0.02</v>
      </c>
      <c r="G42" s="955">
        <v>0.46560178771237026</v>
      </c>
      <c r="H42" s="955">
        <v>0.151</v>
      </c>
      <c r="I42" s="219"/>
      <c r="J42" s="339"/>
      <c r="K42" s="992">
        <v>0.41684750500464551</v>
      </c>
      <c r="L42" s="992">
        <v>0.12230000000000001</v>
      </c>
      <c r="M42" s="339"/>
      <c r="N42" s="339"/>
      <c r="O42" s="327" t="s">
        <v>64</v>
      </c>
      <c r="P42" s="327" t="s">
        <v>293</v>
      </c>
    </row>
    <row r="43" spans="2:18" s="216" customFormat="1" ht="15" customHeight="1" x14ac:dyDescent="0.25">
      <c r="B43" s="359" t="s">
        <v>227</v>
      </c>
      <c r="C43" s="1058" t="str">
        <f>IF('1. INTRO'!I$2="English",O43,P43)</f>
        <v>Biosystems and Technology</v>
      </c>
      <c r="D43" s="1059"/>
      <c r="E43" s="319">
        <v>0.5595</v>
      </c>
      <c r="F43" s="320">
        <v>0.02</v>
      </c>
      <c r="G43" s="954">
        <v>0.42752866607928985</v>
      </c>
      <c r="H43" s="954">
        <v>0.14630000000000001</v>
      </c>
      <c r="I43" s="219"/>
      <c r="J43" s="339"/>
      <c r="K43" s="991">
        <v>0.38087699302272038</v>
      </c>
      <c r="L43" s="991">
        <v>0.14630000000000001</v>
      </c>
      <c r="M43" s="339"/>
      <c r="N43" s="339"/>
      <c r="O43" s="327" t="s">
        <v>47</v>
      </c>
      <c r="P43" s="327" t="s">
        <v>294</v>
      </c>
    </row>
    <row r="44" spans="2:18" ht="15" customHeight="1" x14ac:dyDescent="0.25">
      <c r="B44" s="310" t="s">
        <v>228</v>
      </c>
      <c r="C44" s="1056" t="str">
        <f>IF('1. INTRO'!I$2="English",O44,P44)</f>
        <v>Landscape Architecture, Planning and Management</v>
      </c>
      <c r="D44" s="1057"/>
      <c r="E44" s="321">
        <v>0.5595</v>
      </c>
      <c r="F44" s="322">
        <v>0.02</v>
      </c>
      <c r="G44" s="955">
        <v>0.42599892613182422</v>
      </c>
      <c r="H44" s="955">
        <v>6.2699999999999992E-2</v>
      </c>
      <c r="I44" s="219"/>
      <c r="J44" s="339"/>
      <c r="K44" s="992">
        <v>0.38470310891169829</v>
      </c>
      <c r="L44" s="992">
        <v>6.2699999999999992E-2</v>
      </c>
      <c r="M44" s="339"/>
      <c r="N44" s="339"/>
      <c r="O44" s="327" t="s">
        <v>61</v>
      </c>
      <c r="P44" s="327" t="s">
        <v>295</v>
      </c>
    </row>
    <row r="45" spans="2:18" s="216" customFormat="1" ht="15" customHeight="1" x14ac:dyDescent="0.25">
      <c r="B45" s="359" t="s">
        <v>229</v>
      </c>
      <c r="C45" s="1058" t="str">
        <f>IF('1. INTRO'!I$2="English",O45,P45)</f>
        <v>Unit for collaboration and development</v>
      </c>
      <c r="D45" s="1059"/>
      <c r="E45" s="319">
        <v>0.5595</v>
      </c>
      <c r="F45" s="320">
        <v>0.02</v>
      </c>
      <c r="G45" s="954">
        <v>0.41457961289175083</v>
      </c>
      <c r="H45" s="954">
        <v>9.8299999999999998E-2</v>
      </c>
      <c r="I45" s="219"/>
      <c r="J45" s="339"/>
      <c r="K45" s="991">
        <v>0.1640191300361693</v>
      </c>
      <c r="L45" s="991">
        <v>9.8299999999999998E-2</v>
      </c>
      <c r="M45" s="339"/>
      <c r="N45" s="339"/>
      <c r="O45" s="327" t="s">
        <v>73</v>
      </c>
      <c r="P45" s="327" t="s">
        <v>296</v>
      </c>
    </row>
    <row r="46" spans="2:18" ht="15" customHeight="1" x14ac:dyDescent="0.25">
      <c r="B46" s="310" t="s">
        <v>230</v>
      </c>
      <c r="C46" s="1056" t="str">
        <f>IF('1. INTRO'!I$2="English",O46,P46)</f>
        <v>Clinical Sciences</v>
      </c>
      <c r="D46" s="1057"/>
      <c r="E46" s="321">
        <v>0.5595</v>
      </c>
      <c r="F46" s="322">
        <v>0.02</v>
      </c>
      <c r="G46" s="955">
        <v>0.41110301254702319</v>
      </c>
      <c r="H46" s="955">
        <v>0.12809999999999999</v>
      </c>
      <c r="I46" s="219"/>
      <c r="J46" s="339"/>
      <c r="K46" s="992">
        <v>0.32295774717480064</v>
      </c>
      <c r="L46" s="992">
        <v>7.8399999999999997E-2</v>
      </c>
      <c r="M46" s="339"/>
      <c r="N46" s="339"/>
      <c r="O46" s="327" t="s">
        <v>338</v>
      </c>
      <c r="P46" s="327" t="s">
        <v>339</v>
      </c>
    </row>
    <row r="47" spans="2:18" s="216" customFormat="1" ht="15" customHeight="1" x14ac:dyDescent="0.25">
      <c r="B47" s="359" t="s">
        <v>231</v>
      </c>
      <c r="C47" s="1058" t="str">
        <f>IF('1. INTRO'!I$2="English",O47,P47)</f>
        <v>Animal Biosciences</v>
      </c>
      <c r="D47" s="1059"/>
      <c r="E47" s="319">
        <v>0.5595</v>
      </c>
      <c r="F47" s="320">
        <v>0.02</v>
      </c>
      <c r="G47" s="954">
        <v>0.40733737460861247</v>
      </c>
      <c r="H47" s="954">
        <v>0.16670000000000001</v>
      </c>
      <c r="I47" s="219"/>
      <c r="J47" s="339"/>
      <c r="K47" s="991">
        <v>0.40193471192353714</v>
      </c>
      <c r="L47" s="991">
        <v>0.1305</v>
      </c>
      <c r="M47" s="339"/>
      <c r="N47" s="339"/>
      <c r="O47" s="327" t="s">
        <v>348</v>
      </c>
      <c r="P47" s="939" t="s">
        <v>349</v>
      </c>
      <c r="R47" s="220"/>
    </row>
    <row r="48" spans="2:18" ht="15" customHeight="1" x14ac:dyDescent="0.25">
      <c r="B48" s="310" t="s">
        <v>232</v>
      </c>
      <c r="C48" s="1056" t="str">
        <f>IF('1. INTRO'!I$2="English",O48,P48)</f>
        <v>Applied Animal Science and Welfare</v>
      </c>
      <c r="D48" s="1057"/>
      <c r="E48" s="321">
        <v>0.5595</v>
      </c>
      <c r="F48" s="322">
        <v>0.02</v>
      </c>
      <c r="G48" s="955">
        <v>0.45957667364181798</v>
      </c>
      <c r="H48" s="955">
        <v>9.6999999999999989E-2</v>
      </c>
      <c r="I48" s="219"/>
      <c r="J48" s="339"/>
      <c r="K48" s="992">
        <v>0.45221821539614737</v>
      </c>
      <c r="L48" s="992">
        <v>9.6999999999999989E-2</v>
      </c>
      <c r="M48" s="339"/>
      <c r="N48" s="339"/>
      <c r="O48" s="327" t="s">
        <v>350</v>
      </c>
      <c r="P48" s="327" t="s">
        <v>351</v>
      </c>
    </row>
    <row r="49" spans="2:16" ht="15" customHeight="1" x14ac:dyDescent="0.25">
      <c r="B49" s="359" t="s">
        <v>233</v>
      </c>
      <c r="C49" s="1058" t="str">
        <f>IF('1. INTRO'!I$2="English",O49,P49)</f>
        <v xml:space="preserve">The Swedish Livestock Research Centre, Lövsta </v>
      </c>
      <c r="D49" s="1059"/>
      <c r="E49" s="319">
        <v>0.5595</v>
      </c>
      <c r="F49" s="320">
        <v>0.02</v>
      </c>
      <c r="G49" s="954">
        <v>0.3329572578030735</v>
      </c>
      <c r="H49" s="954">
        <v>0</v>
      </c>
      <c r="I49" s="219"/>
      <c r="J49" s="339"/>
      <c r="K49" s="991">
        <v>0.27895920163899401</v>
      </c>
      <c r="L49" s="991">
        <v>0</v>
      </c>
      <c r="M49" s="339"/>
      <c r="N49" s="339"/>
      <c r="O49" s="327" t="s">
        <v>72</v>
      </c>
      <c r="P49" s="327" t="s">
        <v>297</v>
      </c>
    </row>
    <row r="50" spans="2:16" ht="15" customHeight="1" x14ac:dyDescent="0.25">
      <c r="B50" s="310" t="s">
        <v>234</v>
      </c>
      <c r="C50" s="1056" t="str">
        <f>IF('1. INTRO'!I$2="English",O50,P50)</f>
        <v>Swedish Species Information Centre</v>
      </c>
      <c r="D50" s="1057"/>
      <c r="E50" s="321">
        <v>0.5595</v>
      </c>
      <c r="F50" s="322">
        <v>0.02</v>
      </c>
      <c r="G50" s="955">
        <v>0.3947304248114536</v>
      </c>
      <c r="H50" s="955">
        <v>8.3199999999999996E-2</v>
      </c>
      <c r="I50" s="219"/>
      <c r="J50" s="340"/>
      <c r="K50" s="992">
        <v>0.17101913003616931</v>
      </c>
      <c r="L50" s="992">
        <v>8.3199999999999996E-2</v>
      </c>
      <c r="M50" s="340"/>
      <c r="N50" s="340"/>
      <c r="O50" s="327" t="s">
        <v>71</v>
      </c>
      <c r="P50" s="327" t="s">
        <v>298</v>
      </c>
    </row>
    <row r="51" spans="2:16" ht="15" customHeight="1" x14ac:dyDescent="0.25">
      <c r="B51" s="312" t="s">
        <v>235</v>
      </c>
      <c r="C51" s="1054"/>
      <c r="D51" s="1055"/>
      <c r="E51" s="325"/>
      <c r="F51" s="320">
        <v>0.02</v>
      </c>
      <c r="G51" s="326"/>
      <c r="H51" s="326"/>
      <c r="I51" s="541"/>
      <c r="J51" s="541"/>
      <c r="K51" s="541"/>
      <c r="L51" s="541"/>
      <c r="M51" s="541"/>
      <c r="N51" s="541"/>
    </row>
    <row r="52" spans="2:16" ht="15" customHeight="1" x14ac:dyDescent="0.25">
      <c r="B52" s="311" t="s">
        <v>236</v>
      </c>
      <c r="C52" s="1049"/>
      <c r="D52" s="1050"/>
      <c r="E52" s="323"/>
      <c r="F52" s="322">
        <v>0.02</v>
      </c>
      <c r="G52" s="324"/>
      <c r="H52" s="324"/>
      <c r="I52" s="542"/>
      <c r="J52" s="542"/>
      <c r="K52" s="542"/>
      <c r="L52" s="542"/>
      <c r="M52" s="542"/>
      <c r="N52" s="542"/>
    </row>
    <row r="53" spans="2:16" ht="15" customHeight="1" x14ac:dyDescent="0.25">
      <c r="B53" s="312" t="s">
        <v>237</v>
      </c>
      <c r="C53" s="1054"/>
      <c r="D53" s="1055"/>
      <c r="E53" s="325"/>
      <c r="F53" s="320">
        <v>0.02</v>
      </c>
      <c r="G53" s="326"/>
      <c r="H53" s="326"/>
      <c r="I53" s="541"/>
      <c r="J53" s="541"/>
      <c r="K53" s="541"/>
      <c r="L53" s="541"/>
      <c r="M53" s="541"/>
      <c r="N53" s="541"/>
    </row>
    <row r="54" spans="2:16" ht="15" customHeight="1" x14ac:dyDescent="0.25">
      <c r="B54" s="311" t="s">
        <v>238</v>
      </c>
      <c r="C54" s="1049"/>
      <c r="D54" s="1050"/>
      <c r="E54" s="323"/>
      <c r="F54" s="322">
        <v>0.02</v>
      </c>
      <c r="G54" s="324"/>
      <c r="H54" s="324"/>
      <c r="I54" s="542"/>
      <c r="J54" s="542"/>
      <c r="K54" s="542"/>
      <c r="L54" s="542"/>
      <c r="M54" s="542"/>
      <c r="N54" s="542"/>
    </row>
    <row r="55" spans="2:16" ht="15" customHeight="1" x14ac:dyDescent="0.25">
      <c r="B55" s="312" t="s">
        <v>239</v>
      </c>
      <c r="C55" s="1054"/>
      <c r="D55" s="1055"/>
      <c r="E55" s="325"/>
      <c r="F55" s="320">
        <v>0.02</v>
      </c>
      <c r="G55" s="326"/>
      <c r="H55" s="326"/>
      <c r="I55" s="541"/>
      <c r="J55" s="541"/>
      <c r="K55" s="541"/>
      <c r="L55" s="541"/>
      <c r="M55" s="541"/>
      <c r="N55" s="541"/>
    </row>
    <row r="56" spans="2:16" ht="15" customHeight="1" x14ac:dyDescent="0.25">
      <c r="B56" s="311" t="s">
        <v>240</v>
      </c>
      <c r="C56" s="1049"/>
      <c r="D56" s="1050"/>
      <c r="E56" s="323"/>
      <c r="F56" s="322">
        <v>0.02</v>
      </c>
      <c r="G56" s="324"/>
      <c r="H56" s="324"/>
      <c r="I56" s="542"/>
      <c r="J56" s="542"/>
      <c r="K56" s="542"/>
      <c r="L56" s="542"/>
      <c r="M56" s="542"/>
      <c r="N56" s="542"/>
    </row>
    <row r="57" spans="2:16" ht="15" customHeight="1" x14ac:dyDescent="0.25">
      <c r="B57" s="312" t="s">
        <v>241</v>
      </c>
      <c r="C57" s="1054"/>
      <c r="D57" s="1055"/>
      <c r="E57" s="325"/>
      <c r="F57" s="320">
        <v>0.02</v>
      </c>
      <c r="G57" s="326"/>
      <c r="H57" s="326"/>
      <c r="I57" s="541"/>
      <c r="J57" s="541"/>
      <c r="K57" s="541"/>
      <c r="L57" s="541"/>
      <c r="M57" s="541"/>
      <c r="N57" s="541"/>
    </row>
    <row r="58" spans="2:16" ht="15" customHeight="1" x14ac:dyDescent="0.25">
      <c r="B58" s="311" t="s">
        <v>242</v>
      </c>
      <c r="C58" s="1049"/>
      <c r="D58" s="1050"/>
      <c r="E58" s="323"/>
      <c r="F58" s="322">
        <v>0.02</v>
      </c>
      <c r="G58" s="324"/>
      <c r="H58" s="324"/>
      <c r="I58" s="542"/>
      <c r="J58" s="542"/>
      <c r="K58" s="542"/>
      <c r="L58" s="542"/>
      <c r="M58" s="542"/>
      <c r="N58" s="542"/>
    </row>
    <row r="59" spans="2:16" ht="15" customHeight="1" x14ac:dyDescent="0.25">
      <c r="B59" s="312" t="s">
        <v>243</v>
      </c>
      <c r="C59" s="1054"/>
      <c r="D59" s="1055"/>
      <c r="E59" s="325"/>
      <c r="F59" s="320">
        <v>0.02</v>
      </c>
      <c r="G59" s="326"/>
      <c r="H59" s="326"/>
      <c r="I59" s="541"/>
      <c r="J59" s="541"/>
      <c r="K59" s="541"/>
      <c r="L59" s="541"/>
      <c r="M59" s="541"/>
      <c r="N59" s="541"/>
    </row>
    <row r="60" spans="2:16" ht="15" customHeight="1" x14ac:dyDescent="0.25">
      <c r="B60" s="311" t="s">
        <v>244</v>
      </c>
      <c r="C60" s="1049"/>
      <c r="D60" s="1050"/>
      <c r="E60" s="323"/>
      <c r="F60" s="322">
        <v>0.02</v>
      </c>
      <c r="G60" s="324"/>
      <c r="H60" s="324"/>
      <c r="I60" s="542"/>
      <c r="J60" s="542"/>
      <c r="K60" s="542"/>
      <c r="L60" s="542"/>
      <c r="M60" s="542"/>
      <c r="N60" s="542"/>
    </row>
    <row r="61" spans="2:16" ht="15" customHeight="1" x14ac:dyDescent="0.25">
      <c r="B61" s="312" t="s">
        <v>245</v>
      </c>
      <c r="C61" s="1054"/>
      <c r="D61" s="1055"/>
      <c r="E61" s="325"/>
      <c r="F61" s="320">
        <v>0.02</v>
      </c>
      <c r="G61" s="326"/>
      <c r="H61" s="326"/>
      <c r="I61" s="541"/>
      <c r="J61" s="541"/>
      <c r="K61" s="541"/>
      <c r="L61" s="541"/>
      <c r="M61" s="541"/>
      <c r="N61" s="541"/>
    </row>
    <row r="62" spans="2:16" ht="15" customHeight="1" x14ac:dyDescent="0.25">
      <c r="B62" s="311" t="s">
        <v>246</v>
      </c>
      <c r="C62" s="1049"/>
      <c r="D62" s="1050"/>
      <c r="E62" s="323"/>
      <c r="F62" s="322">
        <v>0.02</v>
      </c>
      <c r="G62" s="324"/>
      <c r="H62" s="324"/>
      <c r="I62" s="542"/>
      <c r="J62" s="542"/>
      <c r="K62" s="542"/>
      <c r="L62" s="542"/>
      <c r="M62" s="542"/>
      <c r="N62" s="542"/>
    </row>
    <row r="63" spans="2:16" ht="15" customHeight="1" x14ac:dyDescent="0.25">
      <c r="B63" s="312" t="s">
        <v>247</v>
      </c>
      <c r="C63" s="1054"/>
      <c r="D63" s="1055"/>
      <c r="E63" s="325"/>
      <c r="F63" s="320">
        <v>0.02</v>
      </c>
      <c r="G63" s="326"/>
      <c r="H63" s="326"/>
      <c r="I63" s="541"/>
      <c r="J63" s="541"/>
      <c r="K63" s="541"/>
      <c r="L63" s="541"/>
      <c r="M63" s="541"/>
      <c r="N63" s="541"/>
    </row>
    <row r="64" spans="2:16" ht="15" customHeight="1" x14ac:dyDescent="0.25">
      <c r="B64" s="311" t="s">
        <v>248</v>
      </c>
      <c r="C64" s="1049"/>
      <c r="D64" s="1050"/>
      <c r="E64" s="323"/>
      <c r="F64" s="322">
        <v>0.02</v>
      </c>
      <c r="G64" s="324"/>
      <c r="H64" s="324"/>
      <c r="I64" s="542"/>
      <c r="J64" s="542"/>
      <c r="K64" s="542"/>
      <c r="L64" s="542"/>
      <c r="M64" s="542"/>
      <c r="N64" s="542"/>
    </row>
    <row r="65" spans="2:14" ht="15" customHeight="1" x14ac:dyDescent="0.25">
      <c r="B65" s="312" t="s">
        <v>249</v>
      </c>
      <c r="C65" s="1054"/>
      <c r="D65" s="1055"/>
      <c r="E65" s="325"/>
      <c r="F65" s="320">
        <v>0.02</v>
      </c>
      <c r="G65" s="326"/>
      <c r="H65" s="326"/>
      <c r="I65" s="541"/>
      <c r="J65" s="541"/>
      <c r="K65" s="541"/>
      <c r="L65" s="541"/>
      <c r="M65" s="541"/>
      <c r="N65" s="541"/>
    </row>
    <row r="66" spans="2:14" ht="15" customHeight="1" x14ac:dyDescent="0.25">
      <c r="B66" s="311" t="s">
        <v>250</v>
      </c>
      <c r="C66" s="1049"/>
      <c r="D66" s="1050"/>
      <c r="E66" s="323"/>
      <c r="F66" s="322">
        <v>0.02</v>
      </c>
      <c r="G66" s="324"/>
      <c r="H66" s="324"/>
      <c r="I66" s="542"/>
      <c r="J66" s="542"/>
      <c r="K66" s="542"/>
      <c r="L66" s="542"/>
      <c r="M66" s="542"/>
      <c r="N66" s="542"/>
    </row>
    <row r="67" spans="2:14" ht="15" customHeight="1" x14ac:dyDescent="0.25">
      <c r="B67" s="312" t="s">
        <v>251</v>
      </c>
      <c r="C67" s="1054"/>
      <c r="D67" s="1055"/>
      <c r="E67" s="325"/>
      <c r="F67" s="320">
        <v>0.02</v>
      </c>
      <c r="G67" s="326"/>
      <c r="H67" s="326"/>
      <c r="I67" s="541"/>
      <c r="J67" s="541"/>
      <c r="K67" s="541"/>
      <c r="L67" s="541"/>
      <c r="M67" s="541"/>
      <c r="N67" s="541"/>
    </row>
    <row r="68" spans="2:14" ht="15" customHeight="1" x14ac:dyDescent="0.25">
      <c r="B68" s="311" t="s">
        <v>252</v>
      </c>
      <c r="C68" s="1049"/>
      <c r="D68" s="1050"/>
      <c r="E68" s="323"/>
      <c r="F68" s="322">
        <v>0.02</v>
      </c>
      <c r="G68" s="324"/>
      <c r="H68" s="324"/>
      <c r="I68" s="542"/>
      <c r="J68" s="542"/>
      <c r="K68" s="542"/>
      <c r="L68" s="542"/>
      <c r="M68" s="542"/>
      <c r="N68" s="542"/>
    </row>
    <row r="69" spans="2:14" ht="15" customHeight="1" x14ac:dyDescent="0.25">
      <c r="B69" s="312" t="s">
        <v>253</v>
      </c>
      <c r="C69" s="1054"/>
      <c r="D69" s="1055"/>
      <c r="E69" s="325"/>
      <c r="F69" s="320">
        <v>0.02</v>
      </c>
      <c r="G69" s="326"/>
      <c r="H69" s="326"/>
      <c r="I69" s="541"/>
      <c r="J69" s="541"/>
      <c r="K69" s="541"/>
      <c r="L69" s="541"/>
      <c r="M69" s="541"/>
      <c r="N69" s="541"/>
    </row>
    <row r="70" spans="2:14" ht="15" customHeight="1" x14ac:dyDescent="0.25">
      <c r="B70" s="311" t="s">
        <v>254</v>
      </c>
      <c r="C70" s="1049"/>
      <c r="D70" s="1050"/>
      <c r="E70" s="323"/>
      <c r="F70" s="322">
        <v>0.02</v>
      </c>
      <c r="G70" s="324"/>
      <c r="H70" s="324"/>
      <c r="I70" s="542"/>
      <c r="J70" s="542"/>
      <c r="K70" s="542"/>
      <c r="L70" s="542"/>
      <c r="M70" s="542"/>
      <c r="N70" s="542"/>
    </row>
    <row r="71" spans="2:14" ht="15" customHeight="1" x14ac:dyDescent="0.25">
      <c r="B71" s="312" t="s">
        <v>255</v>
      </c>
      <c r="C71" s="1054"/>
      <c r="D71" s="1055"/>
      <c r="E71" s="325"/>
      <c r="F71" s="320">
        <v>0.02</v>
      </c>
      <c r="G71" s="326"/>
      <c r="H71" s="326"/>
      <c r="I71" s="541"/>
      <c r="J71" s="541"/>
      <c r="K71" s="541"/>
      <c r="L71" s="541"/>
      <c r="M71" s="541"/>
      <c r="N71" s="541"/>
    </row>
    <row r="72" spans="2:14" ht="15" customHeight="1" x14ac:dyDescent="0.25">
      <c r="B72" s="311" t="s">
        <v>256</v>
      </c>
      <c r="C72" s="1049"/>
      <c r="D72" s="1050"/>
      <c r="E72" s="323"/>
      <c r="F72" s="322">
        <v>0.02</v>
      </c>
      <c r="G72" s="324"/>
      <c r="H72" s="324"/>
      <c r="I72" s="542"/>
      <c r="J72" s="542"/>
      <c r="K72" s="542"/>
      <c r="L72" s="542"/>
      <c r="M72" s="542"/>
      <c r="N72" s="542"/>
    </row>
    <row r="73" spans="2:14" ht="15" customHeight="1" x14ac:dyDescent="0.25">
      <c r="B73" s="312" t="s">
        <v>257</v>
      </c>
      <c r="C73" s="1054"/>
      <c r="D73" s="1055"/>
      <c r="E73" s="325"/>
      <c r="F73" s="320">
        <v>0.02</v>
      </c>
      <c r="G73" s="326"/>
      <c r="H73" s="326"/>
      <c r="I73" s="541"/>
      <c r="J73" s="541"/>
      <c r="K73" s="541"/>
      <c r="L73" s="541"/>
      <c r="M73" s="541"/>
      <c r="N73" s="541"/>
    </row>
    <row r="74" spans="2:14" ht="15" customHeight="1" x14ac:dyDescent="0.25">
      <c r="B74" s="311" t="s">
        <v>258</v>
      </c>
      <c r="C74" s="1049"/>
      <c r="D74" s="1050"/>
      <c r="E74" s="323"/>
      <c r="F74" s="322">
        <v>0.02</v>
      </c>
      <c r="G74" s="324"/>
      <c r="H74" s="324"/>
      <c r="I74" s="542"/>
      <c r="J74" s="542"/>
      <c r="K74" s="542"/>
      <c r="L74" s="542"/>
      <c r="M74" s="542"/>
      <c r="N74" s="542"/>
    </row>
    <row r="75" spans="2:14" ht="15" customHeight="1" x14ac:dyDescent="0.25">
      <c r="B75" s="312" t="s">
        <v>259</v>
      </c>
      <c r="C75" s="1054"/>
      <c r="D75" s="1055"/>
      <c r="E75" s="325"/>
      <c r="F75" s="320">
        <v>0.02</v>
      </c>
      <c r="G75" s="326"/>
      <c r="H75" s="326"/>
      <c r="I75" s="541"/>
      <c r="J75" s="541"/>
      <c r="K75" s="541"/>
      <c r="L75" s="541"/>
      <c r="M75" s="541"/>
      <c r="N75" s="541"/>
    </row>
    <row r="76" spans="2:14" ht="15" customHeight="1" x14ac:dyDescent="0.25">
      <c r="B76" s="311" t="s">
        <v>260</v>
      </c>
      <c r="C76" s="1049"/>
      <c r="D76" s="1050"/>
      <c r="E76" s="323"/>
      <c r="F76" s="322">
        <v>0.02</v>
      </c>
      <c r="G76" s="324"/>
      <c r="H76" s="324"/>
      <c r="I76" s="542"/>
      <c r="J76" s="542"/>
      <c r="K76" s="542"/>
      <c r="L76" s="542"/>
      <c r="M76" s="542"/>
      <c r="N76" s="542"/>
    </row>
    <row r="77" spans="2:14" ht="15" customHeight="1" x14ac:dyDescent="0.25">
      <c r="B77" s="312" t="s">
        <v>261</v>
      </c>
      <c r="C77" s="1054"/>
      <c r="D77" s="1055"/>
      <c r="E77" s="325"/>
      <c r="F77" s="320">
        <v>0.02</v>
      </c>
      <c r="G77" s="326"/>
      <c r="H77" s="326"/>
      <c r="I77" s="541"/>
      <c r="J77" s="541"/>
      <c r="K77" s="541"/>
      <c r="L77" s="541"/>
      <c r="M77" s="541"/>
      <c r="N77" s="541"/>
    </row>
    <row r="78" spans="2:14" ht="15" customHeight="1" x14ac:dyDescent="0.25">
      <c r="B78" s="311" t="s">
        <v>262</v>
      </c>
      <c r="C78" s="1049"/>
      <c r="D78" s="1050"/>
      <c r="E78" s="323"/>
      <c r="F78" s="322">
        <v>0.02</v>
      </c>
      <c r="G78" s="324"/>
      <c r="H78" s="324"/>
      <c r="I78" s="542"/>
      <c r="J78" s="542"/>
      <c r="K78" s="542"/>
      <c r="L78" s="542"/>
      <c r="M78" s="542"/>
      <c r="N78" s="542"/>
    </row>
    <row r="79" spans="2:14" ht="15" customHeight="1" x14ac:dyDescent="0.25">
      <c r="B79" s="312" t="s">
        <v>263</v>
      </c>
      <c r="C79" s="1054"/>
      <c r="D79" s="1055"/>
      <c r="E79" s="325"/>
      <c r="F79" s="320">
        <v>0.02</v>
      </c>
      <c r="G79" s="326"/>
      <c r="H79" s="326"/>
      <c r="I79" s="541"/>
      <c r="J79" s="541"/>
      <c r="K79" s="541"/>
      <c r="L79" s="541"/>
      <c r="M79" s="541"/>
      <c r="N79" s="541"/>
    </row>
    <row r="80" spans="2:14" ht="15" customHeight="1" x14ac:dyDescent="0.25">
      <c r="B80" s="311" t="s">
        <v>264</v>
      </c>
      <c r="C80" s="1049"/>
      <c r="D80" s="1050"/>
      <c r="E80" s="323"/>
      <c r="F80" s="322">
        <v>0.02</v>
      </c>
      <c r="G80" s="324"/>
      <c r="H80" s="324"/>
      <c r="I80" s="542"/>
      <c r="J80" s="542"/>
      <c r="K80" s="542"/>
      <c r="L80" s="542"/>
      <c r="M80" s="542"/>
      <c r="N80" s="542"/>
    </row>
  </sheetData>
  <sheetProtection formatCells="0"/>
  <mergeCells count="86">
    <mergeCell ref="C78:D78"/>
    <mergeCell ref="C79:D79"/>
    <mergeCell ref="D4:J4"/>
    <mergeCell ref="D6:J6"/>
    <mergeCell ref="G11:H11"/>
    <mergeCell ref="I11:J11"/>
    <mergeCell ref="C71:D71"/>
    <mergeCell ref="C72:D72"/>
    <mergeCell ref="C73:D73"/>
    <mergeCell ref="C74:D74"/>
    <mergeCell ref="C75:D75"/>
    <mergeCell ref="C68:D68"/>
    <mergeCell ref="C69:D69"/>
    <mergeCell ref="C70:D70"/>
    <mergeCell ref="C57:D57"/>
    <mergeCell ref="C23:D23"/>
    <mergeCell ref="C24:D24"/>
    <mergeCell ref="C25:D25"/>
    <mergeCell ref="C56:D56"/>
    <mergeCell ref="C77:D77"/>
    <mergeCell ref="C58:D58"/>
    <mergeCell ref="C59:D59"/>
    <mergeCell ref="C60:D60"/>
    <mergeCell ref="C61:D61"/>
    <mergeCell ref="C62:D62"/>
    <mergeCell ref="C76:D76"/>
    <mergeCell ref="C63:D63"/>
    <mergeCell ref="C64:D64"/>
    <mergeCell ref="C65:D65"/>
    <mergeCell ref="C66:D66"/>
    <mergeCell ref="C67:D67"/>
    <mergeCell ref="C26:D26"/>
    <mergeCell ref="C18:D18"/>
    <mergeCell ref="C19:D19"/>
    <mergeCell ref="C20:D20"/>
    <mergeCell ref="C21:D21"/>
    <mergeCell ref="C22:D22"/>
    <mergeCell ref="C13:D13"/>
    <mergeCell ref="C14:D14"/>
    <mergeCell ref="C15:D15"/>
    <mergeCell ref="C16:D16"/>
    <mergeCell ref="C17:D17"/>
    <mergeCell ref="C27:D27"/>
    <mergeCell ref="C28:D28"/>
    <mergeCell ref="C29:D29"/>
    <mergeCell ref="C30:D30"/>
    <mergeCell ref="C31:D31"/>
    <mergeCell ref="C32:D32"/>
    <mergeCell ref="C33:D33"/>
    <mergeCell ref="C34:D34"/>
    <mergeCell ref="C35:D35"/>
    <mergeCell ref="C44:D44"/>
    <mergeCell ref="C45:D45"/>
    <mergeCell ref="C36:D36"/>
    <mergeCell ref="C37:D37"/>
    <mergeCell ref="C38:D38"/>
    <mergeCell ref="C39:D39"/>
    <mergeCell ref="C40:D40"/>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 ref="M1:N1"/>
    <mergeCell ref="C9:N9"/>
    <mergeCell ref="B10:B12"/>
    <mergeCell ref="C10:D12"/>
    <mergeCell ref="E10:E12"/>
    <mergeCell ref="F10:F12"/>
    <mergeCell ref="G10:J10"/>
    <mergeCell ref="K11:L11"/>
    <mergeCell ref="M11:N11"/>
    <mergeCell ref="K10:N10"/>
    <mergeCell ref="B2:C2"/>
    <mergeCell ref="I1:J1"/>
  </mergeCells>
  <dataValidations count="2">
    <dataValidation type="decimal" operator="greaterThanOrEqual" allowBlank="1" showInputMessage="1" showErrorMessage="1" errorTitle="Data restriction" error="Must be a numerical value (percentage) zero or greater." sqref="E51:N80">
      <formula1>0</formula1>
    </dataValidation>
    <dataValidation type="decimal" operator="greaterThanOrEqual" allowBlank="1" showInputMessage="1" showErrorMessage="1" errorTitle="Data restriction" error="Must be a numerical value (percentage) zero or greater." sqref="F13:F5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H31"/>
  <sheetViews>
    <sheetView showGridLines="0" zoomScaleNormal="100" workbookViewId="0">
      <selection activeCell="B2" sqref="B2:C2"/>
    </sheetView>
  </sheetViews>
  <sheetFormatPr defaultColWidth="9.109375" defaultRowHeight="13.2" x14ac:dyDescent="0.25"/>
  <cols>
    <col min="1" max="1" width="3.6640625" style="29" customWidth="1"/>
    <col min="2" max="2" width="8.6640625" style="29" customWidth="1"/>
    <col min="3" max="3" width="17.6640625" style="29" customWidth="1"/>
    <col min="4" max="4" width="12" style="29" customWidth="1"/>
    <col min="5" max="5" width="38.6640625" style="29" customWidth="1"/>
    <col min="6" max="6" width="18.33203125" style="29" customWidth="1"/>
    <col min="7" max="16384" width="9.109375" style="29"/>
  </cols>
  <sheetData>
    <row r="1" spans="2:8" ht="15" customHeight="1" x14ac:dyDescent="0.25">
      <c r="F1" s="317" t="str">
        <f>'1. INTRO'!J1</f>
        <v>projectcalculator@slu.se</v>
      </c>
    </row>
    <row r="2" spans="2:8" ht="15" customHeight="1" x14ac:dyDescent="0.3">
      <c r="B2" s="1046" t="str">
        <f>'1. INTRO'!B2</f>
        <v>SLU project calculator</v>
      </c>
      <c r="C2" s="1047"/>
      <c r="D2" s="221" t="s">
        <v>26</v>
      </c>
      <c r="E2" s="586" t="s">
        <v>308</v>
      </c>
      <c r="F2" s="295">
        <f>'1. INTRO'!J2</f>
        <v>45677</v>
      </c>
    </row>
    <row r="3" spans="2:8" ht="15" customHeight="1" x14ac:dyDescent="0.25">
      <c r="B3" s="76"/>
      <c r="C3" s="76"/>
      <c r="D3" s="237"/>
    </row>
    <row r="4" spans="2:8" ht="15" customHeight="1" x14ac:dyDescent="0.25">
      <c r="B4" s="75"/>
      <c r="C4" s="313" t="str">
        <f>'3. PARTNER'!C4</f>
        <v xml:space="preserve">Project: </v>
      </c>
      <c r="D4" s="1062" t="str">
        <f>'3. PARTNER'!D4</f>
        <v/>
      </c>
      <c r="E4" s="1001"/>
      <c r="F4" s="1001"/>
    </row>
    <row r="5" spans="2:8" ht="15" customHeight="1" x14ac:dyDescent="0.25">
      <c r="B5" s="75"/>
      <c r="C5" s="313" t="str">
        <f>'3. PARTNER'!C5</f>
        <v xml:space="preserve">Calculation for: </v>
      </c>
      <c r="D5" s="358" t="str">
        <f>'3. PARTNER'!D5</f>
        <v>APPLICATION</v>
      </c>
    </row>
    <row r="6" spans="2:8" ht="15" customHeight="1" x14ac:dyDescent="0.25">
      <c r="B6" s="35"/>
      <c r="C6" s="35" t="str">
        <f>'3. PARTNER'!C6</f>
        <v xml:space="preserve">Project leader: </v>
      </c>
      <c r="D6" s="1062" t="str">
        <f>'3. PARTNER'!D6</f>
        <v/>
      </c>
      <c r="E6" s="1001"/>
      <c r="F6" s="1001"/>
    </row>
    <row r="7" spans="2:8" ht="15" customHeight="1" x14ac:dyDescent="0.25">
      <c r="B7" s="76"/>
      <c r="C7" s="76"/>
      <c r="D7" s="1053" t="str">
        <f>'3. PARTNER'!D7</f>
        <v>Other basic data about the project is in sheet 2.</v>
      </c>
      <c r="E7" s="1001"/>
    </row>
    <row r="8" spans="2:8" ht="15" customHeight="1" x14ac:dyDescent="0.25">
      <c r="B8" s="76"/>
      <c r="C8" s="76"/>
      <c r="D8" s="78"/>
    </row>
    <row r="9" spans="2:8" ht="26.1" customHeight="1" x14ac:dyDescent="0.25">
      <c r="B9" s="530" t="s">
        <v>24</v>
      </c>
      <c r="C9" s="1019"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If the project is divided into work packages (WP), state name for the WP:s included in the project below. WP-connection is then registered for costs in sheet 5-8. Report per WP is in sheet 11.</v>
      </c>
      <c r="D9" s="996"/>
      <c r="E9" s="996"/>
      <c r="F9" s="996"/>
      <c r="H9" s="532"/>
    </row>
    <row r="10" spans="2:8" ht="15" customHeight="1" x14ac:dyDescent="0.25"/>
    <row r="11" spans="2:8" ht="15" customHeight="1" x14ac:dyDescent="0.25">
      <c r="B11" s="222" t="s">
        <v>299</v>
      </c>
      <c r="C11" s="1066" t="str">
        <f>IF('1. INTRO'!I2="English","WP name","WP namn")</f>
        <v>WP name</v>
      </c>
      <c r="D11" s="1040"/>
      <c r="E11" s="1040"/>
      <c r="F11" s="1040"/>
    </row>
    <row r="12" spans="2:8" ht="15" customHeight="1" x14ac:dyDescent="0.25">
      <c r="B12" s="218" t="s">
        <v>14</v>
      </c>
      <c r="C12" s="1064"/>
      <c r="D12" s="1065"/>
      <c r="E12" s="1065"/>
      <c r="F12" s="1065"/>
    </row>
    <row r="13" spans="2:8" ht="15" customHeight="1" x14ac:dyDescent="0.25">
      <c r="B13" s="328" t="s">
        <v>15</v>
      </c>
      <c r="C13" s="1063"/>
      <c r="D13" s="1031"/>
      <c r="E13" s="1031"/>
      <c r="F13" s="1031"/>
    </row>
    <row r="14" spans="2:8" ht="15" customHeight="1" x14ac:dyDescent="0.25">
      <c r="B14" s="218" t="s">
        <v>16</v>
      </c>
      <c r="C14" s="1064"/>
      <c r="D14" s="1065"/>
      <c r="E14" s="1065"/>
      <c r="F14" s="1065"/>
    </row>
    <row r="15" spans="2:8" ht="15" customHeight="1" x14ac:dyDescent="0.25">
      <c r="B15" s="328" t="s">
        <v>17</v>
      </c>
      <c r="C15" s="1063"/>
      <c r="D15" s="1031"/>
      <c r="E15" s="1031"/>
      <c r="F15" s="1031"/>
    </row>
    <row r="16" spans="2:8" ht="15" customHeight="1" x14ac:dyDescent="0.25">
      <c r="B16" s="218" t="s">
        <v>18</v>
      </c>
      <c r="C16" s="1064"/>
      <c r="D16" s="1065"/>
      <c r="E16" s="1065"/>
      <c r="F16" s="1065"/>
    </row>
    <row r="17" spans="2:6" ht="15" customHeight="1" x14ac:dyDescent="0.25">
      <c r="B17" s="328" t="s">
        <v>19</v>
      </c>
      <c r="C17" s="1063"/>
      <c r="D17" s="1031"/>
      <c r="E17" s="1031"/>
      <c r="F17" s="1031"/>
    </row>
    <row r="18" spans="2:6" ht="15" customHeight="1" x14ac:dyDescent="0.25">
      <c r="B18" s="218" t="s">
        <v>20</v>
      </c>
      <c r="C18" s="1064"/>
      <c r="D18" s="1065"/>
      <c r="E18" s="1065"/>
      <c r="F18" s="1065"/>
    </row>
    <row r="19" spans="2:6" ht="15" customHeight="1" x14ac:dyDescent="0.25">
      <c r="B19" s="328" t="s">
        <v>21</v>
      </c>
      <c r="C19" s="1063"/>
      <c r="D19" s="1031"/>
      <c r="E19" s="1031"/>
      <c r="F19" s="1031"/>
    </row>
    <row r="20" spans="2:6" ht="15" customHeight="1" x14ac:dyDescent="0.25">
      <c r="B20" s="218" t="s">
        <v>22</v>
      </c>
      <c r="C20" s="1064"/>
      <c r="D20" s="1065"/>
      <c r="E20" s="1065"/>
      <c r="F20" s="1065"/>
    </row>
    <row r="21" spans="2:6" ht="15" customHeight="1" x14ac:dyDescent="0.25">
      <c r="B21" s="328" t="s">
        <v>23</v>
      </c>
      <c r="C21" s="1063"/>
      <c r="D21" s="1031"/>
      <c r="E21" s="1031"/>
      <c r="F21" s="1031"/>
    </row>
    <row r="22" spans="2:6" ht="15" customHeight="1" x14ac:dyDescent="0.25">
      <c r="B22" s="218" t="s">
        <v>138</v>
      </c>
      <c r="C22" s="1064"/>
      <c r="D22" s="1065"/>
      <c r="E22" s="1065"/>
      <c r="F22" s="1065"/>
    </row>
    <row r="23" spans="2:6" ht="15" customHeight="1" x14ac:dyDescent="0.25">
      <c r="B23" s="328" t="s">
        <v>139</v>
      </c>
      <c r="C23" s="1063"/>
      <c r="D23" s="1031"/>
      <c r="E23" s="1031"/>
      <c r="F23" s="1031"/>
    </row>
    <row r="24" spans="2:6" ht="15" customHeight="1" x14ac:dyDescent="0.25">
      <c r="B24" s="218" t="s">
        <v>140</v>
      </c>
      <c r="C24" s="1064"/>
      <c r="D24" s="1065"/>
      <c r="E24" s="1065"/>
      <c r="F24" s="1065"/>
    </row>
    <row r="25" spans="2:6" ht="15" customHeight="1" x14ac:dyDescent="0.25">
      <c r="B25" s="328" t="s">
        <v>141</v>
      </c>
      <c r="C25" s="1063"/>
      <c r="D25" s="1031"/>
      <c r="E25" s="1031"/>
      <c r="F25" s="1031"/>
    </row>
    <row r="26" spans="2:6" ht="15" customHeight="1" x14ac:dyDescent="0.25">
      <c r="B26" s="218" t="s">
        <v>142</v>
      </c>
      <c r="C26" s="1064"/>
      <c r="D26" s="1065"/>
      <c r="E26" s="1065"/>
      <c r="F26" s="1065"/>
    </row>
    <row r="27" spans="2:6" ht="15" customHeight="1" x14ac:dyDescent="0.25">
      <c r="B27" s="328" t="s">
        <v>143</v>
      </c>
      <c r="C27" s="1063"/>
      <c r="D27" s="1031"/>
      <c r="E27" s="1031"/>
      <c r="F27" s="1031"/>
    </row>
    <row r="28" spans="2:6" ht="15" customHeight="1" x14ac:dyDescent="0.25">
      <c r="B28" s="218" t="s">
        <v>144</v>
      </c>
      <c r="C28" s="1064"/>
      <c r="D28" s="1065"/>
      <c r="E28" s="1065"/>
      <c r="F28" s="1065"/>
    </row>
    <row r="29" spans="2:6" ht="15" customHeight="1" x14ac:dyDescent="0.25">
      <c r="B29" s="328" t="s">
        <v>145</v>
      </c>
      <c r="C29" s="1063"/>
      <c r="D29" s="1031"/>
      <c r="E29" s="1031"/>
      <c r="F29" s="1031"/>
    </row>
    <row r="30" spans="2:6" ht="15" customHeight="1" x14ac:dyDescent="0.25">
      <c r="B30" s="218" t="s">
        <v>146</v>
      </c>
      <c r="C30" s="1064"/>
      <c r="D30" s="1065"/>
      <c r="E30" s="1065"/>
      <c r="F30" s="1065"/>
    </row>
    <row r="31" spans="2:6" ht="15" customHeight="1" x14ac:dyDescent="0.25">
      <c r="B31" s="328" t="s">
        <v>147</v>
      </c>
      <c r="C31" s="1063"/>
      <c r="D31" s="1031"/>
      <c r="E31" s="1031"/>
      <c r="F31" s="1031"/>
    </row>
  </sheetData>
  <sheetProtection formatCells="0"/>
  <mergeCells count="26">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 ref="C27:F27"/>
    <mergeCell ref="C28:F28"/>
    <mergeCell ref="C23:F23"/>
    <mergeCell ref="B2:C2"/>
    <mergeCell ref="C20:F20"/>
    <mergeCell ref="C21:F21"/>
    <mergeCell ref="C22:F22"/>
    <mergeCell ref="C24:F24"/>
    <mergeCell ref="C25:F25"/>
    <mergeCell ref="C9:F9"/>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IK193"/>
  <sheetViews>
    <sheetView showGridLines="0" zoomScaleNormal="100" workbookViewId="0">
      <pane ySplit="16" topLeftCell="A17" activePane="bottomLeft" state="frozen"/>
      <selection pane="bottomLeft" activeCell="B2" sqref="B2:C2"/>
    </sheetView>
  </sheetViews>
  <sheetFormatPr defaultColWidth="9.109375" defaultRowHeight="11.4" x14ac:dyDescent="0.2"/>
  <cols>
    <col min="1" max="1" width="3.5546875" style="37" customWidth="1"/>
    <col min="2" max="2" width="13.44140625" style="37" customWidth="1" collapsed="1"/>
    <col min="3" max="3" width="28.33203125" style="37" customWidth="1"/>
    <col min="4" max="5" width="7.6640625" style="37" customWidth="1"/>
    <col min="6" max="6" width="9.6640625" style="37" customWidth="1" collapsed="1"/>
    <col min="7" max="15" width="7.6640625" style="37" customWidth="1" collapsed="1"/>
    <col min="16" max="16" width="7.6640625" style="37" customWidth="1"/>
    <col min="17" max="17" width="8.6640625" style="37" customWidth="1" collapsed="1"/>
    <col min="18" max="23" width="9.5546875" style="37" hidden="1" customWidth="1" collapsed="1"/>
    <col min="24" max="28" width="9.5546875" style="37" hidden="1" customWidth="1"/>
    <col min="29" max="30" width="9.5546875" style="37" hidden="1" customWidth="1" collapsed="1"/>
    <col min="31" max="32" width="9.5546875" style="37" hidden="1" customWidth="1"/>
    <col min="33" max="33" width="3.5546875" style="37" hidden="1" customWidth="1"/>
    <col min="34" max="43" width="9.6640625" style="37" customWidth="1"/>
    <col min="44" max="44" width="12.6640625" style="37" customWidth="1"/>
    <col min="45" max="45" width="3.5546875" style="37" hidden="1" customWidth="1"/>
    <col min="46" max="46" width="10.88671875" style="37" hidden="1" customWidth="1"/>
    <col min="47" max="47" width="10.88671875" style="37" hidden="1" customWidth="1" collapsed="1"/>
    <col min="48" max="55" width="10.88671875" style="37" hidden="1" customWidth="1"/>
    <col min="56" max="56" width="13.5546875" style="37" hidden="1" customWidth="1"/>
    <col min="57" max="57" width="3.5546875" style="37" hidden="1" customWidth="1"/>
    <col min="58" max="67" width="12" style="37" hidden="1" customWidth="1"/>
    <col min="68" max="68" width="13.5546875" style="37" hidden="1" customWidth="1"/>
    <col min="69" max="69" width="3.6640625" style="37" hidden="1" customWidth="1"/>
    <col min="70" max="70" width="11" style="37" hidden="1" customWidth="1"/>
    <col min="71" max="71" width="10.88671875" style="37" hidden="1" customWidth="1"/>
    <col min="72" max="72" width="11" style="37" hidden="1" customWidth="1"/>
    <col min="73" max="73" width="11" style="37" hidden="1" customWidth="1" collapsed="1"/>
    <col min="74" max="79" width="11" style="37" hidden="1" customWidth="1"/>
    <col min="80" max="80" width="13.5546875" style="37" hidden="1" customWidth="1"/>
    <col min="81" max="81" width="3.6640625" style="37" hidden="1" customWidth="1"/>
    <col min="82" max="91" width="11" style="37" hidden="1" customWidth="1"/>
    <col min="92" max="92" width="13.5546875" style="37" hidden="1" customWidth="1"/>
    <col min="93" max="93" width="3.6640625" style="37" hidden="1" customWidth="1"/>
    <col min="94" max="103" width="11" style="37" hidden="1" customWidth="1"/>
    <col min="104" max="104" width="13.5546875" style="37" hidden="1" customWidth="1"/>
    <col min="105" max="105" width="3.5546875" style="37" hidden="1" customWidth="1"/>
    <col min="106" max="115" width="11" style="37" hidden="1" customWidth="1"/>
    <col min="116" max="116" width="13.5546875" style="37" hidden="1" customWidth="1"/>
    <col min="117" max="117" width="3.5546875" style="37" hidden="1" customWidth="1"/>
    <col min="118" max="121" width="11.6640625" style="37" hidden="1" customWidth="1"/>
    <col min="122" max="122" width="11.5546875" style="37" hidden="1" customWidth="1"/>
    <col min="123" max="126" width="11.6640625" style="37" hidden="1" customWidth="1"/>
    <col min="127" max="127" width="11.6640625" style="37" hidden="1" customWidth="1" collapsed="1"/>
    <col min="128" max="128" width="13.6640625" style="37" hidden="1" customWidth="1" collapsed="1"/>
    <col min="129" max="129" width="3.6640625" style="37" hidden="1" customWidth="1" collapsed="1"/>
    <col min="130" max="136" width="11.109375" style="37" hidden="1" customWidth="1" collapsed="1"/>
    <col min="137" max="137" width="11.33203125" style="37" hidden="1" customWidth="1" collapsed="1"/>
    <col min="138" max="139" width="11.109375" style="37" hidden="1" customWidth="1" collapsed="1"/>
    <col min="140" max="140" width="13" style="37" hidden="1" customWidth="1" collapsed="1"/>
    <col min="141" max="141" width="3.5546875" style="37" hidden="1" customWidth="1" collapsed="1"/>
    <col min="142" max="142" width="11.6640625" style="37" hidden="1" customWidth="1" collapsed="1"/>
    <col min="143" max="144" width="11.33203125" style="37" hidden="1" customWidth="1" collapsed="1"/>
    <col min="145" max="145" width="11.109375" style="37" hidden="1" customWidth="1" collapsed="1"/>
    <col min="146" max="146" width="11.33203125" style="37" hidden="1" customWidth="1" collapsed="1"/>
    <col min="147" max="147" width="11.109375" style="37" hidden="1" customWidth="1" collapsed="1"/>
    <col min="148" max="148" width="11.33203125" style="37" hidden="1" customWidth="1" collapsed="1"/>
    <col min="149" max="149" width="11.109375" style="37" hidden="1" customWidth="1" collapsed="1"/>
    <col min="150" max="150" width="11.33203125" style="37" hidden="1" customWidth="1" collapsed="1"/>
    <col min="151" max="151" width="11.109375" style="37" hidden="1" customWidth="1" collapsed="1"/>
    <col min="152" max="152" width="12.6640625" style="37" hidden="1" customWidth="1" collapsed="1"/>
    <col min="153" max="153" width="3.5546875" style="37" hidden="1" customWidth="1" collapsed="1"/>
    <col min="154" max="155" width="11.109375" style="37" hidden="1" customWidth="1" collapsed="1"/>
    <col min="156" max="157" width="11.44140625" style="37" hidden="1" customWidth="1" collapsed="1"/>
    <col min="158" max="159" width="11.33203125" style="37" hidden="1" customWidth="1" collapsed="1"/>
    <col min="160" max="160" width="11.109375" style="37" hidden="1" customWidth="1" collapsed="1"/>
    <col min="161" max="161" width="11.33203125" style="37" hidden="1" customWidth="1" collapsed="1"/>
    <col min="162" max="162" width="11.109375" style="37" hidden="1" customWidth="1" collapsed="1"/>
    <col min="163" max="163" width="11.33203125" style="37" hidden="1" customWidth="1" collapsed="1"/>
    <col min="164" max="164" width="13.5546875" style="37" hidden="1" customWidth="1" collapsed="1"/>
    <col min="165" max="165" width="3.5546875" style="37" hidden="1" customWidth="1" collapsed="1"/>
    <col min="166" max="166" width="11.33203125" style="37" hidden="1" customWidth="1" collapsed="1"/>
    <col min="167" max="167" width="11.33203125" style="37" hidden="1" customWidth="1"/>
    <col min="168" max="170" width="11.109375" style="37" hidden="1" customWidth="1"/>
    <col min="171" max="171" width="11.33203125" style="37" hidden="1" customWidth="1"/>
    <col min="172" max="172" width="11.109375" style="37" hidden="1" customWidth="1"/>
    <col min="173" max="173" width="11.33203125" style="37" hidden="1" customWidth="1"/>
    <col min="174" max="175" width="11.109375" style="37" hidden="1" customWidth="1"/>
    <col min="176" max="176" width="13.5546875" style="37" hidden="1" customWidth="1"/>
    <col min="177" max="230" width="9.109375" style="37"/>
    <col min="231" max="231" width="9.109375" style="37" collapsed="1"/>
    <col min="232" max="245" width="9.109375" style="37"/>
    <col min="246" max="16384" width="9.109375" style="37" collapsed="1"/>
  </cols>
  <sheetData>
    <row r="1" spans="2:176" ht="15" customHeight="1" x14ac:dyDescent="0.25">
      <c r="AQ1" s="1084" t="str">
        <f>'1. INTRO'!J1</f>
        <v>projectcalculator@slu.se</v>
      </c>
      <c r="AR1" s="1004"/>
    </row>
    <row r="2" spans="2:176" ht="15" customHeight="1" x14ac:dyDescent="0.3">
      <c r="B2" s="1046" t="str">
        <f>'1. INTRO'!B2</f>
        <v>SLU project calculator</v>
      </c>
      <c r="C2" s="1004"/>
      <c r="D2" s="1090" t="str">
        <f>IF('1. INTRO'!I2="English"," 5. SALARY"," 5. LÖN")</f>
        <v xml:space="preserve"> 5. SALARY</v>
      </c>
      <c r="E2" s="1091"/>
      <c r="F2" s="1051" t="s">
        <v>308</v>
      </c>
      <c r="G2" s="1092"/>
      <c r="H2" s="1092"/>
      <c r="I2" s="1092"/>
      <c r="J2" s="1092"/>
      <c r="K2" s="329"/>
      <c r="L2" s="1093" t="str">
        <f>IF('1. INTRO'!I2="English","Note comments, in Eng &amp; Swe, behind red triangles.","Notera kommentarer, eng &amp; sve, bakom röda trianglar.")</f>
        <v>Note comments, in Eng &amp; Swe, behind red triangles.</v>
      </c>
      <c r="M2" s="1094"/>
      <c r="N2" s="1094"/>
      <c r="O2" s="1094"/>
      <c r="P2" s="1094"/>
      <c r="Q2" s="1094"/>
      <c r="AH2" s="335"/>
      <c r="AR2" s="337">
        <f>'1. INTRO'!J2</f>
        <v>45677</v>
      </c>
    </row>
    <row r="3" spans="2:176" ht="15" customHeight="1" x14ac:dyDescent="0.2">
      <c r="D3" s="332"/>
    </row>
    <row r="4" spans="2:176" ht="15" customHeight="1" x14ac:dyDescent="0.2">
      <c r="B4" s="313" t="str">
        <f>'3. PARTNER'!C4</f>
        <v xml:space="preserve">Project: </v>
      </c>
      <c r="C4" s="1062" t="str">
        <f>'3. PARTNER'!D4</f>
        <v/>
      </c>
      <c r="D4" s="1001"/>
      <c r="E4" s="1001"/>
      <c r="F4" s="1001"/>
      <c r="G4" s="1001"/>
      <c r="H4" s="1001"/>
      <c r="I4" s="1001"/>
      <c r="J4" s="1001"/>
      <c r="K4" s="268"/>
      <c r="L4" s="268"/>
      <c r="M4" s="268"/>
      <c r="N4" s="268"/>
      <c r="O4" s="268"/>
      <c r="P4" s="268"/>
      <c r="Q4" s="268"/>
    </row>
    <row r="5" spans="2:176" ht="18" customHeight="1" x14ac:dyDescent="0.2">
      <c r="B5" s="313" t="str">
        <f>'3. PARTNER'!C5</f>
        <v xml:space="preserve">Calculation for: </v>
      </c>
      <c r="C5" s="336" t="str">
        <f>'3. PARTNER'!D5</f>
        <v>APPLICATION</v>
      </c>
      <c r="D5" s="167"/>
      <c r="E5" s="1067" t="s">
        <v>300</v>
      </c>
      <c r="F5" s="1069" t="str">
        <f>IF('1. INTRO'!I2="English",R5,S5)</f>
        <v>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v>
      </c>
      <c r="G5" s="1038"/>
      <c r="H5" s="1038"/>
      <c r="I5" s="1038"/>
      <c r="J5" s="1038"/>
      <c r="K5" s="1038"/>
      <c r="L5" s="1038"/>
      <c r="M5" s="1038"/>
      <c r="N5" s="1038"/>
      <c r="O5" s="1038"/>
      <c r="P5" s="1038"/>
      <c r="Q5" s="1038"/>
      <c r="R5" s="37" t="s">
        <v>364</v>
      </c>
      <c r="S5" s="37" t="s">
        <v>363</v>
      </c>
    </row>
    <row r="6" spans="2:176" ht="18" customHeight="1" x14ac:dyDescent="0.2">
      <c r="B6" s="35" t="str">
        <f>'3. PARTNER'!C6</f>
        <v xml:space="preserve">Project leader: </v>
      </c>
      <c r="C6" s="336" t="str">
        <f>'3. PARTNER'!D6</f>
        <v/>
      </c>
      <c r="D6" s="167"/>
      <c r="E6" s="1068"/>
      <c r="F6" s="1038"/>
      <c r="G6" s="1038"/>
      <c r="H6" s="1038"/>
      <c r="I6" s="1038"/>
      <c r="J6" s="1038"/>
      <c r="K6" s="1038"/>
      <c r="L6" s="1038"/>
      <c r="M6" s="1038"/>
      <c r="N6" s="1038"/>
      <c r="O6" s="1038"/>
      <c r="P6" s="1038"/>
      <c r="Q6" s="1038"/>
    </row>
    <row r="7" spans="2:176" ht="18" customHeight="1" x14ac:dyDescent="0.2">
      <c r="B7" s="313" t="str">
        <f>IF('1. INTRO'!I2="English","Amounts in: ","Belopp i: ")</f>
        <v xml:space="preserve">Amounts in: </v>
      </c>
      <c r="C7" s="332" t="str">
        <f>IF('2. START'!C15="","",'2. START'!C15)</f>
        <v>SEK</v>
      </c>
      <c r="D7" s="268"/>
      <c r="E7" s="331"/>
      <c r="F7" s="1070"/>
      <c r="G7" s="1070"/>
      <c r="H7" s="1070"/>
      <c r="I7" s="1070"/>
      <c r="J7" s="1070"/>
      <c r="K7" s="1070"/>
      <c r="L7" s="1070"/>
      <c r="M7" s="1070"/>
      <c r="N7" s="1070"/>
      <c r="O7" s="1070"/>
      <c r="P7" s="1070"/>
      <c r="Q7" s="1070"/>
    </row>
    <row r="8" spans="2:176" ht="15" customHeight="1" x14ac:dyDescent="0.25">
      <c r="B8" s="238"/>
      <c r="C8" s="1071" t="str">
        <f>'3. PARTNER'!D7</f>
        <v>Other basic data about the project is in sheet 2.</v>
      </c>
      <c r="D8" s="1004"/>
      <c r="E8" s="1004"/>
      <c r="F8" s="1088" t="s">
        <v>301</v>
      </c>
      <c r="G8" s="1088"/>
      <c r="H8" s="1088"/>
      <c r="I8" s="1088"/>
      <c r="J8" s="334"/>
      <c r="K8" s="334"/>
      <c r="L8" s="1089" t="s">
        <v>302</v>
      </c>
      <c r="M8" s="1088"/>
      <c r="N8" s="1088"/>
      <c r="O8" s="1088"/>
      <c r="P8" s="1088"/>
      <c r="Q8" s="71"/>
      <c r="R8" s="334"/>
      <c r="S8" s="334"/>
      <c r="T8" s="330"/>
      <c r="U8" s="330"/>
      <c r="V8" s="330"/>
      <c r="W8" s="330"/>
      <c r="X8" s="330"/>
      <c r="Y8" s="330"/>
      <c r="Z8" s="330"/>
      <c r="AA8" s="330"/>
    </row>
    <row r="9" spans="2:176" ht="15" customHeight="1" x14ac:dyDescent="0.25">
      <c r="B9" s="56"/>
      <c r="C9" s="57"/>
      <c r="G9" s="73"/>
      <c r="H9" s="79"/>
      <c r="I9" s="79"/>
      <c r="J9" s="79"/>
      <c r="K9" s="72"/>
      <c r="L9" s="72"/>
      <c r="M9" s="72"/>
      <c r="N9" s="72"/>
      <c r="O9" s="72"/>
      <c r="P9" s="72"/>
    </row>
    <row r="10" spans="2:176" s="268" customFormat="1" ht="15" customHeight="1" x14ac:dyDescent="0.25">
      <c r="B10" s="1095" t="s">
        <v>304</v>
      </c>
      <c r="C10" s="1098" t="s">
        <v>373</v>
      </c>
      <c r="D10" s="1101" t="s">
        <v>13</v>
      </c>
      <c r="E10" s="1108" t="str">
        <f>IF('1. INTRO'!I2="English","Co-fun-ding share (%)","Medfi-nansie-rings-andel (%)")</f>
        <v>Co-fun-ding share (%)</v>
      </c>
      <c r="F10" s="1111" t="str">
        <f>IF('1. INTRO'!I2="English","Current monthly salary","Aktuell månadslön")</f>
        <v>Current monthly salary</v>
      </c>
      <c r="G10" s="1104" t="str">
        <f>IF('1. INTRO'!I2="English","No. of months in the project","Antal månader i projektet")</f>
        <v>No. of months in the project</v>
      </c>
      <c r="H10" s="1077"/>
      <c r="I10" s="1077"/>
      <c r="J10" s="360"/>
      <c r="K10" s="360"/>
      <c r="L10" s="1076"/>
      <c r="M10" s="1077"/>
      <c r="N10" s="1077"/>
      <c r="O10" s="1077"/>
      <c r="P10" s="1078"/>
      <c r="Q10" s="1072" t="str">
        <f>IF('1. INTRO'!I2="English","Salary rise (%)","Löne-ökning (%)")</f>
        <v>Salary rise (%)</v>
      </c>
      <c r="R10" s="361"/>
      <c r="S10" s="361"/>
      <c r="T10" s="361"/>
      <c r="U10" s="361"/>
      <c r="V10" s="361"/>
      <c r="W10" s="361"/>
      <c r="X10" s="361"/>
      <c r="Y10" s="361"/>
      <c r="Z10" s="362"/>
      <c r="AA10" s="363" t="s">
        <v>1</v>
      </c>
      <c r="AB10" s="364" t="s">
        <v>43</v>
      </c>
      <c r="AC10" s="364" t="s">
        <v>44</v>
      </c>
      <c r="AD10" s="364" t="s">
        <v>87</v>
      </c>
      <c r="AE10" s="364" t="s">
        <v>4</v>
      </c>
      <c r="AF10" s="364" t="s">
        <v>4</v>
      </c>
      <c r="AG10" s="365"/>
      <c r="AH10" s="366" t="str">
        <f>IF('1. INTRO'!I2="English","Sums","Summor")</f>
        <v>Sums</v>
      </c>
      <c r="AI10" s="367" t="str">
        <f>IF('2. START'!C15="","",'2. START'!C15)</f>
        <v>SEK</v>
      </c>
      <c r="AJ10" s="360"/>
      <c r="AK10" s="360"/>
      <c r="AL10" s="360"/>
      <c r="AM10" s="360"/>
      <c r="AN10" s="360"/>
      <c r="AO10" s="360"/>
      <c r="AP10" s="360"/>
      <c r="AQ10" s="360"/>
      <c r="AR10" s="368"/>
      <c r="AS10" s="365"/>
      <c r="AT10" s="366" t="str">
        <f>AH10</f>
        <v>Sums</v>
      </c>
      <c r="AU10" s="367" t="str">
        <f>'2. START'!C15</f>
        <v>SEK</v>
      </c>
      <c r="AV10" s="360"/>
      <c r="AW10" s="360"/>
      <c r="AX10" s="360"/>
      <c r="AY10" s="360"/>
      <c r="AZ10" s="360"/>
      <c r="BA10" s="360"/>
      <c r="BB10" s="360"/>
      <c r="BC10" s="360"/>
      <c r="BD10" s="368"/>
      <c r="BE10" s="365"/>
      <c r="BF10" s="366" t="str">
        <f>AH10</f>
        <v>Sums</v>
      </c>
      <c r="BG10" s="367" t="str">
        <f>'2. START'!C15</f>
        <v>SEK</v>
      </c>
      <c r="BH10" s="360"/>
      <c r="BI10" s="360"/>
      <c r="BJ10" s="360"/>
      <c r="BK10" s="360"/>
      <c r="BL10" s="360"/>
      <c r="BM10" s="360"/>
      <c r="BN10" s="360"/>
      <c r="BO10" s="360"/>
      <c r="BP10" s="368"/>
      <c r="BQ10" s="365"/>
      <c r="BR10" s="366" t="str">
        <f>AH10</f>
        <v>Sums</v>
      </c>
      <c r="BS10" s="367" t="str">
        <f>'2. START'!C15</f>
        <v>SEK</v>
      </c>
      <c r="BT10" s="360"/>
      <c r="BU10" s="360"/>
      <c r="BV10" s="360"/>
      <c r="BW10" s="360"/>
      <c r="BX10" s="360"/>
      <c r="BY10" s="360"/>
      <c r="BZ10" s="360"/>
      <c r="CA10" s="360"/>
      <c r="CB10" s="368"/>
      <c r="CC10" s="365"/>
      <c r="CD10" s="366" t="str">
        <f>AH10</f>
        <v>Sums</v>
      </c>
      <c r="CE10" s="367" t="str">
        <f>'2. START'!C15</f>
        <v>SEK</v>
      </c>
      <c r="CF10" s="360"/>
      <c r="CG10" s="360"/>
      <c r="CH10" s="360"/>
      <c r="CI10" s="360"/>
      <c r="CJ10" s="360"/>
      <c r="CK10" s="360"/>
      <c r="CL10" s="360"/>
      <c r="CM10" s="360"/>
      <c r="CN10" s="368"/>
      <c r="CO10" s="365"/>
      <c r="CP10" s="366" t="str">
        <f>AH10</f>
        <v>Sums</v>
      </c>
      <c r="CQ10" s="367" t="str">
        <f>'2. START'!C15</f>
        <v>SEK</v>
      </c>
      <c r="CR10" s="360"/>
      <c r="CS10" s="360"/>
      <c r="CT10" s="360"/>
      <c r="CU10" s="360"/>
      <c r="CV10" s="360"/>
      <c r="CW10" s="360"/>
      <c r="CX10" s="360"/>
      <c r="CY10" s="360"/>
      <c r="CZ10" s="368"/>
      <c r="DA10" s="365"/>
      <c r="DB10" s="366" t="str">
        <f>AH10</f>
        <v>Sums</v>
      </c>
      <c r="DC10" s="367" t="str">
        <f>'2. START'!C15</f>
        <v>SEK</v>
      </c>
      <c r="DD10" s="360"/>
      <c r="DE10" s="360"/>
      <c r="DF10" s="360"/>
      <c r="DG10" s="360"/>
      <c r="DH10" s="360"/>
      <c r="DI10" s="360"/>
      <c r="DJ10" s="360"/>
      <c r="DK10" s="360"/>
      <c r="DL10" s="368"/>
      <c r="DM10" s="365"/>
      <c r="DN10" s="366" t="str">
        <f>AH10</f>
        <v>Sums</v>
      </c>
      <c r="DO10" s="367" t="str">
        <f>'2. START'!C15</f>
        <v>SEK</v>
      </c>
      <c r="DP10" s="360"/>
      <c r="DQ10" s="360"/>
      <c r="DR10" s="360"/>
      <c r="DS10" s="360"/>
      <c r="DT10" s="360"/>
      <c r="DU10" s="360"/>
      <c r="DV10" s="360"/>
      <c r="DW10" s="360"/>
      <c r="DX10" s="368"/>
      <c r="DZ10" s="366" t="str">
        <f>AH10</f>
        <v>Sums</v>
      </c>
      <c r="EA10" s="367" t="str">
        <f>'2. START'!C15</f>
        <v>SEK</v>
      </c>
      <c r="EB10" s="360"/>
      <c r="EC10" s="360"/>
      <c r="ED10" s="360"/>
      <c r="EE10" s="360"/>
      <c r="EF10" s="360"/>
      <c r="EG10" s="369"/>
      <c r="EH10" s="360"/>
      <c r="EI10" s="360"/>
      <c r="EJ10" s="368"/>
      <c r="EL10" s="366" t="str">
        <f>AH10</f>
        <v>Sums</v>
      </c>
      <c r="EM10" s="367" t="str">
        <f>'2. START'!C15</f>
        <v>SEK</v>
      </c>
      <c r="EN10" s="369"/>
      <c r="EO10" s="369"/>
      <c r="EP10" s="360"/>
      <c r="EQ10" s="360"/>
      <c r="ER10" s="360"/>
      <c r="ES10" s="360"/>
      <c r="ET10" s="360"/>
      <c r="EU10" s="360"/>
      <c r="EV10" s="368"/>
      <c r="EX10" s="366" t="str">
        <f>AH10</f>
        <v>Sums</v>
      </c>
      <c r="EY10" s="367" t="str">
        <f>'2. START'!C15</f>
        <v>SEK</v>
      </c>
      <c r="EZ10" s="360"/>
      <c r="FA10" s="370"/>
      <c r="FB10" s="371"/>
      <c r="FC10" s="360"/>
      <c r="FD10" s="360"/>
      <c r="FE10" s="360"/>
      <c r="FF10" s="360"/>
      <c r="FG10" s="360"/>
      <c r="FH10" s="368"/>
      <c r="FJ10" s="366" t="str">
        <f>AH10</f>
        <v>Sums</v>
      </c>
      <c r="FK10" s="367" t="str">
        <f>'2. START'!C15</f>
        <v>SEK</v>
      </c>
      <c r="FL10" s="360"/>
      <c r="FM10" s="360"/>
      <c r="FN10" s="360"/>
      <c r="FO10" s="360"/>
      <c r="FP10" s="360"/>
      <c r="FQ10" s="360"/>
      <c r="FR10" s="360"/>
      <c r="FS10" s="360"/>
      <c r="FT10" s="368"/>
    </row>
    <row r="11" spans="2:176" s="268" customFormat="1" ht="15" customHeight="1" x14ac:dyDescent="0.25">
      <c r="B11" s="1096"/>
      <c r="C11" s="1099"/>
      <c r="D11" s="1102"/>
      <c r="E11" s="1109"/>
      <c r="F11" s="1112"/>
      <c r="G11" s="353"/>
      <c r="H11" s="352"/>
      <c r="I11" s="352"/>
      <c r="J11" s="343"/>
      <c r="K11" s="341"/>
      <c r="L11" s="341"/>
      <c r="M11" s="1036" t="str">
        <f>IF('1. INTRO'!I2="English","Working hours per year ","Antal årsarbetstimmar ")</f>
        <v xml:space="preserve">Working hours per year </v>
      </c>
      <c r="N11" s="999"/>
      <c r="O11" s="1079"/>
      <c r="P11" s="937"/>
      <c r="Q11" s="1073"/>
      <c r="R11" s="365"/>
      <c r="S11" s="365"/>
      <c r="T11" s="365"/>
      <c r="U11" s="365"/>
      <c r="V11" s="365"/>
      <c r="W11" s="365"/>
      <c r="X11" s="365"/>
      <c r="Y11" s="365"/>
      <c r="Z11" s="372"/>
      <c r="AA11" s="373" t="s">
        <v>0</v>
      </c>
      <c r="AB11" s="374" t="s">
        <v>88</v>
      </c>
      <c r="AC11" s="374" t="s">
        <v>88</v>
      </c>
      <c r="AD11" s="374"/>
      <c r="AE11" s="374" t="s">
        <v>110</v>
      </c>
      <c r="AF11" s="374" t="s">
        <v>110</v>
      </c>
      <c r="AG11" s="365"/>
      <c r="AH11" s="375"/>
      <c r="AI11" s="365"/>
      <c r="AJ11" s="365"/>
      <c r="AK11" s="365"/>
      <c r="AL11" s="365"/>
      <c r="AM11" s="365"/>
      <c r="AN11" s="365"/>
      <c r="AO11" s="365"/>
      <c r="AP11" s="365"/>
      <c r="AQ11" s="365"/>
      <c r="AR11" s="372"/>
      <c r="AS11" s="365"/>
      <c r="AT11" s="375"/>
      <c r="AU11" s="365"/>
      <c r="AV11" s="365"/>
      <c r="AW11" s="365"/>
      <c r="AX11" s="365"/>
      <c r="AY11" s="365"/>
      <c r="AZ11" s="365"/>
      <c r="BA11" s="365"/>
      <c r="BB11" s="365"/>
      <c r="BC11" s="365"/>
      <c r="BD11" s="372"/>
      <c r="BE11" s="365"/>
      <c r="BF11" s="375"/>
      <c r="BG11" s="365"/>
      <c r="BH11" s="365"/>
      <c r="BI11" s="365"/>
      <c r="BJ11" s="365"/>
      <c r="BK11" s="365"/>
      <c r="BL11" s="365"/>
      <c r="BM11" s="365"/>
      <c r="BN11" s="365"/>
      <c r="BO11" s="365"/>
      <c r="BP11" s="372"/>
      <c r="BQ11" s="365"/>
      <c r="BR11" s="375"/>
      <c r="BS11" s="365"/>
      <c r="BT11" s="365"/>
      <c r="BU11" s="365"/>
      <c r="BV11" s="365"/>
      <c r="BW11" s="365"/>
      <c r="BX11" s="365"/>
      <c r="BY11" s="365"/>
      <c r="BZ11" s="365"/>
      <c r="CA11" s="365"/>
      <c r="CB11" s="372"/>
      <c r="CC11" s="365"/>
      <c r="CD11" s="375"/>
      <c r="CE11" s="365"/>
      <c r="CF11" s="365"/>
      <c r="CG11" s="365"/>
      <c r="CH11" s="365"/>
      <c r="CI11" s="365"/>
      <c r="CJ11" s="365"/>
      <c r="CK11" s="365"/>
      <c r="CL11" s="365"/>
      <c r="CM11" s="365"/>
      <c r="CN11" s="372"/>
      <c r="CO11" s="365"/>
      <c r="CP11" s="375"/>
      <c r="CQ11" s="365"/>
      <c r="CR11" s="365"/>
      <c r="CS11" s="365"/>
      <c r="CT11" s="365"/>
      <c r="CU11" s="365"/>
      <c r="CV11" s="365"/>
      <c r="CW11" s="365"/>
      <c r="CX11" s="365"/>
      <c r="CY11" s="365"/>
      <c r="CZ11" s="372"/>
      <c r="DA11" s="365"/>
      <c r="DB11" s="375"/>
      <c r="DC11" s="365"/>
      <c r="DD11" s="365"/>
      <c r="DE11" s="365"/>
      <c r="DF11" s="365"/>
      <c r="DG11" s="365"/>
      <c r="DH11" s="365"/>
      <c r="DI11" s="365"/>
      <c r="DJ11" s="365"/>
      <c r="DK11" s="365"/>
      <c r="DL11" s="372"/>
      <c r="DM11" s="365"/>
      <c r="DN11" s="375"/>
      <c r="DO11" s="365"/>
      <c r="DP11" s="365"/>
      <c r="DQ11" s="365"/>
      <c r="DR11" s="365"/>
      <c r="DS11" s="365"/>
      <c r="DT11" s="365"/>
      <c r="DU11" s="365"/>
      <c r="DV11" s="365"/>
      <c r="DW11" s="365"/>
      <c r="DX11" s="372"/>
      <c r="DZ11" s="375"/>
      <c r="EA11" s="365"/>
      <c r="EB11" s="365"/>
      <c r="EC11" s="365"/>
      <c r="ED11" s="365"/>
      <c r="EE11" s="365"/>
      <c r="EF11" s="365"/>
      <c r="EG11" s="365"/>
      <c r="EH11" s="365"/>
      <c r="EI11" s="365"/>
      <c r="EJ11" s="372"/>
      <c r="EL11" s="375"/>
      <c r="EM11" s="365"/>
      <c r="EN11" s="365"/>
      <c r="EO11" s="365"/>
      <c r="EP11" s="365"/>
      <c r="EQ11" s="365"/>
      <c r="ER11" s="365"/>
      <c r="ES11" s="365"/>
      <c r="ET11" s="365"/>
      <c r="EU11" s="365"/>
      <c r="EV11" s="372"/>
      <c r="EX11" s="375"/>
      <c r="EY11" s="365"/>
      <c r="EZ11" s="365"/>
      <c r="FA11" s="365"/>
      <c r="FB11" s="365"/>
      <c r="FC11" s="365"/>
      <c r="FD11" s="365"/>
      <c r="FE11" s="365"/>
      <c r="FF11" s="365"/>
      <c r="FG11" s="365"/>
      <c r="FH11" s="372"/>
      <c r="FJ11" s="375"/>
      <c r="FK11" s="365"/>
      <c r="FL11" s="365"/>
      <c r="FM11" s="365"/>
      <c r="FN11" s="365"/>
      <c r="FO11" s="365"/>
      <c r="FP11" s="365"/>
      <c r="FQ11" s="365"/>
      <c r="FR11" s="365"/>
      <c r="FS11" s="365"/>
      <c r="FT11" s="372"/>
    </row>
    <row r="12" spans="2:176" s="268" customFormat="1" ht="15" customHeight="1" x14ac:dyDescent="0.25">
      <c r="B12" s="1096"/>
      <c r="C12" s="1099"/>
      <c r="D12" s="1102"/>
      <c r="E12" s="1109"/>
      <c r="F12" s="1112"/>
      <c r="G12" s="1082" t="str">
        <f>IF('1. INTRO'!I2="English","Person months total ","Personmånader totalt ")</f>
        <v xml:space="preserve">Person months total </v>
      </c>
      <c r="H12" s="1083"/>
      <c r="I12" s="1083"/>
      <c r="J12" s="253" t="str">
        <f>IF(AE193=0,"",AE193)</f>
        <v/>
      </c>
      <c r="K12" s="376"/>
      <c r="L12" s="1080" t="str">
        <f>IF('1. INTRO'!I2="English","Person´s hours in the project ","Personens timmar i projektet ")</f>
        <v xml:space="preserve">Person´s hours in the project </v>
      </c>
      <c r="M12" s="1001"/>
      <c r="N12" s="1001"/>
      <c r="O12" s="1081"/>
      <c r="P12" s="936"/>
      <c r="Q12" s="1073"/>
      <c r="R12" s="365"/>
      <c r="S12" s="365"/>
      <c r="T12" s="365"/>
      <c r="U12" s="365"/>
      <c r="V12" s="365"/>
      <c r="W12" s="365"/>
      <c r="X12" s="365"/>
      <c r="Y12" s="365"/>
      <c r="Z12" s="372"/>
      <c r="AA12" s="377"/>
      <c r="AB12" s="374"/>
      <c r="AC12" s="374"/>
      <c r="AD12" s="374"/>
      <c r="AE12" s="374" t="s">
        <v>115</v>
      </c>
      <c r="AF12" s="374" t="s">
        <v>116</v>
      </c>
      <c r="AG12" s="365"/>
      <c r="AH12" s="1085" t="str">
        <f>IF('1. INTRO'!I2="English","Salary total (grant &amp; co-funding) including applicant´s social costs (LKP) and salary rise","Lön totalt (bidrag &amp; medfinansiering) inklusive sökande LKP och löneökning")</f>
        <v>Salary total (grant &amp; co-funding) including applicant´s social costs (LKP) and salary rise</v>
      </c>
      <c r="AI12" s="1086"/>
      <c r="AJ12" s="1086"/>
      <c r="AK12" s="1086"/>
      <c r="AL12" s="1086"/>
      <c r="AM12" s="1086"/>
      <c r="AN12" s="1086"/>
      <c r="AO12" s="1087"/>
      <c r="AP12" s="365"/>
      <c r="AQ12" s="365"/>
      <c r="AR12" s="372"/>
      <c r="AS12" s="365"/>
      <c r="AT12" s="378" t="s">
        <v>78</v>
      </c>
      <c r="AU12" s="379"/>
      <c r="AV12" s="379"/>
      <c r="AW12" s="379"/>
      <c r="AX12" s="379"/>
      <c r="AY12" s="379"/>
      <c r="AZ12" s="379"/>
      <c r="BA12" s="379"/>
      <c r="BB12" s="379"/>
      <c r="BC12" s="379"/>
      <c r="BD12" s="380"/>
      <c r="BE12" s="381"/>
      <c r="BF12" s="378" t="s">
        <v>77</v>
      </c>
      <c r="BG12" s="379"/>
      <c r="BH12" s="379"/>
      <c r="BI12" s="379"/>
      <c r="BJ12" s="379"/>
      <c r="BK12" s="379"/>
      <c r="BL12" s="379"/>
      <c r="BM12" s="379"/>
      <c r="BN12" s="379"/>
      <c r="BO12" s="379"/>
      <c r="BP12" s="380"/>
      <c r="BQ12" s="365"/>
      <c r="BR12" s="378" t="s">
        <v>79</v>
      </c>
      <c r="BS12" s="379"/>
      <c r="BT12" s="379"/>
      <c r="BU12" s="379"/>
      <c r="BV12" s="379"/>
      <c r="BW12" s="379"/>
      <c r="BX12" s="379"/>
      <c r="BY12" s="379"/>
      <c r="BZ12" s="379"/>
      <c r="CA12" s="379"/>
      <c r="CB12" s="380"/>
      <c r="CC12" s="355"/>
      <c r="CD12" s="378" t="s">
        <v>80</v>
      </c>
      <c r="CE12" s="379"/>
      <c r="CF12" s="382"/>
      <c r="CG12" s="382"/>
      <c r="CH12" s="382"/>
      <c r="CI12" s="382"/>
      <c r="CJ12" s="382"/>
      <c r="CK12" s="382"/>
      <c r="CL12" s="382"/>
      <c r="CM12" s="382"/>
      <c r="CN12" s="383"/>
      <c r="CO12" s="355"/>
      <c r="CP12" s="378" t="s">
        <v>81</v>
      </c>
      <c r="CQ12" s="379"/>
      <c r="CR12" s="379"/>
      <c r="CS12" s="379"/>
      <c r="CT12" s="379"/>
      <c r="CU12" s="379"/>
      <c r="CV12" s="379"/>
      <c r="CW12" s="379"/>
      <c r="CX12" s="379"/>
      <c r="CY12" s="379"/>
      <c r="CZ12" s="380"/>
      <c r="DB12" s="378" t="s">
        <v>82</v>
      </c>
      <c r="DC12" s="379"/>
      <c r="DD12" s="365"/>
      <c r="DE12" s="365"/>
      <c r="DF12" s="365"/>
      <c r="DG12" s="365"/>
      <c r="DH12" s="365"/>
      <c r="DI12" s="365"/>
      <c r="DJ12" s="365"/>
      <c r="DK12" s="365"/>
      <c r="DL12" s="372"/>
      <c r="DN12" s="378" t="s">
        <v>370</v>
      </c>
      <c r="DO12" s="379"/>
      <c r="DP12" s="379"/>
      <c r="DQ12" s="379"/>
      <c r="DR12" s="379"/>
      <c r="DS12" s="379"/>
      <c r="DT12" s="379"/>
      <c r="DU12" s="379"/>
      <c r="DV12" s="379"/>
      <c r="DW12" s="379"/>
      <c r="DX12" s="372"/>
      <c r="DZ12" s="378" t="s">
        <v>83</v>
      </c>
      <c r="EA12" s="379"/>
      <c r="EB12" s="379"/>
      <c r="EC12" s="379"/>
      <c r="ED12" s="379"/>
      <c r="EE12" s="379"/>
      <c r="EF12" s="379"/>
      <c r="EG12" s="379"/>
      <c r="EH12" s="379"/>
      <c r="EI12" s="379"/>
      <c r="EJ12" s="380"/>
      <c r="EL12" s="378" t="s">
        <v>84</v>
      </c>
      <c r="EM12" s="379"/>
      <c r="EN12" s="379"/>
      <c r="EO12" s="379"/>
      <c r="EP12" s="379"/>
      <c r="EQ12" s="379"/>
      <c r="ER12" s="379"/>
      <c r="ES12" s="379"/>
      <c r="ET12" s="379"/>
      <c r="EU12" s="379"/>
      <c r="EV12" s="372"/>
      <c r="EX12" s="384" t="s">
        <v>85</v>
      </c>
      <c r="EY12" s="379"/>
      <c r="EZ12" s="379"/>
      <c r="FA12" s="379"/>
      <c r="FB12" s="379"/>
      <c r="FC12" s="379"/>
      <c r="FD12" s="379"/>
      <c r="FE12" s="379"/>
      <c r="FF12" s="379"/>
      <c r="FG12" s="379"/>
      <c r="FH12" s="372"/>
      <c r="FJ12" s="384" t="s">
        <v>86</v>
      </c>
      <c r="FK12" s="379"/>
      <c r="FL12" s="365"/>
      <c r="FM12" s="365"/>
      <c r="FN12" s="365"/>
      <c r="FO12" s="365"/>
      <c r="FP12" s="365"/>
      <c r="FQ12" s="365"/>
      <c r="FR12" s="365"/>
      <c r="FS12" s="365"/>
      <c r="FT12" s="372"/>
    </row>
    <row r="13" spans="2:176" s="268" customFormat="1" ht="15" customHeight="1" x14ac:dyDescent="0.25">
      <c r="B13" s="1096"/>
      <c r="C13" s="1099"/>
      <c r="D13" s="1102"/>
      <c r="E13" s="1109"/>
      <c r="F13" s="385"/>
      <c r="G13" s="1105" t="str">
        <f>IF('1. INTRO'!I2="English","Of which in co-funding ","Varav i medfinansiering ")</f>
        <v xml:space="preserve">Of which in co-funding </v>
      </c>
      <c r="H13" s="1106"/>
      <c r="I13" s="1107"/>
      <c r="J13" s="253" t="str">
        <f>IF(AF193=0,"",AF193)</f>
        <v/>
      </c>
      <c r="K13" s="1080" t="str">
        <f>IF('1. INTRO'!I2="English","Person´s months in the project ","Personens månader i projektet ")</f>
        <v xml:space="preserve">Person´s months in the project </v>
      </c>
      <c r="L13" s="1001"/>
      <c r="M13" s="1001"/>
      <c r="N13" s="1001"/>
      <c r="O13" s="1081"/>
      <c r="P13" s="938" t="str">
        <f>IF(P11&gt;0,(P12/P11)*12,"")</f>
        <v/>
      </c>
      <c r="Q13" s="386"/>
      <c r="R13" s="365"/>
      <c r="S13" s="365"/>
      <c r="T13" s="365"/>
      <c r="U13" s="365"/>
      <c r="V13" s="365"/>
      <c r="W13" s="365"/>
      <c r="X13" s="365"/>
      <c r="Y13" s="365"/>
      <c r="Z13" s="372"/>
      <c r="AA13" s="377"/>
      <c r="AB13" s="374"/>
      <c r="AC13" s="374"/>
      <c r="AD13" s="374"/>
      <c r="AE13" s="374"/>
      <c r="AF13" s="374" t="s">
        <v>117</v>
      </c>
      <c r="AG13" s="365"/>
      <c r="AH13" s="375"/>
      <c r="AI13" s="365"/>
      <c r="AJ13" s="365"/>
      <c r="AK13" s="365"/>
      <c r="AL13" s="365"/>
      <c r="AM13" s="365"/>
      <c r="AN13" s="365"/>
      <c r="AO13" s="365"/>
      <c r="AP13" s="365"/>
      <c r="AQ13" s="365"/>
      <c r="AR13" s="372"/>
      <c r="AS13" s="365"/>
      <c r="AT13" s="375"/>
      <c r="AU13" s="379"/>
      <c r="AV13" s="379"/>
      <c r="AW13" s="379"/>
      <c r="AX13" s="379"/>
      <c r="AY13" s="379"/>
      <c r="AZ13" s="379"/>
      <c r="BA13" s="379"/>
      <c r="BB13" s="379"/>
      <c r="BC13" s="379"/>
      <c r="BD13" s="380"/>
      <c r="BE13" s="381"/>
      <c r="BF13" s="387"/>
      <c r="BG13" s="379"/>
      <c r="BH13" s="379"/>
      <c r="BI13" s="379"/>
      <c r="BJ13" s="379"/>
      <c r="BK13" s="379"/>
      <c r="BL13" s="379"/>
      <c r="BM13" s="379"/>
      <c r="BN13" s="379"/>
      <c r="BO13" s="379"/>
      <c r="BP13" s="380"/>
      <c r="BQ13" s="365"/>
      <c r="BR13" s="387"/>
      <c r="BS13" s="379"/>
      <c r="BT13" s="379"/>
      <c r="BU13" s="379"/>
      <c r="BV13" s="379"/>
      <c r="BW13" s="379"/>
      <c r="BX13" s="379"/>
      <c r="BY13" s="379"/>
      <c r="BZ13" s="379"/>
      <c r="CA13" s="379"/>
      <c r="CB13" s="380"/>
      <c r="CC13" s="355"/>
      <c r="CD13" s="388"/>
      <c r="CE13" s="382"/>
      <c r="CF13" s="382"/>
      <c r="CG13" s="382"/>
      <c r="CH13" s="382"/>
      <c r="CI13" s="382"/>
      <c r="CJ13" s="382"/>
      <c r="CK13" s="382"/>
      <c r="CL13" s="382"/>
      <c r="CM13" s="382"/>
      <c r="CN13" s="383"/>
      <c r="CO13" s="355"/>
      <c r="CP13" s="387"/>
      <c r="CQ13" s="379"/>
      <c r="CR13" s="379"/>
      <c r="CS13" s="379"/>
      <c r="CT13" s="379"/>
      <c r="CU13" s="379"/>
      <c r="CV13" s="379"/>
      <c r="CW13" s="379"/>
      <c r="CX13" s="379"/>
      <c r="CY13" s="379"/>
      <c r="CZ13" s="380"/>
      <c r="DB13" s="375"/>
      <c r="DC13" s="365"/>
      <c r="DD13" s="365"/>
      <c r="DE13" s="365"/>
      <c r="DF13" s="365"/>
      <c r="DG13" s="365"/>
      <c r="DH13" s="365"/>
      <c r="DI13" s="365"/>
      <c r="DJ13" s="365"/>
      <c r="DK13" s="365"/>
      <c r="DL13" s="372"/>
      <c r="DN13" s="387"/>
      <c r="DO13" s="379"/>
      <c r="DP13" s="379"/>
      <c r="DQ13" s="379"/>
      <c r="DR13" s="379"/>
      <c r="DS13" s="379"/>
      <c r="DT13" s="379"/>
      <c r="DU13" s="379"/>
      <c r="DV13" s="379"/>
      <c r="DW13" s="379"/>
      <c r="DX13" s="380"/>
      <c r="DZ13" s="387"/>
      <c r="EA13" s="379"/>
      <c r="EB13" s="379"/>
      <c r="EC13" s="379"/>
      <c r="ED13" s="379"/>
      <c r="EE13" s="379"/>
      <c r="EF13" s="379"/>
      <c r="EG13" s="379"/>
      <c r="EH13" s="379"/>
      <c r="EI13" s="379"/>
      <c r="EJ13" s="380"/>
      <c r="EL13" s="387"/>
      <c r="EM13" s="379"/>
      <c r="EN13" s="379"/>
      <c r="EO13" s="379"/>
      <c r="EP13" s="379"/>
      <c r="EQ13" s="379"/>
      <c r="ER13" s="379"/>
      <c r="ES13" s="379"/>
      <c r="ET13" s="379"/>
      <c r="EU13" s="379"/>
      <c r="EV13" s="380"/>
      <c r="EX13" s="387"/>
      <c r="EY13" s="379"/>
      <c r="EZ13" s="379"/>
      <c r="FA13" s="379"/>
      <c r="FB13" s="379"/>
      <c r="FC13" s="379"/>
      <c r="FD13" s="379"/>
      <c r="FE13" s="379"/>
      <c r="FF13" s="379"/>
      <c r="FG13" s="379"/>
      <c r="FH13" s="380"/>
      <c r="FJ13" s="387"/>
      <c r="FK13" s="379"/>
      <c r="FL13" s="365"/>
      <c r="FM13" s="365"/>
      <c r="FN13" s="365"/>
      <c r="FO13" s="365"/>
      <c r="FP13" s="365"/>
      <c r="FQ13" s="365"/>
      <c r="FR13" s="365"/>
      <c r="FS13" s="365"/>
      <c r="FT13" s="372"/>
    </row>
    <row r="14" spans="2:176" s="268" customFormat="1" ht="15" customHeight="1" x14ac:dyDescent="0.25">
      <c r="B14" s="1096"/>
      <c r="C14" s="1099"/>
      <c r="D14" s="1102"/>
      <c r="E14" s="1109"/>
      <c r="F14" s="389" t="str">
        <f>IF('2. START'!C$15="","",'2. START'!C$15)</f>
        <v>SEK</v>
      </c>
      <c r="G14" s="390"/>
      <c r="H14" s="391"/>
      <c r="I14" s="391"/>
      <c r="J14" s="1074"/>
      <c r="K14" s="1075"/>
      <c r="L14" s="1075"/>
      <c r="M14" s="1075"/>
      <c r="N14" s="1075"/>
      <c r="O14" s="392"/>
      <c r="P14" s="393"/>
      <c r="Q14" s="394"/>
      <c r="R14" s="365"/>
      <c r="S14" s="365"/>
      <c r="T14" s="365"/>
      <c r="U14" s="365"/>
      <c r="V14" s="365"/>
      <c r="W14" s="365"/>
      <c r="X14" s="365"/>
      <c r="Y14" s="365"/>
      <c r="Z14" s="372"/>
      <c r="AA14" s="377"/>
      <c r="AB14" s="374"/>
      <c r="AC14" s="374"/>
      <c r="AD14" s="374"/>
      <c r="AE14" s="374"/>
      <c r="AF14" s="374"/>
      <c r="AG14" s="365"/>
      <c r="AH14" s="395"/>
      <c r="AI14" s="396"/>
      <c r="AJ14" s="396"/>
      <c r="AK14" s="396"/>
      <c r="AL14" s="396"/>
      <c r="AM14" s="396"/>
      <c r="AN14" s="396"/>
      <c r="AO14" s="396"/>
      <c r="AP14" s="396"/>
      <c r="AQ14" s="396"/>
      <c r="AR14" s="397"/>
      <c r="AS14" s="365"/>
      <c r="AT14" s="395"/>
      <c r="AU14" s="398"/>
      <c r="AV14" s="398"/>
      <c r="AW14" s="398"/>
      <c r="AX14" s="398"/>
      <c r="AY14" s="398"/>
      <c r="AZ14" s="398"/>
      <c r="BA14" s="398"/>
      <c r="BB14" s="398"/>
      <c r="BC14" s="398"/>
      <c r="BD14" s="399"/>
      <c r="BE14" s="381"/>
      <c r="BF14" s="400"/>
      <c r="BG14" s="398"/>
      <c r="BH14" s="398"/>
      <c r="BI14" s="398"/>
      <c r="BJ14" s="398"/>
      <c r="BK14" s="398"/>
      <c r="BL14" s="398"/>
      <c r="BM14" s="398"/>
      <c r="BN14" s="398"/>
      <c r="BO14" s="398"/>
      <c r="BP14" s="399"/>
      <c r="BQ14" s="365"/>
      <c r="BR14" s="400"/>
      <c r="BS14" s="398"/>
      <c r="BT14" s="398"/>
      <c r="BU14" s="398"/>
      <c r="BV14" s="398"/>
      <c r="BW14" s="398"/>
      <c r="BX14" s="398"/>
      <c r="BY14" s="398"/>
      <c r="BZ14" s="398"/>
      <c r="CA14" s="398"/>
      <c r="CB14" s="399"/>
      <c r="CC14" s="355"/>
      <c r="CD14" s="401"/>
      <c r="CE14" s="402"/>
      <c r="CF14" s="402"/>
      <c r="CG14" s="402"/>
      <c r="CH14" s="402"/>
      <c r="CI14" s="402"/>
      <c r="CJ14" s="402"/>
      <c r="CK14" s="402"/>
      <c r="CL14" s="402"/>
      <c r="CM14" s="402"/>
      <c r="CN14" s="403"/>
      <c r="CO14" s="355"/>
      <c r="CP14" s="400"/>
      <c r="CQ14" s="398"/>
      <c r="CR14" s="398"/>
      <c r="CS14" s="398"/>
      <c r="CT14" s="398"/>
      <c r="CU14" s="398"/>
      <c r="CV14" s="398"/>
      <c r="CW14" s="398"/>
      <c r="CX14" s="398"/>
      <c r="CY14" s="398"/>
      <c r="CZ14" s="399"/>
      <c r="DB14" s="395"/>
      <c r="DC14" s="396"/>
      <c r="DD14" s="396"/>
      <c r="DE14" s="396"/>
      <c r="DF14" s="396"/>
      <c r="DG14" s="396"/>
      <c r="DH14" s="396"/>
      <c r="DI14" s="396"/>
      <c r="DJ14" s="396"/>
      <c r="DK14" s="396"/>
      <c r="DL14" s="397"/>
      <c r="DN14" s="400"/>
      <c r="DO14" s="398"/>
      <c r="DP14" s="398"/>
      <c r="DQ14" s="398"/>
      <c r="DR14" s="398"/>
      <c r="DS14" s="398"/>
      <c r="DT14" s="398"/>
      <c r="DU14" s="398"/>
      <c r="DV14" s="398"/>
      <c r="DW14" s="398"/>
      <c r="DX14" s="399"/>
      <c r="DZ14" s="395"/>
      <c r="EA14" s="398"/>
      <c r="EB14" s="398"/>
      <c r="EC14" s="398"/>
      <c r="ED14" s="398"/>
      <c r="EE14" s="398"/>
      <c r="EF14" s="398"/>
      <c r="EG14" s="398"/>
      <c r="EH14" s="398"/>
      <c r="EI14" s="398"/>
      <c r="EJ14" s="399"/>
      <c r="EL14" s="400"/>
      <c r="EM14" s="398"/>
      <c r="EN14" s="398"/>
      <c r="EO14" s="398"/>
      <c r="EP14" s="398"/>
      <c r="EQ14" s="398"/>
      <c r="ER14" s="398"/>
      <c r="ES14" s="398"/>
      <c r="ET14" s="398"/>
      <c r="EU14" s="398"/>
      <c r="EV14" s="399"/>
      <c r="EX14" s="400"/>
      <c r="EY14" s="398"/>
      <c r="EZ14" s="398"/>
      <c r="FA14" s="398"/>
      <c r="FB14" s="398"/>
      <c r="FC14" s="398"/>
      <c r="FD14" s="398"/>
      <c r="FE14" s="398"/>
      <c r="FF14" s="398"/>
      <c r="FG14" s="398"/>
      <c r="FH14" s="399"/>
      <c r="FJ14" s="400"/>
      <c r="FK14" s="398"/>
      <c r="FL14" s="396"/>
      <c r="FM14" s="396"/>
      <c r="FN14" s="396"/>
      <c r="FO14" s="396"/>
      <c r="FP14" s="396"/>
      <c r="FQ14" s="396"/>
      <c r="FR14" s="396"/>
      <c r="FS14" s="396"/>
      <c r="FT14" s="397"/>
    </row>
    <row r="15" spans="2:176" s="268" customFormat="1" ht="15" customHeight="1" x14ac:dyDescent="0.25">
      <c r="B15" s="1097"/>
      <c r="C15" s="1100"/>
      <c r="D15" s="1103"/>
      <c r="E15" s="1110"/>
      <c r="F15" s="404"/>
      <c r="G15" s="405">
        <f>YEAR('2. START'!C18)</f>
        <v>1900</v>
      </c>
      <c r="H15" s="406" t="str">
        <f>IF(($G15+1)&lt;=YEAR('2. START'!$C19),($G15+1),"")</f>
        <v/>
      </c>
      <c r="I15" s="406" t="str">
        <f>IF(($G15+2)&lt;=YEAR('2. START'!$C19),($G15+2),"")</f>
        <v/>
      </c>
      <c r="J15" s="405" t="str">
        <f>IF(($G15+3)&lt;=YEAR('2. START'!$C19),($G15+3),"")</f>
        <v/>
      </c>
      <c r="K15" s="405" t="str">
        <f>IF(($G15+4)&lt;=YEAR('2. START'!$C19),($G15+4),"")</f>
        <v/>
      </c>
      <c r="L15" s="405" t="str">
        <f>IF(($G15+5)&lt;=YEAR('2. START'!$C19),($G15+5),"")</f>
        <v/>
      </c>
      <c r="M15" s="405" t="str">
        <f>IF(($G15+6)&lt;=YEAR('2. START'!$C19),($G15+6),"")</f>
        <v/>
      </c>
      <c r="N15" s="405" t="str">
        <f>IF(($G15+7)&lt;=YEAR('2. START'!$C19),($G15+7),"")</f>
        <v/>
      </c>
      <c r="O15" s="405" t="str">
        <f>IF(($G15+8)&lt;=YEAR('2. START'!$C19),($G15+8),"")</f>
        <v/>
      </c>
      <c r="P15" s="406" t="str">
        <f>IF(($G15+9)&lt;=YEAR('2. START'!$C19),($G15+9),"")</f>
        <v/>
      </c>
      <c r="Q15" s="407"/>
      <c r="R15" s="408" t="str">
        <f t="shared" ref="R15:Z15" si="0">H15</f>
        <v/>
      </c>
      <c r="S15" s="408" t="str">
        <f t="shared" si="0"/>
        <v/>
      </c>
      <c r="T15" s="408" t="str">
        <f t="shared" si="0"/>
        <v/>
      </c>
      <c r="U15" s="408" t="str">
        <f t="shared" si="0"/>
        <v/>
      </c>
      <c r="V15" s="408" t="str">
        <f t="shared" si="0"/>
        <v/>
      </c>
      <c r="W15" s="408" t="str">
        <f t="shared" si="0"/>
        <v/>
      </c>
      <c r="X15" s="408" t="str">
        <f t="shared" si="0"/>
        <v/>
      </c>
      <c r="Y15" s="408" t="str">
        <f t="shared" si="0"/>
        <v/>
      </c>
      <c r="Z15" s="408" t="str">
        <f t="shared" si="0"/>
        <v/>
      </c>
      <c r="AA15" s="377"/>
      <c r="AB15" s="409" t="s">
        <v>0</v>
      </c>
      <c r="AC15" s="409" t="s">
        <v>0</v>
      </c>
      <c r="AD15" s="409" t="s">
        <v>0</v>
      </c>
      <c r="AE15" s="410"/>
      <c r="AF15" s="410"/>
      <c r="AG15" s="411"/>
      <c r="AH15" s="412">
        <f t="shared" ref="AH15:AQ15" si="1">G15</f>
        <v>1900</v>
      </c>
      <c r="AI15" s="412" t="str">
        <f t="shared" si="1"/>
        <v/>
      </c>
      <c r="AJ15" s="412" t="str">
        <f t="shared" si="1"/>
        <v/>
      </c>
      <c r="AK15" s="412" t="str">
        <f t="shared" si="1"/>
        <v/>
      </c>
      <c r="AL15" s="412" t="str">
        <f t="shared" si="1"/>
        <v/>
      </c>
      <c r="AM15" s="412" t="str">
        <f t="shared" si="1"/>
        <v/>
      </c>
      <c r="AN15" s="412" t="str">
        <f t="shared" si="1"/>
        <v/>
      </c>
      <c r="AO15" s="412" t="str">
        <f t="shared" si="1"/>
        <v/>
      </c>
      <c r="AP15" s="412" t="str">
        <f t="shared" si="1"/>
        <v/>
      </c>
      <c r="AQ15" s="412" t="str">
        <f t="shared" si="1"/>
        <v/>
      </c>
      <c r="AR15" s="345" t="s">
        <v>2</v>
      </c>
      <c r="AS15" s="381"/>
      <c r="AT15" s="412">
        <f t="shared" ref="AT15:BC15" si="2">G15</f>
        <v>1900</v>
      </c>
      <c r="AU15" s="412" t="str">
        <f t="shared" si="2"/>
        <v/>
      </c>
      <c r="AV15" s="412" t="str">
        <f t="shared" si="2"/>
        <v/>
      </c>
      <c r="AW15" s="412" t="str">
        <f t="shared" si="2"/>
        <v/>
      </c>
      <c r="AX15" s="412" t="str">
        <f t="shared" si="2"/>
        <v/>
      </c>
      <c r="AY15" s="412" t="str">
        <f t="shared" si="2"/>
        <v/>
      </c>
      <c r="AZ15" s="412" t="str">
        <f t="shared" si="2"/>
        <v/>
      </c>
      <c r="BA15" s="412" t="str">
        <f t="shared" si="2"/>
        <v/>
      </c>
      <c r="BB15" s="412" t="str">
        <f t="shared" si="2"/>
        <v/>
      </c>
      <c r="BC15" s="412" t="str">
        <f t="shared" si="2"/>
        <v/>
      </c>
      <c r="BD15" s="345" t="s">
        <v>2</v>
      </c>
      <c r="BE15" s="379"/>
      <c r="BF15" s="413">
        <f t="shared" ref="BF15:BO15" si="3">G15</f>
        <v>1900</v>
      </c>
      <c r="BG15" s="413" t="str">
        <f t="shared" si="3"/>
        <v/>
      </c>
      <c r="BH15" s="413" t="str">
        <f t="shared" si="3"/>
        <v/>
      </c>
      <c r="BI15" s="413" t="str">
        <f t="shared" si="3"/>
        <v/>
      </c>
      <c r="BJ15" s="413" t="str">
        <f t="shared" si="3"/>
        <v/>
      </c>
      <c r="BK15" s="413" t="str">
        <f t="shared" si="3"/>
        <v/>
      </c>
      <c r="BL15" s="413" t="str">
        <f t="shared" si="3"/>
        <v/>
      </c>
      <c r="BM15" s="413" t="str">
        <f t="shared" si="3"/>
        <v/>
      </c>
      <c r="BN15" s="413" t="str">
        <f t="shared" si="3"/>
        <v/>
      </c>
      <c r="BO15" s="412" t="str">
        <f t="shared" si="3"/>
        <v/>
      </c>
      <c r="BP15" s="345" t="s">
        <v>2</v>
      </c>
      <c r="BQ15" s="379"/>
      <c r="BR15" s="412">
        <f t="shared" ref="BR15:CA15" si="4">G15</f>
        <v>1900</v>
      </c>
      <c r="BS15" s="412" t="str">
        <f t="shared" si="4"/>
        <v/>
      </c>
      <c r="BT15" s="412" t="str">
        <f t="shared" si="4"/>
        <v/>
      </c>
      <c r="BU15" s="412" t="str">
        <f t="shared" si="4"/>
        <v/>
      </c>
      <c r="BV15" s="412" t="str">
        <f t="shared" si="4"/>
        <v/>
      </c>
      <c r="BW15" s="412" t="str">
        <f t="shared" si="4"/>
        <v/>
      </c>
      <c r="BX15" s="412" t="str">
        <f t="shared" si="4"/>
        <v/>
      </c>
      <c r="BY15" s="412" t="str">
        <f t="shared" si="4"/>
        <v/>
      </c>
      <c r="BZ15" s="412" t="str">
        <f t="shared" si="4"/>
        <v/>
      </c>
      <c r="CA15" s="412" t="str">
        <f t="shared" si="4"/>
        <v/>
      </c>
      <c r="CB15" s="345" t="s">
        <v>2</v>
      </c>
      <c r="CC15" s="414"/>
      <c r="CD15" s="412">
        <f t="shared" ref="CD15:CM15" si="5">G15</f>
        <v>1900</v>
      </c>
      <c r="CE15" s="412" t="str">
        <f t="shared" si="5"/>
        <v/>
      </c>
      <c r="CF15" s="412" t="str">
        <f t="shared" si="5"/>
        <v/>
      </c>
      <c r="CG15" s="412" t="str">
        <f t="shared" si="5"/>
        <v/>
      </c>
      <c r="CH15" s="412" t="str">
        <f t="shared" si="5"/>
        <v/>
      </c>
      <c r="CI15" s="412" t="str">
        <f t="shared" si="5"/>
        <v/>
      </c>
      <c r="CJ15" s="412" t="str">
        <f t="shared" si="5"/>
        <v/>
      </c>
      <c r="CK15" s="412" t="str">
        <f t="shared" si="5"/>
        <v/>
      </c>
      <c r="CL15" s="412" t="str">
        <f t="shared" si="5"/>
        <v/>
      </c>
      <c r="CM15" s="412" t="str">
        <f t="shared" si="5"/>
        <v/>
      </c>
      <c r="CN15" s="345" t="s">
        <v>2</v>
      </c>
      <c r="CO15" s="381"/>
      <c r="CP15" s="412">
        <f t="shared" ref="CP15:CY15" si="6">G15</f>
        <v>1900</v>
      </c>
      <c r="CQ15" s="412" t="str">
        <f t="shared" si="6"/>
        <v/>
      </c>
      <c r="CR15" s="412" t="str">
        <f t="shared" si="6"/>
        <v/>
      </c>
      <c r="CS15" s="412" t="str">
        <f t="shared" si="6"/>
        <v/>
      </c>
      <c r="CT15" s="412" t="str">
        <f t="shared" si="6"/>
        <v/>
      </c>
      <c r="CU15" s="412" t="str">
        <f t="shared" si="6"/>
        <v/>
      </c>
      <c r="CV15" s="412" t="str">
        <f t="shared" si="6"/>
        <v/>
      </c>
      <c r="CW15" s="412" t="str">
        <f t="shared" si="6"/>
        <v/>
      </c>
      <c r="CX15" s="412" t="str">
        <f t="shared" si="6"/>
        <v/>
      </c>
      <c r="CY15" s="412" t="str">
        <f t="shared" si="6"/>
        <v/>
      </c>
      <c r="CZ15" s="345" t="s">
        <v>2</v>
      </c>
      <c r="DB15" s="412">
        <f t="shared" ref="DB15:DK15" si="7">G15</f>
        <v>1900</v>
      </c>
      <c r="DC15" s="412" t="str">
        <f t="shared" si="7"/>
        <v/>
      </c>
      <c r="DD15" s="412" t="str">
        <f t="shared" si="7"/>
        <v/>
      </c>
      <c r="DE15" s="412" t="str">
        <f t="shared" si="7"/>
        <v/>
      </c>
      <c r="DF15" s="412" t="str">
        <f t="shared" si="7"/>
        <v/>
      </c>
      <c r="DG15" s="412" t="str">
        <f t="shared" si="7"/>
        <v/>
      </c>
      <c r="DH15" s="412" t="str">
        <f t="shared" si="7"/>
        <v/>
      </c>
      <c r="DI15" s="412" t="str">
        <f t="shared" si="7"/>
        <v/>
      </c>
      <c r="DJ15" s="412" t="str">
        <f t="shared" si="7"/>
        <v/>
      </c>
      <c r="DK15" s="412" t="str">
        <f t="shared" si="7"/>
        <v/>
      </c>
      <c r="DL15" s="345" t="s">
        <v>2</v>
      </c>
      <c r="DN15" s="412">
        <f t="shared" ref="DN15:DW15" si="8">G15</f>
        <v>1900</v>
      </c>
      <c r="DO15" s="412" t="str">
        <f t="shared" si="8"/>
        <v/>
      </c>
      <c r="DP15" s="412" t="str">
        <f t="shared" si="8"/>
        <v/>
      </c>
      <c r="DQ15" s="412" t="str">
        <f t="shared" si="8"/>
        <v/>
      </c>
      <c r="DR15" s="412" t="str">
        <f t="shared" si="8"/>
        <v/>
      </c>
      <c r="DS15" s="412" t="str">
        <f t="shared" si="8"/>
        <v/>
      </c>
      <c r="DT15" s="412" t="str">
        <f t="shared" si="8"/>
        <v/>
      </c>
      <c r="DU15" s="412" t="str">
        <f t="shared" si="8"/>
        <v/>
      </c>
      <c r="DV15" s="412" t="str">
        <f t="shared" si="8"/>
        <v/>
      </c>
      <c r="DW15" s="412" t="str">
        <f t="shared" si="8"/>
        <v/>
      </c>
      <c r="DX15" s="345" t="s">
        <v>2</v>
      </c>
      <c r="DZ15" s="412">
        <f t="shared" ref="DZ15:EI15" si="9">G15</f>
        <v>1900</v>
      </c>
      <c r="EA15" s="412" t="str">
        <f t="shared" si="9"/>
        <v/>
      </c>
      <c r="EB15" s="412" t="str">
        <f t="shared" si="9"/>
        <v/>
      </c>
      <c r="EC15" s="412" t="str">
        <f t="shared" si="9"/>
        <v/>
      </c>
      <c r="ED15" s="412" t="str">
        <f t="shared" si="9"/>
        <v/>
      </c>
      <c r="EE15" s="412" t="str">
        <f t="shared" si="9"/>
        <v/>
      </c>
      <c r="EF15" s="412" t="str">
        <f t="shared" si="9"/>
        <v/>
      </c>
      <c r="EG15" s="412" t="str">
        <f t="shared" si="9"/>
        <v/>
      </c>
      <c r="EH15" s="412" t="str">
        <f t="shared" si="9"/>
        <v/>
      </c>
      <c r="EI15" s="412" t="str">
        <f t="shared" si="9"/>
        <v/>
      </c>
      <c r="EJ15" s="345" t="s">
        <v>2</v>
      </c>
      <c r="EL15" s="412">
        <f t="shared" ref="EL15:EU15" si="10">G15</f>
        <v>1900</v>
      </c>
      <c r="EM15" s="412" t="str">
        <f t="shared" si="10"/>
        <v/>
      </c>
      <c r="EN15" s="412" t="str">
        <f t="shared" si="10"/>
        <v/>
      </c>
      <c r="EO15" s="412" t="str">
        <f t="shared" si="10"/>
        <v/>
      </c>
      <c r="EP15" s="412" t="str">
        <f t="shared" si="10"/>
        <v/>
      </c>
      <c r="EQ15" s="412" t="str">
        <f t="shared" si="10"/>
        <v/>
      </c>
      <c r="ER15" s="412" t="str">
        <f t="shared" si="10"/>
        <v/>
      </c>
      <c r="ES15" s="412" t="str">
        <f t="shared" si="10"/>
        <v/>
      </c>
      <c r="ET15" s="412" t="str">
        <f t="shared" si="10"/>
        <v/>
      </c>
      <c r="EU15" s="412" t="str">
        <f t="shared" si="10"/>
        <v/>
      </c>
      <c r="EV15" s="345" t="s">
        <v>2</v>
      </c>
      <c r="EX15" s="412">
        <f t="shared" ref="EX15:FG15" si="11">G15</f>
        <v>1900</v>
      </c>
      <c r="EY15" s="412" t="str">
        <f t="shared" si="11"/>
        <v/>
      </c>
      <c r="EZ15" s="412" t="str">
        <f t="shared" si="11"/>
        <v/>
      </c>
      <c r="FA15" s="412" t="str">
        <f t="shared" si="11"/>
        <v/>
      </c>
      <c r="FB15" s="412" t="str">
        <f t="shared" si="11"/>
        <v/>
      </c>
      <c r="FC15" s="412" t="str">
        <f t="shared" si="11"/>
        <v/>
      </c>
      <c r="FD15" s="412" t="str">
        <f t="shared" si="11"/>
        <v/>
      </c>
      <c r="FE15" s="412" t="str">
        <f t="shared" si="11"/>
        <v/>
      </c>
      <c r="FF15" s="412" t="str">
        <f t="shared" si="11"/>
        <v/>
      </c>
      <c r="FG15" s="412" t="str">
        <f t="shared" si="11"/>
        <v/>
      </c>
      <c r="FH15" s="345" t="s">
        <v>2</v>
      </c>
      <c r="FJ15" s="412">
        <f t="shared" ref="FJ15:FS15" si="12">G15</f>
        <v>1900</v>
      </c>
      <c r="FK15" s="412" t="str">
        <f t="shared" si="12"/>
        <v/>
      </c>
      <c r="FL15" s="412" t="str">
        <f t="shared" si="12"/>
        <v/>
      </c>
      <c r="FM15" s="412" t="str">
        <f t="shared" si="12"/>
        <v/>
      </c>
      <c r="FN15" s="412" t="str">
        <f t="shared" si="12"/>
        <v/>
      </c>
      <c r="FO15" s="412" t="str">
        <f t="shared" si="12"/>
        <v/>
      </c>
      <c r="FP15" s="412" t="str">
        <f t="shared" si="12"/>
        <v/>
      </c>
      <c r="FQ15" s="412" t="str">
        <f t="shared" si="12"/>
        <v/>
      </c>
      <c r="FR15" s="412" t="str">
        <f t="shared" si="12"/>
        <v/>
      </c>
      <c r="FS15" s="412" t="str">
        <f t="shared" si="12"/>
        <v/>
      </c>
      <c r="FT15" s="345" t="s">
        <v>2</v>
      </c>
    </row>
    <row r="16" spans="2:176" s="268" customFormat="1" ht="15" customHeight="1" x14ac:dyDescent="0.25">
      <c r="B16" s="415" t="str">
        <f>IF('1. INTRO'!I2="English","SUMS &gt;&gt;","SUMMOR &gt;&gt;")</f>
        <v>SUMS &gt;&gt;</v>
      </c>
      <c r="C16" s="416"/>
      <c r="D16" s="417"/>
      <c r="E16" s="223"/>
      <c r="F16" s="418"/>
      <c r="G16" s="419" t="str">
        <f>IF(G193=0,"",G193)</f>
        <v/>
      </c>
      <c r="H16" s="419" t="str">
        <f t="shared" ref="H16:P16" si="13">IF(H193=0,"",H193)</f>
        <v/>
      </c>
      <c r="I16" s="419" t="str">
        <f t="shared" si="13"/>
        <v/>
      </c>
      <c r="J16" s="419" t="str">
        <f t="shared" si="13"/>
        <v/>
      </c>
      <c r="K16" s="419" t="str">
        <f t="shared" si="13"/>
        <v/>
      </c>
      <c r="L16" s="419" t="str">
        <f t="shared" si="13"/>
        <v/>
      </c>
      <c r="M16" s="419" t="str">
        <f t="shared" si="13"/>
        <v/>
      </c>
      <c r="N16" s="419" t="str">
        <f t="shared" si="13"/>
        <v/>
      </c>
      <c r="O16" s="420" t="str">
        <f t="shared" si="13"/>
        <v/>
      </c>
      <c r="P16" s="419" t="str">
        <f t="shared" si="13"/>
        <v/>
      </c>
      <c r="Q16" s="421"/>
      <c r="R16" s="422"/>
      <c r="S16" s="422"/>
      <c r="T16" s="422"/>
      <c r="U16" s="422"/>
      <c r="V16" s="422"/>
      <c r="W16" s="422"/>
      <c r="X16" s="422"/>
      <c r="Y16" s="422"/>
      <c r="Z16" s="422"/>
      <c r="AA16" s="416"/>
      <c r="AB16" s="423"/>
      <c r="AC16" s="423"/>
      <c r="AD16" s="424"/>
      <c r="AE16" s="253" t="str">
        <f>IF(AE193=0,"",AE193)</f>
        <v/>
      </c>
      <c r="AF16" s="253" t="str">
        <f>IF(AF193=0,"",AF193)</f>
        <v/>
      </c>
      <c r="AG16" s="425"/>
      <c r="AH16" s="426" t="str">
        <f>IF(AH193=0,"",AH193)</f>
        <v/>
      </c>
      <c r="AI16" s="427" t="str">
        <f t="shared" ref="AI16:CT16" si="14">IF(AI193=0,"",AI193)</f>
        <v/>
      </c>
      <c r="AJ16" s="427" t="str">
        <f t="shared" si="14"/>
        <v/>
      </c>
      <c r="AK16" s="427" t="str">
        <f t="shared" si="14"/>
        <v/>
      </c>
      <c r="AL16" s="427" t="str">
        <f t="shared" si="14"/>
        <v/>
      </c>
      <c r="AM16" s="427" t="str">
        <f t="shared" si="14"/>
        <v/>
      </c>
      <c r="AN16" s="427" t="str">
        <f t="shared" si="14"/>
        <v/>
      </c>
      <c r="AO16" s="427" t="str">
        <f t="shared" si="14"/>
        <v/>
      </c>
      <c r="AP16" s="427" t="str">
        <f t="shared" si="14"/>
        <v/>
      </c>
      <c r="AQ16" s="427" t="str">
        <f t="shared" si="14"/>
        <v/>
      </c>
      <c r="AR16" s="426" t="str">
        <f t="shared" si="14"/>
        <v/>
      </c>
      <c r="AS16" s="428"/>
      <c r="AT16" s="426" t="str">
        <f t="shared" si="14"/>
        <v/>
      </c>
      <c r="AU16" s="427" t="str">
        <f t="shared" si="14"/>
        <v/>
      </c>
      <c r="AV16" s="427" t="str">
        <f t="shared" si="14"/>
        <v/>
      </c>
      <c r="AW16" s="427" t="str">
        <f t="shared" si="14"/>
        <v/>
      </c>
      <c r="AX16" s="427" t="str">
        <f t="shared" si="14"/>
        <v/>
      </c>
      <c r="AY16" s="427" t="str">
        <f t="shared" si="14"/>
        <v/>
      </c>
      <c r="AZ16" s="427" t="str">
        <f t="shared" si="14"/>
        <v/>
      </c>
      <c r="BA16" s="427" t="str">
        <f t="shared" si="14"/>
        <v/>
      </c>
      <c r="BB16" s="427" t="str">
        <f t="shared" si="14"/>
        <v/>
      </c>
      <c r="BC16" s="427" t="str">
        <f t="shared" si="14"/>
        <v/>
      </c>
      <c r="BD16" s="426" t="str">
        <f t="shared" si="14"/>
        <v/>
      </c>
      <c r="BE16" s="428"/>
      <c r="BF16" s="426" t="str">
        <f t="shared" si="14"/>
        <v/>
      </c>
      <c r="BG16" s="427" t="str">
        <f t="shared" si="14"/>
        <v/>
      </c>
      <c r="BH16" s="427" t="str">
        <f t="shared" si="14"/>
        <v/>
      </c>
      <c r="BI16" s="427" t="str">
        <f t="shared" si="14"/>
        <v/>
      </c>
      <c r="BJ16" s="427" t="str">
        <f t="shared" si="14"/>
        <v/>
      </c>
      <c r="BK16" s="427" t="str">
        <f t="shared" si="14"/>
        <v/>
      </c>
      <c r="BL16" s="427" t="str">
        <f t="shared" si="14"/>
        <v/>
      </c>
      <c r="BM16" s="427" t="str">
        <f t="shared" si="14"/>
        <v/>
      </c>
      <c r="BN16" s="427" t="str">
        <f t="shared" si="14"/>
        <v/>
      </c>
      <c r="BO16" s="427" t="str">
        <f t="shared" si="14"/>
        <v/>
      </c>
      <c r="BP16" s="426" t="str">
        <f t="shared" si="14"/>
        <v/>
      </c>
      <c r="BQ16" s="428"/>
      <c r="BR16" s="426" t="str">
        <f t="shared" si="14"/>
        <v/>
      </c>
      <c r="BS16" s="427" t="str">
        <f t="shared" si="14"/>
        <v/>
      </c>
      <c r="BT16" s="427" t="str">
        <f t="shared" si="14"/>
        <v/>
      </c>
      <c r="BU16" s="427" t="str">
        <f t="shared" si="14"/>
        <v/>
      </c>
      <c r="BV16" s="427" t="str">
        <f t="shared" si="14"/>
        <v/>
      </c>
      <c r="BW16" s="427" t="str">
        <f t="shared" si="14"/>
        <v/>
      </c>
      <c r="BX16" s="427" t="str">
        <f t="shared" si="14"/>
        <v/>
      </c>
      <c r="BY16" s="427" t="str">
        <f t="shared" si="14"/>
        <v/>
      </c>
      <c r="BZ16" s="427" t="str">
        <f t="shared" si="14"/>
        <v/>
      </c>
      <c r="CA16" s="427" t="str">
        <f t="shared" si="14"/>
        <v/>
      </c>
      <c r="CB16" s="426" t="str">
        <f t="shared" si="14"/>
        <v/>
      </c>
      <c r="CC16" s="428"/>
      <c r="CD16" s="426" t="str">
        <f t="shared" si="14"/>
        <v/>
      </c>
      <c r="CE16" s="426" t="str">
        <f t="shared" si="14"/>
        <v/>
      </c>
      <c r="CF16" s="426" t="str">
        <f t="shared" si="14"/>
        <v/>
      </c>
      <c r="CG16" s="426" t="str">
        <f t="shared" si="14"/>
        <v/>
      </c>
      <c r="CH16" s="426" t="str">
        <f t="shared" si="14"/>
        <v/>
      </c>
      <c r="CI16" s="426" t="str">
        <f t="shared" si="14"/>
        <v/>
      </c>
      <c r="CJ16" s="426" t="str">
        <f t="shared" si="14"/>
        <v/>
      </c>
      <c r="CK16" s="426" t="str">
        <f t="shared" si="14"/>
        <v/>
      </c>
      <c r="CL16" s="426" t="str">
        <f t="shared" si="14"/>
        <v/>
      </c>
      <c r="CM16" s="426" t="str">
        <f t="shared" si="14"/>
        <v/>
      </c>
      <c r="CN16" s="426" t="str">
        <f t="shared" si="14"/>
        <v/>
      </c>
      <c r="CO16" s="428"/>
      <c r="CP16" s="426" t="str">
        <f t="shared" si="14"/>
        <v/>
      </c>
      <c r="CQ16" s="427" t="str">
        <f t="shared" si="14"/>
        <v/>
      </c>
      <c r="CR16" s="427" t="str">
        <f t="shared" si="14"/>
        <v/>
      </c>
      <c r="CS16" s="427" t="str">
        <f t="shared" si="14"/>
        <v/>
      </c>
      <c r="CT16" s="427" t="str">
        <f t="shared" si="14"/>
        <v/>
      </c>
      <c r="CU16" s="427" t="str">
        <f t="shared" ref="CU16:FF16" si="15">IF(CU193=0,"",CU193)</f>
        <v/>
      </c>
      <c r="CV16" s="427" t="str">
        <f t="shared" si="15"/>
        <v/>
      </c>
      <c r="CW16" s="427" t="str">
        <f t="shared" si="15"/>
        <v/>
      </c>
      <c r="CX16" s="427" t="str">
        <f t="shared" si="15"/>
        <v/>
      </c>
      <c r="CY16" s="427" t="str">
        <f t="shared" si="15"/>
        <v/>
      </c>
      <c r="CZ16" s="426" t="str">
        <f t="shared" si="15"/>
        <v/>
      </c>
      <c r="DA16" s="428"/>
      <c r="DB16" s="426" t="str">
        <f t="shared" si="15"/>
        <v/>
      </c>
      <c r="DC16" s="427" t="str">
        <f t="shared" si="15"/>
        <v/>
      </c>
      <c r="DD16" s="427" t="str">
        <f t="shared" si="15"/>
        <v/>
      </c>
      <c r="DE16" s="427" t="str">
        <f t="shared" si="15"/>
        <v/>
      </c>
      <c r="DF16" s="427" t="str">
        <f t="shared" si="15"/>
        <v/>
      </c>
      <c r="DG16" s="427" t="str">
        <f t="shared" si="15"/>
        <v/>
      </c>
      <c r="DH16" s="427" t="str">
        <f t="shared" si="15"/>
        <v/>
      </c>
      <c r="DI16" s="427" t="str">
        <f t="shared" si="15"/>
        <v/>
      </c>
      <c r="DJ16" s="427" t="str">
        <f t="shared" si="15"/>
        <v/>
      </c>
      <c r="DK16" s="427" t="str">
        <f t="shared" si="15"/>
        <v/>
      </c>
      <c r="DL16" s="426" t="str">
        <f t="shared" si="15"/>
        <v/>
      </c>
      <c r="DM16" s="428"/>
      <c r="DN16" s="426" t="str">
        <f t="shared" si="15"/>
        <v/>
      </c>
      <c r="DO16" s="427" t="str">
        <f t="shared" si="15"/>
        <v/>
      </c>
      <c r="DP16" s="427" t="str">
        <f t="shared" si="15"/>
        <v/>
      </c>
      <c r="DQ16" s="427" t="str">
        <f t="shared" si="15"/>
        <v/>
      </c>
      <c r="DR16" s="427" t="str">
        <f t="shared" si="15"/>
        <v/>
      </c>
      <c r="DS16" s="427" t="str">
        <f t="shared" si="15"/>
        <v/>
      </c>
      <c r="DT16" s="427" t="str">
        <f t="shared" si="15"/>
        <v/>
      </c>
      <c r="DU16" s="427" t="str">
        <f t="shared" si="15"/>
        <v/>
      </c>
      <c r="DV16" s="427" t="str">
        <f t="shared" si="15"/>
        <v/>
      </c>
      <c r="DW16" s="427" t="str">
        <f t="shared" si="15"/>
        <v/>
      </c>
      <c r="DX16" s="427" t="str">
        <f t="shared" si="15"/>
        <v/>
      </c>
      <c r="DY16" s="427"/>
      <c r="DZ16" s="427" t="str">
        <f t="shared" si="15"/>
        <v/>
      </c>
      <c r="EA16" s="427" t="str">
        <f t="shared" si="15"/>
        <v/>
      </c>
      <c r="EB16" s="427" t="str">
        <f t="shared" si="15"/>
        <v/>
      </c>
      <c r="EC16" s="427" t="str">
        <f t="shared" si="15"/>
        <v/>
      </c>
      <c r="ED16" s="427" t="str">
        <f t="shared" si="15"/>
        <v/>
      </c>
      <c r="EE16" s="427" t="str">
        <f t="shared" si="15"/>
        <v/>
      </c>
      <c r="EF16" s="427" t="str">
        <f t="shared" si="15"/>
        <v/>
      </c>
      <c r="EG16" s="427" t="str">
        <f t="shared" si="15"/>
        <v/>
      </c>
      <c r="EH16" s="427" t="str">
        <f t="shared" si="15"/>
        <v/>
      </c>
      <c r="EI16" s="427" t="str">
        <f t="shared" si="15"/>
        <v/>
      </c>
      <c r="EJ16" s="426" t="str">
        <f t="shared" si="15"/>
        <v/>
      </c>
      <c r="EK16" s="428"/>
      <c r="EL16" s="426" t="str">
        <f t="shared" si="15"/>
        <v/>
      </c>
      <c r="EM16" s="427" t="str">
        <f t="shared" si="15"/>
        <v/>
      </c>
      <c r="EN16" s="427" t="str">
        <f t="shared" si="15"/>
        <v/>
      </c>
      <c r="EO16" s="427" t="str">
        <f t="shared" si="15"/>
        <v/>
      </c>
      <c r="EP16" s="427" t="str">
        <f t="shared" si="15"/>
        <v/>
      </c>
      <c r="EQ16" s="427" t="str">
        <f t="shared" si="15"/>
        <v/>
      </c>
      <c r="ER16" s="427" t="str">
        <f t="shared" si="15"/>
        <v/>
      </c>
      <c r="ES16" s="427" t="str">
        <f t="shared" si="15"/>
        <v/>
      </c>
      <c r="ET16" s="427" t="str">
        <f t="shared" si="15"/>
        <v/>
      </c>
      <c r="EU16" s="427" t="str">
        <f t="shared" si="15"/>
        <v/>
      </c>
      <c r="EV16" s="426" t="str">
        <f t="shared" si="15"/>
        <v/>
      </c>
      <c r="EW16" s="428"/>
      <c r="EX16" s="426" t="str">
        <f t="shared" si="15"/>
        <v/>
      </c>
      <c r="EY16" s="427" t="str">
        <f t="shared" si="15"/>
        <v/>
      </c>
      <c r="EZ16" s="427" t="str">
        <f t="shared" si="15"/>
        <v/>
      </c>
      <c r="FA16" s="427" t="str">
        <f t="shared" si="15"/>
        <v/>
      </c>
      <c r="FB16" s="427" t="str">
        <f t="shared" si="15"/>
        <v/>
      </c>
      <c r="FC16" s="427" t="str">
        <f t="shared" si="15"/>
        <v/>
      </c>
      <c r="FD16" s="427" t="str">
        <f t="shared" si="15"/>
        <v/>
      </c>
      <c r="FE16" s="427" t="str">
        <f t="shared" si="15"/>
        <v/>
      </c>
      <c r="FF16" s="427" t="str">
        <f t="shared" si="15"/>
        <v/>
      </c>
      <c r="FG16" s="427" t="str">
        <f t="shared" ref="FG16:FT16" si="16">IF(FG193=0,"",FG193)</f>
        <v/>
      </c>
      <c r="FH16" s="426" t="str">
        <f t="shared" si="16"/>
        <v/>
      </c>
      <c r="FI16" s="428"/>
      <c r="FJ16" s="426" t="str">
        <f t="shared" si="16"/>
        <v/>
      </c>
      <c r="FK16" s="427" t="str">
        <f t="shared" si="16"/>
        <v/>
      </c>
      <c r="FL16" s="427" t="str">
        <f t="shared" si="16"/>
        <v/>
      </c>
      <c r="FM16" s="427" t="str">
        <f t="shared" si="16"/>
        <v/>
      </c>
      <c r="FN16" s="427" t="str">
        <f t="shared" si="16"/>
        <v/>
      </c>
      <c r="FO16" s="427" t="str">
        <f t="shared" si="16"/>
        <v/>
      </c>
      <c r="FP16" s="427" t="str">
        <f t="shared" si="16"/>
        <v/>
      </c>
      <c r="FQ16" s="427" t="str">
        <f t="shared" si="16"/>
        <v/>
      </c>
      <c r="FR16" s="427" t="str">
        <f t="shared" si="16"/>
        <v/>
      </c>
      <c r="FS16" s="427" t="str">
        <f t="shared" si="16"/>
        <v/>
      </c>
      <c r="FT16" s="427" t="str">
        <f t="shared" si="16"/>
        <v/>
      </c>
    </row>
    <row r="17" spans="2:176" s="270" customFormat="1" ht="15" customHeight="1" x14ac:dyDescent="0.25">
      <c r="B17" s="429" t="str">
        <f>'2. START'!C$7</f>
        <v>100GEM</v>
      </c>
      <c r="C17" s="430"/>
      <c r="D17" s="588"/>
      <c r="E17" s="514">
        <v>0</v>
      </c>
      <c r="F17" s="431"/>
      <c r="G17" s="432"/>
      <c r="H17" s="432"/>
      <c r="I17" s="432"/>
      <c r="J17" s="432"/>
      <c r="K17" s="432"/>
      <c r="L17" s="432"/>
      <c r="M17" s="432"/>
      <c r="N17" s="432"/>
      <c r="O17" s="432"/>
      <c r="P17" s="432"/>
      <c r="Q17" s="545">
        <f>SUMIF('3. PARTNER'!$B$13:$B$80,$B17,'3. PARTNER'!$F$13:$F$80)</f>
        <v>0.02</v>
      </c>
      <c r="R17" s="433">
        <f t="shared" ref="R17:Z26" si="17">$Q17</f>
        <v>0.02</v>
      </c>
      <c r="S17" s="433">
        <f t="shared" si="17"/>
        <v>0.02</v>
      </c>
      <c r="T17" s="433">
        <f t="shared" si="17"/>
        <v>0.02</v>
      </c>
      <c r="U17" s="433">
        <f t="shared" si="17"/>
        <v>0.02</v>
      </c>
      <c r="V17" s="433">
        <f t="shared" si="17"/>
        <v>0.02</v>
      </c>
      <c r="W17" s="433">
        <f t="shared" si="17"/>
        <v>0.02</v>
      </c>
      <c r="X17" s="433">
        <f t="shared" si="17"/>
        <v>0.02</v>
      </c>
      <c r="Y17" s="433">
        <f t="shared" si="17"/>
        <v>0.02</v>
      </c>
      <c r="Z17" s="433">
        <f t="shared" si="17"/>
        <v>0.02</v>
      </c>
      <c r="AA17" s="434">
        <f>SUMIF('3. PARTNER'!B$13:B$80,B17,'3. PARTNER'!E$13:E$80)</f>
        <v>0.5595</v>
      </c>
      <c r="AB17" s="435">
        <f>IF('2. START'!$C$20="UTB",(SUMIF('3. PARTNER'!B$13:B$80,B17,'3. PARTNER'!K$13:K$80))+(SUMIF('3. PARTNER'!B$13:B$80,B17,'3. PARTNER'!M$13:M$80)),(SUMIF('3. PARTNER'!B$13:B$80,B17,'3. PARTNER'!G$13:G$80))+(SUMIF('3. PARTNER'!B$13:B$80,B17,'3. PARTNER'!I$13:I$80)))</f>
        <v>0.16000843770704321</v>
      </c>
      <c r="AC17" s="435">
        <f>IF('2. START'!$C$20="UTB",(SUMIF('3. PARTNER'!B$13:B$80,B17,'3. PARTNER'!L$13:L$80))+(SUMIF('3. PARTNER'!B$13:B$80,B17,'3. PARTNER'!N$13:N$80)),(SUMIF('3. PARTNER'!B$13:B$80,B17,'3. PARTNER'!H$13:H$80))+(SUMIF('3. PARTNER'!B$13:B$80,B17,'3. PARTNER'!J$13:J$80)))</f>
        <v>0</v>
      </c>
      <c r="AD17" s="435">
        <f>IF('2. START'!C$11="NO",'2. START'!C$12,0)</f>
        <v>0</v>
      </c>
      <c r="AE17" s="436">
        <f>SUM(G17:P17)</f>
        <v>0</v>
      </c>
      <c r="AF17" s="436">
        <f>IF(E17=0,0,E17*AE17)</f>
        <v>0</v>
      </c>
      <c r="AG17" s="437"/>
      <c r="AH17" s="438">
        <f t="shared" ref="AH17:AH48" si="18">$F17*G17*(1+$AA17)*(1+$Q17)</f>
        <v>0</v>
      </c>
      <c r="AI17" s="438">
        <f t="shared" ref="AI17:AI48" si="19">$F17*H17*(1+$AA17)*(1+$Q17)*(1+$R17)</f>
        <v>0</v>
      </c>
      <c r="AJ17" s="438">
        <f t="shared" ref="AJ17:AJ48" si="20">$F17*I17*(1+$AA17)*(1+$Q17)*(1+$R17)*(1+$S17)</f>
        <v>0</v>
      </c>
      <c r="AK17" s="438">
        <f t="shared" ref="AK17:AK48" si="21">$F17*J17*(1+$AA17)*(1+$Q17)*(1+$R17)*(1+$S17)*(1+$T17)</f>
        <v>0</v>
      </c>
      <c r="AL17" s="438">
        <f t="shared" ref="AL17:AL48" si="22">$F17*K17*(1+$AA17)*(1+$Q17)*(1+$R17)*(1+$S17)*(1+$T17)*(1+$U17)</f>
        <v>0</v>
      </c>
      <c r="AM17" s="438">
        <f t="shared" ref="AM17:AM48" si="23">$F17*L17*(1+$AA17)*(1+$Q17)*(1+$R17)*(1+$S17)*(1+$T17)*(1+$U17)*(1+$V17)</f>
        <v>0</v>
      </c>
      <c r="AN17" s="438">
        <f t="shared" ref="AN17:AN48" si="24">$F17*M17*(1+$AA17)*(1+$Q17)*(1+$R17)*(1+$S17)*(1+$T17)*(1+$U17)*(1+$V17)*(1+$W17)</f>
        <v>0</v>
      </c>
      <c r="AO17" s="438">
        <f t="shared" ref="AO17:AO48" si="25">$F17*N17*(1+$AA17)*(1+$Q17)*(1+$R17)*(1+$S17)*(1+$T17)*(1+$U17)*(1+$V17)*(1+$W17)*(1+$X17)</f>
        <v>0</v>
      </c>
      <c r="AP17" s="438">
        <f t="shared" ref="AP17:AP48" si="26">$F17*O17*(1+$AA17)*(1+$Q17)*(1+$R17)*(1+$S17)*(1+$T17)*(1+$U17)*(1+$V17)*(1+$W17)*(1+$X17)*(1+$Y17)</f>
        <v>0</v>
      </c>
      <c r="AQ17" s="438">
        <f t="shared" ref="AQ17:AQ48" si="27">$F17*P17*(1+$AA17)*(1+$Q17)*(1+$R17)*(1+$S17)*(1+$T17)*(1+$U17)*(1+$V17)*(1+$W17)*(1+$X17)*(1+$Y17)*(1+$Z17)</f>
        <v>0</v>
      </c>
      <c r="AR17" s="439">
        <f>SUM(AH17:AQ17)</f>
        <v>0</v>
      </c>
      <c r="AS17" s="440"/>
      <c r="AT17" s="438">
        <f t="shared" ref="AT17:AT48" si="28">$F17*G17*(1+$AA17)*(1+$Q17)*(1-$E17)</f>
        <v>0</v>
      </c>
      <c r="AU17" s="438">
        <f t="shared" ref="AU17:AU48" si="29">$F17*H17*(1+$AA17)*(1+$Q17)*(1+$R17)*(1-E17)</f>
        <v>0</v>
      </c>
      <c r="AV17" s="438">
        <f t="shared" ref="AV17:AV48" si="30">$F17*I17*(1+$AA17)*(1+$Q17)*(1+$R17)*(1+$S17)*(1-E17)</f>
        <v>0</v>
      </c>
      <c r="AW17" s="438">
        <f t="shared" ref="AW17:AW48" si="31">$F17*J17*(1+$AA17)*(1+$Q17)*(1+$R17)*(1+$S17)*(1+$T17)*(1-E17)</f>
        <v>0</v>
      </c>
      <c r="AX17" s="438">
        <f t="shared" ref="AX17:AX48" si="32">$F17*K17*(1+$AA17)*(1+$Q17)*(1+$R17)*(1+$S17)*(1+$T17)*(1+$U17)*(1-E17)</f>
        <v>0</v>
      </c>
      <c r="AY17" s="438">
        <f t="shared" ref="AY17:AY48" si="33">$F17*L17*(1+$AA17)*(1+$Q17)*(1+$R17)*(1+$S17)*(1+$T17)*(1+$U17)*(1+$V17)*(1-E17)</f>
        <v>0</v>
      </c>
      <c r="AZ17" s="438">
        <f t="shared" ref="AZ17:AZ48" si="34">$F17*M17*(1+$AA17)*(1+$Q17)*(1+$R17)*(1+$S17)*(1+$T17)*(1+$U17)*(1+$V17)*(1+$W17)*(1-E17)</f>
        <v>0</v>
      </c>
      <c r="BA17" s="438">
        <f t="shared" ref="BA17:BA48" si="35">$F17*N17*(1+$AA17)*(1+$Q17)*(1+$R17)*(1+$S17)*(1+$T17)*(1+$U17)*(1+$V17)*(1+$W17)*(1+$X17)*(1-E17)</f>
        <v>0</v>
      </c>
      <c r="BB17" s="438">
        <f t="shared" ref="BB17:BB48" si="36">$F17*O17*(1+$AA17)*(1+$Q17)*(1+$R17)*(1+$S17)*(1+$T17)*(1+$U17)*(1+$V17)*(1+$W17)*(1+$X17)*(1+$Y17)*(1-E17)</f>
        <v>0</v>
      </c>
      <c r="BC17" s="438">
        <f t="shared" ref="BC17:BC48" si="37">$F17*P17*(1+$AA17)*(1+$Q17)*(1+$R17)*(1+$S17)*(1+$T17)*(1+$U17)*(1+$V17)*(1+$W17)*(1+$X17)*(1+$Y17)*(1+$Z17)*(1-E17)</f>
        <v>0</v>
      </c>
      <c r="BD17" s="439">
        <f>SUM(AT17:BC17)</f>
        <v>0</v>
      </c>
      <c r="BE17" s="440"/>
      <c r="BF17" s="438">
        <f t="shared" ref="BF17:BF48" si="38">$F17*G17*(1+$AA17)*(1+$Q17)*($E17)</f>
        <v>0</v>
      </c>
      <c r="BG17" s="438">
        <f t="shared" ref="BG17:BG48" si="39">$F17*H17*(1+$AA17)*(1+$Q17)*(1+$R17)*($E17)</f>
        <v>0</v>
      </c>
      <c r="BH17" s="438">
        <f t="shared" ref="BH17:BH48" si="40">$F17*I17*(1+$AA17)*(1+$Q17)*(1+$R17)*(1+$S17)*($E17)</f>
        <v>0</v>
      </c>
      <c r="BI17" s="438">
        <f t="shared" ref="BI17:BI48" si="41">$F17*J17*(1+$AA17)*(1+$Q17)*(1+$R17)*(1+$S17)*(1+$T17)*($E17)</f>
        <v>0</v>
      </c>
      <c r="BJ17" s="438">
        <f t="shared" ref="BJ17:BJ48" si="42">$F17*K17*(1+$AA17)*(1+$Q17)*(1+$R17)*(1+$S17)*(1+$T17)*(1+$U17)*($E17)</f>
        <v>0</v>
      </c>
      <c r="BK17" s="438">
        <f t="shared" ref="BK17:BK48" si="43">$F17*L17*(1+$AA17)*(1+$Q17)*(1+$R17)*(1+$S17)*(1+$T17)*(1+$U17)*(1+$V17)*($E17)</f>
        <v>0</v>
      </c>
      <c r="BL17" s="438">
        <f t="shared" ref="BL17:BL48" si="44">$F17*M17*(1+$AA17)*(1+$Q17)*(1+$R17)*(1+$S17)*(1+$T17)*(1+$U17)*(1+$V17)*(1+$W17)*($E17)</f>
        <v>0</v>
      </c>
      <c r="BM17" s="438">
        <f t="shared" ref="BM17:BM48" si="45">$F17*N17*(1+$AA17)*(1+$Q17)*(1+$R17)*(1+$S17)*(1+$T17)*(1+$U17)*(1+$V17)*(1+$W17)*(1+$X17)*($E17)</f>
        <v>0</v>
      </c>
      <c r="BN17" s="438">
        <f t="shared" ref="BN17:BN48" si="46">$F17*O17*(1+$AA17)*(1+$Q17)*(1+$R17)*(1+$S17)*(1+$T17)*(1+$U17)*(1+$V17)*(1+$W17)*(1+$X17)*(1+$Y17)*($E17)</f>
        <v>0</v>
      </c>
      <c r="BO17" s="438">
        <f t="shared" ref="BO17:BO48" si="47">$F17*P17*(1+$AA17)*(1+$Q17)*(1+$R17)*(1+$S17)*(1+$T17)*(1+$U17)*(1+$V17)*(1+$W17)*(1+$X17)*(1+$Y17)*(1+$Z17)*($E17)</f>
        <v>0</v>
      </c>
      <c r="BP17" s="439">
        <f>SUM(BF17:BO17)</f>
        <v>0</v>
      </c>
      <c r="BQ17" s="441"/>
      <c r="BR17" s="442">
        <f t="shared" ref="BR17:BR48" si="48">$AB17*AT17</f>
        <v>0</v>
      </c>
      <c r="BS17" s="442">
        <f t="shared" ref="BS17:BS48" si="49">$AB17*AU17</f>
        <v>0</v>
      </c>
      <c r="BT17" s="442">
        <f t="shared" ref="BT17:BT48" si="50">$AB17*AV17</f>
        <v>0</v>
      </c>
      <c r="BU17" s="442">
        <f t="shared" ref="BU17:BU48" si="51">$AB17*AW17</f>
        <v>0</v>
      </c>
      <c r="BV17" s="442">
        <f t="shared" ref="BV17:BV48" si="52">$AB17*AX17</f>
        <v>0</v>
      </c>
      <c r="BW17" s="442">
        <f t="shared" ref="BW17:BW48" si="53">$AB17*AY17</f>
        <v>0</v>
      </c>
      <c r="BX17" s="442">
        <f t="shared" ref="BX17:BX48" si="54">$AB17*AZ17</f>
        <v>0</v>
      </c>
      <c r="BY17" s="442">
        <f t="shared" ref="BY17:BY48" si="55">$AB17*BA17</f>
        <v>0</v>
      </c>
      <c r="BZ17" s="442">
        <f t="shared" ref="BZ17:BZ48" si="56">$AB17*BB17</f>
        <v>0</v>
      </c>
      <c r="CA17" s="442">
        <f t="shared" ref="CA17:CA48" si="57">$AB17*BC17</f>
        <v>0</v>
      </c>
      <c r="CB17" s="443">
        <f>SUM(BR17:CA17)</f>
        <v>0</v>
      </c>
      <c r="CC17" s="444"/>
      <c r="CD17" s="445">
        <f t="shared" ref="CD17:CD48" si="58">$AB17*BF17</f>
        <v>0</v>
      </c>
      <c r="CE17" s="445">
        <f t="shared" ref="CE17:CE48" si="59">$AB17*BG17</f>
        <v>0</v>
      </c>
      <c r="CF17" s="445">
        <f t="shared" ref="CF17:CF48" si="60">$AB17*BH17</f>
        <v>0</v>
      </c>
      <c r="CG17" s="445">
        <f t="shared" ref="CG17:CG48" si="61">$AB17*BI17</f>
        <v>0</v>
      </c>
      <c r="CH17" s="445">
        <f t="shared" ref="CH17:CH48" si="62">$AB17*BJ17</f>
        <v>0</v>
      </c>
      <c r="CI17" s="445">
        <f t="shared" ref="CI17:CI48" si="63">$AB17*BK17</f>
        <v>0</v>
      </c>
      <c r="CJ17" s="445">
        <f t="shared" ref="CJ17:CJ48" si="64">$AB17*BL17</f>
        <v>0</v>
      </c>
      <c r="CK17" s="445">
        <f t="shared" ref="CK17:CK48" si="65">$AB17*BM17</f>
        <v>0</v>
      </c>
      <c r="CL17" s="445">
        <f t="shared" ref="CL17:CL48" si="66">$AB17*BN17</f>
        <v>0</v>
      </c>
      <c r="CM17" s="445">
        <f t="shared" ref="CM17:CM48" si="67">$AB17*BO17</f>
        <v>0</v>
      </c>
      <c r="CN17" s="443">
        <f>SUM(CD17:CM17)</f>
        <v>0</v>
      </c>
      <c r="CO17" s="444"/>
      <c r="CP17" s="442">
        <f t="shared" ref="CP17:CP48" si="68">$AC17*AT17</f>
        <v>0</v>
      </c>
      <c r="CQ17" s="442">
        <f t="shared" ref="CQ17:CQ48" si="69">$AC17*AU17</f>
        <v>0</v>
      </c>
      <c r="CR17" s="442">
        <f t="shared" ref="CR17:CR48" si="70">$AC17*AV17</f>
        <v>0</v>
      </c>
      <c r="CS17" s="442">
        <f t="shared" ref="CS17:CS48" si="71">$AC17*AW17</f>
        <v>0</v>
      </c>
      <c r="CT17" s="442">
        <f t="shared" ref="CT17:CT48" si="72">$AC17*AX17</f>
        <v>0</v>
      </c>
      <c r="CU17" s="442">
        <f t="shared" ref="CU17:CU48" si="73">$AC17*AY17</f>
        <v>0</v>
      </c>
      <c r="CV17" s="442">
        <f t="shared" ref="CV17:CV48" si="74">$AC17*AZ17</f>
        <v>0</v>
      </c>
      <c r="CW17" s="442">
        <f t="shared" ref="CW17:CW48" si="75">$AC17*BA17</f>
        <v>0</v>
      </c>
      <c r="CX17" s="442">
        <f t="shared" ref="CX17:CX48" si="76">$AC17*BB17</f>
        <v>0</v>
      </c>
      <c r="CY17" s="442">
        <f t="shared" ref="CY17:CY48" si="77">$AC17*BC17</f>
        <v>0</v>
      </c>
      <c r="CZ17" s="443">
        <f>SUM(CP17:CY17)</f>
        <v>0</v>
      </c>
      <c r="DB17" s="442">
        <f t="shared" ref="DB17:DB48" si="78">$AC17*BF17</f>
        <v>0</v>
      </c>
      <c r="DC17" s="442">
        <f t="shared" ref="DC17:DC48" si="79">$AC17*BG17</f>
        <v>0</v>
      </c>
      <c r="DD17" s="442">
        <f t="shared" ref="DD17:DD48" si="80">$AC17*BH17</f>
        <v>0</v>
      </c>
      <c r="DE17" s="442">
        <f t="shared" ref="DE17:DE48" si="81">$AC17*BI17</f>
        <v>0</v>
      </c>
      <c r="DF17" s="442">
        <f t="shared" ref="DF17:DF48" si="82">$AC17*BJ17</f>
        <v>0</v>
      </c>
      <c r="DG17" s="442">
        <f t="shared" ref="DG17:DG48" si="83">$AC17*BK17</f>
        <v>0</v>
      </c>
      <c r="DH17" s="442">
        <f t="shared" ref="DH17:DH48" si="84">$AC17*BL17</f>
        <v>0</v>
      </c>
      <c r="DI17" s="442">
        <f t="shared" ref="DI17:DI48" si="85">$AC17*BM17</f>
        <v>0</v>
      </c>
      <c r="DJ17" s="442">
        <f t="shared" ref="DJ17:DJ48" si="86">$AC17*BN17</f>
        <v>0</v>
      </c>
      <c r="DK17" s="442">
        <f t="shared" ref="DK17:DK48" si="87">$AC17*BO17</f>
        <v>0</v>
      </c>
      <c r="DL17" s="443">
        <f>SUM(DB17:DK17)</f>
        <v>0</v>
      </c>
      <c r="DN17" s="442">
        <f>IF('2. START'!$C$14&gt;0,(AT17/(1+$AA17))*(1+'2. START'!$C$14),AT17)</f>
        <v>0</v>
      </c>
      <c r="DO17" s="442">
        <f>IF('2. START'!$C$14&gt;0,(AU17/(1+$AA17))*(1+'2. START'!$C$14),AU17)</f>
        <v>0</v>
      </c>
      <c r="DP17" s="442">
        <f>IF('2. START'!$C$14&gt;0,(AV17/(1+$AA17))*(1+'2. START'!$C$14),AV17)</f>
        <v>0</v>
      </c>
      <c r="DQ17" s="442">
        <f>IF('2. START'!$C$14&gt;0,(AW17/(1+$AA17))*(1+'2. START'!$C$14),AW17)</f>
        <v>0</v>
      </c>
      <c r="DR17" s="442">
        <f>IF('2. START'!$C$14&gt;0,(AX17/(1+$AA17))*(1+'2. START'!$C$14),AX17)</f>
        <v>0</v>
      </c>
      <c r="DS17" s="442">
        <f>IF('2. START'!$C$14&gt;0,(AY17/(1+$AA17))*(1+'2. START'!$C$14),AY17)</f>
        <v>0</v>
      </c>
      <c r="DT17" s="442">
        <f>IF('2. START'!$C$14&gt;0,(AZ17/(1+$AA17))*(1+'2. START'!$C$14),AZ17)</f>
        <v>0</v>
      </c>
      <c r="DU17" s="442">
        <f>IF('2. START'!$C$14&gt;0,(BA17/(1+$AA17))*(1+'2. START'!$C$14),BA17)</f>
        <v>0</v>
      </c>
      <c r="DV17" s="442">
        <f>IF('2. START'!$C$14&gt;0,(BB17/(1+$AA17))*(1+'2. START'!$C$14),BB17)</f>
        <v>0</v>
      </c>
      <c r="DW17" s="442">
        <f>IF('2. START'!$C$14&gt;0,(BC17/(1+$AA17))*(1+'2. START'!$C$14),BC17)</f>
        <v>0</v>
      </c>
      <c r="DX17" s="443">
        <f>SUM(DN17:DW17)</f>
        <v>0</v>
      </c>
      <c r="DZ17" s="442">
        <f>IF('2. START'!$C$11="NO",(IF('2. START'!$C$14&gt;0,(DN17*$AD17),(AT17*$AD17))),(BR17+CP17))</f>
        <v>0</v>
      </c>
      <c r="EA17" s="442">
        <f>IF('2. START'!$C$11="NO",(IF('2. START'!$C$14&gt;0,(DO17*$AD17),(AU17*$AD17))),(BS17+CQ17))</f>
        <v>0</v>
      </c>
      <c r="EB17" s="442">
        <f>IF('2. START'!$C$11="NO",(IF('2. START'!$C$14&gt;0,(DP17*$AD17),(AV17*$AD17))),(BT17+CR17))</f>
        <v>0</v>
      </c>
      <c r="EC17" s="442">
        <f>IF('2. START'!$C$11="NO",(IF('2. START'!$C$14&gt;0,(DQ17*$AD17),(AW17*$AD17))),(BU17+CS17))</f>
        <v>0</v>
      </c>
      <c r="ED17" s="442">
        <f>IF('2. START'!$C$11="NO",(IF('2. START'!$C$14&gt;0,(DR17*$AD17),(AX17*$AD17))),(BV17+CT17))</f>
        <v>0</v>
      </c>
      <c r="EE17" s="442">
        <f>IF('2. START'!$C$11="NO",(IF('2. START'!$C$14&gt;0,(DS17*$AD17),(AY17*$AD17))),(BW17+CU17))</f>
        <v>0</v>
      </c>
      <c r="EF17" s="442">
        <f>IF('2. START'!$C$11="NO",(IF('2. START'!$C$14&gt;0,(DT17*$AD17),(AZ17*$AD17))),(BX17+CV17))</f>
        <v>0</v>
      </c>
      <c r="EG17" s="442">
        <f>IF('2. START'!$C$11="NO",(IF('2. START'!$C$14&gt;0,(DU17*$AD17),(BA17*$AD17))),(BY17+CW17))</f>
        <v>0</v>
      </c>
      <c r="EH17" s="442">
        <f>IF('2. START'!$C$11="NO",(IF('2. START'!$C$14&gt;0,(DV17*$AD17),(BB17*$AD17))),(BZ17+CX17))</f>
        <v>0</v>
      </c>
      <c r="EI17" s="442">
        <f>IF('2. START'!$C$11="NO",(IF('2. START'!$C$14&gt;0,(DW17*$AD17),(BC17*$AD17))),(CA17+CY17))</f>
        <v>0</v>
      </c>
      <c r="EJ17" s="443">
        <f>SUM(DZ17:EI17)</f>
        <v>0</v>
      </c>
      <c r="EL17" s="442">
        <f>(BR17+CP17-DZ17)+IF('2. START'!$C$14&gt;0,AT17-DN17,0)</f>
        <v>0</v>
      </c>
      <c r="EM17" s="442">
        <f>(BS17+CQ17-EA17)+IF('2. START'!$C$14&gt;0,AU17-DO17,0)</f>
        <v>0</v>
      </c>
      <c r="EN17" s="442">
        <f>(BT17+CR17-EB17)+IF('2. START'!$C$14&gt;0,AV17-DP17,0)</f>
        <v>0</v>
      </c>
      <c r="EO17" s="442">
        <f>(BU17+CS17-EC17)+IF('2. START'!$C$14&gt;0,AW17-DQ17,0)</f>
        <v>0</v>
      </c>
      <c r="EP17" s="442">
        <f>(BV17+CT17-ED17)+IF('2. START'!$C$14&gt;0,AX17-DR17,0)</f>
        <v>0</v>
      </c>
      <c r="EQ17" s="442">
        <f>(BW17+CU17-EE17)+IF('2. START'!$C$14&gt;0,AY17-DS17,0)</f>
        <v>0</v>
      </c>
      <c r="ER17" s="442">
        <f>(BX17+CV17-EF17)+IF('2. START'!$C$14&gt;0,AZ17-DT17,0)</f>
        <v>0</v>
      </c>
      <c r="ES17" s="442">
        <f>(BY17+CW17-EG17)+IF('2. START'!$C$14&gt;0,BA17-DU17,0)</f>
        <v>0</v>
      </c>
      <c r="ET17" s="442">
        <f>(BZ17+CX17-EH17)+IF('2. START'!$C$14&gt;0,BB17-DV17,0)</f>
        <v>0</v>
      </c>
      <c r="EU17" s="442">
        <f>(CA17+CY17-EI17)+IF('2. START'!$C$14&gt;0,BC17-DW17,0)</f>
        <v>0</v>
      </c>
      <c r="EV17" s="443">
        <f>SUM(EL17:EU17)</f>
        <v>0</v>
      </c>
      <c r="EX17" s="442">
        <f>AT17+BR17+CP17</f>
        <v>0</v>
      </c>
      <c r="EY17" s="442">
        <f t="shared" ref="EY17" si="88">AU17+BS17+CQ17</f>
        <v>0</v>
      </c>
      <c r="EZ17" s="442">
        <f t="shared" ref="EZ17" si="89">AV17+BT17+CR17</f>
        <v>0</v>
      </c>
      <c r="FA17" s="442">
        <f t="shared" ref="FA17" si="90">AW17+BU17+CS17</f>
        <v>0</v>
      </c>
      <c r="FB17" s="442">
        <f t="shared" ref="FB17" si="91">AX17+BV17+CT17</f>
        <v>0</v>
      </c>
      <c r="FC17" s="442">
        <f t="shared" ref="FC17" si="92">AY17+BW17+CU17</f>
        <v>0</v>
      </c>
      <c r="FD17" s="442">
        <f t="shared" ref="FD17" si="93">AZ17+BX17+CV17</f>
        <v>0</v>
      </c>
      <c r="FE17" s="442">
        <f t="shared" ref="FE17" si="94">BA17+BY17+CW17</f>
        <v>0</v>
      </c>
      <c r="FF17" s="442">
        <f t="shared" ref="FF17" si="95">BB17+BZ17+CX17</f>
        <v>0</v>
      </c>
      <c r="FG17" s="442">
        <f t="shared" ref="FG17" si="96">BC17+CA17+CY17</f>
        <v>0</v>
      </c>
      <c r="FH17" s="443">
        <f>SUM(EX17:FG17)</f>
        <v>0</v>
      </c>
      <c r="FJ17" s="442">
        <f>BF17+CD17+DB17</f>
        <v>0</v>
      </c>
      <c r="FK17" s="442">
        <f t="shared" ref="FK17:FS17" si="97">BG17+CE17+DC17</f>
        <v>0</v>
      </c>
      <c r="FL17" s="442">
        <f t="shared" si="97"/>
        <v>0</v>
      </c>
      <c r="FM17" s="442">
        <f t="shared" si="97"/>
        <v>0</v>
      </c>
      <c r="FN17" s="442">
        <f t="shared" si="97"/>
        <v>0</v>
      </c>
      <c r="FO17" s="442">
        <f t="shared" si="97"/>
        <v>0</v>
      </c>
      <c r="FP17" s="442">
        <f t="shared" si="97"/>
        <v>0</v>
      </c>
      <c r="FQ17" s="442">
        <f t="shared" si="97"/>
        <v>0</v>
      </c>
      <c r="FR17" s="442">
        <f t="shared" si="97"/>
        <v>0</v>
      </c>
      <c r="FS17" s="442">
        <f t="shared" si="97"/>
        <v>0</v>
      </c>
      <c r="FT17" s="443">
        <f>SUM(FJ17:FS17)</f>
        <v>0</v>
      </c>
    </row>
    <row r="18" spans="2:176" s="270" customFormat="1" ht="15" customHeight="1" x14ac:dyDescent="0.25">
      <c r="B18" s="446" t="str">
        <f>'2. START'!C$7</f>
        <v>100GEM</v>
      </c>
      <c r="C18" s="447"/>
      <c r="D18" s="589"/>
      <c r="E18" s="544">
        <v>0</v>
      </c>
      <c r="F18" s="448"/>
      <c r="G18" s="449"/>
      <c r="H18" s="449"/>
      <c r="I18" s="449"/>
      <c r="J18" s="449"/>
      <c r="K18" s="449"/>
      <c r="L18" s="449"/>
      <c r="M18" s="449"/>
      <c r="N18" s="449"/>
      <c r="O18" s="449"/>
      <c r="P18" s="449"/>
      <c r="Q18" s="546">
        <f>SUMIF('3. PARTNER'!$B$13:$B$80,$B18,'3. PARTNER'!$F$13:$F$80)</f>
        <v>0.02</v>
      </c>
      <c r="R18" s="450">
        <f t="shared" si="17"/>
        <v>0.02</v>
      </c>
      <c r="S18" s="450">
        <f t="shared" si="17"/>
        <v>0.02</v>
      </c>
      <c r="T18" s="450">
        <f t="shared" si="17"/>
        <v>0.02</v>
      </c>
      <c r="U18" s="450">
        <f t="shared" si="17"/>
        <v>0.02</v>
      </c>
      <c r="V18" s="450">
        <f t="shared" si="17"/>
        <v>0.02</v>
      </c>
      <c r="W18" s="450">
        <f t="shared" si="17"/>
        <v>0.02</v>
      </c>
      <c r="X18" s="450">
        <f t="shared" si="17"/>
        <v>0.02</v>
      </c>
      <c r="Y18" s="450">
        <f t="shared" si="17"/>
        <v>0.02</v>
      </c>
      <c r="Z18" s="450">
        <f t="shared" si="17"/>
        <v>0.02</v>
      </c>
      <c r="AA18" s="451">
        <f>SUMIF('3. PARTNER'!B$13:B$80,B18,'3. PARTNER'!E$13:E$80)</f>
        <v>0.5595</v>
      </c>
      <c r="AB18" s="452">
        <f>IF('2. START'!$C$20="UTB",(SUMIF('3. PARTNER'!B$13:B$80,B18,'3. PARTNER'!K$13:K$80))+(SUMIF('3. PARTNER'!B$13:B$80,B18,'3. PARTNER'!M$13:M$80)),(SUMIF('3. PARTNER'!B$13:B$80,B18,'3. PARTNER'!G$13:G$80))+(SUMIF('3. PARTNER'!B$13:B$80,B18,'3. PARTNER'!I$13:I$80)))</f>
        <v>0.16000843770704321</v>
      </c>
      <c r="AC18" s="452">
        <f>IF('2. START'!$C$20="UTB",(SUMIF('3. PARTNER'!B$13:B$80,B18,'3. PARTNER'!L$13:L$80))+(SUMIF('3. PARTNER'!B$13:B$80,B18,'3. PARTNER'!N$13:N$80)),(SUMIF('3. PARTNER'!B$13:B$80,B18,'3. PARTNER'!H$13:H$80))+(SUMIF('3. PARTNER'!B$13:B$80,B18,'3. PARTNER'!J$13:J$80)))</f>
        <v>0</v>
      </c>
      <c r="AD18" s="452">
        <f>IF('2. START'!C$11="NO",'2. START'!C$12,0)</f>
        <v>0</v>
      </c>
      <c r="AE18" s="453">
        <f t="shared" ref="AE18:AE81" si="98">SUM(G18:P18)</f>
        <v>0</v>
      </c>
      <c r="AF18" s="453">
        <f t="shared" ref="AF18:AF81" si="99">IF(E18=0,0,E18*AE18)</f>
        <v>0</v>
      </c>
      <c r="AG18" s="454"/>
      <c r="AH18" s="455">
        <f t="shared" si="18"/>
        <v>0</v>
      </c>
      <c r="AI18" s="455">
        <f t="shared" si="19"/>
        <v>0</v>
      </c>
      <c r="AJ18" s="455">
        <f t="shared" si="20"/>
        <v>0</v>
      </c>
      <c r="AK18" s="455">
        <f t="shared" si="21"/>
        <v>0</v>
      </c>
      <c r="AL18" s="455">
        <f t="shared" si="22"/>
        <v>0</v>
      </c>
      <c r="AM18" s="455">
        <f t="shared" si="23"/>
        <v>0</v>
      </c>
      <c r="AN18" s="455">
        <f t="shared" si="24"/>
        <v>0</v>
      </c>
      <c r="AO18" s="455">
        <f t="shared" si="25"/>
        <v>0</v>
      </c>
      <c r="AP18" s="455">
        <f t="shared" si="26"/>
        <v>0</v>
      </c>
      <c r="AQ18" s="455">
        <f t="shared" si="27"/>
        <v>0</v>
      </c>
      <c r="AR18" s="456">
        <f t="shared" ref="AR18:AR81" si="100">SUM(AH18:AQ18)</f>
        <v>0</v>
      </c>
      <c r="AS18" s="457"/>
      <c r="AT18" s="455">
        <f t="shared" si="28"/>
        <v>0</v>
      </c>
      <c r="AU18" s="455">
        <f t="shared" si="29"/>
        <v>0</v>
      </c>
      <c r="AV18" s="455">
        <f t="shared" si="30"/>
        <v>0</v>
      </c>
      <c r="AW18" s="455">
        <f t="shared" si="31"/>
        <v>0</v>
      </c>
      <c r="AX18" s="455">
        <f t="shared" si="32"/>
        <v>0</v>
      </c>
      <c r="AY18" s="455">
        <f t="shared" si="33"/>
        <v>0</v>
      </c>
      <c r="AZ18" s="455">
        <f t="shared" si="34"/>
        <v>0</v>
      </c>
      <c r="BA18" s="455">
        <f t="shared" si="35"/>
        <v>0</v>
      </c>
      <c r="BB18" s="455">
        <f t="shared" si="36"/>
        <v>0</v>
      </c>
      <c r="BC18" s="455">
        <f t="shared" si="37"/>
        <v>0</v>
      </c>
      <c r="BD18" s="456">
        <f t="shared" ref="BD18:BD81" si="101">SUM(AT18:BC18)</f>
        <v>0</v>
      </c>
      <c r="BE18" s="457"/>
      <c r="BF18" s="455">
        <f t="shared" si="38"/>
        <v>0</v>
      </c>
      <c r="BG18" s="455">
        <f t="shared" si="39"/>
        <v>0</v>
      </c>
      <c r="BH18" s="455">
        <f t="shared" si="40"/>
        <v>0</v>
      </c>
      <c r="BI18" s="455">
        <f t="shared" si="41"/>
        <v>0</v>
      </c>
      <c r="BJ18" s="455">
        <f t="shared" si="42"/>
        <v>0</v>
      </c>
      <c r="BK18" s="455">
        <f t="shared" si="43"/>
        <v>0</v>
      </c>
      <c r="BL18" s="455">
        <f t="shared" si="44"/>
        <v>0</v>
      </c>
      <c r="BM18" s="455">
        <f t="shared" si="45"/>
        <v>0</v>
      </c>
      <c r="BN18" s="455">
        <f t="shared" si="46"/>
        <v>0</v>
      </c>
      <c r="BO18" s="455">
        <f t="shared" si="47"/>
        <v>0</v>
      </c>
      <c r="BP18" s="456">
        <f t="shared" ref="BP18:BP81" si="102">SUM(BF18:BO18)</f>
        <v>0</v>
      </c>
      <c r="BQ18" s="458"/>
      <c r="BR18" s="459">
        <f t="shared" si="48"/>
        <v>0</v>
      </c>
      <c r="BS18" s="459">
        <f t="shared" si="49"/>
        <v>0</v>
      </c>
      <c r="BT18" s="459">
        <f t="shared" si="50"/>
        <v>0</v>
      </c>
      <c r="BU18" s="459">
        <f t="shared" si="51"/>
        <v>0</v>
      </c>
      <c r="BV18" s="459">
        <f t="shared" si="52"/>
        <v>0</v>
      </c>
      <c r="BW18" s="459">
        <f t="shared" si="53"/>
        <v>0</v>
      </c>
      <c r="BX18" s="459">
        <f t="shared" si="54"/>
        <v>0</v>
      </c>
      <c r="BY18" s="459">
        <f t="shared" si="55"/>
        <v>0</v>
      </c>
      <c r="BZ18" s="459">
        <f t="shared" si="56"/>
        <v>0</v>
      </c>
      <c r="CA18" s="459">
        <f t="shared" si="57"/>
        <v>0</v>
      </c>
      <c r="CB18" s="460">
        <f t="shared" ref="CB18:CB81" si="103">SUM(BR18:CA18)</f>
        <v>0</v>
      </c>
      <c r="CC18" s="461"/>
      <c r="CD18" s="462">
        <f t="shared" si="58"/>
        <v>0</v>
      </c>
      <c r="CE18" s="462">
        <f t="shared" si="59"/>
        <v>0</v>
      </c>
      <c r="CF18" s="462">
        <f t="shared" si="60"/>
        <v>0</v>
      </c>
      <c r="CG18" s="462">
        <f t="shared" si="61"/>
        <v>0</v>
      </c>
      <c r="CH18" s="462">
        <f t="shared" si="62"/>
        <v>0</v>
      </c>
      <c r="CI18" s="462">
        <f t="shared" si="63"/>
        <v>0</v>
      </c>
      <c r="CJ18" s="462">
        <f t="shared" si="64"/>
        <v>0</v>
      </c>
      <c r="CK18" s="462">
        <f t="shared" si="65"/>
        <v>0</v>
      </c>
      <c r="CL18" s="462">
        <f t="shared" si="66"/>
        <v>0</v>
      </c>
      <c r="CM18" s="462">
        <f t="shared" si="67"/>
        <v>0</v>
      </c>
      <c r="CN18" s="460">
        <f t="shared" ref="CN18:CN81" si="104">SUM(CD18:CM18)</f>
        <v>0</v>
      </c>
      <c r="CO18" s="461"/>
      <c r="CP18" s="459">
        <f t="shared" si="68"/>
        <v>0</v>
      </c>
      <c r="CQ18" s="459">
        <f t="shared" si="69"/>
        <v>0</v>
      </c>
      <c r="CR18" s="459">
        <f t="shared" si="70"/>
        <v>0</v>
      </c>
      <c r="CS18" s="459">
        <f t="shared" si="71"/>
        <v>0</v>
      </c>
      <c r="CT18" s="459">
        <f t="shared" si="72"/>
        <v>0</v>
      </c>
      <c r="CU18" s="459">
        <f t="shared" si="73"/>
        <v>0</v>
      </c>
      <c r="CV18" s="459">
        <f t="shared" si="74"/>
        <v>0</v>
      </c>
      <c r="CW18" s="459">
        <f t="shared" si="75"/>
        <v>0</v>
      </c>
      <c r="CX18" s="459">
        <f t="shared" si="76"/>
        <v>0</v>
      </c>
      <c r="CY18" s="459">
        <f t="shared" si="77"/>
        <v>0</v>
      </c>
      <c r="CZ18" s="460">
        <f t="shared" ref="CZ18:CZ81" si="105">SUM(CP18:CY18)</f>
        <v>0</v>
      </c>
      <c r="DA18" s="463"/>
      <c r="DB18" s="459">
        <f t="shared" si="78"/>
        <v>0</v>
      </c>
      <c r="DC18" s="459">
        <f t="shared" si="79"/>
        <v>0</v>
      </c>
      <c r="DD18" s="459">
        <f t="shared" si="80"/>
        <v>0</v>
      </c>
      <c r="DE18" s="459">
        <f t="shared" si="81"/>
        <v>0</v>
      </c>
      <c r="DF18" s="459">
        <f t="shared" si="82"/>
        <v>0</v>
      </c>
      <c r="DG18" s="459">
        <f t="shared" si="83"/>
        <v>0</v>
      </c>
      <c r="DH18" s="459">
        <f t="shared" si="84"/>
        <v>0</v>
      </c>
      <c r="DI18" s="459">
        <f t="shared" si="85"/>
        <v>0</v>
      </c>
      <c r="DJ18" s="459">
        <f t="shared" si="86"/>
        <v>0</v>
      </c>
      <c r="DK18" s="459">
        <f t="shared" si="87"/>
        <v>0</v>
      </c>
      <c r="DL18" s="460">
        <f t="shared" ref="DL18:DL81" si="106">SUM(DB18:DK18)</f>
        <v>0</v>
      </c>
      <c r="DM18" s="463"/>
      <c r="DN18" s="442">
        <f>IF('2. START'!$C$14&gt;0,(AT18/(1+$AA18))*(1+'2. START'!$C$14),AT18)</f>
        <v>0</v>
      </c>
      <c r="DO18" s="442">
        <f>IF('2. START'!$C$14&gt;0,(AU18/(1+$AA18))*(1+'2. START'!$C$14),AU18)</f>
        <v>0</v>
      </c>
      <c r="DP18" s="442">
        <f>IF('2. START'!$C$14&gt;0,(AV18/(1+$AA18))*(1+'2. START'!$C$14),AV18)</f>
        <v>0</v>
      </c>
      <c r="DQ18" s="442">
        <f>IF('2. START'!$C$14&gt;0,(AW18/(1+$AA18))*(1+'2. START'!$C$14),AW18)</f>
        <v>0</v>
      </c>
      <c r="DR18" s="442">
        <f>IF('2. START'!$C$14&gt;0,(AX18/(1+$AA18))*(1+'2. START'!$C$14),AX18)</f>
        <v>0</v>
      </c>
      <c r="DS18" s="442">
        <f>IF('2. START'!$C$14&gt;0,(AY18/(1+$AA18))*(1+'2. START'!$C$14),AY18)</f>
        <v>0</v>
      </c>
      <c r="DT18" s="442">
        <f>IF('2. START'!$C$14&gt;0,(AZ18/(1+$AA18))*(1+'2. START'!$C$14),AZ18)</f>
        <v>0</v>
      </c>
      <c r="DU18" s="442">
        <f>IF('2. START'!$C$14&gt;0,(BA18/(1+$AA18))*(1+'2. START'!$C$14),BA18)</f>
        <v>0</v>
      </c>
      <c r="DV18" s="442">
        <f>IF('2. START'!$C$14&gt;0,(BB18/(1+$AA18))*(1+'2. START'!$C$14),BB18)</f>
        <v>0</v>
      </c>
      <c r="DW18" s="442">
        <f>IF('2. START'!$C$14&gt;0,(BC18/(1+$AA18))*(1+'2. START'!$C$14),BC18)</f>
        <v>0</v>
      </c>
      <c r="DX18" s="460">
        <f t="shared" ref="DX18:DX81" si="107">SUM(DN18:DW18)</f>
        <v>0</v>
      </c>
      <c r="DY18" s="463"/>
      <c r="DZ18" s="459">
        <f>IF('2. START'!$C$11="NO",(IF('2. START'!$C$14&gt;0,(DN18*$AD18),(AT18*$AD18))),(BR18+CP18))</f>
        <v>0</v>
      </c>
      <c r="EA18" s="459">
        <f>IF('2. START'!$C$11="NO",(IF('2. START'!$C$14&gt;0,(DO18*$AD18),(AU18*$AD18))),(BS18+CQ18))</f>
        <v>0</v>
      </c>
      <c r="EB18" s="459">
        <f>IF('2. START'!$C$11="NO",(IF('2. START'!$C$14&gt;0,(DP18*$AD18),(AV18*$AD18))),(BT18+CR18))</f>
        <v>0</v>
      </c>
      <c r="EC18" s="459">
        <f>IF('2. START'!$C$11="NO",(IF('2. START'!$C$14&gt;0,(DQ18*$AD18),(AW18*$AD18))),(BU18+CS18))</f>
        <v>0</v>
      </c>
      <c r="ED18" s="459">
        <f>IF('2. START'!$C$11="NO",(IF('2. START'!$C$14&gt;0,(DR18*$AD18),(AX18*$AD18))),(BV18+CT18))</f>
        <v>0</v>
      </c>
      <c r="EE18" s="459">
        <f>IF('2. START'!$C$11="NO",(IF('2. START'!$C$14&gt;0,(DS18*$AD18),(AY18*$AD18))),(BW18+CU18))</f>
        <v>0</v>
      </c>
      <c r="EF18" s="459">
        <f>IF('2. START'!$C$11="NO",(IF('2. START'!$C$14&gt;0,(DT18*$AD18),(AZ18*$AD18))),(BX18+CV18))</f>
        <v>0</v>
      </c>
      <c r="EG18" s="459">
        <f>IF('2. START'!$C$11="NO",(IF('2. START'!$C$14&gt;0,(DU18*$AD18),(BA18*$AD18))),(BY18+CW18))</f>
        <v>0</v>
      </c>
      <c r="EH18" s="459">
        <f>IF('2. START'!$C$11="NO",(IF('2. START'!$C$14&gt;0,(DV18*$AD18),(BB18*$AD18))),(BZ18+CX18))</f>
        <v>0</v>
      </c>
      <c r="EI18" s="459">
        <f>IF('2. START'!$C$11="NO",(IF('2. START'!$C$14&gt;0,(DW18*$AD18),(BC18*$AD18))),(CA18+CY18))</f>
        <v>0</v>
      </c>
      <c r="EJ18" s="460">
        <f t="shared" ref="EJ18:EJ81" si="108">SUM(DZ18:EI18)</f>
        <v>0</v>
      </c>
      <c r="EK18" s="463"/>
      <c r="EL18" s="459">
        <f>(BR18+CP18-DZ18)+IF('2. START'!$C$14&gt;0,AT18-DN18,0)</f>
        <v>0</v>
      </c>
      <c r="EM18" s="459">
        <f>(BS18+CQ18-EA18)+IF('2. START'!$C$14&gt;0,AU18-DO18,0)</f>
        <v>0</v>
      </c>
      <c r="EN18" s="459">
        <f>(BT18+CR18-EB18)+IF('2. START'!$C$14&gt;0,AV18-DP18,0)</f>
        <v>0</v>
      </c>
      <c r="EO18" s="459">
        <f>(BU18+CS18-EC18)+IF('2. START'!$C$14&gt;0,AW18-DQ18,0)</f>
        <v>0</v>
      </c>
      <c r="EP18" s="459">
        <f>(BV18+CT18-ED18)+IF('2. START'!$C$14&gt;0,AX18-DR18,0)</f>
        <v>0</v>
      </c>
      <c r="EQ18" s="459">
        <f>(BW18+CU18-EE18)+IF('2. START'!$C$14&gt;0,AY18-DS18,0)</f>
        <v>0</v>
      </c>
      <c r="ER18" s="459">
        <f>(BX18+CV18-EF18)+IF('2. START'!$C$14&gt;0,AZ18-DT18,0)</f>
        <v>0</v>
      </c>
      <c r="ES18" s="459">
        <f>(BY18+CW18-EG18)+IF('2. START'!$C$14&gt;0,BA18-DU18,0)</f>
        <v>0</v>
      </c>
      <c r="ET18" s="459">
        <f>(BZ18+CX18-EH18)+IF('2. START'!$C$14&gt;0,BB18-DV18,0)</f>
        <v>0</v>
      </c>
      <c r="EU18" s="459">
        <f>(CA18+CY18-EI18)+IF('2. START'!$C$14&gt;0,BC18-DW18,0)</f>
        <v>0</v>
      </c>
      <c r="EV18" s="460">
        <f t="shared" ref="EV18:EV81" si="109">SUM(EL18:EU18)</f>
        <v>0</v>
      </c>
      <c r="EW18" s="463"/>
      <c r="EX18" s="459">
        <f t="shared" ref="EX18:EX81" si="110">AT18+BR18+CP18</f>
        <v>0</v>
      </c>
      <c r="EY18" s="459">
        <f t="shared" ref="EY18:EY81" si="111">AU18+BS18+CQ18</f>
        <v>0</v>
      </c>
      <c r="EZ18" s="459">
        <f t="shared" ref="EZ18:EZ81" si="112">AV18+BT18+CR18</f>
        <v>0</v>
      </c>
      <c r="FA18" s="459">
        <f t="shared" ref="FA18:FA81" si="113">AW18+BU18+CS18</f>
        <v>0</v>
      </c>
      <c r="FB18" s="459">
        <f t="shared" ref="FB18:FB81" si="114">AX18+BV18+CT18</f>
        <v>0</v>
      </c>
      <c r="FC18" s="459">
        <f t="shared" ref="FC18:FC81" si="115">AY18+BW18+CU18</f>
        <v>0</v>
      </c>
      <c r="FD18" s="459">
        <f t="shared" ref="FD18:FD81" si="116">AZ18+BX18+CV18</f>
        <v>0</v>
      </c>
      <c r="FE18" s="459">
        <f t="shared" ref="FE18:FE81" si="117">BA18+BY18+CW18</f>
        <v>0</v>
      </c>
      <c r="FF18" s="459">
        <f t="shared" ref="FF18:FF81" si="118">BB18+BZ18+CX18</f>
        <v>0</v>
      </c>
      <c r="FG18" s="459">
        <f t="shared" ref="FG18:FG81" si="119">BC18+CA18+CY18</f>
        <v>0</v>
      </c>
      <c r="FH18" s="460">
        <f t="shared" ref="FH18:FH81" si="120">SUM(EX18:FG18)</f>
        <v>0</v>
      </c>
      <c r="FI18" s="463"/>
      <c r="FJ18" s="459">
        <f t="shared" ref="FJ18:FJ81" si="121">BF18+CD18+DB18</f>
        <v>0</v>
      </c>
      <c r="FK18" s="459">
        <f t="shared" ref="FK18:FK81" si="122">BG18+CE18+DC18</f>
        <v>0</v>
      </c>
      <c r="FL18" s="459">
        <f t="shared" ref="FL18:FL81" si="123">BH18+CF18+DD18</f>
        <v>0</v>
      </c>
      <c r="FM18" s="459">
        <f t="shared" ref="FM18:FM81" si="124">BI18+CG18+DE18</f>
        <v>0</v>
      </c>
      <c r="FN18" s="459">
        <f t="shared" ref="FN18:FN81" si="125">BJ18+CH18+DF18</f>
        <v>0</v>
      </c>
      <c r="FO18" s="459">
        <f t="shared" ref="FO18:FO81" si="126">BK18+CI18+DG18</f>
        <v>0</v>
      </c>
      <c r="FP18" s="459">
        <f t="shared" ref="FP18:FP81" si="127">BL18+CJ18+DH18</f>
        <v>0</v>
      </c>
      <c r="FQ18" s="459">
        <f t="shared" ref="FQ18:FQ81" si="128">BM18+CK18+DI18</f>
        <v>0</v>
      </c>
      <c r="FR18" s="459">
        <f t="shared" ref="FR18:FR81" si="129">BN18+CL18+DJ18</f>
        <v>0</v>
      </c>
      <c r="FS18" s="459">
        <f t="shared" ref="FS18:FS81" si="130">BO18+CM18+DK18</f>
        <v>0</v>
      </c>
      <c r="FT18" s="460">
        <f t="shared" ref="FT18:FT81" si="131">SUM(FJ18:FS18)</f>
        <v>0</v>
      </c>
    </row>
    <row r="19" spans="2:176" s="270" customFormat="1" ht="15" customHeight="1" x14ac:dyDescent="0.25">
      <c r="B19" s="464" t="str">
        <f>'2. START'!C$7</f>
        <v>100GEM</v>
      </c>
      <c r="C19" s="465"/>
      <c r="D19" s="590"/>
      <c r="E19" s="514">
        <v>0</v>
      </c>
      <c r="F19" s="431"/>
      <c r="G19" s="432"/>
      <c r="H19" s="432"/>
      <c r="I19" s="432"/>
      <c r="J19" s="432"/>
      <c r="K19" s="432"/>
      <c r="L19" s="432"/>
      <c r="M19" s="432"/>
      <c r="N19" s="432"/>
      <c r="O19" s="432"/>
      <c r="P19" s="432"/>
      <c r="Q19" s="545">
        <f>SUMIF('3. PARTNER'!$B$13:$B$80,$B19,'3. PARTNER'!$F$13:$F$80)</f>
        <v>0.02</v>
      </c>
      <c r="R19" s="466">
        <f t="shared" si="17"/>
        <v>0.02</v>
      </c>
      <c r="S19" s="466">
        <f t="shared" si="17"/>
        <v>0.02</v>
      </c>
      <c r="T19" s="466">
        <f t="shared" si="17"/>
        <v>0.02</v>
      </c>
      <c r="U19" s="466">
        <f t="shared" si="17"/>
        <v>0.02</v>
      </c>
      <c r="V19" s="466">
        <f t="shared" si="17"/>
        <v>0.02</v>
      </c>
      <c r="W19" s="466">
        <f t="shared" si="17"/>
        <v>0.02</v>
      </c>
      <c r="X19" s="466">
        <f t="shared" si="17"/>
        <v>0.02</v>
      </c>
      <c r="Y19" s="466">
        <f t="shared" si="17"/>
        <v>0.02</v>
      </c>
      <c r="Z19" s="466">
        <f t="shared" si="17"/>
        <v>0.02</v>
      </c>
      <c r="AA19" s="434">
        <f>SUMIF('3. PARTNER'!B$13:B$80,B19,'3. PARTNER'!E$13:E$80)</f>
        <v>0.5595</v>
      </c>
      <c r="AB19" s="435">
        <f>IF('2. START'!$C$20="UTB",(SUMIF('3. PARTNER'!B$13:B$80,B19,'3. PARTNER'!K$13:K$80))+(SUMIF('3. PARTNER'!B$13:B$80,B19,'3. PARTNER'!M$13:M$80)),(SUMIF('3. PARTNER'!B$13:B$80,B19,'3. PARTNER'!G$13:G$80))+(SUMIF('3. PARTNER'!B$13:B$80,B19,'3. PARTNER'!I$13:I$80)))</f>
        <v>0.16000843770704321</v>
      </c>
      <c r="AC19" s="435">
        <f>IF('2. START'!$C$20="UTB",(SUMIF('3. PARTNER'!B$13:B$80,B19,'3. PARTNER'!L$13:L$80))+(SUMIF('3. PARTNER'!B$13:B$80,B19,'3. PARTNER'!N$13:N$80)),(SUMIF('3. PARTNER'!B$13:B$80,B19,'3. PARTNER'!H$13:H$80))+(SUMIF('3. PARTNER'!B$13:B$80,B19,'3. PARTNER'!J$13:J$80)))</f>
        <v>0</v>
      </c>
      <c r="AD19" s="435">
        <f>IF('2. START'!C$11="NO",'2. START'!C$12,0)</f>
        <v>0</v>
      </c>
      <c r="AE19" s="436">
        <f t="shared" si="98"/>
        <v>0</v>
      </c>
      <c r="AF19" s="436">
        <f t="shared" si="99"/>
        <v>0</v>
      </c>
      <c r="AG19" s="437"/>
      <c r="AH19" s="438">
        <f t="shared" si="18"/>
        <v>0</v>
      </c>
      <c r="AI19" s="438">
        <f t="shared" si="19"/>
        <v>0</v>
      </c>
      <c r="AJ19" s="438">
        <f t="shared" si="20"/>
        <v>0</v>
      </c>
      <c r="AK19" s="438">
        <f t="shared" si="21"/>
        <v>0</v>
      </c>
      <c r="AL19" s="438">
        <f t="shared" si="22"/>
        <v>0</v>
      </c>
      <c r="AM19" s="438">
        <f t="shared" si="23"/>
        <v>0</v>
      </c>
      <c r="AN19" s="438">
        <f t="shared" si="24"/>
        <v>0</v>
      </c>
      <c r="AO19" s="438">
        <f t="shared" si="25"/>
        <v>0</v>
      </c>
      <c r="AP19" s="438">
        <f t="shared" si="26"/>
        <v>0</v>
      </c>
      <c r="AQ19" s="438">
        <f t="shared" si="27"/>
        <v>0</v>
      </c>
      <c r="AR19" s="439">
        <f t="shared" si="100"/>
        <v>0</v>
      </c>
      <c r="AS19" s="440"/>
      <c r="AT19" s="438">
        <f t="shared" si="28"/>
        <v>0</v>
      </c>
      <c r="AU19" s="438">
        <f t="shared" si="29"/>
        <v>0</v>
      </c>
      <c r="AV19" s="438">
        <f t="shared" si="30"/>
        <v>0</v>
      </c>
      <c r="AW19" s="438">
        <f t="shared" si="31"/>
        <v>0</v>
      </c>
      <c r="AX19" s="438">
        <f t="shared" si="32"/>
        <v>0</v>
      </c>
      <c r="AY19" s="438">
        <f t="shared" si="33"/>
        <v>0</v>
      </c>
      <c r="AZ19" s="438">
        <f t="shared" si="34"/>
        <v>0</v>
      </c>
      <c r="BA19" s="438">
        <f t="shared" si="35"/>
        <v>0</v>
      </c>
      <c r="BB19" s="438">
        <f t="shared" si="36"/>
        <v>0</v>
      </c>
      <c r="BC19" s="438">
        <f t="shared" si="37"/>
        <v>0</v>
      </c>
      <c r="BD19" s="439">
        <f t="shared" si="101"/>
        <v>0</v>
      </c>
      <c r="BE19" s="440"/>
      <c r="BF19" s="438">
        <f t="shared" si="38"/>
        <v>0</v>
      </c>
      <c r="BG19" s="438">
        <f t="shared" si="39"/>
        <v>0</v>
      </c>
      <c r="BH19" s="438">
        <f t="shared" si="40"/>
        <v>0</v>
      </c>
      <c r="BI19" s="438">
        <f t="shared" si="41"/>
        <v>0</v>
      </c>
      <c r="BJ19" s="438">
        <f t="shared" si="42"/>
        <v>0</v>
      </c>
      <c r="BK19" s="438">
        <f t="shared" si="43"/>
        <v>0</v>
      </c>
      <c r="BL19" s="438">
        <f t="shared" si="44"/>
        <v>0</v>
      </c>
      <c r="BM19" s="438">
        <f t="shared" si="45"/>
        <v>0</v>
      </c>
      <c r="BN19" s="438">
        <f t="shared" si="46"/>
        <v>0</v>
      </c>
      <c r="BO19" s="438">
        <f t="shared" si="47"/>
        <v>0</v>
      </c>
      <c r="BP19" s="439">
        <f t="shared" si="102"/>
        <v>0</v>
      </c>
      <c r="BQ19" s="441"/>
      <c r="BR19" s="442">
        <f t="shared" si="48"/>
        <v>0</v>
      </c>
      <c r="BS19" s="442">
        <f t="shared" si="49"/>
        <v>0</v>
      </c>
      <c r="BT19" s="442">
        <f t="shared" si="50"/>
        <v>0</v>
      </c>
      <c r="BU19" s="442">
        <f t="shared" si="51"/>
        <v>0</v>
      </c>
      <c r="BV19" s="442">
        <f t="shared" si="52"/>
        <v>0</v>
      </c>
      <c r="BW19" s="442">
        <f t="shared" si="53"/>
        <v>0</v>
      </c>
      <c r="BX19" s="442">
        <f t="shared" si="54"/>
        <v>0</v>
      </c>
      <c r="BY19" s="442">
        <f t="shared" si="55"/>
        <v>0</v>
      </c>
      <c r="BZ19" s="442">
        <f t="shared" si="56"/>
        <v>0</v>
      </c>
      <c r="CA19" s="442">
        <f t="shared" si="57"/>
        <v>0</v>
      </c>
      <c r="CB19" s="443">
        <f t="shared" si="103"/>
        <v>0</v>
      </c>
      <c r="CC19" s="444"/>
      <c r="CD19" s="445">
        <f t="shared" si="58"/>
        <v>0</v>
      </c>
      <c r="CE19" s="445">
        <f t="shared" si="59"/>
        <v>0</v>
      </c>
      <c r="CF19" s="445">
        <f t="shared" si="60"/>
        <v>0</v>
      </c>
      <c r="CG19" s="445">
        <f t="shared" si="61"/>
        <v>0</v>
      </c>
      <c r="CH19" s="445">
        <f t="shared" si="62"/>
        <v>0</v>
      </c>
      <c r="CI19" s="445">
        <f t="shared" si="63"/>
        <v>0</v>
      </c>
      <c r="CJ19" s="445">
        <f t="shared" si="64"/>
        <v>0</v>
      </c>
      <c r="CK19" s="445">
        <f t="shared" si="65"/>
        <v>0</v>
      </c>
      <c r="CL19" s="445">
        <f t="shared" si="66"/>
        <v>0</v>
      </c>
      <c r="CM19" s="445">
        <f t="shared" si="67"/>
        <v>0</v>
      </c>
      <c r="CN19" s="443">
        <f t="shared" si="104"/>
        <v>0</v>
      </c>
      <c r="CO19" s="444"/>
      <c r="CP19" s="442">
        <f t="shared" si="68"/>
        <v>0</v>
      </c>
      <c r="CQ19" s="442">
        <f t="shared" si="69"/>
        <v>0</v>
      </c>
      <c r="CR19" s="442">
        <f t="shared" si="70"/>
        <v>0</v>
      </c>
      <c r="CS19" s="442">
        <f t="shared" si="71"/>
        <v>0</v>
      </c>
      <c r="CT19" s="442">
        <f t="shared" si="72"/>
        <v>0</v>
      </c>
      <c r="CU19" s="442">
        <f t="shared" si="73"/>
        <v>0</v>
      </c>
      <c r="CV19" s="442">
        <f t="shared" si="74"/>
        <v>0</v>
      </c>
      <c r="CW19" s="442">
        <f t="shared" si="75"/>
        <v>0</v>
      </c>
      <c r="CX19" s="442">
        <f t="shared" si="76"/>
        <v>0</v>
      </c>
      <c r="CY19" s="442">
        <f t="shared" si="77"/>
        <v>0</v>
      </c>
      <c r="CZ19" s="443">
        <f t="shared" si="105"/>
        <v>0</v>
      </c>
      <c r="DB19" s="442">
        <f t="shared" si="78"/>
        <v>0</v>
      </c>
      <c r="DC19" s="442">
        <f t="shared" si="79"/>
        <v>0</v>
      </c>
      <c r="DD19" s="442">
        <f t="shared" si="80"/>
        <v>0</v>
      </c>
      <c r="DE19" s="442">
        <f t="shared" si="81"/>
        <v>0</v>
      </c>
      <c r="DF19" s="442">
        <f t="shared" si="82"/>
        <v>0</v>
      </c>
      <c r="DG19" s="442">
        <f t="shared" si="83"/>
        <v>0</v>
      </c>
      <c r="DH19" s="442">
        <f t="shared" si="84"/>
        <v>0</v>
      </c>
      <c r="DI19" s="442">
        <f t="shared" si="85"/>
        <v>0</v>
      </c>
      <c r="DJ19" s="442">
        <f t="shared" si="86"/>
        <v>0</v>
      </c>
      <c r="DK19" s="442">
        <f t="shared" si="87"/>
        <v>0</v>
      </c>
      <c r="DL19" s="443">
        <f t="shared" si="106"/>
        <v>0</v>
      </c>
      <c r="DN19" s="442">
        <f>IF('2. START'!$C$14&gt;0,(AT19/(1+$AA19))*(1+'2. START'!$C$14),AT19)</f>
        <v>0</v>
      </c>
      <c r="DO19" s="442">
        <f>IF('2. START'!$C$14&gt;0,(AU19/(1+$AA19))*(1+'2. START'!$C$14),AU19)</f>
        <v>0</v>
      </c>
      <c r="DP19" s="442">
        <f>IF('2. START'!$C$14&gt;0,(AV19/(1+$AA19))*(1+'2. START'!$C$14),AV19)</f>
        <v>0</v>
      </c>
      <c r="DQ19" s="442">
        <f>IF('2. START'!$C$14&gt;0,(AW19/(1+$AA19))*(1+'2. START'!$C$14),AW19)</f>
        <v>0</v>
      </c>
      <c r="DR19" s="442">
        <f>IF('2. START'!$C$14&gt;0,(AX19/(1+$AA19))*(1+'2. START'!$C$14),AX19)</f>
        <v>0</v>
      </c>
      <c r="DS19" s="442">
        <f>IF('2. START'!$C$14&gt;0,(AY19/(1+$AA19))*(1+'2. START'!$C$14),AY19)</f>
        <v>0</v>
      </c>
      <c r="DT19" s="442">
        <f>IF('2. START'!$C$14&gt;0,(AZ19/(1+$AA19))*(1+'2. START'!$C$14),AZ19)</f>
        <v>0</v>
      </c>
      <c r="DU19" s="442">
        <f>IF('2. START'!$C$14&gt;0,(BA19/(1+$AA19))*(1+'2. START'!$C$14),BA19)</f>
        <v>0</v>
      </c>
      <c r="DV19" s="442">
        <f>IF('2. START'!$C$14&gt;0,(BB19/(1+$AA19))*(1+'2. START'!$C$14),BB19)</f>
        <v>0</v>
      </c>
      <c r="DW19" s="442">
        <f>IF('2. START'!$C$14&gt;0,(BC19/(1+$AA19))*(1+'2. START'!$C$14),BC19)</f>
        <v>0</v>
      </c>
      <c r="DX19" s="443">
        <f t="shared" si="107"/>
        <v>0</v>
      </c>
      <c r="DZ19" s="442">
        <f>IF('2. START'!$C$11="NO",(IF('2. START'!$C$14&gt;0,(DN19*$AD19),(AT19*$AD19))),(BR19+CP19))</f>
        <v>0</v>
      </c>
      <c r="EA19" s="442">
        <f>IF('2. START'!$C$11="NO",(IF('2. START'!$C$14&gt;0,(DO19*$AD19),(AU19*$AD19))),(BS19+CQ19))</f>
        <v>0</v>
      </c>
      <c r="EB19" s="442">
        <f>IF('2. START'!$C$11="NO",(IF('2. START'!$C$14&gt;0,(DP19*$AD19),(AV19*$AD19))),(BT19+CR19))</f>
        <v>0</v>
      </c>
      <c r="EC19" s="442">
        <f>IF('2. START'!$C$11="NO",(IF('2. START'!$C$14&gt;0,(DQ19*$AD19),(AW19*$AD19))),(BU19+CS19))</f>
        <v>0</v>
      </c>
      <c r="ED19" s="442">
        <f>IF('2. START'!$C$11="NO",(IF('2. START'!$C$14&gt;0,(DR19*$AD19),(AX19*$AD19))),(BV19+CT19))</f>
        <v>0</v>
      </c>
      <c r="EE19" s="442">
        <f>IF('2. START'!$C$11="NO",(IF('2. START'!$C$14&gt;0,(DS19*$AD19),(AY19*$AD19))),(BW19+CU19))</f>
        <v>0</v>
      </c>
      <c r="EF19" s="442">
        <f>IF('2. START'!$C$11="NO",(IF('2. START'!$C$14&gt;0,(DT19*$AD19),(AZ19*$AD19))),(BX19+CV19))</f>
        <v>0</v>
      </c>
      <c r="EG19" s="442">
        <f>IF('2. START'!$C$11="NO",(IF('2. START'!$C$14&gt;0,(DU19*$AD19),(BA19*$AD19))),(BY19+CW19))</f>
        <v>0</v>
      </c>
      <c r="EH19" s="442">
        <f>IF('2. START'!$C$11="NO",(IF('2. START'!$C$14&gt;0,(DV19*$AD19),(BB19*$AD19))),(BZ19+CX19))</f>
        <v>0</v>
      </c>
      <c r="EI19" s="442">
        <f>IF('2. START'!$C$11="NO",(IF('2. START'!$C$14&gt;0,(DW19*$AD19),(BC19*$AD19))),(CA19+CY19))</f>
        <v>0</v>
      </c>
      <c r="EJ19" s="443">
        <f t="shared" si="108"/>
        <v>0</v>
      </c>
      <c r="EL19" s="442">
        <f>(BR19+CP19-DZ19)+IF('2. START'!$C$14&gt;0,AT19-DN19,0)</f>
        <v>0</v>
      </c>
      <c r="EM19" s="442">
        <f>(BS19+CQ19-EA19)+IF('2. START'!$C$14&gt;0,AU19-DO19,0)</f>
        <v>0</v>
      </c>
      <c r="EN19" s="442">
        <f>(BT19+CR19-EB19)+IF('2. START'!$C$14&gt;0,AV19-DP19,0)</f>
        <v>0</v>
      </c>
      <c r="EO19" s="442">
        <f>(BU19+CS19-EC19)+IF('2. START'!$C$14&gt;0,AW19-DQ19,0)</f>
        <v>0</v>
      </c>
      <c r="EP19" s="442">
        <f>(BV19+CT19-ED19)+IF('2. START'!$C$14&gt;0,AX19-DR19,0)</f>
        <v>0</v>
      </c>
      <c r="EQ19" s="442">
        <f>(BW19+CU19-EE19)+IF('2. START'!$C$14&gt;0,AY19-DS19,0)</f>
        <v>0</v>
      </c>
      <c r="ER19" s="442">
        <f>(BX19+CV19-EF19)+IF('2. START'!$C$14&gt;0,AZ19-DT19,0)</f>
        <v>0</v>
      </c>
      <c r="ES19" s="442">
        <f>(BY19+CW19-EG19)+IF('2. START'!$C$14&gt;0,BA19-DU19,0)</f>
        <v>0</v>
      </c>
      <c r="ET19" s="442">
        <f>(BZ19+CX19-EH19)+IF('2. START'!$C$14&gt;0,BB19-DV19,0)</f>
        <v>0</v>
      </c>
      <c r="EU19" s="442">
        <f>(CA19+CY19-EI19)+IF('2. START'!$C$14&gt;0,BC19-DW19,0)</f>
        <v>0</v>
      </c>
      <c r="EV19" s="443">
        <f t="shared" si="109"/>
        <v>0</v>
      </c>
      <c r="EX19" s="442">
        <f t="shared" si="110"/>
        <v>0</v>
      </c>
      <c r="EY19" s="442">
        <f t="shared" si="111"/>
        <v>0</v>
      </c>
      <c r="EZ19" s="442">
        <f t="shared" si="112"/>
        <v>0</v>
      </c>
      <c r="FA19" s="442">
        <f t="shared" si="113"/>
        <v>0</v>
      </c>
      <c r="FB19" s="442">
        <f t="shared" si="114"/>
        <v>0</v>
      </c>
      <c r="FC19" s="442">
        <f t="shared" si="115"/>
        <v>0</v>
      </c>
      <c r="FD19" s="442">
        <f t="shared" si="116"/>
        <v>0</v>
      </c>
      <c r="FE19" s="442">
        <f t="shared" si="117"/>
        <v>0</v>
      </c>
      <c r="FF19" s="442">
        <f t="shared" si="118"/>
        <v>0</v>
      </c>
      <c r="FG19" s="442">
        <f t="shared" si="119"/>
        <v>0</v>
      </c>
      <c r="FH19" s="443">
        <f t="shared" si="120"/>
        <v>0</v>
      </c>
      <c r="FJ19" s="442">
        <f t="shared" si="121"/>
        <v>0</v>
      </c>
      <c r="FK19" s="442">
        <f t="shared" si="122"/>
        <v>0</v>
      </c>
      <c r="FL19" s="442">
        <f t="shared" si="123"/>
        <v>0</v>
      </c>
      <c r="FM19" s="442">
        <f t="shared" si="124"/>
        <v>0</v>
      </c>
      <c r="FN19" s="442">
        <f t="shared" si="125"/>
        <v>0</v>
      </c>
      <c r="FO19" s="442">
        <f t="shared" si="126"/>
        <v>0</v>
      </c>
      <c r="FP19" s="442">
        <f t="shared" si="127"/>
        <v>0</v>
      </c>
      <c r="FQ19" s="442">
        <f t="shared" si="128"/>
        <v>0</v>
      </c>
      <c r="FR19" s="442">
        <f t="shared" si="129"/>
        <v>0</v>
      </c>
      <c r="FS19" s="442">
        <f t="shared" si="130"/>
        <v>0</v>
      </c>
      <c r="FT19" s="443">
        <f t="shared" si="131"/>
        <v>0</v>
      </c>
    </row>
    <row r="20" spans="2:176" s="270" customFormat="1" ht="15" customHeight="1" x14ac:dyDescent="0.25">
      <c r="B20" s="446" t="str">
        <f>'2. START'!C$7</f>
        <v>100GEM</v>
      </c>
      <c r="C20" s="447"/>
      <c r="D20" s="589"/>
      <c r="E20" s="544">
        <v>0</v>
      </c>
      <c r="F20" s="448"/>
      <c r="G20" s="449"/>
      <c r="H20" s="449"/>
      <c r="I20" s="449"/>
      <c r="J20" s="449"/>
      <c r="K20" s="449"/>
      <c r="L20" s="449"/>
      <c r="M20" s="449"/>
      <c r="N20" s="449"/>
      <c r="O20" s="449"/>
      <c r="P20" s="449"/>
      <c r="Q20" s="546">
        <f>SUMIF('3. PARTNER'!$B$13:$B$80,$B20,'3. PARTNER'!$F$13:$F$80)</f>
        <v>0.02</v>
      </c>
      <c r="R20" s="450">
        <f t="shared" si="17"/>
        <v>0.02</v>
      </c>
      <c r="S20" s="450">
        <f t="shared" si="17"/>
        <v>0.02</v>
      </c>
      <c r="T20" s="450">
        <f t="shared" si="17"/>
        <v>0.02</v>
      </c>
      <c r="U20" s="450">
        <f t="shared" si="17"/>
        <v>0.02</v>
      </c>
      <c r="V20" s="450">
        <f t="shared" si="17"/>
        <v>0.02</v>
      </c>
      <c r="W20" s="450">
        <f t="shared" si="17"/>
        <v>0.02</v>
      </c>
      <c r="X20" s="450">
        <f t="shared" si="17"/>
        <v>0.02</v>
      </c>
      <c r="Y20" s="450">
        <f t="shared" si="17"/>
        <v>0.02</v>
      </c>
      <c r="Z20" s="450">
        <f t="shared" si="17"/>
        <v>0.02</v>
      </c>
      <c r="AA20" s="451">
        <f>SUMIF('3. PARTNER'!B$13:B$80,B20,'3. PARTNER'!E$13:E$80)</f>
        <v>0.5595</v>
      </c>
      <c r="AB20" s="452">
        <f>IF('2. START'!$C$20="UTB",(SUMIF('3. PARTNER'!B$13:B$80,B20,'3. PARTNER'!K$13:K$80))+(SUMIF('3. PARTNER'!B$13:B$80,B20,'3. PARTNER'!M$13:M$80)),(SUMIF('3. PARTNER'!B$13:B$80,B20,'3. PARTNER'!G$13:G$80))+(SUMIF('3. PARTNER'!B$13:B$80,B20,'3. PARTNER'!I$13:I$80)))</f>
        <v>0.16000843770704321</v>
      </c>
      <c r="AC20" s="452">
        <f>IF('2. START'!$C$20="UTB",(SUMIF('3. PARTNER'!B$13:B$80,B20,'3. PARTNER'!L$13:L$80))+(SUMIF('3. PARTNER'!B$13:B$80,B20,'3. PARTNER'!N$13:N$80)),(SUMIF('3. PARTNER'!B$13:B$80,B20,'3. PARTNER'!H$13:H$80))+(SUMIF('3. PARTNER'!B$13:B$80,B20,'3. PARTNER'!J$13:J$80)))</f>
        <v>0</v>
      </c>
      <c r="AD20" s="452">
        <f>IF('2. START'!C$11="NO",'2. START'!C$12,0)</f>
        <v>0</v>
      </c>
      <c r="AE20" s="453">
        <f t="shared" si="98"/>
        <v>0</v>
      </c>
      <c r="AF20" s="453">
        <f t="shared" si="99"/>
        <v>0</v>
      </c>
      <c r="AG20" s="454"/>
      <c r="AH20" s="455">
        <f t="shared" si="18"/>
        <v>0</v>
      </c>
      <c r="AI20" s="455">
        <f t="shared" si="19"/>
        <v>0</v>
      </c>
      <c r="AJ20" s="455">
        <f t="shared" si="20"/>
        <v>0</v>
      </c>
      <c r="AK20" s="455">
        <f t="shared" si="21"/>
        <v>0</v>
      </c>
      <c r="AL20" s="455">
        <f t="shared" si="22"/>
        <v>0</v>
      </c>
      <c r="AM20" s="455">
        <f t="shared" si="23"/>
        <v>0</v>
      </c>
      <c r="AN20" s="455">
        <f t="shared" si="24"/>
        <v>0</v>
      </c>
      <c r="AO20" s="455">
        <f t="shared" si="25"/>
        <v>0</v>
      </c>
      <c r="AP20" s="455">
        <f t="shared" si="26"/>
        <v>0</v>
      </c>
      <c r="AQ20" s="455">
        <f t="shared" si="27"/>
        <v>0</v>
      </c>
      <c r="AR20" s="456">
        <f t="shared" si="100"/>
        <v>0</v>
      </c>
      <c r="AS20" s="457"/>
      <c r="AT20" s="455">
        <f t="shared" si="28"/>
        <v>0</v>
      </c>
      <c r="AU20" s="455">
        <f t="shared" si="29"/>
        <v>0</v>
      </c>
      <c r="AV20" s="455">
        <f t="shared" si="30"/>
        <v>0</v>
      </c>
      <c r="AW20" s="455">
        <f t="shared" si="31"/>
        <v>0</v>
      </c>
      <c r="AX20" s="455">
        <f t="shared" si="32"/>
        <v>0</v>
      </c>
      <c r="AY20" s="455">
        <f t="shared" si="33"/>
        <v>0</v>
      </c>
      <c r="AZ20" s="455">
        <f t="shared" si="34"/>
        <v>0</v>
      </c>
      <c r="BA20" s="455">
        <f t="shared" si="35"/>
        <v>0</v>
      </c>
      <c r="BB20" s="455">
        <f t="shared" si="36"/>
        <v>0</v>
      </c>
      <c r="BC20" s="455">
        <f t="shared" si="37"/>
        <v>0</v>
      </c>
      <c r="BD20" s="456">
        <f t="shared" si="101"/>
        <v>0</v>
      </c>
      <c r="BE20" s="457"/>
      <c r="BF20" s="455">
        <f t="shared" si="38"/>
        <v>0</v>
      </c>
      <c r="BG20" s="455">
        <f t="shared" si="39"/>
        <v>0</v>
      </c>
      <c r="BH20" s="455">
        <f t="shared" si="40"/>
        <v>0</v>
      </c>
      <c r="BI20" s="455">
        <f t="shared" si="41"/>
        <v>0</v>
      </c>
      <c r="BJ20" s="455">
        <f t="shared" si="42"/>
        <v>0</v>
      </c>
      <c r="BK20" s="455">
        <f t="shared" si="43"/>
        <v>0</v>
      </c>
      <c r="BL20" s="455">
        <f t="shared" si="44"/>
        <v>0</v>
      </c>
      <c r="BM20" s="455">
        <f t="shared" si="45"/>
        <v>0</v>
      </c>
      <c r="BN20" s="455">
        <f t="shared" si="46"/>
        <v>0</v>
      </c>
      <c r="BO20" s="455">
        <f t="shared" si="47"/>
        <v>0</v>
      </c>
      <c r="BP20" s="456">
        <f t="shared" si="102"/>
        <v>0</v>
      </c>
      <c r="BQ20" s="458"/>
      <c r="BR20" s="459">
        <f t="shared" si="48"/>
        <v>0</v>
      </c>
      <c r="BS20" s="459">
        <f t="shared" si="49"/>
        <v>0</v>
      </c>
      <c r="BT20" s="459">
        <f t="shared" si="50"/>
        <v>0</v>
      </c>
      <c r="BU20" s="459">
        <f t="shared" si="51"/>
        <v>0</v>
      </c>
      <c r="BV20" s="459">
        <f t="shared" si="52"/>
        <v>0</v>
      </c>
      <c r="BW20" s="459">
        <f t="shared" si="53"/>
        <v>0</v>
      </c>
      <c r="BX20" s="459">
        <f t="shared" si="54"/>
        <v>0</v>
      </c>
      <c r="BY20" s="459">
        <f t="shared" si="55"/>
        <v>0</v>
      </c>
      <c r="BZ20" s="459">
        <f t="shared" si="56"/>
        <v>0</v>
      </c>
      <c r="CA20" s="459">
        <f t="shared" si="57"/>
        <v>0</v>
      </c>
      <c r="CB20" s="460">
        <f t="shared" si="103"/>
        <v>0</v>
      </c>
      <c r="CC20" s="461"/>
      <c r="CD20" s="462">
        <f t="shared" si="58"/>
        <v>0</v>
      </c>
      <c r="CE20" s="462">
        <f t="shared" si="59"/>
        <v>0</v>
      </c>
      <c r="CF20" s="462">
        <f t="shared" si="60"/>
        <v>0</v>
      </c>
      <c r="CG20" s="462">
        <f t="shared" si="61"/>
        <v>0</v>
      </c>
      <c r="CH20" s="462">
        <f t="shared" si="62"/>
        <v>0</v>
      </c>
      <c r="CI20" s="462">
        <f t="shared" si="63"/>
        <v>0</v>
      </c>
      <c r="CJ20" s="462">
        <f t="shared" si="64"/>
        <v>0</v>
      </c>
      <c r="CK20" s="462">
        <f t="shared" si="65"/>
        <v>0</v>
      </c>
      <c r="CL20" s="462">
        <f t="shared" si="66"/>
        <v>0</v>
      </c>
      <c r="CM20" s="462">
        <f t="shared" si="67"/>
        <v>0</v>
      </c>
      <c r="CN20" s="460">
        <f t="shared" si="104"/>
        <v>0</v>
      </c>
      <c r="CO20" s="461"/>
      <c r="CP20" s="459">
        <f t="shared" si="68"/>
        <v>0</v>
      </c>
      <c r="CQ20" s="459">
        <f t="shared" si="69"/>
        <v>0</v>
      </c>
      <c r="CR20" s="459">
        <f t="shared" si="70"/>
        <v>0</v>
      </c>
      <c r="CS20" s="459">
        <f t="shared" si="71"/>
        <v>0</v>
      </c>
      <c r="CT20" s="459">
        <f t="shared" si="72"/>
        <v>0</v>
      </c>
      <c r="CU20" s="459">
        <f t="shared" si="73"/>
        <v>0</v>
      </c>
      <c r="CV20" s="459">
        <f t="shared" si="74"/>
        <v>0</v>
      </c>
      <c r="CW20" s="459">
        <f t="shared" si="75"/>
        <v>0</v>
      </c>
      <c r="CX20" s="459">
        <f t="shared" si="76"/>
        <v>0</v>
      </c>
      <c r="CY20" s="459">
        <f t="shared" si="77"/>
        <v>0</v>
      </c>
      <c r="CZ20" s="460">
        <f t="shared" si="105"/>
        <v>0</v>
      </c>
      <c r="DA20" s="463"/>
      <c r="DB20" s="459">
        <f t="shared" si="78"/>
        <v>0</v>
      </c>
      <c r="DC20" s="459">
        <f t="shared" si="79"/>
        <v>0</v>
      </c>
      <c r="DD20" s="459">
        <f t="shared" si="80"/>
        <v>0</v>
      </c>
      <c r="DE20" s="459">
        <f t="shared" si="81"/>
        <v>0</v>
      </c>
      <c r="DF20" s="459">
        <f t="shared" si="82"/>
        <v>0</v>
      </c>
      <c r="DG20" s="459">
        <f t="shared" si="83"/>
        <v>0</v>
      </c>
      <c r="DH20" s="459">
        <f t="shared" si="84"/>
        <v>0</v>
      </c>
      <c r="DI20" s="459">
        <f t="shared" si="85"/>
        <v>0</v>
      </c>
      <c r="DJ20" s="459">
        <f t="shared" si="86"/>
        <v>0</v>
      </c>
      <c r="DK20" s="459">
        <f t="shared" si="87"/>
        <v>0</v>
      </c>
      <c r="DL20" s="460">
        <f t="shared" si="106"/>
        <v>0</v>
      </c>
      <c r="DM20" s="463"/>
      <c r="DN20" s="442">
        <f>IF('2. START'!$C$14&gt;0,(AT20/(1+$AA20))*(1+'2. START'!$C$14),AT20)</f>
        <v>0</v>
      </c>
      <c r="DO20" s="442">
        <f>IF('2. START'!$C$14&gt;0,(AU20/(1+$AA20))*(1+'2. START'!$C$14),AU20)</f>
        <v>0</v>
      </c>
      <c r="DP20" s="442">
        <f>IF('2. START'!$C$14&gt;0,(AV20/(1+$AA20))*(1+'2. START'!$C$14),AV20)</f>
        <v>0</v>
      </c>
      <c r="DQ20" s="442">
        <f>IF('2. START'!$C$14&gt;0,(AW20/(1+$AA20))*(1+'2. START'!$C$14),AW20)</f>
        <v>0</v>
      </c>
      <c r="DR20" s="442">
        <f>IF('2. START'!$C$14&gt;0,(AX20/(1+$AA20))*(1+'2. START'!$C$14),AX20)</f>
        <v>0</v>
      </c>
      <c r="DS20" s="442">
        <f>IF('2. START'!$C$14&gt;0,(AY20/(1+$AA20))*(1+'2. START'!$C$14),AY20)</f>
        <v>0</v>
      </c>
      <c r="DT20" s="442">
        <f>IF('2. START'!$C$14&gt;0,(AZ20/(1+$AA20))*(1+'2. START'!$C$14),AZ20)</f>
        <v>0</v>
      </c>
      <c r="DU20" s="442">
        <f>IF('2. START'!$C$14&gt;0,(BA20/(1+$AA20))*(1+'2. START'!$C$14),BA20)</f>
        <v>0</v>
      </c>
      <c r="DV20" s="442">
        <f>IF('2. START'!$C$14&gt;0,(BB20/(1+$AA20))*(1+'2. START'!$C$14),BB20)</f>
        <v>0</v>
      </c>
      <c r="DW20" s="442">
        <f>IF('2. START'!$C$14&gt;0,(BC20/(1+$AA20))*(1+'2. START'!$C$14),BC20)</f>
        <v>0</v>
      </c>
      <c r="DX20" s="460">
        <f t="shared" si="107"/>
        <v>0</v>
      </c>
      <c r="DY20" s="463"/>
      <c r="DZ20" s="459">
        <f>IF('2. START'!$C$11="NO",(IF('2. START'!$C$14&gt;0,(DN20*$AD20),(AT20*$AD20))),(BR20+CP20))</f>
        <v>0</v>
      </c>
      <c r="EA20" s="459">
        <f>IF('2. START'!$C$11="NO",(IF('2. START'!$C$14&gt;0,(DO20*$AD20),(AU20*$AD20))),(BS20+CQ20))</f>
        <v>0</v>
      </c>
      <c r="EB20" s="459">
        <f>IF('2. START'!$C$11="NO",(IF('2. START'!$C$14&gt;0,(DP20*$AD20),(AV20*$AD20))),(BT20+CR20))</f>
        <v>0</v>
      </c>
      <c r="EC20" s="459">
        <f>IF('2. START'!$C$11="NO",(IF('2. START'!$C$14&gt;0,(DQ20*$AD20),(AW20*$AD20))),(BU20+CS20))</f>
        <v>0</v>
      </c>
      <c r="ED20" s="459">
        <f>IF('2. START'!$C$11="NO",(IF('2. START'!$C$14&gt;0,(DR20*$AD20),(AX20*$AD20))),(BV20+CT20))</f>
        <v>0</v>
      </c>
      <c r="EE20" s="459">
        <f>IF('2. START'!$C$11="NO",(IF('2. START'!$C$14&gt;0,(DS20*$AD20),(AY20*$AD20))),(BW20+CU20))</f>
        <v>0</v>
      </c>
      <c r="EF20" s="459">
        <f>IF('2. START'!$C$11="NO",(IF('2. START'!$C$14&gt;0,(DT20*$AD20),(AZ20*$AD20))),(BX20+CV20))</f>
        <v>0</v>
      </c>
      <c r="EG20" s="459">
        <f>IF('2. START'!$C$11="NO",(IF('2. START'!$C$14&gt;0,(DU20*$AD20),(BA20*$AD20))),(BY20+CW20))</f>
        <v>0</v>
      </c>
      <c r="EH20" s="459">
        <f>IF('2. START'!$C$11="NO",(IF('2. START'!$C$14&gt;0,(DV20*$AD20),(BB20*$AD20))),(BZ20+CX20))</f>
        <v>0</v>
      </c>
      <c r="EI20" s="459">
        <f>IF('2. START'!$C$11="NO",(IF('2. START'!$C$14&gt;0,(DW20*$AD20),(BC20*$AD20))),(CA20+CY20))</f>
        <v>0</v>
      </c>
      <c r="EJ20" s="460">
        <f t="shared" si="108"/>
        <v>0</v>
      </c>
      <c r="EK20" s="463"/>
      <c r="EL20" s="459">
        <f>(BR20+CP20-DZ20)+IF('2. START'!$C$14&gt;0,AT20-DN20,0)</f>
        <v>0</v>
      </c>
      <c r="EM20" s="459">
        <f>(BS20+CQ20-EA20)+IF('2. START'!$C$14&gt;0,AU20-DO20,0)</f>
        <v>0</v>
      </c>
      <c r="EN20" s="459">
        <f>(BT20+CR20-EB20)+IF('2. START'!$C$14&gt;0,AV20-DP20,0)</f>
        <v>0</v>
      </c>
      <c r="EO20" s="459">
        <f>(BU20+CS20-EC20)+IF('2. START'!$C$14&gt;0,AW20-DQ20,0)</f>
        <v>0</v>
      </c>
      <c r="EP20" s="459">
        <f>(BV20+CT20-ED20)+IF('2. START'!$C$14&gt;0,AX20-DR20,0)</f>
        <v>0</v>
      </c>
      <c r="EQ20" s="459">
        <f>(BW20+CU20-EE20)+IF('2. START'!$C$14&gt;0,AY20-DS20,0)</f>
        <v>0</v>
      </c>
      <c r="ER20" s="459">
        <f>(BX20+CV20-EF20)+IF('2. START'!$C$14&gt;0,AZ20-DT20,0)</f>
        <v>0</v>
      </c>
      <c r="ES20" s="459">
        <f>(BY20+CW20-EG20)+IF('2. START'!$C$14&gt;0,BA20-DU20,0)</f>
        <v>0</v>
      </c>
      <c r="ET20" s="459">
        <f>(BZ20+CX20-EH20)+IF('2. START'!$C$14&gt;0,BB20-DV20,0)</f>
        <v>0</v>
      </c>
      <c r="EU20" s="459">
        <f>(CA20+CY20-EI20)+IF('2. START'!$C$14&gt;0,BC20-DW20,0)</f>
        <v>0</v>
      </c>
      <c r="EV20" s="460">
        <f t="shared" si="109"/>
        <v>0</v>
      </c>
      <c r="EW20" s="463"/>
      <c r="EX20" s="459">
        <f t="shared" si="110"/>
        <v>0</v>
      </c>
      <c r="EY20" s="459">
        <f t="shared" si="111"/>
        <v>0</v>
      </c>
      <c r="EZ20" s="459">
        <f t="shared" si="112"/>
        <v>0</v>
      </c>
      <c r="FA20" s="459">
        <f t="shared" si="113"/>
        <v>0</v>
      </c>
      <c r="FB20" s="459">
        <f t="shared" si="114"/>
        <v>0</v>
      </c>
      <c r="FC20" s="459">
        <f t="shared" si="115"/>
        <v>0</v>
      </c>
      <c r="FD20" s="459">
        <f t="shared" si="116"/>
        <v>0</v>
      </c>
      <c r="FE20" s="459">
        <f t="shared" si="117"/>
        <v>0</v>
      </c>
      <c r="FF20" s="459">
        <f t="shared" si="118"/>
        <v>0</v>
      </c>
      <c r="FG20" s="459">
        <f t="shared" si="119"/>
        <v>0</v>
      </c>
      <c r="FH20" s="460">
        <f t="shared" si="120"/>
        <v>0</v>
      </c>
      <c r="FI20" s="463"/>
      <c r="FJ20" s="459">
        <f t="shared" si="121"/>
        <v>0</v>
      </c>
      <c r="FK20" s="459">
        <f t="shared" si="122"/>
        <v>0</v>
      </c>
      <c r="FL20" s="459">
        <f t="shared" si="123"/>
        <v>0</v>
      </c>
      <c r="FM20" s="459">
        <f t="shared" si="124"/>
        <v>0</v>
      </c>
      <c r="FN20" s="459">
        <f t="shared" si="125"/>
        <v>0</v>
      </c>
      <c r="FO20" s="459">
        <f t="shared" si="126"/>
        <v>0</v>
      </c>
      <c r="FP20" s="459">
        <f t="shared" si="127"/>
        <v>0</v>
      </c>
      <c r="FQ20" s="459">
        <f t="shared" si="128"/>
        <v>0</v>
      </c>
      <c r="FR20" s="459">
        <f t="shared" si="129"/>
        <v>0</v>
      </c>
      <c r="FS20" s="459">
        <f t="shared" si="130"/>
        <v>0</v>
      </c>
      <c r="FT20" s="460">
        <f t="shared" si="131"/>
        <v>0</v>
      </c>
    </row>
    <row r="21" spans="2:176" s="270" customFormat="1" ht="15" customHeight="1" x14ac:dyDescent="0.25">
      <c r="B21" s="464" t="str">
        <f>'2. START'!C$7</f>
        <v>100GEM</v>
      </c>
      <c r="C21" s="465"/>
      <c r="D21" s="590"/>
      <c r="E21" s="514">
        <v>0</v>
      </c>
      <c r="F21" s="467"/>
      <c r="G21" s="432"/>
      <c r="H21" s="432"/>
      <c r="I21" s="432"/>
      <c r="J21" s="432"/>
      <c r="K21" s="432"/>
      <c r="L21" s="432"/>
      <c r="M21" s="432"/>
      <c r="N21" s="432"/>
      <c r="O21" s="432"/>
      <c r="P21" s="432"/>
      <c r="Q21" s="545">
        <f>SUMIF('3. PARTNER'!$B$13:$B$80,$B21,'3. PARTNER'!$F$13:$F$80)</f>
        <v>0.02</v>
      </c>
      <c r="R21" s="466">
        <f t="shared" si="17"/>
        <v>0.02</v>
      </c>
      <c r="S21" s="466">
        <f t="shared" si="17"/>
        <v>0.02</v>
      </c>
      <c r="T21" s="466">
        <f t="shared" si="17"/>
        <v>0.02</v>
      </c>
      <c r="U21" s="466">
        <f t="shared" si="17"/>
        <v>0.02</v>
      </c>
      <c r="V21" s="466">
        <f t="shared" si="17"/>
        <v>0.02</v>
      </c>
      <c r="W21" s="466">
        <f t="shared" si="17"/>
        <v>0.02</v>
      </c>
      <c r="X21" s="466">
        <f t="shared" si="17"/>
        <v>0.02</v>
      </c>
      <c r="Y21" s="466">
        <f t="shared" si="17"/>
        <v>0.02</v>
      </c>
      <c r="Z21" s="466">
        <f t="shared" si="17"/>
        <v>0.02</v>
      </c>
      <c r="AA21" s="434">
        <f>SUMIF('3. PARTNER'!B$13:B$80,B21,'3. PARTNER'!E$13:E$80)</f>
        <v>0.5595</v>
      </c>
      <c r="AB21" s="435">
        <f>IF('2. START'!$C$20="UTB",(SUMIF('3. PARTNER'!B$13:B$80,B21,'3. PARTNER'!K$13:K$80))+(SUMIF('3. PARTNER'!B$13:B$80,B21,'3. PARTNER'!M$13:M$80)),(SUMIF('3. PARTNER'!B$13:B$80,B21,'3. PARTNER'!G$13:G$80))+(SUMIF('3. PARTNER'!B$13:B$80,B21,'3. PARTNER'!I$13:I$80)))</f>
        <v>0.16000843770704321</v>
      </c>
      <c r="AC21" s="435">
        <f>IF('2. START'!$C$20="UTB",(SUMIF('3. PARTNER'!B$13:B$80,B21,'3. PARTNER'!L$13:L$80))+(SUMIF('3. PARTNER'!B$13:B$80,B21,'3. PARTNER'!N$13:N$80)),(SUMIF('3. PARTNER'!B$13:B$80,B21,'3. PARTNER'!H$13:H$80))+(SUMIF('3. PARTNER'!B$13:B$80,B21,'3. PARTNER'!J$13:J$80)))</f>
        <v>0</v>
      </c>
      <c r="AD21" s="435">
        <f>IF('2. START'!C$11="NO",'2. START'!C$12,0)</f>
        <v>0</v>
      </c>
      <c r="AE21" s="436">
        <f t="shared" si="98"/>
        <v>0</v>
      </c>
      <c r="AF21" s="436">
        <f t="shared" si="99"/>
        <v>0</v>
      </c>
      <c r="AG21" s="437"/>
      <c r="AH21" s="438">
        <f t="shared" si="18"/>
        <v>0</v>
      </c>
      <c r="AI21" s="438">
        <f t="shared" si="19"/>
        <v>0</v>
      </c>
      <c r="AJ21" s="438">
        <f t="shared" si="20"/>
        <v>0</v>
      </c>
      <c r="AK21" s="438">
        <f t="shared" si="21"/>
        <v>0</v>
      </c>
      <c r="AL21" s="438">
        <f t="shared" si="22"/>
        <v>0</v>
      </c>
      <c r="AM21" s="438">
        <f t="shared" si="23"/>
        <v>0</v>
      </c>
      <c r="AN21" s="438">
        <f t="shared" si="24"/>
        <v>0</v>
      </c>
      <c r="AO21" s="438">
        <f t="shared" si="25"/>
        <v>0</v>
      </c>
      <c r="AP21" s="438">
        <f t="shared" si="26"/>
        <v>0</v>
      </c>
      <c r="AQ21" s="438">
        <f t="shared" si="27"/>
        <v>0</v>
      </c>
      <c r="AR21" s="439">
        <f t="shared" si="100"/>
        <v>0</v>
      </c>
      <c r="AS21" s="440"/>
      <c r="AT21" s="438">
        <f t="shared" si="28"/>
        <v>0</v>
      </c>
      <c r="AU21" s="438">
        <f t="shared" si="29"/>
        <v>0</v>
      </c>
      <c r="AV21" s="438">
        <f t="shared" si="30"/>
        <v>0</v>
      </c>
      <c r="AW21" s="438">
        <f t="shared" si="31"/>
        <v>0</v>
      </c>
      <c r="AX21" s="438">
        <f t="shared" si="32"/>
        <v>0</v>
      </c>
      <c r="AY21" s="438">
        <f t="shared" si="33"/>
        <v>0</v>
      </c>
      <c r="AZ21" s="438">
        <f t="shared" si="34"/>
        <v>0</v>
      </c>
      <c r="BA21" s="438">
        <f t="shared" si="35"/>
        <v>0</v>
      </c>
      <c r="BB21" s="438">
        <f t="shared" si="36"/>
        <v>0</v>
      </c>
      <c r="BC21" s="438">
        <f t="shared" si="37"/>
        <v>0</v>
      </c>
      <c r="BD21" s="439">
        <f t="shared" si="101"/>
        <v>0</v>
      </c>
      <c r="BE21" s="440"/>
      <c r="BF21" s="438">
        <f t="shared" si="38"/>
        <v>0</v>
      </c>
      <c r="BG21" s="438">
        <f t="shared" si="39"/>
        <v>0</v>
      </c>
      <c r="BH21" s="438">
        <f t="shared" si="40"/>
        <v>0</v>
      </c>
      <c r="BI21" s="438">
        <f t="shared" si="41"/>
        <v>0</v>
      </c>
      <c r="BJ21" s="438">
        <f t="shared" si="42"/>
        <v>0</v>
      </c>
      <c r="BK21" s="438">
        <f t="shared" si="43"/>
        <v>0</v>
      </c>
      <c r="BL21" s="438">
        <f t="shared" si="44"/>
        <v>0</v>
      </c>
      <c r="BM21" s="438">
        <f t="shared" si="45"/>
        <v>0</v>
      </c>
      <c r="BN21" s="438">
        <f t="shared" si="46"/>
        <v>0</v>
      </c>
      <c r="BO21" s="438">
        <f t="shared" si="47"/>
        <v>0</v>
      </c>
      <c r="BP21" s="439">
        <f t="shared" si="102"/>
        <v>0</v>
      </c>
      <c r="BQ21" s="441"/>
      <c r="BR21" s="442">
        <f t="shared" si="48"/>
        <v>0</v>
      </c>
      <c r="BS21" s="442">
        <f t="shared" si="49"/>
        <v>0</v>
      </c>
      <c r="BT21" s="442">
        <f t="shared" si="50"/>
        <v>0</v>
      </c>
      <c r="BU21" s="442">
        <f t="shared" si="51"/>
        <v>0</v>
      </c>
      <c r="BV21" s="442">
        <f t="shared" si="52"/>
        <v>0</v>
      </c>
      <c r="BW21" s="442">
        <f t="shared" si="53"/>
        <v>0</v>
      </c>
      <c r="BX21" s="442">
        <f t="shared" si="54"/>
        <v>0</v>
      </c>
      <c r="BY21" s="442">
        <f t="shared" si="55"/>
        <v>0</v>
      </c>
      <c r="BZ21" s="442">
        <f t="shared" si="56"/>
        <v>0</v>
      </c>
      <c r="CA21" s="442">
        <f t="shared" si="57"/>
        <v>0</v>
      </c>
      <c r="CB21" s="443">
        <f t="shared" si="103"/>
        <v>0</v>
      </c>
      <c r="CC21" s="444"/>
      <c r="CD21" s="445">
        <f t="shared" si="58"/>
        <v>0</v>
      </c>
      <c r="CE21" s="445">
        <f t="shared" si="59"/>
        <v>0</v>
      </c>
      <c r="CF21" s="445">
        <f t="shared" si="60"/>
        <v>0</v>
      </c>
      <c r="CG21" s="445">
        <f t="shared" si="61"/>
        <v>0</v>
      </c>
      <c r="CH21" s="445">
        <f t="shared" si="62"/>
        <v>0</v>
      </c>
      <c r="CI21" s="445">
        <f t="shared" si="63"/>
        <v>0</v>
      </c>
      <c r="CJ21" s="445">
        <f t="shared" si="64"/>
        <v>0</v>
      </c>
      <c r="CK21" s="445">
        <f t="shared" si="65"/>
        <v>0</v>
      </c>
      <c r="CL21" s="445">
        <f t="shared" si="66"/>
        <v>0</v>
      </c>
      <c r="CM21" s="445">
        <f t="shared" si="67"/>
        <v>0</v>
      </c>
      <c r="CN21" s="443">
        <f t="shared" si="104"/>
        <v>0</v>
      </c>
      <c r="CO21" s="444"/>
      <c r="CP21" s="442">
        <f t="shared" si="68"/>
        <v>0</v>
      </c>
      <c r="CQ21" s="442">
        <f t="shared" si="69"/>
        <v>0</v>
      </c>
      <c r="CR21" s="442">
        <f t="shared" si="70"/>
        <v>0</v>
      </c>
      <c r="CS21" s="442">
        <f t="shared" si="71"/>
        <v>0</v>
      </c>
      <c r="CT21" s="442">
        <f t="shared" si="72"/>
        <v>0</v>
      </c>
      <c r="CU21" s="442">
        <f t="shared" si="73"/>
        <v>0</v>
      </c>
      <c r="CV21" s="442">
        <f t="shared" si="74"/>
        <v>0</v>
      </c>
      <c r="CW21" s="442">
        <f t="shared" si="75"/>
        <v>0</v>
      </c>
      <c r="CX21" s="442">
        <f t="shared" si="76"/>
        <v>0</v>
      </c>
      <c r="CY21" s="442">
        <f t="shared" si="77"/>
        <v>0</v>
      </c>
      <c r="CZ21" s="443">
        <f t="shared" si="105"/>
        <v>0</v>
      </c>
      <c r="DB21" s="442">
        <f t="shared" si="78"/>
        <v>0</v>
      </c>
      <c r="DC21" s="442">
        <f t="shared" si="79"/>
        <v>0</v>
      </c>
      <c r="DD21" s="442">
        <f t="shared" si="80"/>
        <v>0</v>
      </c>
      <c r="DE21" s="442">
        <f t="shared" si="81"/>
        <v>0</v>
      </c>
      <c r="DF21" s="442">
        <f t="shared" si="82"/>
        <v>0</v>
      </c>
      <c r="DG21" s="442">
        <f t="shared" si="83"/>
        <v>0</v>
      </c>
      <c r="DH21" s="442">
        <f t="shared" si="84"/>
        <v>0</v>
      </c>
      <c r="DI21" s="442">
        <f t="shared" si="85"/>
        <v>0</v>
      </c>
      <c r="DJ21" s="442">
        <f t="shared" si="86"/>
        <v>0</v>
      </c>
      <c r="DK21" s="442">
        <f t="shared" si="87"/>
        <v>0</v>
      </c>
      <c r="DL21" s="443">
        <f t="shared" si="106"/>
        <v>0</v>
      </c>
      <c r="DN21" s="442">
        <f>IF('2. START'!$C$14&gt;0,(AT21/(1+$AA21))*(1+'2. START'!$C$14),AT21)</f>
        <v>0</v>
      </c>
      <c r="DO21" s="442">
        <f>IF('2. START'!$C$14&gt;0,(AU21/(1+$AA21))*(1+'2. START'!$C$14),AU21)</f>
        <v>0</v>
      </c>
      <c r="DP21" s="442">
        <f>IF('2. START'!$C$14&gt;0,(AV21/(1+$AA21))*(1+'2. START'!$C$14),AV21)</f>
        <v>0</v>
      </c>
      <c r="DQ21" s="442">
        <f>IF('2. START'!$C$14&gt;0,(AW21/(1+$AA21))*(1+'2. START'!$C$14),AW21)</f>
        <v>0</v>
      </c>
      <c r="DR21" s="442">
        <f>IF('2. START'!$C$14&gt;0,(AX21/(1+$AA21))*(1+'2. START'!$C$14),AX21)</f>
        <v>0</v>
      </c>
      <c r="DS21" s="442">
        <f>IF('2. START'!$C$14&gt;0,(AY21/(1+$AA21))*(1+'2. START'!$C$14),AY21)</f>
        <v>0</v>
      </c>
      <c r="DT21" s="442">
        <f>IF('2. START'!$C$14&gt;0,(AZ21/(1+$AA21))*(1+'2. START'!$C$14),AZ21)</f>
        <v>0</v>
      </c>
      <c r="DU21" s="442">
        <f>IF('2. START'!$C$14&gt;0,(BA21/(1+$AA21))*(1+'2. START'!$C$14),BA21)</f>
        <v>0</v>
      </c>
      <c r="DV21" s="442">
        <f>IF('2. START'!$C$14&gt;0,(BB21/(1+$AA21))*(1+'2. START'!$C$14),BB21)</f>
        <v>0</v>
      </c>
      <c r="DW21" s="442">
        <f>IF('2. START'!$C$14&gt;0,(BC21/(1+$AA21))*(1+'2. START'!$C$14),BC21)</f>
        <v>0</v>
      </c>
      <c r="DX21" s="443">
        <f t="shared" si="107"/>
        <v>0</v>
      </c>
      <c r="DZ21" s="442">
        <f>IF('2. START'!$C$11="NO",(IF('2. START'!$C$14&gt;0,(DN21*$AD21),(AT21*$AD21))),(BR21+CP21))</f>
        <v>0</v>
      </c>
      <c r="EA21" s="442">
        <f>IF('2. START'!$C$11="NO",(IF('2. START'!$C$14&gt;0,(DO21*$AD21),(AU21*$AD21))),(BS21+CQ21))</f>
        <v>0</v>
      </c>
      <c r="EB21" s="442">
        <f>IF('2. START'!$C$11="NO",(IF('2. START'!$C$14&gt;0,(DP21*$AD21),(AV21*$AD21))),(BT21+CR21))</f>
        <v>0</v>
      </c>
      <c r="EC21" s="442">
        <f>IF('2. START'!$C$11="NO",(IF('2. START'!$C$14&gt;0,(DQ21*$AD21),(AW21*$AD21))),(BU21+CS21))</f>
        <v>0</v>
      </c>
      <c r="ED21" s="442">
        <f>IF('2. START'!$C$11="NO",(IF('2. START'!$C$14&gt;0,(DR21*$AD21),(AX21*$AD21))),(BV21+CT21))</f>
        <v>0</v>
      </c>
      <c r="EE21" s="442">
        <f>IF('2. START'!$C$11="NO",(IF('2. START'!$C$14&gt;0,(DS21*$AD21),(AY21*$AD21))),(BW21+CU21))</f>
        <v>0</v>
      </c>
      <c r="EF21" s="442">
        <f>IF('2. START'!$C$11="NO",(IF('2. START'!$C$14&gt;0,(DT21*$AD21),(AZ21*$AD21))),(BX21+CV21))</f>
        <v>0</v>
      </c>
      <c r="EG21" s="442">
        <f>IF('2. START'!$C$11="NO",(IF('2. START'!$C$14&gt;0,(DU21*$AD21),(BA21*$AD21))),(BY21+CW21))</f>
        <v>0</v>
      </c>
      <c r="EH21" s="442">
        <f>IF('2. START'!$C$11="NO",(IF('2. START'!$C$14&gt;0,(DV21*$AD21),(BB21*$AD21))),(BZ21+CX21))</f>
        <v>0</v>
      </c>
      <c r="EI21" s="442">
        <f>IF('2. START'!$C$11="NO",(IF('2. START'!$C$14&gt;0,(DW21*$AD21),(BC21*$AD21))),(CA21+CY21))</f>
        <v>0</v>
      </c>
      <c r="EJ21" s="443">
        <f t="shared" si="108"/>
        <v>0</v>
      </c>
      <c r="EL21" s="442">
        <f>(BR21+CP21-DZ21)+IF('2. START'!$C$14&gt;0,AT21-DN21,0)</f>
        <v>0</v>
      </c>
      <c r="EM21" s="442">
        <f>(BS21+CQ21-EA21)+IF('2. START'!$C$14&gt;0,AU21-DO21,0)</f>
        <v>0</v>
      </c>
      <c r="EN21" s="442">
        <f>(BT21+CR21-EB21)+IF('2. START'!$C$14&gt;0,AV21-DP21,0)</f>
        <v>0</v>
      </c>
      <c r="EO21" s="442">
        <f>(BU21+CS21-EC21)+IF('2. START'!$C$14&gt;0,AW21-DQ21,0)</f>
        <v>0</v>
      </c>
      <c r="EP21" s="442">
        <f>(BV21+CT21-ED21)+IF('2. START'!$C$14&gt;0,AX21-DR21,0)</f>
        <v>0</v>
      </c>
      <c r="EQ21" s="442">
        <f>(BW21+CU21-EE21)+IF('2. START'!$C$14&gt;0,AY21-DS21,0)</f>
        <v>0</v>
      </c>
      <c r="ER21" s="442">
        <f>(BX21+CV21-EF21)+IF('2. START'!$C$14&gt;0,AZ21-DT21,0)</f>
        <v>0</v>
      </c>
      <c r="ES21" s="442">
        <f>(BY21+CW21-EG21)+IF('2. START'!$C$14&gt;0,BA21-DU21,0)</f>
        <v>0</v>
      </c>
      <c r="ET21" s="442">
        <f>(BZ21+CX21-EH21)+IF('2. START'!$C$14&gt;0,BB21-DV21,0)</f>
        <v>0</v>
      </c>
      <c r="EU21" s="442">
        <f>(CA21+CY21-EI21)+IF('2. START'!$C$14&gt;0,BC21-DW21,0)</f>
        <v>0</v>
      </c>
      <c r="EV21" s="443">
        <f t="shared" si="109"/>
        <v>0</v>
      </c>
      <c r="EX21" s="442">
        <f t="shared" si="110"/>
        <v>0</v>
      </c>
      <c r="EY21" s="442">
        <f t="shared" si="111"/>
        <v>0</v>
      </c>
      <c r="EZ21" s="442">
        <f t="shared" si="112"/>
        <v>0</v>
      </c>
      <c r="FA21" s="442">
        <f t="shared" si="113"/>
        <v>0</v>
      </c>
      <c r="FB21" s="442">
        <f t="shared" si="114"/>
        <v>0</v>
      </c>
      <c r="FC21" s="442">
        <f t="shared" si="115"/>
        <v>0</v>
      </c>
      <c r="FD21" s="442">
        <f t="shared" si="116"/>
        <v>0</v>
      </c>
      <c r="FE21" s="442">
        <f t="shared" si="117"/>
        <v>0</v>
      </c>
      <c r="FF21" s="442">
        <f t="shared" si="118"/>
        <v>0</v>
      </c>
      <c r="FG21" s="442">
        <f t="shared" si="119"/>
        <v>0</v>
      </c>
      <c r="FH21" s="443">
        <f t="shared" si="120"/>
        <v>0</v>
      </c>
      <c r="FJ21" s="442">
        <f t="shared" si="121"/>
        <v>0</v>
      </c>
      <c r="FK21" s="442">
        <f t="shared" si="122"/>
        <v>0</v>
      </c>
      <c r="FL21" s="442">
        <f t="shared" si="123"/>
        <v>0</v>
      </c>
      <c r="FM21" s="442">
        <f t="shared" si="124"/>
        <v>0</v>
      </c>
      <c r="FN21" s="442">
        <f t="shared" si="125"/>
        <v>0</v>
      </c>
      <c r="FO21" s="442">
        <f t="shared" si="126"/>
        <v>0</v>
      </c>
      <c r="FP21" s="442">
        <f t="shared" si="127"/>
        <v>0</v>
      </c>
      <c r="FQ21" s="442">
        <f t="shared" si="128"/>
        <v>0</v>
      </c>
      <c r="FR21" s="442">
        <f t="shared" si="129"/>
        <v>0</v>
      </c>
      <c r="FS21" s="442">
        <f t="shared" si="130"/>
        <v>0</v>
      </c>
      <c r="FT21" s="443">
        <f t="shared" si="131"/>
        <v>0</v>
      </c>
    </row>
    <row r="22" spans="2:176" s="270" customFormat="1" ht="15" customHeight="1" x14ac:dyDescent="0.25">
      <c r="B22" s="446" t="str">
        <f>'2. START'!C$7</f>
        <v>100GEM</v>
      </c>
      <c r="C22" s="447"/>
      <c r="D22" s="589"/>
      <c r="E22" s="544">
        <v>0</v>
      </c>
      <c r="F22" s="448"/>
      <c r="G22" s="449"/>
      <c r="H22" s="449"/>
      <c r="I22" s="449"/>
      <c r="J22" s="449"/>
      <c r="K22" s="449"/>
      <c r="L22" s="449"/>
      <c r="M22" s="449"/>
      <c r="N22" s="449"/>
      <c r="O22" s="449"/>
      <c r="P22" s="449"/>
      <c r="Q22" s="546">
        <f>SUMIF('3. PARTNER'!$B$13:$B$80,$B22,'3. PARTNER'!$F$13:$F$80)</f>
        <v>0.02</v>
      </c>
      <c r="R22" s="450">
        <f t="shared" si="17"/>
        <v>0.02</v>
      </c>
      <c r="S22" s="450">
        <f t="shared" si="17"/>
        <v>0.02</v>
      </c>
      <c r="T22" s="450">
        <f t="shared" si="17"/>
        <v>0.02</v>
      </c>
      <c r="U22" s="450">
        <f t="shared" si="17"/>
        <v>0.02</v>
      </c>
      <c r="V22" s="450">
        <f t="shared" si="17"/>
        <v>0.02</v>
      </c>
      <c r="W22" s="450">
        <f t="shared" si="17"/>
        <v>0.02</v>
      </c>
      <c r="X22" s="450">
        <f t="shared" si="17"/>
        <v>0.02</v>
      </c>
      <c r="Y22" s="450">
        <f t="shared" si="17"/>
        <v>0.02</v>
      </c>
      <c r="Z22" s="450">
        <f t="shared" si="17"/>
        <v>0.02</v>
      </c>
      <c r="AA22" s="451">
        <f>SUMIF('3. PARTNER'!B$13:B$80,B22,'3. PARTNER'!E$13:E$80)</f>
        <v>0.5595</v>
      </c>
      <c r="AB22" s="452">
        <f>IF('2. START'!$C$20="UTB",(SUMIF('3. PARTNER'!B$13:B$80,B22,'3. PARTNER'!K$13:K$80))+(SUMIF('3. PARTNER'!B$13:B$80,B22,'3. PARTNER'!M$13:M$80)),(SUMIF('3. PARTNER'!B$13:B$80,B22,'3. PARTNER'!G$13:G$80))+(SUMIF('3. PARTNER'!B$13:B$80,B22,'3. PARTNER'!I$13:I$80)))</f>
        <v>0.16000843770704321</v>
      </c>
      <c r="AC22" s="452">
        <f>IF('2. START'!$C$20="UTB",(SUMIF('3. PARTNER'!B$13:B$80,B22,'3. PARTNER'!L$13:L$80))+(SUMIF('3. PARTNER'!B$13:B$80,B22,'3. PARTNER'!N$13:N$80)),(SUMIF('3. PARTNER'!B$13:B$80,B22,'3. PARTNER'!H$13:H$80))+(SUMIF('3. PARTNER'!B$13:B$80,B22,'3. PARTNER'!J$13:J$80)))</f>
        <v>0</v>
      </c>
      <c r="AD22" s="452">
        <f>IF('2. START'!C$11="NO",'2. START'!C$12,0)</f>
        <v>0</v>
      </c>
      <c r="AE22" s="453">
        <f t="shared" si="98"/>
        <v>0</v>
      </c>
      <c r="AF22" s="453">
        <f t="shared" si="99"/>
        <v>0</v>
      </c>
      <c r="AG22" s="454"/>
      <c r="AH22" s="455">
        <f t="shared" si="18"/>
        <v>0</v>
      </c>
      <c r="AI22" s="455">
        <f t="shared" si="19"/>
        <v>0</v>
      </c>
      <c r="AJ22" s="455">
        <f t="shared" si="20"/>
        <v>0</v>
      </c>
      <c r="AK22" s="455">
        <f t="shared" si="21"/>
        <v>0</v>
      </c>
      <c r="AL22" s="455">
        <f t="shared" si="22"/>
        <v>0</v>
      </c>
      <c r="AM22" s="455">
        <f t="shared" si="23"/>
        <v>0</v>
      </c>
      <c r="AN22" s="455">
        <f t="shared" si="24"/>
        <v>0</v>
      </c>
      <c r="AO22" s="455">
        <f t="shared" si="25"/>
        <v>0</v>
      </c>
      <c r="AP22" s="455">
        <f t="shared" si="26"/>
        <v>0</v>
      </c>
      <c r="AQ22" s="455">
        <f t="shared" si="27"/>
        <v>0</v>
      </c>
      <c r="AR22" s="456">
        <f t="shared" si="100"/>
        <v>0</v>
      </c>
      <c r="AS22" s="457"/>
      <c r="AT22" s="455">
        <f t="shared" si="28"/>
        <v>0</v>
      </c>
      <c r="AU22" s="455">
        <f t="shared" si="29"/>
        <v>0</v>
      </c>
      <c r="AV22" s="455">
        <f t="shared" si="30"/>
        <v>0</v>
      </c>
      <c r="AW22" s="455">
        <f t="shared" si="31"/>
        <v>0</v>
      </c>
      <c r="AX22" s="455">
        <f t="shared" si="32"/>
        <v>0</v>
      </c>
      <c r="AY22" s="455">
        <f t="shared" si="33"/>
        <v>0</v>
      </c>
      <c r="AZ22" s="455">
        <f t="shared" si="34"/>
        <v>0</v>
      </c>
      <c r="BA22" s="455">
        <f t="shared" si="35"/>
        <v>0</v>
      </c>
      <c r="BB22" s="455">
        <f t="shared" si="36"/>
        <v>0</v>
      </c>
      <c r="BC22" s="455">
        <f t="shared" si="37"/>
        <v>0</v>
      </c>
      <c r="BD22" s="456">
        <f t="shared" si="101"/>
        <v>0</v>
      </c>
      <c r="BE22" s="457"/>
      <c r="BF22" s="455">
        <f t="shared" si="38"/>
        <v>0</v>
      </c>
      <c r="BG22" s="455">
        <f t="shared" si="39"/>
        <v>0</v>
      </c>
      <c r="BH22" s="455">
        <f t="shared" si="40"/>
        <v>0</v>
      </c>
      <c r="BI22" s="455">
        <f t="shared" si="41"/>
        <v>0</v>
      </c>
      <c r="BJ22" s="455">
        <f t="shared" si="42"/>
        <v>0</v>
      </c>
      <c r="BK22" s="455">
        <f t="shared" si="43"/>
        <v>0</v>
      </c>
      <c r="BL22" s="455">
        <f t="shared" si="44"/>
        <v>0</v>
      </c>
      <c r="BM22" s="455">
        <f t="shared" si="45"/>
        <v>0</v>
      </c>
      <c r="BN22" s="455">
        <f t="shared" si="46"/>
        <v>0</v>
      </c>
      <c r="BO22" s="455">
        <f t="shared" si="47"/>
        <v>0</v>
      </c>
      <c r="BP22" s="456">
        <f t="shared" si="102"/>
        <v>0</v>
      </c>
      <c r="BQ22" s="458"/>
      <c r="BR22" s="459">
        <f t="shared" si="48"/>
        <v>0</v>
      </c>
      <c r="BS22" s="459">
        <f t="shared" si="49"/>
        <v>0</v>
      </c>
      <c r="BT22" s="459">
        <f t="shared" si="50"/>
        <v>0</v>
      </c>
      <c r="BU22" s="459">
        <f t="shared" si="51"/>
        <v>0</v>
      </c>
      <c r="BV22" s="459">
        <f t="shared" si="52"/>
        <v>0</v>
      </c>
      <c r="BW22" s="459">
        <f t="shared" si="53"/>
        <v>0</v>
      </c>
      <c r="BX22" s="459">
        <f t="shared" si="54"/>
        <v>0</v>
      </c>
      <c r="BY22" s="459">
        <f t="shared" si="55"/>
        <v>0</v>
      </c>
      <c r="BZ22" s="459">
        <f t="shared" si="56"/>
        <v>0</v>
      </c>
      <c r="CA22" s="459">
        <f t="shared" si="57"/>
        <v>0</v>
      </c>
      <c r="CB22" s="460">
        <f t="shared" si="103"/>
        <v>0</v>
      </c>
      <c r="CC22" s="461"/>
      <c r="CD22" s="462">
        <f t="shared" si="58"/>
        <v>0</v>
      </c>
      <c r="CE22" s="462">
        <f t="shared" si="59"/>
        <v>0</v>
      </c>
      <c r="CF22" s="462">
        <f t="shared" si="60"/>
        <v>0</v>
      </c>
      <c r="CG22" s="462">
        <f t="shared" si="61"/>
        <v>0</v>
      </c>
      <c r="CH22" s="462">
        <f t="shared" si="62"/>
        <v>0</v>
      </c>
      <c r="CI22" s="462">
        <f t="shared" si="63"/>
        <v>0</v>
      </c>
      <c r="CJ22" s="462">
        <f t="shared" si="64"/>
        <v>0</v>
      </c>
      <c r="CK22" s="462">
        <f t="shared" si="65"/>
        <v>0</v>
      </c>
      <c r="CL22" s="462">
        <f t="shared" si="66"/>
        <v>0</v>
      </c>
      <c r="CM22" s="462">
        <f t="shared" si="67"/>
        <v>0</v>
      </c>
      <c r="CN22" s="460">
        <f t="shared" si="104"/>
        <v>0</v>
      </c>
      <c r="CO22" s="461"/>
      <c r="CP22" s="459">
        <f t="shared" si="68"/>
        <v>0</v>
      </c>
      <c r="CQ22" s="459">
        <f t="shared" si="69"/>
        <v>0</v>
      </c>
      <c r="CR22" s="459">
        <f t="shared" si="70"/>
        <v>0</v>
      </c>
      <c r="CS22" s="459">
        <f t="shared" si="71"/>
        <v>0</v>
      </c>
      <c r="CT22" s="459">
        <f t="shared" si="72"/>
        <v>0</v>
      </c>
      <c r="CU22" s="459">
        <f t="shared" si="73"/>
        <v>0</v>
      </c>
      <c r="CV22" s="459">
        <f t="shared" si="74"/>
        <v>0</v>
      </c>
      <c r="CW22" s="459">
        <f t="shared" si="75"/>
        <v>0</v>
      </c>
      <c r="CX22" s="459">
        <f t="shared" si="76"/>
        <v>0</v>
      </c>
      <c r="CY22" s="459">
        <f t="shared" si="77"/>
        <v>0</v>
      </c>
      <c r="CZ22" s="460">
        <f t="shared" si="105"/>
        <v>0</v>
      </c>
      <c r="DA22" s="463"/>
      <c r="DB22" s="459">
        <f t="shared" si="78"/>
        <v>0</v>
      </c>
      <c r="DC22" s="459">
        <f t="shared" si="79"/>
        <v>0</v>
      </c>
      <c r="DD22" s="459">
        <f t="shared" si="80"/>
        <v>0</v>
      </c>
      <c r="DE22" s="459">
        <f t="shared" si="81"/>
        <v>0</v>
      </c>
      <c r="DF22" s="459">
        <f t="shared" si="82"/>
        <v>0</v>
      </c>
      <c r="DG22" s="459">
        <f t="shared" si="83"/>
        <v>0</v>
      </c>
      <c r="DH22" s="459">
        <f t="shared" si="84"/>
        <v>0</v>
      </c>
      <c r="DI22" s="459">
        <f t="shared" si="85"/>
        <v>0</v>
      </c>
      <c r="DJ22" s="459">
        <f t="shared" si="86"/>
        <v>0</v>
      </c>
      <c r="DK22" s="459">
        <f t="shared" si="87"/>
        <v>0</v>
      </c>
      <c r="DL22" s="460">
        <f t="shared" si="106"/>
        <v>0</v>
      </c>
      <c r="DM22" s="463"/>
      <c r="DN22" s="442">
        <f>IF('2. START'!$C$14&gt;0,(AT22/(1+$AA22))*(1+'2. START'!$C$14),AT22)</f>
        <v>0</v>
      </c>
      <c r="DO22" s="442">
        <f>IF('2. START'!$C$14&gt;0,(AU22/(1+$AA22))*(1+'2. START'!$C$14),AU22)</f>
        <v>0</v>
      </c>
      <c r="DP22" s="442">
        <f>IF('2. START'!$C$14&gt;0,(AV22/(1+$AA22))*(1+'2. START'!$C$14),AV22)</f>
        <v>0</v>
      </c>
      <c r="DQ22" s="442">
        <f>IF('2. START'!$C$14&gt;0,(AW22/(1+$AA22))*(1+'2. START'!$C$14),AW22)</f>
        <v>0</v>
      </c>
      <c r="DR22" s="442">
        <f>IF('2. START'!$C$14&gt;0,(AX22/(1+$AA22))*(1+'2. START'!$C$14),AX22)</f>
        <v>0</v>
      </c>
      <c r="DS22" s="442">
        <f>IF('2. START'!$C$14&gt;0,(AY22/(1+$AA22))*(1+'2. START'!$C$14),AY22)</f>
        <v>0</v>
      </c>
      <c r="DT22" s="442">
        <f>IF('2. START'!$C$14&gt;0,(AZ22/(1+$AA22))*(1+'2. START'!$C$14),AZ22)</f>
        <v>0</v>
      </c>
      <c r="DU22" s="442">
        <f>IF('2. START'!$C$14&gt;0,(BA22/(1+$AA22))*(1+'2. START'!$C$14),BA22)</f>
        <v>0</v>
      </c>
      <c r="DV22" s="442">
        <f>IF('2. START'!$C$14&gt;0,(BB22/(1+$AA22))*(1+'2. START'!$C$14),BB22)</f>
        <v>0</v>
      </c>
      <c r="DW22" s="442">
        <f>IF('2. START'!$C$14&gt;0,(BC22/(1+$AA22))*(1+'2. START'!$C$14),BC22)</f>
        <v>0</v>
      </c>
      <c r="DX22" s="460">
        <f t="shared" si="107"/>
        <v>0</v>
      </c>
      <c r="DY22" s="463"/>
      <c r="DZ22" s="459">
        <f>IF('2. START'!$C$11="NO",(IF('2. START'!$C$14&gt;0,(DN22*$AD22),(AT22*$AD22))),(BR22+CP22))</f>
        <v>0</v>
      </c>
      <c r="EA22" s="459">
        <f>IF('2. START'!$C$11="NO",(IF('2. START'!$C$14&gt;0,(DO22*$AD22),(AU22*$AD22))),(BS22+CQ22))</f>
        <v>0</v>
      </c>
      <c r="EB22" s="459">
        <f>IF('2. START'!$C$11="NO",(IF('2. START'!$C$14&gt;0,(DP22*$AD22),(AV22*$AD22))),(BT22+CR22))</f>
        <v>0</v>
      </c>
      <c r="EC22" s="459">
        <f>IF('2. START'!$C$11="NO",(IF('2. START'!$C$14&gt;0,(DQ22*$AD22),(AW22*$AD22))),(BU22+CS22))</f>
        <v>0</v>
      </c>
      <c r="ED22" s="459">
        <f>IF('2. START'!$C$11="NO",(IF('2. START'!$C$14&gt;0,(DR22*$AD22),(AX22*$AD22))),(BV22+CT22))</f>
        <v>0</v>
      </c>
      <c r="EE22" s="459">
        <f>IF('2. START'!$C$11="NO",(IF('2. START'!$C$14&gt;0,(DS22*$AD22),(AY22*$AD22))),(BW22+CU22))</f>
        <v>0</v>
      </c>
      <c r="EF22" s="459">
        <f>IF('2. START'!$C$11="NO",(IF('2. START'!$C$14&gt;0,(DT22*$AD22),(AZ22*$AD22))),(BX22+CV22))</f>
        <v>0</v>
      </c>
      <c r="EG22" s="459">
        <f>IF('2. START'!$C$11="NO",(IF('2. START'!$C$14&gt;0,(DU22*$AD22),(BA22*$AD22))),(BY22+CW22))</f>
        <v>0</v>
      </c>
      <c r="EH22" s="459">
        <f>IF('2. START'!$C$11="NO",(IF('2. START'!$C$14&gt;0,(DV22*$AD22),(BB22*$AD22))),(BZ22+CX22))</f>
        <v>0</v>
      </c>
      <c r="EI22" s="459">
        <f>IF('2. START'!$C$11="NO",(IF('2. START'!$C$14&gt;0,(DW22*$AD22),(BC22*$AD22))),(CA22+CY22))</f>
        <v>0</v>
      </c>
      <c r="EJ22" s="460">
        <f t="shared" si="108"/>
        <v>0</v>
      </c>
      <c r="EK22" s="463"/>
      <c r="EL22" s="459">
        <f>(BR22+CP22-DZ22)+IF('2. START'!$C$14&gt;0,AT22-DN22,0)</f>
        <v>0</v>
      </c>
      <c r="EM22" s="459">
        <f>(BS22+CQ22-EA22)+IF('2. START'!$C$14&gt;0,AU22-DO22,0)</f>
        <v>0</v>
      </c>
      <c r="EN22" s="459">
        <f>(BT22+CR22-EB22)+IF('2. START'!$C$14&gt;0,AV22-DP22,0)</f>
        <v>0</v>
      </c>
      <c r="EO22" s="459">
        <f>(BU22+CS22-EC22)+IF('2. START'!$C$14&gt;0,AW22-DQ22,0)</f>
        <v>0</v>
      </c>
      <c r="EP22" s="459">
        <f>(BV22+CT22-ED22)+IF('2. START'!$C$14&gt;0,AX22-DR22,0)</f>
        <v>0</v>
      </c>
      <c r="EQ22" s="459">
        <f>(BW22+CU22-EE22)+IF('2. START'!$C$14&gt;0,AY22-DS22,0)</f>
        <v>0</v>
      </c>
      <c r="ER22" s="459">
        <f>(BX22+CV22-EF22)+IF('2. START'!$C$14&gt;0,AZ22-DT22,0)</f>
        <v>0</v>
      </c>
      <c r="ES22" s="459">
        <f>(BY22+CW22-EG22)+IF('2. START'!$C$14&gt;0,BA22-DU22,0)</f>
        <v>0</v>
      </c>
      <c r="ET22" s="459">
        <f>(BZ22+CX22-EH22)+IF('2. START'!$C$14&gt;0,BB22-DV22,0)</f>
        <v>0</v>
      </c>
      <c r="EU22" s="459">
        <f>(CA22+CY22-EI22)+IF('2. START'!$C$14&gt;0,BC22-DW22,0)</f>
        <v>0</v>
      </c>
      <c r="EV22" s="460">
        <f t="shared" si="109"/>
        <v>0</v>
      </c>
      <c r="EW22" s="463"/>
      <c r="EX22" s="459">
        <f t="shared" si="110"/>
        <v>0</v>
      </c>
      <c r="EY22" s="459">
        <f t="shared" si="111"/>
        <v>0</v>
      </c>
      <c r="EZ22" s="459">
        <f t="shared" si="112"/>
        <v>0</v>
      </c>
      <c r="FA22" s="459">
        <f t="shared" si="113"/>
        <v>0</v>
      </c>
      <c r="FB22" s="459">
        <f t="shared" si="114"/>
        <v>0</v>
      </c>
      <c r="FC22" s="459">
        <f t="shared" si="115"/>
        <v>0</v>
      </c>
      <c r="FD22" s="459">
        <f t="shared" si="116"/>
        <v>0</v>
      </c>
      <c r="FE22" s="459">
        <f t="shared" si="117"/>
        <v>0</v>
      </c>
      <c r="FF22" s="459">
        <f t="shared" si="118"/>
        <v>0</v>
      </c>
      <c r="FG22" s="459">
        <f t="shared" si="119"/>
        <v>0</v>
      </c>
      <c r="FH22" s="460">
        <f t="shared" si="120"/>
        <v>0</v>
      </c>
      <c r="FI22" s="463"/>
      <c r="FJ22" s="459">
        <f t="shared" si="121"/>
        <v>0</v>
      </c>
      <c r="FK22" s="459">
        <f t="shared" si="122"/>
        <v>0</v>
      </c>
      <c r="FL22" s="459">
        <f t="shared" si="123"/>
        <v>0</v>
      </c>
      <c r="FM22" s="459">
        <f t="shared" si="124"/>
        <v>0</v>
      </c>
      <c r="FN22" s="459">
        <f t="shared" si="125"/>
        <v>0</v>
      </c>
      <c r="FO22" s="459">
        <f t="shared" si="126"/>
        <v>0</v>
      </c>
      <c r="FP22" s="459">
        <f t="shared" si="127"/>
        <v>0</v>
      </c>
      <c r="FQ22" s="459">
        <f t="shared" si="128"/>
        <v>0</v>
      </c>
      <c r="FR22" s="459">
        <f t="shared" si="129"/>
        <v>0</v>
      </c>
      <c r="FS22" s="459">
        <f t="shared" si="130"/>
        <v>0</v>
      </c>
      <c r="FT22" s="460">
        <f t="shared" si="131"/>
        <v>0</v>
      </c>
    </row>
    <row r="23" spans="2:176" s="270" customFormat="1" ht="15" customHeight="1" x14ac:dyDescent="0.25">
      <c r="B23" s="464" t="str">
        <f>'2. START'!C$7</f>
        <v>100GEM</v>
      </c>
      <c r="C23" s="465"/>
      <c r="D23" s="590"/>
      <c r="E23" s="514">
        <v>0</v>
      </c>
      <c r="F23" s="467"/>
      <c r="G23" s="432"/>
      <c r="H23" s="432"/>
      <c r="I23" s="432"/>
      <c r="J23" s="432"/>
      <c r="K23" s="432"/>
      <c r="L23" s="432"/>
      <c r="M23" s="432"/>
      <c r="N23" s="432"/>
      <c r="O23" s="432"/>
      <c r="P23" s="432"/>
      <c r="Q23" s="545">
        <f>SUMIF('3. PARTNER'!$B$13:$B$80,$B23,'3. PARTNER'!$F$13:$F$80)</f>
        <v>0.02</v>
      </c>
      <c r="R23" s="466">
        <f t="shared" si="17"/>
        <v>0.02</v>
      </c>
      <c r="S23" s="466">
        <f t="shared" si="17"/>
        <v>0.02</v>
      </c>
      <c r="T23" s="466">
        <f t="shared" si="17"/>
        <v>0.02</v>
      </c>
      <c r="U23" s="466">
        <f t="shared" si="17"/>
        <v>0.02</v>
      </c>
      <c r="V23" s="466">
        <f t="shared" si="17"/>
        <v>0.02</v>
      </c>
      <c r="W23" s="466">
        <f t="shared" si="17"/>
        <v>0.02</v>
      </c>
      <c r="X23" s="466">
        <f t="shared" si="17"/>
        <v>0.02</v>
      </c>
      <c r="Y23" s="466">
        <f t="shared" si="17"/>
        <v>0.02</v>
      </c>
      <c r="Z23" s="466">
        <f t="shared" si="17"/>
        <v>0.02</v>
      </c>
      <c r="AA23" s="434">
        <f>SUMIF('3. PARTNER'!B$13:B$80,B23,'3. PARTNER'!E$13:E$80)</f>
        <v>0.5595</v>
      </c>
      <c r="AB23" s="435">
        <f>IF('2. START'!$C$20="UTB",(SUMIF('3. PARTNER'!B$13:B$80,B23,'3. PARTNER'!K$13:K$80))+(SUMIF('3. PARTNER'!B$13:B$80,B23,'3. PARTNER'!M$13:M$80)),(SUMIF('3. PARTNER'!B$13:B$80,B23,'3. PARTNER'!G$13:G$80))+(SUMIF('3. PARTNER'!B$13:B$80,B23,'3. PARTNER'!I$13:I$80)))</f>
        <v>0.16000843770704321</v>
      </c>
      <c r="AC23" s="435">
        <f>IF('2. START'!$C$20="UTB",(SUMIF('3. PARTNER'!B$13:B$80,B23,'3. PARTNER'!L$13:L$80))+(SUMIF('3. PARTNER'!B$13:B$80,B23,'3. PARTNER'!N$13:N$80)),(SUMIF('3. PARTNER'!B$13:B$80,B23,'3. PARTNER'!H$13:H$80))+(SUMIF('3. PARTNER'!B$13:B$80,B23,'3. PARTNER'!J$13:J$80)))</f>
        <v>0</v>
      </c>
      <c r="AD23" s="435">
        <f>IF('2. START'!C$11="NO",'2. START'!C$12,0)</f>
        <v>0</v>
      </c>
      <c r="AE23" s="436">
        <f t="shared" si="98"/>
        <v>0</v>
      </c>
      <c r="AF23" s="436">
        <f t="shared" si="99"/>
        <v>0</v>
      </c>
      <c r="AG23" s="437"/>
      <c r="AH23" s="438">
        <f t="shared" si="18"/>
        <v>0</v>
      </c>
      <c r="AI23" s="438">
        <f t="shared" si="19"/>
        <v>0</v>
      </c>
      <c r="AJ23" s="438">
        <f t="shared" si="20"/>
        <v>0</v>
      </c>
      <c r="AK23" s="438">
        <f t="shared" si="21"/>
        <v>0</v>
      </c>
      <c r="AL23" s="438">
        <f t="shared" si="22"/>
        <v>0</v>
      </c>
      <c r="AM23" s="438">
        <f t="shared" si="23"/>
        <v>0</v>
      </c>
      <c r="AN23" s="438">
        <f t="shared" si="24"/>
        <v>0</v>
      </c>
      <c r="AO23" s="438">
        <f t="shared" si="25"/>
        <v>0</v>
      </c>
      <c r="AP23" s="438">
        <f t="shared" si="26"/>
        <v>0</v>
      </c>
      <c r="AQ23" s="438">
        <f t="shared" si="27"/>
        <v>0</v>
      </c>
      <c r="AR23" s="439">
        <f t="shared" si="100"/>
        <v>0</v>
      </c>
      <c r="AS23" s="440"/>
      <c r="AT23" s="438">
        <f t="shared" si="28"/>
        <v>0</v>
      </c>
      <c r="AU23" s="438">
        <f t="shared" si="29"/>
        <v>0</v>
      </c>
      <c r="AV23" s="438">
        <f t="shared" si="30"/>
        <v>0</v>
      </c>
      <c r="AW23" s="438">
        <f t="shared" si="31"/>
        <v>0</v>
      </c>
      <c r="AX23" s="438">
        <f t="shared" si="32"/>
        <v>0</v>
      </c>
      <c r="AY23" s="438">
        <f t="shared" si="33"/>
        <v>0</v>
      </c>
      <c r="AZ23" s="438">
        <f t="shared" si="34"/>
        <v>0</v>
      </c>
      <c r="BA23" s="438">
        <f t="shared" si="35"/>
        <v>0</v>
      </c>
      <c r="BB23" s="438">
        <f t="shared" si="36"/>
        <v>0</v>
      </c>
      <c r="BC23" s="438">
        <f t="shared" si="37"/>
        <v>0</v>
      </c>
      <c r="BD23" s="439">
        <f t="shared" si="101"/>
        <v>0</v>
      </c>
      <c r="BE23" s="440"/>
      <c r="BF23" s="438">
        <f t="shared" si="38"/>
        <v>0</v>
      </c>
      <c r="BG23" s="438">
        <f t="shared" si="39"/>
        <v>0</v>
      </c>
      <c r="BH23" s="438">
        <f t="shared" si="40"/>
        <v>0</v>
      </c>
      <c r="BI23" s="438">
        <f t="shared" si="41"/>
        <v>0</v>
      </c>
      <c r="BJ23" s="438">
        <f t="shared" si="42"/>
        <v>0</v>
      </c>
      <c r="BK23" s="438">
        <f t="shared" si="43"/>
        <v>0</v>
      </c>
      <c r="BL23" s="438">
        <f t="shared" si="44"/>
        <v>0</v>
      </c>
      <c r="BM23" s="438">
        <f t="shared" si="45"/>
        <v>0</v>
      </c>
      <c r="BN23" s="438">
        <f t="shared" si="46"/>
        <v>0</v>
      </c>
      <c r="BO23" s="438">
        <f t="shared" si="47"/>
        <v>0</v>
      </c>
      <c r="BP23" s="439">
        <f t="shared" si="102"/>
        <v>0</v>
      </c>
      <c r="BQ23" s="441"/>
      <c r="BR23" s="442">
        <f t="shared" si="48"/>
        <v>0</v>
      </c>
      <c r="BS23" s="442">
        <f t="shared" si="49"/>
        <v>0</v>
      </c>
      <c r="BT23" s="442">
        <f t="shared" si="50"/>
        <v>0</v>
      </c>
      <c r="BU23" s="442">
        <f t="shared" si="51"/>
        <v>0</v>
      </c>
      <c r="BV23" s="442">
        <f t="shared" si="52"/>
        <v>0</v>
      </c>
      <c r="BW23" s="442">
        <f t="shared" si="53"/>
        <v>0</v>
      </c>
      <c r="BX23" s="442">
        <f t="shared" si="54"/>
        <v>0</v>
      </c>
      <c r="BY23" s="442">
        <f t="shared" si="55"/>
        <v>0</v>
      </c>
      <c r="BZ23" s="442">
        <f t="shared" si="56"/>
        <v>0</v>
      </c>
      <c r="CA23" s="442">
        <f t="shared" si="57"/>
        <v>0</v>
      </c>
      <c r="CB23" s="443">
        <f t="shared" si="103"/>
        <v>0</v>
      </c>
      <c r="CC23" s="444"/>
      <c r="CD23" s="445">
        <f t="shared" si="58"/>
        <v>0</v>
      </c>
      <c r="CE23" s="445">
        <f t="shared" si="59"/>
        <v>0</v>
      </c>
      <c r="CF23" s="445">
        <f t="shared" si="60"/>
        <v>0</v>
      </c>
      <c r="CG23" s="445">
        <f t="shared" si="61"/>
        <v>0</v>
      </c>
      <c r="CH23" s="445">
        <f t="shared" si="62"/>
        <v>0</v>
      </c>
      <c r="CI23" s="445">
        <f t="shared" si="63"/>
        <v>0</v>
      </c>
      <c r="CJ23" s="445">
        <f t="shared" si="64"/>
        <v>0</v>
      </c>
      <c r="CK23" s="445">
        <f t="shared" si="65"/>
        <v>0</v>
      </c>
      <c r="CL23" s="445">
        <f t="shared" si="66"/>
        <v>0</v>
      </c>
      <c r="CM23" s="445">
        <f t="shared" si="67"/>
        <v>0</v>
      </c>
      <c r="CN23" s="443">
        <f t="shared" si="104"/>
        <v>0</v>
      </c>
      <c r="CO23" s="444"/>
      <c r="CP23" s="442">
        <f t="shared" si="68"/>
        <v>0</v>
      </c>
      <c r="CQ23" s="442">
        <f t="shared" si="69"/>
        <v>0</v>
      </c>
      <c r="CR23" s="442">
        <f t="shared" si="70"/>
        <v>0</v>
      </c>
      <c r="CS23" s="442">
        <f t="shared" si="71"/>
        <v>0</v>
      </c>
      <c r="CT23" s="442">
        <f t="shared" si="72"/>
        <v>0</v>
      </c>
      <c r="CU23" s="442">
        <f t="shared" si="73"/>
        <v>0</v>
      </c>
      <c r="CV23" s="442">
        <f t="shared" si="74"/>
        <v>0</v>
      </c>
      <c r="CW23" s="442">
        <f t="shared" si="75"/>
        <v>0</v>
      </c>
      <c r="CX23" s="442">
        <f t="shared" si="76"/>
        <v>0</v>
      </c>
      <c r="CY23" s="442">
        <f t="shared" si="77"/>
        <v>0</v>
      </c>
      <c r="CZ23" s="443">
        <f t="shared" si="105"/>
        <v>0</v>
      </c>
      <c r="DB23" s="442">
        <f t="shared" si="78"/>
        <v>0</v>
      </c>
      <c r="DC23" s="442">
        <f t="shared" si="79"/>
        <v>0</v>
      </c>
      <c r="DD23" s="442">
        <f t="shared" si="80"/>
        <v>0</v>
      </c>
      <c r="DE23" s="442">
        <f t="shared" si="81"/>
        <v>0</v>
      </c>
      <c r="DF23" s="442">
        <f t="shared" si="82"/>
        <v>0</v>
      </c>
      <c r="DG23" s="442">
        <f t="shared" si="83"/>
        <v>0</v>
      </c>
      <c r="DH23" s="442">
        <f t="shared" si="84"/>
        <v>0</v>
      </c>
      <c r="DI23" s="442">
        <f t="shared" si="85"/>
        <v>0</v>
      </c>
      <c r="DJ23" s="442">
        <f t="shared" si="86"/>
        <v>0</v>
      </c>
      <c r="DK23" s="442">
        <f t="shared" si="87"/>
        <v>0</v>
      </c>
      <c r="DL23" s="443">
        <f t="shared" si="106"/>
        <v>0</v>
      </c>
      <c r="DN23" s="442">
        <f>IF('2. START'!$C$14&gt;0,(AT23/(1+$AA23))*(1+'2. START'!$C$14),AT23)</f>
        <v>0</v>
      </c>
      <c r="DO23" s="442">
        <f>IF('2. START'!$C$14&gt;0,(AU23/(1+$AA23))*(1+'2. START'!$C$14),AU23)</f>
        <v>0</v>
      </c>
      <c r="DP23" s="442">
        <f>IF('2. START'!$C$14&gt;0,(AV23/(1+$AA23))*(1+'2. START'!$C$14),AV23)</f>
        <v>0</v>
      </c>
      <c r="DQ23" s="442">
        <f>IF('2. START'!$C$14&gt;0,(AW23/(1+$AA23))*(1+'2. START'!$C$14),AW23)</f>
        <v>0</v>
      </c>
      <c r="DR23" s="442">
        <f>IF('2. START'!$C$14&gt;0,(AX23/(1+$AA23))*(1+'2. START'!$C$14),AX23)</f>
        <v>0</v>
      </c>
      <c r="DS23" s="442">
        <f>IF('2. START'!$C$14&gt;0,(AY23/(1+$AA23))*(1+'2. START'!$C$14),AY23)</f>
        <v>0</v>
      </c>
      <c r="DT23" s="442">
        <f>IF('2. START'!$C$14&gt;0,(AZ23/(1+$AA23))*(1+'2. START'!$C$14),AZ23)</f>
        <v>0</v>
      </c>
      <c r="DU23" s="442">
        <f>IF('2. START'!$C$14&gt;0,(BA23/(1+$AA23))*(1+'2. START'!$C$14),BA23)</f>
        <v>0</v>
      </c>
      <c r="DV23" s="442">
        <f>IF('2. START'!$C$14&gt;0,(BB23/(1+$AA23))*(1+'2. START'!$C$14),BB23)</f>
        <v>0</v>
      </c>
      <c r="DW23" s="442">
        <f>IF('2. START'!$C$14&gt;0,(BC23/(1+$AA23))*(1+'2. START'!$C$14),BC23)</f>
        <v>0</v>
      </c>
      <c r="DX23" s="443">
        <f t="shared" si="107"/>
        <v>0</v>
      </c>
      <c r="DZ23" s="442">
        <f>IF('2. START'!$C$11="NO",(IF('2. START'!$C$14&gt;0,(DN23*$AD23),(AT23*$AD23))),(BR23+CP23))</f>
        <v>0</v>
      </c>
      <c r="EA23" s="442">
        <f>IF('2. START'!$C$11="NO",(IF('2. START'!$C$14&gt;0,(DO23*$AD23),(AU23*$AD23))),(BS23+CQ23))</f>
        <v>0</v>
      </c>
      <c r="EB23" s="442">
        <f>IF('2. START'!$C$11="NO",(IF('2. START'!$C$14&gt;0,(DP23*$AD23),(AV23*$AD23))),(BT23+CR23))</f>
        <v>0</v>
      </c>
      <c r="EC23" s="442">
        <f>IF('2. START'!$C$11="NO",(IF('2. START'!$C$14&gt;0,(DQ23*$AD23),(AW23*$AD23))),(BU23+CS23))</f>
        <v>0</v>
      </c>
      <c r="ED23" s="442">
        <f>IF('2. START'!$C$11="NO",(IF('2. START'!$C$14&gt;0,(DR23*$AD23),(AX23*$AD23))),(BV23+CT23))</f>
        <v>0</v>
      </c>
      <c r="EE23" s="442">
        <f>IF('2. START'!$C$11="NO",(IF('2. START'!$C$14&gt;0,(DS23*$AD23),(AY23*$AD23))),(BW23+CU23))</f>
        <v>0</v>
      </c>
      <c r="EF23" s="442">
        <f>IF('2. START'!$C$11="NO",(IF('2. START'!$C$14&gt;0,(DT23*$AD23),(AZ23*$AD23))),(BX23+CV23))</f>
        <v>0</v>
      </c>
      <c r="EG23" s="442">
        <f>IF('2. START'!$C$11="NO",(IF('2. START'!$C$14&gt;0,(DU23*$AD23),(BA23*$AD23))),(BY23+CW23))</f>
        <v>0</v>
      </c>
      <c r="EH23" s="442">
        <f>IF('2. START'!$C$11="NO",(IF('2. START'!$C$14&gt;0,(DV23*$AD23),(BB23*$AD23))),(BZ23+CX23))</f>
        <v>0</v>
      </c>
      <c r="EI23" s="442">
        <f>IF('2. START'!$C$11="NO",(IF('2. START'!$C$14&gt;0,(DW23*$AD23),(BC23*$AD23))),(CA23+CY23))</f>
        <v>0</v>
      </c>
      <c r="EJ23" s="443">
        <f t="shared" si="108"/>
        <v>0</v>
      </c>
      <c r="EL23" s="442">
        <f>(BR23+CP23-DZ23)+IF('2. START'!$C$14&gt;0,AT23-DN23,0)</f>
        <v>0</v>
      </c>
      <c r="EM23" s="442">
        <f>(BS23+CQ23-EA23)+IF('2. START'!$C$14&gt;0,AU23-DO23,0)</f>
        <v>0</v>
      </c>
      <c r="EN23" s="442">
        <f>(BT23+CR23-EB23)+IF('2. START'!$C$14&gt;0,AV23-DP23,0)</f>
        <v>0</v>
      </c>
      <c r="EO23" s="442">
        <f>(BU23+CS23-EC23)+IF('2. START'!$C$14&gt;0,AW23-DQ23,0)</f>
        <v>0</v>
      </c>
      <c r="EP23" s="442">
        <f>(BV23+CT23-ED23)+IF('2. START'!$C$14&gt;0,AX23-DR23,0)</f>
        <v>0</v>
      </c>
      <c r="EQ23" s="442">
        <f>(BW23+CU23-EE23)+IF('2. START'!$C$14&gt;0,AY23-DS23,0)</f>
        <v>0</v>
      </c>
      <c r="ER23" s="442">
        <f>(BX23+CV23-EF23)+IF('2. START'!$C$14&gt;0,AZ23-DT23,0)</f>
        <v>0</v>
      </c>
      <c r="ES23" s="442">
        <f>(BY23+CW23-EG23)+IF('2. START'!$C$14&gt;0,BA23-DU23,0)</f>
        <v>0</v>
      </c>
      <c r="ET23" s="442">
        <f>(BZ23+CX23-EH23)+IF('2. START'!$C$14&gt;0,BB23-DV23,0)</f>
        <v>0</v>
      </c>
      <c r="EU23" s="442">
        <f>(CA23+CY23-EI23)+IF('2. START'!$C$14&gt;0,BC23-DW23,0)</f>
        <v>0</v>
      </c>
      <c r="EV23" s="443">
        <f t="shared" si="109"/>
        <v>0</v>
      </c>
      <c r="EX23" s="442">
        <f t="shared" si="110"/>
        <v>0</v>
      </c>
      <c r="EY23" s="442">
        <f t="shared" si="111"/>
        <v>0</v>
      </c>
      <c r="EZ23" s="442">
        <f t="shared" si="112"/>
        <v>0</v>
      </c>
      <c r="FA23" s="442">
        <f t="shared" si="113"/>
        <v>0</v>
      </c>
      <c r="FB23" s="442">
        <f t="shared" si="114"/>
        <v>0</v>
      </c>
      <c r="FC23" s="442">
        <f t="shared" si="115"/>
        <v>0</v>
      </c>
      <c r="FD23" s="442">
        <f t="shared" si="116"/>
        <v>0</v>
      </c>
      <c r="FE23" s="442">
        <f t="shared" si="117"/>
        <v>0</v>
      </c>
      <c r="FF23" s="442">
        <f t="shared" si="118"/>
        <v>0</v>
      </c>
      <c r="FG23" s="442">
        <f t="shared" si="119"/>
        <v>0</v>
      </c>
      <c r="FH23" s="443">
        <f t="shared" si="120"/>
        <v>0</v>
      </c>
      <c r="FJ23" s="442">
        <f t="shared" si="121"/>
        <v>0</v>
      </c>
      <c r="FK23" s="442">
        <f t="shared" si="122"/>
        <v>0</v>
      </c>
      <c r="FL23" s="442">
        <f t="shared" si="123"/>
        <v>0</v>
      </c>
      <c r="FM23" s="442">
        <f t="shared" si="124"/>
        <v>0</v>
      </c>
      <c r="FN23" s="442">
        <f t="shared" si="125"/>
        <v>0</v>
      </c>
      <c r="FO23" s="442">
        <f t="shared" si="126"/>
        <v>0</v>
      </c>
      <c r="FP23" s="442">
        <f t="shared" si="127"/>
        <v>0</v>
      </c>
      <c r="FQ23" s="442">
        <f t="shared" si="128"/>
        <v>0</v>
      </c>
      <c r="FR23" s="442">
        <f t="shared" si="129"/>
        <v>0</v>
      </c>
      <c r="FS23" s="442">
        <f t="shared" si="130"/>
        <v>0</v>
      </c>
      <c r="FT23" s="443">
        <f t="shared" si="131"/>
        <v>0</v>
      </c>
    </row>
    <row r="24" spans="2:176" s="270" customFormat="1" ht="15" customHeight="1" x14ac:dyDescent="0.25">
      <c r="B24" s="446" t="str">
        <f>'2. START'!C$7</f>
        <v>100GEM</v>
      </c>
      <c r="C24" s="447"/>
      <c r="D24" s="589"/>
      <c r="E24" s="544">
        <v>0</v>
      </c>
      <c r="F24" s="448"/>
      <c r="G24" s="449"/>
      <c r="H24" s="449"/>
      <c r="I24" s="449"/>
      <c r="J24" s="449"/>
      <c r="K24" s="449"/>
      <c r="L24" s="449"/>
      <c r="M24" s="449"/>
      <c r="N24" s="449"/>
      <c r="O24" s="449"/>
      <c r="P24" s="449"/>
      <c r="Q24" s="546">
        <f>SUMIF('3. PARTNER'!$B$13:$B$80,$B24,'3. PARTNER'!$F$13:$F$80)</f>
        <v>0.02</v>
      </c>
      <c r="R24" s="450">
        <f t="shared" si="17"/>
        <v>0.02</v>
      </c>
      <c r="S24" s="450">
        <f t="shared" si="17"/>
        <v>0.02</v>
      </c>
      <c r="T24" s="450">
        <f t="shared" si="17"/>
        <v>0.02</v>
      </c>
      <c r="U24" s="450">
        <f t="shared" si="17"/>
        <v>0.02</v>
      </c>
      <c r="V24" s="450">
        <f t="shared" si="17"/>
        <v>0.02</v>
      </c>
      <c r="W24" s="450">
        <f t="shared" si="17"/>
        <v>0.02</v>
      </c>
      <c r="X24" s="450">
        <f t="shared" si="17"/>
        <v>0.02</v>
      </c>
      <c r="Y24" s="450">
        <f t="shared" si="17"/>
        <v>0.02</v>
      </c>
      <c r="Z24" s="450">
        <f t="shared" si="17"/>
        <v>0.02</v>
      </c>
      <c r="AA24" s="451">
        <f>SUMIF('3. PARTNER'!B$13:B$80,B24,'3. PARTNER'!E$13:E$80)</f>
        <v>0.5595</v>
      </c>
      <c r="AB24" s="452">
        <f>IF('2. START'!$C$20="UTB",(SUMIF('3. PARTNER'!B$13:B$80,B24,'3. PARTNER'!K$13:K$80))+(SUMIF('3. PARTNER'!B$13:B$80,B24,'3. PARTNER'!M$13:M$80)),(SUMIF('3. PARTNER'!B$13:B$80,B24,'3. PARTNER'!G$13:G$80))+(SUMIF('3. PARTNER'!B$13:B$80,B24,'3. PARTNER'!I$13:I$80)))</f>
        <v>0.16000843770704321</v>
      </c>
      <c r="AC24" s="452">
        <f>IF('2. START'!$C$20="UTB",(SUMIF('3. PARTNER'!B$13:B$80,B24,'3. PARTNER'!L$13:L$80))+(SUMIF('3. PARTNER'!B$13:B$80,B24,'3. PARTNER'!N$13:N$80)),(SUMIF('3. PARTNER'!B$13:B$80,B24,'3. PARTNER'!H$13:H$80))+(SUMIF('3. PARTNER'!B$13:B$80,B24,'3. PARTNER'!J$13:J$80)))</f>
        <v>0</v>
      </c>
      <c r="AD24" s="452">
        <f>IF('2. START'!C$11="NO",'2. START'!C$12,0)</f>
        <v>0</v>
      </c>
      <c r="AE24" s="453">
        <f t="shared" si="98"/>
        <v>0</v>
      </c>
      <c r="AF24" s="453">
        <f t="shared" si="99"/>
        <v>0</v>
      </c>
      <c r="AG24" s="454"/>
      <c r="AH24" s="455">
        <f t="shared" si="18"/>
        <v>0</v>
      </c>
      <c r="AI24" s="455">
        <f t="shared" si="19"/>
        <v>0</v>
      </c>
      <c r="AJ24" s="455">
        <f t="shared" si="20"/>
        <v>0</v>
      </c>
      <c r="AK24" s="455">
        <f t="shared" si="21"/>
        <v>0</v>
      </c>
      <c r="AL24" s="455">
        <f t="shared" si="22"/>
        <v>0</v>
      </c>
      <c r="AM24" s="455">
        <f t="shared" si="23"/>
        <v>0</v>
      </c>
      <c r="AN24" s="455">
        <f t="shared" si="24"/>
        <v>0</v>
      </c>
      <c r="AO24" s="455">
        <f t="shared" si="25"/>
        <v>0</v>
      </c>
      <c r="AP24" s="455">
        <f t="shared" si="26"/>
        <v>0</v>
      </c>
      <c r="AQ24" s="455">
        <f t="shared" si="27"/>
        <v>0</v>
      </c>
      <c r="AR24" s="456">
        <f t="shared" si="100"/>
        <v>0</v>
      </c>
      <c r="AS24" s="457"/>
      <c r="AT24" s="455">
        <f t="shared" si="28"/>
        <v>0</v>
      </c>
      <c r="AU24" s="455">
        <f t="shared" si="29"/>
        <v>0</v>
      </c>
      <c r="AV24" s="455">
        <f t="shared" si="30"/>
        <v>0</v>
      </c>
      <c r="AW24" s="455">
        <f t="shared" si="31"/>
        <v>0</v>
      </c>
      <c r="AX24" s="455">
        <f t="shared" si="32"/>
        <v>0</v>
      </c>
      <c r="AY24" s="455">
        <f t="shared" si="33"/>
        <v>0</v>
      </c>
      <c r="AZ24" s="455">
        <f t="shared" si="34"/>
        <v>0</v>
      </c>
      <c r="BA24" s="455">
        <f t="shared" si="35"/>
        <v>0</v>
      </c>
      <c r="BB24" s="455">
        <f t="shared" si="36"/>
        <v>0</v>
      </c>
      <c r="BC24" s="455">
        <f t="shared" si="37"/>
        <v>0</v>
      </c>
      <c r="BD24" s="456">
        <f t="shared" si="101"/>
        <v>0</v>
      </c>
      <c r="BE24" s="457"/>
      <c r="BF24" s="455">
        <f t="shared" si="38"/>
        <v>0</v>
      </c>
      <c r="BG24" s="455">
        <f t="shared" si="39"/>
        <v>0</v>
      </c>
      <c r="BH24" s="455">
        <f t="shared" si="40"/>
        <v>0</v>
      </c>
      <c r="BI24" s="455">
        <f t="shared" si="41"/>
        <v>0</v>
      </c>
      <c r="BJ24" s="455">
        <f t="shared" si="42"/>
        <v>0</v>
      </c>
      <c r="BK24" s="455">
        <f t="shared" si="43"/>
        <v>0</v>
      </c>
      <c r="BL24" s="455">
        <f t="shared" si="44"/>
        <v>0</v>
      </c>
      <c r="BM24" s="455">
        <f t="shared" si="45"/>
        <v>0</v>
      </c>
      <c r="BN24" s="455">
        <f t="shared" si="46"/>
        <v>0</v>
      </c>
      <c r="BO24" s="455">
        <f t="shared" si="47"/>
        <v>0</v>
      </c>
      <c r="BP24" s="456">
        <f t="shared" si="102"/>
        <v>0</v>
      </c>
      <c r="BQ24" s="458"/>
      <c r="BR24" s="459">
        <f t="shared" si="48"/>
        <v>0</v>
      </c>
      <c r="BS24" s="459">
        <f t="shared" si="49"/>
        <v>0</v>
      </c>
      <c r="BT24" s="459">
        <f t="shared" si="50"/>
        <v>0</v>
      </c>
      <c r="BU24" s="459">
        <f t="shared" si="51"/>
        <v>0</v>
      </c>
      <c r="BV24" s="459">
        <f t="shared" si="52"/>
        <v>0</v>
      </c>
      <c r="BW24" s="459">
        <f t="shared" si="53"/>
        <v>0</v>
      </c>
      <c r="BX24" s="459">
        <f t="shared" si="54"/>
        <v>0</v>
      </c>
      <c r="BY24" s="459">
        <f t="shared" si="55"/>
        <v>0</v>
      </c>
      <c r="BZ24" s="459">
        <f t="shared" si="56"/>
        <v>0</v>
      </c>
      <c r="CA24" s="459">
        <f t="shared" si="57"/>
        <v>0</v>
      </c>
      <c r="CB24" s="460">
        <f t="shared" si="103"/>
        <v>0</v>
      </c>
      <c r="CC24" s="461"/>
      <c r="CD24" s="462">
        <f t="shared" si="58"/>
        <v>0</v>
      </c>
      <c r="CE24" s="462">
        <f t="shared" si="59"/>
        <v>0</v>
      </c>
      <c r="CF24" s="462">
        <f t="shared" si="60"/>
        <v>0</v>
      </c>
      <c r="CG24" s="462">
        <f t="shared" si="61"/>
        <v>0</v>
      </c>
      <c r="CH24" s="462">
        <f t="shared" si="62"/>
        <v>0</v>
      </c>
      <c r="CI24" s="462">
        <f t="shared" si="63"/>
        <v>0</v>
      </c>
      <c r="CJ24" s="462">
        <f t="shared" si="64"/>
        <v>0</v>
      </c>
      <c r="CK24" s="462">
        <f t="shared" si="65"/>
        <v>0</v>
      </c>
      <c r="CL24" s="462">
        <f t="shared" si="66"/>
        <v>0</v>
      </c>
      <c r="CM24" s="462">
        <f t="shared" si="67"/>
        <v>0</v>
      </c>
      <c r="CN24" s="460">
        <f t="shared" si="104"/>
        <v>0</v>
      </c>
      <c r="CO24" s="461"/>
      <c r="CP24" s="459">
        <f t="shared" si="68"/>
        <v>0</v>
      </c>
      <c r="CQ24" s="459">
        <f t="shared" si="69"/>
        <v>0</v>
      </c>
      <c r="CR24" s="459">
        <f t="shared" si="70"/>
        <v>0</v>
      </c>
      <c r="CS24" s="459">
        <f t="shared" si="71"/>
        <v>0</v>
      </c>
      <c r="CT24" s="459">
        <f t="shared" si="72"/>
        <v>0</v>
      </c>
      <c r="CU24" s="459">
        <f t="shared" si="73"/>
        <v>0</v>
      </c>
      <c r="CV24" s="459">
        <f t="shared" si="74"/>
        <v>0</v>
      </c>
      <c r="CW24" s="459">
        <f t="shared" si="75"/>
        <v>0</v>
      </c>
      <c r="CX24" s="459">
        <f t="shared" si="76"/>
        <v>0</v>
      </c>
      <c r="CY24" s="459">
        <f t="shared" si="77"/>
        <v>0</v>
      </c>
      <c r="CZ24" s="460">
        <f t="shared" si="105"/>
        <v>0</v>
      </c>
      <c r="DA24" s="463"/>
      <c r="DB24" s="459">
        <f t="shared" si="78"/>
        <v>0</v>
      </c>
      <c r="DC24" s="459">
        <f t="shared" si="79"/>
        <v>0</v>
      </c>
      <c r="DD24" s="459">
        <f t="shared" si="80"/>
        <v>0</v>
      </c>
      <c r="DE24" s="459">
        <f t="shared" si="81"/>
        <v>0</v>
      </c>
      <c r="DF24" s="459">
        <f t="shared" si="82"/>
        <v>0</v>
      </c>
      <c r="DG24" s="459">
        <f t="shared" si="83"/>
        <v>0</v>
      </c>
      <c r="DH24" s="459">
        <f t="shared" si="84"/>
        <v>0</v>
      </c>
      <c r="DI24" s="459">
        <f t="shared" si="85"/>
        <v>0</v>
      </c>
      <c r="DJ24" s="459">
        <f t="shared" si="86"/>
        <v>0</v>
      </c>
      <c r="DK24" s="459">
        <f t="shared" si="87"/>
        <v>0</v>
      </c>
      <c r="DL24" s="460">
        <f t="shared" si="106"/>
        <v>0</v>
      </c>
      <c r="DM24" s="463"/>
      <c r="DN24" s="442">
        <f>IF('2. START'!$C$14&gt;0,(AT24/(1+$AA24))*(1+'2. START'!$C$14),AT24)</f>
        <v>0</v>
      </c>
      <c r="DO24" s="442">
        <f>IF('2. START'!$C$14&gt;0,(AU24/(1+$AA24))*(1+'2. START'!$C$14),AU24)</f>
        <v>0</v>
      </c>
      <c r="DP24" s="442">
        <f>IF('2. START'!$C$14&gt;0,(AV24/(1+$AA24))*(1+'2. START'!$C$14),AV24)</f>
        <v>0</v>
      </c>
      <c r="DQ24" s="442">
        <f>IF('2. START'!$C$14&gt;0,(AW24/(1+$AA24))*(1+'2. START'!$C$14),AW24)</f>
        <v>0</v>
      </c>
      <c r="DR24" s="442">
        <f>IF('2. START'!$C$14&gt;0,(AX24/(1+$AA24))*(1+'2. START'!$C$14),AX24)</f>
        <v>0</v>
      </c>
      <c r="DS24" s="442">
        <f>IF('2. START'!$C$14&gt;0,(AY24/(1+$AA24))*(1+'2. START'!$C$14),AY24)</f>
        <v>0</v>
      </c>
      <c r="DT24" s="442">
        <f>IF('2. START'!$C$14&gt;0,(AZ24/(1+$AA24))*(1+'2. START'!$C$14),AZ24)</f>
        <v>0</v>
      </c>
      <c r="DU24" s="442">
        <f>IF('2. START'!$C$14&gt;0,(BA24/(1+$AA24))*(1+'2. START'!$C$14),BA24)</f>
        <v>0</v>
      </c>
      <c r="DV24" s="442">
        <f>IF('2. START'!$C$14&gt;0,(BB24/(1+$AA24))*(1+'2. START'!$C$14),BB24)</f>
        <v>0</v>
      </c>
      <c r="DW24" s="442">
        <f>IF('2. START'!$C$14&gt;0,(BC24/(1+$AA24))*(1+'2. START'!$C$14),BC24)</f>
        <v>0</v>
      </c>
      <c r="DX24" s="460">
        <f t="shared" si="107"/>
        <v>0</v>
      </c>
      <c r="DY24" s="463"/>
      <c r="DZ24" s="459">
        <f>IF('2. START'!$C$11="NO",(IF('2. START'!$C$14&gt;0,(DN24*$AD24),(AT24*$AD24))),(BR24+CP24))</f>
        <v>0</v>
      </c>
      <c r="EA24" s="459">
        <f>IF('2. START'!$C$11="NO",(IF('2. START'!$C$14&gt;0,(DO24*$AD24),(AU24*$AD24))),(BS24+CQ24))</f>
        <v>0</v>
      </c>
      <c r="EB24" s="459">
        <f>IF('2. START'!$C$11="NO",(IF('2. START'!$C$14&gt;0,(DP24*$AD24),(AV24*$AD24))),(BT24+CR24))</f>
        <v>0</v>
      </c>
      <c r="EC24" s="459">
        <f>IF('2. START'!$C$11="NO",(IF('2. START'!$C$14&gt;0,(DQ24*$AD24),(AW24*$AD24))),(BU24+CS24))</f>
        <v>0</v>
      </c>
      <c r="ED24" s="459">
        <f>IF('2. START'!$C$11="NO",(IF('2. START'!$C$14&gt;0,(DR24*$AD24),(AX24*$AD24))),(BV24+CT24))</f>
        <v>0</v>
      </c>
      <c r="EE24" s="459">
        <f>IF('2. START'!$C$11="NO",(IF('2. START'!$C$14&gt;0,(DS24*$AD24),(AY24*$AD24))),(BW24+CU24))</f>
        <v>0</v>
      </c>
      <c r="EF24" s="459">
        <f>IF('2. START'!$C$11="NO",(IF('2. START'!$C$14&gt;0,(DT24*$AD24),(AZ24*$AD24))),(BX24+CV24))</f>
        <v>0</v>
      </c>
      <c r="EG24" s="459">
        <f>IF('2. START'!$C$11="NO",(IF('2. START'!$C$14&gt;0,(DU24*$AD24),(BA24*$AD24))),(BY24+CW24))</f>
        <v>0</v>
      </c>
      <c r="EH24" s="459">
        <f>IF('2. START'!$C$11="NO",(IF('2. START'!$C$14&gt;0,(DV24*$AD24),(BB24*$AD24))),(BZ24+CX24))</f>
        <v>0</v>
      </c>
      <c r="EI24" s="459">
        <f>IF('2. START'!$C$11="NO",(IF('2. START'!$C$14&gt;0,(DW24*$AD24),(BC24*$AD24))),(CA24+CY24))</f>
        <v>0</v>
      </c>
      <c r="EJ24" s="460">
        <f t="shared" si="108"/>
        <v>0</v>
      </c>
      <c r="EK24" s="463"/>
      <c r="EL24" s="459">
        <f>(BR24+CP24-DZ24)+IF('2. START'!$C$14&gt;0,AT24-DN24,0)</f>
        <v>0</v>
      </c>
      <c r="EM24" s="459">
        <f>(BS24+CQ24-EA24)+IF('2. START'!$C$14&gt;0,AU24-DO24,0)</f>
        <v>0</v>
      </c>
      <c r="EN24" s="459">
        <f>(BT24+CR24-EB24)+IF('2. START'!$C$14&gt;0,AV24-DP24,0)</f>
        <v>0</v>
      </c>
      <c r="EO24" s="459">
        <f>(BU24+CS24-EC24)+IF('2. START'!$C$14&gt;0,AW24-DQ24,0)</f>
        <v>0</v>
      </c>
      <c r="EP24" s="459">
        <f>(BV24+CT24-ED24)+IF('2. START'!$C$14&gt;0,AX24-DR24,0)</f>
        <v>0</v>
      </c>
      <c r="EQ24" s="459">
        <f>(BW24+CU24-EE24)+IF('2. START'!$C$14&gt;0,AY24-DS24,0)</f>
        <v>0</v>
      </c>
      <c r="ER24" s="459">
        <f>(BX24+CV24-EF24)+IF('2. START'!$C$14&gt;0,AZ24-DT24,0)</f>
        <v>0</v>
      </c>
      <c r="ES24" s="459">
        <f>(BY24+CW24-EG24)+IF('2. START'!$C$14&gt;0,BA24-DU24,0)</f>
        <v>0</v>
      </c>
      <c r="ET24" s="459">
        <f>(BZ24+CX24-EH24)+IF('2. START'!$C$14&gt;0,BB24-DV24,0)</f>
        <v>0</v>
      </c>
      <c r="EU24" s="459">
        <f>(CA24+CY24-EI24)+IF('2. START'!$C$14&gt;0,BC24-DW24,0)</f>
        <v>0</v>
      </c>
      <c r="EV24" s="460">
        <f t="shared" si="109"/>
        <v>0</v>
      </c>
      <c r="EW24" s="463"/>
      <c r="EX24" s="459">
        <f t="shared" si="110"/>
        <v>0</v>
      </c>
      <c r="EY24" s="459">
        <f t="shared" si="111"/>
        <v>0</v>
      </c>
      <c r="EZ24" s="459">
        <f t="shared" si="112"/>
        <v>0</v>
      </c>
      <c r="FA24" s="459">
        <f t="shared" si="113"/>
        <v>0</v>
      </c>
      <c r="FB24" s="459">
        <f t="shared" si="114"/>
        <v>0</v>
      </c>
      <c r="FC24" s="459">
        <f t="shared" si="115"/>
        <v>0</v>
      </c>
      <c r="FD24" s="459">
        <f t="shared" si="116"/>
        <v>0</v>
      </c>
      <c r="FE24" s="459">
        <f t="shared" si="117"/>
        <v>0</v>
      </c>
      <c r="FF24" s="459">
        <f t="shared" si="118"/>
        <v>0</v>
      </c>
      <c r="FG24" s="459">
        <f t="shared" si="119"/>
        <v>0</v>
      </c>
      <c r="FH24" s="460">
        <f t="shared" si="120"/>
        <v>0</v>
      </c>
      <c r="FI24" s="463"/>
      <c r="FJ24" s="459">
        <f t="shared" si="121"/>
        <v>0</v>
      </c>
      <c r="FK24" s="459">
        <f t="shared" si="122"/>
        <v>0</v>
      </c>
      <c r="FL24" s="459">
        <f t="shared" si="123"/>
        <v>0</v>
      </c>
      <c r="FM24" s="459">
        <f t="shared" si="124"/>
        <v>0</v>
      </c>
      <c r="FN24" s="459">
        <f t="shared" si="125"/>
        <v>0</v>
      </c>
      <c r="FO24" s="459">
        <f t="shared" si="126"/>
        <v>0</v>
      </c>
      <c r="FP24" s="459">
        <f t="shared" si="127"/>
        <v>0</v>
      </c>
      <c r="FQ24" s="459">
        <f t="shared" si="128"/>
        <v>0</v>
      </c>
      <c r="FR24" s="459">
        <f t="shared" si="129"/>
        <v>0</v>
      </c>
      <c r="FS24" s="459">
        <f t="shared" si="130"/>
        <v>0</v>
      </c>
      <c r="FT24" s="460">
        <f t="shared" si="131"/>
        <v>0</v>
      </c>
    </row>
    <row r="25" spans="2:176" s="270" customFormat="1" ht="15" customHeight="1" x14ac:dyDescent="0.25">
      <c r="B25" s="464" t="str">
        <f>'2. START'!C$7</f>
        <v>100GEM</v>
      </c>
      <c r="C25" s="465"/>
      <c r="D25" s="590"/>
      <c r="E25" s="514">
        <v>0</v>
      </c>
      <c r="F25" s="467"/>
      <c r="G25" s="432"/>
      <c r="H25" s="432"/>
      <c r="I25" s="432"/>
      <c r="J25" s="432"/>
      <c r="K25" s="432"/>
      <c r="L25" s="432"/>
      <c r="M25" s="432"/>
      <c r="N25" s="432"/>
      <c r="O25" s="432"/>
      <c r="P25" s="432"/>
      <c r="Q25" s="545">
        <f>SUMIF('3. PARTNER'!$B$13:$B$80,$B25,'3. PARTNER'!$F$13:$F$80)</f>
        <v>0.02</v>
      </c>
      <c r="R25" s="466">
        <f t="shared" si="17"/>
        <v>0.02</v>
      </c>
      <c r="S25" s="466">
        <f t="shared" si="17"/>
        <v>0.02</v>
      </c>
      <c r="T25" s="466">
        <f t="shared" si="17"/>
        <v>0.02</v>
      </c>
      <c r="U25" s="466">
        <f t="shared" si="17"/>
        <v>0.02</v>
      </c>
      <c r="V25" s="466">
        <f t="shared" si="17"/>
        <v>0.02</v>
      </c>
      <c r="W25" s="466">
        <f t="shared" si="17"/>
        <v>0.02</v>
      </c>
      <c r="X25" s="466">
        <f t="shared" si="17"/>
        <v>0.02</v>
      </c>
      <c r="Y25" s="466">
        <f t="shared" si="17"/>
        <v>0.02</v>
      </c>
      <c r="Z25" s="466">
        <f t="shared" si="17"/>
        <v>0.02</v>
      </c>
      <c r="AA25" s="434">
        <f>SUMIF('3. PARTNER'!B$13:B$80,B25,'3. PARTNER'!E$13:E$80)</f>
        <v>0.5595</v>
      </c>
      <c r="AB25" s="435">
        <f>IF('2. START'!$C$20="UTB",(SUMIF('3. PARTNER'!B$13:B$80,B25,'3. PARTNER'!K$13:K$80))+(SUMIF('3. PARTNER'!B$13:B$80,B25,'3. PARTNER'!M$13:M$80)),(SUMIF('3. PARTNER'!B$13:B$80,B25,'3. PARTNER'!G$13:G$80))+(SUMIF('3. PARTNER'!B$13:B$80,B25,'3. PARTNER'!I$13:I$80)))</f>
        <v>0.16000843770704321</v>
      </c>
      <c r="AC25" s="435">
        <f>IF('2. START'!$C$20="UTB",(SUMIF('3. PARTNER'!B$13:B$80,B25,'3. PARTNER'!L$13:L$80))+(SUMIF('3. PARTNER'!B$13:B$80,B25,'3. PARTNER'!N$13:N$80)),(SUMIF('3. PARTNER'!B$13:B$80,B25,'3. PARTNER'!H$13:H$80))+(SUMIF('3. PARTNER'!B$13:B$80,B25,'3. PARTNER'!J$13:J$80)))</f>
        <v>0</v>
      </c>
      <c r="AD25" s="435">
        <f>IF('2. START'!C$11="NO",'2. START'!C$12,0)</f>
        <v>0</v>
      </c>
      <c r="AE25" s="436">
        <f t="shared" si="98"/>
        <v>0</v>
      </c>
      <c r="AF25" s="436">
        <f t="shared" si="99"/>
        <v>0</v>
      </c>
      <c r="AG25" s="437"/>
      <c r="AH25" s="438">
        <f t="shared" si="18"/>
        <v>0</v>
      </c>
      <c r="AI25" s="438">
        <f t="shared" si="19"/>
        <v>0</v>
      </c>
      <c r="AJ25" s="438">
        <f t="shared" si="20"/>
        <v>0</v>
      </c>
      <c r="AK25" s="438">
        <f t="shared" si="21"/>
        <v>0</v>
      </c>
      <c r="AL25" s="438">
        <f t="shared" si="22"/>
        <v>0</v>
      </c>
      <c r="AM25" s="438">
        <f t="shared" si="23"/>
        <v>0</v>
      </c>
      <c r="AN25" s="438">
        <f t="shared" si="24"/>
        <v>0</v>
      </c>
      <c r="AO25" s="438">
        <f t="shared" si="25"/>
        <v>0</v>
      </c>
      <c r="AP25" s="438">
        <f t="shared" si="26"/>
        <v>0</v>
      </c>
      <c r="AQ25" s="438">
        <f t="shared" si="27"/>
        <v>0</v>
      </c>
      <c r="AR25" s="439">
        <f t="shared" si="100"/>
        <v>0</v>
      </c>
      <c r="AS25" s="440"/>
      <c r="AT25" s="438">
        <f t="shared" si="28"/>
        <v>0</v>
      </c>
      <c r="AU25" s="438">
        <f t="shared" si="29"/>
        <v>0</v>
      </c>
      <c r="AV25" s="438">
        <f t="shared" si="30"/>
        <v>0</v>
      </c>
      <c r="AW25" s="438">
        <f t="shared" si="31"/>
        <v>0</v>
      </c>
      <c r="AX25" s="438">
        <f t="shared" si="32"/>
        <v>0</v>
      </c>
      <c r="AY25" s="438">
        <f t="shared" si="33"/>
        <v>0</v>
      </c>
      <c r="AZ25" s="438">
        <f t="shared" si="34"/>
        <v>0</v>
      </c>
      <c r="BA25" s="438">
        <f t="shared" si="35"/>
        <v>0</v>
      </c>
      <c r="BB25" s="438">
        <f t="shared" si="36"/>
        <v>0</v>
      </c>
      <c r="BC25" s="438">
        <f t="shared" si="37"/>
        <v>0</v>
      </c>
      <c r="BD25" s="439">
        <f t="shared" si="101"/>
        <v>0</v>
      </c>
      <c r="BE25" s="440"/>
      <c r="BF25" s="438">
        <f t="shared" si="38"/>
        <v>0</v>
      </c>
      <c r="BG25" s="438">
        <f t="shared" si="39"/>
        <v>0</v>
      </c>
      <c r="BH25" s="438">
        <f t="shared" si="40"/>
        <v>0</v>
      </c>
      <c r="BI25" s="438">
        <f t="shared" si="41"/>
        <v>0</v>
      </c>
      <c r="BJ25" s="438">
        <f t="shared" si="42"/>
        <v>0</v>
      </c>
      <c r="BK25" s="438">
        <f t="shared" si="43"/>
        <v>0</v>
      </c>
      <c r="BL25" s="438">
        <f t="shared" si="44"/>
        <v>0</v>
      </c>
      <c r="BM25" s="438">
        <f t="shared" si="45"/>
        <v>0</v>
      </c>
      <c r="BN25" s="438">
        <f t="shared" si="46"/>
        <v>0</v>
      </c>
      <c r="BO25" s="438">
        <f t="shared" si="47"/>
        <v>0</v>
      </c>
      <c r="BP25" s="439">
        <f t="shared" si="102"/>
        <v>0</v>
      </c>
      <c r="BQ25" s="441"/>
      <c r="BR25" s="442">
        <f t="shared" si="48"/>
        <v>0</v>
      </c>
      <c r="BS25" s="442">
        <f t="shared" si="49"/>
        <v>0</v>
      </c>
      <c r="BT25" s="442">
        <f t="shared" si="50"/>
        <v>0</v>
      </c>
      <c r="BU25" s="442">
        <f t="shared" si="51"/>
        <v>0</v>
      </c>
      <c r="BV25" s="442">
        <f t="shared" si="52"/>
        <v>0</v>
      </c>
      <c r="BW25" s="442">
        <f t="shared" si="53"/>
        <v>0</v>
      </c>
      <c r="BX25" s="442">
        <f t="shared" si="54"/>
        <v>0</v>
      </c>
      <c r="BY25" s="442">
        <f t="shared" si="55"/>
        <v>0</v>
      </c>
      <c r="BZ25" s="442">
        <f t="shared" si="56"/>
        <v>0</v>
      </c>
      <c r="CA25" s="442">
        <f t="shared" si="57"/>
        <v>0</v>
      </c>
      <c r="CB25" s="443">
        <f t="shared" si="103"/>
        <v>0</v>
      </c>
      <c r="CC25" s="444"/>
      <c r="CD25" s="445">
        <f t="shared" si="58"/>
        <v>0</v>
      </c>
      <c r="CE25" s="445">
        <f t="shared" si="59"/>
        <v>0</v>
      </c>
      <c r="CF25" s="445">
        <f t="shared" si="60"/>
        <v>0</v>
      </c>
      <c r="CG25" s="445">
        <f t="shared" si="61"/>
        <v>0</v>
      </c>
      <c r="CH25" s="445">
        <f t="shared" si="62"/>
        <v>0</v>
      </c>
      <c r="CI25" s="445">
        <f t="shared" si="63"/>
        <v>0</v>
      </c>
      <c r="CJ25" s="445">
        <f t="shared" si="64"/>
        <v>0</v>
      </c>
      <c r="CK25" s="445">
        <f t="shared" si="65"/>
        <v>0</v>
      </c>
      <c r="CL25" s="445">
        <f t="shared" si="66"/>
        <v>0</v>
      </c>
      <c r="CM25" s="445">
        <f t="shared" si="67"/>
        <v>0</v>
      </c>
      <c r="CN25" s="443">
        <f t="shared" si="104"/>
        <v>0</v>
      </c>
      <c r="CO25" s="444"/>
      <c r="CP25" s="442">
        <f t="shared" si="68"/>
        <v>0</v>
      </c>
      <c r="CQ25" s="442">
        <f t="shared" si="69"/>
        <v>0</v>
      </c>
      <c r="CR25" s="442">
        <f t="shared" si="70"/>
        <v>0</v>
      </c>
      <c r="CS25" s="442">
        <f t="shared" si="71"/>
        <v>0</v>
      </c>
      <c r="CT25" s="442">
        <f t="shared" si="72"/>
        <v>0</v>
      </c>
      <c r="CU25" s="442">
        <f t="shared" si="73"/>
        <v>0</v>
      </c>
      <c r="CV25" s="442">
        <f t="shared" si="74"/>
        <v>0</v>
      </c>
      <c r="CW25" s="442">
        <f t="shared" si="75"/>
        <v>0</v>
      </c>
      <c r="CX25" s="442">
        <f t="shared" si="76"/>
        <v>0</v>
      </c>
      <c r="CY25" s="442">
        <f t="shared" si="77"/>
        <v>0</v>
      </c>
      <c r="CZ25" s="443">
        <f t="shared" si="105"/>
        <v>0</v>
      </c>
      <c r="DB25" s="442">
        <f t="shared" si="78"/>
        <v>0</v>
      </c>
      <c r="DC25" s="442">
        <f t="shared" si="79"/>
        <v>0</v>
      </c>
      <c r="DD25" s="442">
        <f t="shared" si="80"/>
        <v>0</v>
      </c>
      <c r="DE25" s="442">
        <f t="shared" si="81"/>
        <v>0</v>
      </c>
      <c r="DF25" s="442">
        <f t="shared" si="82"/>
        <v>0</v>
      </c>
      <c r="DG25" s="442">
        <f t="shared" si="83"/>
        <v>0</v>
      </c>
      <c r="DH25" s="442">
        <f t="shared" si="84"/>
        <v>0</v>
      </c>
      <c r="DI25" s="442">
        <f t="shared" si="85"/>
        <v>0</v>
      </c>
      <c r="DJ25" s="442">
        <f t="shared" si="86"/>
        <v>0</v>
      </c>
      <c r="DK25" s="442">
        <f t="shared" si="87"/>
        <v>0</v>
      </c>
      <c r="DL25" s="443">
        <f t="shared" si="106"/>
        <v>0</v>
      </c>
      <c r="DN25" s="442">
        <f>IF('2. START'!$C$14&gt;0,(AT25/(1+$AA25))*(1+'2. START'!$C$14),AT25)</f>
        <v>0</v>
      </c>
      <c r="DO25" s="442">
        <f>IF('2. START'!$C$14&gt;0,(AU25/(1+$AA25))*(1+'2. START'!$C$14),AU25)</f>
        <v>0</v>
      </c>
      <c r="DP25" s="442">
        <f>IF('2. START'!$C$14&gt;0,(AV25/(1+$AA25))*(1+'2. START'!$C$14),AV25)</f>
        <v>0</v>
      </c>
      <c r="DQ25" s="442">
        <f>IF('2. START'!$C$14&gt;0,(AW25/(1+$AA25))*(1+'2. START'!$C$14),AW25)</f>
        <v>0</v>
      </c>
      <c r="DR25" s="442">
        <f>IF('2. START'!$C$14&gt;0,(AX25/(1+$AA25))*(1+'2. START'!$C$14),AX25)</f>
        <v>0</v>
      </c>
      <c r="DS25" s="442">
        <f>IF('2. START'!$C$14&gt;0,(AY25/(1+$AA25))*(1+'2. START'!$C$14),AY25)</f>
        <v>0</v>
      </c>
      <c r="DT25" s="442">
        <f>IF('2. START'!$C$14&gt;0,(AZ25/(1+$AA25))*(1+'2. START'!$C$14),AZ25)</f>
        <v>0</v>
      </c>
      <c r="DU25" s="442">
        <f>IF('2. START'!$C$14&gt;0,(BA25/(1+$AA25))*(1+'2. START'!$C$14),BA25)</f>
        <v>0</v>
      </c>
      <c r="DV25" s="442">
        <f>IF('2. START'!$C$14&gt;0,(BB25/(1+$AA25))*(1+'2. START'!$C$14),BB25)</f>
        <v>0</v>
      </c>
      <c r="DW25" s="442">
        <f>IF('2. START'!$C$14&gt;0,(BC25/(1+$AA25))*(1+'2. START'!$C$14),BC25)</f>
        <v>0</v>
      </c>
      <c r="DX25" s="443">
        <f t="shared" si="107"/>
        <v>0</v>
      </c>
      <c r="DZ25" s="442">
        <f>IF('2. START'!$C$11="NO",(IF('2. START'!$C$14&gt;0,(DN25*$AD25),(AT25*$AD25))),(BR25+CP25))</f>
        <v>0</v>
      </c>
      <c r="EA25" s="442">
        <f>IF('2. START'!$C$11="NO",(IF('2. START'!$C$14&gt;0,(DO25*$AD25),(AU25*$AD25))),(BS25+CQ25))</f>
        <v>0</v>
      </c>
      <c r="EB25" s="442">
        <f>IF('2. START'!$C$11="NO",(IF('2. START'!$C$14&gt;0,(DP25*$AD25),(AV25*$AD25))),(BT25+CR25))</f>
        <v>0</v>
      </c>
      <c r="EC25" s="442">
        <f>IF('2. START'!$C$11="NO",(IF('2. START'!$C$14&gt;0,(DQ25*$AD25),(AW25*$AD25))),(BU25+CS25))</f>
        <v>0</v>
      </c>
      <c r="ED25" s="442">
        <f>IF('2. START'!$C$11="NO",(IF('2. START'!$C$14&gt;0,(DR25*$AD25),(AX25*$AD25))),(BV25+CT25))</f>
        <v>0</v>
      </c>
      <c r="EE25" s="442">
        <f>IF('2. START'!$C$11="NO",(IF('2. START'!$C$14&gt;0,(DS25*$AD25),(AY25*$AD25))),(BW25+CU25))</f>
        <v>0</v>
      </c>
      <c r="EF25" s="442">
        <f>IF('2. START'!$C$11="NO",(IF('2. START'!$C$14&gt;0,(DT25*$AD25),(AZ25*$AD25))),(BX25+CV25))</f>
        <v>0</v>
      </c>
      <c r="EG25" s="442">
        <f>IF('2. START'!$C$11="NO",(IF('2. START'!$C$14&gt;0,(DU25*$AD25),(BA25*$AD25))),(BY25+CW25))</f>
        <v>0</v>
      </c>
      <c r="EH25" s="442">
        <f>IF('2. START'!$C$11="NO",(IF('2. START'!$C$14&gt;0,(DV25*$AD25),(BB25*$AD25))),(BZ25+CX25))</f>
        <v>0</v>
      </c>
      <c r="EI25" s="442">
        <f>IF('2. START'!$C$11="NO",(IF('2. START'!$C$14&gt;0,(DW25*$AD25),(BC25*$AD25))),(CA25+CY25))</f>
        <v>0</v>
      </c>
      <c r="EJ25" s="443">
        <f t="shared" si="108"/>
        <v>0</v>
      </c>
      <c r="EL25" s="442">
        <f>(BR25+CP25-DZ25)+IF('2. START'!$C$14&gt;0,AT25-DN25,0)</f>
        <v>0</v>
      </c>
      <c r="EM25" s="442">
        <f>(BS25+CQ25-EA25)+IF('2. START'!$C$14&gt;0,AU25-DO25,0)</f>
        <v>0</v>
      </c>
      <c r="EN25" s="442">
        <f>(BT25+CR25-EB25)+IF('2. START'!$C$14&gt;0,AV25-DP25,0)</f>
        <v>0</v>
      </c>
      <c r="EO25" s="442">
        <f>(BU25+CS25-EC25)+IF('2. START'!$C$14&gt;0,AW25-DQ25,0)</f>
        <v>0</v>
      </c>
      <c r="EP25" s="442">
        <f>(BV25+CT25-ED25)+IF('2. START'!$C$14&gt;0,AX25-DR25,0)</f>
        <v>0</v>
      </c>
      <c r="EQ25" s="442">
        <f>(BW25+CU25-EE25)+IF('2. START'!$C$14&gt;0,AY25-DS25,0)</f>
        <v>0</v>
      </c>
      <c r="ER25" s="442">
        <f>(BX25+CV25-EF25)+IF('2. START'!$C$14&gt;0,AZ25-DT25,0)</f>
        <v>0</v>
      </c>
      <c r="ES25" s="442">
        <f>(BY25+CW25-EG25)+IF('2. START'!$C$14&gt;0,BA25-DU25,0)</f>
        <v>0</v>
      </c>
      <c r="ET25" s="442">
        <f>(BZ25+CX25-EH25)+IF('2. START'!$C$14&gt;0,BB25-DV25,0)</f>
        <v>0</v>
      </c>
      <c r="EU25" s="442">
        <f>(CA25+CY25-EI25)+IF('2. START'!$C$14&gt;0,BC25-DW25,0)</f>
        <v>0</v>
      </c>
      <c r="EV25" s="443">
        <f t="shared" si="109"/>
        <v>0</v>
      </c>
      <c r="EX25" s="442">
        <f t="shared" si="110"/>
        <v>0</v>
      </c>
      <c r="EY25" s="442">
        <f t="shared" si="111"/>
        <v>0</v>
      </c>
      <c r="EZ25" s="442">
        <f t="shared" si="112"/>
        <v>0</v>
      </c>
      <c r="FA25" s="442">
        <f t="shared" si="113"/>
        <v>0</v>
      </c>
      <c r="FB25" s="442">
        <f t="shared" si="114"/>
        <v>0</v>
      </c>
      <c r="FC25" s="442">
        <f t="shared" si="115"/>
        <v>0</v>
      </c>
      <c r="FD25" s="442">
        <f t="shared" si="116"/>
        <v>0</v>
      </c>
      <c r="FE25" s="442">
        <f t="shared" si="117"/>
        <v>0</v>
      </c>
      <c r="FF25" s="442">
        <f t="shared" si="118"/>
        <v>0</v>
      </c>
      <c r="FG25" s="442">
        <f t="shared" si="119"/>
        <v>0</v>
      </c>
      <c r="FH25" s="443">
        <f t="shared" si="120"/>
        <v>0</v>
      </c>
      <c r="FJ25" s="442">
        <f t="shared" si="121"/>
        <v>0</v>
      </c>
      <c r="FK25" s="442">
        <f t="shared" si="122"/>
        <v>0</v>
      </c>
      <c r="FL25" s="442">
        <f t="shared" si="123"/>
        <v>0</v>
      </c>
      <c r="FM25" s="442">
        <f t="shared" si="124"/>
        <v>0</v>
      </c>
      <c r="FN25" s="442">
        <f t="shared" si="125"/>
        <v>0</v>
      </c>
      <c r="FO25" s="442">
        <f t="shared" si="126"/>
        <v>0</v>
      </c>
      <c r="FP25" s="442">
        <f t="shared" si="127"/>
        <v>0</v>
      </c>
      <c r="FQ25" s="442">
        <f t="shared" si="128"/>
        <v>0</v>
      </c>
      <c r="FR25" s="442">
        <f t="shared" si="129"/>
        <v>0</v>
      </c>
      <c r="FS25" s="442">
        <f t="shared" si="130"/>
        <v>0</v>
      </c>
      <c r="FT25" s="443">
        <f t="shared" si="131"/>
        <v>0</v>
      </c>
    </row>
    <row r="26" spans="2:176" s="270" customFormat="1" ht="15" customHeight="1" x14ac:dyDescent="0.25">
      <c r="B26" s="446" t="str">
        <f>'2. START'!C$7</f>
        <v>100GEM</v>
      </c>
      <c r="C26" s="447"/>
      <c r="D26" s="589"/>
      <c r="E26" s="544">
        <v>0</v>
      </c>
      <c r="F26" s="448"/>
      <c r="G26" s="449"/>
      <c r="H26" s="449"/>
      <c r="I26" s="449"/>
      <c r="J26" s="449"/>
      <c r="K26" s="449"/>
      <c r="L26" s="449"/>
      <c r="M26" s="449"/>
      <c r="N26" s="449"/>
      <c r="O26" s="449"/>
      <c r="P26" s="449"/>
      <c r="Q26" s="546">
        <f>SUMIF('3. PARTNER'!$B$13:$B$80,$B26,'3. PARTNER'!$F$13:$F$80)</f>
        <v>0.02</v>
      </c>
      <c r="R26" s="450">
        <f t="shared" si="17"/>
        <v>0.02</v>
      </c>
      <c r="S26" s="450">
        <f t="shared" si="17"/>
        <v>0.02</v>
      </c>
      <c r="T26" s="450">
        <f t="shared" si="17"/>
        <v>0.02</v>
      </c>
      <c r="U26" s="450">
        <f t="shared" si="17"/>
        <v>0.02</v>
      </c>
      <c r="V26" s="450">
        <f t="shared" si="17"/>
        <v>0.02</v>
      </c>
      <c r="W26" s="450">
        <f t="shared" si="17"/>
        <v>0.02</v>
      </c>
      <c r="X26" s="450">
        <f t="shared" si="17"/>
        <v>0.02</v>
      </c>
      <c r="Y26" s="450">
        <f t="shared" si="17"/>
        <v>0.02</v>
      </c>
      <c r="Z26" s="450">
        <f t="shared" si="17"/>
        <v>0.02</v>
      </c>
      <c r="AA26" s="451">
        <f>SUMIF('3. PARTNER'!B$13:B$80,B26,'3. PARTNER'!E$13:E$80)</f>
        <v>0.5595</v>
      </c>
      <c r="AB26" s="452">
        <f>IF('2. START'!$C$20="UTB",(SUMIF('3. PARTNER'!B$13:B$80,B26,'3. PARTNER'!K$13:K$80))+(SUMIF('3. PARTNER'!B$13:B$80,B26,'3. PARTNER'!M$13:M$80)),(SUMIF('3. PARTNER'!B$13:B$80,B26,'3. PARTNER'!G$13:G$80))+(SUMIF('3. PARTNER'!B$13:B$80,B26,'3. PARTNER'!I$13:I$80)))</f>
        <v>0.16000843770704321</v>
      </c>
      <c r="AC26" s="452">
        <f>IF('2. START'!$C$20="UTB",(SUMIF('3. PARTNER'!B$13:B$80,B26,'3. PARTNER'!L$13:L$80))+(SUMIF('3. PARTNER'!B$13:B$80,B26,'3. PARTNER'!N$13:N$80)),(SUMIF('3. PARTNER'!B$13:B$80,B26,'3. PARTNER'!H$13:H$80))+(SUMIF('3. PARTNER'!B$13:B$80,B26,'3. PARTNER'!J$13:J$80)))</f>
        <v>0</v>
      </c>
      <c r="AD26" s="452">
        <f>IF('2. START'!C$11="NO",'2. START'!C$12,0)</f>
        <v>0</v>
      </c>
      <c r="AE26" s="453">
        <f t="shared" si="98"/>
        <v>0</v>
      </c>
      <c r="AF26" s="453">
        <f t="shared" si="99"/>
        <v>0</v>
      </c>
      <c r="AG26" s="454"/>
      <c r="AH26" s="455">
        <f t="shared" si="18"/>
        <v>0</v>
      </c>
      <c r="AI26" s="455">
        <f t="shared" si="19"/>
        <v>0</v>
      </c>
      <c r="AJ26" s="455">
        <f t="shared" si="20"/>
        <v>0</v>
      </c>
      <c r="AK26" s="455">
        <f t="shared" si="21"/>
        <v>0</v>
      </c>
      <c r="AL26" s="455">
        <f t="shared" si="22"/>
        <v>0</v>
      </c>
      <c r="AM26" s="455">
        <f t="shared" si="23"/>
        <v>0</v>
      </c>
      <c r="AN26" s="455">
        <f t="shared" si="24"/>
        <v>0</v>
      </c>
      <c r="AO26" s="455">
        <f t="shared" si="25"/>
        <v>0</v>
      </c>
      <c r="AP26" s="455">
        <f t="shared" si="26"/>
        <v>0</v>
      </c>
      <c r="AQ26" s="455">
        <f t="shared" si="27"/>
        <v>0</v>
      </c>
      <c r="AR26" s="456">
        <f t="shared" si="100"/>
        <v>0</v>
      </c>
      <c r="AS26" s="457"/>
      <c r="AT26" s="455">
        <f t="shared" si="28"/>
        <v>0</v>
      </c>
      <c r="AU26" s="455">
        <f t="shared" si="29"/>
        <v>0</v>
      </c>
      <c r="AV26" s="455">
        <f t="shared" si="30"/>
        <v>0</v>
      </c>
      <c r="AW26" s="455">
        <f t="shared" si="31"/>
        <v>0</v>
      </c>
      <c r="AX26" s="455">
        <f t="shared" si="32"/>
        <v>0</v>
      </c>
      <c r="AY26" s="455">
        <f t="shared" si="33"/>
        <v>0</v>
      </c>
      <c r="AZ26" s="455">
        <f t="shared" si="34"/>
        <v>0</v>
      </c>
      <c r="BA26" s="455">
        <f t="shared" si="35"/>
        <v>0</v>
      </c>
      <c r="BB26" s="455">
        <f t="shared" si="36"/>
        <v>0</v>
      </c>
      <c r="BC26" s="455">
        <f t="shared" si="37"/>
        <v>0</v>
      </c>
      <c r="BD26" s="456">
        <f t="shared" si="101"/>
        <v>0</v>
      </c>
      <c r="BE26" s="457"/>
      <c r="BF26" s="455">
        <f t="shared" si="38"/>
        <v>0</v>
      </c>
      <c r="BG26" s="455">
        <f t="shared" si="39"/>
        <v>0</v>
      </c>
      <c r="BH26" s="455">
        <f t="shared" si="40"/>
        <v>0</v>
      </c>
      <c r="BI26" s="455">
        <f t="shared" si="41"/>
        <v>0</v>
      </c>
      <c r="BJ26" s="455">
        <f t="shared" si="42"/>
        <v>0</v>
      </c>
      <c r="BK26" s="455">
        <f t="shared" si="43"/>
        <v>0</v>
      </c>
      <c r="BL26" s="455">
        <f t="shared" si="44"/>
        <v>0</v>
      </c>
      <c r="BM26" s="455">
        <f t="shared" si="45"/>
        <v>0</v>
      </c>
      <c r="BN26" s="455">
        <f t="shared" si="46"/>
        <v>0</v>
      </c>
      <c r="BO26" s="455">
        <f t="shared" si="47"/>
        <v>0</v>
      </c>
      <c r="BP26" s="456">
        <f t="shared" si="102"/>
        <v>0</v>
      </c>
      <c r="BQ26" s="458"/>
      <c r="BR26" s="459">
        <f t="shared" si="48"/>
        <v>0</v>
      </c>
      <c r="BS26" s="459">
        <f t="shared" si="49"/>
        <v>0</v>
      </c>
      <c r="BT26" s="459">
        <f t="shared" si="50"/>
        <v>0</v>
      </c>
      <c r="BU26" s="459">
        <f t="shared" si="51"/>
        <v>0</v>
      </c>
      <c r="BV26" s="459">
        <f t="shared" si="52"/>
        <v>0</v>
      </c>
      <c r="BW26" s="459">
        <f t="shared" si="53"/>
        <v>0</v>
      </c>
      <c r="BX26" s="459">
        <f t="shared" si="54"/>
        <v>0</v>
      </c>
      <c r="BY26" s="459">
        <f t="shared" si="55"/>
        <v>0</v>
      </c>
      <c r="BZ26" s="459">
        <f t="shared" si="56"/>
        <v>0</v>
      </c>
      <c r="CA26" s="459">
        <f t="shared" si="57"/>
        <v>0</v>
      </c>
      <c r="CB26" s="460">
        <f t="shared" si="103"/>
        <v>0</v>
      </c>
      <c r="CC26" s="461"/>
      <c r="CD26" s="462">
        <f t="shared" si="58"/>
        <v>0</v>
      </c>
      <c r="CE26" s="462">
        <f t="shared" si="59"/>
        <v>0</v>
      </c>
      <c r="CF26" s="462">
        <f t="shared" si="60"/>
        <v>0</v>
      </c>
      <c r="CG26" s="462">
        <f t="shared" si="61"/>
        <v>0</v>
      </c>
      <c r="CH26" s="462">
        <f t="shared" si="62"/>
        <v>0</v>
      </c>
      <c r="CI26" s="462">
        <f t="shared" si="63"/>
        <v>0</v>
      </c>
      <c r="CJ26" s="462">
        <f t="shared" si="64"/>
        <v>0</v>
      </c>
      <c r="CK26" s="462">
        <f t="shared" si="65"/>
        <v>0</v>
      </c>
      <c r="CL26" s="462">
        <f t="shared" si="66"/>
        <v>0</v>
      </c>
      <c r="CM26" s="462">
        <f t="shared" si="67"/>
        <v>0</v>
      </c>
      <c r="CN26" s="460">
        <f t="shared" si="104"/>
        <v>0</v>
      </c>
      <c r="CO26" s="461"/>
      <c r="CP26" s="459">
        <f t="shared" si="68"/>
        <v>0</v>
      </c>
      <c r="CQ26" s="459">
        <f t="shared" si="69"/>
        <v>0</v>
      </c>
      <c r="CR26" s="459">
        <f t="shared" si="70"/>
        <v>0</v>
      </c>
      <c r="CS26" s="459">
        <f t="shared" si="71"/>
        <v>0</v>
      </c>
      <c r="CT26" s="459">
        <f t="shared" si="72"/>
        <v>0</v>
      </c>
      <c r="CU26" s="459">
        <f t="shared" si="73"/>
        <v>0</v>
      </c>
      <c r="CV26" s="459">
        <f t="shared" si="74"/>
        <v>0</v>
      </c>
      <c r="CW26" s="459">
        <f t="shared" si="75"/>
        <v>0</v>
      </c>
      <c r="CX26" s="459">
        <f t="shared" si="76"/>
        <v>0</v>
      </c>
      <c r="CY26" s="459">
        <f t="shared" si="77"/>
        <v>0</v>
      </c>
      <c r="CZ26" s="460">
        <f t="shared" si="105"/>
        <v>0</v>
      </c>
      <c r="DA26" s="463"/>
      <c r="DB26" s="459">
        <f t="shared" si="78"/>
        <v>0</v>
      </c>
      <c r="DC26" s="459">
        <f t="shared" si="79"/>
        <v>0</v>
      </c>
      <c r="DD26" s="459">
        <f t="shared" si="80"/>
        <v>0</v>
      </c>
      <c r="DE26" s="459">
        <f t="shared" si="81"/>
        <v>0</v>
      </c>
      <c r="DF26" s="459">
        <f t="shared" si="82"/>
        <v>0</v>
      </c>
      <c r="DG26" s="459">
        <f t="shared" si="83"/>
        <v>0</v>
      </c>
      <c r="DH26" s="459">
        <f t="shared" si="84"/>
        <v>0</v>
      </c>
      <c r="DI26" s="459">
        <f t="shared" si="85"/>
        <v>0</v>
      </c>
      <c r="DJ26" s="459">
        <f t="shared" si="86"/>
        <v>0</v>
      </c>
      <c r="DK26" s="459">
        <f t="shared" si="87"/>
        <v>0</v>
      </c>
      <c r="DL26" s="460">
        <f t="shared" si="106"/>
        <v>0</v>
      </c>
      <c r="DM26" s="463"/>
      <c r="DN26" s="442">
        <f>IF('2. START'!$C$14&gt;0,(AT26/(1+$AA26))*(1+'2. START'!$C$14),AT26)</f>
        <v>0</v>
      </c>
      <c r="DO26" s="442">
        <f>IF('2. START'!$C$14&gt;0,(AU26/(1+$AA26))*(1+'2. START'!$C$14),AU26)</f>
        <v>0</v>
      </c>
      <c r="DP26" s="442">
        <f>IF('2. START'!$C$14&gt;0,(AV26/(1+$AA26))*(1+'2. START'!$C$14),AV26)</f>
        <v>0</v>
      </c>
      <c r="DQ26" s="442">
        <f>IF('2. START'!$C$14&gt;0,(AW26/(1+$AA26))*(1+'2. START'!$C$14),AW26)</f>
        <v>0</v>
      </c>
      <c r="DR26" s="442">
        <f>IF('2. START'!$C$14&gt;0,(AX26/(1+$AA26))*(1+'2. START'!$C$14),AX26)</f>
        <v>0</v>
      </c>
      <c r="DS26" s="442">
        <f>IF('2. START'!$C$14&gt;0,(AY26/(1+$AA26))*(1+'2. START'!$C$14),AY26)</f>
        <v>0</v>
      </c>
      <c r="DT26" s="442">
        <f>IF('2. START'!$C$14&gt;0,(AZ26/(1+$AA26))*(1+'2. START'!$C$14),AZ26)</f>
        <v>0</v>
      </c>
      <c r="DU26" s="442">
        <f>IF('2. START'!$C$14&gt;0,(BA26/(1+$AA26))*(1+'2. START'!$C$14),BA26)</f>
        <v>0</v>
      </c>
      <c r="DV26" s="442">
        <f>IF('2. START'!$C$14&gt;0,(BB26/(1+$AA26))*(1+'2. START'!$C$14),BB26)</f>
        <v>0</v>
      </c>
      <c r="DW26" s="442">
        <f>IF('2. START'!$C$14&gt;0,(BC26/(1+$AA26))*(1+'2. START'!$C$14),BC26)</f>
        <v>0</v>
      </c>
      <c r="DX26" s="460">
        <f t="shared" si="107"/>
        <v>0</v>
      </c>
      <c r="DY26" s="463"/>
      <c r="DZ26" s="459">
        <f>IF('2. START'!$C$11="NO",(IF('2. START'!$C$14&gt;0,(DN26*$AD26),(AT26*$AD26))),(BR26+CP26))</f>
        <v>0</v>
      </c>
      <c r="EA26" s="459">
        <f>IF('2. START'!$C$11="NO",(IF('2. START'!$C$14&gt;0,(DO26*$AD26),(AU26*$AD26))),(BS26+CQ26))</f>
        <v>0</v>
      </c>
      <c r="EB26" s="459">
        <f>IF('2. START'!$C$11="NO",(IF('2. START'!$C$14&gt;0,(DP26*$AD26),(AV26*$AD26))),(BT26+CR26))</f>
        <v>0</v>
      </c>
      <c r="EC26" s="459">
        <f>IF('2. START'!$C$11="NO",(IF('2. START'!$C$14&gt;0,(DQ26*$AD26),(AW26*$AD26))),(BU26+CS26))</f>
        <v>0</v>
      </c>
      <c r="ED26" s="459">
        <f>IF('2. START'!$C$11="NO",(IF('2. START'!$C$14&gt;0,(DR26*$AD26),(AX26*$AD26))),(BV26+CT26))</f>
        <v>0</v>
      </c>
      <c r="EE26" s="459">
        <f>IF('2. START'!$C$11="NO",(IF('2. START'!$C$14&gt;0,(DS26*$AD26),(AY26*$AD26))),(BW26+CU26))</f>
        <v>0</v>
      </c>
      <c r="EF26" s="459">
        <f>IF('2. START'!$C$11="NO",(IF('2. START'!$C$14&gt;0,(DT26*$AD26),(AZ26*$AD26))),(BX26+CV26))</f>
        <v>0</v>
      </c>
      <c r="EG26" s="459">
        <f>IF('2. START'!$C$11="NO",(IF('2. START'!$C$14&gt;0,(DU26*$AD26),(BA26*$AD26))),(BY26+CW26))</f>
        <v>0</v>
      </c>
      <c r="EH26" s="459">
        <f>IF('2. START'!$C$11="NO",(IF('2. START'!$C$14&gt;0,(DV26*$AD26),(BB26*$AD26))),(BZ26+CX26))</f>
        <v>0</v>
      </c>
      <c r="EI26" s="459">
        <f>IF('2. START'!$C$11="NO",(IF('2. START'!$C$14&gt;0,(DW26*$AD26),(BC26*$AD26))),(CA26+CY26))</f>
        <v>0</v>
      </c>
      <c r="EJ26" s="460">
        <f t="shared" si="108"/>
        <v>0</v>
      </c>
      <c r="EK26" s="463"/>
      <c r="EL26" s="459">
        <f>(BR26+CP26-DZ26)+IF('2. START'!$C$14&gt;0,AT26-DN26,0)</f>
        <v>0</v>
      </c>
      <c r="EM26" s="459">
        <f>(BS26+CQ26-EA26)+IF('2. START'!$C$14&gt;0,AU26-DO26,0)</f>
        <v>0</v>
      </c>
      <c r="EN26" s="459">
        <f>(BT26+CR26-EB26)+IF('2. START'!$C$14&gt;0,AV26-DP26,0)</f>
        <v>0</v>
      </c>
      <c r="EO26" s="459">
        <f>(BU26+CS26-EC26)+IF('2. START'!$C$14&gt;0,AW26-DQ26,0)</f>
        <v>0</v>
      </c>
      <c r="EP26" s="459">
        <f>(BV26+CT26-ED26)+IF('2. START'!$C$14&gt;0,AX26-DR26,0)</f>
        <v>0</v>
      </c>
      <c r="EQ26" s="459">
        <f>(BW26+CU26-EE26)+IF('2. START'!$C$14&gt;0,AY26-DS26,0)</f>
        <v>0</v>
      </c>
      <c r="ER26" s="459">
        <f>(BX26+CV26-EF26)+IF('2. START'!$C$14&gt;0,AZ26-DT26,0)</f>
        <v>0</v>
      </c>
      <c r="ES26" s="459">
        <f>(BY26+CW26-EG26)+IF('2. START'!$C$14&gt;0,BA26-DU26,0)</f>
        <v>0</v>
      </c>
      <c r="ET26" s="459">
        <f>(BZ26+CX26-EH26)+IF('2. START'!$C$14&gt;0,BB26-DV26,0)</f>
        <v>0</v>
      </c>
      <c r="EU26" s="459">
        <f>(CA26+CY26-EI26)+IF('2. START'!$C$14&gt;0,BC26-DW26,0)</f>
        <v>0</v>
      </c>
      <c r="EV26" s="460">
        <f t="shared" si="109"/>
        <v>0</v>
      </c>
      <c r="EW26" s="463"/>
      <c r="EX26" s="459">
        <f t="shared" si="110"/>
        <v>0</v>
      </c>
      <c r="EY26" s="459">
        <f t="shared" si="111"/>
        <v>0</v>
      </c>
      <c r="EZ26" s="459">
        <f t="shared" si="112"/>
        <v>0</v>
      </c>
      <c r="FA26" s="459">
        <f t="shared" si="113"/>
        <v>0</v>
      </c>
      <c r="FB26" s="459">
        <f t="shared" si="114"/>
        <v>0</v>
      </c>
      <c r="FC26" s="459">
        <f t="shared" si="115"/>
        <v>0</v>
      </c>
      <c r="FD26" s="459">
        <f t="shared" si="116"/>
        <v>0</v>
      </c>
      <c r="FE26" s="459">
        <f t="shared" si="117"/>
        <v>0</v>
      </c>
      <c r="FF26" s="459">
        <f t="shared" si="118"/>
        <v>0</v>
      </c>
      <c r="FG26" s="459">
        <f t="shared" si="119"/>
        <v>0</v>
      </c>
      <c r="FH26" s="460">
        <f t="shared" si="120"/>
        <v>0</v>
      </c>
      <c r="FI26" s="463"/>
      <c r="FJ26" s="459">
        <f t="shared" si="121"/>
        <v>0</v>
      </c>
      <c r="FK26" s="459">
        <f t="shared" si="122"/>
        <v>0</v>
      </c>
      <c r="FL26" s="459">
        <f t="shared" si="123"/>
        <v>0</v>
      </c>
      <c r="FM26" s="459">
        <f t="shared" si="124"/>
        <v>0</v>
      </c>
      <c r="FN26" s="459">
        <f t="shared" si="125"/>
        <v>0</v>
      </c>
      <c r="FO26" s="459">
        <f t="shared" si="126"/>
        <v>0</v>
      </c>
      <c r="FP26" s="459">
        <f t="shared" si="127"/>
        <v>0</v>
      </c>
      <c r="FQ26" s="459">
        <f t="shared" si="128"/>
        <v>0</v>
      </c>
      <c r="FR26" s="459">
        <f t="shared" si="129"/>
        <v>0</v>
      </c>
      <c r="FS26" s="459">
        <f t="shared" si="130"/>
        <v>0</v>
      </c>
      <c r="FT26" s="460">
        <f t="shared" si="131"/>
        <v>0</v>
      </c>
    </row>
    <row r="27" spans="2:176" s="270" customFormat="1" ht="15" customHeight="1" x14ac:dyDescent="0.25">
      <c r="B27" s="464" t="str">
        <f>'2. START'!C$7</f>
        <v>100GEM</v>
      </c>
      <c r="C27" s="465"/>
      <c r="D27" s="590"/>
      <c r="E27" s="514">
        <v>0</v>
      </c>
      <c r="F27" s="431"/>
      <c r="G27" s="432"/>
      <c r="H27" s="432"/>
      <c r="I27" s="432"/>
      <c r="J27" s="432"/>
      <c r="K27" s="432"/>
      <c r="L27" s="432"/>
      <c r="M27" s="432"/>
      <c r="N27" s="432"/>
      <c r="O27" s="432"/>
      <c r="P27" s="432"/>
      <c r="Q27" s="545">
        <f>SUMIF('3. PARTNER'!$B$13:$B$80,$B27,'3. PARTNER'!$F$13:$F$80)</f>
        <v>0.02</v>
      </c>
      <c r="R27" s="466">
        <f t="shared" ref="R27:Z36" si="132">$Q27</f>
        <v>0.02</v>
      </c>
      <c r="S27" s="466">
        <f t="shared" si="132"/>
        <v>0.02</v>
      </c>
      <c r="T27" s="466">
        <f t="shared" si="132"/>
        <v>0.02</v>
      </c>
      <c r="U27" s="466">
        <f t="shared" si="132"/>
        <v>0.02</v>
      </c>
      <c r="V27" s="466">
        <f t="shared" si="132"/>
        <v>0.02</v>
      </c>
      <c r="W27" s="466">
        <f t="shared" si="132"/>
        <v>0.02</v>
      </c>
      <c r="X27" s="466">
        <f t="shared" si="132"/>
        <v>0.02</v>
      </c>
      <c r="Y27" s="466">
        <f t="shared" si="132"/>
        <v>0.02</v>
      </c>
      <c r="Z27" s="466">
        <f t="shared" si="132"/>
        <v>0.02</v>
      </c>
      <c r="AA27" s="434">
        <f>SUMIF('3. PARTNER'!B$13:B$80,B27,'3. PARTNER'!E$13:E$80)</f>
        <v>0.5595</v>
      </c>
      <c r="AB27" s="435">
        <f>IF('2. START'!$C$20="UTB",(SUMIF('3. PARTNER'!B$13:B$80,B27,'3. PARTNER'!K$13:K$80))+(SUMIF('3. PARTNER'!B$13:B$80,B27,'3. PARTNER'!M$13:M$80)),(SUMIF('3. PARTNER'!B$13:B$80,B27,'3. PARTNER'!G$13:G$80))+(SUMIF('3. PARTNER'!B$13:B$80,B27,'3. PARTNER'!I$13:I$80)))</f>
        <v>0.16000843770704321</v>
      </c>
      <c r="AC27" s="435">
        <f>IF('2. START'!$C$20="UTB",(SUMIF('3. PARTNER'!B$13:B$80,B27,'3. PARTNER'!L$13:L$80))+(SUMIF('3. PARTNER'!B$13:B$80,B27,'3. PARTNER'!N$13:N$80)),(SUMIF('3. PARTNER'!B$13:B$80,B27,'3. PARTNER'!H$13:H$80))+(SUMIF('3. PARTNER'!B$13:B$80,B27,'3. PARTNER'!J$13:J$80)))</f>
        <v>0</v>
      </c>
      <c r="AD27" s="435">
        <f>IF('2. START'!C$11="NO",'2. START'!C$12,0)</f>
        <v>0</v>
      </c>
      <c r="AE27" s="436">
        <f t="shared" si="98"/>
        <v>0</v>
      </c>
      <c r="AF27" s="436">
        <f t="shared" si="99"/>
        <v>0</v>
      </c>
      <c r="AG27" s="437"/>
      <c r="AH27" s="438">
        <f t="shared" si="18"/>
        <v>0</v>
      </c>
      <c r="AI27" s="438">
        <f t="shared" si="19"/>
        <v>0</v>
      </c>
      <c r="AJ27" s="438">
        <f t="shared" si="20"/>
        <v>0</v>
      </c>
      <c r="AK27" s="438">
        <f t="shared" si="21"/>
        <v>0</v>
      </c>
      <c r="AL27" s="438">
        <f t="shared" si="22"/>
        <v>0</v>
      </c>
      <c r="AM27" s="438">
        <f t="shared" si="23"/>
        <v>0</v>
      </c>
      <c r="AN27" s="438">
        <f t="shared" si="24"/>
        <v>0</v>
      </c>
      <c r="AO27" s="438">
        <f t="shared" si="25"/>
        <v>0</v>
      </c>
      <c r="AP27" s="438">
        <f t="shared" si="26"/>
        <v>0</v>
      </c>
      <c r="AQ27" s="438">
        <f t="shared" si="27"/>
        <v>0</v>
      </c>
      <c r="AR27" s="439">
        <f t="shared" si="100"/>
        <v>0</v>
      </c>
      <c r="AS27" s="440"/>
      <c r="AT27" s="438">
        <f t="shared" si="28"/>
        <v>0</v>
      </c>
      <c r="AU27" s="438">
        <f t="shared" si="29"/>
        <v>0</v>
      </c>
      <c r="AV27" s="438">
        <f t="shared" si="30"/>
        <v>0</v>
      </c>
      <c r="AW27" s="438">
        <f t="shared" si="31"/>
        <v>0</v>
      </c>
      <c r="AX27" s="438">
        <f t="shared" si="32"/>
        <v>0</v>
      </c>
      <c r="AY27" s="438">
        <f t="shared" si="33"/>
        <v>0</v>
      </c>
      <c r="AZ27" s="438">
        <f t="shared" si="34"/>
        <v>0</v>
      </c>
      <c r="BA27" s="438">
        <f t="shared" si="35"/>
        <v>0</v>
      </c>
      <c r="BB27" s="438">
        <f t="shared" si="36"/>
        <v>0</v>
      </c>
      <c r="BC27" s="438">
        <f t="shared" si="37"/>
        <v>0</v>
      </c>
      <c r="BD27" s="439">
        <f t="shared" si="101"/>
        <v>0</v>
      </c>
      <c r="BE27" s="440"/>
      <c r="BF27" s="438">
        <f t="shared" si="38"/>
        <v>0</v>
      </c>
      <c r="BG27" s="438">
        <f t="shared" si="39"/>
        <v>0</v>
      </c>
      <c r="BH27" s="438">
        <f t="shared" si="40"/>
        <v>0</v>
      </c>
      <c r="BI27" s="438">
        <f t="shared" si="41"/>
        <v>0</v>
      </c>
      <c r="BJ27" s="438">
        <f t="shared" si="42"/>
        <v>0</v>
      </c>
      <c r="BK27" s="438">
        <f t="shared" si="43"/>
        <v>0</v>
      </c>
      <c r="BL27" s="438">
        <f t="shared" si="44"/>
        <v>0</v>
      </c>
      <c r="BM27" s="438">
        <f t="shared" si="45"/>
        <v>0</v>
      </c>
      <c r="BN27" s="438">
        <f t="shared" si="46"/>
        <v>0</v>
      </c>
      <c r="BO27" s="438">
        <f t="shared" si="47"/>
        <v>0</v>
      </c>
      <c r="BP27" s="439">
        <f t="shared" si="102"/>
        <v>0</v>
      </c>
      <c r="BQ27" s="441"/>
      <c r="BR27" s="442">
        <f t="shared" si="48"/>
        <v>0</v>
      </c>
      <c r="BS27" s="442">
        <f t="shared" si="49"/>
        <v>0</v>
      </c>
      <c r="BT27" s="442">
        <f t="shared" si="50"/>
        <v>0</v>
      </c>
      <c r="BU27" s="442">
        <f t="shared" si="51"/>
        <v>0</v>
      </c>
      <c r="BV27" s="442">
        <f t="shared" si="52"/>
        <v>0</v>
      </c>
      <c r="BW27" s="442">
        <f t="shared" si="53"/>
        <v>0</v>
      </c>
      <c r="BX27" s="442">
        <f t="shared" si="54"/>
        <v>0</v>
      </c>
      <c r="BY27" s="442">
        <f t="shared" si="55"/>
        <v>0</v>
      </c>
      <c r="BZ27" s="442">
        <f t="shared" si="56"/>
        <v>0</v>
      </c>
      <c r="CA27" s="442">
        <f t="shared" si="57"/>
        <v>0</v>
      </c>
      <c r="CB27" s="443">
        <f t="shared" si="103"/>
        <v>0</v>
      </c>
      <c r="CC27" s="444"/>
      <c r="CD27" s="445">
        <f t="shared" si="58"/>
        <v>0</v>
      </c>
      <c r="CE27" s="445">
        <f t="shared" si="59"/>
        <v>0</v>
      </c>
      <c r="CF27" s="445">
        <f t="shared" si="60"/>
        <v>0</v>
      </c>
      <c r="CG27" s="445">
        <f t="shared" si="61"/>
        <v>0</v>
      </c>
      <c r="CH27" s="445">
        <f t="shared" si="62"/>
        <v>0</v>
      </c>
      <c r="CI27" s="445">
        <f t="shared" si="63"/>
        <v>0</v>
      </c>
      <c r="CJ27" s="445">
        <f t="shared" si="64"/>
        <v>0</v>
      </c>
      <c r="CK27" s="445">
        <f t="shared" si="65"/>
        <v>0</v>
      </c>
      <c r="CL27" s="445">
        <f t="shared" si="66"/>
        <v>0</v>
      </c>
      <c r="CM27" s="445">
        <f t="shared" si="67"/>
        <v>0</v>
      </c>
      <c r="CN27" s="443">
        <f t="shared" si="104"/>
        <v>0</v>
      </c>
      <c r="CO27" s="444"/>
      <c r="CP27" s="442">
        <f t="shared" si="68"/>
        <v>0</v>
      </c>
      <c r="CQ27" s="442">
        <f t="shared" si="69"/>
        <v>0</v>
      </c>
      <c r="CR27" s="442">
        <f t="shared" si="70"/>
        <v>0</v>
      </c>
      <c r="CS27" s="442">
        <f t="shared" si="71"/>
        <v>0</v>
      </c>
      <c r="CT27" s="442">
        <f t="shared" si="72"/>
        <v>0</v>
      </c>
      <c r="CU27" s="442">
        <f t="shared" si="73"/>
        <v>0</v>
      </c>
      <c r="CV27" s="442">
        <f t="shared" si="74"/>
        <v>0</v>
      </c>
      <c r="CW27" s="442">
        <f t="shared" si="75"/>
        <v>0</v>
      </c>
      <c r="CX27" s="442">
        <f t="shared" si="76"/>
        <v>0</v>
      </c>
      <c r="CY27" s="442">
        <f t="shared" si="77"/>
        <v>0</v>
      </c>
      <c r="CZ27" s="443">
        <f t="shared" si="105"/>
        <v>0</v>
      </c>
      <c r="DB27" s="442">
        <f t="shared" si="78"/>
        <v>0</v>
      </c>
      <c r="DC27" s="442">
        <f t="shared" si="79"/>
        <v>0</v>
      </c>
      <c r="DD27" s="442">
        <f t="shared" si="80"/>
        <v>0</v>
      </c>
      <c r="DE27" s="442">
        <f t="shared" si="81"/>
        <v>0</v>
      </c>
      <c r="DF27" s="442">
        <f t="shared" si="82"/>
        <v>0</v>
      </c>
      <c r="DG27" s="442">
        <f t="shared" si="83"/>
        <v>0</v>
      </c>
      <c r="DH27" s="442">
        <f t="shared" si="84"/>
        <v>0</v>
      </c>
      <c r="DI27" s="442">
        <f t="shared" si="85"/>
        <v>0</v>
      </c>
      <c r="DJ27" s="442">
        <f t="shared" si="86"/>
        <v>0</v>
      </c>
      <c r="DK27" s="442">
        <f t="shared" si="87"/>
        <v>0</v>
      </c>
      <c r="DL27" s="443">
        <f t="shared" si="106"/>
        <v>0</v>
      </c>
      <c r="DN27" s="442">
        <f>IF('2. START'!$C$14&gt;0,(AT27/(1+$AA27))*(1+'2. START'!$C$14),AT27)</f>
        <v>0</v>
      </c>
      <c r="DO27" s="442">
        <f>IF('2. START'!$C$14&gt;0,(AU27/(1+$AA27))*(1+'2. START'!$C$14),AU27)</f>
        <v>0</v>
      </c>
      <c r="DP27" s="442">
        <f>IF('2. START'!$C$14&gt;0,(AV27/(1+$AA27))*(1+'2. START'!$C$14),AV27)</f>
        <v>0</v>
      </c>
      <c r="DQ27" s="442">
        <f>IF('2. START'!$C$14&gt;0,(AW27/(1+$AA27))*(1+'2. START'!$C$14),AW27)</f>
        <v>0</v>
      </c>
      <c r="DR27" s="442">
        <f>IF('2. START'!$C$14&gt;0,(AX27/(1+$AA27))*(1+'2. START'!$C$14),AX27)</f>
        <v>0</v>
      </c>
      <c r="DS27" s="442">
        <f>IF('2. START'!$C$14&gt;0,(AY27/(1+$AA27))*(1+'2. START'!$C$14),AY27)</f>
        <v>0</v>
      </c>
      <c r="DT27" s="442">
        <f>IF('2. START'!$C$14&gt;0,(AZ27/(1+$AA27))*(1+'2. START'!$C$14),AZ27)</f>
        <v>0</v>
      </c>
      <c r="DU27" s="442">
        <f>IF('2. START'!$C$14&gt;0,(BA27/(1+$AA27))*(1+'2. START'!$C$14),BA27)</f>
        <v>0</v>
      </c>
      <c r="DV27" s="442">
        <f>IF('2. START'!$C$14&gt;0,(BB27/(1+$AA27))*(1+'2. START'!$C$14),BB27)</f>
        <v>0</v>
      </c>
      <c r="DW27" s="442">
        <f>IF('2. START'!$C$14&gt;0,(BC27/(1+$AA27))*(1+'2. START'!$C$14),BC27)</f>
        <v>0</v>
      </c>
      <c r="DX27" s="443">
        <f t="shared" si="107"/>
        <v>0</v>
      </c>
      <c r="DZ27" s="442">
        <f>IF('2. START'!$C$11="NO",(IF('2. START'!$C$14&gt;0,(DN27*$AD27),(AT27*$AD27))),(BR27+CP27))</f>
        <v>0</v>
      </c>
      <c r="EA27" s="442">
        <f>IF('2. START'!$C$11="NO",(IF('2. START'!$C$14&gt;0,(DO27*$AD27),(AU27*$AD27))),(BS27+CQ27))</f>
        <v>0</v>
      </c>
      <c r="EB27" s="442">
        <f>IF('2. START'!$C$11="NO",(IF('2. START'!$C$14&gt;0,(DP27*$AD27),(AV27*$AD27))),(BT27+CR27))</f>
        <v>0</v>
      </c>
      <c r="EC27" s="442">
        <f>IF('2. START'!$C$11="NO",(IF('2. START'!$C$14&gt;0,(DQ27*$AD27),(AW27*$AD27))),(BU27+CS27))</f>
        <v>0</v>
      </c>
      <c r="ED27" s="442">
        <f>IF('2. START'!$C$11="NO",(IF('2. START'!$C$14&gt;0,(DR27*$AD27),(AX27*$AD27))),(BV27+CT27))</f>
        <v>0</v>
      </c>
      <c r="EE27" s="442">
        <f>IF('2. START'!$C$11="NO",(IF('2. START'!$C$14&gt;0,(DS27*$AD27),(AY27*$AD27))),(BW27+CU27))</f>
        <v>0</v>
      </c>
      <c r="EF27" s="442">
        <f>IF('2. START'!$C$11="NO",(IF('2. START'!$C$14&gt;0,(DT27*$AD27),(AZ27*$AD27))),(BX27+CV27))</f>
        <v>0</v>
      </c>
      <c r="EG27" s="442">
        <f>IF('2. START'!$C$11="NO",(IF('2. START'!$C$14&gt;0,(DU27*$AD27),(BA27*$AD27))),(BY27+CW27))</f>
        <v>0</v>
      </c>
      <c r="EH27" s="442">
        <f>IF('2. START'!$C$11="NO",(IF('2. START'!$C$14&gt;0,(DV27*$AD27),(BB27*$AD27))),(BZ27+CX27))</f>
        <v>0</v>
      </c>
      <c r="EI27" s="442">
        <f>IF('2. START'!$C$11="NO",(IF('2. START'!$C$14&gt;0,(DW27*$AD27),(BC27*$AD27))),(CA27+CY27))</f>
        <v>0</v>
      </c>
      <c r="EJ27" s="443">
        <f t="shared" si="108"/>
        <v>0</v>
      </c>
      <c r="EL27" s="442">
        <f>(BR27+CP27-DZ27)+IF('2. START'!$C$14&gt;0,AT27-DN27,0)</f>
        <v>0</v>
      </c>
      <c r="EM27" s="442">
        <f>(BS27+CQ27-EA27)+IF('2. START'!$C$14&gt;0,AU27-DO27,0)</f>
        <v>0</v>
      </c>
      <c r="EN27" s="442">
        <f>(BT27+CR27-EB27)+IF('2. START'!$C$14&gt;0,AV27-DP27,0)</f>
        <v>0</v>
      </c>
      <c r="EO27" s="442">
        <f>(BU27+CS27-EC27)+IF('2. START'!$C$14&gt;0,AW27-DQ27,0)</f>
        <v>0</v>
      </c>
      <c r="EP27" s="442">
        <f>(BV27+CT27-ED27)+IF('2. START'!$C$14&gt;0,AX27-DR27,0)</f>
        <v>0</v>
      </c>
      <c r="EQ27" s="442">
        <f>(BW27+CU27-EE27)+IF('2. START'!$C$14&gt;0,AY27-DS27,0)</f>
        <v>0</v>
      </c>
      <c r="ER27" s="442">
        <f>(BX27+CV27-EF27)+IF('2. START'!$C$14&gt;0,AZ27-DT27,0)</f>
        <v>0</v>
      </c>
      <c r="ES27" s="442">
        <f>(BY27+CW27-EG27)+IF('2. START'!$C$14&gt;0,BA27-DU27,0)</f>
        <v>0</v>
      </c>
      <c r="ET27" s="442">
        <f>(BZ27+CX27-EH27)+IF('2. START'!$C$14&gt;0,BB27-DV27,0)</f>
        <v>0</v>
      </c>
      <c r="EU27" s="442">
        <f>(CA27+CY27-EI27)+IF('2. START'!$C$14&gt;0,BC27-DW27,0)</f>
        <v>0</v>
      </c>
      <c r="EV27" s="443">
        <f t="shared" si="109"/>
        <v>0</v>
      </c>
      <c r="EX27" s="442">
        <f t="shared" si="110"/>
        <v>0</v>
      </c>
      <c r="EY27" s="442">
        <f t="shared" si="111"/>
        <v>0</v>
      </c>
      <c r="EZ27" s="442">
        <f t="shared" si="112"/>
        <v>0</v>
      </c>
      <c r="FA27" s="442">
        <f t="shared" si="113"/>
        <v>0</v>
      </c>
      <c r="FB27" s="442">
        <f t="shared" si="114"/>
        <v>0</v>
      </c>
      <c r="FC27" s="442">
        <f t="shared" si="115"/>
        <v>0</v>
      </c>
      <c r="FD27" s="442">
        <f t="shared" si="116"/>
        <v>0</v>
      </c>
      <c r="FE27" s="442">
        <f t="shared" si="117"/>
        <v>0</v>
      </c>
      <c r="FF27" s="442">
        <f t="shared" si="118"/>
        <v>0</v>
      </c>
      <c r="FG27" s="442">
        <f t="shared" si="119"/>
        <v>0</v>
      </c>
      <c r="FH27" s="443">
        <f t="shared" si="120"/>
        <v>0</v>
      </c>
      <c r="FJ27" s="442">
        <f t="shared" si="121"/>
        <v>0</v>
      </c>
      <c r="FK27" s="442">
        <f t="shared" si="122"/>
        <v>0</v>
      </c>
      <c r="FL27" s="442">
        <f t="shared" si="123"/>
        <v>0</v>
      </c>
      <c r="FM27" s="442">
        <f t="shared" si="124"/>
        <v>0</v>
      </c>
      <c r="FN27" s="442">
        <f t="shared" si="125"/>
        <v>0</v>
      </c>
      <c r="FO27" s="442">
        <f t="shared" si="126"/>
        <v>0</v>
      </c>
      <c r="FP27" s="442">
        <f t="shared" si="127"/>
        <v>0</v>
      </c>
      <c r="FQ27" s="442">
        <f t="shared" si="128"/>
        <v>0</v>
      </c>
      <c r="FR27" s="442">
        <f t="shared" si="129"/>
        <v>0</v>
      </c>
      <c r="FS27" s="442">
        <f t="shared" si="130"/>
        <v>0</v>
      </c>
      <c r="FT27" s="443">
        <f t="shared" si="131"/>
        <v>0</v>
      </c>
    </row>
    <row r="28" spans="2:176" s="270" customFormat="1" ht="15" customHeight="1" x14ac:dyDescent="0.25">
      <c r="B28" s="446" t="str">
        <f>'2. START'!C$7</f>
        <v>100GEM</v>
      </c>
      <c r="C28" s="447"/>
      <c r="D28" s="589"/>
      <c r="E28" s="544">
        <v>0</v>
      </c>
      <c r="F28" s="448"/>
      <c r="G28" s="449"/>
      <c r="H28" s="449"/>
      <c r="I28" s="449"/>
      <c r="J28" s="449"/>
      <c r="K28" s="449"/>
      <c r="L28" s="449"/>
      <c r="M28" s="449"/>
      <c r="N28" s="449"/>
      <c r="O28" s="449"/>
      <c r="P28" s="449"/>
      <c r="Q28" s="546">
        <f>SUMIF('3. PARTNER'!$B$13:$B$80,$B28,'3. PARTNER'!$F$13:$F$80)</f>
        <v>0.02</v>
      </c>
      <c r="R28" s="450">
        <f t="shared" si="132"/>
        <v>0.02</v>
      </c>
      <c r="S28" s="450">
        <f t="shared" si="132"/>
        <v>0.02</v>
      </c>
      <c r="T28" s="450">
        <f t="shared" si="132"/>
        <v>0.02</v>
      </c>
      <c r="U28" s="450">
        <f t="shared" si="132"/>
        <v>0.02</v>
      </c>
      <c r="V28" s="450">
        <f t="shared" si="132"/>
        <v>0.02</v>
      </c>
      <c r="W28" s="450">
        <f t="shared" si="132"/>
        <v>0.02</v>
      </c>
      <c r="X28" s="450">
        <f t="shared" si="132"/>
        <v>0.02</v>
      </c>
      <c r="Y28" s="450">
        <f t="shared" si="132"/>
        <v>0.02</v>
      </c>
      <c r="Z28" s="450">
        <f t="shared" si="132"/>
        <v>0.02</v>
      </c>
      <c r="AA28" s="451">
        <f>SUMIF('3. PARTNER'!B$13:B$80,B28,'3. PARTNER'!E$13:E$80)</f>
        <v>0.5595</v>
      </c>
      <c r="AB28" s="452">
        <f>IF('2. START'!$C$20="UTB",(SUMIF('3. PARTNER'!B$13:B$80,B28,'3. PARTNER'!K$13:K$80))+(SUMIF('3. PARTNER'!B$13:B$80,B28,'3. PARTNER'!M$13:M$80)),(SUMIF('3. PARTNER'!B$13:B$80,B28,'3. PARTNER'!G$13:G$80))+(SUMIF('3. PARTNER'!B$13:B$80,B28,'3. PARTNER'!I$13:I$80)))</f>
        <v>0.16000843770704321</v>
      </c>
      <c r="AC28" s="452">
        <f>IF('2. START'!$C$20="UTB",(SUMIF('3. PARTNER'!B$13:B$80,B28,'3. PARTNER'!L$13:L$80))+(SUMIF('3. PARTNER'!B$13:B$80,B28,'3. PARTNER'!N$13:N$80)),(SUMIF('3. PARTNER'!B$13:B$80,B28,'3. PARTNER'!H$13:H$80))+(SUMIF('3. PARTNER'!B$13:B$80,B28,'3. PARTNER'!J$13:J$80)))</f>
        <v>0</v>
      </c>
      <c r="AD28" s="452">
        <f>IF('2. START'!C$11="NO",'2. START'!C$12,0)</f>
        <v>0</v>
      </c>
      <c r="AE28" s="453">
        <f t="shared" si="98"/>
        <v>0</v>
      </c>
      <c r="AF28" s="453">
        <f t="shared" si="99"/>
        <v>0</v>
      </c>
      <c r="AG28" s="454"/>
      <c r="AH28" s="455">
        <f t="shared" si="18"/>
        <v>0</v>
      </c>
      <c r="AI28" s="455">
        <f t="shared" si="19"/>
        <v>0</v>
      </c>
      <c r="AJ28" s="455">
        <f t="shared" si="20"/>
        <v>0</v>
      </c>
      <c r="AK28" s="455">
        <f t="shared" si="21"/>
        <v>0</v>
      </c>
      <c r="AL28" s="455">
        <f t="shared" si="22"/>
        <v>0</v>
      </c>
      <c r="AM28" s="455">
        <f t="shared" si="23"/>
        <v>0</v>
      </c>
      <c r="AN28" s="455">
        <f t="shared" si="24"/>
        <v>0</v>
      </c>
      <c r="AO28" s="455">
        <f t="shared" si="25"/>
        <v>0</v>
      </c>
      <c r="AP28" s="455">
        <f t="shared" si="26"/>
        <v>0</v>
      </c>
      <c r="AQ28" s="455">
        <f t="shared" si="27"/>
        <v>0</v>
      </c>
      <c r="AR28" s="456">
        <f t="shared" si="100"/>
        <v>0</v>
      </c>
      <c r="AS28" s="457"/>
      <c r="AT28" s="455">
        <f t="shared" si="28"/>
        <v>0</v>
      </c>
      <c r="AU28" s="455">
        <f t="shared" si="29"/>
        <v>0</v>
      </c>
      <c r="AV28" s="455">
        <f t="shared" si="30"/>
        <v>0</v>
      </c>
      <c r="AW28" s="455">
        <f t="shared" si="31"/>
        <v>0</v>
      </c>
      <c r="AX28" s="455">
        <f t="shared" si="32"/>
        <v>0</v>
      </c>
      <c r="AY28" s="455">
        <f t="shared" si="33"/>
        <v>0</v>
      </c>
      <c r="AZ28" s="455">
        <f t="shared" si="34"/>
        <v>0</v>
      </c>
      <c r="BA28" s="455">
        <f t="shared" si="35"/>
        <v>0</v>
      </c>
      <c r="BB28" s="455">
        <f t="shared" si="36"/>
        <v>0</v>
      </c>
      <c r="BC28" s="455">
        <f t="shared" si="37"/>
        <v>0</v>
      </c>
      <c r="BD28" s="456">
        <f t="shared" si="101"/>
        <v>0</v>
      </c>
      <c r="BE28" s="457"/>
      <c r="BF28" s="455">
        <f t="shared" si="38"/>
        <v>0</v>
      </c>
      <c r="BG28" s="455">
        <f t="shared" si="39"/>
        <v>0</v>
      </c>
      <c r="BH28" s="455">
        <f t="shared" si="40"/>
        <v>0</v>
      </c>
      <c r="BI28" s="455">
        <f t="shared" si="41"/>
        <v>0</v>
      </c>
      <c r="BJ28" s="455">
        <f t="shared" si="42"/>
        <v>0</v>
      </c>
      <c r="BK28" s="455">
        <f t="shared" si="43"/>
        <v>0</v>
      </c>
      <c r="BL28" s="455">
        <f t="shared" si="44"/>
        <v>0</v>
      </c>
      <c r="BM28" s="455">
        <f t="shared" si="45"/>
        <v>0</v>
      </c>
      <c r="BN28" s="455">
        <f t="shared" si="46"/>
        <v>0</v>
      </c>
      <c r="BO28" s="455">
        <f t="shared" si="47"/>
        <v>0</v>
      </c>
      <c r="BP28" s="456">
        <f t="shared" si="102"/>
        <v>0</v>
      </c>
      <c r="BQ28" s="458"/>
      <c r="BR28" s="459">
        <f t="shared" si="48"/>
        <v>0</v>
      </c>
      <c r="BS28" s="459">
        <f t="shared" si="49"/>
        <v>0</v>
      </c>
      <c r="BT28" s="459">
        <f t="shared" si="50"/>
        <v>0</v>
      </c>
      <c r="BU28" s="459">
        <f t="shared" si="51"/>
        <v>0</v>
      </c>
      <c r="BV28" s="459">
        <f t="shared" si="52"/>
        <v>0</v>
      </c>
      <c r="BW28" s="459">
        <f t="shared" si="53"/>
        <v>0</v>
      </c>
      <c r="BX28" s="459">
        <f t="shared" si="54"/>
        <v>0</v>
      </c>
      <c r="BY28" s="459">
        <f t="shared" si="55"/>
        <v>0</v>
      </c>
      <c r="BZ28" s="459">
        <f t="shared" si="56"/>
        <v>0</v>
      </c>
      <c r="CA28" s="459">
        <f t="shared" si="57"/>
        <v>0</v>
      </c>
      <c r="CB28" s="460">
        <f t="shared" si="103"/>
        <v>0</v>
      </c>
      <c r="CC28" s="461"/>
      <c r="CD28" s="462">
        <f t="shared" si="58"/>
        <v>0</v>
      </c>
      <c r="CE28" s="462">
        <f t="shared" si="59"/>
        <v>0</v>
      </c>
      <c r="CF28" s="462">
        <f t="shared" si="60"/>
        <v>0</v>
      </c>
      <c r="CG28" s="462">
        <f t="shared" si="61"/>
        <v>0</v>
      </c>
      <c r="CH28" s="462">
        <f t="shared" si="62"/>
        <v>0</v>
      </c>
      <c r="CI28" s="462">
        <f t="shared" si="63"/>
        <v>0</v>
      </c>
      <c r="CJ28" s="462">
        <f t="shared" si="64"/>
        <v>0</v>
      </c>
      <c r="CK28" s="462">
        <f t="shared" si="65"/>
        <v>0</v>
      </c>
      <c r="CL28" s="462">
        <f t="shared" si="66"/>
        <v>0</v>
      </c>
      <c r="CM28" s="462">
        <f t="shared" si="67"/>
        <v>0</v>
      </c>
      <c r="CN28" s="460">
        <f t="shared" si="104"/>
        <v>0</v>
      </c>
      <c r="CO28" s="461"/>
      <c r="CP28" s="459">
        <f t="shared" si="68"/>
        <v>0</v>
      </c>
      <c r="CQ28" s="459">
        <f t="shared" si="69"/>
        <v>0</v>
      </c>
      <c r="CR28" s="459">
        <f t="shared" si="70"/>
        <v>0</v>
      </c>
      <c r="CS28" s="459">
        <f t="shared" si="71"/>
        <v>0</v>
      </c>
      <c r="CT28" s="459">
        <f t="shared" si="72"/>
        <v>0</v>
      </c>
      <c r="CU28" s="459">
        <f t="shared" si="73"/>
        <v>0</v>
      </c>
      <c r="CV28" s="459">
        <f t="shared" si="74"/>
        <v>0</v>
      </c>
      <c r="CW28" s="459">
        <f t="shared" si="75"/>
        <v>0</v>
      </c>
      <c r="CX28" s="459">
        <f t="shared" si="76"/>
        <v>0</v>
      </c>
      <c r="CY28" s="459">
        <f t="shared" si="77"/>
        <v>0</v>
      </c>
      <c r="CZ28" s="460">
        <f t="shared" si="105"/>
        <v>0</v>
      </c>
      <c r="DA28" s="463"/>
      <c r="DB28" s="459">
        <f t="shared" si="78"/>
        <v>0</v>
      </c>
      <c r="DC28" s="459">
        <f t="shared" si="79"/>
        <v>0</v>
      </c>
      <c r="DD28" s="459">
        <f t="shared" si="80"/>
        <v>0</v>
      </c>
      <c r="DE28" s="459">
        <f t="shared" si="81"/>
        <v>0</v>
      </c>
      <c r="DF28" s="459">
        <f t="shared" si="82"/>
        <v>0</v>
      </c>
      <c r="DG28" s="459">
        <f t="shared" si="83"/>
        <v>0</v>
      </c>
      <c r="DH28" s="459">
        <f t="shared" si="84"/>
        <v>0</v>
      </c>
      <c r="DI28" s="459">
        <f t="shared" si="85"/>
        <v>0</v>
      </c>
      <c r="DJ28" s="459">
        <f t="shared" si="86"/>
        <v>0</v>
      </c>
      <c r="DK28" s="459">
        <f t="shared" si="87"/>
        <v>0</v>
      </c>
      <c r="DL28" s="460">
        <f t="shared" si="106"/>
        <v>0</v>
      </c>
      <c r="DM28" s="463"/>
      <c r="DN28" s="442">
        <f>IF('2. START'!$C$14&gt;0,(AT28/(1+$AA28))*(1+'2. START'!$C$14),AT28)</f>
        <v>0</v>
      </c>
      <c r="DO28" s="442">
        <f>IF('2. START'!$C$14&gt;0,(AU28/(1+$AA28))*(1+'2. START'!$C$14),AU28)</f>
        <v>0</v>
      </c>
      <c r="DP28" s="442">
        <f>IF('2. START'!$C$14&gt;0,(AV28/(1+$AA28))*(1+'2. START'!$C$14),AV28)</f>
        <v>0</v>
      </c>
      <c r="DQ28" s="442">
        <f>IF('2. START'!$C$14&gt;0,(AW28/(1+$AA28))*(1+'2. START'!$C$14),AW28)</f>
        <v>0</v>
      </c>
      <c r="DR28" s="442">
        <f>IF('2. START'!$C$14&gt;0,(AX28/(1+$AA28))*(1+'2. START'!$C$14),AX28)</f>
        <v>0</v>
      </c>
      <c r="DS28" s="442">
        <f>IF('2. START'!$C$14&gt;0,(AY28/(1+$AA28))*(1+'2. START'!$C$14),AY28)</f>
        <v>0</v>
      </c>
      <c r="DT28" s="442">
        <f>IF('2. START'!$C$14&gt;0,(AZ28/(1+$AA28))*(1+'2. START'!$C$14),AZ28)</f>
        <v>0</v>
      </c>
      <c r="DU28" s="442">
        <f>IF('2. START'!$C$14&gt;0,(BA28/(1+$AA28))*(1+'2. START'!$C$14),BA28)</f>
        <v>0</v>
      </c>
      <c r="DV28" s="442">
        <f>IF('2. START'!$C$14&gt;0,(BB28/(1+$AA28))*(1+'2. START'!$C$14),BB28)</f>
        <v>0</v>
      </c>
      <c r="DW28" s="442">
        <f>IF('2. START'!$C$14&gt;0,(BC28/(1+$AA28))*(1+'2. START'!$C$14),BC28)</f>
        <v>0</v>
      </c>
      <c r="DX28" s="460">
        <f t="shared" si="107"/>
        <v>0</v>
      </c>
      <c r="DY28" s="463"/>
      <c r="DZ28" s="459">
        <f>IF('2. START'!$C$11="NO",(IF('2. START'!$C$14&gt;0,(DN28*$AD28),(AT28*$AD28))),(BR28+CP28))</f>
        <v>0</v>
      </c>
      <c r="EA28" s="459">
        <f>IF('2. START'!$C$11="NO",(IF('2. START'!$C$14&gt;0,(DO28*$AD28),(AU28*$AD28))),(BS28+CQ28))</f>
        <v>0</v>
      </c>
      <c r="EB28" s="459">
        <f>IF('2. START'!$C$11="NO",(IF('2. START'!$C$14&gt;0,(DP28*$AD28),(AV28*$AD28))),(BT28+CR28))</f>
        <v>0</v>
      </c>
      <c r="EC28" s="459">
        <f>IF('2. START'!$C$11="NO",(IF('2. START'!$C$14&gt;0,(DQ28*$AD28),(AW28*$AD28))),(BU28+CS28))</f>
        <v>0</v>
      </c>
      <c r="ED28" s="459">
        <f>IF('2. START'!$C$11="NO",(IF('2. START'!$C$14&gt;0,(DR28*$AD28),(AX28*$AD28))),(BV28+CT28))</f>
        <v>0</v>
      </c>
      <c r="EE28" s="459">
        <f>IF('2. START'!$C$11="NO",(IF('2. START'!$C$14&gt;0,(DS28*$AD28),(AY28*$AD28))),(BW28+CU28))</f>
        <v>0</v>
      </c>
      <c r="EF28" s="459">
        <f>IF('2. START'!$C$11="NO",(IF('2. START'!$C$14&gt;0,(DT28*$AD28),(AZ28*$AD28))),(BX28+CV28))</f>
        <v>0</v>
      </c>
      <c r="EG28" s="459">
        <f>IF('2. START'!$C$11="NO",(IF('2. START'!$C$14&gt;0,(DU28*$AD28),(BA28*$AD28))),(BY28+CW28))</f>
        <v>0</v>
      </c>
      <c r="EH28" s="459">
        <f>IF('2. START'!$C$11="NO",(IF('2. START'!$C$14&gt;0,(DV28*$AD28),(BB28*$AD28))),(BZ28+CX28))</f>
        <v>0</v>
      </c>
      <c r="EI28" s="459">
        <f>IF('2. START'!$C$11="NO",(IF('2. START'!$C$14&gt;0,(DW28*$AD28),(BC28*$AD28))),(CA28+CY28))</f>
        <v>0</v>
      </c>
      <c r="EJ28" s="460">
        <f t="shared" si="108"/>
        <v>0</v>
      </c>
      <c r="EK28" s="463"/>
      <c r="EL28" s="459">
        <f>(BR28+CP28-DZ28)+IF('2. START'!$C$14&gt;0,AT28-DN28,0)</f>
        <v>0</v>
      </c>
      <c r="EM28" s="459">
        <f>(BS28+CQ28-EA28)+IF('2. START'!$C$14&gt;0,AU28-DO28,0)</f>
        <v>0</v>
      </c>
      <c r="EN28" s="459">
        <f>(BT28+CR28-EB28)+IF('2. START'!$C$14&gt;0,AV28-DP28,0)</f>
        <v>0</v>
      </c>
      <c r="EO28" s="459">
        <f>(BU28+CS28-EC28)+IF('2. START'!$C$14&gt;0,AW28-DQ28,0)</f>
        <v>0</v>
      </c>
      <c r="EP28" s="459">
        <f>(BV28+CT28-ED28)+IF('2. START'!$C$14&gt;0,AX28-DR28,0)</f>
        <v>0</v>
      </c>
      <c r="EQ28" s="459">
        <f>(BW28+CU28-EE28)+IF('2. START'!$C$14&gt;0,AY28-DS28,0)</f>
        <v>0</v>
      </c>
      <c r="ER28" s="459">
        <f>(BX28+CV28-EF28)+IF('2. START'!$C$14&gt;0,AZ28-DT28,0)</f>
        <v>0</v>
      </c>
      <c r="ES28" s="459">
        <f>(BY28+CW28-EG28)+IF('2. START'!$C$14&gt;0,BA28-DU28,0)</f>
        <v>0</v>
      </c>
      <c r="ET28" s="459">
        <f>(BZ28+CX28-EH28)+IF('2. START'!$C$14&gt;0,BB28-DV28,0)</f>
        <v>0</v>
      </c>
      <c r="EU28" s="459">
        <f>(CA28+CY28-EI28)+IF('2. START'!$C$14&gt;0,BC28-DW28,0)</f>
        <v>0</v>
      </c>
      <c r="EV28" s="460">
        <f t="shared" si="109"/>
        <v>0</v>
      </c>
      <c r="EW28" s="463"/>
      <c r="EX28" s="459">
        <f t="shared" si="110"/>
        <v>0</v>
      </c>
      <c r="EY28" s="459">
        <f t="shared" si="111"/>
        <v>0</v>
      </c>
      <c r="EZ28" s="459">
        <f t="shared" si="112"/>
        <v>0</v>
      </c>
      <c r="FA28" s="459">
        <f t="shared" si="113"/>
        <v>0</v>
      </c>
      <c r="FB28" s="459">
        <f t="shared" si="114"/>
        <v>0</v>
      </c>
      <c r="FC28" s="459">
        <f t="shared" si="115"/>
        <v>0</v>
      </c>
      <c r="FD28" s="459">
        <f t="shared" si="116"/>
        <v>0</v>
      </c>
      <c r="FE28" s="459">
        <f t="shared" si="117"/>
        <v>0</v>
      </c>
      <c r="FF28" s="459">
        <f t="shared" si="118"/>
        <v>0</v>
      </c>
      <c r="FG28" s="459">
        <f t="shared" si="119"/>
        <v>0</v>
      </c>
      <c r="FH28" s="460">
        <f t="shared" si="120"/>
        <v>0</v>
      </c>
      <c r="FI28" s="463"/>
      <c r="FJ28" s="459">
        <f t="shared" si="121"/>
        <v>0</v>
      </c>
      <c r="FK28" s="459">
        <f t="shared" si="122"/>
        <v>0</v>
      </c>
      <c r="FL28" s="459">
        <f t="shared" si="123"/>
        <v>0</v>
      </c>
      <c r="FM28" s="459">
        <f t="shared" si="124"/>
        <v>0</v>
      </c>
      <c r="FN28" s="459">
        <f t="shared" si="125"/>
        <v>0</v>
      </c>
      <c r="FO28" s="459">
        <f t="shared" si="126"/>
        <v>0</v>
      </c>
      <c r="FP28" s="459">
        <f t="shared" si="127"/>
        <v>0</v>
      </c>
      <c r="FQ28" s="459">
        <f t="shared" si="128"/>
        <v>0</v>
      </c>
      <c r="FR28" s="459">
        <f t="shared" si="129"/>
        <v>0</v>
      </c>
      <c r="FS28" s="459">
        <f t="shared" si="130"/>
        <v>0</v>
      </c>
      <c r="FT28" s="460">
        <f t="shared" si="131"/>
        <v>0</v>
      </c>
    </row>
    <row r="29" spans="2:176" s="270" customFormat="1" ht="15" customHeight="1" x14ac:dyDescent="0.25">
      <c r="B29" s="464" t="str">
        <f>'2. START'!C$7</f>
        <v>100GEM</v>
      </c>
      <c r="C29" s="465"/>
      <c r="D29" s="590"/>
      <c r="E29" s="514">
        <v>0</v>
      </c>
      <c r="F29" s="467"/>
      <c r="G29" s="432"/>
      <c r="H29" s="432"/>
      <c r="I29" s="432"/>
      <c r="J29" s="432"/>
      <c r="K29" s="432"/>
      <c r="L29" s="432"/>
      <c r="M29" s="432"/>
      <c r="N29" s="432"/>
      <c r="O29" s="432"/>
      <c r="P29" s="432"/>
      <c r="Q29" s="545">
        <f>SUMIF('3. PARTNER'!$B$13:$B$80,$B29,'3. PARTNER'!$F$13:$F$80)</f>
        <v>0.02</v>
      </c>
      <c r="R29" s="466">
        <f t="shared" si="132"/>
        <v>0.02</v>
      </c>
      <c r="S29" s="466">
        <f t="shared" si="132"/>
        <v>0.02</v>
      </c>
      <c r="T29" s="466">
        <f t="shared" si="132"/>
        <v>0.02</v>
      </c>
      <c r="U29" s="466">
        <f t="shared" si="132"/>
        <v>0.02</v>
      </c>
      <c r="V29" s="466">
        <f t="shared" si="132"/>
        <v>0.02</v>
      </c>
      <c r="W29" s="466">
        <f t="shared" si="132"/>
        <v>0.02</v>
      </c>
      <c r="X29" s="466">
        <f t="shared" si="132"/>
        <v>0.02</v>
      </c>
      <c r="Y29" s="466">
        <f t="shared" si="132"/>
        <v>0.02</v>
      </c>
      <c r="Z29" s="466">
        <f t="shared" si="132"/>
        <v>0.02</v>
      </c>
      <c r="AA29" s="434">
        <f>SUMIF('3. PARTNER'!B$13:B$80,B29,'3. PARTNER'!E$13:E$80)</f>
        <v>0.5595</v>
      </c>
      <c r="AB29" s="435">
        <f>IF('2. START'!$C$20="UTB",(SUMIF('3. PARTNER'!B$13:B$80,B29,'3. PARTNER'!K$13:K$80))+(SUMIF('3. PARTNER'!B$13:B$80,B29,'3. PARTNER'!M$13:M$80)),(SUMIF('3. PARTNER'!B$13:B$80,B29,'3. PARTNER'!G$13:G$80))+(SUMIF('3. PARTNER'!B$13:B$80,B29,'3. PARTNER'!I$13:I$80)))</f>
        <v>0.16000843770704321</v>
      </c>
      <c r="AC29" s="435">
        <f>IF('2. START'!$C$20="UTB",(SUMIF('3. PARTNER'!B$13:B$80,B29,'3. PARTNER'!L$13:L$80))+(SUMIF('3. PARTNER'!B$13:B$80,B29,'3. PARTNER'!N$13:N$80)),(SUMIF('3. PARTNER'!B$13:B$80,B29,'3. PARTNER'!H$13:H$80))+(SUMIF('3. PARTNER'!B$13:B$80,B29,'3. PARTNER'!J$13:J$80)))</f>
        <v>0</v>
      </c>
      <c r="AD29" s="435">
        <f>IF('2. START'!C$11="NO",'2. START'!C$12,0)</f>
        <v>0</v>
      </c>
      <c r="AE29" s="436">
        <f t="shared" si="98"/>
        <v>0</v>
      </c>
      <c r="AF29" s="436">
        <f t="shared" si="99"/>
        <v>0</v>
      </c>
      <c r="AG29" s="437"/>
      <c r="AH29" s="438">
        <f t="shared" si="18"/>
        <v>0</v>
      </c>
      <c r="AI29" s="438">
        <f t="shared" si="19"/>
        <v>0</v>
      </c>
      <c r="AJ29" s="438">
        <f t="shared" si="20"/>
        <v>0</v>
      </c>
      <c r="AK29" s="438">
        <f t="shared" si="21"/>
        <v>0</v>
      </c>
      <c r="AL29" s="438">
        <f t="shared" si="22"/>
        <v>0</v>
      </c>
      <c r="AM29" s="438">
        <f t="shared" si="23"/>
        <v>0</v>
      </c>
      <c r="AN29" s="438">
        <f t="shared" si="24"/>
        <v>0</v>
      </c>
      <c r="AO29" s="438">
        <f t="shared" si="25"/>
        <v>0</v>
      </c>
      <c r="AP29" s="438">
        <f t="shared" si="26"/>
        <v>0</v>
      </c>
      <c r="AQ29" s="438">
        <f t="shared" si="27"/>
        <v>0</v>
      </c>
      <c r="AR29" s="439">
        <f t="shared" si="100"/>
        <v>0</v>
      </c>
      <c r="AS29" s="440"/>
      <c r="AT29" s="438">
        <f t="shared" si="28"/>
        <v>0</v>
      </c>
      <c r="AU29" s="438">
        <f t="shared" si="29"/>
        <v>0</v>
      </c>
      <c r="AV29" s="438">
        <f t="shared" si="30"/>
        <v>0</v>
      </c>
      <c r="AW29" s="438">
        <f t="shared" si="31"/>
        <v>0</v>
      </c>
      <c r="AX29" s="438">
        <f t="shared" si="32"/>
        <v>0</v>
      </c>
      <c r="AY29" s="438">
        <f t="shared" si="33"/>
        <v>0</v>
      </c>
      <c r="AZ29" s="438">
        <f t="shared" si="34"/>
        <v>0</v>
      </c>
      <c r="BA29" s="438">
        <f t="shared" si="35"/>
        <v>0</v>
      </c>
      <c r="BB29" s="438">
        <f t="shared" si="36"/>
        <v>0</v>
      </c>
      <c r="BC29" s="438">
        <f t="shared" si="37"/>
        <v>0</v>
      </c>
      <c r="BD29" s="439">
        <f t="shared" si="101"/>
        <v>0</v>
      </c>
      <c r="BE29" s="440"/>
      <c r="BF29" s="438">
        <f t="shared" si="38"/>
        <v>0</v>
      </c>
      <c r="BG29" s="438">
        <f t="shared" si="39"/>
        <v>0</v>
      </c>
      <c r="BH29" s="438">
        <f t="shared" si="40"/>
        <v>0</v>
      </c>
      <c r="BI29" s="438">
        <f t="shared" si="41"/>
        <v>0</v>
      </c>
      <c r="BJ29" s="438">
        <f t="shared" si="42"/>
        <v>0</v>
      </c>
      <c r="BK29" s="438">
        <f t="shared" si="43"/>
        <v>0</v>
      </c>
      <c r="BL29" s="438">
        <f t="shared" si="44"/>
        <v>0</v>
      </c>
      <c r="BM29" s="438">
        <f t="shared" si="45"/>
        <v>0</v>
      </c>
      <c r="BN29" s="438">
        <f t="shared" si="46"/>
        <v>0</v>
      </c>
      <c r="BO29" s="438">
        <f t="shared" si="47"/>
        <v>0</v>
      </c>
      <c r="BP29" s="439">
        <f t="shared" si="102"/>
        <v>0</v>
      </c>
      <c r="BQ29" s="441"/>
      <c r="BR29" s="442">
        <f t="shared" si="48"/>
        <v>0</v>
      </c>
      <c r="BS29" s="442">
        <f t="shared" si="49"/>
        <v>0</v>
      </c>
      <c r="BT29" s="442">
        <f t="shared" si="50"/>
        <v>0</v>
      </c>
      <c r="BU29" s="442">
        <f t="shared" si="51"/>
        <v>0</v>
      </c>
      <c r="BV29" s="442">
        <f t="shared" si="52"/>
        <v>0</v>
      </c>
      <c r="BW29" s="442">
        <f t="shared" si="53"/>
        <v>0</v>
      </c>
      <c r="BX29" s="442">
        <f t="shared" si="54"/>
        <v>0</v>
      </c>
      <c r="BY29" s="442">
        <f t="shared" si="55"/>
        <v>0</v>
      </c>
      <c r="BZ29" s="442">
        <f t="shared" si="56"/>
        <v>0</v>
      </c>
      <c r="CA29" s="442">
        <f t="shared" si="57"/>
        <v>0</v>
      </c>
      <c r="CB29" s="443">
        <f t="shared" si="103"/>
        <v>0</v>
      </c>
      <c r="CC29" s="444"/>
      <c r="CD29" s="445">
        <f t="shared" si="58"/>
        <v>0</v>
      </c>
      <c r="CE29" s="445">
        <f t="shared" si="59"/>
        <v>0</v>
      </c>
      <c r="CF29" s="445">
        <f t="shared" si="60"/>
        <v>0</v>
      </c>
      <c r="CG29" s="445">
        <f t="shared" si="61"/>
        <v>0</v>
      </c>
      <c r="CH29" s="445">
        <f t="shared" si="62"/>
        <v>0</v>
      </c>
      <c r="CI29" s="445">
        <f t="shared" si="63"/>
        <v>0</v>
      </c>
      <c r="CJ29" s="445">
        <f t="shared" si="64"/>
        <v>0</v>
      </c>
      <c r="CK29" s="445">
        <f t="shared" si="65"/>
        <v>0</v>
      </c>
      <c r="CL29" s="445">
        <f t="shared" si="66"/>
        <v>0</v>
      </c>
      <c r="CM29" s="445">
        <f t="shared" si="67"/>
        <v>0</v>
      </c>
      <c r="CN29" s="443">
        <f t="shared" si="104"/>
        <v>0</v>
      </c>
      <c r="CO29" s="444"/>
      <c r="CP29" s="442">
        <f t="shared" si="68"/>
        <v>0</v>
      </c>
      <c r="CQ29" s="442">
        <f t="shared" si="69"/>
        <v>0</v>
      </c>
      <c r="CR29" s="442">
        <f t="shared" si="70"/>
        <v>0</v>
      </c>
      <c r="CS29" s="442">
        <f t="shared" si="71"/>
        <v>0</v>
      </c>
      <c r="CT29" s="442">
        <f t="shared" si="72"/>
        <v>0</v>
      </c>
      <c r="CU29" s="442">
        <f t="shared" si="73"/>
        <v>0</v>
      </c>
      <c r="CV29" s="442">
        <f t="shared" si="74"/>
        <v>0</v>
      </c>
      <c r="CW29" s="442">
        <f t="shared" si="75"/>
        <v>0</v>
      </c>
      <c r="CX29" s="442">
        <f t="shared" si="76"/>
        <v>0</v>
      </c>
      <c r="CY29" s="442">
        <f t="shared" si="77"/>
        <v>0</v>
      </c>
      <c r="CZ29" s="443">
        <f t="shared" si="105"/>
        <v>0</v>
      </c>
      <c r="DB29" s="442">
        <f t="shared" si="78"/>
        <v>0</v>
      </c>
      <c r="DC29" s="442">
        <f t="shared" si="79"/>
        <v>0</v>
      </c>
      <c r="DD29" s="442">
        <f t="shared" si="80"/>
        <v>0</v>
      </c>
      <c r="DE29" s="442">
        <f t="shared" si="81"/>
        <v>0</v>
      </c>
      <c r="DF29" s="442">
        <f t="shared" si="82"/>
        <v>0</v>
      </c>
      <c r="DG29" s="442">
        <f t="shared" si="83"/>
        <v>0</v>
      </c>
      <c r="DH29" s="442">
        <f t="shared" si="84"/>
        <v>0</v>
      </c>
      <c r="DI29" s="442">
        <f t="shared" si="85"/>
        <v>0</v>
      </c>
      <c r="DJ29" s="442">
        <f t="shared" si="86"/>
        <v>0</v>
      </c>
      <c r="DK29" s="442">
        <f t="shared" si="87"/>
        <v>0</v>
      </c>
      <c r="DL29" s="443">
        <f t="shared" si="106"/>
        <v>0</v>
      </c>
      <c r="DN29" s="442">
        <f>IF('2. START'!$C$14&gt;0,(AT29/(1+$AA29))*(1+'2. START'!$C$14),AT29)</f>
        <v>0</v>
      </c>
      <c r="DO29" s="442">
        <f>IF('2. START'!$C$14&gt;0,(AU29/(1+$AA29))*(1+'2. START'!$C$14),AU29)</f>
        <v>0</v>
      </c>
      <c r="DP29" s="442">
        <f>IF('2. START'!$C$14&gt;0,(AV29/(1+$AA29))*(1+'2. START'!$C$14),AV29)</f>
        <v>0</v>
      </c>
      <c r="DQ29" s="442">
        <f>IF('2. START'!$C$14&gt;0,(AW29/(1+$AA29))*(1+'2. START'!$C$14),AW29)</f>
        <v>0</v>
      </c>
      <c r="DR29" s="442">
        <f>IF('2. START'!$C$14&gt;0,(AX29/(1+$AA29))*(1+'2. START'!$C$14),AX29)</f>
        <v>0</v>
      </c>
      <c r="DS29" s="442">
        <f>IF('2. START'!$C$14&gt;0,(AY29/(1+$AA29))*(1+'2. START'!$C$14),AY29)</f>
        <v>0</v>
      </c>
      <c r="DT29" s="442">
        <f>IF('2. START'!$C$14&gt;0,(AZ29/(1+$AA29))*(1+'2. START'!$C$14),AZ29)</f>
        <v>0</v>
      </c>
      <c r="DU29" s="442">
        <f>IF('2. START'!$C$14&gt;0,(BA29/(1+$AA29))*(1+'2. START'!$C$14),BA29)</f>
        <v>0</v>
      </c>
      <c r="DV29" s="442">
        <f>IF('2. START'!$C$14&gt;0,(BB29/(1+$AA29))*(1+'2. START'!$C$14),BB29)</f>
        <v>0</v>
      </c>
      <c r="DW29" s="442">
        <f>IF('2. START'!$C$14&gt;0,(BC29/(1+$AA29))*(1+'2. START'!$C$14),BC29)</f>
        <v>0</v>
      </c>
      <c r="DX29" s="443">
        <f t="shared" si="107"/>
        <v>0</v>
      </c>
      <c r="DZ29" s="442">
        <f>IF('2. START'!$C$11="NO",(IF('2. START'!$C$14&gt;0,(DN29*$AD29),(AT29*$AD29))),(BR29+CP29))</f>
        <v>0</v>
      </c>
      <c r="EA29" s="442">
        <f>IF('2. START'!$C$11="NO",(IF('2. START'!$C$14&gt;0,(DO29*$AD29),(AU29*$AD29))),(BS29+CQ29))</f>
        <v>0</v>
      </c>
      <c r="EB29" s="442">
        <f>IF('2. START'!$C$11="NO",(IF('2. START'!$C$14&gt;0,(DP29*$AD29),(AV29*$AD29))),(BT29+CR29))</f>
        <v>0</v>
      </c>
      <c r="EC29" s="442">
        <f>IF('2. START'!$C$11="NO",(IF('2. START'!$C$14&gt;0,(DQ29*$AD29),(AW29*$AD29))),(BU29+CS29))</f>
        <v>0</v>
      </c>
      <c r="ED29" s="442">
        <f>IF('2. START'!$C$11="NO",(IF('2. START'!$C$14&gt;0,(DR29*$AD29),(AX29*$AD29))),(BV29+CT29))</f>
        <v>0</v>
      </c>
      <c r="EE29" s="442">
        <f>IF('2. START'!$C$11="NO",(IF('2. START'!$C$14&gt;0,(DS29*$AD29),(AY29*$AD29))),(BW29+CU29))</f>
        <v>0</v>
      </c>
      <c r="EF29" s="442">
        <f>IF('2. START'!$C$11="NO",(IF('2. START'!$C$14&gt;0,(DT29*$AD29),(AZ29*$AD29))),(BX29+CV29))</f>
        <v>0</v>
      </c>
      <c r="EG29" s="442">
        <f>IF('2. START'!$C$11="NO",(IF('2. START'!$C$14&gt;0,(DU29*$AD29),(BA29*$AD29))),(BY29+CW29))</f>
        <v>0</v>
      </c>
      <c r="EH29" s="442">
        <f>IF('2. START'!$C$11="NO",(IF('2. START'!$C$14&gt;0,(DV29*$AD29),(BB29*$AD29))),(BZ29+CX29))</f>
        <v>0</v>
      </c>
      <c r="EI29" s="442">
        <f>IF('2. START'!$C$11="NO",(IF('2. START'!$C$14&gt;0,(DW29*$AD29),(BC29*$AD29))),(CA29+CY29))</f>
        <v>0</v>
      </c>
      <c r="EJ29" s="443">
        <f t="shared" si="108"/>
        <v>0</v>
      </c>
      <c r="EL29" s="442">
        <f>(BR29+CP29-DZ29)+IF('2. START'!$C$14&gt;0,AT29-DN29,0)</f>
        <v>0</v>
      </c>
      <c r="EM29" s="442">
        <f>(BS29+CQ29-EA29)+IF('2. START'!$C$14&gt;0,AU29-DO29,0)</f>
        <v>0</v>
      </c>
      <c r="EN29" s="442">
        <f>(BT29+CR29-EB29)+IF('2. START'!$C$14&gt;0,AV29-DP29,0)</f>
        <v>0</v>
      </c>
      <c r="EO29" s="442">
        <f>(BU29+CS29-EC29)+IF('2. START'!$C$14&gt;0,AW29-DQ29,0)</f>
        <v>0</v>
      </c>
      <c r="EP29" s="442">
        <f>(BV29+CT29-ED29)+IF('2. START'!$C$14&gt;0,AX29-DR29,0)</f>
        <v>0</v>
      </c>
      <c r="EQ29" s="442">
        <f>(BW29+CU29-EE29)+IF('2. START'!$C$14&gt;0,AY29-DS29,0)</f>
        <v>0</v>
      </c>
      <c r="ER29" s="442">
        <f>(BX29+CV29-EF29)+IF('2. START'!$C$14&gt;0,AZ29-DT29,0)</f>
        <v>0</v>
      </c>
      <c r="ES29" s="442">
        <f>(BY29+CW29-EG29)+IF('2. START'!$C$14&gt;0,BA29-DU29,0)</f>
        <v>0</v>
      </c>
      <c r="ET29" s="442">
        <f>(BZ29+CX29-EH29)+IF('2. START'!$C$14&gt;0,BB29-DV29,0)</f>
        <v>0</v>
      </c>
      <c r="EU29" s="442">
        <f>(CA29+CY29-EI29)+IF('2. START'!$C$14&gt;0,BC29-DW29,0)</f>
        <v>0</v>
      </c>
      <c r="EV29" s="443">
        <f t="shared" si="109"/>
        <v>0</v>
      </c>
      <c r="EX29" s="442">
        <f t="shared" si="110"/>
        <v>0</v>
      </c>
      <c r="EY29" s="442">
        <f t="shared" si="111"/>
        <v>0</v>
      </c>
      <c r="EZ29" s="442">
        <f t="shared" si="112"/>
        <v>0</v>
      </c>
      <c r="FA29" s="442">
        <f t="shared" si="113"/>
        <v>0</v>
      </c>
      <c r="FB29" s="442">
        <f t="shared" si="114"/>
        <v>0</v>
      </c>
      <c r="FC29" s="442">
        <f t="shared" si="115"/>
        <v>0</v>
      </c>
      <c r="FD29" s="442">
        <f t="shared" si="116"/>
        <v>0</v>
      </c>
      <c r="FE29" s="442">
        <f t="shared" si="117"/>
        <v>0</v>
      </c>
      <c r="FF29" s="442">
        <f t="shared" si="118"/>
        <v>0</v>
      </c>
      <c r="FG29" s="442">
        <f t="shared" si="119"/>
        <v>0</v>
      </c>
      <c r="FH29" s="443">
        <f t="shared" si="120"/>
        <v>0</v>
      </c>
      <c r="FJ29" s="442">
        <f t="shared" si="121"/>
        <v>0</v>
      </c>
      <c r="FK29" s="442">
        <f t="shared" si="122"/>
        <v>0</v>
      </c>
      <c r="FL29" s="442">
        <f t="shared" si="123"/>
        <v>0</v>
      </c>
      <c r="FM29" s="442">
        <f t="shared" si="124"/>
        <v>0</v>
      </c>
      <c r="FN29" s="442">
        <f t="shared" si="125"/>
        <v>0</v>
      </c>
      <c r="FO29" s="442">
        <f t="shared" si="126"/>
        <v>0</v>
      </c>
      <c r="FP29" s="442">
        <f t="shared" si="127"/>
        <v>0</v>
      </c>
      <c r="FQ29" s="442">
        <f t="shared" si="128"/>
        <v>0</v>
      </c>
      <c r="FR29" s="442">
        <f t="shared" si="129"/>
        <v>0</v>
      </c>
      <c r="FS29" s="442">
        <f t="shared" si="130"/>
        <v>0</v>
      </c>
      <c r="FT29" s="443">
        <f t="shared" si="131"/>
        <v>0</v>
      </c>
    </row>
    <row r="30" spans="2:176" s="270" customFormat="1" ht="15" customHeight="1" x14ac:dyDescent="0.25">
      <c r="B30" s="446" t="str">
        <f>'2. START'!C$7</f>
        <v>100GEM</v>
      </c>
      <c r="C30" s="468"/>
      <c r="D30" s="589"/>
      <c r="E30" s="544">
        <v>0</v>
      </c>
      <c r="F30" s="448"/>
      <c r="G30" s="449"/>
      <c r="H30" s="449"/>
      <c r="I30" s="449"/>
      <c r="J30" s="449"/>
      <c r="K30" s="449"/>
      <c r="L30" s="449"/>
      <c r="M30" s="449"/>
      <c r="N30" s="449"/>
      <c r="O30" s="449"/>
      <c r="P30" s="449"/>
      <c r="Q30" s="546">
        <f>SUMIF('3. PARTNER'!$B$13:$B$80,$B30,'3. PARTNER'!$F$13:$F$80)</f>
        <v>0.02</v>
      </c>
      <c r="R30" s="450">
        <f t="shared" si="132"/>
        <v>0.02</v>
      </c>
      <c r="S30" s="450">
        <f t="shared" si="132"/>
        <v>0.02</v>
      </c>
      <c r="T30" s="450">
        <f t="shared" si="132"/>
        <v>0.02</v>
      </c>
      <c r="U30" s="450">
        <f t="shared" si="132"/>
        <v>0.02</v>
      </c>
      <c r="V30" s="450">
        <f t="shared" si="132"/>
        <v>0.02</v>
      </c>
      <c r="W30" s="450">
        <f t="shared" si="132"/>
        <v>0.02</v>
      </c>
      <c r="X30" s="450">
        <f t="shared" si="132"/>
        <v>0.02</v>
      </c>
      <c r="Y30" s="450">
        <f t="shared" si="132"/>
        <v>0.02</v>
      </c>
      <c r="Z30" s="450">
        <f t="shared" si="132"/>
        <v>0.02</v>
      </c>
      <c r="AA30" s="451">
        <f>SUMIF('3. PARTNER'!B$13:B$80,B30,'3. PARTNER'!E$13:E$80)</f>
        <v>0.5595</v>
      </c>
      <c r="AB30" s="452">
        <f>IF('2. START'!$C$20="UTB",(SUMIF('3. PARTNER'!B$13:B$80,B30,'3. PARTNER'!K$13:K$80))+(SUMIF('3. PARTNER'!B$13:B$80,B30,'3. PARTNER'!M$13:M$80)),(SUMIF('3. PARTNER'!B$13:B$80,B30,'3. PARTNER'!G$13:G$80))+(SUMIF('3. PARTNER'!B$13:B$80,B30,'3. PARTNER'!I$13:I$80)))</f>
        <v>0.16000843770704321</v>
      </c>
      <c r="AC30" s="452">
        <f>IF('2. START'!$C$20="UTB",(SUMIF('3. PARTNER'!B$13:B$80,B30,'3. PARTNER'!L$13:L$80))+(SUMIF('3. PARTNER'!B$13:B$80,B30,'3. PARTNER'!N$13:N$80)),(SUMIF('3. PARTNER'!B$13:B$80,B30,'3. PARTNER'!H$13:H$80))+(SUMIF('3. PARTNER'!B$13:B$80,B30,'3. PARTNER'!J$13:J$80)))</f>
        <v>0</v>
      </c>
      <c r="AD30" s="452">
        <f>IF('2. START'!C$11="NO",'2. START'!C$12,0)</f>
        <v>0</v>
      </c>
      <c r="AE30" s="453">
        <f t="shared" si="98"/>
        <v>0</v>
      </c>
      <c r="AF30" s="453">
        <f t="shared" si="99"/>
        <v>0</v>
      </c>
      <c r="AG30" s="454"/>
      <c r="AH30" s="455">
        <f t="shared" si="18"/>
        <v>0</v>
      </c>
      <c r="AI30" s="455">
        <f t="shared" si="19"/>
        <v>0</v>
      </c>
      <c r="AJ30" s="455">
        <f t="shared" si="20"/>
        <v>0</v>
      </c>
      <c r="AK30" s="455">
        <f t="shared" si="21"/>
        <v>0</v>
      </c>
      <c r="AL30" s="455">
        <f t="shared" si="22"/>
        <v>0</v>
      </c>
      <c r="AM30" s="455">
        <f t="shared" si="23"/>
        <v>0</v>
      </c>
      <c r="AN30" s="455">
        <f t="shared" si="24"/>
        <v>0</v>
      </c>
      <c r="AO30" s="455">
        <f t="shared" si="25"/>
        <v>0</v>
      </c>
      <c r="AP30" s="455">
        <f t="shared" si="26"/>
        <v>0</v>
      </c>
      <c r="AQ30" s="455">
        <f t="shared" si="27"/>
        <v>0</v>
      </c>
      <c r="AR30" s="456">
        <f t="shared" si="100"/>
        <v>0</v>
      </c>
      <c r="AS30" s="457"/>
      <c r="AT30" s="455">
        <f t="shared" si="28"/>
        <v>0</v>
      </c>
      <c r="AU30" s="455">
        <f t="shared" si="29"/>
        <v>0</v>
      </c>
      <c r="AV30" s="455">
        <f t="shared" si="30"/>
        <v>0</v>
      </c>
      <c r="AW30" s="455">
        <f t="shared" si="31"/>
        <v>0</v>
      </c>
      <c r="AX30" s="455">
        <f t="shared" si="32"/>
        <v>0</v>
      </c>
      <c r="AY30" s="455">
        <f t="shared" si="33"/>
        <v>0</v>
      </c>
      <c r="AZ30" s="455">
        <f t="shared" si="34"/>
        <v>0</v>
      </c>
      <c r="BA30" s="455">
        <f t="shared" si="35"/>
        <v>0</v>
      </c>
      <c r="BB30" s="455">
        <f t="shared" si="36"/>
        <v>0</v>
      </c>
      <c r="BC30" s="455">
        <f t="shared" si="37"/>
        <v>0</v>
      </c>
      <c r="BD30" s="456">
        <f t="shared" si="101"/>
        <v>0</v>
      </c>
      <c r="BE30" s="457"/>
      <c r="BF30" s="455">
        <f t="shared" si="38"/>
        <v>0</v>
      </c>
      <c r="BG30" s="455">
        <f t="shared" si="39"/>
        <v>0</v>
      </c>
      <c r="BH30" s="455">
        <f t="shared" si="40"/>
        <v>0</v>
      </c>
      <c r="BI30" s="455">
        <f t="shared" si="41"/>
        <v>0</v>
      </c>
      <c r="BJ30" s="455">
        <f t="shared" si="42"/>
        <v>0</v>
      </c>
      <c r="BK30" s="455">
        <f t="shared" si="43"/>
        <v>0</v>
      </c>
      <c r="BL30" s="455">
        <f t="shared" si="44"/>
        <v>0</v>
      </c>
      <c r="BM30" s="455">
        <f t="shared" si="45"/>
        <v>0</v>
      </c>
      <c r="BN30" s="455">
        <f t="shared" si="46"/>
        <v>0</v>
      </c>
      <c r="BO30" s="455">
        <f t="shared" si="47"/>
        <v>0</v>
      </c>
      <c r="BP30" s="456">
        <f t="shared" si="102"/>
        <v>0</v>
      </c>
      <c r="BQ30" s="458"/>
      <c r="BR30" s="459">
        <f t="shared" si="48"/>
        <v>0</v>
      </c>
      <c r="BS30" s="459">
        <f t="shared" si="49"/>
        <v>0</v>
      </c>
      <c r="BT30" s="459">
        <f t="shared" si="50"/>
        <v>0</v>
      </c>
      <c r="BU30" s="459">
        <f t="shared" si="51"/>
        <v>0</v>
      </c>
      <c r="BV30" s="459">
        <f t="shared" si="52"/>
        <v>0</v>
      </c>
      <c r="BW30" s="459">
        <f t="shared" si="53"/>
        <v>0</v>
      </c>
      <c r="BX30" s="459">
        <f t="shared" si="54"/>
        <v>0</v>
      </c>
      <c r="BY30" s="459">
        <f t="shared" si="55"/>
        <v>0</v>
      </c>
      <c r="BZ30" s="459">
        <f t="shared" si="56"/>
        <v>0</v>
      </c>
      <c r="CA30" s="459">
        <f t="shared" si="57"/>
        <v>0</v>
      </c>
      <c r="CB30" s="460">
        <f t="shared" si="103"/>
        <v>0</v>
      </c>
      <c r="CC30" s="461"/>
      <c r="CD30" s="462">
        <f t="shared" si="58"/>
        <v>0</v>
      </c>
      <c r="CE30" s="462">
        <f t="shared" si="59"/>
        <v>0</v>
      </c>
      <c r="CF30" s="462">
        <f t="shared" si="60"/>
        <v>0</v>
      </c>
      <c r="CG30" s="462">
        <f t="shared" si="61"/>
        <v>0</v>
      </c>
      <c r="CH30" s="462">
        <f t="shared" si="62"/>
        <v>0</v>
      </c>
      <c r="CI30" s="462">
        <f t="shared" si="63"/>
        <v>0</v>
      </c>
      <c r="CJ30" s="462">
        <f t="shared" si="64"/>
        <v>0</v>
      </c>
      <c r="CK30" s="462">
        <f t="shared" si="65"/>
        <v>0</v>
      </c>
      <c r="CL30" s="462">
        <f t="shared" si="66"/>
        <v>0</v>
      </c>
      <c r="CM30" s="462">
        <f t="shared" si="67"/>
        <v>0</v>
      </c>
      <c r="CN30" s="460">
        <f t="shared" si="104"/>
        <v>0</v>
      </c>
      <c r="CO30" s="461"/>
      <c r="CP30" s="459">
        <f t="shared" si="68"/>
        <v>0</v>
      </c>
      <c r="CQ30" s="459">
        <f t="shared" si="69"/>
        <v>0</v>
      </c>
      <c r="CR30" s="459">
        <f t="shared" si="70"/>
        <v>0</v>
      </c>
      <c r="CS30" s="459">
        <f t="shared" si="71"/>
        <v>0</v>
      </c>
      <c r="CT30" s="459">
        <f t="shared" si="72"/>
        <v>0</v>
      </c>
      <c r="CU30" s="459">
        <f t="shared" si="73"/>
        <v>0</v>
      </c>
      <c r="CV30" s="459">
        <f t="shared" si="74"/>
        <v>0</v>
      </c>
      <c r="CW30" s="459">
        <f t="shared" si="75"/>
        <v>0</v>
      </c>
      <c r="CX30" s="459">
        <f t="shared" si="76"/>
        <v>0</v>
      </c>
      <c r="CY30" s="459">
        <f t="shared" si="77"/>
        <v>0</v>
      </c>
      <c r="CZ30" s="460">
        <f t="shared" si="105"/>
        <v>0</v>
      </c>
      <c r="DA30" s="463"/>
      <c r="DB30" s="459">
        <f t="shared" si="78"/>
        <v>0</v>
      </c>
      <c r="DC30" s="459">
        <f t="shared" si="79"/>
        <v>0</v>
      </c>
      <c r="DD30" s="459">
        <f t="shared" si="80"/>
        <v>0</v>
      </c>
      <c r="DE30" s="459">
        <f t="shared" si="81"/>
        <v>0</v>
      </c>
      <c r="DF30" s="459">
        <f t="shared" si="82"/>
        <v>0</v>
      </c>
      <c r="DG30" s="459">
        <f t="shared" si="83"/>
        <v>0</v>
      </c>
      <c r="DH30" s="459">
        <f t="shared" si="84"/>
        <v>0</v>
      </c>
      <c r="DI30" s="459">
        <f t="shared" si="85"/>
        <v>0</v>
      </c>
      <c r="DJ30" s="459">
        <f t="shared" si="86"/>
        <v>0</v>
      </c>
      <c r="DK30" s="459">
        <f t="shared" si="87"/>
        <v>0</v>
      </c>
      <c r="DL30" s="460">
        <f t="shared" si="106"/>
        <v>0</v>
      </c>
      <c r="DM30" s="463"/>
      <c r="DN30" s="442">
        <f>IF('2. START'!$C$14&gt;0,(AT30/(1+$AA30))*(1+'2. START'!$C$14),AT30)</f>
        <v>0</v>
      </c>
      <c r="DO30" s="442">
        <f>IF('2. START'!$C$14&gt;0,(AU30/(1+$AA30))*(1+'2. START'!$C$14),AU30)</f>
        <v>0</v>
      </c>
      <c r="DP30" s="442">
        <f>IF('2. START'!$C$14&gt;0,(AV30/(1+$AA30))*(1+'2. START'!$C$14),AV30)</f>
        <v>0</v>
      </c>
      <c r="DQ30" s="442">
        <f>IF('2. START'!$C$14&gt;0,(AW30/(1+$AA30))*(1+'2. START'!$C$14),AW30)</f>
        <v>0</v>
      </c>
      <c r="DR30" s="442">
        <f>IF('2. START'!$C$14&gt;0,(AX30/(1+$AA30))*(1+'2. START'!$C$14),AX30)</f>
        <v>0</v>
      </c>
      <c r="DS30" s="442">
        <f>IF('2. START'!$C$14&gt;0,(AY30/(1+$AA30))*(1+'2. START'!$C$14),AY30)</f>
        <v>0</v>
      </c>
      <c r="DT30" s="442">
        <f>IF('2. START'!$C$14&gt;0,(AZ30/(1+$AA30))*(1+'2. START'!$C$14),AZ30)</f>
        <v>0</v>
      </c>
      <c r="DU30" s="442">
        <f>IF('2. START'!$C$14&gt;0,(BA30/(1+$AA30))*(1+'2. START'!$C$14),BA30)</f>
        <v>0</v>
      </c>
      <c r="DV30" s="442">
        <f>IF('2. START'!$C$14&gt;0,(BB30/(1+$AA30))*(1+'2. START'!$C$14),BB30)</f>
        <v>0</v>
      </c>
      <c r="DW30" s="442">
        <f>IF('2. START'!$C$14&gt;0,(BC30/(1+$AA30))*(1+'2. START'!$C$14),BC30)</f>
        <v>0</v>
      </c>
      <c r="DX30" s="460">
        <f t="shared" si="107"/>
        <v>0</v>
      </c>
      <c r="DY30" s="463"/>
      <c r="DZ30" s="459">
        <f>IF('2. START'!$C$11="NO",(IF('2. START'!$C$14&gt;0,(DN30*$AD30),(AT30*$AD30))),(BR30+CP30))</f>
        <v>0</v>
      </c>
      <c r="EA30" s="459">
        <f>IF('2. START'!$C$11="NO",(IF('2. START'!$C$14&gt;0,(DO30*$AD30),(AU30*$AD30))),(BS30+CQ30))</f>
        <v>0</v>
      </c>
      <c r="EB30" s="459">
        <f>IF('2. START'!$C$11="NO",(IF('2. START'!$C$14&gt;0,(DP30*$AD30),(AV30*$AD30))),(BT30+CR30))</f>
        <v>0</v>
      </c>
      <c r="EC30" s="459">
        <f>IF('2. START'!$C$11="NO",(IF('2. START'!$C$14&gt;0,(DQ30*$AD30),(AW30*$AD30))),(BU30+CS30))</f>
        <v>0</v>
      </c>
      <c r="ED30" s="459">
        <f>IF('2. START'!$C$11="NO",(IF('2. START'!$C$14&gt;0,(DR30*$AD30),(AX30*$AD30))),(BV30+CT30))</f>
        <v>0</v>
      </c>
      <c r="EE30" s="459">
        <f>IF('2. START'!$C$11="NO",(IF('2. START'!$C$14&gt;0,(DS30*$AD30),(AY30*$AD30))),(BW30+CU30))</f>
        <v>0</v>
      </c>
      <c r="EF30" s="459">
        <f>IF('2. START'!$C$11="NO",(IF('2. START'!$C$14&gt;0,(DT30*$AD30),(AZ30*$AD30))),(BX30+CV30))</f>
        <v>0</v>
      </c>
      <c r="EG30" s="459">
        <f>IF('2. START'!$C$11="NO",(IF('2. START'!$C$14&gt;0,(DU30*$AD30),(BA30*$AD30))),(BY30+CW30))</f>
        <v>0</v>
      </c>
      <c r="EH30" s="459">
        <f>IF('2. START'!$C$11="NO",(IF('2. START'!$C$14&gt;0,(DV30*$AD30),(BB30*$AD30))),(BZ30+CX30))</f>
        <v>0</v>
      </c>
      <c r="EI30" s="459">
        <f>IF('2. START'!$C$11="NO",(IF('2. START'!$C$14&gt;0,(DW30*$AD30),(BC30*$AD30))),(CA30+CY30))</f>
        <v>0</v>
      </c>
      <c r="EJ30" s="460">
        <f t="shared" si="108"/>
        <v>0</v>
      </c>
      <c r="EK30" s="463"/>
      <c r="EL30" s="459">
        <f>(BR30+CP30-DZ30)+IF('2. START'!$C$14&gt;0,AT30-DN30,0)</f>
        <v>0</v>
      </c>
      <c r="EM30" s="459">
        <f>(BS30+CQ30-EA30)+IF('2. START'!$C$14&gt;0,AU30-DO30,0)</f>
        <v>0</v>
      </c>
      <c r="EN30" s="459">
        <f>(BT30+CR30-EB30)+IF('2. START'!$C$14&gt;0,AV30-DP30,0)</f>
        <v>0</v>
      </c>
      <c r="EO30" s="459">
        <f>(BU30+CS30-EC30)+IF('2. START'!$C$14&gt;0,AW30-DQ30,0)</f>
        <v>0</v>
      </c>
      <c r="EP30" s="459">
        <f>(BV30+CT30-ED30)+IF('2. START'!$C$14&gt;0,AX30-DR30,0)</f>
        <v>0</v>
      </c>
      <c r="EQ30" s="459">
        <f>(BW30+CU30-EE30)+IF('2. START'!$C$14&gt;0,AY30-DS30,0)</f>
        <v>0</v>
      </c>
      <c r="ER30" s="459">
        <f>(BX30+CV30-EF30)+IF('2. START'!$C$14&gt;0,AZ30-DT30,0)</f>
        <v>0</v>
      </c>
      <c r="ES30" s="459">
        <f>(BY30+CW30-EG30)+IF('2. START'!$C$14&gt;0,BA30-DU30,0)</f>
        <v>0</v>
      </c>
      <c r="ET30" s="459">
        <f>(BZ30+CX30-EH30)+IF('2. START'!$C$14&gt;0,BB30-DV30,0)</f>
        <v>0</v>
      </c>
      <c r="EU30" s="459">
        <f>(CA30+CY30-EI30)+IF('2. START'!$C$14&gt;0,BC30-DW30,0)</f>
        <v>0</v>
      </c>
      <c r="EV30" s="460">
        <f t="shared" si="109"/>
        <v>0</v>
      </c>
      <c r="EW30" s="463"/>
      <c r="EX30" s="459">
        <f t="shared" si="110"/>
        <v>0</v>
      </c>
      <c r="EY30" s="459">
        <f t="shared" si="111"/>
        <v>0</v>
      </c>
      <c r="EZ30" s="459">
        <f t="shared" si="112"/>
        <v>0</v>
      </c>
      <c r="FA30" s="459">
        <f t="shared" si="113"/>
        <v>0</v>
      </c>
      <c r="FB30" s="459">
        <f t="shared" si="114"/>
        <v>0</v>
      </c>
      <c r="FC30" s="459">
        <f t="shared" si="115"/>
        <v>0</v>
      </c>
      <c r="FD30" s="459">
        <f t="shared" si="116"/>
        <v>0</v>
      </c>
      <c r="FE30" s="459">
        <f t="shared" si="117"/>
        <v>0</v>
      </c>
      <c r="FF30" s="459">
        <f t="shared" si="118"/>
        <v>0</v>
      </c>
      <c r="FG30" s="459">
        <f t="shared" si="119"/>
        <v>0</v>
      </c>
      <c r="FH30" s="460">
        <f t="shared" si="120"/>
        <v>0</v>
      </c>
      <c r="FI30" s="463"/>
      <c r="FJ30" s="459">
        <f t="shared" si="121"/>
        <v>0</v>
      </c>
      <c r="FK30" s="459">
        <f t="shared" si="122"/>
        <v>0</v>
      </c>
      <c r="FL30" s="459">
        <f t="shared" si="123"/>
        <v>0</v>
      </c>
      <c r="FM30" s="459">
        <f t="shared" si="124"/>
        <v>0</v>
      </c>
      <c r="FN30" s="459">
        <f t="shared" si="125"/>
        <v>0</v>
      </c>
      <c r="FO30" s="459">
        <f t="shared" si="126"/>
        <v>0</v>
      </c>
      <c r="FP30" s="459">
        <f t="shared" si="127"/>
        <v>0</v>
      </c>
      <c r="FQ30" s="459">
        <f t="shared" si="128"/>
        <v>0</v>
      </c>
      <c r="FR30" s="459">
        <f t="shared" si="129"/>
        <v>0</v>
      </c>
      <c r="FS30" s="459">
        <f t="shared" si="130"/>
        <v>0</v>
      </c>
      <c r="FT30" s="460">
        <f t="shared" si="131"/>
        <v>0</v>
      </c>
    </row>
    <row r="31" spans="2:176" s="270" customFormat="1" ht="15" customHeight="1" x14ac:dyDescent="0.25">
      <c r="B31" s="464" t="str">
        <f>'2. START'!C$7</f>
        <v>100GEM</v>
      </c>
      <c r="C31" s="465"/>
      <c r="D31" s="590"/>
      <c r="E31" s="514">
        <v>0</v>
      </c>
      <c r="F31" s="467"/>
      <c r="G31" s="432"/>
      <c r="H31" s="432"/>
      <c r="I31" s="432"/>
      <c r="J31" s="432"/>
      <c r="K31" s="432"/>
      <c r="L31" s="432"/>
      <c r="M31" s="432"/>
      <c r="N31" s="432"/>
      <c r="O31" s="432"/>
      <c r="P31" s="432"/>
      <c r="Q31" s="545">
        <f>SUMIF('3. PARTNER'!$B$13:$B$80,$B31,'3. PARTNER'!$F$13:$F$80)</f>
        <v>0.02</v>
      </c>
      <c r="R31" s="466">
        <f t="shared" si="132"/>
        <v>0.02</v>
      </c>
      <c r="S31" s="466">
        <f t="shared" si="132"/>
        <v>0.02</v>
      </c>
      <c r="T31" s="466">
        <f t="shared" si="132"/>
        <v>0.02</v>
      </c>
      <c r="U31" s="466">
        <f t="shared" si="132"/>
        <v>0.02</v>
      </c>
      <c r="V31" s="466">
        <f t="shared" si="132"/>
        <v>0.02</v>
      </c>
      <c r="W31" s="466">
        <f t="shared" si="132"/>
        <v>0.02</v>
      </c>
      <c r="X31" s="466">
        <f t="shared" si="132"/>
        <v>0.02</v>
      </c>
      <c r="Y31" s="466">
        <f t="shared" si="132"/>
        <v>0.02</v>
      </c>
      <c r="Z31" s="466">
        <f t="shared" si="132"/>
        <v>0.02</v>
      </c>
      <c r="AA31" s="434">
        <f>SUMIF('3. PARTNER'!B$13:B$80,B31,'3. PARTNER'!E$13:E$80)</f>
        <v>0.5595</v>
      </c>
      <c r="AB31" s="435">
        <f>IF('2. START'!$C$20="UTB",(SUMIF('3. PARTNER'!B$13:B$80,B31,'3. PARTNER'!K$13:K$80))+(SUMIF('3. PARTNER'!B$13:B$80,B31,'3. PARTNER'!M$13:M$80)),(SUMIF('3. PARTNER'!B$13:B$80,B31,'3. PARTNER'!G$13:G$80))+(SUMIF('3. PARTNER'!B$13:B$80,B31,'3. PARTNER'!I$13:I$80)))</f>
        <v>0.16000843770704321</v>
      </c>
      <c r="AC31" s="435">
        <f>IF('2. START'!$C$20="UTB",(SUMIF('3. PARTNER'!B$13:B$80,B31,'3. PARTNER'!L$13:L$80))+(SUMIF('3. PARTNER'!B$13:B$80,B31,'3. PARTNER'!N$13:N$80)),(SUMIF('3. PARTNER'!B$13:B$80,B31,'3. PARTNER'!H$13:H$80))+(SUMIF('3. PARTNER'!B$13:B$80,B31,'3. PARTNER'!J$13:J$80)))</f>
        <v>0</v>
      </c>
      <c r="AD31" s="435">
        <f>IF('2. START'!C$11="NO",'2. START'!C$12,0)</f>
        <v>0</v>
      </c>
      <c r="AE31" s="436">
        <f t="shared" si="98"/>
        <v>0</v>
      </c>
      <c r="AF31" s="436">
        <f t="shared" si="99"/>
        <v>0</v>
      </c>
      <c r="AG31" s="437"/>
      <c r="AH31" s="438">
        <f t="shared" si="18"/>
        <v>0</v>
      </c>
      <c r="AI31" s="438">
        <f t="shared" si="19"/>
        <v>0</v>
      </c>
      <c r="AJ31" s="438">
        <f t="shared" si="20"/>
        <v>0</v>
      </c>
      <c r="AK31" s="438">
        <f t="shared" si="21"/>
        <v>0</v>
      </c>
      <c r="AL31" s="438">
        <f t="shared" si="22"/>
        <v>0</v>
      </c>
      <c r="AM31" s="438">
        <f t="shared" si="23"/>
        <v>0</v>
      </c>
      <c r="AN31" s="438">
        <f t="shared" si="24"/>
        <v>0</v>
      </c>
      <c r="AO31" s="438">
        <f t="shared" si="25"/>
        <v>0</v>
      </c>
      <c r="AP31" s="438">
        <f t="shared" si="26"/>
        <v>0</v>
      </c>
      <c r="AQ31" s="438">
        <f t="shared" si="27"/>
        <v>0</v>
      </c>
      <c r="AR31" s="439">
        <f t="shared" si="100"/>
        <v>0</v>
      </c>
      <c r="AS31" s="440"/>
      <c r="AT31" s="438">
        <f t="shared" si="28"/>
        <v>0</v>
      </c>
      <c r="AU31" s="438">
        <f t="shared" si="29"/>
        <v>0</v>
      </c>
      <c r="AV31" s="438">
        <f t="shared" si="30"/>
        <v>0</v>
      </c>
      <c r="AW31" s="438">
        <f t="shared" si="31"/>
        <v>0</v>
      </c>
      <c r="AX31" s="438">
        <f t="shared" si="32"/>
        <v>0</v>
      </c>
      <c r="AY31" s="438">
        <f t="shared" si="33"/>
        <v>0</v>
      </c>
      <c r="AZ31" s="438">
        <f t="shared" si="34"/>
        <v>0</v>
      </c>
      <c r="BA31" s="438">
        <f t="shared" si="35"/>
        <v>0</v>
      </c>
      <c r="BB31" s="438">
        <f t="shared" si="36"/>
        <v>0</v>
      </c>
      <c r="BC31" s="438">
        <f t="shared" si="37"/>
        <v>0</v>
      </c>
      <c r="BD31" s="439">
        <f t="shared" si="101"/>
        <v>0</v>
      </c>
      <c r="BE31" s="440"/>
      <c r="BF31" s="438">
        <f t="shared" si="38"/>
        <v>0</v>
      </c>
      <c r="BG31" s="438">
        <f t="shared" si="39"/>
        <v>0</v>
      </c>
      <c r="BH31" s="438">
        <f t="shared" si="40"/>
        <v>0</v>
      </c>
      <c r="BI31" s="438">
        <f t="shared" si="41"/>
        <v>0</v>
      </c>
      <c r="BJ31" s="438">
        <f t="shared" si="42"/>
        <v>0</v>
      </c>
      <c r="BK31" s="438">
        <f t="shared" si="43"/>
        <v>0</v>
      </c>
      <c r="BL31" s="438">
        <f t="shared" si="44"/>
        <v>0</v>
      </c>
      <c r="BM31" s="438">
        <f t="shared" si="45"/>
        <v>0</v>
      </c>
      <c r="BN31" s="438">
        <f t="shared" si="46"/>
        <v>0</v>
      </c>
      <c r="BO31" s="438">
        <f t="shared" si="47"/>
        <v>0</v>
      </c>
      <c r="BP31" s="439">
        <f t="shared" si="102"/>
        <v>0</v>
      </c>
      <c r="BQ31" s="441"/>
      <c r="BR31" s="442">
        <f t="shared" si="48"/>
        <v>0</v>
      </c>
      <c r="BS31" s="442">
        <f t="shared" si="49"/>
        <v>0</v>
      </c>
      <c r="BT31" s="442">
        <f t="shared" si="50"/>
        <v>0</v>
      </c>
      <c r="BU31" s="442">
        <f t="shared" si="51"/>
        <v>0</v>
      </c>
      <c r="BV31" s="442">
        <f t="shared" si="52"/>
        <v>0</v>
      </c>
      <c r="BW31" s="442">
        <f t="shared" si="53"/>
        <v>0</v>
      </c>
      <c r="BX31" s="442">
        <f t="shared" si="54"/>
        <v>0</v>
      </c>
      <c r="BY31" s="442">
        <f t="shared" si="55"/>
        <v>0</v>
      </c>
      <c r="BZ31" s="442">
        <f t="shared" si="56"/>
        <v>0</v>
      </c>
      <c r="CA31" s="442">
        <f t="shared" si="57"/>
        <v>0</v>
      </c>
      <c r="CB31" s="443">
        <f t="shared" si="103"/>
        <v>0</v>
      </c>
      <c r="CC31" s="444"/>
      <c r="CD31" s="445">
        <f t="shared" si="58"/>
        <v>0</v>
      </c>
      <c r="CE31" s="445">
        <f t="shared" si="59"/>
        <v>0</v>
      </c>
      <c r="CF31" s="445">
        <f t="shared" si="60"/>
        <v>0</v>
      </c>
      <c r="CG31" s="445">
        <f t="shared" si="61"/>
        <v>0</v>
      </c>
      <c r="CH31" s="445">
        <f t="shared" si="62"/>
        <v>0</v>
      </c>
      <c r="CI31" s="445">
        <f t="shared" si="63"/>
        <v>0</v>
      </c>
      <c r="CJ31" s="445">
        <f t="shared" si="64"/>
        <v>0</v>
      </c>
      <c r="CK31" s="445">
        <f t="shared" si="65"/>
        <v>0</v>
      </c>
      <c r="CL31" s="445">
        <f t="shared" si="66"/>
        <v>0</v>
      </c>
      <c r="CM31" s="445">
        <f t="shared" si="67"/>
        <v>0</v>
      </c>
      <c r="CN31" s="443">
        <f t="shared" si="104"/>
        <v>0</v>
      </c>
      <c r="CO31" s="444"/>
      <c r="CP31" s="442">
        <f t="shared" si="68"/>
        <v>0</v>
      </c>
      <c r="CQ31" s="442">
        <f t="shared" si="69"/>
        <v>0</v>
      </c>
      <c r="CR31" s="442">
        <f t="shared" si="70"/>
        <v>0</v>
      </c>
      <c r="CS31" s="442">
        <f t="shared" si="71"/>
        <v>0</v>
      </c>
      <c r="CT31" s="442">
        <f t="shared" si="72"/>
        <v>0</v>
      </c>
      <c r="CU31" s="442">
        <f t="shared" si="73"/>
        <v>0</v>
      </c>
      <c r="CV31" s="442">
        <f t="shared" si="74"/>
        <v>0</v>
      </c>
      <c r="CW31" s="442">
        <f t="shared" si="75"/>
        <v>0</v>
      </c>
      <c r="CX31" s="442">
        <f t="shared" si="76"/>
        <v>0</v>
      </c>
      <c r="CY31" s="442">
        <f t="shared" si="77"/>
        <v>0</v>
      </c>
      <c r="CZ31" s="443">
        <f t="shared" si="105"/>
        <v>0</v>
      </c>
      <c r="DB31" s="442">
        <f t="shared" si="78"/>
        <v>0</v>
      </c>
      <c r="DC31" s="442">
        <f t="shared" si="79"/>
        <v>0</v>
      </c>
      <c r="DD31" s="442">
        <f t="shared" si="80"/>
        <v>0</v>
      </c>
      <c r="DE31" s="442">
        <f t="shared" si="81"/>
        <v>0</v>
      </c>
      <c r="DF31" s="442">
        <f t="shared" si="82"/>
        <v>0</v>
      </c>
      <c r="DG31" s="442">
        <f t="shared" si="83"/>
        <v>0</v>
      </c>
      <c r="DH31" s="442">
        <f t="shared" si="84"/>
        <v>0</v>
      </c>
      <c r="DI31" s="442">
        <f t="shared" si="85"/>
        <v>0</v>
      </c>
      <c r="DJ31" s="442">
        <f t="shared" si="86"/>
        <v>0</v>
      </c>
      <c r="DK31" s="442">
        <f t="shared" si="87"/>
        <v>0</v>
      </c>
      <c r="DL31" s="443">
        <f t="shared" si="106"/>
        <v>0</v>
      </c>
      <c r="DN31" s="442">
        <f>IF('2. START'!$C$14&gt;0,(AT31/(1+$AA31))*(1+'2. START'!$C$14),AT31)</f>
        <v>0</v>
      </c>
      <c r="DO31" s="442">
        <f>IF('2. START'!$C$14&gt;0,(AU31/(1+$AA31))*(1+'2. START'!$C$14),AU31)</f>
        <v>0</v>
      </c>
      <c r="DP31" s="442">
        <f>IF('2. START'!$C$14&gt;0,(AV31/(1+$AA31))*(1+'2. START'!$C$14),AV31)</f>
        <v>0</v>
      </c>
      <c r="DQ31" s="442">
        <f>IF('2. START'!$C$14&gt;0,(AW31/(1+$AA31))*(1+'2. START'!$C$14),AW31)</f>
        <v>0</v>
      </c>
      <c r="DR31" s="442">
        <f>IF('2. START'!$C$14&gt;0,(AX31/(1+$AA31))*(1+'2. START'!$C$14),AX31)</f>
        <v>0</v>
      </c>
      <c r="DS31" s="442">
        <f>IF('2. START'!$C$14&gt;0,(AY31/(1+$AA31))*(1+'2. START'!$C$14),AY31)</f>
        <v>0</v>
      </c>
      <c r="DT31" s="442">
        <f>IF('2. START'!$C$14&gt;0,(AZ31/(1+$AA31))*(1+'2. START'!$C$14),AZ31)</f>
        <v>0</v>
      </c>
      <c r="DU31" s="442">
        <f>IF('2. START'!$C$14&gt;0,(BA31/(1+$AA31))*(1+'2. START'!$C$14),BA31)</f>
        <v>0</v>
      </c>
      <c r="DV31" s="442">
        <f>IF('2. START'!$C$14&gt;0,(BB31/(1+$AA31))*(1+'2. START'!$C$14),BB31)</f>
        <v>0</v>
      </c>
      <c r="DW31" s="442">
        <f>IF('2. START'!$C$14&gt;0,(BC31/(1+$AA31))*(1+'2. START'!$C$14),BC31)</f>
        <v>0</v>
      </c>
      <c r="DX31" s="443">
        <f t="shared" si="107"/>
        <v>0</v>
      </c>
      <c r="DZ31" s="442">
        <f>IF('2. START'!$C$11="NO",(IF('2. START'!$C$14&gt;0,(DN31*$AD31),(AT31*$AD31))),(BR31+CP31))</f>
        <v>0</v>
      </c>
      <c r="EA31" s="442">
        <f>IF('2. START'!$C$11="NO",(IF('2. START'!$C$14&gt;0,(DO31*$AD31),(AU31*$AD31))),(BS31+CQ31))</f>
        <v>0</v>
      </c>
      <c r="EB31" s="442">
        <f>IF('2. START'!$C$11="NO",(IF('2. START'!$C$14&gt;0,(DP31*$AD31),(AV31*$AD31))),(BT31+CR31))</f>
        <v>0</v>
      </c>
      <c r="EC31" s="442">
        <f>IF('2. START'!$C$11="NO",(IF('2. START'!$C$14&gt;0,(DQ31*$AD31),(AW31*$AD31))),(BU31+CS31))</f>
        <v>0</v>
      </c>
      <c r="ED31" s="442">
        <f>IF('2. START'!$C$11="NO",(IF('2. START'!$C$14&gt;0,(DR31*$AD31),(AX31*$AD31))),(BV31+CT31))</f>
        <v>0</v>
      </c>
      <c r="EE31" s="442">
        <f>IF('2. START'!$C$11="NO",(IF('2. START'!$C$14&gt;0,(DS31*$AD31),(AY31*$AD31))),(BW31+CU31))</f>
        <v>0</v>
      </c>
      <c r="EF31" s="442">
        <f>IF('2. START'!$C$11="NO",(IF('2. START'!$C$14&gt;0,(DT31*$AD31),(AZ31*$AD31))),(BX31+CV31))</f>
        <v>0</v>
      </c>
      <c r="EG31" s="442">
        <f>IF('2. START'!$C$11="NO",(IF('2. START'!$C$14&gt;0,(DU31*$AD31),(BA31*$AD31))),(BY31+CW31))</f>
        <v>0</v>
      </c>
      <c r="EH31" s="442">
        <f>IF('2. START'!$C$11="NO",(IF('2. START'!$C$14&gt;0,(DV31*$AD31),(BB31*$AD31))),(BZ31+CX31))</f>
        <v>0</v>
      </c>
      <c r="EI31" s="442">
        <f>IF('2. START'!$C$11="NO",(IF('2. START'!$C$14&gt;0,(DW31*$AD31),(BC31*$AD31))),(CA31+CY31))</f>
        <v>0</v>
      </c>
      <c r="EJ31" s="443">
        <f t="shared" si="108"/>
        <v>0</v>
      </c>
      <c r="EL31" s="442">
        <f>(BR31+CP31-DZ31)+IF('2. START'!$C$14&gt;0,AT31-DN31,0)</f>
        <v>0</v>
      </c>
      <c r="EM31" s="442">
        <f>(BS31+CQ31-EA31)+IF('2. START'!$C$14&gt;0,AU31-DO31,0)</f>
        <v>0</v>
      </c>
      <c r="EN31" s="442">
        <f>(BT31+CR31-EB31)+IF('2. START'!$C$14&gt;0,AV31-DP31,0)</f>
        <v>0</v>
      </c>
      <c r="EO31" s="442">
        <f>(BU31+CS31-EC31)+IF('2. START'!$C$14&gt;0,AW31-DQ31,0)</f>
        <v>0</v>
      </c>
      <c r="EP31" s="442">
        <f>(BV31+CT31-ED31)+IF('2. START'!$C$14&gt;0,AX31-DR31,0)</f>
        <v>0</v>
      </c>
      <c r="EQ31" s="442">
        <f>(BW31+CU31-EE31)+IF('2. START'!$C$14&gt;0,AY31-DS31,0)</f>
        <v>0</v>
      </c>
      <c r="ER31" s="442">
        <f>(BX31+CV31-EF31)+IF('2. START'!$C$14&gt;0,AZ31-DT31,0)</f>
        <v>0</v>
      </c>
      <c r="ES31" s="442">
        <f>(BY31+CW31-EG31)+IF('2. START'!$C$14&gt;0,BA31-DU31,0)</f>
        <v>0</v>
      </c>
      <c r="ET31" s="442">
        <f>(BZ31+CX31-EH31)+IF('2. START'!$C$14&gt;0,BB31-DV31,0)</f>
        <v>0</v>
      </c>
      <c r="EU31" s="442">
        <f>(CA31+CY31-EI31)+IF('2. START'!$C$14&gt;0,BC31-DW31,0)</f>
        <v>0</v>
      </c>
      <c r="EV31" s="443">
        <f t="shared" si="109"/>
        <v>0</v>
      </c>
      <c r="EX31" s="442">
        <f t="shared" si="110"/>
        <v>0</v>
      </c>
      <c r="EY31" s="442">
        <f t="shared" si="111"/>
        <v>0</v>
      </c>
      <c r="EZ31" s="442">
        <f t="shared" si="112"/>
        <v>0</v>
      </c>
      <c r="FA31" s="442">
        <f t="shared" si="113"/>
        <v>0</v>
      </c>
      <c r="FB31" s="442">
        <f t="shared" si="114"/>
        <v>0</v>
      </c>
      <c r="FC31" s="442">
        <f t="shared" si="115"/>
        <v>0</v>
      </c>
      <c r="FD31" s="442">
        <f t="shared" si="116"/>
        <v>0</v>
      </c>
      <c r="FE31" s="442">
        <f t="shared" si="117"/>
        <v>0</v>
      </c>
      <c r="FF31" s="442">
        <f t="shared" si="118"/>
        <v>0</v>
      </c>
      <c r="FG31" s="442">
        <f t="shared" si="119"/>
        <v>0</v>
      </c>
      <c r="FH31" s="443">
        <f t="shared" si="120"/>
        <v>0</v>
      </c>
      <c r="FJ31" s="442">
        <f t="shared" si="121"/>
        <v>0</v>
      </c>
      <c r="FK31" s="442">
        <f t="shared" si="122"/>
        <v>0</v>
      </c>
      <c r="FL31" s="442">
        <f t="shared" si="123"/>
        <v>0</v>
      </c>
      <c r="FM31" s="442">
        <f t="shared" si="124"/>
        <v>0</v>
      </c>
      <c r="FN31" s="442">
        <f t="shared" si="125"/>
        <v>0</v>
      </c>
      <c r="FO31" s="442">
        <f t="shared" si="126"/>
        <v>0</v>
      </c>
      <c r="FP31" s="442">
        <f t="shared" si="127"/>
        <v>0</v>
      </c>
      <c r="FQ31" s="442">
        <f t="shared" si="128"/>
        <v>0</v>
      </c>
      <c r="FR31" s="442">
        <f t="shared" si="129"/>
        <v>0</v>
      </c>
      <c r="FS31" s="442">
        <f t="shared" si="130"/>
        <v>0</v>
      </c>
      <c r="FT31" s="443">
        <f t="shared" si="131"/>
        <v>0</v>
      </c>
    </row>
    <row r="32" spans="2:176" s="270" customFormat="1" ht="15" customHeight="1" x14ac:dyDescent="0.25">
      <c r="B32" s="446" t="str">
        <f>'2. START'!C$7</f>
        <v>100GEM</v>
      </c>
      <c r="C32" s="447"/>
      <c r="D32" s="589"/>
      <c r="E32" s="544">
        <v>0</v>
      </c>
      <c r="F32" s="448"/>
      <c r="G32" s="449"/>
      <c r="H32" s="449"/>
      <c r="I32" s="449"/>
      <c r="J32" s="449"/>
      <c r="K32" s="449"/>
      <c r="L32" s="449"/>
      <c r="M32" s="449"/>
      <c r="N32" s="449"/>
      <c r="O32" s="449"/>
      <c r="P32" s="449"/>
      <c r="Q32" s="546">
        <f>SUMIF('3. PARTNER'!$B$13:$B$80,$B32,'3. PARTNER'!$F$13:$F$80)</f>
        <v>0.02</v>
      </c>
      <c r="R32" s="450">
        <f t="shared" si="132"/>
        <v>0.02</v>
      </c>
      <c r="S32" s="450">
        <f t="shared" si="132"/>
        <v>0.02</v>
      </c>
      <c r="T32" s="450">
        <f t="shared" si="132"/>
        <v>0.02</v>
      </c>
      <c r="U32" s="450">
        <f t="shared" si="132"/>
        <v>0.02</v>
      </c>
      <c r="V32" s="450">
        <f t="shared" si="132"/>
        <v>0.02</v>
      </c>
      <c r="W32" s="450">
        <f t="shared" si="132"/>
        <v>0.02</v>
      </c>
      <c r="X32" s="450">
        <f t="shared" si="132"/>
        <v>0.02</v>
      </c>
      <c r="Y32" s="450">
        <f t="shared" si="132"/>
        <v>0.02</v>
      </c>
      <c r="Z32" s="450">
        <f t="shared" si="132"/>
        <v>0.02</v>
      </c>
      <c r="AA32" s="451">
        <f>SUMIF('3. PARTNER'!B$13:B$80,B32,'3. PARTNER'!E$13:E$80)</f>
        <v>0.5595</v>
      </c>
      <c r="AB32" s="452">
        <f>IF('2. START'!$C$20="UTB",(SUMIF('3. PARTNER'!B$13:B$80,B32,'3. PARTNER'!K$13:K$80))+(SUMIF('3. PARTNER'!B$13:B$80,B32,'3. PARTNER'!M$13:M$80)),(SUMIF('3. PARTNER'!B$13:B$80,B32,'3. PARTNER'!G$13:G$80))+(SUMIF('3. PARTNER'!B$13:B$80,B32,'3. PARTNER'!I$13:I$80)))</f>
        <v>0.16000843770704321</v>
      </c>
      <c r="AC32" s="452">
        <f>IF('2. START'!$C$20="UTB",(SUMIF('3. PARTNER'!B$13:B$80,B32,'3. PARTNER'!L$13:L$80))+(SUMIF('3. PARTNER'!B$13:B$80,B32,'3. PARTNER'!N$13:N$80)),(SUMIF('3. PARTNER'!B$13:B$80,B32,'3. PARTNER'!H$13:H$80))+(SUMIF('3. PARTNER'!B$13:B$80,B32,'3. PARTNER'!J$13:J$80)))</f>
        <v>0</v>
      </c>
      <c r="AD32" s="452">
        <f>IF('2. START'!C$11="NO",'2. START'!C$12,0)</f>
        <v>0</v>
      </c>
      <c r="AE32" s="453">
        <f t="shared" si="98"/>
        <v>0</v>
      </c>
      <c r="AF32" s="453">
        <f t="shared" si="99"/>
        <v>0</v>
      </c>
      <c r="AG32" s="454"/>
      <c r="AH32" s="455">
        <f t="shared" si="18"/>
        <v>0</v>
      </c>
      <c r="AI32" s="455">
        <f t="shared" si="19"/>
        <v>0</v>
      </c>
      <c r="AJ32" s="455">
        <f t="shared" si="20"/>
        <v>0</v>
      </c>
      <c r="AK32" s="455">
        <f t="shared" si="21"/>
        <v>0</v>
      </c>
      <c r="AL32" s="455">
        <f t="shared" si="22"/>
        <v>0</v>
      </c>
      <c r="AM32" s="455">
        <f t="shared" si="23"/>
        <v>0</v>
      </c>
      <c r="AN32" s="455">
        <f t="shared" si="24"/>
        <v>0</v>
      </c>
      <c r="AO32" s="455">
        <f t="shared" si="25"/>
        <v>0</v>
      </c>
      <c r="AP32" s="455">
        <f t="shared" si="26"/>
        <v>0</v>
      </c>
      <c r="AQ32" s="455">
        <f t="shared" si="27"/>
        <v>0</v>
      </c>
      <c r="AR32" s="456">
        <f t="shared" si="100"/>
        <v>0</v>
      </c>
      <c r="AS32" s="457"/>
      <c r="AT32" s="455">
        <f t="shared" si="28"/>
        <v>0</v>
      </c>
      <c r="AU32" s="455">
        <f t="shared" si="29"/>
        <v>0</v>
      </c>
      <c r="AV32" s="455">
        <f t="shared" si="30"/>
        <v>0</v>
      </c>
      <c r="AW32" s="455">
        <f t="shared" si="31"/>
        <v>0</v>
      </c>
      <c r="AX32" s="455">
        <f t="shared" si="32"/>
        <v>0</v>
      </c>
      <c r="AY32" s="455">
        <f t="shared" si="33"/>
        <v>0</v>
      </c>
      <c r="AZ32" s="455">
        <f t="shared" si="34"/>
        <v>0</v>
      </c>
      <c r="BA32" s="455">
        <f t="shared" si="35"/>
        <v>0</v>
      </c>
      <c r="BB32" s="455">
        <f t="shared" si="36"/>
        <v>0</v>
      </c>
      <c r="BC32" s="455">
        <f t="shared" si="37"/>
        <v>0</v>
      </c>
      <c r="BD32" s="456">
        <f t="shared" si="101"/>
        <v>0</v>
      </c>
      <c r="BE32" s="457"/>
      <c r="BF32" s="455">
        <f t="shared" si="38"/>
        <v>0</v>
      </c>
      <c r="BG32" s="455">
        <f t="shared" si="39"/>
        <v>0</v>
      </c>
      <c r="BH32" s="455">
        <f t="shared" si="40"/>
        <v>0</v>
      </c>
      <c r="BI32" s="455">
        <f t="shared" si="41"/>
        <v>0</v>
      </c>
      <c r="BJ32" s="455">
        <f t="shared" si="42"/>
        <v>0</v>
      </c>
      <c r="BK32" s="455">
        <f t="shared" si="43"/>
        <v>0</v>
      </c>
      <c r="BL32" s="455">
        <f t="shared" si="44"/>
        <v>0</v>
      </c>
      <c r="BM32" s="455">
        <f t="shared" si="45"/>
        <v>0</v>
      </c>
      <c r="BN32" s="455">
        <f t="shared" si="46"/>
        <v>0</v>
      </c>
      <c r="BO32" s="455">
        <f t="shared" si="47"/>
        <v>0</v>
      </c>
      <c r="BP32" s="456">
        <f t="shared" si="102"/>
        <v>0</v>
      </c>
      <c r="BQ32" s="458"/>
      <c r="BR32" s="459">
        <f t="shared" si="48"/>
        <v>0</v>
      </c>
      <c r="BS32" s="459">
        <f t="shared" si="49"/>
        <v>0</v>
      </c>
      <c r="BT32" s="459">
        <f t="shared" si="50"/>
        <v>0</v>
      </c>
      <c r="BU32" s="459">
        <f t="shared" si="51"/>
        <v>0</v>
      </c>
      <c r="BV32" s="459">
        <f t="shared" si="52"/>
        <v>0</v>
      </c>
      <c r="BW32" s="459">
        <f t="shared" si="53"/>
        <v>0</v>
      </c>
      <c r="BX32" s="459">
        <f t="shared" si="54"/>
        <v>0</v>
      </c>
      <c r="BY32" s="459">
        <f t="shared" si="55"/>
        <v>0</v>
      </c>
      <c r="BZ32" s="459">
        <f t="shared" si="56"/>
        <v>0</v>
      </c>
      <c r="CA32" s="459">
        <f t="shared" si="57"/>
        <v>0</v>
      </c>
      <c r="CB32" s="460">
        <f t="shared" si="103"/>
        <v>0</v>
      </c>
      <c r="CC32" s="461"/>
      <c r="CD32" s="462">
        <f t="shared" si="58"/>
        <v>0</v>
      </c>
      <c r="CE32" s="462">
        <f t="shared" si="59"/>
        <v>0</v>
      </c>
      <c r="CF32" s="462">
        <f t="shared" si="60"/>
        <v>0</v>
      </c>
      <c r="CG32" s="462">
        <f t="shared" si="61"/>
        <v>0</v>
      </c>
      <c r="CH32" s="462">
        <f t="shared" si="62"/>
        <v>0</v>
      </c>
      <c r="CI32" s="462">
        <f t="shared" si="63"/>
        <v>0</v>
      </c>
      <c r="CJ32" s="462">
        <f t="shared" si="64"/>
        <v>0</v>
      </c>
      <c r="CK32" s="462">
        <f t="shared" si="65"/>
        <v>0</v>
      </c>
      <c r="CL32" s="462">
        <f t="shared" si="66"/>
        <v>0</v>
      </c>
      <c r="CM32" s="462">
        <f t="shared" si="67"/>
        <v>0</v>
      </c>
      <c r="CN32" s="460">
        <f t="shared" si="104"/>
        <v>0</v>
      </c>
      <c r="CO32" s="461"/>
      <c r="CP32" s="459">
        <f t="shared" si="68"/>
        <v>0</v>
      </c>
      <c r="CQ32" s="459">
        <f t="shared" si="69"/>
        <v>0</v>
      </c>
      <c r="CR32" s="459">
        <f t="shared" si="70"/>
        <v>0</v>
      </c>
      <c r="CS32" s="459">
        <f t="shared" si="71"/>
        <v>0</v>
      </c>
      <c r="CT32" s="459">
        <f t="shared" si="72"/>
        <v>0</v>
      </c>
      <c r="CU32" s="459">
        <f t="shared" si="73"/>
        <v>0</v>
      </c>
      <c r="CV32" s="459">
        <f t="shared" si="74"/>
        <v>0</v>
      </c>
      <c r="CW32" s="459">
        <f t="shared" si="75"/>
        <v>0</v>
      </c>
      <c r="CX32" s="459">
        <f t="shared" si="76"/>
        <v>0</v>
      </c>
      <c r="CY32" s="459">
        <f t="shared" si="77"/>
        <v>0</v>
      </c>
      <c r="CZ32" s="460">
        <f t="shared" si="105"/>
        <v>0</v>
      </c>
      <c r="DA32" s="463"/>
      <c r="DB32" s="459">
        <f t="shared" si="78"/>
        <v>0</v>
      </c>
      <c r="DC32" s="459">
        <f t="shared" si="79"/>
        <v>0</v>
      </c>
      <c r="DD32" s="459">
        <f t="shared" si="80"/>
        <v>0</v>
      </c>
      <c r="DE32" s="459">
        <f t="shared" si="81"/>
        <v>0</v>
      </c>
      <c r="DF32" s="459">
        <f t="shared" si="82"/>
        <v>0</v>
      </c>
      <c r="DG32" s="459">
        <f t="shared" si="83"/>
        <v>0</v>
      </c>
      <c r="DH32" s="459">
        <f t="shared" si="84"/>
        <v>0</v>
      </c>
      <c r="DI32" s="459">
        <f t="shared" si="85"/>
        <v>0</v>
      </c>
      <c r="DJ32" s="459">
        <f t="shared" si="86"/>
        <v>0</v>
      </c>
      <c r="DK32" s="459">
        <f t="shared" si="87"/>
        <v>0</v>
      </c>
      <c r="DL32" s="460">
        <f t="shared" si="106"/>
        <v>0</v>
      </c>
      <c r="DM32" s="463"/>
      <c r="DN32" s="442">
        <f>IF('2. START'!$C$14&gt;0,(AT32/(1+$AA32))*(1+'2. START'!$C$14),AT32)</f>
        <v>0</v>
      </c>
      <c r="DO32" s="442">
        <f>IF('2. START'!$C$14&gt;0,(AU32/(1+$AA32))*(1+'2. START'!$C$14),AU32)</f>
        <v>0</v>
      </c>
      <c r="DP32" s="442">
        <f>IF('2. START'!$C$14&gt;0,(AV32/(1+$AA32))*(1+'2. START'!$C$14),AV32)</f>
        <v>0</v>
      </c>
      <c r="DQ32" s="442">
        <f>IF('2. START'!$C$14&gt;0,(AW32/(1+$AA32))*(1+'2. START'!$C$14),AW32)</f>
        <v>0</v>
      </c>
      <c r="DR32" s="442">
        <f>IF('2. START'!$C$14&gt;0,(AX32/(1+$AA32))*(1+'2. START'!$C$14),AX32)</f>
        <v>0</v>
      </c>
      <c r="DS32" s="442">
        <f>IF('2. START'!$C$14&gt;0,(AY32/(1+$AA32))*(1+'2. START'!$C$14),AY32)</f>
        <v>0</v>
      </c>
      <c r="DT32" s="442">
        <f>IF('2. START'!$C$14&gt;0,(AZ32/(1+$AA32))*(1+'2. START'!$C$14),AZ32)</f>
        <v>0</v>
      </c>
      <c r="DU32" s="442">
        <f>IF('2. START'!$C$14&gt;0,(BA32/(1+$AA32))*(1+'2. START'!$C$14),BA32)</f>
        <v>0</v>
      </c>
      <c r="DV32" s="442">
        <f>IF('2. START'!$C$14&gt;0,(BB32/(1+$AA32))*(1+'2. START'!$C$14),BB32)</f>
        <v>0</v>
      </c>
      <c r="DW32" s="442">
        <f>IF('2. START'!$C$14&gt;0,(BC32/(1+$AA32))*(1+'2. START'!$C$14),BC32)</f>
        <v>0</v>
      </c>
      <c r="DX32" s="460">
        <f t="shared" si="107"/>
        <v>0</v>
      </c>
      <c r="DY32" s="463"/>
      <c r="DZ32" s="459">
        <f>IF('2. START'!$C$11="NO",(IF('2. START'!$C$14&gt;0,(DN32*$AD32),(AT32*$AD32))),(BR32+CP32))</f>
        <v>0</v>
      </c>
      <c r="EA32" s="459">
        <f>IF('2. START'!$C$11="NO",(IF('2. START'!$C$14&gt;0,(DO32*$AD32),(AU32*$AD32))),(BS32+CQ32))</f>
        <v>0</v>
      </c>
      <c r="EB32" s="459">
        <f>IF('2. START'!$C$11="NO",(IF('2. START'!$C$14&gt;0,(DP32*$AD32),(AV32*$AD32))),(BT32+CR32))</f>
        <v>0</v>
      </c>
      <c r="EC32" s="459">
        <f>IF('2. START'!$C$11="NO",(IF('2. START'!$C$14&gt;0,(DQ32*$AD32),(AW32*$AD32))),(BU32+CS32))</f>
        <v>0</v>
      </c>
      <c r="ED32" s="459">
        <f>IF('2. START'!$C$11="NO",(IF('2. START'!$C$14&gt;0,(DR32*$AD32),(AX32*$AD32))),(BV32+CT32))</f>
        <v>0</v>
      </c>
      <c r="EE32" s="459">
        <f>IF('2. START'!$C$11="NO",(IF('2. START'!$C$14&gt;0,(DS32*$AD32),(AY32*$AD32))),(BW32+CU32))</f>
        <v>0</v>
      </c>
      <c r="EF32" s="459">
        <f>IF('2. START'!$C$11="NO",(IF('2. START'!$C$14&gt;0,(DT32*$AD32),(AZ32*$AD32))),(BX32+CV32))</f>
        <v>0</v>
      </c>
      <c r="EG32" s="459">
        <f>IF('2. START'!$C$11="NO",(IF('2. START'!$C$14&gt;0,(DU32*$AD32),(BA32*$AD32))),(BY32+CW32))</f>
        <v>0</v>
      </c>
      <c r="EH32" s="459">
        <f>IF('2. START'!$C$11="NO",(IF('2. START'!$C$14&gt;0,(DV32*$AD32),(BB32*$AD32))),(BZ32+CX32))</f>
        <v>0</v>
      </c>
      <c r="EI32" s="459">
        <f>IF('2. START'!$C$11="NO",(IF('2. START'!$C$14&gt;0,(DW32*$AD32),(BC32*$AD32))),(CA32+CY32))</f>
        <v>0</v>
      </c>
      <c r="EJ32" s="460">
        <f t="shared" si="108"/>
        <v>0</v>
      </c>
      <c r="EK32" s="463"/>
      <c r="EL32" s="459">
        <f>(BR32+CP32-DZ32)+IF('2. START'!$C$14&gt;0,AT32-DN32,0)</f>
        <v>0</v>
      </c>
      <c r="EM32" s="459">
        <f>(BS32+CQ32-EA32)+IF('2. START'!$C$14&gt;0,AU32-DO32,0)</f>
        <v>0</v>
      </c>
      <c r="EN32" s="459">
        <f>(BT32+CR32-EB32)+IF('2. START'!$C$14&gt;0,AV32-DP32,0)</f>
        <v>0</v>
      </c>
      <c r="EO32" s="459">
        <f>(BU32+CS32-EC32)+IF('2. START'!$C$14&gt;0,AW32-DQ32,0)</f>
        <v>0</v>
      </c>
      <c r="EP32" s="459">
        <f>(BV32+CT32-ED32)+IF('2. START'!$C$14&gt;0,AX32-DR32,0)</f>
        <v>0</v>
      </c>
      <c r="EQ32" s="459">
        <f>(BW32+CU32-EE32)+IF('2. START'!$C$14&gt;0,AY32-DS32,0)</f>
        <v>0</v>
      </c>
      <c r="ER32" s="459">
        <f>(BX32+CV32-EF32)+IF('2. START'!$C$14&gt;0,AZ32-DT32,0)</f>
        <v>0</v>
      </c>
      <c r="ES32" s="459">
        <f>(BY32+CW32-EG32)+IF('2. START'!$C$14&gt;0,BA32-DU32,0)</f>
        <v>0</v>
      </c>
      <c r="ET32" s="459">
        <f>(BZ32+CX32-EH32)+IF('2. START'!$C$14&gt;0,BB32-DV32,0)</f>
        <v>0</v>
      </c>
      <c r="EU32" s="459">
        <f>(CA32+CY32-EI32)+IF('2. START'!$C$14&gt;0,BC32-DW32,0)</f>
        <v>0</v>
      </c>
      <c r="EV32" s="460">
        <f t="shared" si="109"/>
        <v>0</v>
      </c>
      <c r="EW32" s="463"/>
      <c r="EX32" s="459">
        <f t="shared" si="110"/>
        <v>0</v>
      </c>
      <c r="EY32" s="459">
        <f t="shared" si="111"/>
        <v>0</v>
      </c>
      <c r="EZ32" s="459">
        <f t="shared" si="112"/>
        <v>0</v>
      </c>
      <c r="FA32" s="459">
        <f t="shared" si="113"/>
        <v>0</v>
      </c>
      <c r="FB32" s="459">
        <f t="shared" si="114"/>
        <v>0</v>
      </c>
      <c r="FC32" s="459">
        <f t="shared" si="115"/>
        <v>0</v>
      </c>
      <c r="FD32" s="459">
        <f t="shared" si="116"/>
        <v>0</v>
      </c>
      <c r="FE32" s="459">
        <f t="shared" si="117"/>
        <v>0</v>
      </c>
      <c r="FF32" s="459">
        <f t="shared" si="118"/>
        <v>0</v>
      </c>
      <c r="FG32" s="459">
        <f t="shared" si="119"/>
        <v>0</v>
      </c>
      <c r="FH32" s="460">
        <f t="shared" si="120"/>
        <v>0</v>
      </c>
      <c r="FI32" s="463"/>
      <c r="FJ32" s="459">
        <f t="shared" si="121"/>
        <v>0</v>
      </c>
      <c r="FK32" s="459">
        <f t="shared" si="122"/>
        <v>0</v>
      </c>
      <c r="FL32" s="459">
        <f t="shared" si="123"/>
        <v>0</v>
      </c>
      <c r="FM32" s="459">
        <f t="shared" si="124"/>
        <v>0</v>
      </c>
      <c r="FN32" s="459">
        <f t="shared" si="125"/>
        <v>0</v>
      </c>
      <c r="FO32" s="459">
        <f t="shared" si="126"/>
        <v>0</v>
      </c>
      <c r="FP32" s="459">
        <f t="shared" si="127"/>
        <v>0</v>
      </c>
      <c r="FQ32" s="459">
        <f t="shared" si="128"/>
        <v>0</v>
      </c>
      <c r="FR32" s="459">
        <f t="shared" si="129"/>
        <v>0</v>
      </c>
      <c r="FS32" s="459">
        <f t="shared" si="130"/>
        <v>0</v>
      </c>
      <c r="FT32" s="460">
        <f t="shared" si="131"/>
        <v>0</v>
      </c>
    </row>
    <row r="33" spans="2:176" s="270" customFormat="1" ht="15" customHeight="1" x14ac:dyDescent="0.25">
      <c r="B33" s="464" t="str">
        <f>'2. START'!C$7</f>
        <v>100GEM</v>
      </c>
      <c r="C33" s="465"/>
      <c r="D33" s="590"/>
      <c r="E33" s="514">
        <v>0</v>
      </c>
      <c r="F33" s="467"/>
      <c r="G33" s="432"/>
      <c r="H33" s="432"/>
      <c r="I33" s="432"/>
      <c r="J33" s="432"/>
      <c r="K33" s="432"/>
      <c r="L33" s="432"/>
      <c r="M33" s="432"/>
      <c r="N33" s="432"/>
      <c r="O33" s="432"/>
      <c r="P33" s="432"/>
      <c r="Q33" s="545">
        <f>SUMIF('3. PARTNER'!$B$13:$B$80,$B33,'3. PARTNER'!$F$13:$F$80)</f>
        <v>0.02</v>
      </c>
      <c r="R33" s="466">
        <f t="shared" si="132"/>
        <v>0.02</v>
      </c>
      <c r="S33" s="466">
        <f t="shared" si="132"/>
        <v>0.02</v>
      </c>
      <c r="T33" s="466">
        <f t="shared" si="132"/>
        <v>0.02</v>
      </c>
      <c r="U33" s="466">
        <f t="shared" si="132"/>
        <v>0.02</v>
      </c>
      <c r="V33" s="466">
        <f t="shared" si="132"/>
        <v>0.02</v>
      </c>
      <c r="W33" s="466">
        <f t="shared" si="132"/>
        <v>0.02</v>
      </c>
      <c r="X33" s="466">
        <f t="shared" si="132"/>
        <v>0.02</v>
      </c>
      <c r="Y33" s="466">
        <f t="shared" si="132"/>
        <v>0.02</v>
      </c>
      <c r="Z33" s="466">
        <f t="shared" si="132"/>
        <v>0.02</v>
      </c>
      <c r="AA33" s="434">
        <f>SUMIF('3. PARTNER'!B$13:B$80,B33,'3. PARTNER'!E$13:E$80)</f>
        <v>0.5595</v>
      </c>
      <c r="AB33" s="435">
        <f>IF('2. START'!$C$20="UTB",(SUMIF('3. PARTNER'!B$13:B$80,B33,'3. PARTNER'!K$13:K$80))+(SUMIF('3. PARTNER'!B$13:B$80,B33,'3. PARTNER'!M$13:M$80)),(SUMIF('3. PARTNER'!B$13:B$80,B33,'3. PARTNER'!G$13:G$80))+(SUMIF('3. PARTNER'!B$13:B$80,B33,'3. PARTNER'!I$13:I$80)))</f>
        <v>0.16000843770704321</v>
      </c>
      <c r="AC33" s="435">
        <f>IF('2. START'!$C$20="UTB",(SUMIF('3. PARTNER'!B$13:B$80,B33,'3. PARTNER'!L$13:L$80))+(SUMIF('3. PARTNER'!B$13:B$80,B33,'3. PARTNER'!N$13:N$80)),(SUMIF('3. PARTNER'!B$13:B$80,B33,'3. PARTNER'!H$13:H$80))+(SUMIF('3. PARTNER'!B$13:B$80,B33,'3. PARTNER'!J$13:J$80)))</f>
        <v>0</v>
      </c>
      <c r="AD33" s="435">
        <f>IF('2. START'!C$11="NO",'2. START'!C$12,0)</f>
        <v>0</v>
      </c>
      <c r="AE33" s="436">
        <f t="shared" si="98"/>
        <v>0</v>
      </c>
      <c r="AF33" s="436">
        <f t="shared" si="99"/>
        <v>0</v>
      </c>
      <c r="AG33" s="437"/>
      <c r="AH33" s="438">
        <f t="shared" si="18"/>
        <v>0</v>
      </c>
      <c r="AI33" s="438">
        <f t="shared" si="19"/>
        <v>0</v>
      </c>
      <c r="AJ33" s="438">
        <f t="shared" si="20"/>
        <v>0</v>
      </c>
      <c r="AK33" s="438">
        <f t="shared" si="21"/>
        <v>0</v>
      </c>
      <c r="AL33" s="438">
        <f t="shared" si="22"/>
        <v>0</v>
      </c>
      <c r="AM33" s="438">
        <f t="shared" si="23"/>
        <v>0</v>
      </c>
      <c r="AN33" s="438">
        <f t="shared" si="24"/>
        <v>0</v>
      </c>
      <c r="AO33" s="438">
        <f t="shared" si="25"/>
        <v>0</v>
      </c>
      <c r="AP33" s="438">
        <f t="shared" si="26"/>
        <v>0</v>
      </c>
      <c r="AQ33" s="438">
        <f t="shared" si="27"/>
        <v>0</v>
      </c>
      <c r="AR33" s="439">
        <f t="shared" si="100"/>
        <v>0</v>
      </c>
      <c r="AS33" s="440"/>
      <c r="AT33" s="438">
        <f t="shared" si="28"/>
        <v>0</v>
      </c>
      <c r="AU33" s="438">
        <f t="shared" si="29"/>
        <v>0</v>
      </c>
      <c r="AV33" s="438">
        <f t="shared" si="30"/>
        <v>0</v>
      </c>
      <c r="AW33" s="438">
        <f t="shared" si="31"/>
        <v>0</v>
      </c>
      <c r="AX33" s="438">
        <f t="shared" si="32"/>
        <v>0</v>
      </c>
      <c r="AY33" s="438">
        <f t="shared" si="33"/>
        <v>0</v>
      </c>
      <c r="AZ33" s="438">
        <f t="shared" si="34"/>
        <v>0</v>
      </c>
      <c r="BA33" s="438">
        <f t="shared" si="35"/>
        <v>0</v>
      </c>
      <c r="BB33" s="438">
        <f t="shared" si="36"/>
        <v>0</v>
      </c>
      <c r="BC33" s="438">
        <f t="shared" si="37"/>
        <v>0</v>
      </c>
      <c r="BD33" s="439">
        <f t="shared" si="101"/>
        <v>0</v>
      </c>
      <c r="BE33" s="440"/>
      <c r="BF33" s="438">
        <f t="shared" si="38"/>
        <v>0</v>
      </c>
      <c r="BG33" s="438">
        <f t="shared" si="39"/>
        <v>0</v>
      </c>
      <c r="BH33" s="438">
        <f t="shared" si="40"/>
        <v>0</v>
      </c>
      <c r="BI33" s="438">
        <f t="shared" si="41"/>
        <v>0</v>
      </c>
      <c r="BJ33" s="438">
        <f t="shared" si="42"/>
        <v>0</v>
      </c>
      <c r="BK33" s="438">
        <f t="shared" si="43"/>
        <v>0</v>
      </c>
      <c r="BL33" s="438">
        <f t="shared" si="44"/>
        <v>0</v>
      </c>
      <c r="BM33" s="438">
        <f t="shared" si="45"/>
        <v>0</v>
      </c>
      <c r="BN33" s="438">
        <f t="shared" si="46"/>
        <v>0</v>
      </c>
      <c r="BO33" s="438">
        <f t="shared" si="47"/>
        <v>0</v>
      </c>
      <c r="BP33" s="439">
        <f t="shared" si="102"/>
        <v>0</v>
      </c>
      <c r="BQ33" s="441"/>
      <c r="BR33" s="442">
        <f t="shared" si="48"/>
        <v>0</v>
      </c>
      <c r="BS33" s="442">
        <f t="shared" si="49"/>
        <v>0</v>
      </c>
      <c r="BT33" s="442">
        <f t="shared" si="50"/>
        <v>0</v>
      </c>
      <c r="BU33" s="442">
        <f t="shared" si="51"/>
        <v>0</v>
      </c>
      <c r="BV33" s="442">
        <f t="shared" si="52"/>
        <v>0</v>
      </c>
      <c r="BW33" s="442">
        <f t="shared" si="53"/>
        <v>0</v>
      </c>
      <c r="BX33" s="442">
        <f t="shared" si="54"/>
        <v>0</v>
      </c>
      <c r="BY33" s="442">
        <f t="shared" si="55"/>
        <v>0</v>
      </c>
      <c r="BZ33" s="442">
        <f t="shared" si="56"/>
        <v>0</v>
      </c>
      <c r="CA33" s="442">
        <f t="shared" si="57"/>
        <v>0</v>
      </c>
      <c r="CB33" s="443">
        <f t="shared" si="103"/>
        <v>0</v>
      </c>
      <c r="CC33" s="444"/>
      <c r="CD33" s="445">
        <f t="shared" si="58"/>
        <v>0</v>
      </c>
      <c r="CE33" s="445">
        <f t="shared" si="59"/>
        <v>0</v>
      </c>
      <c r="CF33" s="445">
        <f t="shared" si="60"/>
        <v>0</v>
      </c>
      <c r="CG33" s="445">
        <f t="shared" si="61"/>
        <v>0</v>
      </c>
      <c r="CH33" s="445">
        <f t="shared" si="62"/>
        <v>0</v>
      </c>
      <c r="CI33" s="445">
        <f t="shared" si="63"/>
        <v>0</v>
      </c>
      <c r="CJ33" s="445">
        <f t="shared" si="64"/>
        <v>0</v>
      </c>
      <c r="CK33" s="445">
        <f t="shared" si="65"/>
        <v>0</v>
      </c>
      <c r="CL33" s="445">
        <f t="shared" si="66"/>
        <v>0</v>
      </c>
      <c r="CM33" s="445">
        <f t="shared" si="67"/>
        <v>0</v>
      </c>
      <c r="CN33" s="443">
        <f t="shared" si="104"/>
        <v>0</v>
      </c>
      <c r="CO33" s="444"/>
      <c r="CP33" s="442">
        <f t="shared" si="68"/>
        <v>0</v>
      </c>
      <c r="CQ33" s="442">
        <f t="shared" si="69"/>
        <v>0</v>
      </c>
      <c r="CR33" s="442">
        <f t="shared" si="70"/>
        <v>0</v>
      </c>
      <c r="CS33" s="442">
        <f t="shared" si="71"/>
        <v>0</v>
      </c>
      <c r="CT33" s="442">
        <f t="shared" si="72"/>
        <v>0</v>
      </c>
      <c r="CU33" s="442">
        <f t="shared" si="73"/>
        <v>0</v>
      </c>
      <c r="CV33" s="442">
        <f t="shared" si="74"/>
        <v>0</v>
      </c>
      <c r="CW33" s="442">
        <f t="shared" si="75"/>
        <v>0</v>
      </c>
      <c r="CX33" s="442">
        <f t="shared" si="76"/>
        <v>0</v>
      </c>
      <c r="CY33" s="442">
        <f t="shared" si="77"/>
        <v>0</v>
      </c>
      <c r="CZ33" s="443">
        <f t="shared" si="105"/>
        <v>0</v>
      </c>
      <c r="DB33" s="442">
        <f t="shared" si="78"/>
        <v>0</v>
      </c>
      <c r="DC33" s="442">
        <f t="shared" si="79"/>
        <v>0</v>
      </c>
      <c r="DD33" s="442">
        <f t="shared" si="80"/>
        <v>0</v>
      </c>
      <c r="DE33" s="442">
        <f t="shared" si="81"/>
        <v>0</v>
      </c>
      <c r="DF33" s="442">
        <f t="shared" si="82"/>
        <v>0</v>
      </c>
      <c r="DG33" s="442">
        <f t="shared" si="83"/>
        <v>0</v>
      </c>
      <c r="DH33" s="442">
        <f t="shared" si="84"/>
        <v>0</v>
      </c>
      <c r="DI33" s="442">
        <f t="shared" si="85"/>
        <v>0</v>
      </c>
      <c r="DJ33" s="442">
        <f t="shared" si="86"/>
        <v>0</v>
      </c>
      <c r="DK33" s="442">
        <f t="shared" si="87"/>
        <v>0</v>
      </c>
      <c r="DL33" s="443">
        <f t="shared" si="106"/>
        <v>0</v>
      </c>
      <c r="DN33" s="442">
        <f>IF('2. START'!$C$14&gt;0,(AT33/(1+$AA33))*(1+'2. START'!$C$14),AT33)</f>
        <v>0</v>
      </c>
      <c r="DO33" s="442">
        <f>IF('2. START'!$C$14&gt;0,(AU33/(1+$AA33))*(1+'2. START'!$C$14),AU33)</f>
        <v>0</v>
      </c>
      <c r="DP33" s="442">
        <f>IF('2. START'!$C$14&gt;0,(AV33/(1+$AA33))*(1+'2. START'!$C$14),AV33)</f>
        <v>0</v>
      </c>
      <c r="DQ33" s="442">
        <f>IF('2. START'!$C$14&gt;0,(AW33/(1+$AA33))*(1+'2. START'!$C$14),AW33)</f>
        <v>0</v>
      </c>
      <c r="DR33" s="442">
        <f>IF('2. START'!$C$14&gt;0,(AX33/(1+$AA33))*(1+'2. START'!$C$14),AX33)</f>
        <v>0</v>
      </c>
      <c r="DS33" s="442">
        <f>IF('2. START'!$C$14&gt;0,(AY33/(1+$AA33))*(1+'2. START'!$C$14),AY33)</f>
        <v>0</v>
      </c>
      <c r="DT33" s="442">
        <f>IF('2. START'!$C$14&gt;0,(AZ33/(1+$AA33))*(1+'2. START'!$C$14),AZ33)</f>
        <v>0</v>
      </c>
      <c r="DU33" s="442">
        <f>IF('2. START'!$C$14&gt;0,(BA33/(1+$AA33))*(1+'2. START'!$C$14),BA33)</f>
        <v>0</v>
      </c>
      <c r="DV33" s="442">
        <f>IF('2. START'!$C$14&gt;0,(BB33/(1+$AA33))*(1+'2. START'!$C$14),BB33)</f>
        <v>0</v>
      </c>
      <c r="DW33" s="442">
        <f>IF('2. START'!$C$14&gt;0,(BC33/(1+$AA33))*(1+'2. START'!$C$14),BC33)</f>
        <v>0</v>
      </c>
      <c r="DX33" s="443">
        <f t="shared" si="107"/>
        <v>0</v>
      </c>
      <c r="DZ33" s="442">
        <f>IF('2. START'!$C$11="NO",(IF('2. START'!$C$14&gt;0,(DN33*$AD33),(AT33*$AD33))),(BR33+CP33))</f>
        <v>0</v>
      </c>
      <c r="EA33" s="442">
        <f>IF('2. START'!$C$11="NO",(IF('2. START'!$C$14&gt;0,(DO33*$AD33),(AU33*$AD33))),(BS33+CQ33))</f>
        <v>0</v>
      </c>
      <c r="EB33" s="442">
        <f>IF('2. START'!$C$11="NO",(IF('2. START'!$C$14&gt;0,(DP33*$AD33),(AV33*$AD33))),(BT33+CR33))</f>
        <v>0</v>
      </c>
      <c r="EC33" s="442">
        <f>IF('2. START'!$C$11="NO",(IF('2. START'!$C$14&gt;0,(DQ33*$AD33),(AW33*$AD33))),(BU33+CS33))</f>
        <v>0</v>
      </c>
      <c r="ED33" s="442">
        <f>IF('2. START'!$C$11="NO",(IF('2. START'!$C$14&gt;0,(DR33*$AD33),(AX33*$AD33))),(BV33+CT33))</f>
        <v>0</v>
      </c>
      <c r="EE33" s="442">
        <f>IF('2. START'!$C$11="NO",(IF('2. START'!$C$14&gt;0,(DS33*$AD33),(AY33*$AD33))),(BW33+CU33))</f>
        <v>0</v>
      </c>
      <c r="EF33" s="442">
        <f>IF('2. START'!$C$11="NO",(IF('2. START'!$C$14&gt;0,(DT33*$AD33),(AZ33*$AD33))),(BX33+CV33))</f>
        <v>0</v>
      </c>
      <c r="EG33" s="442">
        <f>IF('2. START'!$C$11="NO",(IF('2. START'!$C$14&gt;0,(DU33*$AD33),(BA33*$AD33))),(BY33+CW33))</f>
        <v>0</v>
      </c>
      <c r="EH33" s="442">
        <f>IF('2. START'!$C$11="NO",(IF('2. START'!$C$14&gt;0,(DV33*$AD33),(BB33*$AD33))),(BZ33+CX33))</f>
        <v>0</v>
      </c>
      <c r="EI33" s="442">
        <f>IF('2. START'!$C$11="NO",(IF('2. START'!$C$14&gt;0,(DW33*$AD33),(BC33*$AD33))),(CA33+CY33))</f>
        <v>0</v>
      </c>
      <c r="EJ33" s="443">
        <f t="shared" si="108"/>
        <v>0</v>
      </c>
      <c r="EL33" s="442">
        <f>(BR33+CP33-DZ33)+IF('2. START'!$C$14&gt;0,AT33-DN33,0)</f>
        <v>0</v>
      </c>
      <c r="EM33" s="442">
        <f>(BS33+CQ33-EA33)+IF('2. START'!$C$14&gt;0,AU33-DO33,0)</f>
        <v>0</v>
      </c>
      <c r="EN33" s="442">
        <f>(BT33+CR33-EB33)+IF('2. START'!$C$14&gt;0,AV33-DP33,0)</f>
        <v>0</v>
      </c>
      <c r="EO33" s="442">
        <f>(BU33+CS33-EC33)+IF('2. START'!$C$14&gt;0,AW33-DQ33,0)</f>
        <v>0</v>
      </c>
      <c r="EP33" s="442">
        <f>(BV33+CT33-ED33)+IF('2. START'!$C$14&gt;0,AX33-DR33,0)</f>
        <v>0</v>
      </c>
      <c r="EQ33" s="442">
        <f>(BW33+CU33-EE33)+IF('2. START'!$C$14&gt;0,AY33-DS33,0)</f>
        <v>0</v>
      </c>
      <c r="ER33" s="442">
        <f>(BX33+CV33-EF33)+IF('2. START'!$C$14&gt;0,AZ33-DT33,0)</f>
        <v>0</v>
      </c>
      <c r="ES33" s="442">
        <f>(BY33+CW33-EG33)+IF('2. START'!$C$14&gt;0,BA33-DU33,0)</f>
        <v>0</v>
      </c>
      <c r="ET33" s="442">
        <f>(BZ33+CX33-EH33)+IF('2. START'!$C$14&gt;0,BB33-DV33,0)</f>
        <v>0</v>
      </c>
      <c r="EU33" s="442">
        <f>(CA33+CY33-EI33)+IF('2. START'!$C$14&gt;0,BC33-DW33,0)</f>
        <v>0</v>
      </c>
      <c r="EV33" s="443">
        <f t="shared" si="109"/>
        <v>0</v>
      </c>
      <c r="EX33" s="442">
        <f t="shared" si="110"/>
        <v>0</v>
      </c>
      <c r="EY33" s="442">
        <f t="shared" si="111"/>
        <v>0</v>
      </c>
      <c r="EZ33" s="442">
        <f t="shared" si="112"/>
        <v>0</v>
      </c>
      <c r="FA33" s="442">
        <f t="shared" si="113"/>
        <v>0</v>
      </c>
      <c r="FB33" s="442">
        <f t="shared" si="114"/>
        <v>0</v>
      </c>
      <c r="FC33" s="442">
        <f t="shared" si="115"/>
        <v>0</v>
      </c>
      <c r="FD33" s="442">
        <f t="shared" si="116"/>
        <v>0</v>
      </c>
      <c r="FE33" s="442">
        <f t="shared" si="117"/>
        <v>0</v>
      </c>
      <c r="FF33" s="442">
        <f t="shared" si="118"/>
        <v>0</v>
      </c>
      <c r="FG33" s="442">
        <f t="shared" si="119"/>
        <v>0</v>
      </c>
      <c r="FH33" s="443">
        <f t="shared" si="120"/>
        <v>0</v>
      </c>
      <c r="FJ33" s="442">
        <f t="shared" si="121"/>
        <v>0</v>
      </c>
      <c r="FK33" s="442">
        <f t="shared" si="122"/>
        <v>0</v>
      </c>
      <c r="FL33" s="442">
        <f t="shared" si="123"/>
        <v>0</v>
      </c>
      <c r="FM33" s="442">
        <f t="shared" si="124"/>
        <v>0</v>
      </c>
      <c r="FN33" s="442">
        <f t="shared" si="125"/>
        <v>0</v>
      </c>
      <c r="FO33" s="442">
        <f t="shared" si="126"/>
        <v>0</v>
      </c>
      <c r="FP33" s="442">
        <f t="shared" si="127"/>
        <v>0</v>
      </c>
      <c r="FQ33" s="442">
        <f t="shared" si="128"/>
        <v>0</v>
      </c>
      <c r="FR33" s="442">
        <f t="shared" si="129"/>
        <v>0</v>
      </c>
      <c r="FS33" s="442">
        <f t="shared" si="130"/>
        <v>0</v>
      </c>
      <c r="FT33" s="443">
        <f t="shared" si="131"/>
        <v>0</v>
      </c>
    </row>
    <row r="34" spans="2:176" s="270" customFormat="1" ht="15" customHeight="1" x14ac:dyDescent="0.25">
      <c r="B34" s="446" t="str">
        <f>'2. START'!C$7</f>
        <v>100GEM</v>
      </c>
      <c r="C34" s="447"/>
      <c r="D34" s="589"/>
      <c r="E34" s="544">
        <v>0</v>
      </c>
      <c r="F34" s="448"/>
      <c r="G34" s="449"/>
      <c r="H34" s="449"/>
      <c r="I34" s="449"/>
      <c r="J34" s="449"/>
      <c r="K34" s="449"/>
      <c r="L34" s="449"/>
      <c r="M34" s="449"/>
      <c r="N34" s="449"/>
      <c r="O34" s="449"/>
      <c r="P34" s="449"/>
      <c r="Q34" s="546">
        <f>SUMIF('3. PARTNER'!$B$13:$B$80,$B34,'3. PARTNER'!$F$13:$F$80)</f>
        <v>0.02</v>
      </c>
      <c r="R34" s="450">
        <f t="shared" si="132"/>
        <v>0.02</v>
      </c>
      <c r="S34" s="450">
        <f t="shared" si="132"/>
        <v>0.02</v>
      </c>
      <c r="T34" s="450">
        <f t="shared" si="132"/>
        <v>0.02</v>
      </c>
      <c r="U34" s="450">
        <f t="shared" si="132"/>
        <v>0.02</v>
      </c>
      <c r="V34" s="450">
        <f t="shared" si="132"/>
        <v>0.02</v>
      </c>
      <c r="W34" s="450">
        <f t="shared" si="132"/>
        <v>0.02</v>
      </c>
      <c r="X34" s="450">
        <f t="shared" si="132"/>
        <v>0.02</v>
      </c>
      <c r="Y34" s="450">
        <f t="shared" si="132"/>
        <v>0.02</v>
      </c>
      <c r="Z34" s="450">
        <f t="shared" si="132"/>
        <v>0.02</v>
      </c>
      <c r="AA34" s="451">
        <f>SUMIF('3. PARTNER'!B$13:B$80,B34,'3. PARTNER'!E$13:E$80)</f>
        <v>0.5595</v>
      </c>
      <c r="AB34" s="452">
        <f>IF('2. START'!$C$20="UTB",(SUMIF('3. PARTNER'!B$13:B$80,B34,'3. PARTNER'!K$13:K$80))+(SUMIF('3. PARTNER'!B$13:B$80,B34,'3. PARTNER'!M$13:M$80)),(SUMIF('3. PARTNER'!B$13:B$80,B34,'3. PARTNER'!G$13:G$80))+(SUMIF('3. PARTNER'!B$13:B$80,B34,'3. PARTNER'!I$13:I$80)))</f>
        <v>0.16000843770704321</v>
      </c>
      <c r="AC34" s="452">
        <f>IF('2. START'!$C$20="UTB",(SUMIF('3. PARTNER'!B$13:B$80,B34,'3. PARTNER'!L$13:L$80))+(SUMIF('3. PARTNER'!B$13:B$80,B34,'3. PARTNER'!N$13:N$80)),(SUMIF('3. PARTNER'!B$13:B$80,B34,'3. PARTNER'!H$13:H$80))+(SUMIF('3. PARTNER'!B$13:B$80,B34,'3. PARTNER'!J$13:J$80)))</f>
        <v>0</v>
      </c>
      <c r="AD34" s="452">
        <f>IF('2. START'!C$11="NO",'2. START'!C$12,0)</f>
        <v>0</v>
      </c>
      <c r="AE34" s="453">
        <f t="shared" si="98"/>
        <v>0</v>
      </c>
      <c r="AF34" s="453">
        <f t="shared" si="99"/>
        <v>0</v>
      </c>
      <c r="AG34" s="454"/>
      <c r="AH34" s="455">
        <f t="shared" si="18"/>
        <v>0</v>
      </c>
      <c r="AI34" s="455">
        <f t="shared" si="19"/>
        <v>0</v>
      </c>
      <c r="AJ34" s="455">
        <f t="shared" si="20"/>
        <v>0</v>
      </c>
      <c r="AK34" s="455">
        <f t="shared" si="21"/>
        <v>0</v>
      </c>
      <c r="AL34" s="455">
        <f t="shared" si="22"/>
        <v>0</v>
      </c>
      <c r="AM34" s="455">
        <f t="shared" si="23"/>
        <v>0</v>
      </c>
      <c r="AN34" s="455">
        <f t="shared" si="24"/>
        <v>0</v>
      </c>
      <c r="AO34" s="455">
        <f t="shared" si="25"/>
        <v>0</v>
      </c>
      <c r="AP34" s="455">
        <f t="shared" si="26"/>
        <v>0</v>
      </c>
      <c r="AQ34" s="455">
        <f t="shared" si="27"/>
        <v>0</v>
      </c>
      <c r="AR34" s="456">
        <f t="shared" si="100"/>
        <v>0</v>
      </c>
      <c r="AS34" s="457"/>
      <c r="AT34" s="455">
        <f t="shared" si="28"/>
        <v>0</v>
      </c>
      <c r="AU34" s="455">
        <f t="shared" si="29"/>
        <v>0</v>
      </c>
      <c r="AV34" s="455">
        <f t="shared" si="30"/>
        <v>0</v>
      </c>
      <c r="AW34" s="455">
        <f t="shared" si="31"/>
        <v>0</v>
      </c>
      <c r="AX34" s="455">
        <f t="shared" si="32"/>
        <v>0</v>
      </c>
      <c r="AY34" s="455">
        <f t="shared" si="33"/>
        <v>0</v>
      </c>
      <c r="AZ34" s="455">
        <f t="shared" si="34"/>
        <v>0</v>
      </c>
      <c r="BA34" s="455">
        <f t="shared" si="35"/>
        <v>0</v>
      </c>
      <c r="BB34" s="455">
        <f t="shared" si="36"/>
        <v>0</v>
      </c>
      <c r="BC34" s="455">
        <f t="shared" si="37"/>
        <v>0</v>
      </c>
      <c r="BD34" s="456">
        <f t="shared" si="101"/>
        <v>0</v>
      </c>
      <c r="BE34" s="457"/>
      <c r="BF34" s="455">
        <f t="shared" si="38"/>
        <v>0</v>
      </c>
      <c r="BG34" s="455">
        <f t="shared" si="39"/>
        <v>0</v>
      </c>
      <c r="BH34" s="455">
        <f t="shared" si="40"/>
        <v>0</v>
      </c>
      <c r="BI34" s="455">
        <f t="shared" si="41"/>
        <v>0</v>
      </c>
      <c r="BJ34" s="455">
        <f t="shared" si="42"/>
        <v>0</v>
      </c>
      <c r="BK34" s="455">
        <f t="shared" si="43"/>
        <v>0</v>
      </c>
      <c r="BL34" s="455">
        <f t="shared" si="44"/>
        <v>0</v>
      </c>
      <c r="BM34" s="455">
        <f t="shared" si="45"/>
        <v>0</v>
      </c>
      <c r="BN34" s="455">
        <f t="shared" si="46"/>
        <v>0</v>
      </c>
      <c r="BO34" s="455">
        <f t="shared" si="47"/>
        <v>0</v>
      </c>
      <c r="BP34" s="456">
        <f t="shared" si="102"/>
        <v>0</v>
      </c>
      <c r="BQ34" s="458"/>
      <c r="BR34" s="459">
        <f t="shared" si="48"/>
        <v>0</v>
      </c>
      <c r="BS34" s="459">
        <f t="shared" si="49"/>
        <v>0</v>
      </c>
      <c r="BT34" s="459">
        <f t="shared" si="50"/>
        <v>0</v>
      </c>
      <c r="BU34" s="459">
        <f t="shared" si="51"/>
        <v>0</v>
      </c>
      <c r="BV34" s="459">
        <f t="shared" si="52"/>
        <v>0</v>
      </c>
      <c r="BW34" s="459">
        <f t="shared" si="53"/>
        <v>0</v>
      </c>
      <c r="BX34" s="459">
        <f t="shared" si="54"/>
        <v>0</v>
      </c>
      <c r="BY34" s="459">
        <f t="shared" si="55"/>
        <v>0</v>
      </c>
      <c r="BZ34" s="459">
        <f t="shared" si="56"/>
        <v>0</v>
      </c>
      <c r="CA34" s="459">
        <f t="shared" si="57"/>
        <v>0</v>
      </c>
      <c r="CB34" s="460">
        <f t="shared" si="103"/>
        <v>0</v>
      </c>
      <c r="CC34" s="461"/>
      <c r="CD34" s="462">
        <f t="shared" si="58"/>
        <v>0</v>
      </c>
      <c r="CE34" s="462">
        <f t="shared" si="59"/>
        <v>0</v>
      </c>
      <c r="CF34" s="462">
        <f t="shared" si="60"/>
        <v>0</v>
      </c>
      <c r="CG34" s="462">
        <f t="shared" si="61"/>
        <v>0</v>
      </c>
      <c r="CH34" s="462">
        <f t="shared" si="62"/>
        <v>0</v>
      </c>
      <c r="CI34" s="462">
        <f t="shared" si="63"/>
        <v>0</v>
      </c>
      <c r="CJ34" s="462">
        <f t="shared" si="64"/>
        <v>0</v>
      </c>
      <c r="CK34" s="462">
        <f t="shared" si="65"/>
        <v>0</v>
      </c>
      <c r="CL34" s="462">
        <f t="shared" si="66"/>
        <v>0</v>
      </c>
      <c r="CM34" s="462">
        <f t="shared" si="67"/>
        <v>0</v>
      </c>
      <c r="CN34" s="460">
        <f t="shared" si="104"/>
        <v>0</v>
      </c>
      <c r="CO34" s="461"/>
      <c r="CP34" s="459">
        <f t="shared" si="68"/>
        <v>0</v>
      </c>
      <c r="CQ34" s="459">
        <f t="shared" si="69"/>
        <v>0</v>
      </c>
      <c r="CR34" s="459">
        <f t="shared" si="70"/>
        <v>0</v>
      </c>
      <c r="CS34" s="459">
        <f t="shared" si="71"/>
        <v>0</v>
      </c>
      <c r="CT34" s="459">
        <f t="shared" si="72"/>
        <v>0</v>
      </c>
      <c r="CU34" s="459">
        <f t="shared" si="73"/>
        <v>0</v>
      </c>
      <c r="CV34" s="459">
        <f t="shared" si="74"/>
        <v>0</v>
      </c>
      <c r="CW34" s="459">
        <f t="shared" si="75"/>
        <v>0</v>
      </c>
      <c r="CX34" s="459">
        <f t="shared" si="76"/>
        <v>0</v>
      </c>
      <c r="CY34" s="459">
        <f t="shared" si="77"/>
        <v>0</v>
      </c>
      <c r="CZ34" s="460">
        <f t="shared" si="105"/>
        <v>0</v>
      </c>
      <c r="DA34" s="463"/>
      <c r="DB34" s="459">
        <f t="shared" si="78"/>
        <v>0</v>
      </c>
      <c r="DC34" s="459">
        <f t="shared" si="79"/>
        <v>0</v>
      </c>
      <c r="DD34" s="459">
        <f t="shared" si="80"/>
        <v>0</v>
      </c>
      <c r="DE34" s="459">
        <f t="shared" si="81"/>
        <v>0</v>
      </c>
      <c r="DF34" s="459">
        <f t="shared" si="82"/>
        <v>0</v>
      </c>
      <c r="DG34" s="459">
        <f t="shared" si="83"/>
        <v>0</v>
      </c>
      <c r="DH34" s="459">
        <f t="shared" si="84"/>
        <v>0</v>
      </c>
      <c r="DI34" s="459">
        <f t="shared" si="85"/>
        <v>0</v>
      </c>
      <c r="DJ34" s="459">
        <f t="shared" si="86"/>
        <v>0</v>
      </c>
      <c r="DK34" s="459">
        <f t="shared" si="87"/>
        <v>0</v>
      </c>
      <c r="DL34" s="460">
        <f t="shared" si="106"/>
        <v>0</v>
      </c>
      <c r="DM34" s="463"/>
      <c r="DN34" s="442">
        <f>IF('2. START'!$C$14&gt;0,(AT34/(1+$AA34))*(1+'2. START'!$C$14),AT34)</f>
        <v>0</v>
      </c>
      <c r="DO34" s="442">
        <f>IF('2. START'!$C$14&gt;0,(AU34/(1+$AA34))*(1+'2. START'!$C$14),AU34)</f>
        <v>0</v>
      </c>
      <c r="DP34" s="442">
        <f>IF('2. START'!$C$14&gt;0,(AV34/(1+$AA34))*(1+'2. START'!$C$14),AV34)</f>
        <v>0</v>
      </c>
      <c r="DQ34" s="442">
        <f>IF('2. START'!$C$14&gt;0,(AW34/(1+$AA34))*(1+'2. START'!$C$14),AW34)</f>
        <v>0</v>
      </c>
      <c r="DR34" s="442">
        <f>IF('2. START'!$C$14&gt;0,(AX34/(1+$AA34))*(1+'2. START'!$C$14),AX34)</f>
        <v>0</v>
      </c>
      <c r="DS34" s="442">
        <f>IF('2. START'!$C$14&gt;0,(AY34/(1+$AA34))*(1+'2. START'!$C$14),AY34)</f>
        <v>0</v>
      </c>
      <c r="DT34" s="442">
        <f>IF('2. START'!$C$14&gt;0,(AZ34/(1+$AA34))*(1+'2. START'!$C$14),AZ34)</f>
        <v>0</v>
      </c>
      <c r="DU34" s="442">
        <f>IF('2. START'!$C$14&gt;0,(BA34/(1+$AA34))*(1+'2. START'!$C$14),BA34)</f>
        <v>0</v>
      </c>
      <c r="DV34" s="442">
        <f>IF('2. START'!$C$14&gt;0,(BB34/(1+$AA34))*(1+'2. START'!$C$14),BB34)</f>
        <v>0</v>
      </c>
      <c r="DW34" s="442">
        <f>IF('2. START'!$C$14&gt;0,(BC34/(1+$AA34))*(1+'2. START'!$C$14),BC34)</f>
        <v>0</v>
      </c>
      <c r="DX34" s="460">
        <f t="shared" si="107"/>
        <v>0</v>
      </c>
      <c r="DY34" s="463"/>
      <c r="DZ34" s="459">
        <f>IF('2. START'!$C$11="NO",(IF('2. START'!$C$14&gt;0,(DN34*$AD34),(AT34*$AD34))),(BR34+CP34))</f>
        <v>0</v>
      </c>
      <c r="EA34" s="459">
        <f>IF('2. START'!$C$11="NO",(IF('2. START'!$C$14&gt;0,(DO34*$AD34),(AU34*$AD34))),(BS34+CQ34))</f>
        <v>0</v>
      </c>
      <c r="EB34" s="459">
        <f>IF('2. START'!$C$11="NO",(IF('2. START'!$C$14&gt;0,(DP34*$AD34),(AV34*$AD34))),(BT34+CR34))</f>
        <v>0</v>
      </c>
      <c r="EC34" s="459">
        <f>IF('2. START'!$C$11="NO",(IF('2. START'!$C$14&gt;0,(DQ34*$AD34),(AW34*$AD34))),(BU34+CS34))</f>
        <v>0</v>
      </c>
      <c r="ED34" s="459">
        <f>IF('2. START'!$C$11="NO",(IF('2. START'!$C$14&gt;0,(DR34*$AD34),(AX34*$AD34))),(BV34+CT34))</f>
        <v>0</v>
      </c>
      <c r="EE34" s="459">
        <f>IF('2. START'!$C$11="NO",(IF('2. START'!$C$14&gt;0,(DS34*$AD34),(AY34*$AD34))),(BW34+CU34))</f>
        <v>0</v>
      </c>
      <c r="EF34" s="459">
        <f>IF('2. START'!$C$11="NO",(IF('2. START'!$C$14&gt;0,(DT34*$AD34),(AZ34*$AD34))),(BX34+CV34))</f>
        <v>0</v>
      </c>
      <c r="EG34" s="459">
        <f>IF('2. START'!$C$11="NO",(IF('2. START'!$C$14&gt;0,(DU34*$AD34),(BA34*$AD34))),(BY34+CW34))</f>
        <v>0</v>
      </c>
      <c r="EH34" s="459">
        <f>IF('2. START'!$C$11="NO",(IF('2. START'!$C$14&gt;0,(DV34*$AD34),(BB34*$AD34))),(BZ34+CX34))</f>
        <v>0</v>
      </c>
      <c r="EI34" s="459">
        <f>IF('2. START'!$C$11="NO",(IF('2. START'!$C$14&gt;0,(DW34*$AD34),(BC34*$AD34))),(CA34+CY34))</f>
        <v>0</v>
      </c>
      <c r="EJ34" s="460">
        <f t="shared" si="108"/>
        <v>0</v>
      </c>
      <c r="EK34" s="463"/>
      <c r="EL34" s="459">
        <f>(BR34+CP34-DZ34)+IF('2. START'!$C$14&gt;0,AT34-DN34,0)</f>
        <v>0</v>
      </c>
      <c r="EM34" s="459">
        <f>(BS34+CQ34-EA34)+IF('2. START'!$C$14&gt;0,AU34-DO34,0)</f>
        <v>0</v>
      </c>
      <c r="EN34" s="459">
        <f>(BT34+CR34-EB34)+IF('2. START'!$C$14&gt;0,AV34-DP34,0)</f>
        <v>0</v>
      </c>
      <c r="EO34" s="459">
        <f>(BU34+CS34-EC34)+IF('2. START'!$C$14&gt;0,AW34-DQ34,0)</f>
        <v>0</v>
      </c>
      <c r="EP34" s="459">
        <f>(BV34+CT34-ED34)+IF('2. START'!$C$14&gt;0,AX34-DR34,0)</f>
        <v>0</v>
      </c>
      <c r="EQ34" s="459">
        <f>(BW34+CU34-EE34)+IF('2. START'!$C$14&gt;0,AY34-DS34,0)</f>
        <v>0</v>
      </c>
      <c r="ER34" s="459">
        <f>(BX34+CV34-EF34)+IF('2. START'!$C$14&gt;0,AZ34-DT34,0)</f>
        <v>0</v>
      </c>
      <c r="ES34" s="459">
        <f>(BY34+CW34-EG34)+IF('2. START'!$C$14&gt;0,BA34-DU34,0)</f>
        <v>0</v>
      </c>
      <c r="ET34" s="459">
        <f>(BZ34+CX34-EH34)+IF('2. START'!$C$14&gt;0,BB34-DV34,0)</f>
        <v>0</v>
      </c>
      <c r="EU34" s="459">
        <f>(CA34+CY34-EI34)+IF('2. START'!$C$14&gt;0,BC34-DW34,0)</f>
        <v>0</v>
      </c>
      <c r="EV34" s="460">
        <f t="shared" si="109"/>
        <v>0</v>
      </c>
      <c r="EW34" s="463"/>
      <c r="EX34" s="459">
        <f t="shared" si="110"/>
        <v>0</v>
      </c>
      <c r="EY34" s="459">
        <f t="shared" si="111"/>
        <v>0</v>
      </c>
      <c r="EZ34" s="459">
        <f t="shared" si="112"/>
        <v>0</v>
      </c>
      <c r="FA34" s="459">
        <f t="shared" si="113"/>
        <v>0</v>
      </c>
      <c r="FB34" s="459">
        <f t="shared" si="114"/>
        <v>0</v>
      </c>
      <c r="FC34" s="459">
        <f t="shared" si="115"/>
        <v>0</v>
      </c>
      <c r="FD34" s="459">
        <f t="shared" si="116"/>
        <v>0</v>
      </c>
      <c r="FE34" s="459">
        <f t="shared" si="117"/>
        <v>0</v>
      </c>
      <c r="FF34" s="459">
        <f t="shared" si="118"/>
        <v>0</v>
      </c>
      <c r="FG34" s="459">
        <f t="shared" si="119"/>
        <v>0</v>
      </c>
      <c r="FH34" s="460">
        <f t="shared" si="120"/>
        <v>0</v>
      </c>
      <c r="FI34" s="463"/>
      <c r="FJ34" s="459">
        <f t="shared" si="121"/>
        <v>0</v>
      </c>
      <c r="FK34" s="459">
        <f t="shared" si="122"/>
        <v>0</v>
      </c>
      <c r="FL34" s="459">
        <f t="shared" si="123"/>
        <v>0</v>
      </c>
      <c r="FM34" s="459">
        <f t="shared" si="124"/>
        <v>0</v>
      </c>
      <c r="FN34" s="459">
        <f t="shared" si="125"/>
        <v>0</v>
      </c>
      <c r="FO34" s="459">
        <f t="shared" si="126"/>
        <v>0</v>
      </c>
      <c r="FP34" s="459">
        <f t="shared" si="127"/>
        <v>0</v>
      </c>
      <c r="FQ34" s="459">
        <f t="shared" si="128"/>
        <v>0</v>
      </c>
      <c r="FR34" s="459">
        <f t="shared" si="129"/>
        <v>0</v>
      </c>
      <c r="FS34" s="459">
        <f t="shared" si="130"/>
        <v>0</v>
      </c>
      <c r="FT34" s="460">
        <f t="shared" si="131"/>
        <v>0</v>
      </c>
    </row>
    <row r="35" spans="2:176" s="270" customFormat="1" ht="15" customHeight="1" x14ac:dyDescent="0.25">
      <c r="B35" s="464" t="str">
        <f>'2. START'!C$7</f>
        <v>100GEM</v>
      </c>
      <c r="C35" s="465"/>
      <c r="D35" s="590"/>
      <c r="E35" s="514">
        <v>0</v>
      </c>
      <c r="F35" s="467"/>
      <c r="G35" s="432"/>
      <c r="H35" s="432"/>
      <c r="I35" s="432"/>
      <c r="J35" s="432"/>
      <c r="K35" s="432"/>
      <c r="L35" s="432"/>
      <c r="M35" s="432"/>
      <c r="N35" s="432"/>
      <c r="O35" s="432"/>
      <c r="P35" s="432"/>
      <c r="Q35" s="545">
        <f>SUMIF('3. PARTNER'!$B$13:$B$80,$B35,'3. PARTNER'!$F$13:$F$80)</f>
        <v>0.02</v>
      </c>
      <c r="R35" s="466">
        <f t="shared" si="132"/>
        <v>0.02</v>
      </c>
      <c r="S35" s="466">
        <f t="shared" si="132"/>
        <v>0.02</v>
      </c>
      <c r="T35" s="466">
        <f t="shared" si="132"/>
        <v>0.02</v>
      </c>
      <c r="U35" s="466">
        <f t="shared" si="132"/>
        <v>0.02</v>
      </c>
      <c r="V35" s="466">
        <f t="shared" si="132"/>
        <v>0.02</v>
      </c>
      <c r="W35" s="466">
        <f t="shared" si="132"/>
        <v>0.02</v>
      </c>
      <c r="X35" s="466">
        <f t="shared" si="132"/>
        <v>0.02</v>
      </c>
      <c r="Y35" s="466">
        <f t="shared" si="132"/>
        <v>0.02</v>
      </c>
      <c r="Z35" s="466">
        <f t="shared" si="132"/>
        <v>0.02</v>
      </c>
      <c r="AA35" s="434">
        <f>SUMIF('3. PARTNER'!B$13:B$80,B35,'3. PARTNER'!E$13:E$80)</f>
        <v>0.5595</v>
      </c>
      <c r="AB35" s="435">
        <f>IF('2. START'!$C$20="UTB",(SUMIF('3. PARTNER'!B$13:B$80,B35,'3. PARTNER'!K$13:K$80))+(SUMIF('3. PARTNER'!B$13:B$80,B35,'3. PARTNER'!M$13:M$80)),(SUMIF('3. PARTNER'!B$13:B$80,B35,'3. PARTNER'!G$13:G$80))+(SUMIF('3. PARTNER'!B$13:B$80,B35,'3. PARTNER'!I$13:I$80)))</f>
        <v>0.16000843770704321</v>
      </c>
      <c r="AC35" s="435">
        <f>IF('2. START'!$C$20="UTB",(SUMIF('3. PARTNER'!B$13:B$80,B35,'3. PARTNER'!L$13:L$80))+(SUMIF('3. PARTNER'!B$13:B$80,B35,'3. PARTNER'!N$13:N$80)),(SUMIF('3. PARTNER'!B$13:B$80,B35,'3. PARTNER'!H$13:H$80))+(SUMIF('3. PARTNER'!B$13:B$80,B35,'3. PARTNER'!J$13:J$80)))</f>
        <v>0</v>
      </c>
      <c r="AD35" s="435">
        <f>IF('2. START'!C$11="NO",'2. START'!C$12,0)</f>
        <v>0</v>
      </c>
      <c r="AE35" s="436">
        <f t="shared" si="98"/>
        <v>0</v>
      </c>
      <c r="AF35" s="436">
        <f t="shared" si="99"/>
        <v>0</v>
      </c>
      <c r="AG35" s="437"/>
      <c r="AH35" s="438">
        <f t="shared" si="18"/>
        <v>0</v>
      </c>
      <c r="AI35" s="438">
        <f t="shared" si="19"/>
        <v>0</v>
      </c>
      <c r="AJ35" s="438">
        <f t="shared" si="20"/>
        <v>0</v>
      </c>
      <c r="AK35" s="438">
        <f t="shared" si="21"/>
        <v>0</v>
      </c>
      <c r="AL35" s="438">
        <f t="shared" si="22"/>
        <v>0</v>
      </c>
      <c r="AM35" s="438">
        <f t="shared" si="23"/>
        <v>0</v>
      </c>
      <c r="AN35" s="438">
        <f t="shared" si="24"/>
        <v>0</v>
      </c>
      <c r="AO35" s="438">
        <f t="shared" si="25"/>
        <v>0</v>
      </c>
      <c r="AP35" s="438">
        <f t="shared" si="26"/>
        <v>0</v>
      </c>
      <c r="AQ35" s="438">
        <f t="shared" si="27"/>
        <v>0</v>
      </c>
      <c r="AR35" s="439">
        <f t="shared" si="100"/>
        <v>0</v>
      </c>
      <c r="AS35" s="440"/>
      <c r="AT35" s="438">
        <f t="shared" si="28"/>
        <v>0</v>
      </c>
      <c r="AU35" s="438">
        <f t="shared" si="29"/>
        <v>0</v>
      </c>
      <c r="AV35" s="438">
        <f t="shared" si="30"/>
        <v>0</v>
      </c>
      <c r="AW35" s="438">
        <f t="shared" si="31"/>
        <v>0</v>
      </c>
      <c r="AX35" s="438">
        <f t="shared" si="32"/>
        <v>0</v>
      </c>
      <c r="AY35" s="438">
        <f t="shared" si="33"/>
        <v>0</v>
      </c>
      <c r="AZ35" s="438">
        <f t="shared" si="34"/>
        <v>0</v>
      </c>
      <c r="BA35" s="438">
        <f t="shared" si="35"/>
        <v>0</v>
      </c>
      <c r="BB35" s="438">
        <f t="shared" si="36"/>
        <v>0</v>
      </c>
      <c r="BC35" s="438">
        <f t="shared" si="37"/>
        <v>0</v>
      </c>
      <c r="BD35" s="439">
        <f t="shared" si="101"/>
        <v>0</v>
      </c>
      <c r="BE35" s="440"/>
      <c r="BF35" s="438">
        <f t="shared" si="38"/>
        <v>0</v>
      </c>
      <c r="BG35" s="438">
        <f t="shared" si="39"/>
        <v>0</v>
      </c>
      <c r="BH35" s="438">
        <f t="shared" si="40"/>
        <v>0</v>
      </c>
      <c r="BI35" s="438">
        <f t="shared" si="41"/>
        <v>0</v>
      </c>
      <c r="BJ35" s="438">
        <f t="shared" si="42"/>
        <v>0</v>
      </c>
      <c r="BK35" s="438">
        <f t="shared" si="43"/>
        <v>0</v>
      </c>
      <c r="BL35" s="438">
        <f t="shared" si="44"/>
        <v>0</v>
      </c>
      <c r="BM35" s="438">
        <f t="shared" si="45"/>
        <v>0</v>
      </c>
      <c r="BN35" s="438">
        <f t="shared" si="46"/>
        <v>0</v>
      </c>
      <c r="BO35" s="438">
        <f t="shared" si="47"/>
        <v>0</v>
      </c>
      <c r="BP35" s="439">
        <f t="shared" si="102"/>
        <v>0</v>
      </c>
      <c r="BQ35" s="441"/>
      <c r="BR35" s="442">
        <f t="shared" si="48"/>
        <v>0</v>
      </c>
      <c r="BS35" s="442">
        <f t="shared" si="49"/>
        <v>0</v>
      </c>
      <c r="BT35" s="442">
        <f t="shared" si="50"/>
        <v>0</v>
      </c>
      <c r="BU35" s="442">
        <f t="shared" si="51"/>
        <v>0</v>
      </c>
      <c r="BV35" s="442">
        <f t="shared" si="52"/>
        <v>0</v>
      </c>
      <c r="BW35" s="442">
        <f t="shared" si="53"/>
        <v>0</v>
      </c>
      <c r="BX35" s="442">
        <f t="shared" si="54"/>
        <v>0</v>
      </c>
      <c r="BY35" s="442">
        <f t="shared" si="55"/>
        <v>0</v>
      </c>
      <c r="BZ35" s="442">
        <f t="shared" si="56"/>
        <v>0</v>
      </c>
      <c r="CA35" s="442">
        <f t="shared" si="57"/>
        <v>0</v>
      </c>
      <c r="CB35" s="443">
        <f t="shared" si="103"/>
        <v>0</v>
      </c>
      <c r="CC35" s="444"/>
      <c r="CD35" s="445">
        <f t="shared" si="58"/>
        <v>0</v>
      </c>
      <c r="CE35" s="445">
        <f t="shared" si="59"/>
        <v>0</v>
      </c>
      <c r="CF35" s="445">
        <f t="shared" si="60"/>
        <v>0</v>
      </c>
      <c r="CG35" s="445">
        <f t="shared" si="61"/>
        <v>0</v>
      </c>
      <c r="CH35" s="445">
        <f t="shared" si="62"/>
        <v>0</v>
      </c>
      <c r="CI35" s="445">
        <f t="shared" si="63"/>
        <v>0</v>
      </c>
      <c r="CJ35" s="445">
        <f t="shared" si="64"/>
        <v>0</v>
      </c>
      <c r="CK35" s="445">
        <f t="shared" si="65"/>
        <v>0</v>
      </c>
      <c r="CL35" s="445">
        <f t="shared" si="66"/>
        <v>0</v>
      </c>
      <c r="CM35" s="445">
        <f t="shared" si="67"/>
        <v>0</v>
      </c>
      <c r="CN35" s="443">
        <f t="shared" si="104"/>
        <v>0</v>
      </c>
      <c r="CO35" s="444"/>
      <c r="CP35" s="442">
        <f t="shared" si="68"/>
        <v>0</v>
      </c>
      <c r="CQ35" s="442">
        <f t="shared" si="69"/>
        <v>0</v>
      </c>
      <c r="CR35" s="442">
        <f t="shared" si="70"/>
        <v>0</v>
      </c>
      <c r="CS35" s="442">
        <f t="shared" si="71"/>
        <v>0</v>
      </c>
      <c r="CT35" s="442">
        <f t="shared" si="72"/>
        <v>0</v>
      </c>
      <c r="CU35" s="442">
        <f t="shared" si="73"/>
        <v>0</v>
      </c>
      <c r="CV35" s="442">
        <f t="shared" si="74"/>
        <v>0</v>
      </c>
      <c r="CW35" s="442">
        <f t="shared" si="75"/>
        <v>0</v>
      </c>
      <c r="CX35" s="442">
        <f t="shared" si="76"/>
        <v>0</v>
      </c>
      <c r="CY35" s="442">
        <f t="shared" si="77"/>
        <v>0</v>
      </c>
      <c r="CZ35" s="443">
        <f t="shared" si="105"/>
        <v>0</v>
      </c>
      <c r="DB35" s="442">
        <f t="shared" si="78"/>
        <v>0</v>
      </c>
      <c r="DC35" s="442">
        <f t="shared" si="79"/>
        <v>0</v>
      </c>
      <c r="DD35" s="442">
        <f t="shared" si="80"/>
        <v>0</v>
      </c>
      <c r="DE35" s="442">
        <f t="shared" si="81"/>
        <v>0</v>
      </c>
      <c r="DF35" s="442">
        <f t="shared" si="82"/>
        <v>0</v>
      </c>
      <c r="DG35" s="442">
        <f t="shared" si="83"/>
        <v>0</v>
      </c>
      <c r="DH35" s="442">
        <f t="shared" si="84"/>
        <v>0</v>
      </c>
      <c r="DI35" s="442">
        <f t="shared" si="85"/>
        <v>0</v>
      </c>
      <c r="DJ35" s="442">
        <f t="shared" si="86"/>
        <v>0</v>
      </c>
      <c r="DK35" s="442">
        <f t="shared" si="87"/>
        <v>0</v>
      </c>
      <c r="DL35" s="443">
        <f t="shared" si="106"/>
        <v>0</v>
      </c>
      <c r="DN35" s="442">
        <f>IF('2. START'!$C$14&gt;0,(AT35/(1+$AA35))*(1+'2. START'!$C$14),AT35)</f>
        <v>0</v>
      </c>
      <c r="DO35" s="442">
        <f>IF('2. START'!$C$14&gt;0,(AU35/(1+$AA35))*(1+'2. START'!$C$14),AU35)</f>
        <v>0</v>
      </c>
      <c r="DP35" s="442">
        <f>IF('2. START'!$C$14&gt;0,(AV35/(1+$AA35))*(1+'2. START'!$C$14),AV35)</f>
        <v>0</v>
      </c>
      <c r="DQ35" s="442">
        <f>IF('2. START'!$C$14&gt;0,(AW35/(1+$AA35))*(1+'2. START'!$C$14),AW35)</f>
        <v>0</v>
      </c>
      <c r="DR35" s="442">
        <f>IF('2. START'!$C$14&gt;0,(AX35/(1+$AA35))*(1+'2. START'!$C$14),AX35)</f>
        <v>0</v>
      </c>
      <c r="DS35" s="442">
        <f>IF('2. START'!$C$14&gt;0,(AY35/(1+$AA35))*(1+'2. START'!$C$14),AY35)</f>
        <v>0</v>
      </c>
      <c r="DT35" s="442">
        <f>IF('2. START'!$C$14&gt;0,(AZ35/(1+$AA35))*(1+'2. START'!$C$14),AZ35)</f>
        <v>0</v>
      </c>
      <c r="DU35" s="442">
        <f>IF('2. START'!$C$14&gt;0,(BA35/(1+$AA35))*(1+'2. START'!$C$14),BA35)</f>
        <v>0</v>
      </c>
      <c r="DV35" s="442">
        <f>IF('2. START'!$C$14&gt;0,(BB35/(1+$AA35))*(1+'2. START'!$C$14),BB35)</f>
        <v>0</v>
      </c>
      <c r="DW35" s="442">
        <f>IF('2. START'!$C$14&gt;0,(BC35/(1+$AA35))*(1+'2. START'!$C$14),BC35)</f>
        <v>0</v>
      </c>
      <c r="DX35" s="443">
        <f t="shared" si="107"/>
        <v>0</v>
      </c>
      <c r="DZ35" s="442">
        <f>IF('2. START'!$C$11="NO",(IF('2. START'!$C$14&gt;0,(DN35*$AD35),(AT35*$AD35))),(BR35+CP35))</f>
        <v>0</v>
      </c>
      <c r="EA35" s="442">
        <f>IF('2. START'!$C$11="NO",(IF('2. START'!$C$14&gt;0,(DO35*$AD35),(AU35*$AD35))),(BS35+CQ35))</f>
        <v>0</v>
      </c>
      <c r="EB35" s="442">
        <f>IF('2. START'!$C$11="NO",(IF('2. START'!$C$14&gt;0,(DP35*$AD35),(AV35*$AD35))),(BT35+CR35))</f>
        <v>0</v>
      </c>
      <c r="EC35" s="442">
        <f>IF('2. START'!$C$11="NO",(IF('2. START'!$C$14&gt;0,(DQ35*$AD35),(AW35*$AD35))),(BU35+CS35))</f>
        <v>0</v>
      </c>
      <c r="ED35" s="442">
        <f>IF('2. START'!$C$11="NO",(IF('2. START'!$C$14&gt;0,(DR35*$AD35),(AX35*$AD35))),(BV35+CT35))</f>
        <v>0</v>
      </c>
      <c r="EE35" s="442">
        <f>IF('2. START'!$C$11="NO",(IF('2. START'!$C$14&gt;0,(DS35*$AD35),(AY35*$AD35))),(BW35+CU35))</f>
        <v>0</v>
      </c>
      <c r="EF35" s="442">
        <f>IF('2. START'!$C$11="NO",(IF('2. START'!$C$14&gt;0,(DT35*$AD35),(AZ35*$AD35))),(BX35+CV35))</f>
        <v>0</v>
      </c>
      <c r="EG35" s="442">
        <f>IF('2. START'!$C$11="NO",(IF('2. START'!$C$14&gt;0,(DU35*$AD35),(BA35*$AD35))),(BY35+CW35))</f>
        <v>0</v>
      </c>
      <c r="EH35" s="442">
        <f>IF('2. START'!$C$11="NO",(IF('2. START'!$C$14&gt;0,(DV35*$AD35),(BB35*$AD35))),(BZ35+CX35))</f>
        <v>0</v>
      </c>
      <c r="EI35" s="442">
        <f>IF('2. START'!$C$11="NO",(IF('2. START'!$C$14&gt;0,(DW35*$AD35),(BC35*$AD35))),(CA35+CY35))</f>
        <v>0</v>
      </c>
      <c r="EJ35" s="443">
        <f t="shared" si="108"/>
        <v>0</v>
      </c>
      <c r="EL35" s="442">
        <f>(BR35+CP35-DZ35)+IF('2. START'!$C$14&gt;0,AT35-DN35,0)</f>
        <v>0</v>
      </c>
      <c r="EM35" s="442">
        <f>(BS35+CQ35-EA35)+IF('2. START'!$C$14&gt;0,AU35-DO35,0)</f>
        <v>0</v>
      </c>
      <c r="EN35" s="442">
        <f>(BT35+CR35-EB35)+IF('2. START'!$C$14&gt;0,AV35-DP35,0)</f>
        <v>0</v>
      </c>
      <c r="EO35" s="442">
        <f>(BU35+CS35-EC35)+IF('2. START'!$C$14&gt;0,AW35-DQ35,0)</f>
        <v>0</v>
      </c>
      <c r="EP35" s="442">
        <f>(BV35+CT35-ED35)+IF('2. START'!$C$14&gt;0,AX35-DR35,0)</f>
        <v>0</v>
      </c>
      <c r="EQ35" s="442">
        <f>(BW35+CU35-EE35)+IF('2. START'!$C$14&gt;0,AY35-DS35,0)</f>
        <v>0</v>
      </c>
      <c r="ER35" s="442">
        <f>(BX35+CV35-EF35)+IF('2. START'!$C$14&gt;0,AZ35-DT35,0)</f>
        <v>0</v>
      </c>
      <c r="ES35" s="442">
        <f>(BY35+CW35-EG35)+IF('2. START'!$C$14&gt;0,BA35-DU35,0)</f>
        <v>0</v>
      </c>
      <c r="ET35" s="442">
        <f>(BZ35+CX35-EH35)+IF('2. START'!$C$14&gt;0,BB35-DV35,0)</f>
        <v>0</v>
      </c>
      <c r="EU35" s="442">
        <f>(CA35+CY35-EI35)+IF('2. START'!$C$14&gt;0,BC35-DW35,0)</f>
        <v>0</v>
      </c>
      <c r="EV35" s="443">
        <f t="shared" si="109"/>
        <v>0</v>
      </c>
      <c r="EX35" s="442">
        <f t="shared" si="110"/>
        <v>0</v>
      </c>
      <c r="EY35" s="442">
        <f t="shared" si="111"/>
        <v>0</v>
      </c>
      <c r="EZ35" s="442">
        <f t="shared" si="112"/>
        <v>0</v>
      </c>
      <c r="FA35" s="442">
        <f t="shared" si="113"/>
        <v>0</v>
      </c>
      <c r="FB35" s="442">
        <f t="shared" si="114"/>
        <v>0</v>
      </c>
      <c r="FC35" s="442">
        <f t="shared" si="115"/>
        <v>0</v>
      </c>
      <c r="FD35" s="442">
        <f t="shared" si="116"/>
        <v>0</v>
      </c>
      <c r="FE35" s="442">
        <f t="shared" si="117"/>
        <v>0</v>
      </c>
      <c r="FF35" s="442">
        <f t="shared" si="118"/>
        <v>0</v>
      </c>
      <c r="FG35" s="442">
        <f t="shared" si="119"/>
        <v>0</v>
      </c>
      <c r="FH35" s="443">
        <f t="shared" si="120"/>
        <v>0</v>
      </c>
      <c r="FJ35" s="442">
        <f t="shared" si="121"/>
        <v>0</v>
      </c>
      <c r="FK35" s="442">
        <f t="shared" si="122"/>
        <v>0</v>
      </c>
      <c r="FL35" s="442">
        <f t="shared" si="123"/>
        <v>0</v>
      </c>
      <c r="FM35" s="442">
        <f t="shared" si="124"/>
        <v>0</v>
      </c>
      <c r="FN35" s="442">
        <f t="shared" si="125"/>
        <v>0</v>
      </c>
      <c r="FO35" s="442">
        <f t="shared" si="126"/>
        <v>0</v>
      </c>
      <c r="FP35" s="442">
        <f t="shared" si="127"/>
        <v>0</v>
      </c>
      <c r="FQ35" s="442">
        <f t="shared" si="128"/>
        <v>0</v>
      </c>
      <c r="FR35" s="442">
        <f t="shared" si="129"/>
        <v>0</v>
      </c>
      <c r="FS35" s="442">
        <f t="shared" si="130"/>
        <v>0</v>
      </c>
      <c r="FT35" s="443">
        <f t="shared" si="131"/>
        <v>0</v>
      </c>
    </row>
    <row r="36" spans="2:176" s="270" customFormat="1" ht="15" customHeight="1" x14ac:dyDescent="0.25">
      <c r="B36" s="446" t="str">
        <f>'2. START'!C$7</f>
        <v>100GEM</v>
      </c>
      <c r="C36" s="447"/>
      <c r="D36" s="589"/>
      <c r="E36" s="544">
        <v>0</v>
      </c>
      <c r="F36" s="448"/>
      <c r="G36" s="449"/>
      <c r="H36" s="449"/>
      <c r="I36" s="449"/>
      <c r="J36" s="449"/>
      <c r="K36" s="449"/>
      <c r="L36" s="449"/>
      <c r="M36" s="449"/>
      <c r="N36" s="449"/>
      <c r="O36" s="449"/>
      <c r="P36" s="449"/>
      <c r="Q36" s="546">
        <f>SUMIF('3. PARTNER'!$B$13:$B$80,$B36,'3. PARTNER'!$F$13:$F$80)</f>
        <v>0.02</v>
      </c>
      <c r="R36" s="450">
        <f t="shared" si="132"/>
        <v>0.02</v>
      </c>
      <c r="S36" s="450">
        <f t="shared" si="132"/>
        <v>0.02</v>
      </c>
      <c r="T36" s="450">
        <f t="shared" si="132"/>
        <v>0.02</v>
      </c>
      <c r="U36" s="450">
        <f t="shared" si="132"/>
        <v>0.02</v>
      </c>
      <c r="V36" s="450">
        <f t="shared" si="132"/>
        <v>0.02</v>
      </c>
      <c r="W36" s="450">
        <f t="shared" si="132"/>
        <v>0.02</v>
      </c>
      <c r="X36" s="450">
        <f t="shared" si="132"/>
        <v>0.02</v>
      </c>
      <c r="Y36" s="450">
        <f t="shared" si="132"/>
        <v>0.02</v>
      </c>
      <c r="Z36" s="450">
        <f t="shared" si="132"/>
        <v>0.02</v>
      </c>
      <c r="AA36" s="451">
        <f>SUMIF('3. PARTNER'!B$13:B$80,B36,'3. PARTNER'!E$13:E$80)</f>
        <v>0.5595</v>
      </c>
      <c r="AB36" s="452">
        <f>IF('2. START'!$C$20="UTB",(SUMIF('3. PARTNER'!B$13:B$80,B36,'3. PARTNER'!K$13:K$80))+(SUMIF('3. PARTNER'!B$13:B$80,B36,'3. PARTNER'!M$13:M$80)),(SUMIF('3. PARTNER'!B$13:B$80,B36,'3. PARTNER'!G$13:G$80))+(SUMIF('3. PARTNER'!B$13:B$80,B36,'3. PARTNER'!I$13:I$80)))</f>
        <v>0.16000843770704321</v>
      </c>
      <c r="AC36" s="452">
        <f>IF('2. START'!$C$20="UTB",(SUMIF('3. PARTNER'!B$13:B$80,B36,'3. PARTNER'!L$13:L$80))+(SUMIF('3. PARTNER'!B$13:B$80,B36,'3. PARTNER'!N$13:N$80)),(SUMIF('3. PARTNER'!B$13:B$80,B36,'3. PARTNER'!H$13:H$80))+(SUMIF('3. PARTNER'!B$13:B$80,B36,'3. PARTNER'!J$13:J$80)))</f>
        <v>0</v>
      </c>
      <c r="AD36" s="452">
        <f>IF('2. START'!C$11="NO",'2. START'!C$12,0)</f>
        <v>0</v>
      </c>
      <c r="AE36" s="453">
        <f t="shared" si="98"/>
        <v>0</v>
      </c>
      <c r="AF36" s="453">
        <f t="shared" si="99"/>
        <v>0</v>
      </c>
      <c r="AG36" s="454"/>
      <c r="AH36" s="455">
        <f t="shared" si="18"/>
        <v>0</v>
      </c>
      <c r="AI36" s="455">
        <f t="shared" si="19"/>
        <v>0</v>
      </c>
      <c r="AJ36" s="455">
        <f t="shared" si="20"/>
        <v>0</v>
      </c>
      <c r="AK36" s="455">
        <f t="shared" si="21"/>
        <v>0</v>
      </c>
      <c r="AL36" s="455">
        <f t="shared" si="22"/>
        <v>0</v>
      </c>
      <c r="AM36" s="455">
        <f t="shared" si="23"/>
        <v>0</v>
      </c>
      <c r="AN36" s="455">
        <f t="shared" si="24"/>
        <v>0</v>
      </c>
      <c r="AO36" s="455">
        <f t="shared" si="25"/>
        <v>0</v>
      </c>
      <c r="AP36" s="455">
        <f t="shared" si="26"/>
        <v>0</v>
      </c>
      <c r="AQ36" s="455">
        <f t="shared" si="27"/>
        <v>0</v>
      </c>
      <c r="AR36" s="456">
        <f t="shared" si="100"/>
        <v>0</v>
      </c>
      <c r="AS36" s="457"/>
      <c r="AT36" s="455">
        <f t="shared" si="28"/>
        <v>0</v>
      </c>
      <c r="AU36" s="455">
        <f t="shared" si="29"/>
        <v>0</v>
      </c>
      <c r="AV36" s="455">
        <f t="shared" si="30"/>
        <v>0</v>
      </c>
      <c r="AW36" s="455">
        <f t="shared" si="31"/>
        <v>0</v>
      </c>
      <c r="AX36" s="455">
        <f t="shared" si="32"/>
        <v>0</v>
      </c>
      <c r="AY36" s="455">
        <f t="shared" si="33"/>
        <v>0</v>
      </c>
      <c r="AZ36" s="455">
        <f t="shared" si="34"/>
        <v>0</v>
      </c>
      <c r="BA36" s="455">
        <f t="shared" si="35"/>
        <v>0</v>
      </c>
      <c r="BB36" s="455">
        <f t="shared" si="36"/>
        <v>0</v>
      </c>
      <c r="BC36" s="455">
        <f t="shared" si="37"/>
        <v>0</v>
      </c>
      <c r="BD36" s="456">
        <f t="shared" si="101"/>
        <v>0</v>
      </c>
      <c r="BE36" s="457"/>
      <c r="BF36" s="455">
        <f t="shared" si="38"/>
        <v>0</v>
      </c>
      <c r="BG36" s="455">
        <f t="shared" si="39"/>
        <v>0</v>
      </c>
      <c r="BH36" s="455">
        <f t="shared" si="40"/>
        <v>0</v>
      </c>
      <c r="BI36" s="455">
        <f t="shared" si="41"/>
        <v>0</v>
      </c>
      <c r="BJ36" s="455">
        <f t="shared" si="42"/>
        <v>0</v>
      </c>
      <c r="BK36" s="455">
        <f t="shared" si="43"/>
        <v>0</v>
      </c>
      <c r="BL36" s="455">
        <f t="shared" si="44"/>
        <v>0</v>
      </c>
      <c r="BM36" s="455">
        <f t="shared" si="45"/>
        <v>0</v>
      </c>
      <c r="BN36" s="455">
        <f t="shared" si="46"/>
        <v>0</v>
      </c>
      <c r="BO36" s="455">
        <f t="shared" si="47"/>
        <v>0</v>
      </c>
      <c r="BP36" s="456">
        <f t="shared" si="102"/>
        <v>0</v>
      </c>
      <c r="BQ36" s="458"/>
      <c r="BR36" s="459">
        <f t="shared" si="48"/>
        <v>0</v>
      </c>
      <c r="BS36" s="459">
        <f t="shared" si="49"/>
        <v>0</v>
      </c>
      <c r="BT36" s="459">
        <f t="shared" si="50"/>
        <v>0</v>
      </c>
      <c r="BU36" s="459">
        <f t="shared" si="51"/>
        <v>0</v>
      </c>
      <c r="BV36" s="459">
        <f t="shared" si="52"/>
        <v>0</v>
      </c>
      <c r="BW36" s="459">
        <f t="shared" si="53"/>
        <v>0</v>
      </c>
      <c r="BX36" s="459">
        <f t="shared" si="54"/>
        <v>0</v>
      </c>
      <c r="BY36" s="459">
        <f t="shared" si="55"/>
        <v>0</v>
      </c>
      <c r="BZ36" s="459">
        <f t="shared" si="56"/>
        <v>0</v>
      </c>
      <c r="CA36" s="459">
        <f t="shared" si="57"/>
        <v>0</v>
      </c>
      <c r="CB36" s="460">
        <f t="shared" si="103"/>
        <v>0</v>
      </c>
      <c r="CC36" s="461"/>
      <c r="CD36" s="462">
        <f t="shared" si="58"/>
        <v>0</v>
      </c>
      <c r="CE36" s="462">
        <f t="shared" si="59"/>
        <v>0</v>
      </c>
      <c r="CF36" s="462">
        <f t="shared" si="60"/>
        <v>0</v>
      </c>
      <c r="CG36" s="462">
        <f t="shared" si="61"/>
        <v>0</v>
      </c>
      <c r="CH36" s="462">
        <f t="shared" si="62"/>
        <v>0</v>
      </c>
      <c r="CI36" s="462">
        <f t="shared" si="63"/>
        <v>0</v>
      </c>
      <c r="CJ36" s="462">
        <f t="shared" si="64"/>
        <v>0</v>
      </c>
      <c r="CK36" s="462">
        <f t="shared" si="65"/>
        <v>0</v>
      </c>
      <c r="CL36" s="462">
        <f t="shared" si="66"/>
        <v>0</v>
      </c>
      <c r="CM36" s="462">
        <f t="shared" si="67"/>
        <v>0</v>
      </c>
      <c r="CN36" s="460">
        <f t="shared" si="104"/>
        <v>0</v>
      </c>
      <c r="CO36" s="461"/>
      <c r="CP36" s="459">
        <f t="shared" si="68"/>
        <v>0</v>
      </c>
      <c r="CQ36" s="459">
        <f t="shared" si="69"/>
        <v>0</v>
      </c>
      <c r="CR36" s="459">
        <f t="shared" si="70"/>
        <v>0</v>
      </c>
      <c r="CS36" s="459">
        <f t="shared" si="71"/>
        <v>0</v>
      </c>
      <c r="CT36" s="459">
        <f t="shared" si="72"/>
        <v>0</v>
      </c>
      <c r="CU36" s="459">
        <f t="shared" si="73"/>
        <v>0</v>
      </c>
      <c r="CV36" s="459">
        <f t="shared" si="74"/>
        <v>0</v>
      </c>
      <c r="CW36" s="459">
        <f t="shared" si="75"/>
        <v>0</v>
      </c>
      <c r="CX36" s="459">
        <f t="shared" si="76"/>
        <v>0</v>
      </c>
      <c r="CY36" s="459">
        <f t="shared" si="77"/>
        <v>0</v>
      </c>
      <c r="CZ36" s="460">
        <f t="shared" si="105"/>
        <v>0</v>
      </c>
      <c r="DA36" s="463"/>
      <c r="DB36" s="459">
        <f t="shared" si="78"/>
        <v>0</v>
      </c>
      <c r="DC36" s="459">
        <f t="shared" si="79"/>
        <v>0</v>
      </c>
      <c r="DD36" s="459">
        <f t="shared" si="80"/>
        <v>0</v>
      </c>
      <c r="DE36" s="459">
        <f t="shared" si="81"/>
        <v>0</v>
      </c>
      <c r="DF36" s="459">
        <f t="shared" si="82"/>
        <v>0</v>
      </c>
      <c r="DG36" s="459">
        <f t="shared" si="83"/>
        <v>0</v>
      </c>
      <c r="DH36" s="459">
        <f t="shared" si="84"/>
        <v>0</v>
      </c>
      <c r="DI36" s="459">
        <f t="shared" si="85"/>
        <v>0</v>
      </c>
      <c r="DJ36" s="459">
        <f t="shared" si="86"/>
        <v>0</v>
      </c>
      <c r="DK36" s="459">
        <f t="shared" si="87"/>
        <v>0</v>
      </c>
      <c r="DL36" s="460">
        <f t="shared" si="106"/>
        <v>0</v>
      </c>
      <c r="DM36" s="463"/>
      <c r="DN36" s="442">
        <f>IF('2. START'!$C$14&gt;0,(AT36/(1+$AA36))*(1+'2. START'!$C$14),AT36)</f>
        <v>0</v>
      </c>
      <c r="DO36" s="442">
        <f>IF('2. START'!$C$14&gt;0,(AU36/(1+$AA36))*(1+'2. START'!$C$14),AU36)</f>
        <v>0</v>
      </c>
      <c r="DP36" s="442">
        <f>IF('2. START'!$C$14&gt;0,(AV36/(1+$AA36))*(1+'2. START'!$C$14),AV36)</f>
        <v>0</v>
      </c>
      <c r="DQ36" s="442">
        <f>IF('2. START'!$C$14&gt;0,(AW36/(1+$AA36))*(1+'2. START'!$C$14),AW36)</f>
        <v>0</v>
      </c>
      <c r="DR36" s="442">
        <f>IF('2. START'!$C$14&gt;0,(AX36/(1+$AA36))*(1+'2. START'!$C$14),AX36)</f>
        <v>0</v>
      </c>
      <c r="DS36" s="442">
        <f>IF('2. START'!$C$14&gt;0,(AY36/(1+$AA36))*(1+'2. START'!$C$14),AY36)</f>
        <v>0</v>
      </c>
      <c r="DT36" s="442">
        <f>IF('2. START'!$C$14&gt;0,(AZ36/(1+$AA36))*(1+'2. START'!$C$14),AZ36)</f>
        <v>0</v>
      </c>
      <c r="DU36" s="442">
        <f>IF('2. START'!$C$14&gt;0,(BA36/(1+$AA36))*(1+'2. START'!$C$14),BA36)</f>
        <v>0</v>
      </c>
      <c r="DV36" s="442">
        <f>IF('2. START'!$C$14&gt;0,(BB36/(1+$AA36))*(1+'2. START'!$C$14),BB36)</f>
        <v>0</v>
      </c>
      <c r="DW36" s="442">
        <f>IF('2. START'!$C$14&gt;0,(BC36/(1+$AA36))*(1+'2. START'!$C$14),BC36)</f>
        <v>0</v>
      </c>
      <c r="DX36" s="460">
        <f t="shared" si="107"/>
        <v>0</v>
      </c>
      <c r="DY36" s="463"/>
      <c r="DZ36" s="459">
        <f>IF('2. START'!$C$11="NO",(IF('2. START'!$C$14&gt;0,(DN36*$AD36),(AT36*$AD36))),(BR36+CP36))</f>
        <v>0</v>
      </c>
      <c r="EA36" s="459">
        <f>IF('2. START'!$C$11="NO",(IF('2. START'!$C$14&gt;0,(DO36*$AD36),(AU36*$AD36))),(BS36+CQ36))</f>
        <v>0</v>
      </c>
      <c r="EB36" s="459">
        <f>IF('2. START'!$C$11="NO",(IF('2. START'!$C$14&gt;0,(DP36*$AD36),(AV36*$AD36))),(BT36+CR36))</f>
        <v>0</v>
      </c>
      <c r="EC36" s="459">
        <f>IF('2. START'!$C$11="NO",(IF('2. START'!$C$14&gt;0,(DQ36*$AD36),(AW36*$AD36))),(BU36+CS36))</f>
        <v>0</v>
      </c>
      <c r="ED36" s="459">
        <f>IF('2. START'!$C$11="NO",(IF('2. START'!$C$14&gt;0,(DR36*$AD36),(AX36*$AD36))),(BV36+CT36))</f>
        <v>0</v>
      </c>
      <c r="EE36" s="459">
        <f>IF('2. START'!$C$11="NO",(IF('2. START'!$C$14&gt;0,(DS36*$AD36),(AY36*$AD36))),(BW36+CU36))</f>
        <v>0</v>
      </c>
      <c r="EF36" s="459">
        <f>IF('2. START'!$C$11="NO",(IF('2. START'!$C$14&gt;0,(DT36*$AD36),(AZ36*$AD36))),(BX36+CV36))</f>
        <v>0</v>
      </c>
      <c r="EG36" s="459">
        <f>IF('2. START'!$C$11="NO",(IF('2. START'!$C$14&gt;0,(DU36*$AD36),(BA36*$AD36))),(BY36+CW36))</f>
        <v>0</v>
      </c>
      <c r="EH36" s="459">
        <f>IF('2. START'!$C$11="NO",(IF('2. START'!$C$14&gt;0,(DV36*$AD36),(BB36*$AD36))),(BZ36+CX36))</f>
        <v>0</v>
      </c>
      <c r="EI36" s="459">
        <f>IF('2. START'!$C$11="NO",(IF('2. START'!$C$14&gt;0,(DW36*$AD36),(BC36*$AD36))),(CA36+CY36))</f>
        <v>0</v>
      </c>
      <c r="EJ36" s="460">
        <f t="shared" si="108"/>
        <v>0</v>
      </c>
      <c r="EK36" s="463"/>
      <c r="EL36" s="459">
        <f>(BR36+CP36-DZ36)+IF('2. START'!$C$14&gt;0,AT36-DN36,0)</f>
        <v>0</v>
      </c>
      <c r="EM36" s="459">
        <f>(BS36+CQ36-EA36)+IF('2. START'!$C$14&gt;0,AU36-DO36,0)</f>
        <v>0</v>
      </c>
      <c r="EN36" s="459">
        <f>(BT36+CR36-EB36)+IF('2. START'!$C$14&gt;0,AV36-DP36,0)</f>
        <v>0</v>
      </c>
      <c r="EO36" s="459">
        <f>(BU36+CS36-EC36)+IF('2. START'!$C$14&gt;0,AW36-DQ36,0)</f>
        <v>0</v>
      </c>
      <c r="EP36" s="459">
        <f>(BV36+CT36-ED36)+IF('2. START'!$C$14&gt;0,AX36-DR36,0)</f>
        <v>0</v>
      </c>
      <c r="EQ36" s="459">
        <f>(BW36+CU36-EE36)+IF('2. START'!$C$14&gt;0,AY36-DS36,0)</f>
        <v>0</v>
      </c>
      <c r="ER36" s="459">
        <f>(BX36+CV36-EF36)+IF('2. START'!$C$14&gt;0,AZ36-DT36,0)</f>
        <v>0</v>
      </c>
      <c r="ES36" s="459">
        <f>(BY36+CW36-EG36)+IF('2. START'!$C$14&gt;0,BA36-DU36,0)</f>
        <v>0</v>
      </c>
      <c r="ET36" s="459">
        <f>(BZ36+CX36-EH36)+IF('2. START'!$C$14&gt;0,BB36-DV36,0)</f>
        <v>0</v>
      </c>
      <c r="EU36" s="459">
        <f>(CA36+CY36-EI36)+IF('2. START'!$C$14&gt;0,BC36-DW36,0)</f>
        <v>0</v>
      </c>
      <c r="EV36" s="460">
        <f t="shared" si="109"/>
        <v>0</v>
      </c>
      <c r="EW36" s="463"/>
      <c r="EX36" s="459">
        <f t="shared" si="110"/>
        <v>0</v>
      </c>
      <c r="EY36" s="459">
        <f t="shared" si="111"/>
        <v>0</v>
      </c>
      <c r="EZ36" s="459">
        <f t="shared" si="112"/>
        <v>0</v>
      </c>
      <c r="FA36" s="459">
        <f t="shared" si="113"/>
        <v>0</v>
      </c>
      <c r="FB36" s="459">
        <f t="shared" si="114"/>
        <v>0</v>
      </c>
      <c r="FC36" s="459">
        <f t="shared" si="115"/>
        <v>0</v>
      </c>
      <c r="FD36" s="459">
        <f t="shared" si="116"/>
        <v>0</v>
      </c>
      <c r="FE36" s="459">
        <f t="shared" si="117"/>
        <v>0</v>
      </c>
      <c r="FF36" s="459">
        <f t="shared" si="118"/>
        <v>0</v>
      </c>
      <c r="FG36" s="459">
        <f t="shared" si="119"/>
        <v>0</v>
      </c>
      <c r="FH36" s="460">
        <f t="shared" si="120"/>
        <v>0</v>
      </c>
      <c r="FI36" s="463"/>
      <c r="FJ36" s="459">
        <f t="shared" si="121"/>
        <v>0</v>
      </c>
      <c r="FK36" s="459">
        <f t="shared" si="122"/>
        <v>0</v>
      </c>
      <c r="FL36" s="459">
        <f t="shared" si="123"/>
        <v>0</v>
      </c>
      <c r="FM36" s="459">
        <f t="shared" si="124"/>
        <v>0</v>
      </c>
      <c r="FN36" s="459">
        <f t="shared" si="125"/>
        <v>0</v>
      </c>
      <c r="FO36" s="459">
        <f t="shared" si="126"/>
        <v>0</v>
      </c>
      <c r="FP36" s="459">
        <f t="shared" si="127"/>
        <v>0</v>
      </c>
      <c r="FQ36" s="459">
        <f t="shared" si="128"/>
        <v>0</v>
      </c>
      <c r="FR36" s="459">
        <f t="shared" si="129"/>
        <v>0</v>
      </c>
      <c r="FS36" s="459">
        <f t="shared" si="130"/>
        <v>0</v>
      </c>
      <c r="FT36" s="460">
        <f t="shared" si="131"/>
        <v>0</v>
      </c>
    </row>
    <row r="37" spans="2:176" s="270" customFormat="1" ht="15" customHeight="1" x14ac:dyDescent="0.25">
      <c r="B37" s="464" t="str">
        <f>'2. START'!C$7</f>
        <v>100GEM</v>
      </c>
      <c r="C37" s="465"/>
      <c r="D37" s="590"/>
      <c r="E37" s="514">
        <v>0</v>
      </c>
      <c r="F37" s="467"/>
      <c r="G37" s="432"/>
      <c r="H37" s="432"/>
      <c r="I37" s="432"/>
      <c r="J37" s="432"/>
      <c r="K37" s="432"/>
      <c r="L37" s="432"/>
      <c r="M37" s="432"/>
      <c r="N37" s="432"/>
      <c r="O37" s="432"/>
      <c r="P37" s="432"/>
      <c r="Q37" s="545">
        <f>SUMIF('3. PARTNER'!$B$13:$B$80,$B37,'3. PARTNER'!$F$13:$F$80)</f>
        <v>0.02</v>
      </c>
      <c r="R37" s="466">
        <f t="shared" ref="R37:Z46" si="133">$Q37</f>
        <v>0.02</v>
      </c>
      <c r="S37" s="466">
        <f t="shared" si="133"/>
        <v>0.02</v>
      </c>
      <c r="T37" s="466">
        <f t="shared" si="133"/>
        <v>0.02</v>
      </c>
      <c r="U37" s="466">
        <f t="shared" si="133"/>
        <v>0.02</v>
      </c>
      <c r="V37" s="466">
        <f t="shared" si="133"/>
        <v>0.02</v>
      </c>
      <c r="W37" s="466">
        <f t="shared" si="133"/>
        <v>0.02</v>
      </c>
      <c r="X37" s="466">
        <f t="shared" si="133"/>
        <v>0.02</v>
      </c>
      <c r="Y37" s="466">
        <f t="shared" si="133"/>
        <v>0.02</v>
      </c>
      <c r="Z37" s="466">
        <f t="shared" si="133"/>
        <v>0.02</v>
      </c>
      <c r="AA37" s="434">
        <f>SUMIF('3. PARTNER'!B$13:B$80,B37,'3. PARTNER'!E$13:E$80)</f>
        <v>0.5595</v>
      </c>
      <c r="AB37" s="435">
        <f>IF('2. START'!$C$20="UTB",(SUMIF('3. PARTNER'!B$13:B$80,B37,'3. PARTNER'!K$13:K$80))+(SUMIF('3. PARTNER'!B$13:B$80,B37,'3. PARTNER'!M$13:M$80)),(SUMIF('3. PARTNER'!B$13:B$80,B37,'3. PARTNER'!G$13:G$80))+(SUMIF('3. PARTNER'!B$13:B$80,B37,'3. PARTNER'!I$13:I$80)))</f>
        <v>0.16000843770704321</v>
      </c>
      <c r="AC37" s="435">
        <f>IF('2. START'!$C$20="UTB",(SUMIF('3. PARTNER'!B$13:B$80,B37,'3. PARTNER'!L$13:L$80))+(SUMIF('3. PARTNER'!B$13:B$80,B37,'3. PARTNER'!N$13:N$80)),(SUMIF('3. PARTNER'!B$13:B$80,B37,'3. PARTNER'!H$13:H$80))+(SUMIF('3. PARTNER'!B$13:B$80,B37,'3. PARTNER'!J$13:J$80)))</f>
        <v>0</v>
      </c>
      <c r="AD37" s="435">
        <f>IF('2. START'!C$11="NO",'2. START'!C$12,0)</f>
        <v>0</v>
      </c>
      <c r="AE37" s="436">
        <f t="shared" si="98"/>
        <v>0</v>
      </c>
      <c r="AF37" s="436">
        <f t="shared" si="99"/>
        <v>0</v>
      </c>
      <c r="AG37" s="437"/>
      <c r="AH37" s="438">
        <f t="shared" si="18"/>
        <v>0</v>
      </c>
      <c r="AI37" s="438">
        <f t="shared" si="19"/>
        <v>0</v>
      </c>
      <c r="AJ37" s="438">
        <f t="shared" si="20"/>
        <v>0</v>
      </c>
      <c r="AK37" s="438">
        <f t="shared" si="21"/>
        <v>0</v>
      </c>
      <c r="AL37" s="438">
        <f t="shared" si="22"/>
        <v>0</v>
      </c>
      <c r="AM37" s="438">
        <f t="shared" si="23"/>
        <v>0</v>
      </c>
      <c r="AN37" s="438">
        <f t="shared" si="24"/>
        <v>0</v>
      </c>
      <c r="AO37" s="438">
        <f t="shared" si="25"/>
        <v>0</v>
      </c>
      <c r="AP37" s="438">
        <f t="shared" si="26"/>
        <v>0</v>
      </c>
      <c r="AQ37" s="438">
        <f t="shared" si="27"/>
        <v>0</v>
      </c>
      <c r="AR37" s="439">
        <f t="shared" si="100"/>
        <v>0</v>
      </c>
      <c r="AS37" s="440"/>
      <c r="AT37" s="438">
        <f t="shared" si="28"/>
        <v>0</v>
      </c>
      <c r="AU37" s="438">
        <f t="shared" si="29"/>
        <v>0</v>
      </c>
      <c r="AV37" s="438">
        <f t="shared" si="30"/>
        <v>0</v>
      </c>
      <c r="AW37" s="438">
        <f t="shared" si="31"/>
        <v>0</v>
      </c>
      <c r="AX37" s="438">
        <f t="shared" si="32"/>
        <v>0</v>
      </c>
      <c r="AY37" s="438">
        <f t="shared" si="33"/>
        <v>0</v>
      </c>
      <c r="AZ37" s="438">
        <f t="shared" si="34"/>
        <v>0</v>
      </c>
      <c r="BA37" s="438">
        <f t="shared" si="35"/>
        <v>0</v>
      </c>
      <c r="BB37" s="438">
        <f t="shared" si="36"/>
        <v>0</v>
      </c>
      <c r="BC37" s="438">
        <f t="shared" si="37"/>
        <v>0</v>
      </c>
      <c r="BD37" s="439">
        <f t="shared" si="101"/>
        <v>0</v>
      </c>
      <c r="BE37" s="440"/>
      <c r="BF37" s="438">
        <f t="shared" si="38"/>
        <v>0</v>
      </c>
      <c r="BG37" s="438">
        <f t="shared" si="39"/>
        <v>0</v>
      </c>
      <c r="BH37" s="438">
        <f t="shared" si="40"/>
        <v>0</v>
      </c>
      <c r="BI37" s="438">
        <f t="shared" si="41"/>
        <v>0</v>
      </c>
      <c r="BJ37" s="438">
        <f t="shared" si="42"/>
        <v>0</v>
      </c>
      <c r="BK37" s="438">
        <f t="shared" si="43"/>
        <v>0</v>
      </c>
      <c r="BL37" s="438">
        <f t="shared" si="44"/>
        <v>0</v>
      </c>
      <c r="BM37" s="438">
        <f t="shared" si="45"/>
        <v>0</v>
      </c>
      <c r="BN37" s="438">
        <f t="shared" si="46"/>
        <v>0</v>
      </c>
      <c r="BO37" s="438">
        <f t="shared" si="47"/>
        <v>0</v>
      </c>
      <c r="BP37" s="439">
        <f t="shared" si="102"/>
        <v>0</v>
      </c>
      <c r="BQ37" s="441"/>
      <c r="BR37" s="442">
        <f t="shared" si="48"/>
        <v>0</v>
      </c>
      <c r="BS37" s="442">
        <f t="shared" si="49"/>
        <v>0</v>
      </c>
      <c r="BT37" s="442">
        <f t="shared" si="50"/>
        <v>0</v>
      </c>
      <c r="BU37" s="442">
        <f t="shared" si="51"/>
        <v>0</v>
      </c>
      <c r="BV37" s="442">
        <f t="shared" si="52"/>
        <v>0</v>
      </c>
      <c r="BW37" s="442">
        <f t="shared" si="53"/>
        <v>0</v>
      </c>
      <c r="BX37" s="442">
        <f t="shared" si="54"/>
        <v>0</v>
      </c>
      <c r="BY37" s="442">
        <f t="shared" si="55"/>
        <v>0</v>
      </c>
      <c r="BZ37" s="442">
        <f t="shared" si="56"/>
        <v>0</v>
      </c>
      <c r="CA37" s="442">
        <f t="shared" si="57"/>
        <v>0</v>
      </c>
      <c r="CB37" s="443">
        <f t="shared" si="103"/>
        <v>0</v>
      </c>
      <c r="CC37" s="444"/>
      <c r="CD37" s="445">
        <f t="shared" si="58"/>
        <v>0</v>
      </c>
      <c r="CE37" s="445">
        <f t="shared" si="59"/>
        <v>0</v>
      </c>
      <c r="CF37" s="445">
        <f t="shared" si="60"/>
        <v>0</v>
      </c>
      <c r="CG37" s="445">
        <f t="shared" si="61"/>
        <v>0</v>
      </c>
      <c r="CH37" s="445">
        <f t="shared" si="62"/>
        <v>0</v>
      </c>
      <c r="CI37" s="445">
        <f t="shared" si="63"/>
        <v>0</v>
      </c>
      <c r="CJ37" s="445">
        <f t="shared" si="64"/>
        <v>0</v>
      </c>
      <c r="CK37" s="445">
        <f t="shared" si="65"/>
        <v>0</v>
      </c>
      <c r="CL37" s="445">
        <f t="shared" si="66"/>
        <v>0</v>
      </c>
      <c r="CM37" s="445">
        <f t="shared" si="67"/>
        <v>0</v>
      </c>
      <c r="CN37" s="443">
        <f t="shared" si="104"/>
        <v>0</v>
      </c>
      <c r="CO37" s="444"/>
      <c r="CP37" s="442">
        <f t="shared" si="68"/>
        <v>0</v>
      </c>
      <c r="CQ37" s="442">
        <f t="shared" si="69"/>
        <v>0</v>
      </c>
      <c r="CR37" s="442">
        <f t="shared" si="70"/>
        <v>0</v>
      </c>
      <c r="CS37" s="442">
        <f t="shared" si="71"/>
        <v>0</v>
      </c>
      <c r="CT37" s="442">
        <f t="shared" si="72"/>
        <v>0</v>
      </c>
      <c r="CU37" s="442">
        <f t="shared" si="73"/>
        <v>0</v>
      </c>
      <c r="CV37" s="442">
        <f t="shared" si="74"/>
        <v>0</v>
      </c>
      <c r="CW37" s="442">
        <f t="shared" si="75"/>
        <v>0</v>
      </c>
      <c r="CX37" s="442">
        <f t="shared" si="76"/>
        <v>0</v>
      </c>
      <c r="CY37" s="442">
        <f t="shared" si="77"/>
        <v>0</v>
      </c>
      <c r="CZ37" s="443">
        <f t="shared" si="105"/>
        <v>0</v>
      </c>
      <c r="DB37" s="442">
        <f t="shared" si="78"/>
        <v>0</v>
      </c>
      <c r="DC37" s="442">
        <f t="shared" si="79"/>
        <v>0</v>
      </c>
      <c r="DD37" s="442">
        <f t="shared" si="80"/>
        <v>0</v>
      </c>
      <c r="DE37" s="442">
        <f t="shared" si="81"/>
        <v>0</v>
      </c>
      <c r="DF37" s="442">
        <f t="shared" si="82"/>
        <v>0</v>
      </c>
      <c r="DG37" s="442">
        <f t="shared" si="83"/>
        <v>0</v>
      </c>
      <c r="DH37" s="442">
        <f t="shared" si="84"/>
        <v>0</v>
      </c>
      <c r="DI37" s="442">
        <f t="shared" si="85"/>
        <v>0</v>
      </c>
      <c r="DJ37" s="442">
        <f t="shared" si="86"/>
        <v>0</v>
      </c>
      <c r="DK37" s="442">
        <f t="shared" si="87"/>
        <v>0</v>
      </c>
      <c r="DL37" s="443">
        <f t="shared" si="106"/>
        <v>0</v>
      </c>
      <c r="DN37" s="442">
        <f>IF('2. START'!$C$14&gt;0,(AT37/(1+$AA37))*(1+'2. START'!$C$14),AT37)</f>
        <v>0</v>
      </c>
      <c r="DO37" s="442">
        <f>IF('2. START'!$C$14&gt;0,(AU37/(1+$AA37))*(1+'2. START'!$C$14),AU37)</f>
        <v>0</v>
      </c>
      <c r="DP37" s="442">
        <f>IF('2. START'!$C$14&gt;0,(AV37/(1+$AA37))*(1+'2. START'!$C$14),AV37)</f>
        <v>0</v>
      </c>
      <c r="DQ37" s="442">
        <f>IF('2. START'!$C$14&gt;0,(AW37/(1+$AA37))*(1+'2. START'!$C$14),AW37)</f>
        <v>0</v>
      </c>
      <c r="DR37" s="442">
        <f>IF('2. START'!$C$14&gt;0,(AX37/(1+$AA37))*(1+'2. START'!$C$14),AX37)</f>
        <v>0</v>
      </c>
      <c r="DS37" s="442">
        <f>IF('2. START'!$C$14&gt;0,(AY37/(1+$AA37))*(1+'2. START'!$C$14),AY37)</f>
        <v>0</v>
      </c>
      <c r="DT37" s="442">
        <f>IF('2. START'!$C$14&gt;0,(AZ37/(1+$AA37))*(1+'2. START'!$C$14),AZ37)</f>
        <v>0</v>
      </c>
      <c r="DU37" s="442">
        <f>IF('2. START'!$C$14&gt;0,(BA37/(1+$AA37))*(1+'2. START'!$C$14),BA37)</f>
        <v>0</v>
      </c>
      <c r="DV37" s="442">
        <f>IF('2. START'!$C$14&gt;0,(BB37/(1+$AA37))*(1+'2. START'!$C$14),BB37)</f>
        <v>0</v>
      </c>
      <c r="DW37" s="442">
        <f>IF('2. START'!$C$14&gt;0,(BC37/(1+$AA37))*(1+'2. START'!$C$14),BC37)</f>
        <v>0</v>
      </c>
      <c r="DX37" s="443">
        <f t="shared" si="107"/>
        <v>0</v>
      </c>
      <c r="DZ37" s="442">
        <f>IF('2. START'!$C$11="NO",(IF('2. START'!$C$14&gt;0,(DN37*$AD37),(AT37*$AD37))),(BR37+CP37))</f>
        <v>0</v>
      </c>
      <c r="EA37" s="442">
        <f>IF('2. START'!$C$11="NO",(IF('2. START'!$C$14&gt;0,(DO37*$AD37),(AU37*$AD37))),(BS37+CQ37))</f>
        <v>0</v>
      </c>
      <c r="EB37" s="442">
        <f>IF('2. START'!$C$11="NO",(IF('2. START'!$C$14&gt;0,(DP37*$AD37),(AV37*$AD37))),(BT37+CR37))</f>
        <v>0</v>
      </c>
      <c r="EC37" s="442">
        <f>IF('2. START'!$C$11="NO",(IF('2. START'!$C$14&gt;0,(DQ37*$AD37),(AW37*$AD37))),(BU37+CS37))</f>
        <v>0</v>
      </c>
      <c r="ED37" s="442">
        <f>IF('2. START'!$C$11="NO",(IF('2. START'!$C$14&gt;0,(DR37*$AD37),(AX37*$AD37))),(BV37+CT37))</f>
        <v>0</v>
      </c>
      <c r="EE37" s="442">
        <f>IF('2. START'!$C$11="NO",(IF('2. START'!$C$14&gt;0,(DS37*$AD37),(AY37*$AD37))),(BW37+CU37))</f>
        <v>0</v>
      </c>
      <c r="EF37" s="442">
        <f>IF('2. START'!$C$11="NO",(IF('2. START'!$C$14&gt;0,(DT37*$AD37),(AZ37*$AD37))),(BX37+CV37))</f>
        <v>0</v>
      </c>
      <c r="EG37" s="442">
        <f>IF('2. START'!$C$11="NO",(IF('2. START'!$C$14&gt;0,(DU37*$AD37),(BA37*$AD37))),(BY37+CW37))</f>
        <v>0</v>
      </c>
      <c r="EH37" s="442">
        <f>IF('2. START'!$C$11="NO",(IF('2. START'!$C$14&gt;0,(DV37*$AD37),(BB37*$AD37))),(BZ37+CX37))</f>
        <v>0</v>
      </c>
      <c r="EI37" s="442">
        <f>IF('2. START'!$C$11="NO",(IF('2. START'!$C$14&gt;0,(DW37*$AD37),(BC37*$AD37))),(CA37+CY37))</f>
        <v>0</v>
      </c>
      <c r="EJ37" s="443">
        <f t="shared" si="108"/>
        <v>0</v>
      </c>
      <c r="EL37" s="442">
        <f>(BR37+CP37-DZ37)+IF('2. START'!$C$14&gt;0,AT37-DN37,0)</f>
        <v>0</v>
      </c>
      <c r="EM37" s="442">
        <f>(BS37+CQ37-EA37)+IF('2. START'!$C$14&gt;0,AU37-DO37,0)</f>
        <v>0</v>
      </c>
      <c r="EN37" s="442">
        <f>(BT37+CR37-EB37)+IF('2. START'!$C$14&gt;0,AV37-DP37,0)</f>
        <v>0</v>
      </c>
      <c r="EO37" s="442">
        <f>(BU37+CS37-EC37)+IF('2. START'!$C$14&gt;0,AW37-DQ37,0)</f>
        <v>0</v>
      </c>
      <c r="EP37" s="442">
        <f>(BV37+CT37-ED37)+IF('2. START'!$C$14&gt;0,AX37-DR37,0)</f>
        <v>0</v>
      </c>
      <c r="EQ37" s="442">
        <f>(BW37+CU37-EE37)+IF('2. START'!$C$14&gt;0,AY37-DS37,0)</f>
        <v>0</v>
      </c>
      <c r="ER37" s="442">
        <f>(BX37+CV37-EF37)+IF('2. START'!$C$14&gt;0,AZ37-DT37,0)</f>
        <v>0</v>
      </c>
      <c r="ES37" s="442">
        <f>(BY37+CW37-EG37)+IF('2. START'!$C$14&gt;0,BA37-DU37,0)</f>
        <v>0</v>
      </c>
      <c r="ET37" s="442">
        <f>(BZ37+CX37-EH37)+IF('2. START'!$C$14&gt;0,BB37-DV37,0)</f>
        <v>0</v>
      </c>
      <c r="EU37" s="442">
        <f>(CA37+CY37-EI37)+IF('2. START'!$C$14&gt;0,BC37-DW37,0)</f>
        <v>0</v>
      </c>
      <c r="EV37" s="443">
        <f t="shared" si="109"/>
        <v>0</v>
      </c>
      <c r="EX37" s="442">
        <f t="shared" si="110"/>
        <v>0</v>
      </c>
      <c r="EY37" s="442">
        <f t="shared" si="111"/>
        <v>0</v>
      </c>
      <c r="EZ37" s="442">
        <f t="shared" si="112"/>
        <v>0</v>
      </c>
      <c r="FA37" s="442">
        <f t="shared" si="113"/>
        <v>0</v>
      </c>
      <c r="FB37" s="442">
        <f t="shared" si="114"/>
        <v>0</v>
      </c>
      <c r="FC37" s="442">
        <f t="shared" si="115"/>
        <v>0</v>
      </c>
      <c r="FD37" s="442">
        <f t="shared" si="116"/>
        <v>0</v>
      </c>
      <c r="FE37" s="442">
        <f t="shared" si="117"/>
        <v>0</v>
      </c>
      <c r="FF37" s="442">
        <f t="shared" si="118"/>
        <v>0</v>
      </c>
      <c r="FG37" s="442">
        <f t="shared" si="119"/>
        <v>0</v>
      </c>
      <c r="FH37" s="443">
        <f t="shared" si="120"/>
        <v>0</v>
      </c>
      <c r="FJ37" s="442">
        <f t="shared" si="121"/>
        <v>0</v>
      </c>
      <c r="FK37" s="442">
        <f t="shared" si="122"/>
        <v>0</v>
      </c>
      <c r="FL37" s="442">
        <f t="shared" si="123"/>
        <v>0</v>
      </c>
      <c r="FM37" s="442">
        <f t="shared" si="124"/>
        <v>0</v>
      </c>
      <c r="FN37" s="442">
        <f t="shared" si="125"/>
        <v>0</v>
      </c>
      <c r="FO37" s="442">
        <f t="shared" si="126"/>
        <v>0</v>
      </c>
      <c r="FP37" s="442">
        <f t="shared" si="127"/>
        <v>0</v>
      </c>
      <c r="FQ37" s="442">
        <f t="shared" si="128"/>
        <v>0</v>
      </c>
      <c r="FR37" s="442">
        <f t="shared" si="129"/>
        <v>0</v>
      </c>
      <c r="FS37" s="442">
        <f t="shared" si="130"/>
        <v>0</v>
      </c>
      <c r="FT37" s="443">
        <f t="shared" si="131"/>
        <v>0</v>
      </c>
    </row>
    <row r="38" spans="2:176" s="270" customFormat="1" ht="15" customHeight="1" x14ac:dyDescent="0.25">
      <c r="B38" s="446" t="str">
        <f>'2. START'!C$7</f>
        <v>100GEM</v>
      </c>
      <c r="C38" s="469"/>
      <c r="D38" s="589"/>
      <c r="E38" s="544">
        <v>0</v>
      </c>
      <c r="F38" s="448"/>
      <c r="G38" s="449"/>
      <c r="H38" s="449"/>
      <c r="I38" s="449"/>
      <c r="J38" s="449"/>
      <c r="K38" s="449"/>
      <c r="L38" s="449"/>
      <c r="M38" s="449"/>
      <c r="N38" s="449"/>
      <c r="O38" s="449"/>
      <c r="P38" s="449"/>
      <c r="Q38" s="546">
        <f>SUMIF('3. PARTNER'!$B$13:$B$80,$B38,'3. PARTNER'!$F$13:$F$80)</f>
        <v>0.02</v>
      </c>
      <c r="R38" s="450">
        <f t="shared" si="133"/>
        <v>0.02</v>
      </c>
      <c r="S38" s="450">
        <f t="shared" si="133"/>
        <v>0.02</v>
      </c>
      <c r="T38" s="450">
        <f t="shared" si="133"/>
        <v>0.02</v>
      </c>
      <c r="U38" s="450">
        <f t="shared" si="133"/>
        <v>0.02</v>
      </c>
      <c r="V38" s="450">
        <f t="shared" si="133"/>
        <v>0.02</v>
      </c>
      <c r="W38" s="450">
        <f t="shared" si="133"/>
        <v>0.02</v>
      </c>
      <c r="X38" s="450">
        <f t="shared" si="133"/>
        <v>0.02</v>
      </c>
      <c r="Y38" s="450">
        <f t="shared" si="133"/>
        <v>0.02</v>
      </c>
      <c r="Z38" s="450">
        <f t="shared" si="133"/>
        <v>0.02</v>
      </c>
      <c r="AA38" s="451">
        <f>SUMIF('3. PARTNER'!B$13:B$80,B38,'3. PARTNER'!E$13:E$80)</f>
        <v>0.5595</v>
      </c>
      <c r="AB38" s="452">
        <f>IF('2. START'!$C$20="UTB",(SUMIF('3. PARTNER'!B$13:B$80,B38,'3. PARTNER'!K$13:K$80))+(SUMIF('3. PARTNER'!B$13:B$80,B38,'3. PARTNER'!M$13:M$80)),(SUMIF('3. PARTNER'!B$13:B$80,B38,'3. PARTNER'!G$13:G$80))+(SUMIF('3. PARTNER'!B$13:B$80,B38,'3. PARTNER'!I$13:I$80)))</f>
        <v>0.16000843770704321</v>
      </c>
      <c r="AC38" s="452">
        <f>IF('2. START'!$C$20="UTB",(SUMIF('3. PARTNER'!B$13:B$80,B38,'3. PARTNER'!L$13:L$80))+(SUMIF('3. PARTNER'!B$13:B$80,B38,'3. PARTNER'!N$13:N$80)),(SUMIF('3. PARTNER'!B$13:B$80,B38,'3. PARTNER'!H$13:H$80))+(SUMIF('3. PARTNER'!B$13:B$80,B38,'3. PARTNER'!J$13:J$80)))</f>
        <v>0</v>
      </c>
      <c r="AD38" s="452">
        <f>IF('2. START'!C$11="NO",'2. START'!C$12,0)</f>
        <v>0</v>
      </c>
      <c r="AE38" s="453">
        <f t="shared" si="98"/>
        <v>0</v>
      </c>
      <c r="AF38" s="453">
        <f t="shared" si="99"/>
        <v>0</v>
      </c>
      <c r="AG38" s="454"/>
      <c r="AH38" s="455">
        <f t="shared" si="18"/>
        <v>0</v>
      </c>
      <c r="AI38" s="455">
        <f t="shared" si="19"/>
        <v>0</v>
      </c>
      <c r="AJ38" s="455">
        <f t="shared" si="20"/>
        <v>0</v>
      </c>
      <c r="AK38" s="455">
        <f t="shared" si="21"/>
        <v>0</v>
      </c>
      <c r="AL38" s="455">
        <f t="shared" si="22"/>
        <v>0</v>
      </c>
      <c r="AM38" s="455">
        <f t="shared" si="23"/>
        <v>0</v>
      </c>
      <c r="AN38" s="455">
        <f t="shared" si="24"/>
        <v>0</v>
      </c>
      <c r="AO38" s="455">
        <f t="shared" si="25"/>
        <v>0</v>
      </c>
      <c r="AP38" s="455">
        <f t="shared" si="26"/>
        <v>0</v>
      </c>
      <c r="AQ38" s="455">
        <f t="shared" si="27"/>
        <v>0</v>
      </c>
      <c r="AR38" s="456">
        <f t="shared" si="100"/>
        <v>0</v>
      </c>
      <c r="AS38" s="457"/>
      <c r="AT38" s="455">
        <f t="shared" si="28"/>
        <v>0</v>
      </c>
      <c r="AU38" s="455">
        <f t="shared" si="29"/>
        <v>0</v>
      </c>
      <c r="AV38" s="455">
        <f t="shared" si="30"/>
        <v>0</v>
      </c>
      <c r="AW38" s="455">
        <f t="shared" si="31"/>
        <v>0</v>
      </c>
      <c r="AX38" s="455">
        <f t="shared" si="32"/>
        <v>0</v>
      </c>
      <c r="AY38" s="455">
        <f t="shared" si="33"/>
        <v>0</v>
      </c>
      <c r="AZ38" s="455">
        <f t="shared" si="34"/>
        <v>0</v>
      </c>
      <c r="BA38" s="455">
        <f t="shared" si="35"/>
        <v>0</v>
      </c>
      <c r="BB38" s="455">
        <f t="shared" si="36"/>
        <v>0</v>
      </c>
      <c r="BC38" s="455">
        <f t="shared" si="37"/>
        <v>0</v>
      </c>
      <c r="BD38" s="456">
        <f t="shared" si="101"/>
        <v>0</v>
      </c>
      <c r="BE38" s="457"/>
      <c r="BF38" s="455">
        <f t="shared" si="38"/>
        <v>0</v>
      </c>
      <c r="BG38" s="455">
        <f t="shared" si="39"/>
        <v>0</v>
      </c>
      <c r="BH38" s="455">
        <f t="shared" si="40"/>
        <v>0</v>
      </c>
      <c r="BI38" s="455">
        <f t="shared" si="41"/>
        <v>0</v>
      </c>
      <c r="BJ38" s="455">
        <f t="shared" si="42"/>
        <v>0</v>
      </c>
      <c r="BK38" s="455">
        <f t="shared" si="43"/>
        <v>0</v>
      </c>
      <c r="BL38" s="455">
        <f t="shared" si="44"/>
        <v>0</v>
      </c>
      <c r="BM38" s="455">
        <f t="shared" si="45"/>
        <v>0</v>
      </c>
      <c r="BN38" s="455">
        <f t="shared" si="46"/>
        <v>0</v>
      </c>
      <c r="BO38" s="455">
        <f t="shared" si="47"/>
        <v>0</v>
      </c>
      <c r="BP38" s="456">
        <f t="shared" si="102"/>
        <v>0</v>
      </c>
      <c r="BQ38" s="457"/>
      <c r="BR38" s="459">
        <f t="shared" si="48"/>
        <v>0</v>
      </c>
      <c r="BS38" s="459">
        <f t="shared" si="49"/>
        <v>0</v>
      </c>
      <c r="BT38" s="459">
        <f t="shared" si="50"/>
        <v>0</v>
      </c>
      <c r="BU38" s="459">
        <f t="shared" si="51"/>
        <v>0</v>
      </c>
      <c r="BV38" s="459">
        <f t="shared" si="52"/>
        <v>0</v>
      </c>
      <c r="BW38" s="459">
        <f t="shared" si="53"/>
        <v>0</v>
      </c>
      <c r="BX38" s="459">
        <f t="shared" si="54"/>
        <v>0</v>
      </c>
      <c r="BY38" s="459">
        <f t="shared" si="55"/>
        <v>0</v>
      </c>
      <c r="BZ38" s="459">
        <f t="shared" si="56"/>
        <v>0</v>
      </c>
      <c r="CA38" s="459">
        <f t="shared" si="57"/>
        <v>0</v>
      </c>
      <c r="CB38" s="460">
        <f t="shared" si="103"/>
        <v>0</v>
      </c>
      <c r="CC38" s="461"/>
      <c r="CD38" s="462">
        <f t="shared" si="58"/>
        <v>0</v>
      </c>
      <c r="CE38" s="462">
        <f t="shared" si="59"/>
        <v>0</v>
      </c>
      <c r="CF38" s="462">
        <f t="shared" si="60"/>
        <v>0</v>
      </c>
      <c r="CG38" s="462">
        <f t="shared" si="61"/>
        <v>0</v>
      </c>
      <c r="CH38" s="462">
        <f t="shared" si="62"/>
        <v>0</v>
      </c>
      <c r="CI38" s="462">
        <f t="shared" si="63"/>
        <v>0</v>
      </c>
      <c r="CJ38" s="462">
        <f t="shared" si="64"/>
        <v>0</v>
      </c>
      <c r="CK38" s="462">
        <f t="shared" si="65"/>
        <v>0</v>
      </c>
      <c r="CL38" s="462">
        <f t="shared" si="66"/>
        <v>0</v>
      </c>
      <c r="CM38" s="462">
        <f t="shared" si="67"/>
        <v>0</v>
      </c>
      <c r="CN38" s="460">
        <f t="shared" si="104"/>
        <v>0</v>
      </c>
      <c r="CO38" s="461"/>
      <c r="CP38" s="459">
        <f t="shared" si="68"/>
        <v>0</v>
      </c>
      <c r="CQ38" s="459">
        <f t="shared" si="69"/>
        <v>0</v>
      </c>
      <c r="CR38" s="459">
        <f t="shared" si="70"/>
        <v>0</v>
      </c>
      <c r="CS38" s="459">
        <f t="shared" si="71"/>
        <v>0</v>
      </c>
      <c r="CT38" s="459">
        <f t="shared" si="72"/>
        <v>0</v>
      </c>
      <c r="CU38" s="459">
        <f t="shared" si="73"/>
        <v>0</v>
      </c>
      <c r="CV38" s="459">
        <f t="shared" si="74"/>
        <v>0</v>
      </c>
      <c r="CW38" s="459">
        <f t="shared" si="75"/>
        <v>0</v>
      </c>
      <c r="CX38" s="459">
        <f t="shared" si="76"/>
        <v>0</v>
      </c>
      <c r="CY38" s="459">
        <f t="shared" si="77"/>
        <v>0</v>
      </c>
      <c r="CZ38" s="460">
        <f t="shared" si="105"/>
        <v>0</v>
      </c>
      <c r="DA38" s="463"/>
      <c r="DB38" s="459">
        <f t="shared" si="78"/>
        <v>0</v>
      </c>
      <c r="DC38" s="459">
        <f t="shared" si="79"/>
        <v>0</v>
      </c>
      <c r="DD38" s="459">
        <f t="shared" si="80"/>
        <v>0</v>
      </c>
      <c r="DE38" s="459">
        <f t="shared" si="81"/>
        <v>0</v>
      </c>
      <c r="DF38" s="459">
        <f t="shared" si="82"/>
        <v>0</v>
      </c>
      <c r="DG38" s="459">
        <f t="shared" si="83"/>
        <v>0</v>
      </c>
      <c r="DH38" s="459">
        <f t="shared" si="84"/>
        <v>0</v>
      </c>
      <c r="DI38" s="459">
        <f t="shared" si="85"/>
        <v>0</v>
      </c>
      <c r="DJ38" s="459">
        <f t="shared" si="86"/>
        <v>0</v>
      </c>
      <c r="DK38" s="459">
        <f t="shared" si="87"/>
        <v>0</v>
      </c>
      <c r="DL38" s="460">
        <f t="shared" si="106"/>
        <v>0</v>
      </c>
      <c r="DM38" s="463"/>
      <c r="DN38" s="442">
        <f>IF('2. START'!$C$14&gt;0,(AT38/(1+$AA38))*(1+'2. START'!$C$14),AT38)</f>
        <v>0</v>
      </c>
      <c r="DO38" s="442">
        <f>IF('2. START'!$C$14&gt;0,(AU38/(1+$AA38))*(1+'2. START'!$C$14),AU38)</f>
        <v>0</v>
      </c>
      <c r="DP38" s="442">
        <f>IF('2. START'!$C$14&gt;0,(AV38/(1+$AA38))*(1+'2. START'!$C$14),AV38)</f>
        <v>0</v>
      </c>
      <c r="DQ38" s="442">
        <f>IF('2. START'!$C$14&gt;0,(AW38/(1+$AA38))*(1+'2. START'!$C$14),AW38)</f>
        <v>0</v>
      </c>
      <c r="DR38" s="442">
        <f>IF('2. START'!$C$14&gt;0,(AX38/(1+$AA38))*(1+'2. START'!$C$14),AX38)</f>
        <v>0</v>
      </c>
      <c r="DS38" s="442">
        <f>IF('2. START'!$C$14&gt;0,(AY38/(1+$AA38))*(1+'2. START'!$C$14),AY38)</f>
        <v>0</v>
      </c>
      <c r="DT38" s="442">
        <f>IF('2. START'!$C$14&gt;0,(AZ38/(1+$AA38))*(1+'2. START'!$C$14),AZ38)</f>
        <v>0</v>
      </c>
      <c r="DU38" s="442">
        <f>IF('2. START'!$C$14&gt;0,(BA38/(1+$AA38))*(1+'2. START'!$C$14),BA38)</f>
        <v>0</v>
      </c>
      <c r="DV38" s="442">
        <f>IF('2. START'!$C$14&gt;0,(BB38/(1+$AA38))*(1+'2. START'!$C$14),BB38)</f>
        <v>0</v>
      </c>
      <c r="DW38" s="442">
        <f>IF('2. START'!$C$14&gt;0,(BC38/(1+$AA38))*(1+'2. START'!$C$14),BC38)</f>
        <v>0</v>
      </c>
      <c r="DX38" s="460">
        <f t="shared" si="107"/>
        <v>0</v>
      </c>
      <c r="DY38" s="463"/>
      <c r="DZ38" s="459">
        <f>IF('2. START'!$C$11="NO",(IF('2. START'!$C$14&gt;0,(DN38*$AD38),(AT38*$AD38))),(BR38+CP38))</f>
        <v>0</v>
      </c>
      <c r="EA38" s="459">
        <f>IF('2. START'!$C$11="NO",(IF('2. START'!$C$14&gt;0,(DO38*$AD38),(AU38*$AD38))),(BS38+CQ38))</f>
        <v>0</v>
      </c>
      <c r="EB38" s="459">
        <f>IF('2. START'!$C$11="NO",(IF('2. START'!$C$14&gt;0,(DP38*$AD38),(AV38*$AD38))),(BT38+CR38))</f>
        <v>0</v>
      </c>
      <c r="EC38" s="459">
        <f>IF('2. START'!$C$11="NO",(IF('2. START'!$C$14&gt;0,(DQ38*$AD38),(AW38*$AD38))),(BU38+CS38))</f>
        <v>0</v>
      </c>
      <c r="ED38" s="459">
        <f>IF('2. START'!$C$11="NO",(IF('2. START'!$C$14&gt;0,(DR38*$AD38),(AX38*$AD38))),(BV38+CT38))</f>
        <v>0</v>
      </c>
      <c r="EE38" s="459">
        <f>IF('2. START'!$C$11="NO",(IF('2. START'!$C$14&gt;0,(DS38*$AD38),(AY38*$AD38))),(BW38+CU38))</f>
        <v>0</v>
      </c>
      <c r="EF38" s="459">
        <f>IF('2. START'!$C$11="NO",(IF('2. START'!$C$14&gt;0,(DT38*$AD38),(AZ38*$AD38))),(BX38+CV38))</f>
        <v>0</v>
      </c>
      <c r="EG38" s="459">
        <f>IF('2. START'!$C$11="NO",(IF('2. START'!$C$14&gt;0,(DU38*$AD38),(BA38*$AD38))),(BY38+CW38))</f>
        <v>0</v>
      </c>
      <c r="EH38" s="459">
        <f>IF('2. START'!$C$11="NO",(IF('2. START'!$C$14&gt;0,(DV38*$AD38),(BB38*$AD38))),(BZ38+CX38))</f>
        <v>0</v>
      </c>
      <c r="EI38" s="459">
        <f>IF('2. START'!$C$11="NO",(IF('2. START'!$C$14&gt;0,(DW38*$AD38),(BC38*$AD38))),(CA38+CY38))</f>
        <v>0</v>
      </c>
      <c r="EJ38" s="460">
        <f t="shared" si="108"/>
        <v>0</v>
      </c>
      <c r="EK38" s="463"/>
      <c r="EL38" s="459">
        <f>(BR38+CP38-DZ38)+IF('2. START'!$C$14&gt;0,AT38-DN38,0)</f>
        <v>0</v>
      </c>
      <c r="EM38" s="459">
        <f>(BS38+CQ38-EA38)+IF('2. START'!$C$14&gt;0,AU38-DO38,0)</f>
        <v>0</v>
      </c>
      <c r="EN38" s="459">
        <f>(BT38+CR38-EB38)+IF('2. START'!$C$14&gt;0,AV38-DP38,0)</f>
        <v>0</v>
      </c>
      <c r="EO38" s="459">
        <f>(BU38+CS38-EC38)+IF('2. START'!$C$14&gt;0,AW38-DQ38,0)</f>
        <v>0</v>
      </c>
      <c r="EP38" s="459">
        <f>(BV38+CT38-ED38)+IF('2. START'!$C$14&gt;0,AX38-DR38,0)</f>
        <v>0</v>
      </c>
      <c r="EQ38" s="459">
        <f>(BW38+CU38-EE38)+IF('2. START'!$C$14&gt;0,AY38-DS38,0)</f>
        <v>0</v>
      </c>
      <c r="ER38" s="459">
        <f>(BX38+CV38-EF38)+IF('2. START'!$C$14&gt;0,AZ38-DT38,0)</f>
        <v>0</v>
      </c>
      <c r="ES38" s="459">
        <f>(BY38+CW38-EG38)+IF('2. START'!$C$14&gt;0,BA38-DU38,0)</f>
        <v>0</v>
      </c>
      <c r="ET38" s="459">
        <f>(BZ38+CX38-EH38)+IF('2. START'!$C$14&gt;0,BB38-DV38,0)</f>
        <v>0</v>
      </c>
      <c r="EU38" s="459">
        <f>(CA38+CY38-EI38)+IF('2. START'!$C$14&gt;0,BC38-DW38,0)</f>
        <v>0</v>
      </c>
      <c r="EV38" s="460">
        <f t="shared" si="109"/>
        <v>0</v>
      </c>
      <c r="EW38" s="463"/>
      <c r="EX38" s="459">
        <f t="shared" si="110"/>
        <v>0</v>
      </c>
      <c r="EY38" s="459">
        <f t="shared" si="111"/>
        <v>0</v>
      </c>
      <c r="EZ38" s="459">
        <f t="shared" si="112"/>
        <v>0</v>
      </c>
      <c r="FA38" s="459">
        <f t="shared" si="113"/>
        <v>0</v>
      </c>
      <c r="FB38" s="459">
        <f t="shared" si="114"/>
        <v>0</v>
      </c>
      <c r="FC38" s="459">
        <f t="shared" si="115"/>
        <v>0</v>
      </c>
      <c r="FD38" s="459">
        <f t="shared" si="116"/>
        <v>0</v>
      </c>
      <c r="FE38" s="459">
        <f t="shared" si="117"/>
        <v>0</v>
      </c>
      <c r="FF38" s="459">
        <f t="shared" si="118"/>
        <v>0</v>
      </c>
      <c r="FG38" s="459">
        <f t="shared" si="119"/>
        <v>0</v>
      </c>
      <c r="FH38" s="460">
        <f t="shared" si="120"/>
        <v>0</v>
      </c>
      <c r="FI38" s="463"/>
      <c r="FJ38" s="459">
        <f t="shared" si="121"/>
        <v>0</v>
      </c>
      <c r="FK38" s="459">
        <f t="shared" si="122"/>
        <v>0</v>
      </c>
      <c r="FL38" s="459">
        <f t="shared" si="123"/>
        <v>0</v>
      </c>
      <c r="FM38" s="459">
        <f t="shared" si="124"/>
        <v>0</v>
      </c>
      <c r="FN38" s="459">
        <f t="shared" si="125"/>
        <v>0</v>
      </c>
      <c r="FO38" s="459">
        <f t="shared" si="126"/>
        <v>0</v>
      </c>
      <c r="FP38" s="459">
        <f t="shared" si="127"/>
        <v>0</v>
      </c>
      <c r="FQ38" s="459">
        <f t="shared" si="128"/>
        <v>0</v>
      </c>
      <c r="FR38" s="459">
        <f t="shared" si="129"/>
        <v>0</v>
      </c>
      <c r="FS38" s="459">
        <f t="shared" si="130"/>
        <v>0</v>
      </c>
      <c r="FT38" s="460">
        <f t="shared" si="131"/>
        <v>0</v>
      </c>
    </row>
    <row r="39" spans="2:176" s="270" customFormat="1" ht="15" customHeight="1" x14ac:dyDescent="0.25">
      <c r="B39" s="464" t="str">
        <f>'2. START'!C$7</f>
        <v>100GEM</v>
      </c>
      <c r="C39" s="470"/>
      <c r="D39" s="590"/>
      <c r="E39" s="514">
        <v>0</v>
      </c>
      <c r="F39" s="467"/>
      <c r="G39" s="432"/>
      <c r="H39" s="432"/>
      <c r="I39" s="432"/>
      <c r="J39" s="432"/>
      <c r="K39" s="432"/>
      <c r="L39" s="432"/>
      <c r="M39" s="432"/>
      <c r="N39" s="432"/>
      <c r="O39" s="432"/>
      <c r="P39" s="432"/>
      <c r="Q39" s="545">
        <f>SUMIF('3. PARTNER'!$B$13:$B$80,$B39,'3. PARTNER'!$F$13:$F$80)</f>
        <v>0.02</v>
      </c>
      <c r="R39" s="466">
        <f t="shared" si="133"/>
        <v>0.02</v>
      </c>
      <c r="S39" s="466">
        <f t="shared" si="133"/>
        <v>0.02</v>
      </c>
      <c r="T39" s="466">
        <f t="shared" si="133"/>
        <v>0.02</v>
      </c>
      <c r="U39" s="466">
        <f t="shared" si="133"/>
        <v>0.02</v>
      </c>
      <c r="V39" s="466">
        <f t="shared" si="133"/>
        <v>0.02</v>
      </c>
      <c r="W39" s="466">
        <f t="shared" si="133"/>
        <v>0.02</v>
      </c>
      <c r="X39" s="466">
        <f t="shared" si="133"/>
        <v>0.02</v>
      </c>
      <c r="Y39" s="466">
        <f t="shared" si="133"/>
        <v>0.02</v>
      </c>
      <c r="Z39" s="466">
        <f t="shared" si="133"/>
        <v>0.02</v>
      </c>
      <c r="AA39" s="434">
        <f>SUMIF('3. PARTNER'!B$13:B$80,B39,'3. PARTNER'!E$13:E$80)</f>
        <v>0.5595</v>
      </c>
      <c r="AB39" s="435">
        <f>IF('2. START'!$C$20="UTB",(SUMIF('3. PARTNER'!B$13:B$80,B39,'3. PARTNER'!K$13:K$80))+(SUMIF('3. PARTNER'!B$13:B$80,B39,'3. PARTNER'!M$13:M$80)),(SUMIF('3. PARTNER'!B$13:B$80,B39,'3. PARTNER'!G$13:G$80))+(SUMIF('3. PARTNER'!B$13:B$80,B39,'3. PARTNER'!I$13:I$80)))</f>
        <v>0.16000843770704321</v>
      </c>
      <c r="AC39" s="435">
        <f>IF('2. START'!$C$20="UTB",(SUMIF('3. PARTNER'!B$13:B$80,B39,'3. PARTNER'!L$13:L$80))+(SUMIF('3. PARTNER'!B$13:B$80,B39,'3. PARTNER'!N$13:N$80)),(SUMIF('3. PARTNER'!B$13:B$80,B39,'3. PARTNER'!H$13:H$80))+(SUMIF('3. PARTNER'!B$13:B$80,B39,'3. PARTNER'!J$13:J$80)))</f>
        <v>0</v>
      </c>
      <c r="AD39" s="435">
        <f>IF('2. START'!C$11="NO",'2. START'!C$12,0)</f>
        <v>0</v>
      </c>
      <c r="AE39" s="436">
        <f t="shared" si="98"/>
        <v>0</v>
      </c>
      <c r="AF39" s="436">
        <f t="shared" si="99"/>
        <v>0</v>
      </c>
      <c r="AG39" s="437"/>
      <c r="AH39" s="438">
        <f t="shared" si="18"/>
        <v>0</v>
      </c>
      <c r="AI39" s="438">
        <f t="shared" si="19"/>
        <v>0</v>
      </c>
      <c r="AJ39" s="438">
        <f t="shared" si="20"/>
        <v>0</v>
      </c>
      <c r="AK39" s="438">
        <f t="shared" si="21"/>
        <v>0</v>
      </c>
      <c r="AL39" s="438">
        <f t="shared" si="22"/>
        <v>0</v>
      </c>
      <c r="AM39" s="438">
        <f t="shared" si="23"/>
        <v>0</v>
      </c>
      <c r="AN39" s="438">
        <f t="shared" si="24"/>
        <v>0</v>
      </c>
      <c r="AO39" s="438">
        <f t="shared" si="25"/>
        <v>0</v>
      </c>
      <c r="AP39" s="438">
        <f t="shared" si="26"/>
        <v>0</v>
      </c>
      <c r="AQ39" s="438">
        <f t="shared" si="27"/>
        <v>0</v>
      </c>
      <c r="AR39" s="439">
        <f t="shared" si="100"/>
        <v>0</v>
      </c>
      <c r="AS39" s="440"/>
      <c r="AT39" s="438">
        <f t="shared" si="28"/>
        <v>0</v>
      </c>
      <c r="AU39" s="438">
        <f t="shared" si="29"/>
        <v>0</v>
      </c>
      <c r="AV39" s="438">
        <f t="shared" si="30"/>
        <v>0</v>
      </c>
      <c r="AW39" s="438">
        <f t="shared" si="31"/>
        <v>0</v>
      </c>
      <c r="AX39" s="438">
        <f t="shared" si="32"/>
        <v>0</v>
      </c>
      <c r="AY39" s="438">
        <f t="shared" si="33"/>
        <v>0</v>
      </c>
      <c r="AZ39" s="438">
        <f t="shared" si="34"/>
        <v>0</v>
      </c>
      <c r="BA39" s="438">
        <f t="shared" si="35"/>
        <v>0</v>
      </c>
      <c r="BB39" s="438">
        <f t="shared" si="36"/>
        <v>0</v>
      </c>
      <c r="BC39" s="438">
        <f t="shared" si="37"/>
        <v>0</v>
      </c>
      <c r="BD39" s="439">
        <f t="shared" si="101"/>
        <v>0</v>
      </c>
      <c r="BE39" s="440"/>
      <c r="BF39" s="438">
        <f t="shared" si="38"/>
        <v>0</v>
      </c>
      <c r="BG39" s="438">
        <f t="shared" si="39"/>
        <v>0</v>
      </c>
      <c r="BH39" s="438">
        <f t="shared" si="40"/>
        <v>0</v>
      </c>
      <c r="BI39" s="438">
        <f t="shared" si="41"/>
        <v>0</v>
      </c>
      <c r="BJ39" s="438">
        <f t="shared" si="42"/>
        <v>0</v>
      </c>
      <c r="BK39" s="438">
        <f t="shared" si="43"/>
        <v>0</v>
      </c>
      <c r="BL39" s="438">
        <f t="shared" si="44"/>
        <v>0</v>
      </c>
      <c r="BM39" s="438">
        <f t="shared" si="45"/>
        <v>0</v>
      </c>
      <c r="BN39" s="438">
        <f t="shared" si="46"/>
        <v>0</v>
      </c>
      <c r="BO39" s="438">
        <f t="shared" si="47"/>
        <v>0</v>
      </c>
      <c r="BP39" s="439">
        <f t="shared" si="102"/>
        <v>0</v>
      </c>
      <c r="BR39" s="442">
        <f t="shared" si="48"/>
        <v>0</v>
      </c>
      <c r="BS39" s="442">
        <f t="shared" si="49"/>
        <v>0</v>
      </c>
      <c r="BT39" s="442">
        <f t="shared" si="50"/>
        <v>0</v>
      </c>
      <c r="BU39" s="442">
        <f t="shared" si="51"/>
        <v>0</v>
      </c>
      <c r="BV39" s="442">
        <f t="shared" si="52"/>
        <v>0</v>
      </c>
      <c r="BW39" s="442">
        <f t="shared" si="53"/>
        <v>0</v>
      </c>
      <c r="BX39" s="442">
        <f t="shared" si="54"/>
        <v>0</v>
      </c>
      <c r="BY39" s="442">
        <f t="shared" si="55"/>
        <v>0</v>
      </c>
      <c r="BZ39" s="442">
        <f t="shared" si="56"/>
        <v>0</v>
      </c>
      <c r="CA39" s="442">
        <f t="shared" si="57"/>
        <v>0</v>
      </c>
      <c r="CB39" s="443">
        <f t="shared" si="103"/>
        <v>0</v>
      </c>
      <c r="CD39" s="445">
        <f t="shared" si="58"/>
        <v>0</v>
      </c>
      <c r="CE39" s="445">
        <f t="shared" si="59"/>
        <v>0</v>
      </c>
      <c r="CF39" s="445">
        <f t="shared" si="60"/>
        <v>0</v>
      </c>
      <c r="CG39" s="445">
        <f t="shared" si="61"/>
        <v>0</v>
      </c>
      <c r="CH39" s="445">
        <f t="shared" si="62"/>
        <v>0</v>
      </c>
      <c r="CI39" s="445">
        <f t="shared" si="63"/>
        <v>0</v>
      </c>
      <c r="CJ39" s="445">
        <f t="shared" si="64"/>
        <v>0</v>
      </c>
      <c r="CK39" s="445">
        <f t="shared" si="65"/>
        <v>0</v>
      </c>
      <c r="CL39" s="445">
        <f t="shared" si="66"/>
        <v>0</v>
      </c>
      <c r="CM39" s="445">
        <f t="shared" si="67"/>
        <v>0</v>
      </c>
      <c r="CN39" s="443">
        <f t="shared" si="104"/>
        <v>0</v>
      </c>
      <c r="CP39" s="442">
        <f t="shared" si="68"/>
        <v>0</v>
      </c>
      <c r="CQ39" s="442">
        <f t="shared" si="69"/>
        <v>0</v>
      </c>
      <c r="CR39" s="442">
        <f t="shared" si="70"/>
        <v>0</v>
      </c>
      <c r="CS39" s="442">
        <f t="shared" si="71"/>
        <v>0</v>
      </c>
      <c r="CT39" s="442">
        <f t="shared" si="72"/>
        <v>0</v>
      </c>
      <c r="CU39" s="442">
        <f t="shared" si="73"/>
        <v>0</v>
      </c>
      <c r="CV39" s="442">
        <f t="shared" si="74"/>
        <v>0</v>
      </c>
      <c r="CW39" s="442">
        <f t="shared" si="75"/>
        <v>0</v>
      </c>
      <c r="CX39" s="442">
        <f t="shared" si="76"/>
        <v>0</v>
      </c>
      <c r="CY39" s="442">
        <f t="shared" si="77"/>
        <v>0</v>
      </c>
      <c r="CZ39" s="443">
        <f t="shared" si="105"/>
        <v>0</v>
      </c>
      <c r="DB39" s="442">
        <f t="shared" si="78"/>
        <v>0</v>
      </c>
      <c r="DC39" s="442">
        <f t="shared" si="79"/>
        <v>0</v>
      </c>
      <c r="DD39" s="442">
        <f t="shared" si="80"/>
        <v>0</v>
      </c>
      <c r="DE39" s="442">
        <f t="shared" si="81"/>
        <v>0</v>
      </c>
      <c r="DF39" s="442">
        <f t="shared" si="82"/>
        <v>0</v>
      </c>
      <c r="DG39" s="442">
        <f t="shared" si="83"/>
        <v>0</v>
      </c>
      <c r="DH39" s="442">
        <f t="shared" si="84"/>
        <v>0</v>
      </c>
      <c r="DI39" s="442">
        <f t="shared" si="85"/>
        <v>0</v>
      </c>
      <c r="DJ39" s="442">
        <f t="shared" si="86"/>
        <v>0</v>
      </c>
      <c r="DK39" s="442">
        <f t="shared" si="87"/>
        <v>0</v>
      </c>
      <c r="DL39" s="443">
        <f t="shared" si="106"/>
        <v>0</v>
      </c>
      <c r="DN39" s="442">
        <f>IF('2. START'!$C$14&gt;0,(AT39/(1+$AA39))*(1+'2. START'!$C$14),AT39)</f>
        <v>0</v>
      </c>
      <c r="DO39" s="442">
        <f>IF('2. START'!$C$14&gt;0,(AU39/(1+$AA39))*(1+'2. START'!$C$14),AU39)</f>
        <v>0</v>
      </c>
      <c r="DP39" s="442">
        <f>IF('2. START'!$C$14&gt;0,(AV39/(1+$AA39))*(1+'2. START'!$C$14),AV39)</f>
        <v>0</v>
      </c>
      <c r="DQ39" s="442">
        <f>IF('2. START'!$C$14&gt;0,(AW39/(1+$AA39))*(1+'2. START'!$C$14),AW39)</f>
        <v>0</v>
      </c>
      <c r="DR39" s="442">
        <f>IF('2. START'!$C$14&gt;0,(AX39/(1+$AA39))*(1+'2. START'!$C$14),AX39)</f>
        <v>0</v>
      </c>
      <c r="DS39" s="442">
        <f>IF('2. START'!$C$14&gt;0,(AY39/(1+$AA39))*(1+'2. START'!$C$14),AY39)</f>
        <v>0</v>
      </c>
      <c r="DT39" s="442">
        <f>IF('2. START'!$C$14&gt;0,(AZ39/(1+$AA39))*(1+'2. START'!$C$14),AZ39)</f>
        <v>0</v>
      </c>
      <c r="DU39" s="442">
        <f>IF('2. START'!$C$14&gt;0,(BA39/(1+$AA39))*(1+'2. START'!$C$14),BA39)</f>
        <v>0</v>
      </c>
      <c r="DV39" s="442">
        <f>IF('2. START'!$C$14&gt;0,(BB39/(1+$AA39))*(1+'2. START'!$C$14),BB39)</f>
        <v>0</v>
      </c>
      <c r="DW39" s="442">
        <f>IF('2. START'!$C$14&gt;0,(BC39/(1+$AA39))*(1+'2. START'!$C$14),BC39)</f>
        <v>0</v>
      </c>
      <c r="DX39" s="443">
        <f t="shared" si="107"/>
        <v>0</v>
      </c>
      <c r="DZ39" s="442">
        <f>IF('2. START'!$C$11="NO",(IF('2. START'!$C$14&gt;0,(DN39*$AD39),(AT39*$AD39))),(BR39+CP39))</f>
        <v>0</v>
      </c>
      <c r="EA39" s="442">
        <f>IF('2. START'!$C$11="NO",(IF('2. START'!$C$14&gt;0,(DO39*$AD39),(AU39*$AD39))),(BS39+CQ39))</f>
        <v>0</v>
      </c>
      <c r="EB39" s="442">
        <f>IF('2. START'!$C$11="NO",(IF('2. START'!$C$14&gt;0,(DP39*$AD39),(AV39*$AD39))),(BT39+CR39))</f>
        <v>0</v>
      </c>
      <c r="EC39" s="442">
        <f>IF('2. START'!$C$11="NO",(IF('2. START'!$C$14&gt;0,(DQ39*$AD39),(AW39*$AD39))),(BU39+CS39))</f>
        <v>0</v>
      </c>
      <c r="ED39" s="442">
        <f>IF('2. START'!$C$11="NO",(IF('2. START'!$C$14&gt;0,(DR39*$AD39),(AX39*$AD39))),(BV39+CT39))</f>
        <v>0</v>
      </c>
      <c r="EE39" s="442">
        <f>IF('2. START'!$C$11="NO",(IF('2. START'!$C$14&gt;0,(DS39*$AD39),(AY39*$AD39))),(BW39+CU39))</f>
        <v>0</v>
      </c>
      <c r="EF39" s="442">
        <f>IF('2. START'!$C$11="NO",(IF('2. START'!$C$14&gt;0,(DT39*$AD39),(AZ39*$AD39))),(BX39+CV39))</f>
        <v>0</v>
      </c>
      <c r="EG39" s="442">
        <f>IF('2. START'!$C$11="NO",(IF('2. START'!$C$14&gt;0,(DU39*$AD39),(BA39*$AD39))),(BY39+CW39))</f>
        <v>0</v>
      </c>
      <c r="EH39" s="442">
        <f>IF('2. START'!$C$11="NO",(IF('2. START'!$C$14&gt;0,(DV39*$AD39),(BB39*$AD39))),(BZ39+CX39))</f>
        <v>0</v>
      </c>
      <c r="EI39" s="442">
        <f>IF('2. START'!$C$11="NO",(IF('2. START'!$C$14&gt;0,(DW39*$AD39),(BC39*$AD39))),(CA39+CY39))</f>
        <v>0</v>
      </c>
      <c r="EJ39" s="443">
        <f t="shared" si="108"/>
        <v>0</v>
      </c>
      <c r="EL39" s="442">
        <f>(BR39+CP39-DZ39)+IF('2. START'!$C$14&gt;0,AT39-DN39,0)</f>
        <v>0</v>
      </c>
      <c r="EM39" s="442">
        <f>(BS39+CQ39-EA39)+IF('2. START'!$C$14&gt;0,AU39-DO39,0)</f>
        <v>0</v>
      </c>
      <c r="EN39" s="442">
        <f>(BT39+CR39-EB39)+IF('2. START'!$C$14&gt;0,AV39-DP39,0)</f>
        <v>0</v>
      </c>
      <c r="EO39" s="442">
        <f>(BU39+CS39-EC39)+IF('2. START'!$C$14&gt;0,AW39-DQ39,0)</f>
        <v>0</v>
      </c>
      <c r="EP39" s="442">
        <f>(BV39+CT39-ED39)+IF('2. START'!$C$14&gt;0,AX39-DR39,0)</f>
        <v>0</v>
      </c>
      <c r="EQ39" s="442">
        <f>(BW39+CU39-EE39)+IF('2. START'!$C$14&gt;0,AY39-DS39,0)</f>
        <v>0</v>
      </c>
      <c r="ER39" s="442">
        <f>(BX39+CV39-EF39)+IF('2. START'!$C$14&gt;0,AZ39-DT39,0)</f>
        <v>0</v>
      </c>
      <c r="ES39" s="442">
        <f>(BY39+CW39-EG39)+IF('2. START'!$C$14&gt;0,BA39-DU39,0)</f>
        <v>0</v>
      </c>
      <c r="ET39" s="442">
        <f>(BZ39+CX39-EH39)+IF('2. START'!$C$14&gt;0,BB39-DV39,0)</f>
        <v>0</v>
      </c>
      <c r="EU39" s="442">
        <f>(CA39+CY39-EI39)+IF('2. START'!$C$14&gt;0,BC39-DW39,0)</f>
        <v>0</v>
      </c>
      <c r="EV39" s="443">
        <f t="shared" si="109"/>
        <v>0</v>
      </c>
      <c r="EX39" s="442">
        <f t="shared" si="110"/>
        <v>0</v>
      </c>
      <c r="EY39" s="442">
        <f t="shared" si="111"/>
        <v>0</v>
      </c>
      <c r="EZ39" s="442">
        <f t="shared" si="112"/>
        <v>0</v>
      </c>
      <c r="FA39" s="442">
        <f t="shared" si="113"/>
        <v>0</v>
      </c>
      <c r="FB39" s="442">
        <f t="shared" si="114"/>
        <v>0</v>
      </c>
      <c r="FC39" s="442">
        <f t="shared" si="115"/>
        <v>0</v>
      </c>
      <c r="FD39" s="442">
        <f t="shared" si="116"/>
        <v>0</v>
      </c>
      <c r="FE39" s="442">
        <f t="shared" si="117"/>
        <v>0</v>
      </c>
      <c r="FF39" s="442">
        <f t="shared" si="118"/>
        <v>0</v>
      </c>
      <c r="FG39" s="442">
        <f t="shared" si="119"/>
        <v>0</v>
      </c>
      <c r="FH39" s="443">
        <f t="shared" si="120"/>
        <v>0</v>
      </c>
      <c r="FJ39" s="442">
        <f t="shared" si="121"/>
        <v>0</v>
      </c>
      <c r="FK39" s="442">
        <f t="shared" si="122"/>
        <v>0</v>
      </c>
      <c r="FL39" s="442">
        <f t="shared" si="123"/>
        <v>0</v>
      </c>
      <c r="FM39" s="442">
        <f t="shared" si="124"/>
        <v>0</v>
      </c>
      <c r="FN39" s="442">
        <f t="shared" si="125"/>
        <v>0</v>
      </c>
      <c r="FO39" s="442">
        <f t="shared" si="126"/>
        <v>0</v>
      </c>
      <c r="FP39" s="442">
        <f t="shared" si="127"/>
        <v>0</v>
      </c>
      <c r="FQ39" s="442">
        <f t="shared" si="128"/>
        <v>0</v>
      </c>
      <c r="FR39" s="442">
        <f t="shared" si="129"/>
        <v>0</v>
      </c>
      <c r="FS39" s="442">
        <f t="shared" si="130"/>
        <v>0</v>
      </c>
      <c r="FT39" s="443">
        <f t="shared" si="131"/>
        <v>0</v>
      </c>
    </row>
    <row r="40" spans="2:176" s="270" customFormat="1" ht="15" customHeight="1" x14ac:dyDescent="0.25">
      <c r="B40" s="446" t="str">
        <f>'2. START'!C$7</f>
        <v>100GEM</v>
      </c>
      <c r="C40" s="469"/>
      <c r="D40" s="589"/>
      <c r="E40" s="544">
        <v>0</v>
      </c>
      <c r="F40" s="448"/>
      <c r="G40" s="449"/>
      <c r="H40" s="449"/>
      <c r="I40" s="449"/>
      <c r="J40" s="449"/>
      <c r="K40" s="449"/>
      <c r="L40" s="449"/>
      <c r="M40" s="449"/>
      <c r="N40" s="449"/>
      <c r="O40" s="449"/>
      <c r="P40" s="449"/>
      <c r="Q40" s="546">
        <f>SUMIF('3. PARTNER'!$B$13:$B$80,$B40,'3. PARTNER'!$F$13:$F$80)</f>
        <v>0.02</v>
      </c>
      <c r="R40" s="450">
        <f t="shared" si="133"/>
        <v>0.02</v>
      </c>
      <c r="S40" s="450">
        <f t="shared" si="133"/>
        <v>0.02</v>
      </c>
      <c r="T40" s="450">
        <f t="shared" si="133"/>
        <v>0.02</v>
      </c>
      <c r="U40" s="450">
        <f t="shared" si="133"/>
        <v>0.02</v>
      </c>
      <c r="V40" s="450">
        <f t="shared" si="133"/>
        <v>0.02</v>
      </c>
      <c r="W40" s="450">
        <f t="shared" si="133"/>
        <v>0.02</v>
      </c>
      <c r="X40" s="450">
        <f t="shared" si="133"/>
        <v>0.02</v>
      </c>
      <c r="Y40" s="450">
        <f t="shared" si="133"/>
        <v>0.02</v>
      </c>
      <c r="Z40" s="450">
        <f t="shared" si="133"/>
        <v>0.02</v>
      </c>
      <c r="AA40" s="451">
        <f>SUMIF('3. PARTNER'!B$13:B$80,B40,'3. PARTNER'!E$13:E$80)</f>
        <v>0.5595</v>
      </c>
      <c r="AB40" s="452">
        <f>IF('2. START'!$C$20="UTB",(SUMIF('3. PARTNER'!B$13:B$80,B40,'3. PARTNER'!K$13:K$80))+(SUMIF('3. PARTNER'!B$13:B$80,B40,'3. PARTNER'!M$13:M$80)),(SUMIF('3. PARTNER'!B$13:B$80,B40,'3. PARTNER'!G$13:G$80))+(SUMIF('3. PARTNER'!B$13:B$80,B40,'3. PARTNER'!I$13:I$80)))</f>
        <v>0.16000843770704321</v>
      </c>
      <c r="AC40" s="452">
        <f>IF('2. START'!$C$20="UTB",(SUMIF('3. PARTNER'!B$13:B$80,B40,'3. PARTNER'!L$13:L$80))+(SUMIF('3. PARTNER'!B$13:B$80,B40,'3. PARTNER'!N$13:N$80)),(SUMIF('3. PARTNER'!B$13:B$80,B40,'3. PARTNER'!H$13:H$80))+(SUMIF('3. PARTNER'!B$13:B$80,B40,'3. PARTNER'!J$13:J$80)))</f>
        <v>0</v>
      </c>
      <c r="AD40" s="452">
        <f>IF('2. START'!C$11="NO",'2. START'!C$12,0)</f>
        <v>0</v>
      </c>
      <c r="AE40" s="453">
        <f t="shared" si="98"/>
        <v>0</v>
      </c>
      <c r="AF40" s="453">
        <f t="shared" si="99"/>
        <v>0</v>
      </c>
      <c r="AG40" s="454"/>
      <c r="AH40" s="455">
        <f t="shared" si="18"/>
        <v>0</v>
      </c>
      <c r="AI40" s="455">
        <f t="shared" si="19"/>
        <v>0</v>
      </c>
      <c r="AJ40" s="455">
        <f t="shared" si="20"/>
        <v>0</v>
      </c>
      <c r="AK40" s="455">
        <f t="shared" si="21"/>
        <v>0</v>
      </c>
      <c r="AL40" s="455">
        <f t="shared" si="22"/>
        <v>0</v>
      </c>
      <c r="AM40" s="455">
        <f t="shared" si="23"/>
        <v>0</v>
      </c>
      <c r="AN40" s="455">
        <f t="shared" si="24"/>
        <v>0</v>
      </c>
      <c r="AO40" s="455">
        <f t="shared" si="25"/>
        <v>0</v>
      </c>
      <c r="AP40" s="455">
        <f t="shared" si="26"/>
        <v>0</v>
      </c>
      <c r="AQ40" s="455">
        <f t="shared" si="27"/>
        <v>0</v>
      </c>
      <c r="AR40" s="456">
        <f t="shared" si="100"/>
        <v>0</v>
      </c>
      <c r="AS40" s="457"/>
      <c r="AT40" s="455">
        <f t="shared" si="28"/>
        <v>0</v>
      </c>
      <c r="AU40" s="455">
        <f t="shared" si="29"/>
        <v>0</v>
      </c>
      <c r="AV40" s="455">
        <f t="shared" si="30"/>
        <v>0</v>
      </c>
      <c r="AW40" s="455">
        <f t="shared" si="31"/>
        <v>0</v>
      </c>
      <c r="AX40" s="455">
        <f t="shared" si="32"/>
        <v>0</v>
      </c>
      <c r="AY40" s="455">
        <f t="shared" si="33"/>
        <v>0</v>
      </c>
      <c r="AZ40" s="455">
        <f t="shared" si="34"/>
        <v>0</v>
      </c>
      <c r="BA40" s="455">
        <f t="shared" si="35"/>
        <v>0</v>
      </c>
      <c r="BB40" s="455">
        <f t="shared" si="36"/>
        <v>0</v>
      </c>
      <c r="BC40" s="455">
        <f t="shared" si="37"/>
        <v>0</v>
      </c>
      <c r="BD40" s="456">
        <f t="shared" si="101"/>
        <v>0</v>
      </c>
      <c r="BE40" s="457"/>
      <c r="BF40" s="455">
        <f t="shared" si="38"/>
        <v>0</v>
      </c>
      <c r="BG40" s="455">
        <f t="shared" si="39"/>
        <v>0</v>
      </c>
      <c r="BH40" s="455">
        <f t="shared" si="40"/>
        <v>0</v>
      </c>
      <c r="BI40" s="455">
        <f t="shared" si="41"/>
        <v>0</v>
      </c>
      <c r="BJ40" s="455">
        <f t="shared" si="42"/>
        <v>0</v>
      </c>
      <c r="BK40" s="455">
        <f t="shared" si="43"/>
        <v>0</v>
      </c>
      <c r="BL40" s="455">
        <f t="shared" si="44"/>
        <v>0</v>
      </c>
      <c r="BM40" s="455">
        <f t="shared" si="45"/>
        <v>0</v>
      </c>
      <c r="BN40" s="455">
        <f t="shared" si="46"/>
        <v>0</v>
      </c>
      <c r="BO40" s="455">
        <f t="shared" si="47"/>
        <v>0</v>
      </c>
      <c r="BP40" s="456">
        <f t="shared" si="102"/>
        <v>0</v>
      </c>
      <c r="BQ40" s="463"/>
      <c r="BR40" s="459">
        <f t="shared" si="48"/>
        <v>0</v>
      </c>
      <c r="BS40" s="459">
        <f t="shared" si="49"/>
        <v>0</v>
      </c>
      <c r="BT40" s="459">
        <f t="shared" si="50"/>
        <v>0</v>
      </c>
      <c r="BU40" s="459">
        <f t="shared" si="51"/>
        <v>0</v>
      </c>
      <c r="BV40" s="459">
        <f t="shared" si="52"/>
        <v>0</v>
      </c>
      <c r="BW40" s="459">
        <f t="shared" si="53"/>
        <v>0</v>
      </c>
      <c r="BX40" s="459">
        <f t="shared" si="54"/>
        <v>0</v>
      </c>
      <c r="BY40" s="459">
        <f t="shared" si="55"/>
        <v>0</v>
      </c>
      <c r="BZ40" s="459">
        <f t="shared" si="56"/>
        <v>0</v>
      </c>
      <c r="CA40" s="459">
        <f t="shared" si="57"/>
        <v>0</v>
      </c>
      <c r="CB40" s="460">
        <f t="shared" si="103"/>
        <v>0</v>
      </c>
      <c r="CC40" s="463"/>
      <c r="CD40" s="462">
        <f t="shared" si="58"/>
        <v>0</v>
      </c>
      <c r="CE40" s="462">
        <f t="shared" si="59"/>
        <v>0</v>
      </c>
      <c r="CF40" s="462">
        <f t="shared" si="60"/>
        <v>0</v>
      </c>
      <c r="CG40" s="462">
        <f t="shared" si="61"/>
        <v>0</v>
      </c>
      <c r="CH40" s="462">
        <f t="shared" si="62"/>
        <v>0</v>
      </c>
      <c r="CI40" s="462">
        <f t="shared" si="63"/>
        <v>0</v>
      </c>
      <c r="CJ40" s="462">
        <f t="shared" si="64"/>
        <v>0</v>
      </c>
      <c r="CK40" s="462">
        <f t="shared" si="65"/>
        <v>0</v>
      </c>
      <c r="CL40" s="462">
        <f t="shared" si="66"/>
        <v>0</v>
      </c>
      <c r="CM40" s="462">
        <f t="shared" si="67"/>
        <v>0</v>
      </c>
      <c r="CN40" s="460">
        <f t="shared" si="104"/>
        <v>0</v>
      </c>
      <c r="CO40" s="463"/>
      <c r="CP40" s="459">
        <f t="shared" si="68"/>
        <v>0</v>
      </c>
      <c r="CQ40" s="459">
        <f t="shared" si="69"/>
        <v>0</v>
      </c>
      <c r="CR40" s="459">
        <f t="shared" si="70"/>
        <v>0</v>
      </c>
      <c r="CS40" s="459">
        <f t="shared" si="71"/>
        <v>0</v>
      </c>
      <c r="CT40" s="459">
        <f t="shared" si="72"/>
        <v>0</v>
      </c>
      <c r="CU40" s="459">
        <f t="shared" si="73"/>
        <v>0</v>
      </c>
      <c r="CV40" s="459">
        <f t="shared" si="74"/>
        <v>0</v>
      </c>
      <c r="CW40" s="459">
        <f t="shared" si="75"/>
        <v>0</v>
      </c>
      <c r="CX40" s="459">
        <f t="shared" si="76"/>
        <v>0</v>
      </c>
      <c r="CY40" s="459">
        <f t="shared" si="77"/>
        <v>0</v>
      </c>
      <c r="CZ40" s="460">
        <f t="shared" si="105"/>
        <v>0</v>
      </c>
      <c r="DA40" s="463"/>
      <c r="DB40" s="459">
        <f t="shared" si="78"/>
        <v>0</v>
      </c>
      <c r="DC40" s="459">
        <f t="shared" si="79"/>
        <v>0</v>
      </c>
      <c r="DD40" s="459">
        <f t="shared" si="80"/>
        <v>0</v>
      </c>
      <c r="DE40" s="459">
        <f t="shared" si="81"/>
        <v>0</v>
      </c>
      <c r="DF40" s="459">
        <f t="shared" si="82"/>
        <v>0</v>
      </c>
      <c r="DG40" s="459">
        <f t="shared" si="83"/>
        <v>0</v>
      </c>
      <c r="DH40" s="459">
        <f t="shared" si="84"/>
        <v>0</v>
      </c>
      <c r="DI40" s="459">
        <f t="shared" si="85"/>
        <v>0</v>
      </c>
      <c r="DJ40" s="459">
        <f t="shared" si="86"/>
        <v>0</v>
      </c>
      <c r="DK40" s="459">
        <f t="shared" si="87"/>
        <v>0</v>
      </c>
      <c r="DL40" s="460">
        <f t="shared" si="106"/>
        <v>0</v>
      </c>
      <c r="DM40" s="463"/>
      <c r="DN40" s="442">
        <f>IF('2. START'!$C$14&gt;0,(AT40/(1+$AA40))*(1+'2. START'!$C$14),AT40)</f>
        <v>0</v>
      </c>
      <c r="DO40" s="442">
        <f>IF('2. START'!$C$14&gt;0,(AU40/(1+$AA40))*(1+'2. START'!$C$14),AU40)</f>
        <v>0</v>
      </c>
      <c r="DP40" s="442">
        <f>IF('2. START'!$C$14&gt;0,(AV40/(1+$AA40))*(1+'2. START'!$C$14),AV40)</f>
        <v>0</v>
      </c>
      <c r="DQ40" s="442">
        <f>IF('2. START'!$C$14&gt;0,(AW40/(1+$AA40))*(1+'2. START'!$C$14),AW40)</f>
        <v>0</v>
      </c>
      <c r="DR40" s="442">
        <f>IF('2. START'!$C$14&gt;0,(AX40/(1+$AA40))*(1+'2. START'!$C$14),AX40)</f>
        <v>0</v>
      </c>
      <c r="DS40" s="442">
        <f>IF('2. START'!$C$14&gt;0,(AY40/(1+$AA40))*(1+'2. START'!$C$14),AY40)</f>
        <v>0</v>
      </c>
      <c r="DT40" s="442">
        <f>IF('2. START'!$C$14&gt;0,(AZ40/(1+$AA40))*(1+'2. START'!$C$14),AZ40)</f>
        <v>0</v>
      </c>
      <c r="DU40" s="442">
        <f>IF('2. START'!$C$14&gt;0,(BA40/(1+$AA40))*(1+'2. START'!$C$14),BA40)</f>
        <v>0</v>
      </c>
      <c r="DV40" s="442">
        <f>IF('2. START'!$C$14&gt;0,(BB40/(1+$AA40))*(1+'2. START'!$C$14),BB40)</f>
        <v>0</v>
      </c>
      <c r="DW40" s="442">
        <f>IF('2. START'!$C$14&gt;0,(BC40/(1+$AA40))*(1+'2. START'!$C$14),BC40)</f>
        <v>0</v>
      </c>
      <c r="DX40" s="460">
        <f t="shared" si="107"/>
        <v>0</v>
      </c>
      <c r="DY40" s="463"/>
      <c r="DZ40" s="459">
        <f>IF('2. START'!$C$11="NO",(IF('2. START'!$C$14&gt;0,(DN40*$AD40),(AT40*$AD40))),(BR40+CP40))</f>
        <v>0</v>
      </c>
      <c r="EA40" s="459">
        <f>IF('2. START'!$C$11="NO",(IF('2. START'!$C$14&gt;0,(DO40*$AD40),(AU40*$AD40))),(BS40+CQ40))</f>
        <v>0</v>
      </c>
      <c r="EB40" s="459">
        <f>IF('2. START'!$C$11="NO",(IF('2. START'!$C$14&gt;0,(DP40*$AD40),(AV40*$AD40))),(BT40+CR40))</f>
        <v>0</v>
      </c>
      <c r="EC40" s="459">
        <f>IF('2. START'!$C$11="NO",(IF('2. START'!$C$14&gt;0,(DQ40*$AD40),(AW40*$AD40))),(BU40+CS40))</f>
        <v>0</v>
      </c>
      <c r="ED40" s="459">
        <f>IF('2. START'!$C$11="NO",(IF('2. START'!$C$14&gt;0,(DR40*$AD40),(AX40*$AD40))),(BV40+CT40))</f>
        <v>0</v>
      </c>
      <c r="EE40" s="459">
        <f>IF('2. START'!$C$11="NO",(IF('2. START'!$C$14&gt;0,(DS40*$AD40),(AY40*$AD40))),(BW40+CU40))</f>
        <v>0</v>
      </c>
      <c r="EF40" s="459">
        <f>IF('2. START'!$C$11="NO",(IF('2. START'!$C$14&gt;0,(DT40*$AD40),(AZ40*$AD40))),(BX40+CV40))</f>
        <v>0</v>
      </c>
      <c r="EG40" s="459">
        <f>IF('2. START'!$C$11="NO",(IF('2. START'!$C$14&gt;0,(DU40*$AD40),(BA40*$AD40))),(BY40+CW40))</f>
        <v>0</v>
      </c>
      <c r="EH40" s="459">
        <f>IF('2. START'!$C$11="NO",(IF('2. START'!$C$14&gt;0,(DV40*$AD40),(BB40*$AD40))),(BZ40+CX40))</f>
        <v>0</v>
      </c>
      <c r="EI40" s="459">
        <f>IF('2. START'!$C$11="NO",(IF('2. START'!$C$14&gt;0,(DW40*$AD40),(BC40*$AD40))),(CA40+CY40))</f>
        <v>0</v>
      </c>
      <c r="EJ40" s="460">
        <f t="shared" si="108"/>
        <v>0</v>
      </c>
      <c r="EK40" s="463"/>
      <c r="EL40" s="459">
        <f>(BR40+CP40-DZ40)+IF('2. START'!$C$14&gt;0,AT40-DN40,0)</f>
        <v>0</v>
      </c>
      <c r="EM40" s="459">
        <f>(BS40+CQ40-EA40)+IF('2. START'!$C$14&gt;0,AU40-DO40,0)</f>
        <v>0</v>
      </c>
      <c r="EN40" s="459">
        <f>(BT40+CR40-EB40)+IF('2. START'!$C$14&gt;0,AV40-DP40,0)</f>
        <v>0</v>
      </c>
      <c r="EO40" s="459">
        <f>(BU40+CS40-EC40)+IF('2. START'!$C$14&gt;0,AW40-DQ40,0)</f>
        <v>0</v>
      </c>
      <c r="EP40" s="459">
        <f>(BV40+CT40-ED40)+IF('2. START'!$C$14&gt;0,AX40-DR40,0)</f>
        <v>0</v>
      </c>
      <c r="EQ40" s="459">
        <f>(BW40+CU40-EE40)+IF('2. START'!$C$14&gt;0,AY40-DS40,0)</f>
        <v>0</v>
      </c>
      <c r="ER40" s="459">
        <f>(BX40+CV40-EF40)+IF('2. START'!$C$14&gt;0,AZ40-DT40,0)</f>
        <v>0</v>
      </c>
      <c r="ES40" s="459">
        <f>(BY40+CW40-EG40)+IF('2. START'!$C$14&gt;0,BA40-DU40,0)</f>
        <v>0</v>
      </c>
      <c r="ET40" s="459">
        <f>(BZ40+CX40-EH40)+IF('2. START'!$C$14&gt;0,BB40-DV40,0)</f>
        <v>0</v>
      </c>
      <c r="EU40" s="459">
        <f>(CA40+CY40-EI40)+IF('2. START'!$C$14&gt;0,BC40-DW40,0)</f>
        <v>0</v>
      </c>
      <c r="EV40" s="460">
        <f t="shared" si="109"/>
        <v>0</v>
      </c>
      <c r="EW40" s="463"/>
      <c r="EX40" s="459">
        <f t="shared" si="110"/>
        <v>0</v>
      </c>
      <c r="EY40" s="459">
        <f t="shared" si="111"/>
        <v>0</v>
      </c>
      <c r="EZ40" s="459">
        <f t="shared" si="112"/>
        <v>0</v>
      </c>
      <c r="FA40" s="459">
        <f t="shared" si="113"/>
        <v>0</v>
      </c>
      <c r="FB40" s="459">
        <f t="shared" si="114"/>
        <v>0</v>
      </c>
      <c r="FC40" s="459">
        <f t="shared" si="115"/>
        <v>0</v>
      </c>
      <c r="FD40" s="459">
        <f t="shared" si="116"/>
        <v>0</v>
      </c>
      <c r="FE40" s="459">
        <f t="shared" si="117"/>
        <v>0</v>
      </c>
      <c r="FF40" s="459">
        <f t="shared" si="118"/>
        <v>0</v>
      </c>
      <c r="FG40" s="459">
        <f t="shared" si="119"/>
        <v>0</v>
      </c>
      <c r="FH40" s="460">
        <f t="shared" si="120"/>
        <v>0</v>
      </c>
      <c r="FI40" s="463"/>
      <c r="FJ40" s="459">
        <f t="shared" si="121"/>
        <v>0</v>
      </c>
      <c r="FK40" s="459">
        <f t="shared" si="122"/>
        <v>0</v>
      </c>
      <c r="FL40" s="459">
        <f t="shared" si="123"/>
        <v>0</v>
      </c>
      <c r="FM40" s="459">
        <f t="shared" si="124"/>
        <v>0</v>
      </c>
      <c r="FN40" s="459">
        <f t="shared" si="125"/>
        <v>0</v>
      </c>
      <c r="FO40" s="459">
        <f t="shared" si="126"/>
        <v>0</v>
      </c>
      <c r="FP40" s="459">
        <f t="shared" si="127"/>
        <v>0</v>
      </c>
      <c r="FQ40" s="459">
        <f t="shared" si="128"/>
        <v>0</v>
      </c>
      <c r="FR40" s="459">
        <f t="shared" si="129"/>
        <v>0</v>
      </c>
      <c r="FS40" s="459">
        <f t="shared" si="130"/>
        <v>0</v>
      </c>
      <c r="FT40" s="460">
        <f t="shared" si="131"/>
        <v>0</v>
      </c>
    </row>
    <row r="41" spans="2:176" s="270" customFormat="1" ht="15" customHeight="1" x14ac:dyDescent="0.25">
      <c r="B41" s="464" t="str">
        <f>'2. START'!C$7</f>
        <v>100GEM</v>
      </c>
      <c r="C41" s="470"/>
      <c r="D41" s="590"/>
      <c r="E41" s="514">
        <v>0</v>
      </c>
      <c r="F41" s="467"/>
      <c r="G41" s="432"/>
      <c r="H41" s="432"/>
      <c r="I41" s="432"/>
      <c r="J41" s="432"/>
      <c r="K41" s="432"/>
      <c r="L41" s="432"/>
      <c r="M41" s="432"/>
      <c r="N41" s="432"/>
      <c r="O41" s="432"/>
      <c r="P41" s="432"/>
      <c r="Q41" s="545">
        <f>SUMIF('3. PARTNER'!$B$13:$B$80,$B41,'3. PARTNER'!$F$13:$F$80)</f>
        <v>0.02</v>
      </c>
      <c r="R41" s="466">
        <f t="shared" si="133"/>
        <v>0.02</v>
      </c>
      <c r="S41" s="466">
        <f t="shared" si="133"/>
        <v>0.02</v>
      </c>
      <c r="T41" s="466">
        <f t="shared" si="133"/>
        <v>0.02</v>
      </c>
      <c r="U41" s="466">
        <f t="shared" si="133"/>
        <v>0.02</v>
      </c>
      <c r="V41" s="466">
        <f t="shared" si="133"/>
        <v>0.02</v>
      </c>
      <c r="W41" s="466">
        <f t="shared" si="133"/>
        <v>0.02</v>
      </c>
      <c r="X41" s="466">
        <f t="shared" si="133"/>
        <v>0.02</v>
      </c>
      <c r="Y41" s="466">
        <f t="shared" si="133"/>
        <v>0.02</v>
      </c>
      <c r="Z41" s="466">
        <f t="shared" si="133"/>
        <v>0.02</v>
      </c>
      <c r="AA41" s="434">
        <f>SUMIF('3. PARTNER'!B$13:B$80,B41,'3. PARTNER'!E$13:E$80)</f>
        <v>0.5595</v>
      </c>
      <c r="AB41" s="435">
        <f>IF('2. START'!$C$20="UTB",(SUMIF('3. PARTNER'!B$13:B$80,B41,'3. PARTNER'!K$13:K$80))+(SUMIF('3. PARTNER'!B$13:B$80,B41,'3. PARTNER'!M$13:M$80)),(SUMIF('3. PARTNER'!B$13:B$80,B41,'3. PARTNER'!G$13:G$80))+(SUMIF('3. PARTNER'!B$13:B$80,B41,'3. PARTNER'!I$13:I$80)))</f>
        <v>0.16000843770704321</v>
      </c>
      <c r="AC41" s="435">
        <f>IF('2. START'!$C$20="UTB",(SUMIF('3. PARTNER'!B$13:B$80,B41,'3. PARTNER'!L$13:L$80))+(SUMIF('3. PARTNER'!B$13:B$80,B41,'3. PARTNER'!N$13:N$80)),(SUMIF('3. PARTNER'!B$13:B$80,B41,'3. PARTNER'!H$13:H$80))+(SUMIF('3. PARTNER'!B$13:B$80,B41,'3. PARTNER'!J$13:J$80)))</f>
        <v>0</v>
      </c>
      <c r="AD41" s="435">
        <f>IF('2. START'!C$11="NO",'2. START'!C$12,0)</f>
        <v>0</v>
      </c>
      <c r="AE41" s="436">
        <f t="shared" si="98"/>
        <v>0</v>
      </c>
      <c r="AF41" s="436">
        <f t="shared" si="99"/>
        <v>0</v>
      </c>
      <c r="AG41" s="437"/>
      <c r="AH41" s="438">
        <f t="shared" si="18"/>
        <v>0</v>
      </c>
      <c r="AI41" s="438">
        <f t="shared" si="19"/>
        <v>0</v>
      </c>
      <c r="AJ41" s="438">
        <f t="shared" si="20"/>
        <v>0</v>
      </c>
      <c r="AK41" s="438">
        <f t="shared" si="21"/>
        <v>0</v>
      </c>
      <c r="AL41" s="438">
        <f t="shared" si="22"/>
        <v>0</v>
      </c>
      <c r="AM41" s="438">
        <f t="shared" si="23"/>
        <v>0</v>
      </c>
      <c r="AN41" s="438">
        <f t="shared" si="24"/>
        <v>0</v>
      </c>
      <c r="AO41" s="438">
        <f t="shared" si="25"/>
        <v>0</v>
      </c>
      <c r="AP41" s="438">
        <f t="shared" si="26"/>
        <v>0</v>
      </c>
      <c r="AQ41" s="438">
        <f t="shared" si="27"/>
        <v>0</v>
      </c>
      <c r="AR41" s="439">
        <f t="shared" si="100"/>
        <v>0</v>
      </c>
      <c r="AS41" s="440"/>
      <c r="AT41" s="438">
        <f t="shared" si="28"/>
        <v>0</v>
      </c>
      <c r="AU41" s="438">
        <f t="shared" si="29"/>
        <v>0</v>
      </c>
      <c r="AV41" s="438">
        <f t="shared" si="30"/>
        <v>0</v>
      </c>
      <c r="AW41" s="438">
        <f t="shared" si="31"/>
        <v>0</v>
      </c>
      <c r="AX41" s="438">
        <f t="shared" si="32"/>
        <v>0</v>
      </c>
      <c r="AY41" s="438">
        <f t="shared" si="33"/>
        <v>0</v>
      </c>
      <c r="AZ41" s="438">
        <f t="shared" si="34"/>
        <v>0</v>
      </c>
      <c r="BA41" s="438">
        <f t="shared" si="35"/>
        <v>0</v>
      </c>
      <c r="BB41" s="438">
        <f t="shared" si="36"/>
        <v>0</v>
      </c>
      <c r="BC41" s="438">
        <f t="shared" si="37"/>
        <v>0</v>
      </c>
      <c r="BD41" s="439">
        <f t="shared" si="101"/>
        <v>0</v>
      </c>
      <c r="BE41" s="440"/>
      <c r="BF41" s="438">
        <f t="shared" si="38"/>
        <v>0</v>
      </c>
      <c r="BG41" s="438">
        <f t="shared" si="39"/>
        <v>0</v>
      </c>
      <c r="BH41" s="438">
        <f t="shared" si="40"/>
        <v>0</v>
      </c>
      <c r="BI41" s="438">
        <f t="shared" si="41"/>
        <v>0</v>
      </c>
      <c r="BJ41" s="438">
        <f t="shared" si="42"/>
        <v>0</v>
      </c>
      <c r="BK41" s="438">
        <f t="shared" si="43"/>
        <v>0</v>
      </c>
      <c r="BL41" s="438">
        <f t="shared" si="44"/>
        <v>0</v>
      </c>
      <c r="BM41" s="438">
        <f t="shared" si="45"/>
        <v>0</v>
      </c>
      <c r="BN41" s="438">
        <f t="shared" si="46"/>
        <v>0</v>
      </c>
      <c r="BO41" s="438">
        <f t="shared" si="47"/>
        <v>0</v>
      </c>
      <c r="BP41" s="439">
        <f t="shared" si="102"/>
        <v>0</v>
      </c>
      <c r="BR41" s="442">
        <f t="shared" si="48"/>
        <v>0</v>
      </c>
      <c r="BS41" s="442">
        <f t="shared" si="49"/>
        <v>0</v>
      </c>
      <c r="BT41" s="442">
        <f t="shared" si="50"/>
        <v>0</v>
      </c>
      <c r="BU41" s="442">
        <f t="shared" si="51"/>
        <v>0</v>
      </c>
      <c r="BV41" s="442">
        <f t="shared" si="52"/>
        <v>0</v>
      </c>
      <c r="BW41" s="442">
        <f t="shared" si="53"/>
        <v>0</v>
      </c>
      <c r="BX41" s="442">
        <f t="shared" si="54"/>
        <v>0</v>
      </c>
      <c r="BY41" s="442">
        <f t="shared" si="55"/>
        <v>0</v>
      </c>
      <c r="BZ41" s="442">
        <f t="shared" si="56"/>
        <v>0</v>
      </c>
      <c r="CA41" s="442">
        <f t="shared" si="57"/>
        <v>0</v>
      </c>
      <c r="CB41" s="443">
        <f t="shared" si="103"/>
        <v>0</v>
      </c>
      <c r="CD41" s="445">
        <f t="shared" si="58"/>
        <v>0</v>
      </c>
      <c r="CE41" s="445">
        <f t="shared" si="59"/>
        <v>0</v>
      </c>
      <c r="CF41" s="445">
        <f t="shared" si="60"/>
        <v>0</v>
      </c>
      <c r="CG41" s="445">
        <f t="shared" si="61"/>
        <v>0</v>
      </c>
      <c r="CH41" s="445">
        <f t="shared" si="62"/>
        <v>0</v>
      </c>
      <c r="CI41" s="445">
        <f t="shared" si="63"/>
        <v>0</v>
      </c>
      <c r="CJ41" s="445">
        <f t="shared" si="64"/>
        <v>0</v>
      </c>
      <c r="CK41" s="445">
        <f t="shared" si="65"/>
        <v>0</v>
      </c>
      <c r="CL41" s="445">
        <f t="shared" si="66"/>
        <v>0</v>
      </c>
      <c r="CM41" s="445">
        <f t="shared" si="67"/>
        <v>0</v>
      </c>
      <c r="CN41" s="443">
        <f t="shared" si="104"/>
        <v>0</v>
      </c>
      <c r="CP41" s="442">
        <f t="shared" si="68"/>
        <v>0</v>
      </c>
      <c r="CQ41" s="442">
        <f t="shared" si="69"/>
        <v>0</v>
      </c>
      <c r="CR41" s="442">
        <f t="shared" si="70"/>
        <v>0</v>
      </c>
      <c r="CS41" s="442">
        <f t="shared" si="71"/>
        <v>0</v>
      </c>
      <c r="CT41" s="442">
        <f t="shared" si="72"/>
        <v>0</v>
      </c>
      <c r="CU41" s="442">
        <f t="shared" si="73"/>
        <v>0</v>
      </c>
      <c r="CV41" s="442">
        <f t="shared" si="74"/>
        <v>0</v>
      </c>
      <c r="CW41" s="442">
        <f t="shared" si="75"/>
        <v>0</v>
      </c>
      <c r="CX41" s="442">
        <f t="shared" si="76"/>
        <v>0</v>
      </c>
      <c r="CY41" s="442">
        <f t="shared" si="77"/>
        <v>0</v>
      </c>
      <c r="CZ41" s="443">
        <f t="shared" si="105"/>
        <v>0</v>
      </c>
      <c r="DB41" s="442">
        <f t="shared" si="78"/>
        <v>0</v>
      </c>
      <c r="DC41" s="442">
        <f t="shared" si="79"/>
        <v>0</v>
      </c>
      <c r="DD41" s="442">
        <f t="shared" si="80"/>
        <v>0</v>
      </c>
      <c r="DE41" s="442">
        <f t="shared" si="81"/>
        <v>0</v>
      </c>
      <c r="DF41" s="442">
        <f t="shared" si="82"/>
        <v>0</v>
      </c>
      <c r="DG41" s="442">
        <f t="shared" si="83"/>
        <v>0</v>
      </c>
      <c r="DH41" s="442">
        <f t="shared" si="84"/>
        <v>0</v>
      </c>
      <c r="DI41" s="442">
        <f t="shared" si="85"/>
        <v>0</v>
      </c>
      <c r="DJ41" s="442">
        <f t="shared" si="86"/>
        <v>0</v>
      </c>
      <c r="DK41" s="442">
        <f t="shared" si="87"/>
        <v>0</v>
      </c>
      <c r="DL41" s="443">
        <f t="shared" si="106"/>
        <v>0</v>
      </c>
      <c r="DN41" s="442">
        <f>IF('2. START'!$C$14&gt;0,(AT41/(1+$AA41))*(1+'2. START'!$C$14),AT41)</f>
        <v>0</v>
      </c>
      <c r="DO41" s="442">
        <f>IF('2. START'!$C$14&gt;0,(AU41/(1+$AA41))*(1+'2. START'!$C$14),AU41)</f>
        <v>0</v>
      </c>
      <c r="DP41" s="442">
        <f>IF('2. START'!$C$14&gt;0,(AV41/(1+$AA41))*(1+'2. START'!$C$14),AV41)</f>
        <v>0</v>
      </c>
      <c r="DQ41" s="442">
        <f>IF('2. START'!$C$14&gt;0,(AW41/(1+$AA41))*(1+'2. START'!$C$14),AW41)</f>
        <v>0</v>
      </c>
      <c r="DR41" s="442">
        <f>IF('2. START'!$C$14&gt;0,(AX41/(1+$AA41))*(1+'2. START'!$C$14),AX41)</f>
        <v>0</v>
      </c>
      <c r="DS41" s="442">
        <f>IF('2. START'!$C$14&gt;0,(AY41/(1+$AA41))*(1+'2. START'!$C$14),AY41)</f>
        <v>0</v>
      </c>
      <c r="DT41" s="442">
        <f>IF('2. START'!$C$14&gt;0,(AZ41/(1+$AA41))*(1+'2. START'!$C$14),AZ41)</f>
        <v>0</v>
      </c>
      <c r="DU41" s="442">
        <f>IF('2. START'!$C$14&gt;0,(BA41/(1+$AA41))*(1+'2. START'!$C$14),BA41)</f>
        <v>0</v>
      </c>
      <c r="DV41" s="442">
        <f>IF('2. START'!$C$14&gt;0,(BB41/(1+$AA41))*(1+'2. START'!$C$14),BB41)</f>
        <v>0</v>
      </c>
      <c r="DW41" s="442">
        <f>IF('2. START'!$C$14&gt;0,(BC41/(1+$AA41))*(1+'2. START'!$C$14),BC41)</f>
        <v>0</v>
      </c>
      <c r="DX41" s="443">
        <f t="shared" si="107"/>
        <v>0</v>
      </c>
      <c r="DZ41" s="442">
        <f>IF('2. START'!$C$11="NO",(IF('2. START'!$C$14&gt;0,(DN41*$AD41),(AT41*$AD41))),(BR41+CP41))</f>
        <v>0</v>
      </c>
      <c r="EA41" s="442">
        <f>IF('2. START'!$C$11="NO",(IF('2. START'!$C$14&gt;0,(DO41*$AD41),(AU41*$AD41))),(BS41+CQ41))</f>
        <v>0</v>
      </c>
      <c r="EB41" s="442">
        <f>IF('2. START'!$C$11="NO",(IF('2. START'!$C$14&gt;0,(DP41*$AD41),(AV41*$AD41))),(BT41+CR41))</f>
        <v>0</v>
      </c>
      <c r="EC41" s="442">
        <f>IF('2. START'!$C$11="NO",(IF('2. START'!$C$14&gt;0,(DQ41*$AD41),(AW41*$AD41))),(BU41+CS41))</f>
        <v>0</v>
      </c>
      <c r="ED41" s="442">
        <f>IF('2. START'!$C$11="NO",(IF('2. START'!$C$14&gt;0,(DR41*$AD41),(AX41*$AD41))),(BV41+CT41))</f>
        <v>0</v>
      </c>
      <c r="EE41" s="442">
        <f>IF('2. START'!$C$11="NO",(IF('2. START'!$C$14&gt;0,(DS41*$AD41),(AY41*$AD41))),(BW41+CU41))</f>
        <v>0</v>
      </c>
      <c r="EF41" s="442">
        <f>IF('2. START'!$C$11="NO",(IF('2. START'!$C$14&gt;0,(DT41*$AD41),(AZ41*$AD41))),(BX41+CV41))</f>
        <v>0</v>
      </c>
      <c r="EG41" s="442">
        <f>IF('2. START'!$C$11="NO",(IF('2. START'!$C$14&gt;0,(DU41*$AD41),(BA41*$AD41))),(BY41+CW41))</f>
        <v>0</v>
      </c>
      <c r="EH41" s="442">
        <f>IF('2. START'!$C$11="NO",(IF('2. START'!$C$14&gt;0,(DV41*$AD41),(BB41*$AD41))),(BZ41+CX41))</f>
        <v>0</v>
      </c>
      <c r="EI41" s="442">
        <f>IF('2. START'!$C$11="NO",(IF('2. START'!$C$14&gt;0,(DW41*$AD41),(BC41*$AD41))),(CA41+CY41))</f>
        <v>0</v>
      </c>
      <c r="EJ41" s="443">
        <f t="shared" si="108"/>
        <v>0</v>
      </c>
      <c r="EL41" s="442">
        <f>(BR41+CP41-DZ41)+IF('2. START'!$C$14&gt;0,AT41-DN41,0)</f>
        <v>0</v>
      </c>
      <c r="EM41" s="442">
        <f>(BS41+CQ41-EA41)+IF('2. START'!$C$14&gt;0,AU41-DO41,0)</f>
        <v>0</v>
      </c>
      <c r="EN41" s="442">
        <f>(BT41+CR41-EB41)+IF('2. START'!$C$14&gt;0,AV41-DP41,0)</f>
        <v>0</v>
      </c>
      <c r="EO41" s="442">
        <f>(BU41+CS41-EC41)+IF('2. START'!$C$14&gt;0,AW41-DQ41,0)</f>
        <v>0</v>
      </c>
      <c r="EP41" s="442">
        <f>(BV41+CT41-ED41)+IF('2. START'!$C$14&gt;0,AX41-DR41,0)</f>
        <v>0</v>
      </c>
      <c r="EQ41" s="442">
        <f>(BW41+CU41-EE41)+IF('2. START'!$C$14&gt;0,AY41-DS41,0)</f>
        <v>0</v>
      </c>
      <c r="ER41" s="442">
        <f>(BX41+CV41-EF41)+IF('2. START'!$C$14&gt;0,AZ41-DT41,0)</f>
        <v>0</v>
      </c>
      <c r="ES41" s="442">
        <f>(BY41+CW41-EG41)+IF('2. START'!$C$14&gt;0,BA41-DU41,0)</f>
        <v>0</v>
      </c>
      <c r="ET41" s="442">
        <f>(BZ41+CX41-EH41)+IF('2. START'!$C$14&gt;0,BB41-DV41,0)</f>
        <v>0</v>
      </c>
      <c r="EU41" s="442">
        <f>(CA41+CY41-EI41)+IF('2. START'!$C$14&gt;0,BC41-DW41,0)</f>
        <v>0</v>
      </c>
      <c r="EV41" s="443">
        <f t="shared" si="109"/>
        <v>0</v>
      </c>
      <c r="EX41" s="442">
        <f t="shared" si="110"/>
        <v>0</v>
      </c>
      <c r="EY41" s="442">
        <f t="shared" si="111"/>
        <v>0</v>
      </c>
      <c r="EZ41" s="442">
        <f t="shared" si="112"/>
        <v>0</v>
      </c>
      <c r="FA41" s="442">
        <f t="shared" si="113"/>
        <v>0</v>
      </c>
      <c r="FB41" s="442">
        <f t="shared" si="114"/>
        <v>0</v>
      </c>
      <c r="FC41" s="442">
        <f t="shared" si="115"/>
        <v>0</v>
      </c>
      <c r="FD41" s="442">
        <f t="shared" si="116"/>
        <v>0</v>
      </c>
      <c r="FE41" s="442">
        <f t="shared" si="117"/>
        <v>0</v>
      </c>
      <c r="FF41" s="442">
        <f t="shared" si="118"/>
        <v>0</v>
      </c>
      <c r="FG41" s="442">
        <f t="shared" si="119"/>
        <v>0</v>
      </c>
      <c r="FH41" s="443">
        <f t="shared" si="120"/>
        <v>0</v>
      </c>
      <c r="FJ41" s="442">
        <f t="shared" si="121"/>
        <v>0</v>
      </c>
      <c r="FK41" s="442">
        <f t="shared" si="122"/>
        <v>0</v>
      </c>
      <c r="FL41" s="442">
        <f t="shared" si="123"/>
        <v>0</v>
      </c>
      <c r="FM41" s="442">
        <f t="shared" si="124"/>
        <v>0</v>
      </c>
      <c r="FN41" s="442">
        <f t="shared" si="125"/>
        <v>0</v>
      </c>
      <c r="FO41" s="442">
        <f t="shared" si="126"/>
        <v>0</v>
      </c>
      <c r="FP41" s="442">
        <f t="shared" si="127"/>
        <v>0</v>
      </c>
      <c r="FQ41" s="442">
        <f t="shared" si="128"/>
        <v>0</v>
      </c>
      <c r="FR41" s="442">
        <f t="shared" si="129"/>
        <v>0</v>
      </c>
      <c r="FS41" s="442">
        <f t="shared" si="130"/>
        <v>0</v>
      </c>
      <c r="FT41" s="443">
        <f t="shared" si="131"/>
        <v>0</v>
      </c>
    </row>
    <row r="42" spans="2:176" s="270" customFormat="1" ht="15" customHeight="1" x14ac:dyDescent="0.25">
      <c r="B42" s="446" t="str">
        <f>'2. START'!C$7</f>
        <v>100GEM</v>
      </c>
      <c r="C42" s="469"/>
      <c r="D42" s="589"/>
      <c r="E42" s="544">
        <v>0</v>
      </c>
      <c r="F42" s="448"/>
      <c r="G42" s="449"/>
      <c r="H42" s="449"/>
      <c r="I42" s="449"/>
      <c r="J42" s="449"/>
      <c r="K42" s="449"/>
      <c r="L42" s="449"/>
      <c r="M42" s="449"/>
      <c r="N42" s="449"/>
      <c r="O42" s="449"/>
      <c r="P42" s="449"/>
      <c r="Q42" s="546">
        <f>SUMIF('3. PARTNER'!$B$13:$B$80,$B42,'3. PARTNER'!$F$13:$F$80)</f>
        <v>0.02</v>
      </c>
      <c r="R42" s="450">
        <f t="shared" si="133"/>
        <v>0.02</v>
      </c>
      <c r="S42" s="450">
        <f t="shared" si="133"/>
        <v>0.02</v>
      </c>
      <c r="T42" s="450">
        <f t="shared" si="133"/>
        <v>0.02</v>
      </c>
      <c r="U42" s="450">
        <f t="shared" si="133"/>
        <v>0.02</v>
      </c>
      <c r="V42" s="450">
        <f t="shared" si="133"/>
        <v>0.02</v>
      </c>
      <c r="W42" s="450">
        <f t="shared" si="133"/>
        <v>0.02</v>
      </c>
      <c r="X42" s="450">
        <f t="shared" si="133"/>
        <v>0.02</v>
      </c>
      <c r="Y42" s="450">
        <f t="shared" si="133"/>
        <v>0.02</v>
      </c>
      <c r="Z42" s="450">
        <f t="shared" si="133"/>
        <v>0.02</v>
      </c>
      <c r="AA42" s="451">
        <f>SUMIF('3. PARTNER'!B$13:B$80,B42,'3. PARTNER'!E$13:E$80)</f>
        <v>0.5595</v>
      </c>
      <c r="AB42" s="452">
        <f>IF('2. START'!$C$20="UTB",(SUMIF('3. PARTNER'!B$13:B$80,B42,'3. PARTNER'!K$13:K$80))+(SUMIF('3. PARTNER'!B$13:B$80,B42,'3. PARTNER'!M$13:M$80)),(SUMIF('3. PARTNER'!B$13:B$80,B42,'3. PARTNER'!G$13:G$80))+(SUMIF('3. PARTNER'!B$13:B$80,B42,'3. PARTNER'!I$13:I$80)))</f>
        <v>0.16000843770704321</v>
      </c>
      <c r="AC42" s="452">
        <f>IF('2. START'!$C$20="UTB",(SUMIF('3. PARTNER'!B$13:B$80,B42,'3. PARTNER'!L$13:L$80))+(SUMIF('3. PARTNER'!B$13:B$80,B42,'3. PARTNER'!N$13:N$80)),(SUMIF('3. PARTNER'!B$13:B$80,B42,'3. PARTNER'!H$13:H$80))+(SUMIF('3. PARTNER'!B$13:B$80,B42,'3. PARTNER'!J$13:J$80)))</f>
        <v>0</v>
      </c>
      <c r="AD42" s="452">
        <f>IF('2. START'!C$11="NO",'2. START'!C$12,0)</f>
        <v>0</v>
      </c>
      <c r="AE42" s="453">
        <f t="shared" si="98"/>
        <v>0</v>
      </c>
      <c r="AF42" s="453">
        <f t="shared" si="99"/>
        <v>0</v>
      </c>
      <c r="AG42" s="454"/>
      <c r="AH42" s="455">
        <f t="shared" si="18"/>
        <v>0</v>
      </c>
      <c r="AI42" s="455">
        <f t="shared" si="19"/>
        <v>0</v>
      </c>
      <c r="AJ42" s="455">
        <f t="shared" si="20"/>
        <v>0</v>
      </c>
      <c r="AK42" s="455">
        <f t="shared" si="21"/>
        <v>0</v>
      </c>
      <c r="AL42" s="455">
        <f t="shared" si="22"/>
        <v>0</v>
      </c>
      <c r="AM42" s="455">
        <f t="shared" si="23"/>
        <v>0</v>
      </c>
      <c r="AN42" s="455">
        <f t="shared" si="24"/>
        <v>0</v>
      </c>
      <c r="AO42" s="455">
        <f t="shared" si="25"/>
        <v>0</v>
      </c>
      <c r="AP42" s="455">
        <f t="shared" si="26"/>
        <v>0</v>
      </c>
      <c r="AQ42" s="455">
        <f t="shared" si="27"/>
        <v>0</v>
      </c>
      <c r="AR42" s="456">
        <f t="shared" si="100"/>
        <v>0</v>
      </c>
      <c r="AS42" s="457"/>
      <c r="AT42" s="455">
        <f t="shared" si="28"/>
        <v>0</v>
      </c>
      <c r="AU42" s="455">
        <f t="shared" si="29"/>
        <v>0</v>
      </c>
      <c r="AV42" s="455">
        <f t="shared" si="30"/>
        <v>0</v>
      </c>
      <c r="AW42" s="455">
        <f t="shared" si="31"/>
        <v>0</v>
      </c>
      <c r="AX42" s="455">
        <f t="shared" si="32"/>
        <v>0</v>
      </c>
      <c r="AY42" s="455">
        <f t="shared" si="33"/>
        <v>0</v>
      </c>
      <c r="AZ42" s="455">
        <f t="shared" si="34"/>
        <v>0</v>
      </c>
      <c r="BA42" s="455">
        <f t="shared" si="35"/>
        <v>0</v>
      </c>
      <c r="BB42" s="455">
        <f t="shared" si="36"/>
        <v>0</v>
      </c>
      <c r="BC42" s="455">
        <f t="shared" si="37"/>
        <v>0</v>
      </c>
      <c r="BD42" s="456">
        <f t="shared" si="101"/>
        <v>0</v>
      </c>
      <c r="BE42" s="457"/>
      <c r="BF42" s="455">
        <f t="shared" si="38"/>
        <v>0</v>
      </c>
      <c r="BG42" s="455">
        <f t="shared" si="39"/>
        <v>0</v>
      </c>
      <c r="BH42" s="455">
        <f t="shared" si="40"/>
        <v>0</v>
      </c>
      <c r="BI42" s="455">
        <f t="shared" si="41"/>
        <v>0</v>
      </c>
      <c r="BJ42" s="455">
        <f t="shared" si="42"/>
        <v>0</v>
      </c>
      <c r="BK42" s="455">
        <f t="shared" si="43"/>
        <v>0</v>
      </c>
      <c r="BL42" s="455">
        <f t="shared" si="44"/>
        <v>0</v>
      </c>
      <c r="BM42" s="455">
        <f t="shared" si="45"/>
        <v>0</v>
      </c>
      <c r="BN42" s="455">
        <f t="shared" si="46"/>
        <v>0</v>
      </c>
      <c r="BO42" s="455">
        <f t="shared" si="47"/>
        <v>0</v>
      </c>
      <c r="BP42" s="456">
        <f t="shared" si="102"/>
        <v>0</v>
      </c>
      <c r="BQ42" s="463"/>
      <c r="BR42" s="459">
        <f t="shared" si="48"/>
        <v>0</v>
      </c>
      <c r="BS42" s="459">
        <f t="shared" si="49"/>
        <v>0</v>
      </c>
      <c r="BT42" s="459">
        <f t="shared" si="50"/>
        <v>0</v>
      </c>
      <c r="BU42" s="459">
        <f t="shared" si="51"/>
        <v>0</v>
      </c>
      <c r="BV42" s="459">
        <f t="shared" si="52"/>
        <v>0</v>
      </c>
      <c r="BW42" s="459">
        <f t="shared" si="53"/>
        <v>0</v>
      </c>
      <c r="BX42" s="459">
        <f t="shared" si="54"/>
        <v>0</v>
      </c>
      <c r="BY42" s="459">
        <f t="shared" si="55"/>
        <v>0</v>
      </c>
      <c r="BZ42" s="459">
        <f t="shared" si="56"/>
        <v>0</v>
      </c>
      <c r="CA42" s="459">
        <f t="shared" si="57"/>
        <v>0</v>
      </c>
      <c r="CB42" s="460">
        <f t="shared" si="103"/>
        <v>0</v>
      </c>
      <c r="CC42" s="463"/>
      <c r="CD42" s="462">
        <f t="shared" si="58"/>
        <v>0</v>
      </c>
      <c r="CE42" s="462">
        <f t="shared" si="59"/>
        <v>0</v>
      </c>
      <c r="CF42" s="462">
        <f t="shared" si="60"/>
        <v>0</v>
      </c>
      <c r="CG42" s="462">
        <f t="shared" si="61"/>
        <v>0</v>
      </c>
      <c r="CH42" s="462">
        <f t="shared" si="62"/>
        <v>0</v>
      </c>
      <c r="CI42" s="462">
        <f t="shared" si="63"/>
        <v>0</v>
      </c>
      <c r="CJ42" s="462">
        <f t="shared" si="64"/>
        <v>0</v>
      </c>
      <c r="CK42" s="462">
        <f t="shared" si="65"/>
        <v>0</v>
      </c>
      <c r="CL42" s="462">
        <f t="shared" si="66"/>
        <v>0</v>
      </c>
      <c r="CM42" s="462">
        <f t="shared" si="67"/>
        <v>0</v>
      </c>
      <c r="CN42" s="460">
        <f t="shared" si="104"/>
        <v>0</v>
      </c>
      <c r="CO42" s="463"/>
      <c r="CP42" s="459">
        <f t="shared" si="68"/>
        <v>0</v>
      </c>
      <c r="CQ42" s="459">
        <f t="shared" si="69"/>
        <v>0</v>
      </c>
      <c r="CR42" s="459">
        <f t="shared" si="70"/>
        <v>0</v>
      </c>
      <c r="CS42" s="459">
        <f t="shared" si="71"/>
        <v>0</v>
      </c>
      <c r="CT42" s="459">
        <f t="shared" si="72"/>
        <v>0</v>
      </c>
      <c r="CU42" s="459">
        <f t="shared" si="73"/>
        <v>0</v>
      </c>
      <c r="CV42" s="459">
        <f t="shared" si="74"/>
        <v>0</v>
      </c>
      <c r="CW42" s="459">
        <f t="shared" si="75"/>
        <v>0</v>
      </c>
      <c r="CX42" s="459">
        <f t="shared" si="76"/>
        <v>0</v>
      </c>
      <c r="CY42" s="459">
        <f t="shared" si="77"/>
        <v>0</v>
      </c>
      <c r="CZ42" s="460">
        <f t="shared" si="105"/>
        <v>0</v>
      </c>
      <c r="DA42" s="463"/>
      <c r="DB42" s="459">
        <f t="shared" si="78"/>
        <v>0</v>
      </c>
      <c r="DC42" s="459">
        <f t="shared" si="79"/>
        <v>0</v>
      </c>
      <c r="DD42" s="459">
        <f t="shared" si="80"/>
        <v>0</v>
      </c>
      <c r="DE42" s="459">
        <f t="shared" si="81"/>
        <v>0</v>
      </c>
      <c r="DF42" s="459">
        <f t="shared" si="82"/>
        <v>0</v>
      </c>
      <c r="DG42" s="459">
        <f t="shared" si="83"/>
        <v>0</v>
      </c>
      <c r="DH42" s="459">
        <f t="shared" si="84"/>
        <v>0</v>
      </c>
      <c r="DI42" s="459">
        <f t="shared" si="85"/>
        <v>0</v>
      </c>
      <c r="DJ42" s="459">
        <f t="shared" si="86"/>
        <v>0</v>
      </c>
      <c r="DK42" s="459">
        <f t="shared" si="87"/>
        <v>0</v>
      </c>
      <c r="DL42" s="460">
        <f t="shared" si="106"/>
        <v>0</v>
      </c>
      <c r="DM42" s="463"/>
      <c r="DN42" s="442">
        <f>IF('2. START'!$C$14&gt;0,(AT42/(1+$AA42))*(1+'2. START'!$C$14),AT42)</f>
        <v>0</v>
      </c>
      <c r="DO42" s="442">
        <f>IF('2. START'!$C$14&gt;0,(AU42/(1+$AA42))*(1+'2. START'!$C$14),AU42)</f>
        <v>0</v>
      </c>
      <c r="DP42" s="442">
        <f>IF('2. START'!$C$14&gt;0,(AV42/(1+$AA42))*(1+'2. START'!$C$14),AV42)</f>
        <v>0</v>
      </c>
      <c r="DQ42" s="442">
        <f>IF('2. START'!$C$14&gt;0,(AW42/(1+$AA42))*(1+'2. START'!$C$14),AW42)</f>
        <v>0</v>
      </c>
      <c r="DR42" s="442">
        <f>IF('2. START'!$C$14&gt;0,(AX42/(1+$AA42))*(1+'2. START'!$C$14),AX42)</f>
        <v>0</v>
      </c>
      <c r="DS42" s="442">
        <f>IF('2. START'!$C$14&gt;0,(AY42/(1+$AA42))*(1+'2. START'!$C$14),AY42)</f>
        <v>0</v>
      </c>
      <c r="DT42" s="442">
        <f>IF('2. START'!$C$14&gt;0,(AZ42/(1+$AA42))*(1+'2. START'!$C$14),AZ42)</f>
        <v>0</v>
      </c>
      <c r="DU42" s="442">
        <f>IF('2. START'!$C$14&gt;0,(BA42/(1+$AA42))*(1+'2. START'!$C$14),BA42)</f>
        <v>0</v>
      </c>
      <c r="DV42" s="442">
        <f>IF('2. START'!$C$14&gt;0,(BB42/(1+$AA42))*(1+'2. START'!$C$14),BB42)</f>
        <v>0</v>
      </c>
      <c r="DW42" s="442">
        <f>IF('2. START'!$C$14&gt;0,(BC42/(1+$AA42))*(1+'2. START'!$C$14),BC42)</f>
        <v>0</v>
      </c>
      <c r="DX42" s="460">
        <f t="shared" si="107"/>
        <v>0</v>
      </c>
      <c r="DY42" s="463"/>
      <c r="DZ42" s="459">
        <f>IF('2. START'!$C$11="NO",(IF('2. START'!$C$14&gt;0,(DN42*$AD42),(AT42*$AD42))),(BR42+CP42))</f>
        <v>0</v>
      </c>
      <c r="EA42" s="459">
        <f>IF('2. START'!$C$11="NO",(IF('2. START'!$C$14&gt;0,(DO42*$AD42),(AU42*$AD42))),(BS42+CQ42))</f>
        <v>0</v>
      </c>
      <c r="EB42" s="459">
        <f>IF('2. START'!$C$11="NO",(IF('2. START'!$C$14&gt;0,(DP42*$AD42),(AV42*$AD42))),(BT42+CR42))</f>
        <v>0</v>
      </c>
      <c r="EC42" s="459">
        <f>IF('2. START'!$C$11="NO",(IF('2. START'!$C$14&gt;0,(DQ42*$AD42),(AW42*$AD42))),(BU42+CS42))</f>
        <v>0</v>
      </c>
      <c r="ED42" s="459">
        <f>IF('2. START'!$C$11="NO",(IF('2. START'!$C$14&gt;0,(DR42*$AD42),(AX42*$AD42))),(BV42+CT42))</f>
        <v>0</v>
      </c>
      <c r="EE42" s="459">
        <f>IF('2. START'!$C$11="NO",(IF('2. START'!$C$14&gt;0,(DS42*$AD42),(AY42*$AD42))),(BW42+CU42))</f>
        <v>0</v>
      </c>
      <c r="EF42" s="459">
        <f>IF('2. START'!$C$11="NO",(IF('2. START'!$C$14&gt;0,(DT42*$AD42),(AZ42*$AD42))),(BX42+CV42))</f>
        <v>0</v>
      </c>
      <c r="EG42" s="459">
        <f>IF('2. START'!$C$11="NO",(IF('2. START'!$C$14&gt;0,(DU42*$AD42),(BA42*$AD42))),(BY42+CW42))</f>
        <v>0</v>
      </c>
      <c r="EH42" s="459">
        <f>IF('2. START'!$C$11="NO",(IF('2. START'!$C$14&gt;0,(DV42*$AD42),(BB42*$AD42))),(BZ42+CX42))</f>
        <v>0</v>
      </c>
      <c r="EI42" s="459">
        <f>IF('2. START'!$C$11="NO",(IF('2. START'!$C$14&gt;0,(DW42*$AD42),(BC42*$AD42))),(CA42+CY42))</f>
        <v>0</v>
      </c>
      <c r="EJ42" s="460">
        <f t="shared" si="108"/>
        <v>0</v>
      </c>
      <c r="EK42" s="463"/>
      <c r="EL42" s="459">
        <f>(BR42+CP42-DZ42)+IF('2. START'!$C$14&gt;0,AT42-DN42,0)</f>
        <v>0</v>
      </c>
      <c r="EM42" s="459">
        <f>(BS42+CQ42-EA42)+IF('2. START'!$C$14&gt;0,AU42-DO42,0)</f>
        <v>0</v>
      </c>
      <c r="EN42" s="459">
        <f>(BT42+CR42-EB42)+IF('2. START'!$C$14&gt;0,AV42-DP42,0)</f>
        <v>0</v>
      </c>
      <c r="EO42" s="459">
        <f>(BU42+CS42-EC42)+IF('2. START'!$C$14&gt;0,AW42-DQ42,0)</f>
        <v>0</v>
      </c>
      <c r="EP42" s="459">
        <f>(BV42+CT42-ED42)+IF('2. START'!$C$14&gt;0,AX42-DR42,0)</f>
        <v>0</v>
      </c>
      <c r="EQ42" s="459">
        <f>(BW42+CU42-EE42)+IF('2. START'!$C$14&gt;0,AY42-DS42,0)</f>
        <v>0</v>
      </c>
      <c r="ER42" s="459">
        <f>(BX42+CV42-EF42)+IF('2. START'!$C$14&gt;0,AZ42-DT42,0)</f>
        <v>0</v>
      </c>
      <c r="ES42" s="459">
        <f>(BY42+CW42-EG42)+IF('2. START'!$C$14&gt;0,BA42-DU42,0)</f>
        <v>0</v>
      </c>
      <c r="ET42" s="459">
        <f>(BZ42+CX42-EH42)+IF('2. START'!$C$14&gt;0,BB42-DV42,0)</f>
        <v>0</v>
      </c>
      <c r="EU42" s="459">
        <f>(CA42+CY42-EI42)+IF('2. START'!$C$14&gt;0,BC42-DW42,0)</f>
        <v>0</v>
      </c>
      <c r="EV42" s="460">
        <f t="shared" si="109"/>
        <v>0</v>
      </c>
      <c r="EW42" s="463"/>
      <c r="EX42" s="459">
        <f t="shared" si="110"/>
        <v>0</v>
      </c>
      <c r="EY42" s="459">
        <f t="shared" si="111"/>
        <v>0</v>
      </c>
      <c r="EZ42" s="459">
        <f t="shared" si="112"/>
        <v>0</v>
      </c>
      <c r="FA42" s="459">
        <f t="shared" si="113"/>
        <v>0</v>
      </c>
      <c r="FB42" s="459">
        <f t="shared" si="114"/>
        <v>0</v>
      </c>
      <c r="FC42" s="459">
        <f t="shared" si="115"/>
        <v>0</v>
      </c>
      <c r="FD42" s="459">
        <f t="shared" si="116"/>
        <v>0</v>
      </c>
      <c r="FE42" s="459">
        <f t="shared" si="117"/>
        <v>0</v>
      </c>
      <c r="FF42" s="459">
        <f t="shared" si="118"/>
        <v>0</v>
      </c>
      <c r="FG42" s="459">
        <f t="shared" si="119"/>
        <v>0</v>
      </c>
      <c r="FH42" s="460">
        <f t="shared" si="120"/>
        <v>0</v>
      </c>
      <c r="FI42" s="463"/>
      <c r="FJ42" s="459">
        <f t="shared" si="121"/>
        <v>0</v>
      </c>
      <c r="FK42" s="459">
        <f t="shared" si="122"/>
        <v>0</v>
      </c>
      <c r="FL42" s="459">
        <f t="shared" si="123"/>
        <v>0</v>
      </c>
      <c r="FM42" s="459">
        <f t="shared" si="124"/>
        <v>0</v>
      </c>
      <c r="FN42" s="459">
        <f t="shared" si="125"/>
        <v>0</v>
      </c>
      <c r="FO42" s="459">
        <f t="shared" si="126"/>
        <v>0</v>
      </c>
      <c r="FP42" s="459">
        <f t="shared" si="127"/>
        <v>0</v>
      </c>
      <c r="FQ42" s="459">
        <f t="shared" si="128"/>
        <v>0</v>
      </c>
      <c r="FR42" s="459">
        <f t="shared" si="129"/>
        <v>0</v>
      </c>
      <c r="FS42" s="459">
        <f t="shared" si="130"/>
        <v>0</v>
      </c>
      <c r="FT42" s="460">
        <f t="shared" si="131"/>
        <v>0</v>
      </c>
    </row>
    <row r="43" spans="2:176" s="270" customFormat="1" ht="15" customHeight="1" x14ac:dyDescent="0.25">
      <c r="B43" s="464" t="str">
        <f>'2. START'!C$7</f>
        <v>100GEM</v>
      </c>
      <c r="C43" s="470"/>
      <c r="D43" s="590"/>
      <c r="E43" s="514">
        <v>0</v>
      </c>
      <c r="F43" s="467"/>
      <c r="G43" s="432"/>
      <c r="H43" s="432"/>
      <c r="I43" s="432"/>
      <c r="J43" s="432"/>
      <c r="K43" s="432"/>
      <c r="L43" s="432"/>
      <c r="M43" s="432"/>
      <c r="N43" s="432"/>
      <c r="O43" s="432"/>
      <c r="P43" s="432"/>
      <c r="Q43" s="545">
        <f>SUMIF('3. PARTNER'!$B$13:$B$80,$B43,'3. PARTNER'!$F$13:$F$80)</f>
        <v>0.02</v>
      </c>
      <c r="R43" s="466">
        <f t="shared" si="133"/>
        <v>0.02</v>
      </c>
      <c r="S43" s="466">
        <f t="shared" si="133"/>
        <v>0.02</v>
      </c>
      <c r="T43" s="466">
        <f t="shared" si="133"/>
        <v>0.02</v>
      </c>
      <c r="U43" s="466">
        <f t="shared" si="133"/>
        <v>0.02</v>
      </c>
      <c r="V43" s="466">
        <f t="shared" si="133"/>
        <v>0.02</v>
      </c>
      <c r="W43" s="466">
        <f t="shared" si="133"/>
        <v>0.02</v>
      </c>
      <c r="X43" s="466">
        <f t="shared" si="133"/>
        <v>0.02</v>
      </c>
      <c r="Y43" s="466">
        <f t="shared" si="133"/>
        <v>0.02</v>
      </c>
      <c r="Z43" s="466">
        <f t="shared" si="133"/>
        <v>0.02</v>
      </c>
      <c r="AA43" s="434">
        <f>SUMIF('3. PARTNER'!B$13:B$80,B43,'3. PARTNER'!E$13:E$80)</f>
        <v>0.5595</v>
      </c>
      <c r="AB43" s="435">
        <f>IF('2. START'!$C$20="UTB",(SUMIF('3. PARTNER'!B$13:B$80,B43,'3. PARTNER'!K$13:K$80))+(SUMIF('3. PARTNER'!B$13:B$80,B43,'3. PARTNER'!M$13:M$80)),(SUMIF('3. PARTNER'!B$13:B$80,B43,'3. PARTNER'!G$13:G$80))+(SUMIF('3. PARTNER'!B$13:B$80,B43,'3. PARTNER'!I$13:I$80)))</f>
        <v>0.16000843770704321</v>
      </c>
      <c r="AC43" s="435">
        <f>IF('2. START'!$C$20="UTB",(SUMIF('3. PARTNER'!B$13:B$80,B43,'3. PARTNER'!L$13:L$80))+(SUMIF('3. PARTNER'!B$13:B$80,B43,'3. PARTNER'!N$13:N$80)),(SUMIF('3. PARTNER'!B$13:B$80,B43,'3. PARTNER'!H$13:H$80))+(SUMIF('3. PARTNER'!B$13:B$80,B43,'3. PARTNER'!J$13:J$80)))</f>
        <v>0</v>
      </c>
      <c r="AD43" s="435">
        <f>IF('2. START'!C$11="NO",'2. START'!C$12,0)</f>
        <v>0</v>
      </c>
      <c r="AE43" s="436">
        <f t="shared" si="98"/>
        <v>0</v>
      </c>
      <c r="AF43" s="436">
        <f t="shared" si="99"/>
        <v>0</v>
      </c>
      <c r="AG43" s="437"/>
      <c r="AH43" s="438">
        <f t="shared" si="18"/>
        <v>0</v>
      </c>
      <c r="AI43" s="438">
        <f t="shared" si="19"/>
        <v>0</v>
      </c>
      <c r="AJ43" s="438">
        <f t="shared" si="20"/>
        <v>0</v>
      </c>
      <c r="AK43" s="438">
        <f t="shared" si="21"/>
        <v>0</v>
      </c>
      <c r="AL43" s="438">
        <f t="shared" si="22"/>
        <v>0</v>
      </c>
      <c r="AM43" s="438">
        <f t="shared" si="23"/>
        <v>0</v>
      </c>
      <c r="AN43" s="438">
        <f t="shared" si="24"/>
        <v>0</v>
      </c>
      <c r="AO43" s="438">
        <f t="shared" si="25"/>
        <v>0</v>
      </c>
      <c r="AP43" s="438">
        <f t="shared" si="26"/>
        <v>0</v>
      </c>
      <c r="AQ43" s="438">
        <f t="shared" si="27"/>
        <v>0</v>
      </c>
      <c r="AR43" s="439">
        <f t="shared" si="100"/>
        <v>0</v>
      </c>
      <c r="AS43" s="440"/>
      <c r="AT43" s="438">
        <f t="shared" si="28"/>
        <v>0</v>
      </c>
      <c r="AU43" s="438">
        <f t="shared" si="29"/>
        <v>0</v>
      </c>
      <c r="AV43" s="438">
        <f t="shared" si="30"/>
        <v>0</v>
      </c>
      <c r="AW43" s="438">
        <f t="shared" si="31"/>
        <v>0</v>
      </c>
      <c r="AX43" s="438">
        <f t="shared" si="32"/>
        <v>0</v>
      </c>
      <c r="AY43" s="438">
        <f t="shared" si="33"/>
        <v>0</v>
      </c>
      <c r="AZ43" s="438">
        <f t="shared" si="34"/>
        <v>0</v>
      </c>
      <c r="BA43" s="438">
        <f t="shared" si="35"/>
        <v>0</v>
      </c>
      <c r="BB43" s="438">
        <f t="shared" si="36"/>
        <v>0</v>
      </c>
      <c r="BC43" s="438">
        <f t="shared" si="37"/>
        <v>0</v>
      </c>
      <c r="BD43" s="439">
        <f t="shared" si="101"/>
        <v>0</v>
      </c>
      <c r="BE43" s="440"/>
      <c r="BF43" s="438">
        <f t="shared" si="38"/>
        <v>0</v>
      </c>
      <c r="BG43" s="438">
        <f t="shared" si="39"/>
        <v>0</v>
      </c>
      <c r="BH43" s="438">
        <f t="shared" si="40"/>
        <v>0</v>
      </c>
      <c r="BI43" s="438">
        <f t="shared" si="41"/>
        <v>0</v>
      </c>
      <c r="BJ43" s="438">
        <f t="shared" si="42"/>
        <v>0</v>
      </c>
      <c r="BK43" s="438">
        <f t="shared" si="43"/>
        <v>0</v>
      </c>
      <c r="BL43" s="438">
        <f t="shared" si="44"/>
        <v>0</v>
      </c>
      <c r="BM43" s="438">
        <f t="shared" si="45"/>
        <v>0</v>
      </c>
      <c r="BN43" s="438">
        <f t="shared" si="46"/>
        <v>0</v>
      </c>
      <c r="BO43" s="438">
        <f t="shared" si="47"/>
        <v>0</v>
      </c>
      <c r="BP43" s="439">
        <f t="shared" si="102"/>
        <v>0</v>
      </c>
      <c r="BR43" s="442">
        <f t="shared" si="48"/>
        <v>0</v>
      </c>
      <c r="BS43" s="442">
        <f t="shared" si="49"/>
        <v>0</v>
      </c>
      <c r="BT43" s="442">
        <f t="shared" si="50"/>
        <v>0</v>
      </c>
      <c r="BU43" s="442">
        <f t="shared" si="51"/>
        <v>0</v>
      </c>
      <c r="BV43" s="442">
        <f t="shared" si="52"/>
        <v>0</v>
      </c>
      <c r="BW43" s="442">
        <f t="shared" si="53"/>
        <v>0</v>
      </c>
      <c r="BX43" s="442">
        <f t="shared" si="54"/>
        <v>0</v>
      </c>
      <c r="BY43" s="442">
        <f t="shared" si="55"/>
        <v>0</v>
      </c>
      <c r="BZ43" s="442">
        <f t="shared" si="56"/>
        <v>0</v>
      </c>
      <c r="CA43" s="442">
        <f t="shared" si="57"/>
        <v>0</v>
      </c>
      <c r="CB43" s="443">
        <f t="shared" si="103"/>
        <v>0</v>
      </c>
      <c r="CD43" s="445">
        <f t="shared" si="58"/>
        <v>0</v>
      </c>
      <c r="CE43" s="445">
        <f t="shared" si="59"/>
        <v>0</v>
      </c>
      <c r="CF43" s="445">
        <f t="shared" si="60"/>
        <v>0</v>
      </c>
      <c r="CG43" s="445">
        <f t="shared" si="61"/>
        <v>0</v>
      </c>
      <c r="CH43" s="445">
        <f t="shared" si="62"/>
        <v>0</v>
      </c>
      <c r="CI43" s="445">
        <f t="shared" si="63"/>
        <v>0</v>
      </c>
      <c r="CJ43" s="445">
        <f t="shared" si="64"/>
        <v>0</v>
      </c>
      <c r="CK43" s="445">
        <f t="shared" si="65"/>
        <v>0</v>
      </c>
      <c r="CL43" s="445">
        <f t="shared" si="66"/>
        <v>0</v>
      </c>
      <c r="CM43" s="445">
        <f t="shared" si="67"/>
        <v>0</v>
      </c>
      <c r="CN43" s="443">
        <f t="shared" si="104"/>
        <v>0</v>
      </c>
      <c r="CP43" s="442">
        <f t="shared" si="68"/>
        <v>0</v>
      </c>
      <c r="CQ43" s="442">
        <f t="shared" si="69"/>
        <v>0</v>
      </c>
      <c r="CR43" s="442">
        <f t="shared" si="70"/>
        <v>0</v>
      </c>
      <c r="CS43" s="442">
        <f t="shared" si="71"/>
        <v>0</v>
      </c>
      <c r="CT43" s="442">
        <f t="shared" si="72"/>
        <v>0</v>
      </c>
      <c r="CU43" s="442">
        <f t="shared" si="73"/>
        <v>0</v>
      </c>
      <c r="CV43" s="442">
        <f t="shared" si="74"/>
        <v>0</v>
      </c>
      <c r="CW43" s="442">
        <f t="shared" si="75"/>
        <v>0</v>
      </c>
      <c r="CX43" s="442">
        <f t="shared" si="76"/>
        <v>0</v>
      </c>
      <c r="CY43" s="442">
        <f t="shared" si="77"/>
        <v>0</v>
      </c>
      <c r="CZ43" s="443">
        <f t="shared" si="105"/>
        <v>0</v>
      </c>
      <c r="DB43" s="442">
        <f t="shared" si="78"/>
        <v>0</v>
      </c>
      <c r="DC43" s="442">
        <f t="shared" si="79"/>
        <v>0</v>
      </c>
      <c r="DD43" s="442">
        <f t="shared" si="80"/>
        <v>0</v>
      </c>
      <c r="DE43" s="442">
        <f t="shared" si="81"/>
        <v>0</v>
      </c>
      <c r="DF43" s="442">
        <f t="shared" si="82"/>
        <v>0</v>
      </c>
      <c r="DG43" s="442">
        <f t="shared" si="83"/>
        <v>0</v>
      </c>
      <c r="DH43" s="442">
        <f t="shared" si="84"/>
        <v>0</v>
      </c>
      <c r="DI43" s="442">
        <f t="shared" si="85"/>
        <v>0</v>
      </c>
      <c r="DJ43" s="442">
        <f t="shared" si="86"/>
        <v>0</v>
      </c>
      <c r="DK43" s="442">
        <f t="shared" si="87"/>
        <v>0</v>
      </c>
      <c r="DL43" s="443">
        <f t="shared" si="106"/>
        <v>0</v>
      </c>
      <c r="DN43" s="442">
        <f>IF('2. START'!$C$14&gt;0,(AT43/(1+$AA43))*(1+'2. START'!$C$14),AT43)</f>
        <v>0</v>
      </c>
      <c r="DO43" s="442">
        <f>IF('2. START'!$C$14&gt;0,(AU43/(1+$AA43))*(1+'2. START'!$C$14),AU43)</f>
        <v>0</v>
      </c>
      <c r="DP43" s="442">
        <f>IF('2. START'!$C$14&gt;0,(AV43/(1+$AA43))*(1+'2. START'!$C$14),AV43)</f>
        <v>0</v>
      </c>
      <c r="DQ43" s="442">
        <f>IF('2. START'!$C$14&gt;0,(AW43/(1+$AA43))*(1+'2. START'!$C$14),AW43)</f>
        <v>0</v>
      </c>
      <c r="DR43" s="442">
        <f>IF('2. START'!$C$14&gt;0,(AX43/(1+$AA43))*(1+'2. START'!$C$14),AX43)</f>
        <v>0</v>
      </c>
      <c r="DS43" s="442">
        <f>IF('2. START'!$C$14&gt;0,(AY43/(1+$AA43))*(1+'2. START'!$C$14),AY43)</f>
        <v>0</v>
      </c>
      <c r="DT43" s="442">
        <f>IF('2. START'!$C$14&gt;0,(AZ43/(1+$AA43))*(1+'2. START'!$C$14),AZ43)</f>
        <v>0</v>
      </c>
      <c r="DU43" s="442">
        <f>IF('2. START'!$C$14&gt;0,(BA43/(1+$AA43))*(1+'2. START'!$C$14),BA43)</f>
        <v>0</v>
      </c>
      <c r="DV43" s="442">
        <f>IF('2. START'!$C$14&gt;0,(BB43/(1+$AA43))*(1+'2. START'!$C$14),BB43)</f>
        <v>0</v>
      </c>
      <c r="DW43" s="442">
        <f>IF('2. START'!$C$14&gt;0,(BC43/(1+$AA43))*(1+'2. START'!$C$14),BC43)</f>
        <v>0</v>
      </c>
      <c r="DX43" s="443">
        <f t="shared" si="107"/>
        <v>0</v>
      </c>
      <c r="DZ43" s="442">
        <f>IF('2. START'!$C$11="NO",(IF('2. START'!$C$14&gt;0,(DN43*$AD43),(AT43*$AD43))),(BR43+CP43))</f>
        <v>0</v>
      </c>
      <c r="EA43" s="442">
        <f>IF('2. START'!$C$11="NO",(IF('2. START'!$C$14&gt;0,(DO43*$AD43),(AU43*$AD43))),(BS43+CQ43))</f>
        <v>0</v>
      </c>
      <c r="EB43" s="442">
        <f>IF('2. START'!$C$11="NO",(IF('2. START'!$C$14&gt;0,(DP43*$AD43),(AV43*$AD43))),(BT43+CR43))</f>
        <v>0</v>
      </c>
      <c r="EC43" s="442">
        <f>IF('2. START'!$C$11="NO",(IF('2. START'!$C$14&gt;0,(DQ43*$AD43),(AW43*$AD43))),(BU43+CS43))</f>
        <v>0</v>
      </c>
      <c r="ED43" s="442">
        <f>IF('2. START'!$C$11="NO",(IF('2. START'!$C$14&gt;0,(DR43*$AD43),(AX43*$AD43))),(BV43+CT43))</f>
        <v>0</v>
      </c>
      <c r="EE43" s="442">
        <f>IF('2. START'!$C$11="NO",(IF('2. START'!$C$14&gt;0,(DS43*$AD43),(AY43*$AD43))),(BW43+CU43))</f>
        <v>0</v>
      </c>
      <c r="EF43" s="442">
        <f>IF('2. START'!$C$11="NO",(IF('2. START'!$C$14&gt;0,(DT43*$AD43),(AZ43*$AD43))),(BX43+CV43))</f>
        <v>0</v>
      </c>
      <c r="EG43" s="442">
        <f>IF('2. START'!$C$11="NO",(IF('2. START'!$C$14&gt;0,(DU43*$AD43),(BA43*$AD43))),(BY43+CW43))</f>
        <v>0</v>
      </c>
      <c r="EH43" s="442">
        <f>IF('2. START'!$C$11="NO",(IF('2. START'!$C$14&gt;0,(DV43*$AD43),(BB43*$AD43))),(BZ43+CX43))</f>
        <v>0</v>
      </c>
      <c r="EI43" s="442">
        <f>IF('2. START'!$C$11="NO",(IF('2. START'!$C$14&gt;0,(DW43*$AD43),(BC43*$AD43))),(CA43+CY43))</f>
        <v>0</v>
      </c>
      <c r="EJ43" s="443">
        <f t="shared" si="108"/>
        <v>0</v>
      </c>
      <c r="EL43" s="442">
        <f>(BR43+CP43-DZ43)+IF('2. START'!$C$14&gt;0,AT43-DN43,0)</f>
        <v>0</v>
      </c>
      <c r="EM43" s="442">
        <f>(BS43+CQ43-EA43)+IF('2. START'!$C$14&gt;0,AU43-DO43,0)</f>
        <v>0</v>
      </c>
      <c r="EN43" s="442">
        <f>(BT43+CR43-EB43)+IF('2. START'!$C$14&gt;0,AV43-DP43,0)</f>
        <v>0</v>
      </c>
      <c r="EO43" s="442">
        <f>(BU43+CS43-EC43)+IF('2. START'!$C$14&gt;0,AW43-DQ43,0)</f>
        <v>0</v>
      </c>
      <c r="EP43" s="442">
        <f>(BV43+CT43-ED43)+IF('2. START'!$C$14&gt;0,AX43-DR43,0)</f>
        <v>0</v>
      </c>
      <c r="EQ43" s="442">
        <f>(BW43+CU43-EE43)+IF('2. START'!$C$14&gt;0,AY43-DS43,0)</f>
        <v>0</v>
      </c>
      <c r="ER43" s="442">
        <f>(BX43+CV43-EF43)+IF('2. START'!$C$14&gt;0,AZ43-DT43,0)</f>
        <v>0</v>
      </c>
      <c r="ES43" s="442">
        <f>(BY43+CW43-EG43)+IF('2. START'!$C$14&gt;0,BA43-DU43,0)</f>
        <v>0</v>
      </c>
      <c r="ET43" s="442">
        <f>(BZ43+CX43-EH43)+IF('2. START'!$C$14&gt;0,BB43-DV43,0)</f>
        <v>0</v>
      </c>
      <c r="EU43" s="442">
        <f>(CA43+CY43-EI43)+IF('2. START'!$C$14&gt;0,BC43-DW43,0)</f>
        <v>0</v>
      </c>
      <c r="EV43" s="443">
        <f t="shared" si="109"/>
        <v>0</v>
      </c>
      <c r="EX43" s="442">
        <f t="shared" si="110"/>
        <v>0</v>
      </c>
      <c r="EY43" s="442">
        <f t="shared" si="111"/>
        <v>0</v>
      </c>
      <c r="EZ43" s="442">
        <f t="shared" si="112"/>
        <v>0</v>
      </c>
      <c r="FA43" s="442">
        <f t="shared" si="113"/>
        <v>0</v>
      </c>
      <c r="FB43" s="442">
        <f t="shared" si="114"/>
        <v>0</v>
      </c>
      <c r="FC43" s="442">
        <f t="shared" si="115"/>
        <v>0</v>
      </c>
      <c r="FD43" s="442">
        <f t="shared" si="116"/>
        <v>0</v>
      </c>
      <c r="FE43" s="442">
        <f t="shared" si="117"/>
        <v>0</v>
      </c>
      <c r="FF43" s="442">
        <f t="shared" si="118"/>
        <v>0</v>
      </c>
      <c r="FG43" s="442">
        <f t="shared" si="119"/>
        <v>0</v>
      </c>
      <c r="FH43" s="443">
        <f t="shared" si="120"/>
        <v>0</v>
      </c>
      <c r="FJ43" s="442">
        <f t="shared" si="121"/>
        <v>0</v>
      </c>
      <c r="FK43" s="442">
        <f t="shared" si="122"/>
        <v>0</v>
      </c>
      <c r="FL43" s="442">
        <f t="shared" si="123"/>
        <v>0</v>
      </c>
      <c r="FM43" s="442">
        <f t="shared" si="124"/>
        <v>0</v>
      </c>
      <c r="FN43" s="442">
        <f t="shared" si="125"/>
        <v>0</v>
      </c>
      <c r="FO43" s="442">
        <f t="shared" si="126"/>
        <v>0</v>
      </c>
      <c r="FP43" s="442">
        <f t="shared" si="127"/>
        <v>0</v>
      </c>
      <c r="FQ43" s="442">
        <f t="shared" si="128"/>
        <v>0</v>
      </c>
      <c r="FR43" s="442">
        <f t="shared" si="129"/>
        <v>0</v>
      </c>
      <c r="FS43" s="442">
        <f t="shared" si="130"/>
        <v>0</v>
      </c>
      <c r="FT43" s="443">
        <f t="shared" si="131"/>
        <v>0</v>
      </c>
    </row>
    <row r="44" spans="2:176" s="270" customFormat="1" ht="15" customHeight="1" x14ac:dyDescent="0.25">
      <c r="B44" s="446" t="str">
        <f>'2. START'!C$7</f>
        <v>100GEM</v>
      </c>
      <c r="C44" s="469"/>
      <c r="D44" s="589"/>
      <c r="E44" s="544">
        <v>0</v>
      </c>
      <c r="F44" s="448"/>
      <c r="G44" s="449"/>
      <c r="H44" s="449"/>
      <c r="I44" s="449"/>
      <c r="J44" s="449"/>
      <c r="K44" s="449"/>
      <c r="L44" s="449"/>
      <c r="M44" s="449"/>
      <c r="N44" s="449"/>
      <c r="O44" s="449"/>
      <c r="P44" s="449"/>
      <c r="Q44" s="546">
        <f>SUMIF('3. PARTNER'!$B$13:$B$80,$B44,'3. PARTNER'!$F$13:$F$80)</f>
        <v>0.02</v>
      </c>
      <c r="R44" s="450">
        <f t="shared" si="133"/>
        <v>0.02</v>
      </c>
      <c r="S44" s="450">
        <f t="shared" si="133"/>
        <v>0.02</v>
      </c>
      <c r="T44" s="450">
        <f t="shared" si="133"/>
        <v>0.02</v>
      </c>
      <c r="U44" s="450">
        <f t="shared" si="133"/>
        <v>0.02</v>
      </c>
      <c r="V44" s="450">
        <f t="shared" si="133"/>
        <v>0.02</v>
      </c>
      <c r="W44" s="450">
        <f t="shared" si="133"/>
        <v>0.02</v>
      </c>
      <c r="X44" s="450">
        <f t="shared" si="133"/>
        <v>0.02</v>
      </c>
      <c r="Y44" s="450">
        <f t="shared" si="133"/>
        <v>0.02</v>
      </c>
      <c r="Z44" s="450">
        <f t="shared" si="133"/>
        <v>0.02</v>
      </c>
      <c r="AA44" s="451">
        <f>SUMIF('3. PARTNER'!B$13:B$80,B44,'3. PARTNER'!E$13:E$80)</f>
        <v>0.5595</v>
      </c>
      <c r="AB44" s="452">
        <f>IF('2. START'!$C$20="UTB",(SUMIF('3. PARTNER'!B$13:B$80,B44,'3. PARTNER'!K$13:K$80))+(SUMIF('3. PARTNER'!B$13:B$80,B44,'3. PARTNER'!M$13:M$80)),(SUMIF('3. PARTNER'!B$13:B$80,B44,'3. PARTNER'!G$13:G$80))+(SUMIF('3. PARTNER'!B$13:B$80,B44,'3. PARTNER'!I$13:I$80)))</f>
        <v>0.16000843770704321</v>
      </c>
      <c r="AC44" s="452">
        <f>IF('2. START'!$C$20="UTB",(SUMIF('3. PARTNER'!B$13:B$80,B44,'3. PARTNER'!L$13:L$80))+(SUMIF('3. PARTNER'!B$13:B$80,B44,'3. PARTNER'!N$13:N$80)),(SUMIF('3. PARTNER'!B$13:B$80,B44,'3. PARTNER'!H$13:H$80))+(SUMIF('3. PARTNER'!B$13:B$80,B44,'3. PARTNER'!J$13:J$80)))</f>
        <v>0</v>
      </c>
      <c r="AD44" s="452">
        <f>IF('2. START'!C$11="NO",'2. START'!C$12,0)</f>
        <v>0</v>
      </c>
      <c r="AE44" s="453">
        <f t="shared" si="98"/>
        <v>0</v>
      </c>
      <c r="AF44" s="453">
        <f t="shared" si="99"/>
        <v>0</v>
      </c>
      <c r="AG44" s="454"/>
      <c r="AH44" s="455">
        <f t="shared" si="18"/>
        <v>0</v>
      </c>
      <c r="AI44" s="455">
        <f t="shared" si="19"/>
        <v>0</v>
      </c>
      <c r="AJ44" s="455">
        <f t="shared" si="20"/>
        <v>0</v>
      </c>
      <c r="AK44" s="455">
        <f t="shared" si="21"/>
        <v>0</v>
      </c>
      <c r="AL44" s="455">
        <f t="shared" si="22"/>
        <v>0</v>
      </c>
      <c r="AM44" s="455">
        <f t="shared" si="23"/>
        <v>0</v>
      </c>
      <c r="AN44" s="455">
        <f t="shared" si="24"/>
        <v>0</v>
      </c>
      <c r="AO44" s="455">
        <f t="shared" si="25"/>
        <v>0</v>
      </c>
      <c r="AP44" s="455">
        <f t="shared" si="26"/>
        <v>0</v>
      </c>
      <c r="AQ44" s="455">
        <f t="shared" si="27"/>
        <v>0</v>
      </c>
      <c r="AR44" s="456">
        <f t="shared" si="100"/>
        <v>0</v>
      </c>
      <c r="AS44" s="457"/>
      <c r="AT44" s="455">
        <f t="shared" si="28"/>
        <v>0</v>
      </c>
      <c r="AU44" s="455">
        <f t="shared" si="29"/>
        <v>0</v>
      </c>
      <c r="AV44" s="455">
        <f t="shared" si="30"/>
        <v>0</v>
      </c>
      <c r="AW44" s="455">
        <f t="shared" si="31"/>
        <v>0</v>
      </c>
      <c r="AX44" s="455">
        <f t="shared" si="32"/>
        <v>0</v>
      </c>
      <c r="AY44" s="455">
        <f t="shared" si="33"/>
        <v>0</v>
      </c>
      <c r="AZ44" s="455">
        <f t="shared" si="34"/>
        <v>0</v>
      </c>
      <c r="BA44" s="455">
        <f t="shared" si="35"/>
        <v>0</v>
      </c>
      <c r="BB44" s="455">
        <f t="shared" si="36"/>
        <v>0</v>
      </c>
      <c r="BC44" s="455">
        <f t="shared" si="37"/>
        <v>0</v>
      </c>
      <c r="BD44" s="456">
        <f t="shared" si="101"/>
        <v>0</v>
      </c>
      <c r="BE44" s="457"/>
      <c r="BF44" s="455">
        <f t="shared" si="38"/>
        <v>0</v>
      </c>
      <c r="BG44" s="455">
        <f t="shared" si="39"/>
        <v>0</v>
      </c>
      <c r="BH44" s="455">
        <f t="shared" si="40"/>
        <v>0</v>
      </c>
      <c r="BI44" s="455">
        <f t="shared" si="41"/>
        <v>0</v>
      </c>
      <c r="BJ44" s="455">
        <f t="shared" si="42"/>
        <v>0</v>
      </c>
      <c r="BK44" s="455">
        <f t="shared" si="43"/>
        <v>0</v>
      </c>
      <c r="BL44" s="455">
        <f t="shared" si="44"/>
        <v>0</v>
      </c>
      <c r="BM44" s="455">
        <f t="shared" si="45"/>
        <v>0</v>
      </c>
      <c r="BN44" s="455">
        <f t="shared" si="46"/>
        <v>0</v>
      </c>
      <c r="BO44" s="455">
        <f t="shared" si="47"/>
        <v>0</v>
      </c>
      <c r="BP44" s="456">
        <f t="shared" si="102"/>
        <v>0</v>
      </c>
      <c r="BQ44" s="463"/>
      <c r="BR44" s="459">
        <f t="shared" si="48"/>
        <v>0</v>
      </c>
      <c r="BS44" s="459">
        <f t="shared" si="49"/>
        <v>0</v>
      </c>
      <c r="BT44" s="459">
        <f t="shared" si="50"/>
        <v>0</v>
      </c>
      <c r="BU44" s="459">
        <f t="shared" si="51"/>
        <v>0</v>
      </c>
      <c r="BV44" s="459">
        <f t="shared" si="52"/>
        <v>0</v>
      </c>
      <c r="BW44" s="459">
        <f t="shared" si="53"/>
        <v>0</v>
      </c>
      <c r="BX44" s="459">
        <f t="shared" si="54"/>
        <v>0</v>
      </c>
      <c r="BY44" s="459">
        <f t="shared" si="55"/>
        <v>0</v>
      </c>
      <c r="BZ44" s="459">
        <f t="shared" si="56"/>
        <v>0</v>
      </c>
      <c r="CA44" s="459">
        <f t="shared" si="57"/>
        <v>0</v>
      </c>
      <c r="CB44" s="460">
        <f t="shared" si="103"/>
        <v>0</v>
      </c>
      <c r="CC44" s="463"/>
      <c r="CD44" s="462">
        <f t="shared" si="58"/>
        <v>0</v>
      </c>
      <c r="CE44" s="462">
        <f t="shared" si="59"/>
        <v>0</v>
      </c>
      <c r="CF44" s="462">
        <f t="shared" si="60"/>
        <v>0</v>
      </c>
      <c r="CG44" s="462">
        <f t="shared" si="61"/>
        <v>0</v>
      </c>
      <c r="CH44" s="462">
        <f t="shared" si="62"/>
        <v>0</v>
      </c>
      <c r="CI44" s="462">
        <f t="shared" si="63"/>
        <v>0</v>
      </c>
      <c r="CJ44" s="462">
        <f t="shared" si="64"/>
        <v>0</v>
      </c>
      <c r="CK44" s="462">
        <f t="shared" si="65"/>
        <v>0</v>
      </c>
      <c r="CL44" s="462">
        <f t="shared" si="66"/>
        <v>0</v>
      </c>
      <c r="CM44" s="462">
        <f t="shared" si="67"/>
        <v>0</v>
      </c>
      <c r="CN44" s="460">
        <f t="shared" si="104"/>
        <v>0</v>
      </c>
      <c r="CO44" s="463"/>
      <c r="CP44" s="459">
        <f t="shared" si="68"/>
        <v>0</v>
      </c>
      <c r="CQ44" s="459">
        <f t="shared" si="69"/>
        <v>0</v>
      </c>
      <c r="CR44" s="459">
        <f t="shared" si="70"/>
        <v>0</v>
      </c>
      <c r="CS44" s="459">
        <f t="shared" si="71"/>
        <v>0</v>
      </c>
      <c r="CT44" s="459">
        <f t="shared" si="72"/>
        <v>0</v>
      </c>
      <c r="CU44" s="459">
        <f t="shared" si="73"/>
        <v>0</v>
      </c>
      <c r="CV44" s="459">
        <f t="shared" si="74"/>
        <v>0</v>
      </c>
      <c r="CW44" s="459">
        <f t="shared" si="75"/>
        <v>0</v>
      </c>
      <c r="CX44" s="459">
        <f t="shared" si="76"/>
        <v>0</v>
      </c>
      <c r="CY44" s="459">
        <f t="shared" si="77"/>
        <v>0</v>
      </c>
      <c r="CZ44" s="460">
        <f t="shared" si="105"/>
        <v>0</v>
      </c>
      <c r="DA44" s="463"/>
      <c r="DB44" s="459">
        <f t="shared" si="78"/>
        <v>0</v>
      </c>
      <c r="DC44" s="459">
        <f t="shared" si="79"/>
        <v>0</v>
      </c>
      <c r="DD44" s="459">
        <f t="shared" si="80"/>
        <v>0</v>
      </c>
      <c r="DE44" s="459">
        <f t="shared" si="81"/>
        <v>0</v>
      </c>
      <c r="DF44" s="459">
        <f t="shared" si="82"/>
        <v>0</v>
      </c>
      <c r="DG44" s="459">
        <f t="shared" si="83"/>
        <v>0</v>
      </c>
      <c r="DH44" s="459">
        <f t="shared" si="84"/>
        <v>0</v>
      </c>
      <c r="DI44" s="459">
        <f t="shared" si="85"/>
        <v>0</v>
      </c>
      <c r="DJ44" s="459">
        <f t="shared" si="86"/>
        <v>0</v>
      </c>
      <c r="DK44" s="459">
        <f t="shared" si="87"/>
        <v>0</v>
      </c>
      <c r="DL44" s="460">
        <f t="shared" si="106"/>
        <v>0</v>
      </c>
      <c r="DM44" s="463"/>
      <c r="DN44" s="442">
        <f>IF('2. START'!$C$14&gt;0,(AT44/(1+$AA44))*(1+'2. START'!$C$14),AT44)</f>
        <v>0</v>
      </c>
      <c r="DO44" s="442">
        <f>IF('2. START'!$C$14&gt;0,(AU44/(1+$AA44))*(1+'2. START'!$C$14),AU44)</f>
        <v>0</v>
      </c>
      <c r="DP44" s="442">
        <f>IF('2. START'!$C$14&gt;0,(AV44/(1+$AA44))*(1+'2. START'!$C$14),AV44)</f>
        <v>0</v>
      </c>
      <c r="DQ44" s="442">
        <f>IF('2. START'!$C$14&gt;0,(AW44/(1+$AA44))*(1+'2. START'!$C$14),AW44)</f>
        <v>0</v>
      </c>
      <c r="DR44" s="442">
        <f>IF('2. START'!$C$14&gt;0,(AX44/(1+$AA44))*(1+'2. START'!$C$14),AX44)</f>
        <v>0</v>
      </c>
      <c r="DS44" s="442">
        <f>IF('2. START'!$C$14&gt;0,(AY44/(1+$AA44))*(1+'2. START'!$C$14),AY44)</f>
        <v>0</v>
      </c>
      <c r="DT44" s="442">
        <f>IF('2. START'!$C$14&gt;0,(AZ44/(1+$AA44))*(1+'2. START'!$C$14),AZ44)</f>
        <v>0</v>
      </c>
      <c r="DU44" s="442">
        <f>IF('2. START'!$C$14&gt;0,(BA44/(1+$AA44))*(1+'2. START'!$C$14),BA44)</f>
        <v>0</v>
      </c>
      <c r="DV44" s="442">
        <f>IF('2. START'!$C$14&gt;0,(BB44/(1+$AA44))*(1+'2. START'!$C$14),BB44)</f>
        <v>0</v>
      </c>
      <c r="DW44" s="442">
        <f>IF('2. START'!$C$14&gt;0,(BC44/(1+$AA44))*(1+'2. START'!$C$14),BC44)</f>
        <v>0</v>
      </c>
      <c r="DX44" s="460">
        <f t="shared" si="107"/>
        <v>0</v>
      </c>
      <c r="DY44" s="463"/>
      <c r="DZ44" s="459">
        <f>IF('2. START'!$C$11="NO",(IF('2. START'!$C$14&gt;0,(DN44*$AD44),(AT44*$AD44))),(BR44+CP44))</f>
        <v>0</v>
      </c>
      <c r="EA44" s="459">
        <f>IF('2. START'!$C$11="NO",(IF('2. START'!$C$14&gt;0,(DO44*$AD44),(AU44*$AD44))),(BS44+CQ44))</f>
        <v>0</v>
      </c>
      <c r="EB44" s="459">
        <f>IF('2. START'!$C$11="NO",(IF('2. START'!$C$14&gt;0,(DP44*$AD44),(AV44*$AD44))),(BT44+CR44))</f>
        <v>0</v>
      </c>
      <c r="EC44" s="459">
        <f>IF('2. START'!$C$11="NO",(IF('2. START'!$C$14&gt;0,(DQ44*$AD44),(AW44*$AD44))),(BU44+CS44))</f>
        <v>0</v>
      </c>
      <c r="ED44" s="459">
        <f>IF('2. START'!$C$11="NO",(IF('2. START'!$C$14&gt;0,(DR44*$AD44),(AX44*$AD44))),(BV44+CT44))</f>
        <v>0</v>
      </c>
      <c r="EE44" s="459">
        <f>IF('2. START'!$C$11="NO",(IF('2. START'!$C$14&gt;0,(DS44*$AD44),(AY44*$AD44))),(BW44+CU44))</f>
        <v>0</v>
      </c>
      <c r="EF44" s="459">
        <f>IF('2. START'!$C$11="NO",(IF('2. START'!$C$14&gt;0,(DT44*$AD44),(AZ44*$AD44))),(BX44+CV44))</f>
        <v>0</v>
      </c>
      <c r="EG44" s="459">
        <f>IF('2. START'!$C$11="NO",(IF('2. START'!$C$14&gt;0,(DU44*$AD44),(BA44*$AD44))),(BY44+CW44))</f>
        <v>0</v>
      </c>
      <c r="EH44" s="459">
        <f>IF('2. START'!$C$11="NO",(IF('2. START'!$C$14&gt;0,(DV44*$AD44),(BB44*$AD44))),(BZ44+CX44))</f>
        <v>0</v>
      </c>
      <c r="EI44" s="459">
        <f>IF('2. START'!$C$11="NO",(IF('2. START'!$C$14&gt;0,(DW44*$AD44),(BC44*$AD44))),(CA44+CY44))</f>
        <v>0</v>
      </c>
      <c r="EJ44" s="460">
        <f t="shared" si="108"/>
        <v>0</v>
      </c>
      <c r="EK44" s="463"/>
      <c r="EL44" s="459">
        <f>(BR44+CP44-DZ44)+IF('2. START'!$C$14&gt;0,AT44-DN44,0)</f>
        <v>0</v>
      </c>
      <c r="EM44" s="459">
        <f>(BS44+CQ44-EA44)+IF('2. START'!$C$14&gt;0,AU44-DO44,0)</f>
        <v>0</v>
      </c>
      <c r="EN44" s="459">
        <f>(BT44+CR44-EB44)+IF('2. START'!$C$14&gt;0,AV44-DP44,0)</f>
        <v>0</v>
      </c>
      <c r="EO44" s="459">
        <f>(BU44+CS44-EC44)+IF('2. START'!$C$14&gt;0,AW44-DQ44,0)</f>
        <v>0</v>
      </c>
      <c r="EP44" s="459">
        <f>(BV44+CT44-ED44)+IF('2. START'!$C$14&gt;0,AX44-DR44,0)</f>
        <v>0</v>
      </c>
      <c r="EQ44" s="459">
        <f>(BW44+CU44-EE44)+IF('2. START'!$C$14&gt;0,AY44-DS44,0)</f>
        <v>0</v>
      </c>
      <c r="ER44" s="459">
        <f>(BX44+CV44-EF44)+IF('2. START'!$C$14&gt;0,AZ44-DT44,0)</f>
        <v>0</v>
      </c>
      <c r="ES44" s="459">
        <f>(BY44+CW44-EG44)+IF('2. START'!$C$14&gt;0,BA44-DU44,0)</f>
        <v>0</v>
      </c>
      <c r="ET44" s="459">
        <f>(BZ44+CX44-EH44)+IF('2. START'!$C$14&gt;0,BB44-DV44,0)</f>
        <v>0</v>
      </c>
      <c r="EU44" s="459">
        <f>(CA44+CY44-EI44)+IF('2. START'!$C$14&gt;0,BC44-DW44,0)</f>
        <v>0</v>
      </c>
      <c r="EV44" s="460">
        <f t="shared" si="109"/>
        <v>0</v>
      </c>
      <c r="EW44" s="463"/>
      <c r="EX44" s="459">
        <f t="shared" si="110"/>
        <v>0</v>
      </c>
      <c r="EY44" s="459">
        <f t="shared" si="111"/>
        <v>0</v>
      </c>
      <c r="EZ44" s="459">
        <f t="shared" si="112"/>
        <v>0</v>
      </c>
      <c r="FA44" s="459">
        <f t="shared" si="113"/>
        <v>0</v>
      </c>
      <c r="FB44" s="459">
        <f t="shared" si="114"/>
        <v>0</v>
      </c>
      <c r="FC44" s="459">
        <f t="shared" si="115"/>
        <v>0</v>
      </c>
      <c r="FD44" s="459">
        <f t="shared" si="116"/>
        <v>0</v>
      </c>
      <c r="FE44" s="459">
        <f t="shared" si="117"/>
        <v>0</v>
      </c>
      <c r="FF44" s="459">
        <f t="shared" si="118"/>
        <v>0</v>
      </c>
      <c r="FG44" s="459">
        <f t="shared" si="119"/>
        <v>0</v>
      </c>
      <c r="FH44" s="460">
        <f t="shared" si="120"/>
        <v>0</v>
      </c>
      <c r="FI44" s="463"/>
      <c r="FJ44" s="459">
        <f t="shared" si="121"/>
        <v>0</v>
      </c>
      <c r="FK44" s="459">
        <f t="shared" si="122"/>
        <v>0</v>
      </c>
      <c r="FL44" s="459">
        <f t="shared" si="123"/>
        <v>0</v>
      </c>
      <c r="FM44" s="459">
        <f t="shared" si="124"/>
        <v>0</v>
      </c>
      <c r="FN44" s="459">
        <f t="shared" si="125"/>
        <v>0</v>
      </c>
      <c r="FO44" s="459">
        <f t="shared" si="126"/>
        <v>0</v>
      </c>
      <c r="FP44" s="459">
        <f t="shared" si="127"/>
        <v>0</v>
      </c>
      <c r="FQ44" s="459">
        <f t="shared" si="128"/>
        <v>0</v>
      </c>
      <c r="FR44" s="459">
        <f t="shared" si="129"/>
        <v>0</v>
      </c>
      <c r="FS44" s="459">
        <f t="shared" si="130"/>
        <v>0</v>
      </c>
      <c r="FT44" s="460">
        <f t="shared" si="131"/>
        <v>0</v>
      </c>
    </row>
    <row r="45" spans="2:176" s="270" customFormat="1" ht="15" customHeight="1" x14ac:dyDescent="0.25">
      <c r="B45" s="464" t="str">
        <f>'2. START'!C$7</f>
        <v>100GEM</v>
      </c>
      <c r="C45" s="470"/>
      <c r="D45" s="590"/>
      <c r="E45" s="514">
        <v>0</v>
      </c>
      <c r="F45" s="467"/>
      <c r="G45" s="432"/>
      <c r="H45" s="432"/>
      <c r="I45" s="432"/>
      <c r="J45" s="432"/>
      <c r="K45" s="432"/>
      <c r="L45" s="432"/>
      <c r="M45" s="432"/>
      <c r="N45" s="432"/>
      <c r="O45" s="432"/>
      <c r="P45" s="432"/>
      <c r="Q45" s="545">
        <f>SUMIF('3. PARTNER'!$B$13:$B$80,$B45,'3. PARTNER'!$F$13:$F$80)</f>
        <v>0.02</v>
      </c>
      <c r="R45" s="466">
        <f t="shared" si="133"/>
        <v>0.02</v>
      </c>
      <c r="S45" s="466">
        <f t="shared" si="133"/>
        <v>0.02</v>
      </c>
      <c r="T45" s="466">
        <f t="shared" si="133"/>
        <v>0.02</v>
      </c>
      <c r="U45" s="466">
        <f t="shared" si="133"/>
        <v>0.02</v>
      </c>
      <c r="V45" s="466">
        <f t="shared" si="133"/>
        <v>0.02</v>
      </c>
      <c r="W45" s="466">
        <f t="shared" si="133"/>
        <v>0.02</v>
      </c>
      <c r="X45" s="466">
        <f t="shared" si="133"/>
        <v>0.02</v>
      </c>
      <c r="Y45" s="466">
        <f t="shared" si="133"/>
        <v>0.02</v>
      </c>
      <c r="Z45" s="466">
        <f t="shared" si="133"/>
        <v>0.02</v>
      </c>
      <c r="AA45" s="434">
        <f>SUMIF('3. PARTNER'!B$13:B$80,B45,'3. PARTNER'!E$13:E$80)</f>
        <v>0.5595</v>
      </c>
      <c r="AB45" s="435">
        <f>IF('2. START'!$C$20="UTB",(SUMIF('3. PARTNER'!B$13:B$80,B45,'3. PARTNER'!K$13:K$80))+(SUMIF('3. PARTNER'!B$13:B$80,B45,'3. PARTNER'!M$13:M$80)),(SUMIF('3. PARTNER'!B$13:B$80,B45,'3. PARTNER'!G$13:G$80))+(SUMIF('3. PARTNER'!B$13:B$80,B45,'3. PARTNER'!I$13:I$80)))</f>
        <v>0.16000843770704321</v>
      </c>
      <c r="AC45" s="435">
        <f>IF('2. START'!$C$20="UTB",(SUMIF('3. PARTNER'!B$13:B$80,B45,'3. PARTNER'!L$13:L$80))+(SUMIF('3. PARTNER'!B$13:B$80,B45,'3. PARTNER'!N$13:N$80)),(SUMIF('3. PARTNER'!B$13:B$80,B45,'3. PARTNER'!H$13:H$80))+(SUMIF('3. PARTNER'!B$13:B$80,B45,'3. PARTNER'!J$13:J$80)))</f>
        <v>0</v>
      </c>
      <c r="AD45" s="435">
        <f>IF('2. START'!C$11="NO",'2. START'!C$12,0)</f>
        <v>0</v>
      </c>
      <c r="AE45" s="436">
        <f t="shared" si="98"/>
        <v>0</v>
      </c>
      <c r="AF45" s="436">
        <f t="shared" si="99"/>
        <v>0</v>
      </c>
      <c r="AG45" s="437"/>
      <c r="AH45" s="438">
        <f t="shared" si="18"/>
        <v>0</v>
      </c>
      <c r="AI45" s="438">
        <f t="shared" si="19"/>
        <v>0</v>
      </c>
      <c r="AJ45" s="438">
        <f t="shared" si="20"/>
        <v>0</v>
      </c>
      <c r="AK45" s="438">
        <f t="shared" si="21"/>
        <v>0</v>
      </c>
      <c r="AL45" s="438">
        <f t="shared" si="22"/>
        <v>0</v>
      </c>
      <c r="AM45" s="438">
        <f t="shared" si="23"/>
        <v>0</v>
      </c>
      <c r="AN45" s="438">
        <f t="shared" si="24"/>
        <v>0</v>
      </c>
      <c r="AO45" s="438">
        <f t="shared" si="25"/>
        <v>0</v>
      </c>
      <c r="AP45" s="438">
        <f t="shared" si="26"/>
        <v>0</v>
      </c>
      <c r="AQ45" s="438">
        <f t="shared" si="27"/>
        <v>0</v>
      </c>
      <c r="AR45" s="439">
        <f t="shared" si="100"/>
        <v>0</v>
      </c>
      <c r="AS45" s="440"/>
      <c r="AT45" s="438">
        <f t="shared" si="28"/>
        <v>0</v>
      </c>
      <c r="AU45" s="438">
        <f t="shared" si="29"/>
        <v>0</v>
      </c>
      <c r="AV45" s="438">
        <f t="shared" si="30"/>
        <v>0</v>
      </c>
      <c r="AW45" s="438">
        <f t="shared" si="31"/>
        <v>0</v>
      </c>
      <c r="AX45" s="438">
        <f t="shared" si="32"/>
        <v>0</v>
      </c>
      <c r="AY45" s="438">
        <f t="shared" si="33"/>
        <v>0</v>
      </c>
      <c r="AZ45" s="438">
        <f t="shared" si="34"/>
        <v>0</v>
      </c>
      <c r="BA45" s="438">
        <f t="shared" si="35"/>
        <v>0</v>
      </c>
      <c r="BB45" s="438">
        <f t="shared" si="36"/>
        <v>0</v>
      </c>
      <c r="BC45" s="438">
        <f t="shared" si="37"/>
        <v>0</v>
      </c>
      <c r="BD45" s="439">
        <f t="shared" si="101"/>
        <v>0</v>
      </c>
      <c r="BE45" s="440"/>
      <c r="BF45" s="438">
        <f t="shared" si="38"/>
        <v>0</v>
      </c>
      <c r="BG45" s="438">
        <f t="shared" si="39"/>
        <v>0</v>
      </c>
      <c r="BH45" s="438">
        <f t="shared" si="40"/>
        <v>0</v>
      </c>
      <c r="BI45" s="438">
        <f t="shared" si="41"/>
        <v>0</v>
      </c>
      <c r="BJ45" s="438">
        <f t="shared" si="42"/>
        <v>0</v>
      </c>
      <c r="BK45" s="438">
        <f t="shared" si="43"/>
        <v>0</v>
      </c>
      <c r="BL45" s="438">
        <f t="shared" si="44"/>
        <v>0</v>
      </c>
      <c r="BM45" s="438">
        <f t="shared" si="45"/>
        <v>0</v>
      </c>
      <c r="BN45" s="438">
        <f t="shared" si="46"/>
        <v>0</v>
      </c>
      <c r="BO45" s="438">
        <f t="shared" si="47"/>
        <v>0</v>
      </c>
      <c r="BP45" s="439">
        <f t="shared" si="102"/>
        <v>0</v>
      </c>
      <c r="BR45" s="442">
        <f t="shared" si="48"/>
        <v>0</v>
      </c>
      <c r="BS45" s="442">
        <f t="shared" si="49"/>
        <v>0</v>
      </c>
      <c r="BT45" s="442">
        <f t="shared" si="50"/>
        <v>0</v>
      </c>
      <c r="BU45" s="442">
        <f t="shared" si="51"/>
        <v>0</v>
      </c>
      <c r="BV45" s="442">
        <f t="shared" si="52"/>
        <v>0</v>
      </c>
      <c r="BW45" s="442">
        <f t="shared" si="53"/>
        <v>0</v>
      </c>
      <c r="BX45" s="442">
        <f t="shared" si="54"/>
        <v>0</v>
      </c>
      <c r="BY45" s="442">
        <f t="shared" si="55"/>
        <v>0</v>
      </c>
      <c r="BZ45" s="442">
        <f t="shared" si="56"/>
        <v>0</v>
      </c>
      <c r="CA45" s="442">
        <f t="shared" si="57"/>
        <v>0</v>
      </c>
      <c r="CB45" s="443">
        <f t="shared" si="103"/>
        <v>0</v>
      </c>
      <c r="CD45" s="445">
        <f t="shared" si="58"/>
        <v>0</v>
      </c>
      <c r="CE45" s="445">
        <f t="shared" si="59"/>
        <v>0</v>
      </c>
      <c r="CF45" s="445">
        <f t="shared" si="60"/>
        <v>0</v>
      </c>
      <c r="CG45" s="445">
        <f t="shared" si="61"/>
        <v>0</v>
      </c>
      <c r="CH45" s="445">
        <f t="shared" si="62"/>
        <v>0</v>
      </c>
      <c r="CI45" s="445">
        <f t="shared" si="63"/>
        <v>0</v>
      </c>
      <c r="CJ45" s="445">
        <f t="shared" si="64"/>
        <v>0</v>
      </c>
      <c r="CK45" s="445">
        <f t="shared" si="65"/>
        <v>0</v>
      </c>
      <c r="CL45" s="445">
        <f t="shared" si="66"/>
        <v>0</v>
      </c>
      <c r="CM45" s="445">
        <f t="shared" si="67"/>
        <v>0</v>
      </c>
      <c r="CN45" s="443">
        <f t="shared" si="104"/>
        <v>0</v>
      </c>
      <c r="CP45" s="442">
        <f t="shared" si="68"/>
        <v>0</v>
      </c>
      <c r="CQ45" s="442">
        <f t="shared" si="69"/>
        <v>0</v>
      </c>
      <c r="CR45" s="442">
        <f t="shared" si="70"/>
        <v>0</v>
      </c>
      <c r="CS45" s="442">
        <f t="shared" si="71"/>
        <v>0</v>
      </c>
      <c r="CT45" s="442">
        <f t="shared" si="72"/>
        <v>0</v>
      </c>
      <c r="CU45" s="442">
        <f t="shared" si="73"/>
        <v>0</v>
      </c>
      <c r="CV45" s="442">
        <f t="shared" si="74"/>
        <v>0</v>
      </c>
      <c r="CW45" s="442">
        <f t="shared" si="75"/>
        <v>0</v>
      </c>
      <c r="CX45" s="442">
        <f t="shared" si="76"/>
        <v>0</v>
      </c>
      <c r="CY45" s="442">
        <f t="shared" si="77"/>
        <v>0</v>
      </c>
      <c r="CZ45" s="443">
        <f t="shared" si="105"/>
        <v>0</v>
      </c>
      <c r="DB45" s="442">
        <f t="shared" si="78"/>
        <v>0</v>
      </c>
      <c r="DC45" s="442">
        <f t="shared" si="79"/>
        <v>0</v>
      </c>
      <c r="DD45" s="442">
        <f t="shared" si="80"/>
        <v>0</v>
      </c>
      <c r="DE45" s="442">
        <f t="shared" si="81"/>
        <v>0</v>
      </c>
      <c r="DF45" s="442">
        <f t="shared" si="82"/>
        <v>0</v>
      </c>
      <c r="DG45" s="442">
        <f t="shared" si="83"/>
        <v>0</v>
      </c>
      <c r="DH45" s="442">
        <f t="shared" si="84"/>
        <v>0</v>
      </c>
      <c r="DI45" s="442">
        <f t="shared" si="85"/>
        <v>0</v>
      </c>
      <c r="DJ45" s="442">
        <f t="shared" si="86"/>
        <v>0</v>
      </c>
      <c r="DK45" s="442">
        <f t="shared" si="87"/>
        <v>0</v>
      </c>
      <c r="DL45" s="443">
        <f t="shared" si="106"/>
        <v>0</v>
      </c>
      <c r="DN45" s="442">
        <f>IF('2. START'!$C$14&gt;0,(AT45/(1+$AA45))*(1+'2. START'!$C$14),AT45)</f>
        <v>0</v>
      </c>
      <c r="DO45" s="442">
        <f>IF('2. START'!$C$14&gt;0,(AU45/(1+$AA45))*(1+'2. START'!$C$14),AU45)</f>
        <v>0</v>
      </c>
      <c r="DP45" s="442">
        <f>IF('2. START'!$C$14&gt;0,(AV45/(1+$AA45))*(1+'2. START'!$C$14),AV45)</f>
        <v>0</v>
      </c>
      <c r="DQ45" s="442">
        <f>IF('2. START'!$C$14&gt;0,(AW45/(1+$AA45))*(1+'2. START'!$C$14),AW45)</f>
        <v>0</v>
      </c>
      <c r="DR45" s="442">
        <f>IF('2. START'!$C$14&gt;0,(AX45/(1+$AA45))*(1+'2. START'!$C$14),AX45)</f>
        <v>0</v>
      </c>
      <c r="DS45" s="442">
        <f>IF('2. START'!$C$14&gt;0,(AY45/(1+$AA45))*(1+'2. START'!$C$14),AY45)</f>
        <v>0</v>
      </c>
      <c r="DT45" s="442">
        <f>IF('2. START'!$C$14&gt;0,(AZ45/(1+$AA45))*(1+'2. START'!$C$14),AZ45)</f>
        <v>0</v>
      </c>
      <c r="DU45" s="442">
        <f>IF('2. START'!$C$14&gt;0,(BA45/(1+$AA45))*(1+'2. START'!$C$14),BA45)</f>
        <v>0</v>
      </c>
      <c r="DV45" s="442">
        <f>IF('2. START'!$C$14&gt;0,(BB45/(1+$AA45))*(1+'2. START'!$C$14),BB45)</f>
        <v>0</v>
      </c>
      <c r="DW45" s="442">
        <f>IF('2. START'!$C$14&gt;0,(BC45/(1+$AA45))*(1+'2. START'!$C$14),BC45)</f>
        <v>0</v>
      </c>
      <c r="DX45" s="443">
        <f t="shared" si="107"/>
        <v>0</v>
      </c>
      <c r="DZ45" s="442">
        <f>IF('2. START'!$C$11="NO",(IF('2. START'!$C$14&gt;0,(DN45*$AD45),(AT45*$AD45))),(BR45+CP45))</f>
        <v>0</v>
      </c>
      <c r="EA45" s="442">
        <f>IF('2. START'!$C$11="NO",(IF('2. START'!$C$14&gt;0,(DO45*$AD45),(AU45*$AD45))),(BS45+CQ45))</f>
        <v>0</v>
      </c>
      <c r="EB45" s="442">
        <f>IF('2. START'!$C$11="NO",(IF('2. START'!$C$14&gt;0,(DP45*$AD45),(AV45*$AD45))),(BT45+CR45))</f>
        <v>0</v>
      </c>
      <c r="EC45" s="442">
        <f>IF('2. START'!$C$11="NO",(IF('2. START'!$C$14&gt;0,(DQ45*$AD45),(AW45*$AD45))),(BU45+CS45))</f>
        <v>0</v>
      </c>
      <c r="ED45" s="442">
        <f>IF('2. START'!$C$11="NO",(IF('2. START'!$C$14&gt;0,(DR45*$AD45),(AX45*$AD45))),(BV45+CT45))</f>
        <v>0</v>
      </c>
      <c r="EE45" s="442">
        <f>IF('2. START'!$C$11="NO",(IF('2. START'!$C$14&gt;0,(DS45*$AD45),(AY45*$AD45))),(BW45+CU45))</f>
        <v>0</v>
      </c>
      <c r="EF45" s="442">
        <f>IF('2. START'!$C$11="NO",(IF('2. START'!$C$14&gt;0,(DT45*$AD45),(AZ45*$AD45))),(BX45+CV45))</f>
        <v>0</v>
      </c>
      <c r="EG45" s="442">
        <f>IF('2. START'!$C$11="NO",(IF('2. START'!$C$14&gt;0,(DU45*$AD45),(BA45*$AD45))),(BY45+CW45))</f>
        <v>0</v>
      </c>
      <c r="EH45" s="442">
        <f>IF('2. START'!$C$11="NO",(IF('2. START'!$C$14&gt;0,(DV45*$AD45),(BB45*$AD45))),(BZ45+CX45))</f>
        <v>0</v>
      </c>
      <c r="EI45" s="442">
        <f>IF('2. START'!$C$11="NO",(IF('2. START'!$C$14&gt;0,(DW45*$AD45),(BC45*$AD45))),(CA45+CY45))</f>
        <v>0</v>
      </c>
      <c r="EJ45" s="443">
        <f t="shared" si="108"/>
        <v>0</v>
      </c>
      <c r="EL45" s="442">
        <f>(BR45+CP45-DZ45)+IF('2. START'!$C$14&gt;0,AT45-DN45,0)</f>
        <v>0</v>
      </c>
      <c r="EM45" s="442">
        <f>(BS45+CQ45-EA45)+IF('2. START'!$C$14&gt;0,AU45-DO45,0)</f>
        <v>0</v>
      </c>
      <c r="EN45" s="442">
        <f>(BT45+CR45-EB45)+IF('2. START'!$C$14&gt;0,AV45-DP45,0)</f>
        <v>0</v>
      </c>
      <c r="EO45" s="442">
        <f>(BU45+CS45-EC45)+IF('2. START'!$C$14&gt;0,AW45-DQ45,0)</f>
        <v>0</v>
      </c>
      <c r="EP45" s="442">
        <f>(BV45+CT45-ED45)+IF('2. START'!$C$14&gt;0,AX45-DR45,0)</f>
        <v>0</v>
      </c>
      <c r="EQ45" s="442">
        <f>(BW45+CU45-EE45)+IF('2. START'!$C$14&gt;0,AY45-DS45,0)</f>
        <v>0</v>
      </c>
      <c r="ER45" s="442">
        <f>(BX45+CV45-EF45)+IF('2. START'!$C$14&gt;0,AZ45-DT45,0)</f>
        <v>0</v>
      </c>
      <c r="ES45" s="442">
        <f>(BY45+CW45-EG45)+IF('2. START'!$C$14&gt;0,BA45-DU45,0)</f>
        <v>0</v>
      </c>
      <c r="ET45" s="442">
        <f>(BZ45+CX45-EH45)+IF('2. START'!$C$14&gt;0,BB45-DV45,0)</f>
        <v>0</v>
      </c>
      <c r="EU45" s="442">
        <f>(CA45+CY45-EI45)+IF('2. START'!$C$14&gt;0,BC45-DW45,0)</f>
        <v>0</v>
      </c>
      <c r="EV45" s="443">
        <f t="shared" si="109"/>
        <v>0</v>
      </c>
      <c r="EX45" s="442">
        <f t="shared" si="110"/>
        <v>0</v>
      </c>
      <c r="EY45" s="442">
        <f t="shared" si="111"/>
        <v>0</v>
      </c>
      <c r="EZ45" s="442">
        <f t="shared" si="112"/>
        <v>0</v>
      </c>
      <c r="FA45" s="442">
        <f t="shared" si="113"/>
        <v>0</v>
      </c>
      <c r="FB45" s="442">
        <f t="shared" si="114"/>
        <v>0</v>
      </c>
      <c r="FC45" s="442">
        <f t="shared" si="115"/>
        <v>0</v>
      </c>
      <c r="FD45" s="442">
        <f t="shared" si="116"/>
        <v>0</v>
      </c>
      <c r="FE45" s="442">
        <f t="shared" si="117"/>
        <v>0</v>
      </c>
      <c r="FF45" s="442">
        <f t="shared" si="118"/>
        <v>0</v>
      </c>
      <c r="FG45" s="442">
        <f t="shared" si="119"/>
        <v>0</v>
      </c>
      <c r="FH45" s="443">
        <f t="shared" si="120"/>
        <v>0</v>
      </c>
      <c r="FJ45" s="442">
        <f t="shared" si="121"/>
        <v>0</v>
      </c>
      <c r="FK45" s="442">
        <f t="shared" si="122"/>
        <v>0</v>
      </c>
      <c r="FL45" s="442">
        <f t="shared" si="123"/>
        <v>0</v>
      </c>
      <c r="FM45" s="442">
        <f t="shared" si="124"/>
        <v>0</v>
      </c>
      <c r="FN45" s="442">
        <f t="shared" si="125"/>
        <v>0</v>
      </c>
      <c r="FO45" s="442">
        <f t="shared" si="126"/>
        <v>0</v>
      </c>
      <c r="FP45" s="442">
        <f t="shared" si="127"/>
        <v>0</v>
      </c>
      <c r="FQ45" s="442">
        <f t="shared" si="128"/>
        <v>0</v>
      </c>
      <c r="FR45" s="442">
        <f t="shared" si="129"/>
        <v>0</v>
      </c>
      <c r="FS45" s="442">
        <f t="shared" si="130"/>
        <v>0</v>
      </c>
      <c r="FT45" s="443">
        <f t="shared" si="131"/>
        <v>0</v>
      </c>
    </row>
    <row r="46" spans="2:176" s="270" customFormat="1" ht="15" customHeight="1" x14ac:dyDescent="0.25">
      <c r="B46" s="446" t="str">
        <f>'2. START'!C$7</f>
        <v>100GEM</v>
      </c>
      <c r="C46" s="469"/>
      <c r="D46" s="589"/>
      <c r="E46" s="544">
        <v>0</v>
      </c>
      <c r="F46" s="448"/>
      <c r="G46" s="449"/>
      <c r="H46" s="449"/>
      <c r="I46" s="449"/>
      <c r="J46" s="449"/>
      <c r="K46" s="449"/>
      <c r="L46" s="449"/>
      <c r="M46" s="449"/>
      <c r="N46" s="449"/>
      <c r="O46" s="449"/>
      <c r="P46" s="449"/>
      <c r="Q46" s="546">
        <f>SUMIF('3. PARTNER'!$B$13:$B$80,$B46,'3. PARTNER'!$F$13:$F$80)</f>
        <v>0.02</v>
      </c>
      <c r="R46" s="450">
        <f t="shared" si="133"/>
        <v>0.02</v>
      </c>
      <c r="S46" s="450">
        <f t="shared" si="133"/>
        <v>0.02</v>
      </c>
      <c r="T46" s="450">
        <f t="shared" si="133"/>
        <v>0.02</v>
      </c>
      <c r="U46" s="450">
        <f t="shared" si="133"/>
        <v>0.02</v>
      </c>
      <c r="V46" s="450">
        <f t="shared" si="133"/>
        <v>0.02</v>
      </c>
      <c r="W46" s="450">
        <f t="shared" si="133"/>
        <v>0.02</v>
      </c>
      <c r="X46" s="450">
        <f t="shared" si="133"/>
        <v>0.02</v>
      </c>
      <c r="Y46" s="450">
        <f t="shared" si="133"/>
        <v>0.02</v>
      </c>
      <c r="Z46" s="450">
        <f t="shared" si="133"/>
        <v>0.02</v>
      </c>
      <c r="AA46" s="451">
        <f>SUMIF('3. PARTNER'!B$13:B$80,B46,'3. PARTNER'!E$13:E$80)</f>
        <v>0.5595</v>
      </c>
      <c r="AB46" s="452">
        <f>IF('2. START'!$C$20="UTB",(SUMIF('3. PARTNER'!B$13:B$80,B46,'3. PARTNER'!K$13:K$80))+(SUMIF('3. PARTNER'!B$13:B$80,B46,'3. PARTNER'!M$13:M$80)),(SUMIF('3. PARTNER'!B$13:B$80,B46,'3. PARTNER'!G$13:G$80))+(SUMIF('3. PARTNER'!B$13:B$80,B46,'3. PARTNER'!I$13:I$80)))</f>
        <v>0.16000843770704321</v>
      </c>
      <c r="AC46" s="452">
        <f>IF('2. START'!$C$20="UTB",(SUMIF('3. PARTNER'!B$13:B$80,B46,'3. PARTNER'!L$13:L$80))+(SUMIF('3. PARTNER'!B$13:B$80,B46,'3. PARTNER'!N$13:N$80)),(SUMIF('3. PARTNER'!B$13:B$80,B46,'3. PARTNER'!H$13:H$80))+(SUMIF('3. PARTNER'!B$13:B$80,B46,'3. PARTNER'!J$13:J$80)))</f>
        <v>0</v>
      </c>
      <c r="AD46" s="452">
        <f>IF('2. START'!C$11="NO",'2. START'!C$12,0)</f>
        <v>0</v>
      </c>
      <c r="AE46" s="453">
        <f t="shared" si="98"/>
        <v>0</v>
      </c>
      <c r="AF46" s="453">
        <f t="shared" si="99"/>
        <v>0</v>
      </c>
      <c r="AG46" s="454"/>
      <c r="AH46" s="455">
        <f t="shared" si="18"/>
        <v>0</v>
      </c>
      <c r="AI46" s="455">
        <f t="shared" si="19"/>
        <v>0</v>
      </c>
      <c r="AJ46" s="455">
        <f t="shared" si="20"/>
        <v>0</v>
      </c>
      <c r="AK46" s="455">
        <f t="shared" si="21"/>
        <v>0</v>
      </c>
      <c r="AL46" s="455">
        <f t="shared" si="22"/>
        <v>0</v>
      </c>
      <c r="AM46" s="455">
        <f t="shared" si="23"/>
        <v>0</v>
      </c>
      <c r="AN46" s="455">
        <f t="shared" si="24"/>
        <v>0</v>
      </c>
      <c r="AO46" s="455">
        <f t="shared" si="25"/>
        <v>0</v>
      </c>
      <c r="AP46" s="455">
        <f t="shared" si="26"/>
        <v>0</v>
      </c>
      <c r="AQ46" s="455">
        <f t="shared" si="27"/>
        <v>0</v>
      </c>
      <c r="AR46" s="456">
        <f t="shared" si="100"/>
        <v>0</v>
      </c>
      <c r="AS46" s="457"/>
      <c r="AT46" s="455">
        <f t="shared" si="28"/>
        <v>0</v>
      </c>
      <c r="AU46" s="455">
        <f t="shared" si="29"/>
        <v>0</v>
      </c>
      <c r="AV46" s="455">
        <f t="shared" si="30"/>
        <v>0</v>
      </c>
      <c r="AW46" s="455">
        <f t="shared" si="31"/>
        <v>0</v>
      </c>
      <c r="AX46" s="455">
        <f t="shared" si="32"/>
        <v>0</v>
      </c>
      <c r="AY46" s="455">
        <f t="shared" si="33"/>
        <v>0</v>
      </c>
      <c r="AZ46" s="455">
        <f t="shared" si="34"/>
        <v>0</v>
      </c>
      <c r="BA46" s="455">
        <f t="shared" si="35"/>
        <v>0</v>
      </c>
      <c r="BB46" s="455">
        <f t="shared" si="36"/>
        <v>0</v>
      </c>
      <c r="BC46" s="455">
        <f t="shared" si="37"/>
        <v>0</v>
      </c>
      <c r="BD46" s="456">
        <f t="shared" si="101"/>
        <v>0</v>
      </c>
      <c r="BE46" s="457"/>
      <c r="BF46" s="455">
        <f t="shared" si="38"/>
        <v>0</v>
      </c>
      <c r="BG46" s="455">
        <f t="shared" si="39"/>
        <v>0</v>
      </c>
      <c r="BH46" s="455">
        <f t="shared" si="40"/>
        <v>0</v>
      </c>
      <c r="BI46" s="455">
        <f t="shared" si="41"/>
        <v>0</v>
      </c>
      <c r="BJ46" s="455">
        <f t="shared" si="42"/>
        <v>0</v>
      </c>
      <c r="BK46" s="455">
        <f t="shared" si="43"/>
        <v>0</v>
      </c>
      <c r="BL46" s="455">
        <f t="shared" si="44"/>
        <v>0</v>
      </c>
      <c r="BM46" s="455">
        <f t="shared" si="45"/>
        <v>0</v>
      </c>
      <c r="BN46" s="455">
        <f t="shared" si="46"/>
        <v>0</v>
      </c>
      <c r="BO46" s="455">
        <f t="shared" si="47"/>
        <v>0</v>
      </c>
      <c r="BP46" s="456">
        <f t="shared" si="102"/>
        <v>0</v>
      </c>
      <c r="BQ46" s="463"/>
      <c r="BR46" s="459">
        <f t="shared" si="48"/>
        <v>0</v>
      </c>
      <c r="BS46" s="459">
        <f t="shared" si="49"/>
        <v>0</v>
      </c>
      <c r="BT46" s="459">
        <f t="shared" si="50"/>
        <v>0</v>
      </c>
      <c r="BU46" s="459">
        <f t="shared" si="51"/>
        <v>0</v>
      </c>
      <c r="BV46" s="459">
        <f t="shared" si="52"/>
        <v>0</v>
      </c>
      <c r="BW46" s="459">
        <f t="shared" si="53"/>
        <v>0</v>
      </c>
      <c r="BX46" s="459">
        <f t="shared" si="54"/>
        <v>0</v>
      </c>
      <c r="BY46" s="459">
        <f t="shared" si="55"/>
        <v>0</v>
      </c>
      <c r="BZ46" s="459">
        <f t="shared" si="56"/>
        <v>0</v>
      </c>
      <c r="CA46" s="459">
        <f t="shared" si="57"/>
        <v>0</v>
      </c>
      <c r="CB46" s="460">
        <f t="shared" si="103"/>
        <v>0</v>
      </c>
      <c r="CC46" s="463"/>
      <c r="CD46" s="462">
        <f t="shared" si="58"/>
        <v>0</v>
      </c>
      <c r="CE46" s="462">
        <f t="shared" si="59"/>
        <v>0</v>
      </c>
      <c r="CF46" s="462">
        <f t="shared" si="60"/>
        <v>0</v>
      </c>
      <c r="CG46" s="462">
        <f t="shared" si="61"/>
        <v>0</v>
      </c>
      <c r="CH46" s="462">
        <f t="shared" si="62"/>
        <v>0</v>
      </c>
      <c r="CI46" s="462">
        <f t="shared" si="63"/>
        <v>0</v>
      </c>
      <c r="CJ46" s="462">
        <f t="shared" si="64"/>
        <v>0</v>
      </c>
      <c r="CK46" s="462">
        <f t="shared" si="65"/>
        <v>0</v>
      </c>
      <c r="CL46" s="462">
        <f t="shared" si="66"/>
        <v>0</v>
      </c>
      <c r="CM46" s="462">
        <f t="shared" si="67"/>
        <v>0</v>
      </c>
      <c r="CN46" s="460">
        <f t="shared" si="104"/>
        <v>0</v>
      </c>
      <c r="CO46" s="463"/>
      <c r="CP46" s="459">
        <f t="shared" si="68"/>
        <v>0</v>
      </c>
      <c r="CQ46" s="459">
        <f t="shared" si="69"/>
        <v>0</v>
      </c>
      <c r="CR46" s="459">
        <f t="shared" si="70"/>
        <v>0</v>
      </c>
      <c r="CS46" s="459">
        <f t="shared" si="71"/>
        <v>0</v>
      </c>
      <c r="CT46" s="459">
        <f t="shared" si="72"/>
        <v>0</v>
      </c>
      <c r="CU46" s="459">
        <f t="shared" si="73"/>
        <v>0</v>
      </c>
      <c r="CV46" s="459">
        <f t="shared" si="74"/>
        <v>0</v>
      </c>
      <c r="CW46" s="459">
        <f t="shared" si="75"/>
        <v>0</v>
      </c>
      <c r="CX46" s="459">
        <f t="shared" si="76"/>
        <v>0</v>
      </c>
      <c r="CY46" s="459">
        <f t="shared" si="77"/>
        <v>0</v>
      </c>
      <c r="CZ46" s="460">
        <f t="shared" si="105"/>
        <v>0</v>
      </c>
      <c r="DA46" s="463"/>
      <c r="DB46" s="459">
        <f t="shared" si="78"/>
        <v>0</v>
      </c>
      <c r="DC46" s="459">
        <f t="shared" si="79"/>
        <v>0</v>
      </c>
      <c r="DD46" s="459">
        <f t="shared" si="80"/>
        <v>0</v>
      </c>
      <c r="DE46" s="459">
        <f t="shared" si="81"/>
        <v>0</v>
      </c>
      <c r="DF46" s="459">
        <f t="shared" si="82"/>
        <v>0</v>
      </c>
      <c r="DG46" s="459">
        <f t="shared" si="83"/>
        <v>0</v>
      </c>
      <c r="DH46" s="459">
        <f t="shared" si="84"/>
        <v>0</v>
      </c>
      <c r="DI46" s="459">
        <f t="shared" si="85"/>
        <v>0</v>
      </c>
      <c r="DJ46" s="459">
        <f t="shared" si="86"/>
        <v>0</v>
      </c>
      <c r="DK46" s="459">
        <f t="shared" si="87"/>
        <v>0</v>
      </c>
      <c r="DL46" s="460">
        <f t="shared" si="106"/>
        <v>0</v>
      </c>
      <c r="DM46" s="463"/>
      <c r="DN46" s="442">
        <f>IF('2. START'!$C$14&gt;0,(AT46/(1+$AA46))*(1+'2. START'!$C$14),AT46)</f>
        <v>0</v>
      </c>
      <c r="DO46" s="442">
        <f>IF('2. START'!$C$14&gt;0,(AU46/(1+$AA46))*(1+'2. START'!$C$14),AU46)</f>
        <v>0</v>
      </c>
      <c r="DP46" s="442">
        <f>IF('2. START'!$C$14&gt;0,(AV46/(1+$AA46))*(1+'2. START'!$C$14),AV46)</f>
        <v>0</v>
      </c>
      <c r="DQ46" s="442">
        <f>IF('2. START'!$C$14&gt;0,(AW46/(1+$AA46))*(1+'2. START'!$C$14),AW46)</f>
        <v>0</v>
      </c>
      <c r="DR46" s="442">
        <f>IF('2. START'!$C$14&gt;0,(AX46/(1+$AA46))*(1+'2. START'!$C$14),AX46)</f>
        <v>0</v>
      </c>
      <c r="DS46" s="442">
        <f>IF('2. START'!$C$14&gt;0,(AY46/(1+$AA46))*(1+'2. START'!$C$14),AY46)</f>
        <v>0</v>
      </c>
      <c r="DT46" s="442">
        <f>IF('2. START'!$C$14&gt;0,(AZ46/(1+$AA46))*(1+'2. START'!$C$14),AZ46)</f>
        <v>0</v>
      </c>
      <c r="DU46" s="442">
        <f>IF('2. START'!$C$14&gt;0,(BA46/(1+$AA46))*(1+'2. START'!$C$14),BA46)</f>
        <v>0</v>
      </c>
      <c r="DV46" s="442">
        <f>IF('2. START'!$C$14&gt;0,(BB46/(1+$AA46))*(1+'2. START'!$C$14),BB46)</f>
        <v>0</v>
      </c>
      <c r="DW46" s="442">
        <f>IF('2. START'!$C$14&gt;0,(BC46/(1+$AA46))*(1+'2. START'!$C$14),BC46)</f>
        <v>0</v>
      </c>
      <c r="DX46" s="460">
        <f t="shared" si="107"/>
        <v>0</v>
      </c>
      <c r="DY46" s="463"/>
      <c r="DZ46" s="459">
        <f>IF('2. START'!$C$11="NO",(IF('2. START'!$C$14&gt;0,(DN46*$AD46),(AT46*$AD46))),(BR46+CP46))</f>
        <v>0</v>
      </c>
      <c r="EA46" s="459">
        <f>IF('2. START'!$C$11="NO",(IF('2. START'!$C$14&gt;0,(DO46*$AD46),(AU46*$AD46))),(BS46+CQ46))</f>
        <v>0</v>
      </c>
      <c r="EB46" s="459">
        <f>IF('2. START'!$C$11="NO",(IF('2. START'!$C$14&gt;0,(DP46*$AD46),(AV46*$AD46))),(BT46+CR46))</f>
        <v>0</v>
      </c>
      <c r="EC46" s="459">
        <f>IF('2. START'!$C$11="NO",(IF('2. START'!$C$14&gt;0,(DQ46*$AD46),(AW46*$AD46))),(BU46+CS46))</f>
        <v>0</v>
      </c>
      <c r="ED46" s="459">
        <f>IF('2. START'!$C$11="NO",(IF('2. START'!$C$14&gt;0,(DR46*$AD46),(AX46*$AD46))),(BV46+CT46))</f>
        <v>0</v>
      </c>
      <c r="EE46" s="459">
        <f>IF('2. START'!$C$11="NO",(IF('2. START'!$C$14&gt;0,(DS46*$AD46),(AY46*$AD46))),(BW46+CU46))</f>
        <v>0</v>
      </c>
      <c r="EF46" s="459">
        <f>IF('2. START'!$C$11="NO",(IF('2. START'!$C$14&gt;0,(DT46*$AD46),(AZ46*$AD46))),(BX46+CV46))</f>
        <v>0</v>
      </c>
      <c r="EG46" s="459">
        <f>IF('2. START'!$C$11="NO",(IF('2. START'!$C$14&gt;0,(DU46*$AD46),(BA46*$AD46))),(BY46+CW46))</f>
        <v>0</v>
      </c>
      <c r="EH46" s="459">
        <f>IF('2. START'!$C$11="NO",(IF('2. START'!$C$14&gt;0,(DV46*$AD46),(BB46*$AD46))),(BZ46+CX46))</f>
        <v>0</v>
      </c>
      <c r="EI46" s="459">
        <f>IF('2. START'!$C$11="NO",(IF('2. START'!$C$14&gt;0,(DW46*$AD46),(BC46*$AD46))),(CA46+CY46))</f>
        <v>0</v>
      </c>
      <c r="EJ46" s="460">
        <f t="shared" si="108"/>
        <v>0</v>
      </c>
      <c r="EK46" s="463"/>
      <c r="EL46" s="459">
        <f>(BR46+CP46-DZ46)+IF('2. START'!$C$14&gt;0,AT46-DN46,0)</f>
        <v>0</v>
      </c>
      <c r="EM46" s="459">
        <f>(BS46+CQ46-EA46)+IF('2. START'!$C$14&gt;0,AU46-DO46,0)</f>
        <v>0</v>
      </c>
      <c r="EN46" s="459">
        <f>(BT46+CR46-EB46)+IF('2. START'!$C$14&gt;0,AV46-DP46,0)</f>
        <v>0</v>
      </c>
      <c r="EO46" s="459">
        <f>(BU46+CS46-EC46)+IF('2. START'!$C$14&gt;0,AW46-DQ46,0)</f>
        <v>0</v>
      </c>
      <c r="EP46" s="459">
        <f>(BV46+CT46-ED46)+IF('2. START'!$C$14&gt;0,AX46-DR46,0)</f>
        <v>0</v>
      </c>
      <c r="EQ46" s="459">
        <f>(BW46+CU46-EE46)+IF('2. START'!$C$14&gt;0,AY46-DS46,0)</f>
        <v>0</v>
      </c>
      <c r="ER46" s="459">
        <f>(BX46+CV46-EF46)+IF('2. START'!$C$14&gt;0,AZ46-DT46,0)</f>
        <v>0</v>
      </c>
      <c r="ES46" s="459">
        <f>(BY46+CW46-EG46)+IF('2. START'!$C$14&gt;0,BA46-DU46,0)</f>
        <v>0</v>
      </c>
      <c r="ET46" s="459">
        <f>(BZ46+CX46-EH46)+IF('2. START'!$C$14&gt;0,BB46-DV46,0)</f>
        <v>0</v>
      </c>
      <c r="EU46" s="459">
        <f>(CA46+CY46-EI46)+IF('2. START'!$C$14&gt;0,BC46-DW46,0)</f>
        <v>0</v>
      </c>
      <c r="EV46" s="460">
        <f t="shared" si="109"/>
        <v>0</v>
      </c>
      <c r="EW46" s="463"/>
      <c r="EX46" s="459">
        <f t="shared" si="110"/>
        <v>0</v>
      </c>
      <c r="EY46" s="459">
        <f t="shared" si="111"/>
        <v>0</v>
      </c>
      <c r="EZ46" s="459">
        <f t="shared" si="112"/>
        <v>0</v>
      </c>
      <c r="FA46" s="459">
        <f t="shared" si="113"/>
        <v>0</v>
      </c>
      <c r="FB46" s="459">
        <f t="shared" si="114"/>
        <v>0</v>
      </c>
      <c r="FC46" s="459">
        <f t="shared" si="115"/>
        <v>0</v>
      </c>
      <c r="FD46" s="459">
        <f t="shared" si="116"/>
        <v>0</v>
      </c>
      <c r="FE46" s="459">
        <f t="shared" si="117"/>
        <v>0</v>
      </c>
      <c r="FF46" s="459">
        <f t="shared" si="118"/>
        <v>0</v>
      </c>
      <c r="FG46" s="459">
        <f t="shared" si="119"/>
        <v>0</v>
      </c>
      <c r="FH46" s="460">
        <f t="shared" si="120"/>
        <v>0</v>
      </c>
      <c r="FI46" s="463"/>
      <c r="FJ46" s="459">
        <f t="shared" si="121"/>
        <v>0</v>
      </c>
      <c r="FK46" s="459">
        <f t="shared" si="122"/>
        <v>0</v>
      </c>
      <c r="FL46" s="459">
        <f t="shared" si="123"/>
        <v>0</v>
      </c>
      <c r="FM46" s="459">
        <f t="shared" si="124"/>
        <v>0</v>
      </c>
      <c r="FN46" s="459">
        <f t="shared" si="125"/>
        <v>0</v>
      </c>
      <c r="FO46" s="459">
        <f t="shared" si="126"/>
        <v>0</v>
      </c>
      <c r="FP46" s="459">
        <f t="shared" si="127"/>
        <v>0</v>
      </c>
      <c r="FQ46" s="459">
        <f t="shared" si="128"/>
        <v>0</v>
      </c>
      <c r="FR46" s="459">
        <f t="shared" si="129"/>
        <v>0</v>
      </c>
      <c r="FS46" s="459">
        <f t="shared" si="130"/>
        <v>0</v>
      </c>
      <c r="FT46" s="460">
        <f t="shared" si="131"/>
        <v>0</v>
      </c>
    </row>
    <row r="47" spans="2:176" s="270" customFormat="1" ht="15" customHeight="1" x14ac:dyDescent="0.25">
      <c r="B47" s="464" t="str">
        <f>'2. START'!C$7</f>
        <v>100GEM</v>
      </c>
      <c r="C47" s="470"/>
      <c r="D47" s="590"/>
      <c r="E47" s="514">
        <v>0</v>
      </c>
      <c r="F47" s="467"/>
      <c r="G47" s="432"/>
      <c r="H47" s="432"/>
      <c r="I47" s="432"/>
      <c r="J47" s="432"/>
      <c r="K47" s="432"/>
      <c r="L47" s="432"/>
      <c r="M47" s="432"/>
      <c r="N47" s="432"/>
      <c r="O47" s="432"/>
      <c r="P47" s="432"/>
      <c r="Q47" s="545">
        <f>SUMIF('3. PARTNER'!$B$13:$B$80,$B47,'3. PARTNER'!$F$13:$F$80)</f>
        <v>0.02</v>
      </c>
      <c r="R47" s="466">
        <f t="shared" ref="R47:Z56" si="134">$Q47</f>
        <v>0.02</v>
      </c>
      <c r="S47" s="466">
        <f t="shared" si="134"/>
        <v>0.02</v>
      </c>
      <c r="T47" s="466">
        <f t="shared" si="134"/>
        <v>0.02</v>
      </c>
      <c r="U47" s="466">
        <f t="shared" si="134"/>
        <v>0.02</v>
      </c>
      <c r="V47" s="466">
        <f t="shared" si="134"/>
        <v>0.02</v>
      </c>
      <c r="W47" s="466">
        <f t="shared" si="134"/>
        <v>0.02</v>
      </c>
      <c r="X47" s="466">
        <f t="shared" si="134"/>
        <v>0.02</v>
      </c>
      <c r="Y47" s="466">
        <f t="shared" si="134"/>
        <v>0.02</v>
      </c>
      <c r="Z47" s="466">
        <f t="shared" si="134"/>
        <v>0.02</v>
      </c>
      <c r="AA47" s="434">
        <f>SUMIF('3. PARTNER'!B$13:B$80,B47,'3. PARTNER'!E$13:E$80)</f>
        <v>0.5595</v>
      </c>
      <c r="AB47" s="435">
        <f>IF('2. START'!$C$20="UTB",(SUMIF('3. PARTNER'!B$13:B$80,B47,'3. PARTNER'!K$13:K$80))+(SUMIF('3. PARTNER'!B$13:B$80,B47,'3. PARTNER'!M$13:M$80)),(SUMIF('3. PARTNER'!B$13:B$80,B47,'3. PARTNER'!G$13:G$80))+(SUMIF('3. PARTNER'!B$13:B$80,B47,'3. PARTNER'!I$13:I$80)))</f>
        <v>0.16000843770704321</v>
      </c>
      <c r="AC47" s="435">
        <f>IF('2. START'!$C$20="UTB",(SUMIF('3. PARTNER'!B$13:B$80,B47,'3. PARTNER'!L$13:L$80))+(SUMIF('3. PARTNER'!B$13:B$80,B47,'3. PARTNER'!N$13:N$80)),(SUMIF('3. PARTNER'!B$13:B$80,B47,'3. PARTNER'!H$13:H$80))+(SUMIF('3. PARTNER'!B$13:B$80,B47,'3. PARTNER'!J$13:J$80)))</f>
        <v>0</v>
      </c>
      <c r="AD47" s="435">
        <f>IF('2. START'!C$11="NO",'2. START'!C$12,0)</f>
        <v>0</v>
      </c>
      <c r="AE47" s="436">
        <f t="shared" si="98"/>
        <v>0</v>
      </c>
      <c r="AF47" s="436">
        <f t="shared" si="99"/>
        <v>0</v>
      </c>
      <c r="AG47" s="437"/>
      <c r="AH47" s="438">
        <f t="shared" si="18"/>
        <v>0</v>
      </c>
      <c r="AI47" s="438">
        <f t="shared" si="19"/>
        <v>0</v>
      </c>
      <c r="AJ47" s="438">
        <f t="shared" si="20"/>
        <v>0</v>
      </c>
      <c r="AK47" s="438">
        <f t="shared" si="21"/>
        <v>0</v>
      </c>
      <c r="AL47" s="438">
        <f t="shared" si="22"/>
        <v>0</v>
      </c>
      <c r="AM47" s="438">
        <f t="shared" si="23"/>
        <v>0</v>
      </c>
      <c r="AN47" s="438">
        <f t="shared" si="24"/>
        <v>0</v>
      </c>
      <c r="AO47" s="438">
        <f t="shared" si="25"/>
        <v>0</v>
      </c>
      <c r="AP47" s="438">
        <f t="shared" si="26"/>
        <v>0</v>
      </c>
      <c r="AQ47" s="438">
        <f t="shared" si="27"/>
        <v>0</v>
      </c>
      <c r="AR47" s="439">
        <f t="shared" si="100"/>
        <v>0</v>
      </c>
      <c r="AS47" s="440"/>
      <c r="AT47" s="438">
        <f t="shared" si="28"/>
        <v>0</v>
      </c>
      <c r="AU47" s="438">
        <f t="shared" si="29"/>
        <v>0</v>
      </c>
      <c r="AV47" s="438">
        <f t="shared" si="30"/>
        <v>0</v>
      </c>
      <c r="AW47" s="438">
        <f t="shared" si="31"/>
        <v>0</v>
      </c>
      <c r="AX47" s="438">
        <f t="shared" si="32"/>
        <v>0</v>
      </c>
      <c r="AY47" s="438">
        <f t="shared" si="33"/>
        <v>0</v>
      </c>
      <c r="AZ47" s="438">
        <f t="shared" si="34"/>
        <v>0</v>
      </c>
      <c r="BA47" s="438">
        <f t="shared" si="35"/>
        <v>0</v>
      </c>
      <c r="BB47" s="438">
        <f t="shared" si="36"/>
        <v>0</v>
      </c>
      <c r="BC47" s="438">
        <f t="shared" si="37"/>
        <v>0</v>
      </c>
      <c r="BD47" s="439">
        <f t="shared" si="101"/>
        <v>0</v>
      </c>
      <c r="BE47" s="440"/>
      <c r="BF47" s="438">
        <f t="shared" si="38"/>
        <v>0</v>
      </c>
      <c r="BG47" s="438">
        <f t="shared" si="39"/>
        <v>0</v>
      </c>
      <c r="BH47" s="438">
        <f t="shared" si="40"/>
        <v>0</v>
      </c>
      <c r="BI47" s="438">
        <f t="shared" si="41"/>
        <v>0</v>
      </c>
      <c r="BJ47" s="438">
        <f t="shared" si="42"/>
        <v>0</v>
      </c>
      <c r="BK47" s="438">
        <f t="shared" si="43"/>
        <v>0</v>
      </c>
      <c r="BL47" s="438">
        <f t="shared" si="44"/>
        <v>0</v>
      </c>
      <c r="BM47" s="438">
        <f t="shared" si="45"/>
        <v>0</v>
      </c>
      <c r="BN47" s="438">
        <f t="shared" si="46"/>
        <v>0</v>
      </c>
      <c r="BO47" s="438">
        <f t="shared" si="47"/>
        <v>0</v>
      </c>
      <c r="BP47" s="439">
        <f t="shared" si="102"/>
        <v>0</v>
      </c>
      <c r="BR47" s="442">
        <f t="shared" si="48"/>
        <v>0</v>
      </c>
      <c r="BS47" s="442">
        <f t="shared" si="49"/>
        <v>0</v>
      </c>
      <c r="BT47" s="442">
        <f t="shared" si="50"/>
        <v>0</v>
      </c>
      <c r="BU47" s="442">
        <f t="shared" si="51"/>
        <v>0</v>
      </c>
      <c r="BV47" s="442">
        <f t="shared" si="52"/>
        <v>0</v>
      </c>
      <c r="BW47" s="442">
        <f t="shared" si="53"/>
        <v>0</v>
      </c>
      <c r="BX47" s="442">
        <f t="shared" si="54"/>
        <v>0</v>
      </c>
      <c r="BY47" s="442">
        <f t="shared" si="55"/>
        <v>0</v>
      </c>
      <c r="BZ47" s="442">
        <f t="shared" si="56"/>
        <v>0</v>
      </c>
      <c r="CA47" s="442">
        <f t="shared" si="57"/>
        <v>0</v>
      </c>
      <c r="CB47" s="443">
        <f t="shared" si="103"/>
        <v>0</v>
      </c>
      <c r="CD47" s="445">
        <f t="shared" si="58"/>
        <v>0</v>
      </c>
      <c r="CE47" s="445">
        <f t="shared" si="59"/>
        <v>0</v>
      </c>
      <c r="CF47" s="445">
        <f t="shared" si="60"/>
        <v>0</v>
      </c>
      <c r="CG47" s="445">
        <f t="shared" si="61"/>
        <v>0</v>
      </c>
      <c r="CH47" s="445">
        <f t="shared" si="62"/>
        <v>0</v>
      </c>
      <c r="CI47" s="445">
        <f t="shared" si="63"/>
        <v>0</v>
      </c>
      <c r="CJ47" s="445">
        <f t="shared" si="64"/>
        <v>0</v>
      </c>
      <c r="CK47" s="445">
        <f t="shared" si="65"/>
        <v>0</v>
      </c>
      <c r="CL47" s="445">
        <f t="shared" si="66"/>
        <v>0</v>
      </c>
      <c r="CM47" s="445">
        <f t="shared" si="67"/>
        <v>0</v>
      </c>
      <c r="CN47" s="443">
        <f t="shared" si="104"/>
        <v>0</v>
      </c>
      <c r="CP47" s="442">
        <f t="shared" si="68"/>
        <v>0</v>
      </c>
      <c r="CQ47" s="442">
        <f t="shared" si="69"/>
        <v>0</v>
      </c>
      <c r="CR47" s="442">
        <f t="shared" si="70"/>
        <v>0</v>
      </c>
      <c r="CS47" s="442">
        <f t="shared" si="71"/>
        <v>0</v>
      </c>
      <c r="CT47" s="442">
        <f t="shared" si="72"/>
        <v>0</v>
      </c>
      <c r="CU47" s="442">
        <f t="shared" si="73"/>
        <v>0</v>
      </c>
      <c r="CV47" s="442">
        <f t="shared" si="74"/>
        <v>0</v>
      </c>
      <c r="CW47" s="442">
        <f t="shared" si="75"/>
        <v>0</v>
      </c>
      <c r="CX47" s="442">
        <f t="shared" si="76"/>
        <v>0</v>
      </c>
      <c r="CY47" s="442">
        <f t="shared" si="77"/>
        <v>0</v>
      </c>
      <c r="CZ47" s="443">
        <f t="shared" si="105"/>
        <v>0</v>
      </c>
      <c r="DB47" s="442">
        <f t="shared" si="78"/>
        <v>0</v>
      </c>
      <c r="DC47" s="442">
        <f t="shared" si="79"/>
        <v>0</v>
      </c>
      <c r="DD47" s="442">
        <f t="shared" si="80"/>
        <v>0</v>
      </c>
      <c r="DE47" s="442">
        <f t="shared" si="81"/>
        <v>0</v>
      </c>
      <c r="DF47" s="442">
        <f t="shared" si="82"/>
        <v>0</v>
      </c>
      <c r="DG47" s="442">
        <f t="shared" si="83"/>
        <v>0</v>
      </c>
      <c r="DH47" s="442">
        <f t="shared" si="84"/>
        <v>0</v>
      </c>
      <c r="DI47" s="442">
        <f t="shared" si="85"/>
        <v>0</v>
      </c>
      <c r="DJ47" s="442">
        <f t="shared" si="86"/>
        <v>0</v>
      </c>
      <c r="DK47" s="442">
        <f t="shared" si="87"/>
        <v>0</v>
      </c>
      <c r="DL47" s="443">
        <f t="shared" si="106"/>
        <v>0</v>
      </c>
      <c r="DN47" s="442">
        <f>IF('2. START'!$C$14&gt;0,(AT47/(1+$AA47))*(1+'2. START'!$C$14),AT47)</f>
        <v>0</v>
      </c>
      <c r="DO47" s="442">
        <f>IF('2. START'!$C$14&gt;0,(AU47/(1+$AA47))*(1+'2. START'!$C$14),AU47)</f>
        <v>0</v>
      </c>
      <c r="DP47" s="442">
        <f>IF('2. START'!$C$14&gt;0,(AV47/(1+$AA47))*(1+'2. START'!$C$14),AV47)</f>
        <v>0</v>
      </c>
      <c r="DQ47" s="442">
        <f>IF('2. START'!$C$14&gt;0,(AW47/(1+$AA47))*(1+'2. START'!$C$14),AW47)</f>
        <v>0</v>
      </c>
      <c r="DR47" s="442">
        <f>IF('2. START'!$C$14&gt;0,(AX47/(1+$AA47))*(1+'2. START'!$C$14),AX47)</f>
        <v>0</v>
      </c>
      <c r="DS47" s="442">
        <f>IF('2. START'!$C$14&gt;0,(AY47/(1+$AA47))*(1+'2. START'!$C$14),AY47)</f>
        <v>0</v>
      </c>
      <c r="DT47" s="442">
        <f>IF('2. START'!$C$14&gt;0,(AZ47/(1+$AA47))*(1+'2. START'!$C$14),AZ47)</f>
        <v>0</v>
      </c>
      <c r="DU47" s="442">
        <f>IF('2. START'!$C$14&gt;0,(BA47/(1+$AA47))*(1+'2. START'!$C$14),BA47)</f>
        <v>0</v>
      </c>
      <c r="DV47" s="442">
        <f>IF('2. START'!$C$14&gt;0,(BB47/(1+$AA47))*(1+'2. START'!$C$14),BB47)</f>
        <v>0</v>
      </c>
      <c r="DW47" s="442">
        <f>IF('2. START'!$C$14&gt;0,(BC47/(1+$AA47))*(1+'2. START'!$C$14),BC47)</f>
        <v>0</v>
      </c>
      <c r="DX47" s="443">
        <f t="shared" si="107"/>
        <v>0</v>
      </c>
      <c r="DZ47" s="442">
        <f>IF('2. START'!$C$11="NO",(IF('2. START'!$C$14&gt;0,(DN47*$AD47),(AT47*$AD47))),(BR47+CP47))</f>
        <v>0</v>
      </c>
      <c r="EA47" s="442">
        <f>IF('2. START'!$C$11="NO",(IF('2. START'!$C$14&gt;0,(DO47*$AD47),(AU47*$AD47))),(BS47+CQ47))</f>
        <v>0</v>
      </c>
      <c r="EB47" s="442">
        <f>IF('2. START'!$C$11="NO",(IF('2. START'!$C$14&gt;0,(DP47*$AD47),(AV47*$AD47))),(BT47+CR47))</f>
        <v>0</v>
      </c>
      <c r="EC47" s="442">
        <f>IF('2. START'!$C$11="NO",(IF('2. START'!$C$14&gt;0,(DQ47*$AD47),(AW47*$AD47))),(BU47+CS47))</f>
        <v>0</v>
      </c>
      <c r="ED47" s="442">
        <f>IF('2. START'!$C$11="NO",(IF('2. START'!$C$14&gt;0,(DR47*$AD47),(AX47*$AD47))),(BV47+CT47))</f>
        <v>0</v>
      </c>
      <c r="EE47" s="442">
        <f>IF('2. START'!$C$11="NO",(IF('2. START'!$C$14&gt;0,(DS47*$AD47),(AY47*$AD47))),(BW47+CU47))</f>
        <v>0</v>
      </c>
      <c r="EF47" s="442">
        <f>IF('2. START'!$C$11="NO",(IF('2. START'!$C$14&gt;0,(DT47*$AD47),(AZ47*$AD47))),(BX47+CV47))</f>
        <v>0</v>
      </c>
      <c r="EG47" s="442">
        <f>IF('2. START'!$C$11="NO",(IF('2. START'!$C$14&gt;0,(DU47*$AD47),(BA47*$AD47))),(BY47+CW47))</f>
        <v>0</v>
      </c>
      <c r="EH47" s="442">
        <f>IF('2. START'!$C$11="NO",(IF('2. START'!$C$14&gt;0,(DV47*$AD47),(BB47*$AD47))),(BZ47+CX47))</f>
        <v>0</v>
      </c>
      <c r="EI47" s="442">
        <f>IF('2. START'!$C$11="NO",(IF('2. START'!$C$14&gt;0,(DW47*$AD47),(BC47*$AD47))),(CA47+CY47))</f>
        <v>0</v>
      </c>
      <c r="EJ47" s="443">
        <f t="shared" si="108"/>
        <v>0</v>
      </c>
      <c r="EL47" s="442">
        <f>(BR47+CP47-DZ47)+IF('2. START'!$C$14&gt;0,AT47-DN47,0)</f>
        <v>0</v>
      </c>
      <c r="EM47" s="442">
        <f>(BS47+CQ47-EA47)+IF('2. START'!$C$14&gt;0,AU47-DO47,0)</f>
        <v>0</v>
      </c>
      <c r="EN47" s="442">
        <f>(BT47+CR47-EB47)+IF('2. START'!$C$14&gt;0,AV47-DP47,0)</f>
        <v>0</v>
      </c>
      <c r="EO47" s="442">
        <f>(BU47+CS47-EC47)+IF('2. START'!$C$14&gt;0,AW47-DQ47,0)</f>
        <v>0</v>
      </c>
      <c r="EP47" s="442">
        <f>(BV47+CT47-ED47)+IF('2. START'!$C$14&gt;0,AX47-DR47,0)</f>
        <v>0</v>
      </c>
      <c r="EQ47" s="442">
        <f>(BW47+CU47-EE47)+IF('2. START'!$C$14&gt;0,AY47-DS47,0)</f>
        <v>0</v>
      </c>
      <c r="ER47" s="442">
        <f>(BX47+CV47-EF47)+IF('2. START'!$C$14&gt;0,AZ47-DT47,0)</f>
        <v>0</v>
      </c>
      <c r="ES47" s="442">
        <f>(BY47+CW47-EG47)+IF('2. START'!$C$14&gt;0,BA47-DU47,0)</f>
        <v>0</v>
      </c>
      <c r="ET47" s="442">
        <f>(BZ47+CX47-EH47)+IF('2. START'!$C$14&gt;0,BB47-DV47,0)</f>
        <v>0</v>
      </c>
      <c r="EU47" s="442">
        <f>(CA47+CY47-EI47)+IF('2. START'!$C$14&gt;0,BC47-DW47,0)</f>
        <v>0</v>
      </c>
      <c r="EV47" s="443">
        <f t="shared" si="109"/>
        <v>0</v>
      </c>
      <c r="EX47" s="442">
        <f t="shared" si="110"/>
        <v>0</v>
      </c>
      <c r="EY47" s="442">
        <f t="shared" si="111"/>
        <v>0</v>
      </c>
      <c r="EZ47" s="442">
        <f t="shared" si="112"/>
        <v>0</v>
      </c>
      <c r="FA47" s="442">
        <f t="shared" si="113"/>
        <v>0</v>
      </c>
      <c r="FB47" s="442">
        <f t="shared" si="114"/>
        <v>0</v>
      </c>
      <c r="FC47" s="442">
        <f t="shared" si="115"/>
        <v>0</v>
      </c>
      <c r="FD47" s="442">
        <f t="shared" si="116"/>
        <v>0</v>
      </c>
      <c r="FE47" s="442">
        <f t="shared" si="117"/>
        <v>0</v>
      </c>
      <c r="FF47" s="442">
        <f t="shared" si="118"/>
        <v>0</v>
      </c>
      <c r="FG47" s="442">
        <f t="shared" si="119"/>
        <v>0</v>
      </c>
      <c r="FH47" s="443">
        <f t="shared" si="120"/>
        <v>0</v>
      </c>
      <c r="FJ47" s="442">
        <f t="shared" si="121"/>
        <v>0</v>
      </c>
      <c r="FK47" s="442">
        <f t="shared" si="122"/>
        <v>0</v>
      </c>
      <c r="FL47" s="442">
        <f t="shared" si="123"/>
        <v>0</v>
      </c>
      <c r="FM47" s="442">
        <f t="shared" si="124"/>
        <v>0</v>
      </c>
      <c r="FN47" s="442">
        <f t="shared" si="125"/>
        <v>0</v>
      </c>
      <c r="FO47" s="442">
        <f t="shared" si="126"/>
        <v>0</v>
      </c>
      <c r="FP47" s="442">
        <f t="shared" si="127"/>
        <v>0</v>
      </c>
      <c r="FQ47" s="442">
        <f t="shared" si="128"/>
        <v>0</v>
      </c>
      <c r="FR47" s="442">
        <f t="shared" si="129"/>
        <v>0</v>
      </c>
      <c r="FS47" s="442">
        <f t="shared" si="130"/>
        <v>0</v>
      </c>
      <c r="FT47" s="443">
        <f t="shared" si="131"/>
        <v>0</v>
      </c>
    </row>
    <row r="48" spans="2:176" s="270" customFormat="1" ht="15" customHeight="1" x14ac:dyDescent="0.25">
      <c r="B48" s="446" t="str">
        <f>'2. START'!C$7</f>
        <v>100GEM</v>
      </c>
      <c r="C48" s="469"/>
      <c r="D48" s="589"/>
      <c r="E48" s="544">
        <v>0</v>
      </c>
      <c r="F48" s="448"/>
      <c r="G48" s="449"/>
      <c r="H48" s="449"/>
      <c r="I48" s="449"/>
      <c r="J48" s="449"/>
      <c r="K48" s="449"/>
      <c r="L48" s="449"/>
      <c r="M48" s="449"/>
      <c r="N48" s="449"/>
      <c r="O48" s="449"/>
      <c r="P48" s="449"/>
      <c r="Q48" s="546">
        <f>SUMIF('3. PARTNER'!$B$13:$B$80,$B48,'3. PARTNER'!$F$13:$F$80)</f>
        <v>0.02</v>
      </c>
      <c r="R48" s="450">
        <f t="shared" si="134"/>
        <v>0.02</v>
      </c>
      <c r="S48" s="450">
        <f t="shared" si="134"/>
        <v>0.02</v>
      </c>
      <c r="T48" s="450">
        <f t="shared" si="134"/>
        <v>0.02</v>
      </c>
      <c r="U48" s="450">
        <f t="shared" si="134"/>
        <v>0.02</v>
      </c>
      <c r="V48" s="450">
        <f t="shared" si="134"/>
        <v>0.02</v>
      </c>
      <c r="W48" s="450">
        <f t="shared" si="134"/>
        <v>0.02</v>
      </c>
      <c r="X48" s="450">
        <f t="shared" si="134"/>
        <v>0.02</v>
      </c>
      <c r="Y48" s="450">
        <f t="shared" si="134"/>
        <v>0.02</v>
      </c>
      <c r="Z48" s="450">
        <f t="shared" si="134"/>
        <v>0.02</v>
      </c>
      <c r="AA48" s="451">
        <f>SUMIF('3. PARTNER'!B$13:B$80,B48,'3. PARTNER'!E$13:E$80)</f>
        <v>0.5595</v>
      </c>
      <c r="AB48" s="452">
        <f>IF('2. START'!$C$20="UTB",(SUMIF('3. PARTNER'!B$13:B$80,B48,'3. PARTNER'!K$13:K$80))+(SUMIF('3. PARTNER'!B$13:B$80,B48,'3. PARTNER'!M$13:M$80)),(SUMIF('3. PARTNER'!B$13:B$80,B48,'3. PARTNER'!G$13:G$80))+(SUMIF('3. PARTNER'!B$13:B$80,B48,'3. PARTNER'!I$13:I$80)))</f>
        <v>0.16000843770704321</v>
      </c>
      <c r="AC48" s="452">
        <f>IF('2. START'!$C$20="UTB",(SUMIF('3. PARTNER'!B$13:B$80,B48,'3. PARTNER'!L$13:L$80))+(SUMIF('3. PARTNER'!B$13:B$80,B48,'3. PARTNER'!N$13:N$80)),(SUMIF('3. PARTNER'!B$13:B$80,B48,'3. PARTNER'!H$13:H$80))+(SUMIF('3. PARTNER'!B$13:B$80,B48,'3. PARTNER'!J$13:J$80)))</f>
        <v>0</v>
      </c>
      <c r="AD48" s="452">
        <f>IF('2. START'!C$11="NO",'2. START'!C$12,0)</f>
        <v>0</v>
      </c>
      <c r="AE48" s="453">
        <f t="shared" si="98"/>
        <v>0</v>
      </c>
      <c r="AF48" s="453">
        <f t="shared" si="99"/>
        <v>0</v>
      </c>
      <c r="AG48" s="454"/>
      <c r="AH48" s="455">
        <f t="shared" si="18"/>
        <v>0</v>
      </c>
      <c r="AI48" s="455">
        <f t="shared" si="19"/>
        <v>0</v>
      </c>
      <c r="AJ48" s="455">
        <f t="shared" si="20"/>
        <v>0</v>
      </c>
      <c r="AK48" s="455">
        <f t="shared" si="21"/>
        <v>0</v>
      </c>
      <c r="AL48" s="455">
        <f t="shared" si="22"/>
        <v>0</v>
      </c>
      <c r="AM48" s="455">
        <f t="shared" si="23"/>
        <v>0</v>
      </c>
      <c r="AN48" s="455">
        <f t="shared" si="24"/>
        <v>0</v>
      </c>
      <c r="AO48" s="455">
        <f t="shared" si="25"/>
        <v>0</v>
      </c>
      <c r="AP48" s="455">
        <f t="shared" si="26"/>
        <v>0</v>
      </c>
      <c r="AQ48" s="455">
        <f t="shared" si="27"/>
        <v>0</v>
      </c>
      <c r="AR48" s="456">
        <f t="shared" si="100"/>
        <v>0</v>
      </c>
      <c r="AS48" s="457"/>
      <c r="AT48" s="455">
        <f t="shared" si="28"/>
        <v>0</v>
      </c>
      <c r="AU48" s="455">
        <f t="shared" si="29"/>
        <v>0</v>
      </c>
      <c r="AV48" s="455">
        <f t="shared" si="30"/>
        <v>0</v>
      </c>
      <c r="AW48" s="455">
        <f t="shared" si="31"/>
        <v>0</v>
      </c>
      <c r="AX48" s="455">
        <f t="shared" si="32"/>
        <v>0</v>
      </c>
      <c r="AY48" s="455">
        <f t="shared" si="33"/>
        <v>0</v>
      </c>
      <c r="AZ48" s="455">
        <f t="shared" si="34"/>
        <v>0</v>
      </c>
      <c r="BA48" s="455">
        <f t="shared" si="35"/>
        <v>0</v>
      </c>
      <c r="BB48" s="455">
        <f t="shared" si="36"/>
        <v>0</v>
      </c>
      <c r="BC48" s="455">
        <f t="shared" si="37"/>
        <v>0</v>
      </c>
      <c r="BD48" s="456">
        <f t="shared" si="101"/>
        <v>0</v>
      </c>
      <c r="BE48" s="457"/>
      <c r="BF48" s="455">
        <f t="shared" si="38"/>
        <v>0</v>
      </c>
      <c r="BG48" s="455">
        <f t="shared" si="39"/>
        <v>0</v>
      </c>
      <c r="BH48" s="455">
        <f t="shared" si="40"/>
        <v>0</v>
      </c>
      <c r="BI48" s="455">
        <f t="shared" si="41"/>
        <v>0</v>
      </c>
      <c r="BJ48" s="455">
        <f t="shared" si="42"/>
        <v>0</v>
      </c>
      <c r="BK48" s="455">
        <f t="shared" si="43"/>
        <v>0</v>
      </c>
      <c r="BL48" s="455">
        <f t="shared" si="44"/>
        <v>0</v>
      </c>
      <c r="BM48" s="455">
        <f t="shared" si="45"/>
        <v>0</v>
      </c>
      <c r="BN48" s="455">
        <f t="shared" si="46"/>
        <v>0</v>
      </c>
      <c r="BO48" s="455">
        <f t="shared" si="47"/>
        <v>0</v>
      </c>
      <c r="BP48" s="456">
        <f t="shared" si="102"/>
        <v>0</v>
      </c>
      <c r="BQ48" s="463"/>
      <c r="BR48" s="459">
        <f t="shared" si="48"/>
        <v>0</v>
      </c>
      <c r="BS48" s="459">
        <f t="shared" si="49"/>
        <v>0</v>
      </c>
      <c r="BT48" s="459">
        <f t="shared" si="50"/>
        <v>0</v>
      </c>
      <c r="BU48" s="459">
        <f t="shared" si="51"/>
        <v>0</v>
      </c>
      <c r="BV48" s="459">
        <f t="shared" si="52"/>
        <v>0</v>
      </c>
      <c r="BW48" s="459">
        <f t="shared" si="53"/>
        <v>0</v>
      </c>
      <c r="BX48" s="459">
        <f t="shared" si="54"/>
        <v>0</v>
      </c>
      <c r="BY48" s="459">
        <f t="shared" si="55"/>
        <v>0</v>
      </c>
      <c r="BZ48" s="459">
        <f t="shared" si="56"/>
        <v>0</v>
      </c>
      <c r="CA48" s="459">
        <f t="shared" si="57"/>
        <v>0</v>
      </c>
      <c r="CB48" s="460">
        <f t="shared" si="103"/>
        <v>0</v>
      </c>
      <c r="CC48" s="463"/>
      <c r="CD48" s="462">
        <f t="shared" si="58"/>
        <v>0</v>
      </c>
      <c r="CE48" s="462">
        <f t="shared" si="59"/>
        <v>0</v>
      </c>
      <c r="CF48" s="462">
        <f t="shared" si="60"/>
        <v>0</v>
      </c>
      <c r="CG48" s="462">
        <f t="shared" si="61"/>
        <v>0</v>
      </c>
      <c r="CH48" s="462">
        <f t="shared" si="62"/>
        <v>0</v>
      </c>
      <c r="CI48" s="462">
        <f t="shared" si="63"/>
        <v>0</v>
      </c>
      <c r="CJ48" s="462">
        <f t="shared" si="64"/>
        <v>0</v>
      </c>
      <c r="CK48" s="462">
        <f t="shared" si="65"/>
        <v>0</v>
      </c>
      <c r="CL48" s="462">
        <f t="shared" si="66"/>
        <v>0</v>
      </c>
      <c r="CM48" s="462">
        <f t="shared" si="67"/>
        <v>0</v>
      </c>
      <c r="CN48" s="460">
        <f t="shared" si="104"/>
        <v>0</v>
      </c>
      <c r="CO48" s="463"/>
      <c r="CP48" s="459">
        <f t="shared" si="68"/>
        <v>0</v>
      </c>
      <c r="CQ48" s="459">
        <f t="shared" si="69"/>
        <v>0</v>
      </c>
      <c r="CR48" s="459">
        <f t="shared" si="70"/>
        <v>0</v>
      </c>
      <c r="CS48" s="459">
        <f t="shared" si="71"/>
        <v>0</v>
      </c>
      <c r="CT48" s="459">
        <f t="shared" si="72"/>
        <v>0</v>
      </c>
      <c r="CU48" s="459">
        <f t="shared" si="73"/>
        <v>0</v>
      </c>
      <c r="CV48" s="459">
        <f t="shared" si="74"/>
        <v>0</v>
      </c>
      <c r="CW48" s="459">
        <f t="shared" si="75"/>
        <v>0</v>
      </c>
      <c r="CX48" s="459">
        <f t="shared" si="76"/>
        <v>0</v>
      </c>
      <c r="CY48" s="459">
        <f t="shared" si="77"/>
        <v>0</v>
      </c>
      <c r="CZ48" s="460">
        <f t="shared" si="105"/>
        <v>0</v>
      </c>
      <c r="DA48" s="463"/>
      <c r="DB48" s="459">
        <f t="shared" si="78"/>
        <v>0</v>
      </c>
      <c r="DC48" s="459">
        <f t="shared" si="79"/>
        <v>0</v>
      </c>
      <c r="DD48" s="459">
        <f t="shared" si="80"/>
        <v>0</v>
      </c>
      <c r="DE48" s="459">
        <f t="shared" si="81"/>
        <v>0</v>
      </c>
      <c r="DF48" s="459">
        <f t="shared" si="82"/>
        <v>0</v>
      </c>
      <c r="DG48" s="459">
        <f t="shared" si="83"/>
        <v>0</v>
      </c>
      <c r="DH48" s="459">
        <f t="shared" si="84"/>
        <v>0</v>
      </c>
      <c r="DI48" s="459">
        <f t="shared" si="85"/>
        <v>0</v>
      </c>
      <c r="DJ48" s="459">
        <f t="shared" si="86"/>
        <v>0</v>
      </c>
      <c r="DK48" s="459">
        <f t="shared" si="87"/>
        <v>0</v>
      </c>
      <c r="DL48" s="460">
        <f t="shared" si="106"/>
        <v>0</v>
      </c>
      <c r="DM48" s="463"/>
      <c r="DN48" s="442">
        <f>IF('2. START'!$C$14&gt;0,(AT48/(1+$AA48))*(1+'2. START'!$C$14),AT48)</f>
        <v>0</v>
      </c>
      <c r="DO48" s="442">
        <f>IF('2. START'!$C$14&gt;0,(AU48/(1+$AA48))*(1+'2. START'!$C$14),AU48)</f>
        <v>0</v>
      </c>
      <c r="DP48" s="442">
        <f>IF('2. START'!$C$14&gt;0,(AV48/(1+$AA48))*(1+'2. START'!$C$14),AV48)</f>
        <v>0</v>
      </c>
      <c r="DQ48" s="442">
        <f>IF('2. START'!$C$14&gt;0,(AW48/(1+$AA48))*(1+'2. START'!$C$14),AW48)</f>
        <v>0</v>
      </c>
      <c r="DR48" s="442">
        <f>IF('2. START'!$C$14&gt;0,(AX48/(1+$AA48))*(1+'2. START'!$C$14),AX48)</f>
        <v>0</v>
      </c>
      <c r="DS48" s="442">
        <f>IF('2. START'!$C$14&gt;0,(AY48/(1+$AA48))*(1+'2. START'!$C$14),AY48)</f>
        <v>0</v>
      </c>
      <c r="DT48" s="442">
        <f>IF('2. START'!$C$14&gt;0,(AZ48/(1+$AA48))*(1+'2. START'!$C$14),AZ48)</f>
        <v>0</v>
      </c>
      <c r="DU48" s="442">
        <f>IF('2. START'!$C$14&gt;0,(BA48/(1+$AA48))*(1+'2. START'!$C$14),BA48)</f>
        <v>0</v>
      </c>
      <c r="DV48" s="442">
        <f>IF('2. START'!$C$14&gt;0,(BB48/(1+$AA48))*(1+'2. START'!$C$14),BB48)</f>
        <v>0</v>
      </c>
      <c r="DW48" s="442">
        <f>IF('2. START'!$C$14&gt;0,(BC48/(1+$AA48))*(1+'2. START'!$C$14),BC48)</f>
        <v>0</v>
      </c>
      <c r="DX48" s="460">
        <f t="shared" si="107"/>
        <v>0</v>
      </c>
      <c r="DY48" s="463"/>
      <c r="DZ48" s="459">
        <f>IF('2. START'!$C$11="NO",(IF('2. START'!$C$14&gt;0,(DN48*$AD48),(AT48*$AD48))),(BR48+CP48))</f>
        <v>0</v>
      </c>
      <c r="EA48" s="459">
        <f>IF('2. START'!$C$11="NO",(IF('2. START'!$C$14&gt;0,(DO48*$AD48),(AU48*$AD48))),(BS48+CQ48))</f>
        <v>0</v>
      </c>
      <c r="EB48" s="459">
        <f>IF('2. START'!$C$11="NO",(IF('2. START'!$C$14&gt;0,(DP48*$AD48),(AV48*$AD48))),(BT48+CR48))</f>
        <v>0</v>
      </c>
      <c r="EC48" s="459">
        <f>IF('2. START'!$C$11="NO",(IF('2. START'!$C$14&gt;0,(DQ48*$AD48),(AW48*$AD48))),(BU48+CS48))</f>
        <v>0</v>
      </c>
      <c r="ED48" s="459">
        <f>IF('2. START'!$C$11="NO",(IF('2. START'!$C$14&gt;0,(DR48*$AD48),(AX48*$AD48))),(BV48+CT48))</f>
        <v>0</v>
      </c>
      <c r="EE48" s="459">
        <f>IF('2. START'!$C$11="NO",(IF('2. START'!$C$14&gt;0,(DS48*$AD48),(AY48*$AD48))),(BW48+CU48))</f>
        <v>0</v>
      </c>
      <c r="EF48" s="459">
        <f>IF('2. START'!$C$11="NO",(IF('2. START'!$C$14&gt;0,(DT48*$AD48),(AZ48*$AD48))),(BX48+CV48))</f>
        <v>0</v>
      </c>
      <c r="EG48" s="459">
        <f>IF('2. START'!$C$11="NO",(IF('2. START'!$C$14&gt;0,(DU48*$AD48),(BA48*$AD48))),(BY48+CW48))</f>
        <v>0</v>
      </c>
      <c r="EH48" s="459">
        <f>IF('2. START'!$C$11="NO",(IF('2. START'!$C$14&gt;0,(DV48*$AD48),(BB48*$AD48))),(BZ48+CX48))</f>
        <v>0</v>
      </c>
      <c r="EI48" s="459">
        <f>IF('2. START'!$C$11="NO",(IF('2. START'!$C$14&gt;0,(DW48*$AD48),(BC48*$AD48))),(CA48+CY48))</f>
        <v>0</v>
      </c>
      <c r="EJ48" s="460">
        <f t="shared" si="108"/>
        <v>0</v>
      </c>
      <c r="EK48" s="463"/>
      <c r="EL48" s="459">
        <f>(BR48+CP48-DZ48)+IF('2. START'!$C$14&gt;0,AT48-DN48,0)</f>
        <v>0</v>
      </c>
      <c r="EM48" s="459">
        <f>(BS48+CQ48-EA48)+IF('2. START'!$C$14&gt;0,AU48-DO48,0)</f>
        <v>0</v>
      </c>
      <c r="EN48" s="459">
        <f>(BT48+CR48-EB48)+IF('2. START'!$C$14&gt;0,AV48-DP48,0)</f>
        <v>0</v>
      </c>
      <c r="EO48" s="459">
        <f>(BU48+CS48-EC48)+IF('2. START'!$C$14&gt;0,AW48-DQ48,0)</f>
        <v>0</v>
      </c>
      <c r="EP48" s="459">
        <f>(BV48+CT48-ED48)+IF('2. START'!$C$14&gt;0,AX48-DR48,0)</f>
        <v>0</v>
      </c>
      <c r="EQ48" s="459">
        <f>(BW48+CU48-EE48)+IF('2. START'!$C$14&gt;0,AY48-DS48,0)</f>
        <v>0</v>
      </c>
      <c r="ER48" s="459">
        <f>(BX48+CV48-EF48)+IF('2. START'!$C$14&gt;0,AZ48-DT48,0)</f>
        <v>0</v>
      </c>
      <c r="ES48" s="459">
        <f>(BY48+CW48-EG48)+IF('2. START'!$C$14&gt;0,BA48-DU48,0)</f>
        <v>0</v>
      </c>
      <c r="ET48" s="459">
        <f>(BZ48+CX48-EH48)+IF('2. START'!$C$14&gt;0,BB48-DV48,0)</f>
        <v>0</v>
      </c>
      <c r="EU48" s="459">
        <f>(CA48+CY48-EI48)+IF('2. START'!$C$14&gt;0,BC48-DW48,0)</f>
        <v>0</v>
      </c>
      <c r="EV48" s="460">
        <f t="shared" si="109"/>
        <v>0</v>
      </c>
      <c r="EW48" s="463"/>
      <c r="EX48" s="459">
        <f t="shared" si="110"/>
        <v>0</v>
      </c>
      <c r="EY48" s="459">
        <f t="shared" si="111"/>
        <v>0</v>
      </c>
      <c r="EZ48" s="459">
        <f t="shared" si="112"/>
        <v>0</v>
      </c>
      <c r="FA48" s="459">
        <f t="shared" si="113"/>
        <v>0</v>
      </c>
      <c r="FB48" s="459">
        <f t="shared" si="114"/>
        <v>0</v>
      </c>
      <c r="FC48" s="459">
        <f t="shared" si="115"/>
        <v>0</v>
      </c>
      <c r="FD48" s="459">
        <f t="shared" si="116"/>
        <v>0</v>
      </c>
      <c r="FE48" s="459">
        <f t="shared" si="117"/>
        <v>0</v>
      </c>
      <c r="FF48" s="459">
        <f t="shared" si="118"/>
        <v>0</v>
      </c>
      <c r="FG48" s="459">
        <f t="shared" si="119"/>
        <v>0</v>
      </c>
      <c r="FH48" s="460">
        <f t="shared" si="120"/>
        <v>0</v>
      </c>
      <c r="FI48" s="463"/>
      <c r="FJ48" s="459">
        <f t="shared" si="121"/>
        <v>0</v>
      </c>
      <c r="FK48" s="459">
        <f t="shared" si="122"/>
        <v>0</v>
      </c>
      <c r="FL48" s="459">
        <f t="shared" si="123"/>
        <v>0</v>
      </c>
      <c r="FM48" s="459">
        <f t="shared" si="124"/>
        <v>0</v>
      </c>
      <c r="FN48" s="459">
        <f t="shared" si="125"/>
        <v>0</v>
      </c>
      <c r="FO48" s="459">
        <f t="shared" si="126"/>
        <v>0</v>
      </c>
      <c r="FP48" s="459">
        <f t="shared" si="127"/>
        <v>0</v>
      </c>
      <c r="FQ48" s="459">
        <f t="shared" si="128"/>
        <v>0</v>
      </c>
      <c r="FR48" s="459">
        <f t="shared" si="129"/>
        <v>0</v>
      </c>
      <c r="FS48" s="459">
        <f t="shared" si="130"/>
        <v>0</v>
      </c>
      <c r="FT48" s="460">
        <f t="shared" si="131"/>
        <v>0</v>
      </c>
    </row>
    <row r="49" spans="2:176" s="270" customFormat="1" ht="15" customHeight="1" x14ac:dyDescent="0.25">
      <c r="B49" s="464" t="str">
        <f>'2. START'!C$7</f>
        <v>100GEM</v>
      </c>
      <c r="C49" s="470"/>
      <c r="D49" s="590"/>
      <c r="E49" s="514">
        <v>0</v>
      </c>
      <c r="F49" s="467"/>
      <c r="G49" s="432"/>
      <c r="H49" s="432"/>
      <c r="I49" s="432"/>
      <c r="J49" s="432"/>
      <c r="K49" s="432"/>
      <c r="L49" s="432"/>
      <c r="M49" s="432"/>
      <c r="N49" s="432"/>
      <c r="O49" s="432"/>
      <c r="P49" s="432"/>
      <c r="Q49" s="545">
        <f>SUMIF('3. PARTNER'!$B$13:$B$80,$B49,'3. PARTNER'!$F$13:$F$80)</f>
        <v>0.02</v>
      </c>
      <c r="R49" s="466">
        <f t="shared" si="134"/>
        <v>0.02</v>
      </c>
      <c r="S49" s="466">
        <f t="shared" si="134"/>
        <v>0.02</v>
      </c>
      <c r="T49" s="466">
        <f t="shared" si="134"/>
        <v>0.02</v>
      </c>
      <c r="U49" s="466">
        <f t="shared" si="134"/>
        <v>0.02</v>
      </c>
      <c r="V49" s="466">
        <f t="shared" si="134"/>
        <v>0.02</v>
      </c>
      <c r="W49" s="466">
        <f t="shared" si="134"/>
        <v>0.02</v>
      </c>
      <c r="X49" s="466">
        <f t="shared" si="134"/>
        <v>0.02</v>
      </c>
      <c r="Y49" s="466">
        <f t="shared" si="134"/>
        <v>0.02</v>
      </c>
      <c r="Z49" s="466">
        <f t="shared" si="134"/>
        <v>0.02</v>
      </c>
      <c r="AA49" s="434">
        <f>SUMIF('3. PARTNER'!B$13:B$80,B49,'3. PARTNER'!E$13:E$80)</f>
        <v>0.5595</v>
      </c>
      <c r="AB49" s="435">
        <f>IF('2. START'!$C$20="UTB",(SUMIF('3. PARTNER'!B$13:B$80,B49,'3. PARTNER'!K$13:K$80))+(SUMIF('3. PARTNER'!B$13:B$80,B49,'3. PARTNER'!M$13:M$80)),(SUMIF('3. PARTNER'!B$13:B$80,B49,'3. PARTNER'!G$13:G$80))+(SUMIF('3. PARTNER'!B$13:B$80,B49,'3. PARTNER'!I$13:I$80)))</f>
        <v>0.16000843770704321</v>
      </c>
      <c r="AC49" s="435">
        <f>IF('2. START'!$C$20="UTB",(SUMIF('3. PARTNER'!B$13:B$80,B49,'3. PARTNER'!L$13:L$80))+(SUMIF('3. PARTNER'!B$13:B$80,B49,'3. PARTNER'!N$13:N$80)),(SUMIF('3. PARTNER'!B$13:B$80,B49,'3. PARTNER'!H$13:H$80))+(SUMIF('3. PARTNER'!B$13:B$80,B49,'3. PARTNER'!J$13:J$80)))</f>
        <v>0</v>
      </c>
      <c r="AD49" s="435">
        <f>IF('2. START'!C$11="NO",'2. START'!C$12,0)</f>
        <v>0</v>
      </c>
      <c r="AE49" s="436">
        <f t="shared" si="98"/>
        <v>0</v>
      </c>
      <c r="AF49" s="436">
        <f t="shared" si="99"/>
        <v>0</v>
      </c>
      <c r="AG49" s="437"/>
      <c r="AH49" s="438">
        <f t="shared" ref="AH49:AH80" si="135">$F49*G49*(1+$AA49)*(1+$Q49)</f>
        <v>0</v>
      </c>
      <c r="AI49" s="438">
        <f t="shared" ref="AI49:AI80" si="136">$F49*H49*(1+$AA49)*(1+$Q49)*(1+$R49)</f>
        <v>0</v>
      </c>
      <c r="AJ49" s="438">
        <f t="shared" ref="AJ49:AJ80" si="137">$F49*I49*(1+$AA49)*(1+$Q49)*(1+$R49)*(1+$S49)</f>
        <v>0</v>
      </c>
      <c r="AK49" s="438">
        <f t="shared" ref="AK49:AK80" si="138">$F49*J49*(1+$AA49)*(1+$Q49)*(1+$R49)*(1+$S49)*(1+$T49)</f>
        <v>0</v>
      </c>
      <c r="AL49" s="438">
        <f t="shared" ref="AL49:AL80" si="139">$F49*K49*(1+$AA49)*(1+$Q49)*(1+$R49)*(1+$S49)*(1+$T49)*(1+$U49)</f>
        <v>0</v>
      </c>
      <c r="AM49" s="438">
        <f t="shared" ref="AM49:AM80" si="140">$F49*L49*(1+$AA49)*(1+$Q49)*(1+$R49)*(1+$S49)*(1+$T49)*(1+$U49)*(1+$V49)</f>
        <v>0</v>
      </c>
      <c r="AN49" s="438">
        <f t="shared" ref="AN49:AN80" si="141">$F49*M49*(1+$AA49)*(1+$Q49)*(1+$R49)*(1+$S49)*(1+$T49)*(1+$U49)*(1+$V49)*(1+$W49)</f>
        <v>0</v>
      </c>
      <c r="AO49" s="438">
        <f t="shared" ref="AO49:AO80" si="142">$F49*N49*(1+$AA49)*(1+$Q49)*(1+$R49)*(1+$S49)*(1+$T49)*(1+$U49)*(1+$V49)*(1+$W49)*(1+$X49)</f>
        <v>0</v>
      </c>
      <c r="AP49" s="438">
        <f t="shared" ref="AP49:AP80" si="143">$F49*O49*(1+$AA49)*(1+$Q49)*(1+$R49)*(1+$S49)*(1+$T49)*(1+$U49)*(1+$V49)*(1+$W49)*(1+$X49)*(1+$Y49)</f>
        <v>0</v>
      </c>
      <c r="AQ49" s="438">
        <f t="shared" ref="AQ49:AQ80" si="144">$F49*P49*(1+$AA49)*(1+$Q49)*(1+$R49)*(1+$S49)*(1+$T49)*(1+$U49)*(1+$V49)*(1+$W49)*(1+$X49)*(1+$Y49)*(1+$Z49)</f>
        <v>0</v>
      </c>
      <c r="AR49" s="439">
        <f t="shared" si="100"/>
        <v>0</v>
      </c>
      <c r="AS49" s="440"/>
      <c r="AT49" s="438">
        <f t="shared" ref="AT49:AT80" si="145">$F49*G49*(1+$AA49)*(1+$Q49)*(1-$E49)</f>
        <v>0</v>
      </c>
      <c r="AU49" s="438">
        <f t="shared" ref="AU49:AU80" si="146">$F49*H49*(1+$AA49)*(1+$Q49)*(1+$R49)*(1-E49)</f>
        <v>0</v>
      </c>
      <c r="AV49" s="438">
        <f t="shared" ref="AV49:AV80" si="147">$F49*I49*(1+$AA49)*(1+$Q49)*(1+$R49)*(1+$S49)*(1-E49)</f>
        <v>0</v>
      </c>
      <c r="AW49" s="438">
        <f t="shared" ref="AW49:AW80" si="148">$F49*J49*(1+$AA49)*(1+$Q49)*(1+$R49)*(1+$S49)*(1+$T49)*(1-E49)</f>
        <v>0</v>
      </c>
      <c r="AX49" s="438">
        <f t="shared" ref="AX49:AX80" si="149">$F49*K49*(1+$AA49)*(1+$Q49)*(1+$R49)*(1+$S49)*(1+$T49)*(1+$U49)*(1-E49)</f>
        <v>0</v>
      </c>
      <c r="AY49" s="438">
        <f t="shared" ref="AY49:AY80" si="150">$F49*L49*(1+$AA49)*(1+$Q49)*(1+$R49)*(1+$S49)*(1+$T49)*(1+$U49)*(1+$V49)*(1-E49)</f>
        <v>0</v>
      </c>
      <c r="AZ49" s="438">
        <f t="shared" ref="AZ49:AZ80" si="151">$F49*M49*(1+$AA49)*(1+$Q49)*(1+$R49)*(1+$S49)*(1+$T49)*(1+$U49)*(1+$V49)*(1+$W49)*(1-E49)</f>
        <v>0</v>
      </c>
      <c r="BA49" s="438">
        <f t="shared" ref="BA49:BA80" si="152">$F49*N49*(1+$AA49)*(1+$Q49)*(1+$R49)*(1+$S49)*(1+$T49)*(1+$U49)*(1+$V49)*(1+$W49)*(1+$X49)*(1-E49)</f>
        <v>0</v>
      </c>
      <c r="BB49" s="438">
        <f t="shared" ref="BB49:BB80" si="153">$F49*O49*(1+$AA49)*(1+$Q49)*(1+$R49)*(1+$S49)*(1+$T49)*(1+$U49)*(1+$V49)*(1+$W49)*(1+$X49)*(1+$Y49)*(1-E49)</f>
        <v>0</v>
      </c>
      <c r="BC49" s="438">
        <f t="shared" ref="BC49:BC80" si="154">$F49*P49*(1+$AA49)*(1+$Q49)*(1+$R49)*(1+$S49)*(1+$T49)*(1+$U49)*(1+$V49)*(1+$W49)*(1+$X49)*(1+$Y49)*(1+$Z49)*(1-E49)</f>
        <v>0</v>
      </c>
      <c r="BD49" s="439">
        <f t="shared" si="101"/>
        <v>0</v>
      </c>
      <c r="BE49" s="440"/>
      <c r="BF49" s="438">
        <f t="shared" ref="BF49:BF80" si="155">$F49*G49*(1+$AA49)*(1+$Q49)*($E49)</f>
        <v>0</v>
      </c>
      <c r="BG49" s="438">
        <f t="shared" ref="BG49:BG80" si="156">$F49*H49*(1+$AA49)*(1+$Q49)*(1+$R49)*($E49)</f>
        <v>0</v>
      </c>
      <c r="BH49" s="438">
        <f t="shared" ref="BH49:BH80" si="157">$F49*I49*(1+$AA49)*(1+$Q49)*(1+$R49)*(1+$S49)*($E49)</f>
        <v>0</v>
      </c>
      <c r="BI49" s="438">
        <f t="shared" ref="BI49:BI80" si="158">$F49*J49*(1+$AA49)*(1+$Q49)*(1+$R49)*(1+$S49)*(1+$T49)*($E49)</f>
        <v>0</v>
      </c>
      <c r="BJ49" s="438">
        <f t="shared" ref="BJ49:BJ80" si="159">$F49*K49*(1+$AA49)*(1+$Q49)*(1+$R49)*(1+$S49)*(1+$T49)*(1+$U49)*($E49)</f>
        <v>0</v>
      </c>
      <c r="BK49" s="438">
        <f t="shared" ref="BK49:BK80" si="160">$F49*L49*(1+$AA49)*(1+$Q49)*(1+$R49)*(1+$S49)*(1+$T49)*(1+$U49)*(1+$V49)*($E49)</f>
        <v>0</v>
      </c>
      <c r="BL49" s="438">
        <f t="shared" ref="BL49:BL80" si="161">$F49*M49*(1+$AA49)*(1+$Q49)*(1+$R49)*(1+$S49)*(1+$T49)*(1+$U49)*(1+$V49)*(1+$W49)*($E49)</f>
        <v>0</v>
      </c>
      <c r="BM49" s="438">
        <f t="shared" ref="BM49:BM80" si="162">$F49*N49*(1+$AA49)*(1+$Q49)*(1+$R49)*(1+$S49)*(1+$T49)*(1+$U49)*(1+$V49)*(1+$W49)*(1+$X49)*($E49)</f>
        <v>0</v>
      </c>
      <c r="BN49" s="438">
        <f t="shared" ref="BN49:BN80" si="163">$F49*O49*(1+$AA49)*(1+$Q49)*(1+$R49)*(1+$S49)*(1+$T49)*(1+$U49)*(1+$V49)*(1+$W49)*(1+$X49)*(1+$Y49)*($E49)</f>
        <v>0</v>
      </c>
      <c r="BO49" s="438">
        <f t="shared" ref="BO49:BO80" si="164">$F49*P49*(1+$AA49)*(1+$Q49)*(1+$R49)*(1+$S49)*(1+$T49)*(1+$U49)*(1+$V49)*(1+$W49)*(1+$X49)*(1+$Y49)*(1+$Z49)*($E49)</f>
        <v>0</v>
      </c>
      <c r="BP49" s="439">
        <f t="shared" si="102"/>
        <v>0</v>
      </c>
      <c r="BR49" s="442">
        <f t="shared" ref="BR49:BR80" si="165">$AB49*AT49</f>
        <v>0</v>
      </c>
      <c r="BS49" s="442">
        <f t="shared" ref="BS49:BS80" si="166">$AB49*AU49</f>
        <v>0</v>
      </c>
      <c r="BT49" s="442">
        <f t="shared" ref="BT49:BT80" si="167">$AB49*AV49</f>
        <v>0</v>
      </c>
      <c r="BU49" s="442">
        <f t="shared" ref="BU49:BU80" si="168">$AB49*AW49</f>
        <v>0</v>
      </c>
      <c r="BV49" s="442">
        <f t="shared" ref="BV49:BV80" si="169">$AB49*AX49</f>
        <v>0</v>
      </c>
      <c r="BW49" s="442">
        <f t="shared" ref="BW49:BW80" si="170">$AB49*AY49</f>
        <v>0</v>
      </c>
      <c r="BX49" s="442">
        <f t="shared" ref="BX49:BX80" si="171">$AB49*AZ49</f>
        <v>0</v>
      </c>
      <c r="BY49" s="442">
        <f t="shared" ref="BY49:BY80" si="172">$AB49*BA49</f>
        <v>0</v>
      </c>
      <c r="BZ49" s="442">
        <f t="shared" ref="BZ49:BZ80" si="173">$AB49*BB49</f>
        <v>0</v>
      </c>
      <c r="CA49" s="442">
        <f t="shared" ref="CA49:CA80" si="174">$AB49*BC49</f>
        <v>0</v>
      </c>
      <c r="CB49" s="443">
        <f t="shared" si="103"/>
        <v>0</v>
      </c>
      <c r="CD49" s="445">
        <f t="shared" ref="CD49:CD80" si="175">$AB49*BF49</f>
        <v>0</v>
      </c>
      <c r="CE49" s="445">
        <f t="shared" ref="CE49:CE80" si="176">$AB49*BG49</f>
        <v>0</v>
      </c>
      <c r="CF49" s="445">
        <f t="shared" ref="CF49:CF80" si="177">$AB49*BH49</f>
        <v>0</v>
      </c>
      <c r="CG49" s="445">
        <f t="shared" ref="CG49:CG80" si="178">$AB49*BI49</f>
        <v>0</v>
      </c>
      <c r="CH49" s="445">
        <f t="shared" ref="CH49:CH80" si="179">$AB49*BJ49</f>
        <v>0</v>
      </c>
      <c r="CI49" s="445">
        <f t="shared" ref="CI49:CI80" si="180">$AB49*BK49</f>
        <v>0</v>
      </c>
      <c r="CJ49" s="445">
        <f t="shared" ref="CJ49:CJ80" si="181">$AB49*BL49</f>
        <v>0</v>
      </c>
      <c r="CK49" s="445">
        <f t="shared" ref="CK49:CK80" si="182">$AB49*BM49</f>
        <v>0</v>
      </c>
      <c r="CL49" s="445">
        <f t="shared" ref="CL49:CL80" si="183">$AB49*BN49</f>
        <v>0</v>
      </c>
      <c r="CM49" s="445">
        <f t="shared" ref="CM49:CM80" si="184">$AB49*BO49</f>
        <v>0</v>
      </c>
      <c r="CN49" s="443">
        <f t="shared" si="104"/>
        <v>0</v>
      </c>
      <c r="CP49" s="442">
        <f t="shared" ref="CP49:CP80" si="185">$AC49*AT49</f>
        <v>0</v>
      </c>
      <c r="CQ49" s="442">
        <f t="shared" ref="CQ49:CQ80" si="186">$AC49*AU49</f>
        <v>0</v>
      </c>
      <c r="CR49" s="442">
        <f t="shared" ref="CR49:CR80" si="187">$AC49*AV49</f>
        <v>0</v>
      </c>
      <c r="CS49" s="442">
        <f t="shared" ref="CS49:CS80" si="188">$AC49*AW49</f>
        <v>0</v>
      </c>
      <c r="CT49" s="442">
        <f t="shared" ref="CT49:CT80" si="189">$AC49*AX49</f>
        <v>0</v>
      </c>
      <c r="CU49" s="442">
        <f t="shared" ref="CU49:CU80" si="190">$AC49*AY49</f>
        <v>0</v>
      </c>
      <c r="CV49" s="442">
        <f t="shared" ref="CV49:CV80" si="191">$AC49*AZ49</f>
        <v>0</v>
      </c>
      <c r="CW49" s="442">
        <f t="shared" ref="CW49:CW80" si="192">$AC49*BA49</f>
        <v>0</v>
      </c>
      <c r="CX49" s="442">
        <f t="shared" ref="CX49:CX80" si="193">$AC49*BB49</f>
        <v>0</v>
      </c>
      <c r="CY49" s="442">
        <f t="shared" ref="CY49:CY80" si="194">$AC49*BC49</f>
        <v>0</v>
      </c>
      <c r="CZ49" s="443">
        <f t="shared" si="105"/>
        <v>0</v>
      </c>
      <c r="DB49" s="442">
        <f t="shared" ref="DB49:DB80" si="195">$AC49*BF49</f>
        <v>0</v>
      </c>
      <c r="DC49" s="442">
        <f t="shared" ref="DC49:DC80" si="196">$AC49*BG49</f>
        <v>0</v>
      </c>
      <c r="DD49" s="442">
        <f t="shared" ref="DD49:DD80" si="197">$AC49*BH49</f>
        <v>0</v>
      </c>
      <c r="DE49" s="442">
        <f t="shared" ref="DE49:DE80" si="198">$AC49*BI49</f>
        <v>0</v>
      </c>
      <c r="DF49" s="442">
        <f t="shared" ref="DF49:DF80" si="199">$AC49*BJ49</f>
        <v>0</v>
      </c>
      <c r="DG49" s="442">
        <f t="shared" ref="DG49:DG80" si="200">$AC49*BK49</f>
        <v>0</v>
      </c>
      <c r="DH49" s="442">
        <f t="shared" ref="DH49:DH80" si="201">$AC49*BL49</f>
        <v>0</v>
      </c>
      <c r="DI49" s="442">
        <f t="shared" ref="DI49:DI80" si="202">$AC49*BM49</f>
        <v>0</v>
      </c>
      <c r="DJ49" s="442">
        <f t="shared" ref="DJ49:DJ80" si="203">$AC49*BN49</f>
        <v>0</v>
      </c>
      <c r="DK49" s="442">
        <f t="shared" ref="DK49:DK80" si="204">$AC49*BO49</f>
        <v>0</v>
      </c>
      <c r="DL49" s="443">
        <f t="shared" si="106"/>
        <v>0</v>
      </c>
      <c r="DN49" s="442">
        <f>IF('2. START'!$C$14&gt;0,(AT49/(1+$AA49))*(1+'2. START'!$C$14),AT49)</f>
        <v>0</v>
      </c>
      <c r="DO49" s="442">
        <f>IF('2. START'!$C$14&gt;0,(AU49/(1+$AA49))*(1+'2. START'!$C$14),AU49)</f>
        <v>0</v>
      </c>
      <c r="DP49" s="442">
        <f>IF('2. START'!$C$14&gt;0,(AV49/(1+$AA49))*(1+'2. START'!$C$14),AV49)</f>
        <v>0</v>
      </c>
      <c r="DQ49" s="442">
        <f>IF('2. START'!$C$14&gt;0,(AW49/(1+$AA49))*(1+'2. START'!$C$14),AW49)</f>
        <v>0</v>
      </c>
      <c r="DR49" s="442">
        <f>IF('2. START'!$C$14&gt;0,(AX49/(1+$AA49))*(1+'2. START'!$C$14),AX49)</f>
        <v>0</v>
      </c>
      <c r="DS49" s="442">
        <f>IF('2. START'!$C$14&gt;0,(AY49/(1+$AA49))*(1+'2. START'!$C$14),AY49)</f>
        <v>0</v>
      </c>
      <c r="DT49" s="442">
        <f>IF('2. START'!$C$14&gt;0,(AZ49/(1+$AA49))*(1+'2. START'!$C$14),AZ49)</f>
        <v>0</v>
      </c>
      <c r="DU49" s="442">
        <f>IF('2. START'!$C$14&gt;0,(BA49/(1+$AA49))*(1+'2. START'!$C$14),BA49)</f>
        <v>0</v>
      </c>
      <c r="DV49" s="442">
        <f>IF('2. START'!$C$14&gt;0,(BB49/(1+$AA49))*(1+'2. START'!$C$14),BB49)</f>
        <v>0</v>
      </c>
      <c r="DW49" s="442">
        <f>IF('2. START'!$C$14&gt;0,(BC49/(1+$AA49))*(1+'2. START'!$C$14),BC49)</f>
        <v>0</v>
      </c>
      <c r="DX49" s="443">
        <f t="shared" si="107"/>
        <v>0</v>
      </c>
      <c r="DZ49" s="442">
        <f>IF('2. START'!$C$11="NO",(IF('2. START'!$C$14&gt;0,(DN49*$AD49),(AT49*$AD49))),(BR49+CP49))</f>
        <v>0</v>
      </c>
      <c r="EA49" s="442">
        <f>IF('2. START'!$C$11="NO",(IF('2. START'!$C$14&gt;0,(DO49*$AD49),(AU49*$AD49))),(BS49+CQ49))</f>
        <v>0</v>
      </c>
      <c r="EB49" s="442">
        <f>IF('2. START'!$C$11="NO",(IF('2. START'!$C$14&gt;0,(DP49*$AD49),(AV49*$AD49))),(BT49+CR49))</f>
        <v>0</v>
      </c>
      <c r="EC49" s="442">
        <f>IF('2. START'!$C$11="NO",(IF('2. START'!$C$14&gt;0,(DQ49*$AD49),(AW49*$AD49))),(BU49+CS49))</f>
        <v>0</v>
      </c>
      <c r="ED49" s="442">
        <f>IF('2. START'!$C$11="NO",(IF('2. START'!$C$14&gt;0,(DR49*$AD49),(AX49*$AD49))),(BV49+CT49))</f>
        <v>0</v>
      </c>
      <c r="EE49" s="442">
        <f>IF('2. START'!$C$11="NO",(IF('2. START'!$C$14&gt;0,(DS49*$AD49),(AY49*$AD49))),(BW49+CU49))</f>
        <v>0</v>
      </c>
      <c r="EF49" s="442">
        <f>IF('2. START'!$C$11="NO",(IF('2. START'!$C$14&gt;0,(DT49*$AD49),(AZ49*$AD49))),(BX49+CV49))</f>
        <v>0</v>
      </c>
      <c r="EG49" s="442">
        <f>IF('2. START'!$C$11="NO",(IF('2. START'!$C$14&gt;0,(DU49*$AD49),(BA49*$AD49))),(BY49+CW49))</f>
        <v>0</v>
      </c>
      <c r="EH49" s="442">
        <f>IF('2. START'!$C$11="NO",(IF('2. START'!$C$14&gt;0,(DV49*$AD49),(BB49*$AD49))),(BZ49+CX49))</f>
        <v>0</v>
      </c>
      <c r="EI49" s="442">
        <f>IF('2. START'!$C$11="NO",(IF('2. START'!$C$14&gt;0,(DW49*$AD49),(BC49*$AD49))),(CA49+CY49))</f>
        <v>0</v>
      </c>
      <c r="EJ49" s="443">
        <f t="shared" si="108"/>
        <v>0</v>
      </c>
      <c r="EL49" s="442">
        <f>(BR49+CP49-DZ49)+IF('2. START'!$C$14&gt;0,AT49-DN49,0)</f>
        <v>0</v>
      </c>
      <c r="EM49" s="442">
        <f>(BS49+CQ49-EA49)+IF('2. START'!$C$14&gt;0,AU49-DO49,0)</f>
        <v>0</v>
      </c>
      <c r="EN49" s="442">
        <f>(BT49+CR49-EB49)+IF('2. START'!$C$14&gt;0,AV49-DP49,0)</f>
        <v>0</v>
      </c>
      <c r="EO49" s="442">
        <f>(BU49+CS49-EC49)+IF('2. START'!$C$14&gt;0,AW49-DQ49,0)</f>
        <v>0</v>
      </c>
      <c r="EP49" s="442">
        <f>(BV49+CT49-ED49)+IF('2. START'!$C$14&gt;0,AX49-DR49,0)</f>
        <v>0</v>
      </c>
      <c r="EQ49" s="442">
        <f>(BW49+CU49-EE49)+IF('2. START'!$C$14&gt;0,AY49-DS49,0)</f>
        <v>0</v>
      </c>
      <c r="ER49" s="442">
        <f>(BX49+CV49-EF49)+IF('2. START'!$C$14&gt;0,AZ49-DT49,0)</f>
        <v>0</v>
      </c>
      <c r="ES49" s="442">
        <f>(BY49+CW49-EG49)+IF('2. START'!$C$14&gt;0,BA49-DU49,0)</f>
        <v>0</v>
      </c>
      <c r="ET49" s="442">
        <f>(BZ49+CX49-EH49)+IF('2. START'!$C$14&gt;0,BB49-DV49,0)</f>
        <v>0</v>
      </c>
      <c r="EU49" s="442">
        <f>(CA49+CY49-EI49)+IF('2. START'!$C$14&gt;0,BC49-DW49,0)</f>
        <v>0</v>
      </c>
      <c r="EV49" s="443">
        <f t="shared" si="109"/>
        <v>0</v>
      </c>
      <c r="EX49" s="442">
        <f t="shared" si="110"/>
        <v>0</v>
      </c>
      <c r="EY49" s="442">
        <f t="shared" si="111"/>
        <v>0</v>
      </c>
      <c r="EZ49" s="442">
        <f t="shared" si="112"/>
        <v>0</v>
      </c>
      <c r="FA49" s="442">
        <f t="shared" si="113"/>
        <v>0</v>
      </c>
      <c r="FB49" s="442">
        <f t="shared" si="114"/>
        <v>0</v>
      </c>
      <c r="FC49" s="442">
        <f t="shared" si="115"/>
        <v>0</v>
      </c>
      <c r="FD49" s="442">
        <f t="shared" si="116"/>
        <v>0</v>
      </c>
      <c r="FE49" s="442">
        <f t="shared" si="117"/>
        <v>0</v>
      </c>
      <c r="FF49" s="442">
        <f t="shared" si="118"/>
        <v>0</v>
      </c>
      <c r="FG49" s="442">
        <f t="shared" si="119"/>
        <v>0</v>
      </c>
      <c r="FH49" s="443">
        <f t="shared" si="120"/>
        <v>0</v>
      </c>
      <c r="FJ49" s="442">
        <f t="shared" si="121"/>
        <v>0</v>
      </c>
      <c r="FK49" s="442">
        <f t="shared" si="122"/>
        <v>0</v>
      </c>
      <c r="FL49" s="442">
        <f t="shared" si="123"/>
        <v>0</v>
      </c>
      <c r="FM49" s="442">
        <f t="shared" si="124"/>
        <v>0</v>
      </c>
      <c r="FN49" s="442">
        <f t="shared" si="125"/>
        <v>0</v>
      </c>
      <c r="FO49" s="442">
        <f t="shared" si="126"/>
        <v>0</v>
      </c>
      <c r="FP49" s="442">
        <f t="shared" si="127"/>
        <v>0</v>
      </c>
      <c r="FQ49" s="442">
        <f t="shared" si="128"/>
        <v>0</v>
      </c>
      <c r="FR49" s="442">
        <f t="shared" si="129"/>
        <v>0</v>
      </c>
      <c r="FS49" s="442">
        <f t="shared" si="130"/>
        <v>0</v>
      </c>
      <c r="FT49" s="443">
        <f t="shared" si="131"/>
        <v>0</v>
      </c>
    </row>
    <row r="50" spans="2:176" s="270" customFormat="1" ht="15" customHeight="1" x14ac:dyDescent="0.25">
      <c r="B50" s="446" t="str">
        <f>'2. START'!C$7</f>
        <v>100GEM</v>
      </c>
      <c r="C50" s="469"/>
      <c r="D50" s="589"/>
      <c r="E50" s="544">
        <v>0</v>
      </c>
      <c r="F50" s="448"/>
      <c r="G50" s="449"/>
      <c r="H50" s="449"/>
      <c r="I50" s="449"/>
      <c r="J50" s="449"/>
      <c r="K50" s="449"/>
      <c r="L50" s="449"/>
      <c r="M50" s="449"/>
      <c r="N50" s="449"/>
      <c r="O50" s="449"/>
      <c r="P50" s="449"/>
      <c r="Q50" s="546">
        <f>SUMIF('3. PARTNER'!$B$13:$B$80,$B50,'3. PARTNER'!$F$13:$F$80)</f>
        <v>0.02</v>
      </c>
      <c r="R50" s="450">
        <f t="shared" si="134"/>
        <v>0.02</v>
      </c>
      <c r="S50" s="450">
        <f t="shared" si="134"/>
        <v>0.02</v>
      </c>
      <c r="T50" s="450">
        <f t="shared" si="134"/>
        <v>0.02</v>
      </c>
      <c r="U50" s="450">
        <f t="shared" si="134"/>
        <v>0.02</v>
      </c>
      <c r="V50" s="450">
        <f t="shared" si="134"/>
        <v>0.02</v>
      </c>
      <c r="W50" s="450">
        <f t="shared" si="134"/>
        <v>0.02</v>
      </c>
      <c r="X50" s="450">
        <f t="shared" si="134"/>
        <v>0.02</v>
      </c>
      <c r="Y50" s="450">
        <f t="shared" si="134"/>
        <v>0.02</v>
      </c>
      <c r="Z50" s="450">
        <f t="shared" si="134"/>
        <v>0.02</v>
      </c>
      <c r="AA50" s="451">
        <f>SUMIF('3. PARTNER'!B$13:B$80,B50,'3. PARTNER'!E$13:E$80)</f>
        <v>0.5595</v>
      </c>
      <c r="AB50" s="452">
        <f>IF('2. START'!$C$20="UTB",(SUMIF('3. PARTNER'!B$13:B$80,B50,'3. PARTNER'!K$13:K$80))+(SUMIF('3. PARTNER'!B$13:B$80,B50,'3. PARTNER'!M$13:M$80)),(SUMIF('3. PARTNER'!B$13:B$80,B50,'3. PARTNER'!G$13:G$80))+(SUMIF('3. PARTNER'!B$13:B$80,B50,'3. PARTNER'!I$13:I$80)))</f>
        <v>0.16000843770704321</v>
      </c>
      <c r="AC50" s="452">
        <f>IF('2. START'!$C$20="UTB",(SUMIF('3. PARTNER'!B$13:B$80,B50,'3. PARTNER'!L$13:L$80))+(SUMIF('3. PARTNER'!B$13:B$80,B50,'3. PARTNER'!N$13:N$80)),(SUMIF('3. PARTNER'!B$13:B$80,B50,'3. PARTNER'!H$13:H$80))+(SUMIF('3. PARTNER'!B$13:B$80,B50,'3. PARTNER'!J$13:J$80)))</f>
        <v>0</v>
      </c>
      <c r="AD50" s="452">
        <f>IF('2. START'!C$11="NO",'2. START'!C$12,0)</f>
        <v>0</v>
      </c>
      <c r="AE50" s="453">
        <f t="shared" si="98"/>
        <v>0</v>
      </c>
      <c r="AF50" s="453">
        <f t="shared" si="99"/>
        <v>0</v>
      </c>
      <c r="AG50" s="454"/>
      <c r="AH50" s="455">
        <f t="shared" si="135"/>
        <v>0</v>
      </c>
      <c r="AI50" s="455">
        <f t="shared" si="136"/>
        <v>0</v>
      </c>
      <c r="AJ50" s="455">
        <f t="shared" si="137"/>
        <v>0</v>
      </c>
      <c r="AK50" s="455">
        <f t="shared" si="138"/>
        <v>0</v>
      </c>
      <c r="AL50" s="455">
        <f t="shared" si="139"/>
        <v>0</v>
      </c>
      <c r="AM50" s="455">
        <f t="shared" si="140"/>
        <v>0</v>
      </c>
      <c r="AN50" s="455">
        <f t="shared" si="141"/>
        <v>0</v>
      </c>
      <c r="AO50" s="455">
        <f t="shared" si="142"/>
        <v>0</v>
      </c>
      <c r="AP50" s="455">
        <f t="shared" si="143"/>
        <v>0</v>
      </c>
      <c r="AQ50" s="455">
        <f t="shared" si="144"/>
        <v>0</v>
      </c>
      <c r="AR50" s="456">
        <f t="shared" si="100"/>
        <v>0</v>
      </c>
      <c r="AS50" s="457"/>
      <c r="AT50" s="455">
        <f t="shared" si="145"/>
        <v>0</v>
      </c>
      <c r="AU50" s="455">
        <f t="shared" si="146"/>
        <v>0</v>
      </c>
      <c r="AV50" s="455">
        <f t="shared" si="147"/>
        <v>0</v>
      </c>
      <c r="AW50" s="455">
        <f t="shared" si="148"/>
        <v>0</v>
      </c>
      <c r="AX50" s="455">
        <f t="shared" si="149"/>
        <v>0</v>
      </c>
      <c r="AY50" s="455">
        <f t="shared" si="150"/>
        <v>0</v>
      </c>
      <c r="AZ50" s="455">
        <f t="shared" si="151"/>
        <v>0</v>
      </c>
      <c r="BA50" s="455">
        <f t="shared" si="152"/>
        <v>0</v>
      </c>
      <c r="BB50" s="455">
        <f t="shared" si="153"/>
        <v>0</v>
      </c>
      <c r="BC50" s="455">
        <f t="shared" si="154"/>
        <v>0</v>
      </c>
      <c r="BD50" s="456">
        <f t="shared" si="101"/>
        <v>0</v>
      </c>
      <c r="BE50" s="457"/>
      <c r="BF50" s="455">
        <f t="shared" si="155"/>
        <v>0</v>
      </c>
      <c r="BG50" s="455">
        <f t="shared" si="156"/>
        <v>0</v>
      </c>
      <c r="BH50" s="455">
        <f t="shared" si="157"/>
        <v>0</v>
      </c>
      <c r="BI50" s="455">
        <f t="shared" si="158"/>
        <v>0</v>
      </c>
      <c r="BJ50" s="455">
        <f t="shared" si="159"/>
        <v>0</v>
      </c>
      <c r="BK50" s="455">
        <f t="shared" si="160"/>
        <v>0</v>
      </c>
      <c r="BL50" s="455">
        <f t="shared" si="161"/>
        <v>0</v>
      </c>
      <c r="BM50" s="455">
        <f t="shared" si="162"/>
        <v>0</v>
      </c>
      <c r="BN50" s="455">
        <f t="shared" si="163"/>
        <v>0</v>
      </c>
      <c r="BO50" s="455">
        <f t="shared" si="164"/>
        <v>0</v>
      </c>
      <c r="BP50" s="456">
        <f t="shared" si="102"/>
        <v>0</v>
      </c>
      <c r="BQ50" s="463"/>
      <c r="BR50" s="459">
        <f t="shared" si="165"/>
        <v>0</v>
      </c>
      <c r="BS50" s="459">
        <f t="shared" si="166"/>
        <v>0</v>
      </c>
      <c r="BT50" s="459">
        <f t="shared" si="167"/>
        <v>0</v>
      </c>
      <c r="BU50" s="459">
        <f t="shared" si="168"/>
        <v>0</v>
      </c>
      <c r="BV50" s="459">
        <f t="shared" si="169"/>
        <v>0</v>
      </c>
      <c r="BW50" s="459">
        <f t="shared" si="170"/>
        <v>0</v>
      </c>
      <c r="BX50" s="459">
        <f t="shared" si="171"/>
        <v>0</v>
      </c>
      <c r="BY50" s="459">
        <f t="shared" si="172"/>
        <v>0</v>
      </c>
      <c r="BZ50" s="459">
        <f t="shared" si="173"/>
        <v>0</v>
      </c>
      <c r="CA50" s="459">
        <f t="shared" si="174"/>
        <v>0</v>
      </c>
      <c r="CB50" s="460">
        <f t="shared" si="103"/>
        <v>0</v>
      </c>
      <c r="CC50" s="463"/>
      <c r="CD50" s="462">
        <f t="shared" si="175"/>
        <v>0</v>
      </c>
      <c r="CE50" s="462">
        <f t="shared" si="176"/>
        <v>0</v>
      </c>
      <c r="CF50" s="462">
        <f t="shared" si="177"/>
        <v>0</v>
      </c>
      <c r="CG50" s="462">
        <f t="shared" si="178"/>
        <v>0</v>
      </c>
      <c r="CH50" s="462">
        <f t="shared" si="179"/>
        <v>0</v>
      </c>
      <c r="CI50" s="462">
        <f t="shared" si="180"/>
        <v>0</v>
      </c>
      <c r="CJ50" s="462">
        <f t="shared" si="181"/>
        <v>0</v>
      </c>
      <c r="CK50" s="462">
        <f t="shared" si="182"/>
        <v>0</v>
      </c>
      <c r="CL50" s="462">
        <f t="shared" si="183"/>
        <v>0</v>
      </c>
      <c r="CM50" s="462">
        <f t="shared" si="184"/>
        <v>0</v>
      </c>
      <c r="CN50" s="460">
        <f t="shared" si="104"/>
        <v>0</v>
      </c>
      <c r="CO50" s="463"/>
      <c r="CP50" s="459">
        <f t="shared" si="185"/>
        <v>0</v>
      </c>
      <c r="CQ50" s="459">
        <f t="shared" si="186"/>
        <v>0</v>
      </c>
      <c r="CR50" s="459">
        <f t="shared" si="187"/>
        <v>0</v>
      </c>
      <c r="CS50" s="459">
        <f t="shared" si="188"/>
        <v>0</v>
      </c>
      <c r="CT50" s="459">
        <f t="shared" si="189"/>
        <v>0</v>
      </c>
      <c r="CU50" s="459">
        <f t="shared" si="190"/>
        <v>0</v>
      </c>
      <c r="CV50" s="459">
        <f t="shared" si="191"/>
        <v>0</v>
      </c>
      <c r="CW50" s="459">
        <f t="shared" si="192"/>
        <v>0</v>
      </c>
      <c r="CX50" s="459">
        <f t="shared" si="193"/>
        <v>0</v>
      </c>
      <c r="CY50" s="459">
        <f t="shared" si="194"/>
        <v>0</v>
      </c>
      <c r="CZ50" s="460">
        <f t="shared" si="105"/>
        <v>0</v>
      </c>
      <c r="DA50" s="463"/>
      <c r="DB50" s="459">
        <f t="shared" si="195"/>
        <v>0</v>
      </c>
      <c r="DC50" s="459">
        <f t="shared" si="196"/>
        <v>0</v>
      </c>
      <c r="DD50" s="459">
        <f t="shared" si="197"/>
        <v>0</v>
      </c>
      <c r="DE50" s="459">
        <f t="shared" si="198"/>
        <v>0</v>
      </c>
      <c r="DF50" s="459">
        <f t="shared" si="199"/>
        <v>0</v>
      </c>
      <c r="DG50" s="459">
        <f t="shared" si="200"/>
        <v>0</v>
      </c>
      <c r="DH50" s="459">
        <f t="shared" si="201"/>
        <v>0</v>
      </c>
      <c r="DI50" s="459">
        <f t="shared" si="202"/>
        <v>0</v>
      </c>
      <c r="DJ50" s="459">
        <f t="shared" si="203"/>
        <v>0</v>
      </c>
      <c r="DK50" s="459">
        <f t="shared" si="204"/>
        <v>0</v>
      </c>
      <c r="DL50" s="460">
        <f t="shared" si="106"/>
        <v>0</v>
      </c>
      <c r="DM50" s="463"/>
      <c r="DN50" s="442">
        <f>IF('2. START'!$C$14&gt;0,(AT50/(1+$AA50))*(1+'2. START'!$C$14),AT50)</f>
        <v>0</v>
      </c>
      <c r="DO50" s="442">
        <f>IF('2. START'!$C$14&gt;0,(AU50/(1+$AA50))*(1+'2. START'!$C$14),AU50)</f>
        <v>0</v>
      </c>
      <c r="DP50" s="442">
        <f>IF('2. START'!$C$14&gt;0,(AV50/(1+$AA50))*(1+'2. START'!$C$14),AV50)</f>
        <v>0</v>
      </c>
      <c r="DQ50" s="442">
        <f>IF('2. START'!$C$14&gt;0,(AW50/(1+$AA50))*(1+'2. START'!$C$14),AW50)</f>
        <v>0</v>
      </c>
      <c r="DR50" s="442">
        <f>IF('2. START'!$C$14&gt;0,(AX50/(1+$AA50))*(1+'2. START'!$C$14),AX50)</f>
        <v>0</v>
      </c>
      <c r="DS50" s="442">
        <f>IF('2. START'!$C$14&gt;0,(AY50/(1+$AA50))*(1+'2. START'!$C$14),AY50)</f>
        <v>0</v>
      </c>
      <c r="DT50" s="442">
        <f>IF('2. START'!$C$14&gt;0,(AZ50/(1+$AA50))*(1+'2. START'!$C$14),AZ50)</f>
        <v>0</v>
      </c>
      <c r="DU50" s="442">
        <f>IF('2. START'!$C$14&gt;0,(BA50/(1+$AA50))*(1+'2. START'!$C$14),BA50)</f>
        <v>0</v>
      </c>
      <c r="DV50" s="442">
        <f>IF('2. START'!$C$14&gt;0,(BB50/(1+$AA50))*(1+'2. START'!$C$14),BB50)</f>
        <v>0</v>
      </c>
      <c r="DW50" s="442">
        <f>IF('2. START'!$C$14&gt;0,(BC50/(1+$AA50))*(1+'2. START'!$C$14),BC50)</f>
        <v>0</v>
      </c>
      <c r="DX50" s="460">
        <f t="shared" si="107"/>
        <v>0</v>
      </c>
      <c r="DY50" s="463"/>
      <c r="DZ50" s="459">
        <f>IF('2. START'!$C$11="NO",(IF('2. START'!$C$14&gt;0,(DN50*$AD50),(AT50*$AD50))),(BR50+CP50))</f>
        <v>0</v>
      </c>
      <c r="EA50" s="459">
        <f>IF('2. START'!$C$11="NO",(IF('2. START'!$C$14&gt;0,(DO50*$AD50),(AU50*$AD50))),(BS50+CQ50))</f>
        <v>0</v>
      </c>
      <c r="EB50" s="459">
        <f>IF('2. START'!$C$11="NO",(IF('2. START'!$C$14&gt;0,(DP50*$AD50),(AV50*$AD50))),(BT50+CR50))</f>
        <v>0</v>
      </c>
      <c r="EC50" s="459">
        <f>IF('2. START'!$C$11="NO",(IF('2. START'!$C$14&gt;0,(DQ50*$AD50),(AW50*$AD50))),(BU50+CS50))</f>
        <v>0</v>
      </c>
      <c r="ED50" s="459">
        <f>IF('2. START'!$C$11="NO",(IF('2. START'!$C$14&gt;0,(DR50*$AD50),(AX50*$AD50))),(BV50+CT50))</f>
        <v>0</v>
      </c>
      <c r="EE50" s="459">
        <f>IF('2. START'!$C$11="NO",(IF('2. START'!$C$14&gt;0,(DS50*$AD50),(AY50*$AD50))),(BW50+CU50))</f>
        <v>0</v>
      </c>
      <c r="EF50" s="459">
        <f>IF('2. START'!$C$11="NO",(IF('2. START'!$C$14&gt;0,(DT50*$AD50),(AZ50*$AD50))),(BX50+CV50))</f>
        <v>0</v>
      </c>
      <c r="EG50" s="459">
        <f>IF('2. START'!$C$11="NO",(IF('2. START'!$C$14&gt;0,(DU50*$AD50),(BA50*$AD50))),(BY50+CW50))</f>
        <v>0</v>
      </c>
      <c r="EH50" s="459">
        <f>IF('2. START'!$C$11="NO",(IF('2. START'!$C$14&gt;0,(DV50*$AD50),(BB50*$AD50))),(BZ50+CX50))</f>
        <v>0</v>
      </c>
      <c r="EI50" s="459">
        <f>IF('2. START'!$C$11="NO",(IF('2. START'!$C$14&gt;0,(DW50*$AD50),(BC50*$AD50))),(CA50+CY50))</f>
        <v>0</v>
      </c>
      <c r="EJ50" s="460">
        <f t="shared" si="108"/>
        <v>0</v>
      </c>
      <c r="EK50" s="463"/>
      <c r="EL50" s="459">
        <f>(BR50+CP50-DZ50)+IF('2. START'!$C$14&gt;0,AT50-DN50,0)</f>
        <v>0</v>
      </c>
      <c r="EM50" s="459">
        <f>(BS50+CQ50-EA50)+IF('2. START'!$C$14&gt;0,AU50-DO50,0)</f>
        <v>0</v>
      </c>
      <c r="EN50" s="459">
        <f>(BT50+CR50-EB50)+IF('2. START'!$C$14&gt;0,AV50-DP50,0)</f>
        <v>0</v>
      </c>
      <c r="EO50" s="459">
        <f>(BU50+CS50-EC50)+IF('2. START'!$C$14&gt;0,AW50-DQ50,0)</f>
        <v>0</v>
      </c>
      <c r="EP50" s="459">
        <f>(BV50+CT50-ED50)+IF('2. START'!$C$14&gt;0,AX50-DR50,0)</f>
        <v>0</v>
      </c>
      <c r="EQ50" s="459">
        <f>(BW50+CU50-EE50)+IF('2. START'!$C$14&gt;0,AY50-DS50,0)</f>
        <v>0</v>
      </c>
      <c r="ER50" s="459">
        <f>(BX50+CV50-EF50)+IF('2. START'!$C$14&gt;0,AZ50-DT50,0)</f>
        <v>0</v>
      </c>
      <c r="ES50" s="459">
        <f>(BY50+CW50-EG50)+IF('2. START'!$C$14&gt;0,BA50-DU50,0)</f>
        <v>0</v>
      </c>
      <c r="ET50" s="459">
        <f>(BZ50+CX50-EH50)+IF('2. START'!$C$14&gt;0,BB50-DV50,0)</f>
        <v>0</v>
      </c>
      <c r="EU50" s="459">
        <f>(CA50+CY50-EI50)+IF('2. START'!$C$14&gt;0,BC50-DW50,0)</f>
        <v>0</v>
      </c>
      <c r="EV50" s="460">
        <f t="shared" si="109"/>
        <v>0</v>
      </c>
      <c r="EW50" s="463"/>
      <c r="EX50" s="459">
        <f t="shared" si="110"/>
        <v>0</v>
      </c>
      <c r="EY50" s="459">
        <f t="shared" si="111"/>
        <v>0</v>
      </c>
      <c r="EZ50" s="459">
        <f t="shared" si="112"/>
        <v>0</v>
      </c>
      <c r="FA50" s="459">
        <f t="shared" si="113"/>
        <v>0</v>
      </c>
      <c r="FB50" s="459">
        <f t="shared" si="114"/>
        <v>0</v>
      </c>
      <c r="FC50" s="459">
        <f t="shared" si="115"/>
        <v>0</v>
      </c>
      <c r="FD50" s="459">
        <f t="shared" si="116"/>
        <v>0</v>
      </c>
      <c r="FE50" s="459">
        <f t="shared" si="117"/>
        <v>0</v>
      </c>
      <c r="FF50" s="459">
        <f t="shared" si="118"/>
        <v>0</v>
      </c>
      <c r="FG50" s="459">
        <f t="shared" si="119"/>
        <v>0</v>
      </c>
      <c r="FH50" s="460">
        <f t="shared" si="120"/>
        <v>0</v>
      </c>
      <c r="FI50" s="463"/>
      <c r="FJ50" s="459">
        <f t="shared" si="121"/>
        <v>0</v>
      </c>
      <c r="FK50" s="459">
        <f t="shared" si="122"/>
        <v>0</v>
      </c>
      <c r="FL50" s="459">
        <f t="shared" si="123"/>
        <v>0</v>
      </c>
      <c r="FM50" s="459">
        <f t="shared" si="124"/>
        <v>0</v>
      </c>
      <c r="FN50" s="459">
        <f t="shared" si="125"/>
        <v>0</v>
      </c>
      <c r="FO50" s="459">
        <f t="shared" si="126"/>
        <v>0</v>
      </c>
      <c r="FP50" s="459">
        <f t="shared" si="127"/>
        <v>0</v>
      </c>
      <c r="FQ50" s="459">
        <f t="shared" si="128"/>
        <v>0</v>
      </c>
      <c r="FR50" s="459">
        <f t="shared" si="129"/>
        <v>0</v>
      </c>
      <c r="FS50" s="459">
        <f t="shared" si="130"/>
        <v>0</v>
      </c>
      <c r="FT50" s="460">
        <f t="shared" si="131"/>
        <v>0</v>
      </c>
    </row>
    <row r="51" spans="2:176" s="270" customFormat="1" ht="15" customHeight="1" x14ac:dyDescent="0.25">
      <c r="B51" s="464" t="str">
        <f>'2. START'!C$7</f>
        <v>100GEM</v>
      </c>
      <c r="C51" s="470"/>
      <c r="D51" s="590"/>
      <c r="E51" s="514">
        <v>0</v>
      </c>
      <c r="F51" s="467"/>
      <c r="G51" s="432"/>
      <c r="H51" s="432"/>
      <c r="I51" s="432"/>
      <c r="J51" s="432"/>
      <c r="K51" s="432"/>
      <c r="L51" s="432"/>
      <c r="M51" s="432"/>
      <c r="N51" s="432"/>
      <c r="O51" s="432"/>
      <c r="P51" s="432"/>
      <c r="Q51" s="545">
        <f>SUMIF('3. PARTNER'!$B$13:$B$80,$B51,'3. PARTNER'!$F$13:$F$80)</f>
        <v>0.02</v>
      </c>
      <c r="R51" s="466">
        <f t="shared" si="134"/>
        <v>0.02</v>
      </c>
      <c r="S51" s="466">
        <f t="shared" si="134"/>
        <v>0.02</v>
      </c>
      <c r="T51" s="466">
        <f t="shared" si="134"/>
        <v>0.02</v>
      </c>
      <c r="U51" s="466">
        <f t="shared" si="134"/>
        <v>0.02</v>
      </c>
      <c r="V51" s="466">
        <f t="shared" si="134"/>
        <v>0.02</v>
      </c>
      <c r="W51" s="466">
        <f t="shared" si="134"/>
        <v>0.02</v>
      </c>
      <c r="X51" s="466">
        <f t="shared" si="134"/>
        <v>0.02</v>
      </c>
      <c r="Y51" s="466">
        <f t="shared" si="134"/>
        <v>0.02</v>
      </c>
      <c r="Z51" s="466">
        <f t="shared" si="134"/>
        <v>0.02</v>
      </c>
      <c r="AA51" s="434">
        <f>SUMIF('3. PARTNER'!B$13:B$80,B51,'3. PARTNER'!E$13:E$80)</f>
        <v>0.5595</v>
      </c>
      <c r="AB51" s="435">
        <f>IF('2. START'!$C$20="UTB",(SUMIF('3. PARTNER'!B$13:B$80,B51,'3. PARTNER'!K$13:K$80))+(SUMIF('3. PARTNER'!B$13:B$80,B51,'3. PARTNER'!M$13:M$80)),(SUMIF('3. PARTNER'!B$13:B$80,B51,'3. PARTNER'!G$13:G$80))+(SUMIF('3. PARTNER'!B$13:B$80,B51,'3. PARTNER'!I$13:I$80)))</f>
        <v>0.16000843770704321</v>
      </c>
      <c r="AC51" s="435">
        <f>IF('2. START'!$C$20="UTB",(SUMIF('3. PARTNER'!B$13:B$80,B51,'3. PARTNER'!L$13:L$80))+(SUMIF('3. PARTNER'!B$13:B$80,B51,'3. PARTNER'!N$13:N$80)),(SUMIF('3. PARTNER'!B$13:B$80,B51,'3. PARTNER'!H$13:H$80))+(SUMIF('3. PARTNER'!B$13:B$80,B51,'3. PARTNER'!J$13:J$80)))</f>
        <v>0</v>
      </c>
      <c r="AD51" s="435">
        <f>IF('2. START'!C$11="NO",'2. START'!C$12,0)</f>
        <v>0</v>
      </c>
      <c r="AE51" s="436">
        <f t="shared" si="98"/>
        <v>0</v>
      </c>
      <c r="AF51" s="436">
        <f t="shared" si="99"/>
        <v>0</v>
      </c>
      <c r="AG51" s="437"/>
      <c r="AH51" s="438">
        <f t="shared" si="135"/>
        <v>0</v>
      </c>
      <c r="AI51" s="438">
        <f t="shared" si="136"/>
        <v>0</v>
      </c>
      <c r="AJ51" s="438">
        <f t="shared" si="137"/>
        <v>0</v>
      </c>
      <c r="AK51" s="438">
        <f t="shared" si="138"/>
        <v>0</v>
      </c>
      <c r="AL51" s="438">
        <f t="shared" si="139"/>
        <v>0</v>
      </c>
      <c r="AM51" s="438">
        <f t="shared" si="140"/>
        <v>0</v>
      </c>
      <c r="AN51" s="438">
        <f t="shared" si="141"/>
        <v>0</v>
      </c>
      <c r="AO51" s="438">
        <f t="shared" si="142"/>
        <v>0</v>
      </c>
      <c r="AP51" s="438">
        <f t="shared" si="143"/>
        <v>0</v>
      </c>
      <c r="AQ51" s="438">
        <f t="shared" si="144"/>
        <v>0</v>
      </c>
      <c r="AR51" s="439">
        <f t="shared" si="100"/>
        <v>0</v>
      </c>
      <c r="AS51" s="440"/>
      <c r="AT51" s="438">
        <f t="shared" si="145"/>
        <v>0</v>
      </c>
      <c r="AU51" s="438">
        <f t="shared" si="146"/>
        <v>0</v>
      </c>
      <c r="AV51" s="438">
        <f t="shared" si="147"/>
        <v>0</v>
      </c>
      <c r="AW51" s="438">
        <f t="shared" si="148"/>
        <v>0</v>
      </c>
      <c r="AX51" s="438">
        <f t="shared" si="149"/>
        <v>0</v>
      </c>
      <c r="AY51" s="438">
        <f t="shared" si="150"/>
        <v>0</v>
      </c>
      <c r="AZ51" s="438">
        <f t="shared" si="151"/>
        <v>0</v>
      </c>
      <c r="BA51" s="438">
        <f t="shared" si="152"/>
        <v>0</v>
      </c>
      <c r="BB51" s="438">
        <f t="shared" si="153"/>
        <v>0</v>
      </c>
      <c r="BC51" s="438">
        <f t="shared" si="154"/>
        <v>0</v>
      </c>
      <c r="BD51" s="439">
        <f t="shared" si="101"/>
        <v>0</v>
      </c>
      <c r="BE51" s="440"/>
      <c r="BF51" s="438">
        <f t="shared" si="155"/>
        <v>0</v>
      </c>
      <c r="BG51" s="438">
        <f t="shared" si="156"/>
        <v>0</v>
      </c>
      <c r="BH51" s="438">
        <f t="shared" si="157"/>
        <v>0</v>
      </c>
      <c r="BI51" s="438">
        <f t="shared" si="158"/>
        <v>0</v>
      </c>
      <c r="BJ51" s="438">
        <f t="shared" si="159"/>
        <v>0</v>
      </c>
      <c r="BK51" s="438">
        <f t="shared" si="160"/>
        <v>0</v>
      </c>
      <c r="BL51" s="438">
        <f t="shared" si="161"/>
        <v>0</v>
      </c>
      <c r="BM51" s="438">
        <f t="shared" si="162"/>
        <v>0</v>
      </c>
      <c r="BN51" s="438">
        <f t="shared" si="163"/>
        <v>0</v>
      </c>
      <c r="BO51" s="438">
        <f t="shared" si="164"/>
        <v>0</v>
      </c>
      <c r="BP51" s="439">
        <f t="shared" si="102"/>
        <v>0</v>
      </c>
      <c r="BR51" s="442">
        <f t="shared" si="165"/>
        <v>0</v>
      </c>
      <c r="BS51" s="442">
        <f t="shared" si="166"/>
        <v>0</v>
      </c>
      <c r="BT51" s="442">
        <f t="shared" si="167"/>
        <v>0</v>
      </c>
      <c r="BU51" s="442">
        <f t="shared" si="168"/>
        <v>0</v>
      </c>
      <c r="BV51" s="442">
        <f t="shared" si="169"/>
        <v>0</v>
      </c>
      <c r="BW51" s="442">
        <f t="shared" si="170"/>
        <v>0</v>
      </c>
      <c r="BX51" s="442">
        <f t="shared" si="171"/>
        <v>0</v>
      </c>
      <c r="BY51" s="442">
        <f t="shared" si="172"/>
        <v>0</v>
      </c>
      <c r="BZ51" s="442">
        <f t="shared" si="173"/>
        <v>0</v>
      </c>
      <c r="CA51" s="442">
        <f t="shared" si="174"/>
        <v>0</v>
      </c>
      <c r="CB51" s="443">
        <f t="shared" si="103"/>
        <v>0</v>
      </c>
      <c r="CD51" s="445">
        <f t="shared" si="175"/>
        <v>0</v>
      </c>
      <c r="CE51" s="445">
        <f t="shared" si="176"/>
        <v>0</v>
      </c>
      <c r="CF51" s="445">
        <f t="shared" si="177"/>
        <v>0</v>
      </c>
      <c r="CG51" s="445">
        <f t="shared" si="178"/>
        <v>0</v>
      </c>
      <c r="CH51" s="445">
        <f t="shared" si="179"/>
        <v>0</v>
      </c>
      <c r="CI51" s="445">
        <f t="shared" si="180"/>
        <v>0</v>
      </c>
      <c r="CJ51" s="445">
        <f t="shared" si="181"/>
        <v>0</v>
      </c>
      <c r="CK51" s="445">
        <f t="shared" si="182"/>
        <v>0</v>
      </c>
      <c r="CL51" s="445">
        <f t="shared" si="183"/>
        <v>0</v>
      </c>
      <c r="CM51" s="445">
        <f t="shared" si="184"/>
        <v>0</v>
      </c>
      <c r="CN51" s="443">
        <f t="shared" si="104"/>
        <v>0</v>
      </c>
      <c r="CP51" s="442">
        <f t="shared" si="185"/>
        <v>0</v>
      </c>
      <c r="CQ51" s="442">
        <f t="shared" si="186"/>
        <v>0</v>
      </c>
      <c r="CR51" s="442">
        <f t="shared" si="187"/>
        <v>0</v>
      </c>
      <c r="CS51" s="442">
        <f t="shared" si="188"/>
        <v>0</v>
      </c>
      <c r="CT51" s="442">
        <f t="shared" si="189"/>
        <v>0</v>
      </c>
      <c r="CU51" s="442">
        <f t="shared" si="190"/>
        <v>0</v>
      </c>
      <c r="CV51" s="442">
        <f t="shared" si="191"/>
        <v>0</v>
      </c>
      <c r="CW51" s="442">
        <f t="shared" si="192"/>
        <v>0</v>
      </c>
      <c r="CX51" s="442">
        <f t="shared" si="193"/>
        <v>0</v>
      </c>
      <c r="CY51" s="442">
        <f t="shared" si="194"/>
        <v>0</v>
      </c>
      <c r="CZ51" s="443">
        <f t="shared" si="105"/>
        <v>0</v>
      </c>
      <c r="DB51" s="442">
        <f t="shared" si="195"/>
        <v>0</v>
      </c>
      <c r="DC51" s="442">
        <f t="shared" si="196"/>
        <v>0</v>
      </c>
      <c r="DD51" s="442">
        <f t="shared" si="197"/>
        <v>0</v>
      </c>
      <c r="DE51" s="442">
        <f t="shared" si="198"/>
        <v>0</v>
      </c>
      <c r="DF51" s="442">
        <f t="shared" si="199"/>
        <v>0</v>
      </c>
      <c r="DG51" s="442">
        <f t="shared" si="200"/>
        <v>0</v>
      </c>
      <c r="DH51" s="442">
        <f t="shared" si="201"/>
        <v>0</v>
      </c>
      <c r="DI51" s="442">
        <f t="shared" si="202"/>
        <v>0</v>
      </c>
      <c r="DJ51" s="442">
        <f t="shared" si="203"/>
        <v>0</v>
      </c>
      <c r="DK51" s="442">
        <f t="shared" si="204"/>
        <v>0</v>
      </c>
      <c r="DL51" s="443">
        <f t="shared" si="106"/>
        <v>0</v>
      </c>
      <c r="DN51" s="442">
        <f>IF('2. START'!$C$14&gt;0,(AT51/(1+$AA51))*(1+'2. START'!$C$14),AT51)</f>
        <v>0</v>
      </c>
      <c r="DO51" s="442">
        <f>IF('2. START'!$C$14&gt;0,(AU51/(1+$AA51))*(1+'2. START'!$C$14),AU51)</f>
        <v>0</v>
      </c>
      <c r="DP51" s="442">
        <f>IF('2. START'!$C$14&gt;0,(AV51/(1+$AA51))*(1+'2. START'!$C$14),AV51)</f>
        <v>0</v>
      </c>
      <c r="DQ51" s="442">
        <f>IF('2. START'!$C$14&gt;0,(AW51/(1+$AA51))*(1+'2. START'!$C$14),AW51)</f>
        <v>0</v>
      </c>
      <c r="DR51" s="442">
        <f>IF('2. START'!$C$14&gt;0,(AX51/(1+$AA51))*(1+'2. START'!$C$14),AX51)</f>
        <v>0</v>
      </c>
      <c r="DS51" s="442">
        <f>IF('2. START'!$C$14&gt;0,(AY51/(1+$AA51))*(1+'2. START'!$C$14),AY51)</f>
        <v>0</v>
      </c>
      <c r="DT51" s="442">
        <f>IF('2. START'!$C$14&gt;0,(AZ51/(1+$AA51))*(1+'2. START'!$C$14),AZ51)</f>
        <v>0</v>
      </c>
      <c r="DU51" s="442">
        <f>IF('2. START'!$C$14&gt;0,(BA51/(1+$AA51))*(1+'2. START'!$C$14),BA51)</f>
        <v>0</v>
      </c>
      <c r="DV51" s="442">
        <f>IF('2. START'!$C$14&gt;0,(BB51/(1+$AA51))*(1+'2. START'!$C$14),BB51)</f>
        <v>0</v>
      </c>
      <c r="DW51" s="442">
        <f>IF('2. START'!$C$14&gt;0,(BC51/(1+$AA51))*(1+'2. START'!$C$14),BC51)</f>
        <v>0</v>
      </c>
      <c r="DX51" s="443">
        <f t="shared" si="107"/>
        <v>0</v>
      </c>
      <c r="DZ51" s="442">
        <f>IF('2. START'!$C$11="NO",(IF('2. START'!$C$14&gt;0,(DN51*$AD51),(AT51*$AD51))),(BR51+CP51))</f>
        <v>0</v>
      </c>
      <c r="EA51" s="442">
        <f>IF('2. START'!$C$11="NO",(IF('2. START'!$C$14&gt;0,(DO51*$AD51),(AU51*$AD51))),(BS51+CQ51))</f>
        <v>0</v>
      </c>
      <c r="EB51" s="442">
        <f>IF('2. START'!$C$11="NO",(IF('2. START'!$C$14&gt;0,(DP51*$AD51),(AV51*$AD51))),(BT51+CR51))</f>
        <v>0</v>
      </c>
      <c r="EC51" s="442">
        <f>IF('2. START'!$C$11="NO",(IF('2. START'!$C$14&gt;0,(DQ51*$AD51),(AW51*$AD51))),(BU51+CS51))</f>
        <v>0</v>
      </c>
      <c r="ED51" s="442">
        <f>IF('2. START'!$C$11="NO",(IF('2. START'!$C$14&gt;0,(DR51*$AD51),(AX51*$AD51))),(BV51+CT51))</f>
        <v>0</v>
      </c>
      <c r="EE51" s="442">
        <f>IF('2. START'!$C$11="NO",(IF('2. START'!$C$14&gt;0,(DS51*$AD51),(AY51*$AD51))),(BW51+CU51))</f>
        <v>0</v>
      </c>
      <c r="EF51" s="442">
        <f>IF('2. START'!$C$11="NO",(IF('2. START'!$C$14&gt;0,(DT51*$AD51),(AZ51*$AD51))),(BX51+CV51))</f>
        <v>0</v>
      </c>
      <c r="EG51" s="442">
        <f>IF('2. START'!$C$11="NO",(IF('2. START'!$C$14&gt;0,(DU51*$AD51),(BA51*$AD51))),(BY51+CW51))</f>
        <v>0</v>
      </c>
      <c r="EH51" s="442">
        <f>IF('2. START'!$C$11="NO",(IF('2. START'!$C$14&gt;0,(DV51*$AD51),(BB51*$AD51))),(BZ51+CX51))</f>
        <v>0</v>
      </c>
      <c r="EI51" s="442">
        <f>IF('2. START'!$C$11="NO",(IF('2. START'!$C$14&gt;0,(DW51*$AD51),(BC51*$AD51))),(CA51+CY51))</f>
        <v>0</v>
      </c>
      <c r="EJ51" s="443">
        <f t="shared" si="108"/>
        <v>0</v>
      </c>
      <c r="EL51" s="442">
        <f>(BR51+CP51-DZ51)+IF('2. START'!$C$14&gt;0,AT51-DN51,0)</f>
        <v>0</v>
      </c>
      <c r="EM51" s="442">
        <f>(BS51+CQ51-EA51)+IF('2. START'!$C$14&gt;0,AU51-DO51,0)</f>
        <v>0</v>
      </c>
      <c r="EN51" s="442">
        <f>(BT51+CR51-EB51)+IF('2. START'!$C$14&gt;0,AV51-DP51,0)</f>
        <v>0</v>
      </c>
      <c r="EO51" s="442">
        <f>(BU51+CS51-EC51)+IF('2. START'!$C$14&gt;0,AW51-DQ51,0)</f>
        <v>0</v>
      </c>
      <c r="EP51" s="442">
        <f>(BV51+CT51-ED51)+IF('2. START'!$C$14&gt;0,AX51-DR51,0)</f>
        <v>0</v>
      </c>
      <c r="EQ51" s="442">
        <f>(BW51+CU51-EE51)+IF('2. START'!$C$14&gt;0,AY51-DS51,0)</f>
        <v>0</v>
      </c>
      <c r="ER51" s="442">
        <f>(BX51+CV51-EF51)+IF('2. START'!$C$14&gt;0,AZ51-DT51,0)</f>
        <v>0</v>
      </c>
      <c r="ES51" s="442">
        <f>(BY51+CW51-EG51)+IF('2. START'!$C$14&gt;0,BA51-DU51,0)</f>
        <v>0</v>
      </c>
      <c r="ET51" s="442">
        <f>(BZ51+CX51-EH51)+IF('2. START'!$C$14&gt;0,BB51-DV51,0)</f>
        <v>0</v>
      </c>
      <c r="EU51" s="442">
        <f>(CA51+CY51-EI51)+IF('2. START'!$C$14&gt;0,BC51-DW51,0)</f>
        <v>0</v>
      </c>
      <c r="EV51" s="443">
        <f t="shared" si="109"/>
        <v>0</v>
      </c>
      <c r="EX51" s="442">
        <f t="shared" si="110"/>
        <v>0</v>
      </c>
      <c r="EY51" s="442">
        <f t="shared" si="111"/>
        <v>0</v>
      </c>
      <c r="EZ51" s="442">
        <f t="shared" si="112"/>
        <v>0</v>
      </c>
      <c r="FA51" s="442">
        <f t="shared" si="113"/>
        <v>0</v>
      </c>
      <c r="FB51" s="442">
        <f t="shared" si="114"/>
        <v>0</v>
      </c>
      <c r="FC51" s="442">
        <f t="shared" si="115"/>
        <v>0</v>
      </c>
      <c r="FD51" s="442">
        <f t="shared" si="116"/>
        <v>0</v>
      </c>
      <c r="FE51" s="442">
        <f t="shared" si="117"/>
        <v>0</v>
      </c>
      <c r="FF51" s="442">
        <f t="shared" si="118"/>
        <v>0</v>
      </c>
      <c r="FG51" s="442">
        <f t="shared" si="119"/>
        <v>0</v>
      </c>
      <c r="FH51" s="443">
        <f t="shared" si="120"/>
        <v>0</v>
      </c>
      <c r="FJ51" s="442">
        <f t="shared" si="121"/>
        <v>0</v>
      </c>
      <c r="FK51" s="442">
        <f t="shared" si="122"/>
        <v>0</v>
      </c>
      <c r="FL51" s="442">
        <f t="shared" si="123"/>
        <v>0</v>
      </c>
      <c r="FM51" s="442">
        <f t="shared" si="124"/>
        <v>0</v>
      </c>
      <c r="FN51" s="442">
        <f t="shared" si="125"/>
        <v>0</v>
      </c>
      <c r="FO51" s="442">
        <f t="shared" si="126"/>
        <v>0</v>
      </c>
      <c r="FP51" s="442">
        <f t="shared" si="127"/>
        <v>0</v>
      </c>
      <c r="FQ51" s="442">
        <f t="shared" si="128"/>
        <v>0</v>
      </c>
      <c r="FR51" s="442">
        <f t="shared" si="129"/>
        <v>0</v>
      </c>
      <c r="FS51" s="442">
        <f t="shared" si="130"/>
        <v>0</v>
      </c>
      <c r="FT51" s="443">
        <f t="shared" si="131"/>
        <v>0</v>
      </c>
    </row>
    <row r="52" spans="2:176" s="270" customFormat="1" ht="15" customHeight="1" x14ac:dyDescent="0.25">
      <c r="B52" s="446" t="str">
        <f>'2. START'!C$7</f>
        <v>100GEM</v>
      </c>
      <c r="C52" s="469"/>
      <c r="D52" s="589"/>
      <c r="E52" s="544">
        <v>0</v>
      </c>
      <c r="F52" s="448"/>
      <c r="G52" s="449"/>
      <c r="H52" s="449"/>
      <c r="I52" s="449"/>
      <c r="J52" s="449"/>
      <c r="K52" s="449"/>
      <c r="L52" s="449"/>
      <c r="M52" s="449"/>
      <c r="N52" s="449"/>
      <c r="O52" s="449"/>
      <c r="P52" s="449"/>
      <c r="Q52" s="546">
        <f>SUMIF('3. PARTNER'!$B$13:$B$80,$B52,'3. PARTNER'!$F$13:$F$80)</f>
        <v>0.02</v>
      </c>
      <c r="R52" s="450">
        <f t="shared" si="134"/>
        <v>0.02</v>
      </c>
      <c r="S52" s="450">
        <f t="shared" si="134"/>
        <v>0.02</v>
      </c>
      <c r="T52" s="450">
        <f t="shared" si="134"/>
        <v>0.02</v>
      </c>
      <c r="U52" s="450">
        <f t="shared" si="134"/>
        <v>0.02</v>
      </c>
      <c r="V52" s="450">
        <f t="shared" si="134"/>
        <v>0.02</v>
      </c>
      <c r="W52" s="450">
        <f t="shared" si="134"/>
        <v>0.02</v>
      </c>
      <c r="X52" s="450">
        <f t="shared" si="134"/>
        <v>0.02</v>
      </c>
      <c r="Y52" s="450">
        <f t="shared" si="134"/>
        <v>0.02</v>
      </c>
      <c r="Z52" s="450">
        <f t="shared" si="134"/>
        <v>0.02</v>
      </c>
      <c r="AA52" s="451">
        <f>SUMIF('3. PARTNER'!B$13:B$80,B52,'3. PARTNER'!E$13:E$80)</f>
        <v>0.5595</v>
      </c>
      <c r="AB52" s="452">
        <f>IF('2. START'!$C$20="UTB",(SUMIF('3. PARTNER'!B$13:B$80,B52,'3. PARTNER'!K$13:K$80))+(SUMIF('3. PARTNER'!B$13:B$80,B52,'3. PARTNER'!M$13:M$80)),(SUMIF('3. PARTNER'!B$13:B$80,B52,'3. PARTNER'!G$13:G$80))+(SUMIF('3. PARTNER'!B$13:B$80,B52,'3. PARTNER'!I$13:I$80)))</f>
        <v>0.16000843770704321</v>
      </c>
      <c r="AC52" s="452">
        <f>IF('2. START'!$C$20="UTB",(SUMIF('3. PARTNER'!B$13:B$80,B52,'3. PARTNER'!L$13:L$80))+(SUMIF('3. PARTNER'!B$13:B$80,B52,'3. PARTNER'!N$13:N$80)),(SUMIF('3. PARTNER'!B$13:B$80,B52,'3. PARTNER'!H$13:H$80))+(SUMIF('3. PARTNER'!B$13:B$80,B52,'3. PARTNER'!J$13:J$80)))</f>
        <v>0</v>
      </c>
      <c r="AD52" s="452">
        <f>IF('2. START'!C$11="NO",'2. START'!C$12,0)</f>
        <v>0</v>
      </c>
      <c r="AE52" s="453">
        <f t="shared" si="98"/>
        <v>0</v>
      </c>
      <c r="AF52" s="453">
        <f t="shared" si="99"/>
        <v>0</v>
      </c>
      <c r="AG52" s="454"/>
      <c r="AH52" s="455">
        <f t="shared" si="135"/>
        <v>0</v>
      </c>
      <c r="AI52" s="455">
        <f t="shared" si="136"/>
        <v>0</v>
      </c>
      <c r="AJ52" s="455">
        <f t="shared" si="137"/>
        <v>0</v>
      </c>
      <c r="AK52" s="455">
        <f t="shared" si="138"/>
        <v>0</v>
      </c>
      <c r="AL52" s="455">
        <f t="shared" si="139"/>
        <v>0</v>
      </c>
      <c r="AM52" s="455">
        <f t="shared" si="140"/>
        <v>0</v>
      </c>
      <c r="AN52" s="455">
        <f t="shared" si="141"/>
        <v>0</v>
      </c>
      <c r="AO52" s="455">
        <f t="shared" si="142"/>
        <v>0</v>
      </c>
      <c r="AP52" s="455">
        <f t="shared" si="143"/>
        <v>0</v>
      </c>
      <c r="AQ52" s="455">
        <f t="shared" si="144"/>
        <v>0</v>
      </c>
      <c r="AR52" s="456">
        <f t="shared" si="100"/>
        <v>0</v>
      </c>
      <c r="AS52" s="457"/>
      <c r="AT52" s="455">
        <f t="shared" si="145"/>
        <v>0</v>
      </c>
      <c r="AU52" s="455">
        <f t="shared" si="146"/>
        <v>0</v>
      </c>
      <c r="AV52" s="455">
        <f t="shared" si="147"/>
        <v>0</v>
      </c>
      <c r="AW52" s="455">
        <f t="shared" si="148"/>
        <v>0</v>
      </c>
      <c r="AX52" s="455">
        <f t="shared" si="149"/>
        <v>0</v>
      </c>
      <c r="AY52" s="455">
        <f t="shared" si="150"/>
        <v>0</v>
      </c>
      <c r="AZ52" s="455">
        <f t="shared" si="151"/>
        <v>0</v>
      </c>
      <c r="BA52" s="455">
        <f t="shared" si="152"/>
        <v>0</v>
      </c>
      <c r="BB52" s="455">
        <f t="shared" si="153"/>
        <v>0</v>
      </c>
      <c r="BC52" s="455">
        <f t="shared" si="154"/>
        <v>0</v>
      </c>
      <c r="BD52" s="456">
        <f t="shared" si="101"/>
        <v>0</v>
      </c>
      <c r="BE52" s="457"/>
      <c r="BF52" s="455">
        <f t="shared" si="155"/>
        <v>0</v>
      </c>
      <c r="BG52" s="455">
        <f t="shared" si="156"/>
        <v>0</v>
      </c>
      <c r="BH52" s="455">
        <f t="shared" si="157"/>
        <v>0</v>
      </c>
      <c r="BI52" s="455">
        <f t="shared" si="158"/>
        <v>0</v>
      </c>
      <c r="BJ52" s="455">
        <f t="shared" si="159"/>
        <v>0</v>
      </c>
      <c r="BK52" s="455">
        <f t="shared" si="160"/>
        <v>0</v>
      </c>
      <c r="BL52" s="455">
        <f t="shared" si="161"/>
        <v>0</v>
      </c>
      <c r="BM52" s="455">
        <f t="shared" si="162"/>
        <v>0</v>
      </c>
      <c r="BN52" s="455">
        <f t="shared" si="163"/>
        <v>0</v>
      </c>
      <c r="BO52" s="455">
        <f t="shared" si="164"/>
        <v>0</v>
      </c>
      <c r="BP52" s="456">
        <f t="shared" si="102"/>
        <v>0</v>
      </c>
      <c r="BQ52" s="463"/>
      <c r="BR52" s="459">
        <f t="shared" si="165"/>
        <v>0</v>
      </c>
      <c r="BS52" s="459">
        <f t="shared" si="166"/>
        <v>0</v>
      </c>
      <c r="BT52" s="459">
        <f t="shared" si="167"/>
        <v>0</v>
      </c>
      <c r="BU52" s="459">
        <f t="shared" si="168"/>
        <v>0</v>
      </c>
      <c r="BV52" s="459">
        <f t="shared" si="169"/>
        <v>0</v>
      </c>
      <c r="BW52" s="459">
        <f t="shared" si="170"/>
        <v>0</v>
      </c>
      <c r="BX52" s="459">
        <f t="shared" si="171"/>
        <v>0</v>
      </c>
      <c r="BY52" s="459">
        <f t="shared" si="172"/>
        <v>0</v>
      </c>
      <c r="BZ52" s="459">
        <f t="shared" si="173"/>
        <v>0</v>
      </c>
      <c r="CA52" s="459">
        <f t="shared" si="174"/>
        <v>0</v>
      </c>
      <c r="CB52" s="460">
        <f t="shared" si="103"/>
        <v>0</v>
      </c>
      <c r="CC52" s="463"/>
      <c r="CD52" s="462">
        <f t="shared" si="175"/>
        <v>0</v>
      </c>
      <c r="CE52" s="462">
        <f t="shared" si="176"/>
        <v>0</v>
      </c>
      <c r="CF52" s="462">
        <f t="shared" si="177"/>
        <v>0</v>
      </c>
      <c r="CG52" s="462">
        <f t="shared" si="178"/>
        <v>0</v>
      </c>
      <c r="CH52" s="462">
        <f t="shared" si="179"/>
        <v>0</v>
      </c>
      <c r="CI52" s="462">
        <f t="shared" si="180"/>
        <v>0</v>
      </c>
      <c r="CJ52" s="462">
        <f t="shared" si="181"/>
        <v>0</v>
      </c>
      <c r="CK52" s="462">
        <f t="shared" si="182"/>
        <v>0</v>
      </c>
      <c r="CL52" s="462">
        <f t="shared" si="183"/>
        <v>0</v>
      </c>
      <c r="CM52" s="462">
        <f t="shared" si="184"/>
        <v>0</v>
      </c>
      <c r="CN52" s="460">
        <f t="shared" si="104"/>
        <v>0</v>
      </c>
      <c r="CO52" s="463"/>
      <c r="CP52" s="459">
        <f t="shared" si="185"/>
        <v>0</v>
      </c>
      <c r="CQ52" s="459">
        <f t="shared" si="186"/>
        <v>0</v>
      </c>
      <c r="CR52" s="459">
        <f t="shared" si="187"/>
        <v>0</v>
      </c>
      <c r="CS52" s="459">
        <f t="shared" si="188"/>
        <v>0</v>
      </c>
      <c r="CT52" s="459">
        <f t="shared" si="189"/>
        <v>0</v>
      </c>
      <c r="CU52" s="459">
        <f t="shared" si="190"/>
        <v>0</v>
      </c>
      <c r="CV52" s="459">
        <f t="shared" si="191"/>
        <v>0</v>
      </c>
      <c r="CW52" s="459">
        <f t="shared" si="192"/>
        <v>0</v>
      </c>
      <c r="CX52" s="459">
        <f t="shared" si="193"/>
        <v>0</v>
      </c>
      <c r="CY52" s="459">
        <f t="shared" si="194"/>
        <v>0</v>
      </c>
      <c r="CZ52" s="460">
        <f t="shared" si="105"/>
        <v>0</v>
      </c>
      <c r="DA52" s="463"/>
      <c r="DB52" s="459">
        <f t="shared" si="195"/>
        <v>0</v>
      </c>
      <c r="DC52" s="459">
        <f t="shared" si="196"/>
        <v>0</v>
      </c>
      <c r="DD52" s="459">
        <f t="shared" si="197"/>
        <v>0</v>
      </c>
      <c r="DE52" s="459">
        <f t="shared" si="198"/>
        <v>0</v>
      </c>
      <c r="DF52" s="459">
        <f t="shared" si="199"/>
        <v>0</v>
      </c>
      <c r="DG52" s="459">
        <f t="shared" si="200"/>
        <v>0</v>
      </c>
      <c r="DH52" s="459">
        <f t="shared" si="201"/>
        <v>0</v>
      </c>
      <c r="DI52" s="459">
        <f t="shared" si="202"/>
        <v>0</v>
      </c>
      <c r="DJ52" s="459">
        <f t="shared" si="203"/>
        <v>0</v>
      </c>
      <c r="DK52" s="459">
        <f t="shared" si="204"/>
        <v>0</v>
      </c>
      <c r="DL52" s="460">
        <f t="shared" si="106"/>
        <v>0</v>
      </c>
      <c r="DM52" s="463"/>
      <c r="DN52" s="442">
        <f>IF('2. START'!$C$14&gt;0,(AT52/(1+$AA52))*(1+'2. START'!$C$14),AT52)</f>
        <v>0</v>
      </c>
      <c r="DO52" s="442">
        <f>IF('2. START'!$C$14&gt;0,(AU52/(1+$AA52))*(1+'2. START'!$C$14),AU52)</f>
        <v>0</v>
      </c>
      <c r="DP52" s="442">
        <f>IF('2. START'!$C$14&gt;0,(AV52/(1+$AA52))*(1+'2. START'!$C$14),AV52)</f>
        <v>0</v>
      </c>
      <c r="DQ52" s="442">
        <f>IF('2. START'!$C$14&gt;0,(AW52/(1+$AA52))*(1+'2. START'!$C$14),AW52)</f>
        <v>0</v>
      </c>
      <c r="DR52" s="442">
        <f>IF('2. START'!$C$14&gt;0,(AX52/(1+$AA52))*(1+'2. START'!$C$14),AX52)</f>
        <v>0</v>
      </c>
      <c r="DS52" s="442">
        <f>IF('2. START'!$C$14&gt;0,(AY52/(1+$AA52))*(1+'2. START'!$C$14),AY52)</f>
        <v>0</v>
      </c>
      <c r="DT52" s="442">
        <f>IF('2. START'!$C$14&gt;0,(AZ52/(1+$AA52))*(1+'2. START'!$C$14),AZ52)</f>
        <v>0</v>
      </c>
      <c r="DU52" s="442">
        <f>IF('2. START'!$C$14&gt;0,(BA52/(1+$AA52))*(1+'2. START'!$C$14),BA52)</f>
        <v>0</v>
      </c>
      <c r="DV52" s="442">
        <f>IF('2. START'!$C$14&gt;0,(BB52/(1+$AA52))*(1+'2. START'!$C$14),BB52)</f>
        <v>0</v>
      </c>
      <c r="DW52" s="442">
        <f>IF('2. START'!$C$14&gt;0,(BC52/(1+$AA52))*(1+'2. START'!$C$14),BC52)</f>
        <v>0</v>
      </c>
      <c r="DX52" s="460">
        <f t="shared" si="107"/>
        <v>0</v>
      </c>
      <c r="DY52" s="463"/>
      <c r="DZ52" s="459">
        <f>IF('2. START'!$C$11="NO",(IF('2. START'!$C$14&gt;0,(DN52*$AD52),(AT52*$AD52))),(BR52+CP52))</f>
        <v>0</v>
      </c>
      <c r="EA52" s="459">
        <f>IF('2. START'!$C$11="NO",(IF('2. START'!$C$14&gt;0,(DO52*$AD52),(AU52*$AD52))),(BS52+CQ52))</f>
        <v>0</v>
      </c>
      <c r="EB52" s="459">
        <f>IF('2. START'!$C$11="NO",(IF('2. START'!$C$14&gt;0,(DP52*$AD52),(AV52*$AD52))),(BT52+CR52))</f>
        <v>0</v>
      </c>
      <c r="EC52" s="459">
        <f>IF('2. START'!$C$11="NO",(IF('2. START'!$C$14&gt;0,(DQ52*$AD52),(AW52*$AD52))),(BU52+CS52))</f>
        <v>0</v>
      </c>
      <c r="ED52" s="459">
        <f>IF('2. START'!$C$11="NO",(IF('2. START'!$C$14&gt;0,(DR52*$AD52),(AX52*$AD52))),(BV52+CT52))</f>
        <v>0</v>
      </c>
      <c r="EE52" s="459">
        <f>IF('2. START'!$C$11="NO",(IF('2. START'!$C$14&gt;0,(DS52*$AD52),(AY52*$AD52))),(BW52+CU52))</f>
        <v>0</v>
      </c>
      <c r="EF52" s="459">
        <f>IF('2. START'!$C$11="NO",(IF('2. START'!$C$14&gt;0,(DT52*$AD52),(AZ52*$AD52))),(BX52+CV52))</f>
        <v>0</v>
      </c>
      <c r="EG52" s="459">
        <f>IF('2. START'!$C$11="NO",(IF('2. START'!$C$14&gt;0,(DU52*$AD52),(BA52*$AD52))),(BY52+CW52))</f>
        <v>0</v>
      </c>
      <c r="EH52" s="459">
        <f>IF('2. START'!$C$11="NO",(IF('2. START'!$C$14&gt;0,(DV52*$AD52),(BB52*$AD52))),(BZ52+CX52))</f>
        <v>0</v>
      </c>
      <c r="EI52" s="459">
        <f>IF('2. START'!$C$11="NO",(IF('2. START'!$C$14&gt;0,(DW52*$AD52),(BC52*$AD52))),(CA52+CY52))</f>
        <v>0</v>
      </c>
      <c r="EJ52" s="460">
        <f t="shared" si="108"/>
        <v>0</v>
      </c>
      <c r="EK52" s="463"/>
      <c r="EL52" s="459">
        <f>(BR52+CP52-DZ52)+IF('2. START'!$C$14&gt;0,AT52-DN52,0)</f>
        <v>0</v>
      </c>
      <c r="EM52" s="459">
        <f>(BS52+CQ52-EA52)+IF('2. START'!$C$14&gt;0,AU52-DO52,0)</f>
        <v>0</v>
      </c>
      <c r="EN52" s="459">
        <f>(BT52+CR52-EB52)+IF('2. START'!$C$14&gt;0,AV52-DP52,0)</f>
        <v>0</v>
      </c>
      <c r="EO52" s="459">
        <f>(BU52+CS52-EC52)+IF('2. START'!$C$14&gt;0,AW52-DQ52,0)</f>
        <v>0</v>
      </c>
      <c r="EP52" s="459">
        <f>(BV52+CT52-ED52)+IF('2. START'!$C$14&gt;0,AX52-DR52,0)</f>
        <v>0</v>
      </c>
      <c r="EQ52" s="459">
        <f>(BW52+CU52-EE52)+IF('2. START'!$C$14&gt;0,AY52-DS52,0)</f>
        <v>0</v>
      </c>
      <c r="ER52" s="459">
        <f>(BX52+CV52-EF52)+IF('2. START'!$C$14&gt;0,AZ52-DT52,0)</f>
        <v>0</v>
      </c>
      <c r="ES52" s="459">
        <f>(BY52+CW52-EG52)+IF('2. START'!$C$14&gt;0,BA52-DU52,0)</f>
        <v>0</v>
      </c>
      <c r="ET52" s="459">
        <f>(BZ52+CX52-EH52)+IF('2. START'!$C$14&gt;0,BB52-DV52,0)</f>
        <v>0</v>
      </c>
      <c r="EU52" s="459">
        <f>(CA52+CY52-EI52)+IF('2. START'!$C$14&gt;0,BC52-DW52,0)</f>
        <v>0</v>
      </c>
      <c r="EV52" s="460">
        <f t="shared" si="109"/>
        <v>0</v>
      </c>
      <c r="EW52" s="463"/>
      <c r="EX52" s="459">
        <f t="shared" si="110"/>
        <v>0</v>
      </c>
      <c r="EY52" s="459">
        <f t="shared" si="111"/>
        <v>0</v>
      </c>
      <c r="EZ52" s="459">
        <f t="shared" si="112"/>
        <v>0</v>
      </c>
      <c r="FA52" s="459">
        <f t="shared" si="113"/>
        <v>0</v>
      </c>
      <c r="FB52" s="459">
        <f t="shared" si="114"/>
        <v>0</v>
      </c>
      <c r="FC52" s="459">
        <f t="shared" si="115"/>
        <v>0</v>
      </c>
      <c r="FD52" s="459">
        <f t="shared" si="116"/>
        <v>0</v>
      </c>
      <c r="FE52" s="459">
        <f t="shared" si="117"/>
        <v>0</v>
      </c>
      <c r="FF52" s="459">
        <f t="shared" si="118"/>
        <v>0</v>
      </c>
      <c r="FG52" s="459">
        <f t="shared" si="119"/>
        <v>0</v>
      </c>
      <c r="FH52" s="460">
        <f t="shared" si="120"/>
        <v>0</v>
      </c>
      <c r="FI52" s="463"/>
      <c r="FJ52" s="459">
        <f t="shared" si="121"/>
        <v>0</v>
      </c>
      <c r="FK52" s="459">
        <f t="shared" si="122"/>
        <v>0</v>
      </c>
      <c r="FL52" s="459">
        <f t="shared" si="123"/>
        <v>0</v>
      </c>
      <c r="FM52" s="459">
        <f t="shared" si="124"/>
        <v>0</v>
      </c>
      <c r="FN52" s="459">
        <f t="shared" si="125"/>
        <v>0</v>
      </c>
      <c r="FO52" s="459">
        <f t="shared" si="126"/>
        <v>0</v>
      </c>
      <c r="FP52" s="459">
        <f t="shared" si="127"/>
        <v>0</v>
      </c>
      <c r="FQ52" s="459">
        <f t="shared" si="128"/>
        <v>0</v>
      </c>
      <c r="FR52" s="459">
        <f t="shared" si="129"/>
        <v>0</v>
      </c>
      <c r="FS52" s="459">
        <f t="shared" si="130"/>
        <v>0</v>
      </c>
      <c r="FT52" s="460">
        <f t="shared" si="131"/>
        <v>0</v>
      </c>
    </row>
    <row r="53" spans="2:176" s="270" customFormat="1" ht="15" customHeight="1" x14ac:dyDescent="0.25">
      <c r="B53" s="464" t="str">
        <f>'2. START'!C$7</f>
        <v>100GEM</v>
      </c>
      <c r="C53" s="470"/>
      <c r="D53" s="590"/>
      <c r="E53" s="514">
        <v>0</v>
      </c>
      <c r="F53" s="467"/>
      <c r="G53" s="432"/>
      <c r="H53" s="432"/>
      <c r="I53" s="432"/>
      <c r="J53" s="432"/>
      <c r="K53" s="432"/>
      <c r="L53" s="432"/>
      <c r="M53" s="432"/>
      <c r="N53" s="432"/>
      <c r="O53" s="432"/>
      <c r="P53" s="432"/>
      <c r="Q53" s="545">
        <f>SUMIF('3. PARTNER'!$B$13:$B$80,$B53,'3. PARTNER'!$F$13:$F$80)</f>
        <v>0.02</v>
      </c>
      <c r="R53" s="466">
        <f t="shared" si="134"/>
        <v>0.02</v>
      </c>
      <c r="S53" s="466">
        <f t="shared" si="134"/>
        <v>0.02</v>
      </c>
      <c r="T53" s="466">
        <f t="shared" si="134"/>
        <v>0.02</v>
      </c>
      <c r="U53" s="466">
        <f t="shared" si="134"/>
        <v>0.02</v>
      </c>
      <c r="V53" s="466">
        <f t="shared" si="134"/>
        <v>0.02</v>
      </c>
      <c r="W53" s="466">
        <f t="shared" si="134"/>
        <v>0.02</v>
      </c>
      <c r="X53" s="466">
        <f t="shared" si="134"/>
        <v>0.02</v>
      </c>
      <c r="Y53" s="466">
        <f t="shared" si="134"/>
        <v>0.02</v>
      </c>
      <c r="Z53" s="466">
        <f t="shared" si="134"/>
        <v>0.02</v>
      </c>
      <c r="AA53" s="434">
        <f>SUMIF('3. PARTNER'!B$13:B$80,B53,'3. PARTNER'!E$13:E$80)</f>
        <v>0.5595</v>
      </c>
      <c r="AB53" s="435">
        <f>IF('2. START'!$C$20="UTB",(SUMIF('3. PARTNER'!B$13:B$80,B53,'3. PARTNER'!K$13:K$80))+(SUMIF('3. PARTNER'!B$13:B$80,B53,'3. PARTNER'!M$13:M$80)),(SUMIF('3. PARTNER'!B$13:B$80,B53,'3. PARTNER'!G$13:G$80))+(SUMIF('3. PARTNER'!B$13:B$80,B53,'3. PARTNER'!I$13:I$80)))</f>
        <v>0.16000843770704321</v>
      </c>
      <c r="AC53" s="435">
        <f>IF('2. START'!$C$20="UTB",(SUMIF('3. PARTNER'!B$13:B$80,B53,'3. PARTNER'!L$13:L$80))+(SUMIF('3. PARTNER'!B$13:B$80,B53,'3. PARTNER'!N$13:N$80)),(SUMIF('3. PARTNER'!B$13:B$80,B53,'3. PARTNER'!H$13:H$80))+(SUMIF('3. PARTNER'!B$13:B$80,B53,'3. PARTNER'!J$13:J$80)))</f>
        <v>0</v>
      </c>
      <c r="AD53" s="435">
        <f>IF('2. START'!C$11="NO",'2. START'!C$12,0)</f>
        <v>0</v>
      </c>
      <c r="AE53" s="436">
        <f t="shared" si="98"/>
        <v>0</v>
      </c>
      <c r="AF53" s="436">
        <f t="shared" si="99"/>
        <v>0</v>
      </c>
      <c r="AG53" s="437"/>
      <c r="AH53" s="438">
        <f t="shared" si="135"/>
        <v>0</v>
      </c>
      <c r="AI53" s="438">
        <f t="shared" si="136"/>
        <v>0</v>
      </c>
      <c r="AJ53" s="438">
        <f t="shared" si="137"/>
        <v>0</v>
      </c>
      <c r="AK53" s="438">
        <f t="shared" si="138"/>
        <v>0</v>
      </c>
      <c r="AL53" s="438">
        <f t="shared" si="139"/>
        <v>0</v>
      </c>
      <c r="AM53" s="438">
        <f t="shared" si="140"/>
        <v>0</v>
      </c>
      <c r="AN53" s="438">
        <f t="shared" si="141"/>
        <v>0</v>
      </c>
      <c r="AO53" s="438">
        <f t="shared" si="142"/>
        <v>0</v>
      </c>
      <c r="AP53" s="438">
        <f t="shared" si="143"/>
        <v>0</v>
      </c>
      <c r="AQ53" s="438">
        <f t="shared" si="144"/>
        <v>0</v>
      </c>
      <c r="AR53" s="439">
        <f t="shared" si="100"/>
        <v>0</v>
      </c>
      <c r="AS53" s="440"/>
      <c r="AT53" s="438">
        <f t="shared" si="145"/>
        <v>0</v>
      </c>
      <c r="AU53" s="438">
        <f t="shared" si="146"/>
        <v>0</v>
      </c>
      <c r="AV53" s="438">
        <f t="shared" si="147"/>
        <v>0</v>
      </c>
      <c r="AW53" s="438">
        <f t="shared" si="148"/>
        <v>0</v>
      </c>
      <c r="AX53" s="438">
        <f t="shared" si="149"/>
        <v>0</v>
      </c>
      <c r="AY53" s="438">
        <f t="shared" si="150"/>
        <v>0</v>
      </c>
      <c r="AZ53" s="438">
        <f t="shared" si="151"/>
        <v>0</v>
      </c>
      <c r="BA53" s="438">
        <f t="shared" si="152"/>
        <v>0</v>
      </c>
      <c r="BB53" s="438">
        <f t="shared" si="153"/>
        <v>0</v>
      </c>
      <c r="BC53" s="438">
        <f t="shared" si="154"/>
        <v>0</v>
      </c>
      <c r="BD53" s="439">
        <f t="shared" si="101"/>
        <v>0</v>
      </c>
      <c r="BE53" s="440"/>
      <c r="BF53" s="438">
        <f t="shared" si="155"/>
        <v>0</v>
      </c>
      <c r="BG53" s="438">
        <f t="shared" si="156"/>
        <v>0</v>
      </c>
      <c r="BH53" s="438">
        <f t="shared" si="157"/>
        <v>0</v>
      </c>
      <c r="BI53" s="438">
        <f t="shared" si="158"/>
        <v>0</v>
      </c>
      <c r="BJ53" s="438">
        <f t="shared" si="159"/>
        <v>0</v>
      </c>
      <c r="BK53" s="438">
        <f t="shared" si="160"/>
        <v>0</v>
      </c>
      <c r="BL53" s="438">
        <f t="shared" si="161"/>
        <v>0</v>
      </c>
      <c r="BM53" s="438">
        <f t="shared" si="162"/>
        <v>0</v>
      </c>
      <c r="BN53" s="438">
        <f t="shared" si="163"/>
        <v>0</v>
      </c>
      <c r="BO53" s="438">
        <f t="shared" si="164"/>
        <v>0</v>
      </c>
      <c r="BP53" s="439">
        <f t="shared" si="102"/>
        <v>0</v>
      </c>
      <c r="BR53" s="442">
        <f t="shared" si="165"/>
        <v>0</v>
      </c>
      <c r="BS53" s="442">
        <f t="shared" si="166"/>
        <v>0</v>
      </c>
      <c r="BT53" s="442">
        <f t="shared" si="167"/>
        <v>0</v>
      </c>
      <c r="BU53" s="442">
        <f t="shared" si="168"/>
        <v>0</v>
      </c>
      <c r="BV53" s="442">
        <f t="shared" si="169"/>
        <v>0</v>
      </c>
      <c r="BW53" s="442">
        <f t="shared" si="170"/>
        <v>0</v>
      </c>
      <c r="BX53" s="442">
        <f t="shared" si="171"/>
        <v>0</v>
      </c>
      <c r="BY53" s="442">
        <f t="shared" si="172"/>
        <v>0</v>
      </c>
      <c r="BZ53" s="442">
        <f t="shared" si="173"/>
        <v>0</v>
      </c>
      <c r="CA53" s="442">
        <f t="shared" si="174"/>
        <v>0</v>
      </c>
      <c r="CB53" s="443">
        <f t="shared" si="103"/>
        <v>0</v>
      </c>
      <c r="CD53" s="445">
        <f t="shared" si="175"/>
        <v>0</v>
      </c>
      <c r="CE53" s="445">
        <f t="shared" si="176"/>
        <v>0</v>
      </c>
      <c r="CF53" s="445">
        <f t="shared" si="177"/>
        <v>0</v>
      </c>
      <c r="CG53" s="445">
        <f t="shared" si="178"/>
        <v>0</v>
      </c>
      <c r="CH53" s="445">
        <f t="shared" si="179"/>
        <v>0</v>
      </c>
      <c r="CI53" s="445">
        <f t="shared" si="180"/>
        <v>0</v>
      </c>
      <c r="CJ53" s="445">
        <f t="shared" si="181"/>
        <v>0</v>
      </c>
      <c r="CK53" s="445">
        <f t="shared" si="182"/>
        <v>0</v>
      </c>
      <c r="CL53" s="445">
        <f t="shared" si="183"/>
        <v>0</v>
      </c>
      <c r="CM53" s="445">
        <f t="shared" si="184"/>
        <v>0</v>
      </c>
      <c r="CN53" s="443">
        <f t="shared" si="104"/>
        <v>0</v>
      </c>
      <c r="CP53" s="442">
        <f t="shared" si="185"/>
        <v>0</v>
      </c>
      <c r="CQ53" s="442">
        <f t="shared" si="186"/>
        <v>0</v>
      </c>
      <c r="CR53" s="442">
        <f t="shared" si="187"/>
        <v>0</v>
      </c>
      <c r="CS53" s="442">
        <f t="shared" si="188"/>
        <v>0</v>
      </c>
      <c r="CT53" s="442">
        <f t="shared" si="189"/>
        <v>0</v>
      </c>
      <c r="CU53" s="442">
        <f t="shared" si="190"/>
        <v>0</v>
      </c>
      <c r="CV53" s="442">
        <f t="shared" si="191"/>
        <v>0</v>
      </c>
      <c r="CW53" s="442">
        <f t="shared" si="192"/>
        <v>0</v>
      </c>
      <c r="CX53" s="442">
        <f t="shared" si="193"/>
        <v>0</v>
      </c>
      <c r="CY53" s="442">
        <f t="shared" si="194"/>
        <v>0</v>
      </c>
      <c r="CZ53" s="443">
        <f t="shared" si="105"/>
        <v>0</v>
      </c>
      <c r="DB53" s="442">
        <f t="shared" si="195"/>
        <v>0</v>
      </c>
      <c r="DC53" s="442">
        <f t="shared" si="196"/>
        <v>0</v>
      </c>
      <c r="DD53" s="442">
        <f t="shared" si="197"/>
        <v>0</v>
      </c>
      <c r="DE53" s="442">
        <f t="shared" si="198"/>
        <v>0</v>
      </c>
      <c r="DF53" s="442">
        <f t="shared" si="199"/>
        <v>0</v>
      </c>
      <c r="DG53" s="442">
        <f t="shared" si="200"/>
        <v>0</v>
      </c>
      <c r="DH53" s="442">
        <f t="shared" si="201"/>
        <v>0</v>
      </c>
      <c r="DI53" s="442">
        <f t="shared" si="202"/>
        <v>0</v>
      </c>
      <c r="DJ53" s="442">
        <f t="shared" si="203"/>
        <v>0</v>
      </c>
      <c r="DK53" s="442">
        <f t="shared" si="204"/>
        <v>0</v>
      </c>
      <c r="DL53" s="443">
        <f t="shared" si="106"/>
        <v>0</v>
      </c>
      <c r="DN53" s="442">
        <f>IF('2. START'!$C$14&gt;0,(AT53/(1+$AA53))*(1+'2. START'!$C$14),AT53)</f>
        <v>0</v>
      </c>
      <c r="DO53" s="442">
        <f>IF('2. START'!$C$14&gt;0,(AU53/(1+$AA53))*(1+'2. START'!$C$14),AU53)</f>
        <v>0</v>
      </c>
      <c r="DP53" s="442">
        <f>IF('2. START'!$C$14&gt;0,(AV53/(1+$AA53))*(1+'2. START'!$C$14),AV53)</f>
        <v>0</v>
      </c>
      <c r="DQ53" s="442">
        <f>IF('2. START'!$C$14&gt;0,(AW53/(1+$AA53))*(1+'2. START'!$C$14),AW53)</f>
        <v>0</v>
      </c>
      <c r="DR53" s="442">
        <f>IF('2. START'!$C$14&gt;0,(AX53/(1+$AA53))*(1+'2. START'!$C$14),AX53)</f>
        <v>0</v>
      </c>
      <c r="DS53" s="442">
        <f>IF('2. START'!$C$14&gt;0,(AY53/(1+$AA53))*(1+'2. START'!$C$14),AY53)</f>
        <v>0</v>
      </c>
      <c r="DT53" s="442">
        <f>IF('2. START'!$C$14&gt;0,(AZ53/(1+$AA53))*(1+'2. START'!$C$14),AZ53)</f>
        <v>0</v>
      </c>
      <c r="DU53" s="442">
        <f>IF('2. START'!$C$14&gt;0,(BA53/(1+$AA53))*(1+'2. START'!$C$14),BA53)</f>
        <v>0</v>
      </c>
      <c r="DV53" s="442">
        <f>IF('2. START'!$C$14&gt;0,(BB53/(1+$AA53))*(1+'2. START'!$C$14),BB53)</f>
        <v>0</v>
      </c>
      <c r="DW53" s="442">
        <f>IF('2. START'!$C$14&gt;0,(BC53/(1+$AA53))*(1+'2. START'!$C$14),BC53)</f>
        <v>0</v>
      </c>
      <c r="DX53" s="443">
        <f t="shared" si="107"/>
        <v>0</v>
      </c>
      <c r="DZ53" s="442">
        <f>IF('2. START'!$C$11="NO",(IF('2. START'!$C$14&gt;0,(DN53*$AD53),(AT53*$AD53))),(BR53+CP53))</f>
        <v>0</v>
      </c>
      <c r="EA53" s="442">
        <f>IF('2. START'!$C$11="NO",(IF('2. START'!$C$14&gt;0,(DO53*$AD53),(AU53*$AD53))),(BS53+CQ53))</f>
        <v>0</v>
      </c>
      <c r="EB53" s="442">
        <f>IF('2. START'!$C$11="NO",(IF('2. START'!$C$14&gt;0,(DP53*$AD53),(AV53*$AD53))),(BT53+CR53))</f>
        <v>0</v>
      </c>
      <c r="EC53" s="442">
        <f>IF('2. START'!$C$11="NO",(IF('2. START'!$C$14&gt;0,(DQ53*$AD53),(AW53*$AD53))),(BU53+CS53))</f>
        <v>0</v>
      </c>
      <c r="ED53" s="442">
        <f>IF('2. START'!$C$11="NO",(IF('2. START'!$C$14&gt;0,(DR53*$AD53),(AX53*$AD53))),(BV53+CT53))</f>
        <v>0</v>
      </c>
      <c r="EE53" s="442">
        <f>IF('2. START'!$C$11="NO",(IF('2. START'!$C$14&gt;0,(DS53*$AD53),(AY53*$AD53))),(BW53+CU53))</f>
        <v>0</v>
      </c>
      <c r="EF53" s="442">
        <f>IF('2. START'!$C$11="NO",(IF('2. START'!$C$14&gt;0,(DT53*$AD53),(AZ53*$AD53))),(BX53+CV53))</f>
        <v>0</v>
      </c>
      <c r="EG53" s="442">
        <f>IF('2. START'!$C$11="NO",(IF('2. START'!$C$14&gt;0,(DU53*$AD53),(BA53*$AD53))),(BY53+CW53))</f>
        <v>0</v>
      </c>
      <c r="EH53" s="442">
        <f>IF('2. START'!$C$11="NO",(IF('2. START'!$C$14&gt;0,(DV53*$AD53),(BB53*$AD53))),(BZ53+CX53))</f>
        <v>0</v>
      </c>
      <c r="EI53" s="442">
        <f>IF('2. START'!$C$11="NO",(IF('2. START'!$C$14&gt;0,(DW53*$AD53),(BC53*$AD53))),(CA53+CY53))</f>
        <v>0</v>
      </c>
      <c r="EJ53" s="443">
        <f t="shared" si="108"/>
        <v>0</v>
      </c>
      <c r="EL53" s="442">
        <f>(BR53+CP53-DZ53)+IF('2. START'!$C$14&gt;0,AT53-DN53,0)</f>
        <v>0</v>
      </c>
      <c r="EM53" s="442">
        <f>(BS53+CQ53-EA53)+IF('2. START'!$C$14&gt;0,AU53-DO53,0)</f>
        <v>0</v>
      </c>
      <c r="EN53" s="442">
        <f>(BT53+CR53-EB53)+IF('2. START'!$C$14&gt;0,AV53-DP53,0)</f>
        <v>0</v>
      </c>
      <c r="EO53" s="442">
        <f>(BU53+CS53-EC53)+IF('2. START'!$C$14&gt;0,AW53-DQ53,0)</f>
        <v>0</v>
      </c>
      <c r="EP53" s="442">
        <f>(BV53+CT53-ED53)+IF('2. START'!$C$14&gt;0,AX53-DR53,0)</f>
        <v>0</v>
      </c>
      <c r="EQ53" s="442">
        <f>(BW53+CU53-EE53)+IF('2. START'!$C$14&gt;0,AY53-DS53,0)</f>
        <v>0</v>
      </c>
      <c r="ER53" s="442">
        <f>(BX53+CV53-EF53)+IF('2. START'!$C$14&gt;0,AZ53-DT53,0)</f>
        <v>0</v>
      </c>
      <c r="ES53" s="442">
        <f>(BY53+CW53-EG53)+IF('2. START'!$C$14&gt;0,BA53-DU53,0)</f>
        <v>0</v>
      </c>
      <c r="ET53" s="442">
        <f>(BZ53+CX53-EH53)+IF('2. START'!$C$14&gt;0,BB53-DV53,0)</f>
        <v>0</v>
      </c>
      <c r="EU53" s="442">
        <f>(CA53+CY53-EI53)+IF('2. START'!$C$14&gt;0,BC53-DW53,0)</f>
        <v>0</v>
      </c>
      <c r="EV53" s="443">
        <f t="shared" si="109"/>
        <v>0</v>
      </c>
      <c r="EX53" s="442">
        <f t="shared" si="110"/>
        <v>0</v>
      </c>
      <c r="EY53" s="442">
        <f t="shared" si="111"/>
        <v>0</v>
      </c>
      <c r="EZ53" s="442">
        <f t="shared" si="112"/>
        <v>0</v>
      </c>
      <c r="FA53" s="442">
        <f t="shared" si="113"/>
        <v>0</v>
      </c>
      <c r="FB53" s="442">
        <f t="shared" si="114"/>
        <v>0</v>
      </c>
      <c r="FC53" s="442">
        <f t="shared" si="115"/>
        <v>0</v>
      </c>
      <c r="FD53" s="442">
        <f t="shared" si="116"/>
        <v>0</v>
      </c>
      <c r="FE53" s="442">
        <f t="shared" si="117"/>
        <v>0</v>
      </c>
      <c r="FF53" s="442">
        <f t="shared" si="118"/>
        <v>0</v>
      </c>
      <c r="FG53" s="442">
        <f t="shared" si="119"/>
        <v>0</v>
      </c>
      <c r="FH53" s="443">
        <f t="shared" si="120"/>
        <v>0</v>
      </c>
      <c r="FJ53" s="442">
        <f t="shared" si="121"/>
        <v>0</v>
      </c>
      <c r="FK53" s="442">
        <f t="shared" si="122"/>
        <v>0</v>
      </c>
      <c r="FL53" s="442">
        <f t="shared" si="123"/>
        <v>0</v>
      </c>
      <c r="FM53" s="442">
        <f t="shared" si="124"/>
        <v>0</v>
      </c>
      <c r="FN53" s="442">
        <f t="shared" si="125"/>
        <v>0</v>
      </c>
      <c r="FO53" s="442">
        <f t="shared" si="126"/>
        <v>0</v>
      </c>
      <c r="FP53" s="442">
        <f t="shared" si="127"/>
        <v>0</v>
      </c>
      <c r="FQ53" s="442">
        <f t="shared" si="128"/>
        <v>0</v>
      </c>
      <c r="FR53" s="442">
        <f t="shared" si="129"/>
        <v>0</v>
      </c>
      <c r="FS53" s="442">
        <f t="shared" si="130"/>
        <v>0</v>
      </c>
      <c r="FT53" s="443">
        <f t="shared" si="131"/>
        <v>0</v>
      </c>
    </row>
    <row r="54" spans="2:176" s="270" customFormat="1" ht="15" customHeight="1" x14ac:dyDescent="0.25">
      <c r="B54" s="446" t="str">
        <f>'2. START'!C$7</f>
        <v>100GEM</v>
      </c>
      <c r="C54" s="469"/>
      <c r="D54" s="589"/>
      <c r="E54" s="544">
        <v>0</v>
      </c>
      <c r="F54" s="448"/>
      <c r="G54" s="449"/>
      <c r="H54" s="449"/>
      <c r="I54" s="449"/>
      <c r="J54" s="449"/>
      <c r="K54" s="449"/>
      <c r="L54" s="449"/>
      <c r="M54" s="449"/>
      <c r="N54" s="449"/>
      <c r="O54" s="449"/>
      <c r="P54" s="449"/>
      <c r="Q54" s="546">
        <f>SUMIF('3. PARTNER'!$B$13:$B$80,$B54,'3. PARTNER'!$F$13:$F$80)</f>
        <v>0.02</v>
      </c>
      <c r="R54" s="450">
        <f t="shared" si="134"/>
        <v>0.02</v>
      </c>
      <c r="S54" s="450">
        <f t="shared" si="134"/>
        <v>0.02</v>
      </c>
      <c r="T54" s="450">
        <f t="shared" si="134"/>
        <v>0.02</v>
      </c>
      <c r="U54" s="450">
        <f t="shared" si="134"/>
        <v>0.02</v>
      </c>
      <c r="V54" s="450">
        <f t="shared" si="134"/>
        <v>0.02</v>
      </c>
      <c r="W54" s="450">
        <f t="shared" si="134"/>
        <v>0.02</v>
      </c>
      <c r="X54" s="450">
        <f t="shared" si="134"/>
        <v>0.02</v>
      </c>
      <c r="Y54" s="450">
        <f t="shared" si="134"/>
        <v>0.02</v>
      </c>
      <c r="Z54" s="450">
        <f t="shared" si="134"/>
        <v>0.02</v>
      </c>
      <c r="AA54" s="451">
        <f>SUMIF('3. PARTNER'!B$13:B$80,B54,'3. PARTNER'!E$13:E$80)</f>
        <v>0.5595</v>
      </c>
      <c r="AB54" s="452">
        <f>IF('2. START'!$C$20="UTB",(SUMIF('3. PARTNER'!B$13:B$80,B54,'3. PARTNER'!K$13:K$80))+(SUMIF('3. PARTNER'!B$13:B$80,B54,'3. PARTNER'!M$13:M$80)),(SUMIF('3. PARTNER'!B$13:B$80,B54,'3. PARTNER'!G$13:G$80))+(SUMIF('3. PARTNER'!B$13:B$80,B54,'3. PARTNER'!I$13:I$80)))</f>
        <v>0.16000843770704321</v>
      </c>
      <c r="AC54" s="452">
        <f>IF('2. START'!$C$20="UTB",(SUMIF('3. PARTNER'!B$13:B$80,B54,'3. PARTNER'!L$13:L$80))+(SUMIF('3. PARTNER'!B$13:B$80,B54,'3. PARTNER'!N$13:N$80)),(SUMIF('3. PARTNER'!B$13:B$80,B54,'3. PARTNER'!H$13:H$80))+(SUMIF('3. PARTNER'!B$13:B$80,B54,'3. PARTNER'!J$13:J$80)))</f>
        <v>0</v>
      </c>
      <c r="AD54" s="452">
        <f>IF('2. START'!C$11="NO",'2. START'!C$12,0)</f>
        <v>0</v>
      </c>
      <c r="AE54" s="453">
        <f t="shared" si="98"/>
        <v>0</v>
      </c>
      <c r="AF54" s="453">
        <f t="shared" si="99"/>
        <v>0</v>
      </c>
      <c r="AG54" s="454"/>
      <c r="AH54" s="455">
        <f t="shared" si="135"/>
        <v>0</v>
      </c>
      <c r="AI54" s="455">
        <f t="shared" si="136"/>
        <v>0</v>
      </c>
      <c r="AJ54" s="455">
        <f t="shared" si="137"/>
        <v>0</v>
      </c>
      <c r="AK54" s="455">
        <f t="shared" si="138"/>
        <v>0</v>
      </c>
      <c r="AL54" s="455">
        <f t="shared" si="139"/>
        <v>0</v>
      </c>
      <c r="AM54" s="455">
        <f t="shared" si="140"/>
        <v>0</v>
      </c>
      <c r="AN54" s="455">
        <f t="shared" si="141"/>
        <v>0</v>
      </c>
      <c r="AO54" s="455">
        <f t="shared" si="142"/>
        <v>0</v>
      </c>
      <c r="AP54" s="455">
        <f t="shared" si="143"/>
        <v>0</v>
      </c>
      <c r="AQ54" s="455">
        <f t="shared" si="144"/>
        <v>0</v>
      </c>
      <c r="AR54" s="456">
        <f t="shared" si="100"/>
        <v>0</v>
      </c>
      <c r="AS54" s="457"/>
      <c r="AT54" s="455">
        <f t="shared" si="145"/>
        <v>0</v>
      </c>
      <c r="AU54" s="455">
        <f t="shared" si="146"/>
        <v>0</v>
      </c>
      <c r="AV54" s="455">
        <f t="shared" si="147"/>
        <v>0</v>
      </c>
      <c r="AW54" s="455">
        <f t="shared" si="148"/>
        <v>0</v>
      </c>
      <c r="AX54" s="455">
        <f t="shared" si="149"/>
        <v>0</v>
      </c>
      <c r="AY54" s="455">
        <f t="shared" si="150"/>
        <v>0</v>
      </c>
      <c r="AZ54" s="455">
        <f t="shared" si="151"/>
        <v>0</v>
      </c>
      <c r="BA54" s="455">
        <f t="shared" si="152"/>
        <v>0</v>
      </c>
      <c r="BB54" s="455">
        <f t="shared" si="153"/>
        <v>0</v>
      </c>
      <c r="BC54" s="455">
        <f t="shared" si="154"/>
        <v>0</v>
      </c>
      <c r="BD54" s="456">
        <f t="shared" si="101"/>
        <v>0</v>
      </c>
      <c r="BE54" s="457"/>
      <c r="BF54" s="455">
        <f t="shared" si="155"/>
        <v>0</v>
      </c>
      <c r="BG54" s="455">
        <f t="shared" si="156"/>
        <v>0</v>
      </c>
      <c r="BH54" s="455">
        <f t="shared" si="157"/>
        <v>0</v>
      </c>
      <c r="BI54" s="455">
        <f t="shared" si="158"/>
        <v>0</v>
      </c>
      <c r="BJ54" s="455">
        <f t="shared" si="159"/>
        <v>0</v>
      </c>
      <c r="BK54" s="455">
        <f t="shared" si="160"/>
        <v>0</v>
      </c>
      <c r="BL54" s="455">
        <f t="shared" si="161"/>
        <v>0</v>
      </c>
      <c r="BM54" s="455">
        <f t="shared" si="162"/>
        <v>0</v>
      </c>
      <c r="BN54" s="455">
        <f t="shared" si="163"/>
        <v>0</v>
      </c>
      <c r="BO54" s="455">
        <f t="shared" si="164"/>
        <v>0</v>
      </c>
      <c r="BP54" s="456">
        <f t="shared" si="102"/>
        <v>0</v>
      </c>
      <c r="BQ54" s="463"/>
      <c r="BR54" s="459">
        <f t="shared" si="165"/>
        <v>0</v>
      </c>
      <c r="BS54" s="459">
        <f t="shared" si="166"/>
        <v>0</v>
      </c>
      <c r="BT54" s="459">
        <f t="shared" si="167"/>
        <v>0</v>
      </c>
      <c r="BU54" s="459">
        <f t="shared" si="168"/>
        <v>0</v>
      </c>
      <c r="BV54" s="459">
        <f t="shared" si="169"/>
        <v>0</v>
      </c>
      <c r="BW54" s="459">
        <f t="shared" si="170"/>
        <v>0</v>
      </c>
      <c r="BX54" s="459">
        <f t="shared" si="171"/>
        <v>0</v>
      </c>
      <c r="BY54" s="459">
        <f t="shared" si="172"/>
        <v>0</v>
      </c>
      <c r="BZ54" s="459">
        <f t="shared" si="173"/>
        <v>0</v>
      </c>
      <c r="CA54" s="459">
        <f t="shared" si="174"/>
        <v>0</v>
      </c>
      <c r="CB54" s="460">
        <f t="shared" si="103"/>
        <v>0</v>
      </c>
      <c r="CC54" s="463"/>
      <c r="CD54" s="462">
        <f t="shared" si="175"/>
        <v>0</v>
      </c>
      <c r="CE54" s="462">
        <f t="shared" si="176"/>
        <v>0</v>
      </c>
      <c r="CF54" s="462">
        <f t="shared" si="177"/>
        <v>0</v>
      </c>
      <c r="CG54" s="462">
        <f t="shared" si="178"/>
        <v>0</v>
      </c>
      <c r="CH54" s="462">
        <f t="shared" si="179"/>
        <v>0</v>
      </c>
      <c r="CI54" s="462">
        <f t="shared" si="180"/>
        <v>0</v>
      </c>
      <c r="CJ54" s="462">
        <f t="shared" si="181"/>
        <v>0</v>
      </c>
      <c r="CK54" s="462">
        <f t="shared" si="182"/>
        <v>0</v>
      </c>
      <c r="CL54" s="462">
        <f t="shared" si="183"/>
        <v>0</v>
      </c>
      <c r="CM54" s="462">
        <f t="shared" si="184"/>
        <v>0</v>
      </c>
      <c r="CN54" s="460">
        <f t="shared" si="104"/>
        <v>0</v>
      </c>
      <c r="CO54" s="463"/>
      <c r="CP54" s="459">
        <f t="shared" si="185"/>
        <v>0</v>
      </c>
      <c r="CQ54" s="459">
        <f t="shared" si="186"/>
        <v>0</v>
      </c>
      <c r="CR54" s="459">
        <f t="shared" si="187"/>
        <v>0</v>
      </c>
      <c r="CS54" s="459">
        <f t="shared" si="188"/>
        <v>0</v>
      </c>
      <c r="CT54" s="459">
        <f t="shared" si="189"/>
        <v>0</v>
      </c>
      <c r="CU54" s="459">
        <f t="shared" si="190"/>
        <v>0</v>
      </c>
      <c r="CV54" s="459">
        <f t="shared" si="191"/>
        <v>0</v>
      </c>
      <c r="CW54" s="459">
        <f t="shared" si="192"/>
        <v>0</v>
      </c>
      <c r="CX54" s="459">
        <f t="shared" si="193"/>
        <v>0</v>
      </c>
      <c r="CY54" s="459">
        <f t="shared" si="194"/>
        <v>0</v>
      </c>
      <c r="CZ54" s="460">
        <f t="shared" si="105"/>
        <v>0</v>
      </c>
      <c r="DA54" s="463"/>
      <c r="DB54" s="459">
        <f t="shared" si="195"/>
        <v>0</v>
      </c>
      <c r="DC54" s="459">
        <f t="shared" si="196"/>
        <v>0</v>
      </c>
      <c r="DD54" s="459">
        <f t="shared" si="197"/>
        <v>0</v>
      </c>
      <c r="DE54" s="459">
        <f t="shared" si="198"/>
        <v>0</v>
      </c>
      <c r="DF54" s="459">
        <f t="shared" si="199"/>
        <v>0</v>
      </c>
      <c r="DG54" s="459">
        <f t="shared" si="200"/>
        <v>0</v>
      </c>
      <c r="DH54" s="459">
        <f t="shared" si="201"/>
        <v>0</v>
      </c>
      <c r="DI54" s="459">
        <f t="shared" si="202"/>
        <v>0</v>
      </c>
      <c r="DJ54" s="459">
        <f t="shared" si="203"/>
        <v>0</v>
      </c>
      <c r="DK54" s="459">
        <f t="shared" si="204"/>
        <v>0</v>
      </c>
      <c r="DL54" s="460">
        <f t="shared" si="106"/>
        <v>0</v>
      </c>
      <c r="DM54" s="463"/>
      <c r="DN54" s="442">
        <f>IF('2. START'!$C$14&gt;0,(AT54/(1+$AA54))*(1+'2. START'!$C$14),AT54)</f>
        <v>0</v>
      </c>
      <c r="DO54" s="442">
        <f>IF('2. START'!$C$14&gt;0,(AU54/(1+$AA54))*(1+'2. START'!$C$14),AU54)</f>
        <v>0</v>
      </c>
      <c r="DP54" s="442">
        <f>IF('2. START'!$C$14&gt;0,(AV54/(1+$AA54))*(1+'2. START'!$C$14),AV54)</f>
        <v>0</v>
      </c>
      <c r="DQ54" s="442">
        <f>IF('2. START'!$C$14&gt;0,(AW54/(1+$AA54))*(1+'2. START'!$C$14),AW54)</f>
        <v>0</v>
      </c>
      <c r="DR54" s="442">
        <f>IF('2. START'!$C$14&gt;0,(AX54/(1+$AA54))*(1+'2. START'!$C$14),AX54)</f>
        <v>0</v>
      </c>
      <c r="DS54" s="442">
        <f>IF('2. START'!$C$14&gt;0,(AY54/(1+$AA54))*(1+'2. START'!$C$14),AY54)</f>
        <v>0</v>
      </c>
      <c r="DT54" s="442">
        <f>IF('2. START'!$C$14&gt;0,(AZ54/(1+$AA54))*(1+'2. START'!$C$14),AZ54)</f>
        <v>0</v>
      </c>
      <c r="DU54" s="442">
        <f>IF('2. START'!$C$14&gt;0,(BA54/(1+$AA54))*(1+'2. START'!$C$14),BA54)</f>
        <v>0</v>
      </c>
      <c r="DV54" s="442">
        <f>IF('2. START'!$C$14&gt;0,(BB54/(1+$AA54))*(1+'2. START'!$C$14),BB54)</f>
        <v>0</v>
      </c>
      <c r="DW54" s="442">
        <f>IF('2. START'!$C$14&gt;0,(BC54/(1+$AA54))*(1+'2. START'!$C$14),BC54)</f>
        <v>0</v>
      </c>
      <c r="DX54" s="460">
        <f t="shared" si="107"/>
        <v>0</v>
      </c>
      <c r="DY54" s="463"/>
      <c r="DZ54" s="459">
        <f>IF('2. START'!$C$11="NO",(IF('2. START'!$C$14&gt;0,(DN54*$AD54),(AT54*$AD54))),(BR54+CP54))</f>
        <v>0</v>
      </c>
      <c r="EA54" s="459">
        <f>IF('2. START'!$C$11="NO",(IF('2. START'!$C$14&gt;0,(DO54*$AD54),(AU54*$AD54))),(BS54+CQ54))</f>
        <v>0</v>
      </c>
      <c r="EB54" s="459">
        <f>IF('2. START'!$C$11="NO",(IF('2. START'!$C$14&gt;0,(DP54*$AD54),(AV54*$AD54))),(BT54+CR54))</f>
        <v>0</v>
      </c>
      <c r="EC54" s="459">
        <f>IF('2. START'!$C$11="NO",(IF('2. START'!$C$14&gt;0,(DQ54*$AD54),(AW54*$AD54))),(BU54+CS54))</f>
        <v>0</v>
      </c>
      <c r="ED54" s="459">
        <f>IF('2. START'!$C$11="NO",(IF('2. START'!$C$14&gt;0,(DR54*$AD54),(AX54*$AD54))),(BV54+CT54))</f>
        <v>0</v>
      </c>
      <c r="EE54" s="459">
        <f>IF('2. START'!$C$11="NO",(IF('2. START'!$C$14&gt;0,(DS54*$AD54),(AY54*$AD54))),(BW54+CU54))</f>
        <v>0</v>
      </c>
      <c r="EF54" s="459">
        <f>IF('2. START'!$C$11="NO",(IF('2. START'!$C$14&gt;0,(DT54*$AD54),(AZ54*$AD54))),(BX54+CV54))</f>
        <v>0</v>
      </c>
      <c r="EG54" s="459">
        <f>IF('2. START'!$C$11="NO",(IF('2. START'!$C$14&gt;0,(DU54*$AD54),(BA54*$AD54))),(BY54+CW54))</f>
        <v>0</v>
      </c>
      <c r="EH54" s="459">
        <f>IF('2. START'!$C$11="NO",(IF('2. START'!$C$14&gt;0,(DV54*$AD54),(BB54*$AD54))),(BZ54+CX54))</f>
        <v>0</v>
      </c>
      <c r="EI54" s="459">
        <f>IF('2. START'!$C$11="NO",(IF('2. START'!$C$14&gt;0,(DW54*$AD54),(BC54*$AD54))),(CA54+CY54))</f>
        <v>0</v>
      </c>
      <c r="EJ54" s="460">
        <f t="shared" si="108"/>
        <v>0</v>
      </c>
      <c r="EK54" s="463"/>
      <c r="EL54" s="459">
        <f>(BR54+CP54-DZ54)+IF('2. START'!$C$14&gt;0,AT54-DN54,0)</f>
        <v>0</v>
      </c>
      <c r="EM54" s="459">
        <f>(BS54+CQ54-EA54)+IF('2. START'!$C$14&gt;0,AU54-DO54,0)</f>
        <v>0</v>
      </c>
      <c r="EN54" s="459">
        <f>(BT54+CR54-EB54)+IF('2. START'!$C$14&gt;0,AV54-DP54,0)</f>
        <v>0</v>
      </c>
      <c r="EO54" s="459">
        <f>(BU54+CS54-EC54)+IF('2. START'!$C$14&gt;0,AW54-DQ54,0)</f>
        <v>0</v>
      </c>
      <c r="EP54" s="459">
        <f>(BV54+CT54-ED54)+IF('2. START'!$C$14&gt;0,AX54-DR54,0)</f>
        <v>0</v>
      </c>
      <c r="EQ54" s="459">
        <f>(BW54+CU54-EE54)+IF('2. START'!$C$14&gt;0,AY54-DS54,0)</f>
        <v>0</v>
      </c>
      <c r="ER54" s="459">
        <f>(BX54+CV54-EF54)+IF('2. START'!$C$14&gt;0,AZ54-DT54,0)</f>
        <v>0</v>
      </c>
      <c r="ES54" s="459">
        <f>(BY54+CW54-EG54)+IF('2. START'!$C$14&gt;0,BA54-DU54,0)</f>
        <v>0</v>
      </c>
      <c r="ET54" s="459">
        <f>(BZ54+CX54-EH54)+IF('2. START'!$C$14&gt;0,BB54-DV54,0)</f>
        <v>0</v>
      </c>
      <c r="EU54" s="459">
        <f>(CA54+CY54-EI54)+IF('2. START'!$C$14&gt;0,BC54-DW54,0)</f>
        <v>0</v>
      </c>
      <c r="EV54" s="460">
        <f t="shared" si="109"/>
        <v>0</v>
      </c>
      <c r="EW54" s="463"/>
      <c r="EX54" s="459">
        <f t="shared" si="110"/>
        <v>0</v>
      </c>
      <c r="EY54" s="459">
        <f t="shared" si="111"/>
        <v>0</v>
      </c>
      <c r="EZ54" s="459">
        <f t="shared" si="112"/>
        <v>0</v>
      </c>
      <c r="FA54" s="459">
        <f t="shared" si="113"/>
        <v>0</v>
      </c>
      <c r="FB54" s="459">
        <f t="shared" si="114"/>
        <v>0</v>
      </c>
      <c r="FC54" s="459">
        <f t="shared" si="115"/>
        <v>0</v>
      </c>
      <c r="FD54" s="459">
        <f t="shared" si="116"/>
        <v>0</v>
      </c>
      <c r="FE54" s="459">
        <f t="shared" si="117"/>
        <v>0</v>
      </c>
      <c r="FF54" s="459">
        <f t="shared" si="118"/>
        <v>0</v>
      </c>
      <c r="FG54" s="459">
        <f t="shared" si="119"/>
        <v>0</v>
      </c>
      <c r="FH54" s="460">
        <f t="shared" si="120"/>
        <v>0</v>
      </c>
      <c r="FI54" s="463"/>
      <c r="FJ54" s="459">
        <f t="shared" si="121"/>
        <v>0</v>
      </c>
      <c r="FK54" s="459">
        <f t="shared" si="122"/>
        <v>0</v>
      </c>
      <c r="FL54" s="459">
        <f t="shared" si="123"/>
        <v>0</v>
      </c>
      <c r="FM54" s="459">
        <f t="shared" si="124"/>
        <v>0</v>
      </c>
      <c r="FN54" s="459">
        <f t="shared" si="125"/>
        <v>0</v>
      </c>
      <c r="FO54" s="459">
        <f t="shared" si="126"/>
        <v>0</v>
      </c>
      <c r="FP54" s="459">
        <f t="shared" si="127"/>
        <v>0</v>
      </c>
      <c r="FQ54" s="459">
        <f t="shared" si="128"/>
        <v>0</v>
      </c>
      <c r="FR54" s="459">
        <f t="shared" si="129"/>
        <v>0</v>
      </c>
      <c r="FS54" s="459">
        <f t="shared" si="130"/>
        <v>0</v>
      </c>
      <c r="FT54" s="460">
        <f t="shared" si="131"/>
        <v>0</v>
      </c>
    </row>
    <row r="55" spans="2:176" s="270" customFormat="1" ht="15" customHeight="1" x14ac:dyDescent="0.25">
      <c r="B55" s="464" t="str">
        <f>'2. START'!C$7</f>
        <v>100GEM</v>
      </c>
      <c r="C55" s="470"/>
      <c r="D55" s="590"/>
      <c r="E55" s="514">
        <v>0</v>
      </c>
      <c r="F55" s="467"/>
      <c r="G55" s="432"/>
      <c r="H55" s="432"/>
      <c r="I55" s="432"/>
      <c r="J55" s="432"/>
      <c r="K55" s="432"/>
      <c r="L55" s="432"/>
      <c r="M55" s="432"/>
      <c r="N55" s="432"/>
      <c r="O55" s="432"/>
      <c r="P55" s="432"/>
      <c r="Q55" s="545">
        <f>SUMIF('3. PARTNER'!$B$13:$B$80,$B55,'3. PARTNER'!$F$13:$F$80)</f>
        <v>0.02</v>
      </c>
      <c r="R55" s="466">
        <f t="shared" si="134"/>
        <v>0.02</v>
      </c>
      <c r="S55" s="466">
        <f t="shared" si="134"/>
        <v>0.02</v>
      </c>
      <c r="T55" s="466">
        <f t="shared" si="134"/>
        <v>0.02</v>
      </c>
      <c r="U55" s="466">
        <f t="shared" si="134"/>
        <v>0.02</v>
      </c>
      <c r="V55" s="466">
        <f t="shared" si="134"/>
        <v>0.02</v>
      </c>
      <c r="W55" s="466">
        <f t="shared" si="134"/>
        <v>0.02</v>
      </c>
      <c r="X55" s="466">
        <f t="shared" si="134"/>
        <v>0.02</v>
      </c>
      <c r="Y55" s="466">
        <f t="shared" si="134"/>
        <v>0.02</v>
      </c>
      <c r="Z55" s="466">
        <f t="shared" si="134"/>
        <v>0.02</v>
      </c>
      <c r="AA55" s="434">
        <f>SUMIF('3. PARTNER'!B$13:B$80,B55,'3. PARTNER'!E$13:E$80)</f>
        <v>0.5595</v>
      </c>
      <c r="AB55" s="435">
        <f>IF('2. START'!$C$20="UTB",(SUMIF('3. PARTNER'!B$13:B$80,B55,'3. PARTNER'!K$13:K$80))+(SUMIF('3. PARTNER'!B$13:B$80,B55,'3. PARTNER'!M$13:M$80)),(SUMIF('3. PARTNER'!B$13:B$80,B55,'3. PARTNER'!G$13:G$80))+(SUMIF('3. PARTNER'!B$13:B$80,B55,'3. PARTNER'!I$13:I$80)))</f>
        <v>0.16000843770704321</v>
      </c>
      <c r="AC55" s="435">
        <f>IF('2. START'!$C$20="UTB",(SUMIF('3. PARTNER'!B$13:B$80,B55,'3. PARTNER'!L$13:L$80))+(SUMIF('3. PARTNER'!B$13:B$80,B55,'3. PARTNER'!N$13:N$80)),(SUMIF('3. PARTNER'!B$13:B$80,B55,'3. PARTNER'!H$13:H$80))+(SUMIF('3. PARTNER'!B$13:B$80,B55,'3. PARTNER'!J$13:J$80)))</f>
        <v>0</v>
      </c>
      <c r="AD55" s="435">
        <f>IF('2. START'!C$11="NO",'2. START'!C$12,0)</f>
        <v>0</v>
      </c>
      <c r="AE55" s="436">
        <f t="shared" si="98"/>
        <v>0</v>
      </c>
      <c r="AF55" s="436">
        <f t="shared" si="99"/>
        <v>0</v>
      </c>
      <c r="AG55" s="437"/>
      <c r="AH55" s="438">
        <f t="shared" si="135"/>
        <v>0</v>
      </c>
      <c r="AI55" s="438">
        <f t="shared" si="136"/>
        <v>0</v>
      </c>
      <c r="AJ55" s="438">
        <f t="shared" si="137"/>
        <v>0</v>
      </c>
      <c r="AK55" s="438">
        <f t="shared" si="138"/>
        <v>0</v>
      </c>
      <c r="AL55" s="438">
        <f t="shared" si="139"/>
        <v>0</v>
      </c>
      <c r="AM55" s="438">
        <f t="shared" si="140"/>
        <v>0</v>
      </c>
      <c r="AN55" s="438">
        <f t="shared" si="141"/>
        <v>0</v>
      </c>
      <c r="AO55" s="438">
        <f t="shared" si="142"/>
        <v>0</v>
      </c>
      <c r="AP55" s="438">
        <f t="shared" si="143"/>
        <v>0</v>
      </c>
      <c r="AQ55" s="438">
        <f t="shared" si="144"/>
        <v>0</v>
      </c>
      <c r="AR55" s="439">
        <f t="shared" si="100"/>
        <v>0</v>
      </c>
      <c r="AS55" s="440"/>
      <c r="AT55" s="438">
        <f t="shared" si="145"/>
        <v>0</v>
      </c>
      <c r="AU55" s="438">
        <f t="shared" si="146"/>
        <v>0</v>
      </c>
      <c r="AV55" s="438">
        <f t="shared" si="147"/>
        <v>0</v>
      </c>
      <c r="AW55" s="438">
        <f t="shared" si="148"/>
        <v>0</v>
      </c>
      <c r="AX55" s="438">
        <f t="shared" si="149"/>
        <v>0</v>
      </c>
      <c r="AY55" s="438">
        <f t="shared" si="150"/>
        <v>0</v>
      </c>
      <c r="AZ55" s="438">
        <f t="shared" si="151"/>
        <v>0</v>
      </c>
      <c r="BA55" s="438">
        <f t="shared" si="152"/>
        <v>0</v>
      </c>
      <c r="BB55" s="438">
        <f t="shared" si="153"/>
        <v>0</v>
      </c>
      <c r="BC55" s="438">
        <f t="shared" si="154"/>
        <v>0</v>
      </c>
      <c r="BD55" s="439">
        <f t="shared" si="101"/>
        <v>0</v>
      </c>
      <c r="BE55" s="440"/>
      <c r="BF55" s="438">
        <f t="shared" si="155"/>
        <v>0</v>
      </c>
      <c r="BG55" s="438">
        <f t="shared" si="156"/>
        <v>0</v>
      </c>
      <c r="BH55" s="438">
        <f t="shared" si="157"/>
        <v>0</v>
      </c>
      <c r="BI55" s="438">
        <f t="shared" si="158"/>
        <v>0</v>
      </c>
      <c r="BJ55" s="438">
        <f t="shared" si="159"/>
        <v>0</v>
      </c>
      <c r="BK55" s="438">
        <f t="shared" si="160"/>
        <v>0</v>
      </c>
      <c r="BL55" s="438">
        <f t="shared" si="161"/>
        <v>0</v>
      </c>
      <c r="BM55" s="438">
        <f t="shared" si="162"/>
        <v>0</v>
      </c>
      <c r="BN55" s="438">
        <f t="shared" si="163"/>
        <v>0</v>
      </c>
      <c r="BO55" s="438">
        <f t="shared" si="164"/>
        <v>0</v>
      </c>
      <c r="BP55" s="439">
        <f t="shared" si="102"/>
        <v>0</v>
      </c>
      <c r="BR55" s="442">
        <f t="shared" si="165"/>
        <v>0</v>
      </c>
      <c r="BS55" s="442">
        <f t="shared" si="166"/>
        <v>0</v>
      </c>
      <c r="BT55" s="442">
        <f t="shared" si="167"/>
        <v>0</v>
      </c>
      <c r="BU55" s="442">
        <f t="shared" si="168"/>
        <v>0</v>
      </c>
      <c r="BV55" s="442">
        <f t="shared" si="169"/>
        <v>0</v>
      </c>
      <c r="BW55" s="442">
        <f t="shared" si="170"/>
        <v>0</v>
      </c>
      <c r="BX55" s="442">
        <f t="shared" si="171"/>
        <v>0</v>
      </c>
      <c r="BY55" s="442">
        <f t="shared" si="172"/>
        <v>0</v>
      </c>
      <c r="BZ55" s="442">
        <f t="shared" si="173"/>
        <v>0</v>
      </c>
      <c r="CA55" s="442">
        <f t="shared" si="174"/>
        <v>0</v>
      </c>
      <c r="CB55" s="443">
        <f t="shared" si="103"/>
        <v>0</v>
      </c>
      <c r="CD55" s="445">
        <f t="shared" si="175"/>
        <v>0</v>
      </c>
      <c r="CE55" s="445">
        <f t="shared" si="176"/>
        <v>0</v>
      </c>
      <c r="CF55" s="445">
        <f t="shared" si="177"/>
        <v>0</v>
      </c>
      <c r="CG55" s="445">
        <f t="shared" si="178"/>
        <v>0</v>
      </c>
      <c r="CH55" s="445">
        <f t="shared" si="179"/>
        <v>0</v>
      </c>
      <c r="CI55" s="445">
        <f t="shared" si="180"/>
        <v>0</v>
      </c>
      <c r="CJ55" s="445">
        <f t="shared" si="181"/>
        <v>0</v>
      </c>
      <c r="CK55" s="445">
        <f t="shared" si="182"/>
        <v>0</v>
      </c>
      <c r="CL55" s="445">
        <f t="shared" si="183"/>
        <v>0</v>
      </c>
      <c r="CM55" s="445">
        <f t="shared" si="184"/>
        <v>0</v>
      </c>
      <c r="CN55" s="443">
        <f t="shared" si="104"/>
        <v>0</v>
      </c>
      <c r="CP55" s="442">
        <f t="shared" si="185"/>
        <v>0</v>
      </c>
      <c r="CQ55" s="442">
        <f t="shared" si="186"/>
        <v>0</v>
      </c>
      <c r="CR55" s="442">
        <f t="shared" si="187"/>
        <v>0</v>
      </c>
      <c r="CS55" s="442">
        <f t="shared" si="188"/>
        <v>0</v>
      </c>
      <c r="CT55" s="442">
        <f t="shared" si="189"/>
        <v>0</v>
      </c>
      <c r="CU55" s="442">
        <f t="shared" si="190"/>
        <v>0</v>
      </c>
      <c r="CV55" s="442">
        <f t="shared" si="191"/>
        <v>0</v>
      </c>
      <c r="CW55" s="442">
        <f t="shared" si="192"/>
        <v>0</v>
      </c>
      <c r="CX55" s="442">
        <f t="shared" si="193"/>
        <v>0</v>
      </c>
      <c r="CY55" s="442">
        <f t="shared" si="194"/>
        <v>0</v>
      </c>
      <c r="CZ55" s="443">
        <f t="shared" si="105"/>
        <v>0</v>
      </c>
      <c r="DB55" s="442">
        <f t="shared" si="195"/>
        <v>0</v>
      </c>
      <c r="DC55" s="442">
        <f t="shared" si="196"/>
        <v>0</v>
      </c>
      <c r="DD55" s="442">
        <f t="shared" si="197"/>
        <v>0</v>
      </c>
      <c r="DE55" s="442">
        <f t="shared" si="198"/>
        <v>0</v>
      </c>
      <c r="DF55" s="442">
        <f t="shared" si="199"/>
        <v>0</v>
      </c>
      <c r="DG55" s="442">
        <f t="shared" si="200"/>
        <v>0</v>
      </c>
      <c r="DH55" s="442">
        <f t="shared" si="201"/>
        <v>0</v>
      </c>
      <c r="DI55" s="442">
        <f t="shared" si="202"/>
        <v>0</v>
      </c>
      <c r="DJ55" s="442">
        <f t="shared" si="203"/>
        <v>0</v>
      </c>
      <c r="DK55" s="442">
        <f t="shared" si="204"/>
        <v>0</v>
      </c>
      <c r="DL55" s="443">
        <f t="shared" si="106"/>
        <v>0</v>
      </c>
      <c r="DN55" s="442">
        <f>IF('2. START'!$C$14&gt;0,(AT55/(1+$AA55))*(1+'2. START'!$C$14),AT55)</f>
        <v>0</v>
      </c>
      <c r="DO55" s="442">
        <f>IF('2. START'!$C$14&gt;0,(AU55/(1+$AA55))*(1+'2. START'!$C$14),AU55)</f>
        <v>0</v>
      </c>
      <c r="DP55" s="442">
        <f>IF('2. START'!$C$14&gt;0,(AV55/(1+$AA55))*(1+'2. START'!$C$14),AV55)</f>
        <v>0</v>
      </c>
      <c r="DQ55" s="442">
        <f>IF('2. START'!$C$14&gt;0,(AW55/(1+$AA55))*(1+'2. START'!$C$14),AW55)</f>
        <v>0</v>
      </c>
      <c r="DR55" s="442">
        <f>IF('2. START'!$C$14&gt;0,(AX55/(1+$AA55))*(1+'2. START'!$C$14),AX55)</f>
        <v>0</v>
      </c>
      <c r="DS55" s="442">
        <f>IF('2. START'!$C$14&gt;0,(AY55/(1+$AA55))*(1+'2. START'!$C$14),AY55)</f>
        <v>0</v>
      </c>
      <c r="DT55" s="442">
        <f>IF('2. START'!$C$14&gt;0,(AZ55/(1+$AA55))*(1+'2. START'!$C$14),AZ55)</f>
        <v>0</v>
      </c>
      <c r="DU55" s="442">
        <f>IF('2. START'!$C$14&gt;0,(BA55/(1+$AA55))*(1+'2. START'!$C$14),BA55)</f>
        <v>0</v>
      </c>
      <c r="DV55" s="442">
        <f>IF('2. START'!$C$14&gt;0,(BB55/(1+$AA55))*(1+'2. START'!$C$14),BB55)</f>
        <v>0</v>
      </c>
      <c r="DW55" s="442">
        <f>IF('2. START'!$C$14&gt;0,(BC55/(1+$AA55))*(1+'2. START'!$C$14),BC55)</f>
        <v>0</v>
      </c>
      <c r="DX55" s="443">
        <f t="shared" si="107"/>
        <v>0</v>
      </c>
      <c r="DZ55" s="442">
        <f>IF('2. START'!$C$11="NO",(IF('2. START'!$C$14&gt;0,(DN55*$AD55),(AT55*$AD55))),(BR55+CP55))</f>
        <v>0</v>
      </c>
      <c r="EA55" s="442">
        <f>IF('2. START'!$C$11="NO",(IF('2. START'!$C$14&gt;0,(DO55*$AD55),(AU55*$AD55))),(BS55+CQ55))</f>
        <v>0</v>
      </c>
      <c r="EB55" s="442">
        <f>IF('2. START'!$C$11="NO",(IF('2. START'!$C$14&gt;0,(DP55*$AD55),(AV55*$AD55))),(BT55+CR55))</f>
        <v>0</v>
      </c>
      <c r="EC55" s="442">
        <f>IF('2. START'!$C$11="NO",(IF('2. START'!$C$14&gt;0,(DQ55*$AD55),(AW55*$AD55))),(BU55+CS55))</f>
        <v>0</v>
      </c>
      <c r="ED55" s="442">
        <f>IF('2. START'!$C$11="NO",(IF('2. START'!$C$14&gt;0,(DR55*$AD55),(AX55*$AD55))),(BV55+CT55))</f>
        <v>0</v>
      </c>
      <c r="EE55" s="442">
        <f>IF('2. START'!$C$11="NO",(IF('2. START'!$C$14&gt;0,(DS55*$AD55),(AY55*$AD55))),(BW55+CU55))</f>
        <v>0</v>
      </c>
      <c r="EF55" s="442">
        <f>IF('2. START'!$C$11="NO",(IF('2. START'!$C$14&gt;0,(DT55*$AD55),(AZ55*$AD55))),(BX55+CV55))</f>
        <v>0</v>
      </c>
      <c r="EG55" s="442">
        <f>IF('2. START'!$C$11="NO",(IF('2. START'!$C$14&gt;0,(DU55*$AD55),(BA55*$AD55))),(BY55+CW55))</f>
        <v>0</v>
      </c>
      <c r="EH55" s="442">
        <f>IF('2. START'!$C$11="NO",(IF('2. START'!$C$14&gt;0,(DV55*$AD55),(BB55*$AD55))),(BZ55+CX55))</f>
        <v>0</v>
      </c>
      <c r="EI55" s="442">
        <f>IF('2. START'!$C$11="NO",(IF('2. START'!$C$14&gt;0,(DW55*$AD55),(BC55*$AD55))),(CA55+CY55))</f>
        <v>0</v>
      </c>
      <c r="EJ55" s="443">
        <f t="shared" si="108"/>
        <v>0</v>
      </c>
      <c r="EL55" s="442">
        <f>(BR55+CP55-DZ55)+IF('2. START'!$C$14&gt;0,AT55-DN55,0)</f>
        <v>0</v>
      </c>
      <c r="EM55" s="442">
        <f>(BS55+CQ55-EA55)+IF('2. START'!$C$14&gt;0,AU55-DO55,0)</f>
        <v>0</v>
      </c>
      <c r="EN55" s="442">
        <f>(BT55+CR55-EB55)+IF('2. START'!$C$14&gt;0,AV55-DP55,0)</f>
        <v>0</v>
      </c>
      <c r="EO55" s="442">
        <f>(BU55+CS55-EC55)+IF('2. START'!$C$14&gt;0,AW55-DQ55,0)</f>
        <v>0</v>
      </c>
      <c r="EP55" s="442">
        <f>(BV55+CT55-ED55)+IF('2. START'!$C$14&gt;0,AX55-DR55,0)</f>
        <v>0</v>
      </c>
      <c r="EQ55" s="442">
        <f>(BW55+CU55-EE55)+IF('2. START'!$C$14&gt;0,AY55-DS55,0)</f>
        <v>0</v>
      </c>
      <c r="ER55" s="442">
        <f>(BX55+CV55-EF55)+IF('2. START'!$C$14&gt;0,AZ55-DT55,0)</f>
        <v>0</v>
      </c>
      <c r="ES55" s="442">
        <f>(BY55+CW55-EG55)+IF('2. START'!$C$14&gt;0,BA55-DU55,0)</f>
        <v>0</v>
      </c>
      <c r="ET55" s="442">
        <f>(BZ55+CX55-EH55)+IF('2. START'!$C$14&gt;0,BB55-DV55,0)</f>
        <v>0</v>
      </c>
      <c r="EU55" s="442">
        <f>(CA55+CY55-EI55)+IF('2. START'!$C$14&gt;0,BC55-DW55,0)</f>
        <v>0</v>
      </c>
      <c r="EV55" s="443">
        <f t="shared" si="109"/>
        <v>0</v>
      </c>
      <c r="EX55" s="442">
        <f t="shared" si="110"/>
        <v>0</v>
      </c>
      <c r="EY55" s="442">
        <f t="shared" si="111"/>
        <v>0</v>
      </c>
      <c r="EZ55" s="442">
        <f t="shared" si="112"/>
        <v>0</v>
      </c>
      <c r="FA55" s="442">
        <f t="shared" si="113"/>
        <v>0</v>
      </c>
      <c r="FB55" s="442">
        <f t="shared" si="114"/>
        <v>0</v>
      </c>
      <c r="FC55" s="442">
        <f t="shared" si="115"/>
        <v>0</v>
      </c>
      <c r="FD55" s="442">
        <f t="shared" si="116"/>
        <v>0</v>
      </c>
      <c r="FE55" s="442">
        <f t="shared" si="117"/>
        <v>0</v>
      </c>
      <c r="FF55" s="442">
        <f t="shared" si="118"/>
        <v>0</v>
      </c>
      <c r="FG55" s="442">
        <f t="shared" si="119"/>
        <v>0</v>
      </c>
      <c r="FH55" s="443">
        <f t="shared" si="120"/>
        <v>0</v>
      </c>
      <c r="FJ55" s="442">
        <f t="shared" si="121"/>
        <v>0</v>
      </c>
      <c r="FK55" s="442">
        <f t="shared" si="122"/>
        <v>0</v>
      </c>
      <c r="FL55" s="442">
        <f t="shared" si="123"/>
        <v>0</v>
      </c>
      <c r="FM55" s="442">
        <f t="shared" si="124"/>
        <v>0</v>
      </c>
      <c r="FN55" s="442">
        <f t="shared" si="125"/>
        <v>0</v>
      </c>
      <c r="FO55" s="442">
        <f t="shared" si="126"/>
        <v>0</v>
      </c>
      <c r="FP55" s="442">
        <f t="shared" si="127"/>
        <v>0</v>
      </c>
      <c r="FQ55" s="442">
        <f t="shared" si="128"/>
        <v>0</v>
      </c>
      <c r="FR55" s="442">
        <f t="shared" si="129"/>
        <v>0</v>
      </c>
      <c r="FS55" s="442">
        <f t="shared" si="130"/>
        <v>0</v>
      </c>
      <c r="FT55" s="443">
        <f t="shared" si="131"/>
        <v>0</v>
      </c>
    </row>
    <row r="56" spans="2:176" s="270" customFormat="1" ht="15" customHeight="1" x14ac:dyDescent="0.25">
      <c r="B56" s="446" t="str">
        <f>'2. START'!C$7</f>
        <v>100GEM</v>
      </c>
      <c r="C56" s="469"/>
      <c r="D56" s="589"/>
      <c r="E56" s="544">
        <v>0</v>
      </c>
      <c r="F56" s="448"/>
      <c r="G56" s="449"/>
      <c r="H56" s="449"/>
      <c r="I56" s="449"/>
      <c r="J56" s="449"/>
      <c r="K56" s="449"/>
      <c r="L56" s="449"/>
      <c r="M56" s="449"/>
      <c r="N56" s="449"/>
      <c r="O56" s="449"/>
      <c r="P56" s="449"/>
      <c r="Q56" s="546">
        <f>SUMIF('3. PARTNER'!$B$13:$B$80,$B56,'3. PARTNER'!$F$13:$F$80)</f>
        <v>0.02</v>
      </c>
      <c r="R56" s="450">
        <f t="shared" si="134"/>
        <v>0.02</v>
      </c>
      <c r="S56" s="450">
        <f t="shared" si="134"/>
        <v>0.02</v>
      </c>
      <c r="T56" s="450">
        <f t="shared" si="134"/>
        <v>0.02</v>
      </c>
      <c r="U56" s="450">
        <f t="shared" si="134"/>
        <v>0.02</v>
      </c>
      <c r="V56" s="450">
        <f t="shared" si="134"/>
        <v>0.02</v>
      </c>
      <c r="W56" s="450">
        <f t="shared" si="134"/>
        <v>0.02</v>
      </c>
      <c r="X56" s="450">
        <f t="shared" si="134"/>
        <v>0.02</v>
      </c>
      <c r="Y56" s="450">
        <f t="shared" si="134"/>
        <v>0.02</v>
      </c>
      <c r="Z56" s="450">
        <f t="shared" si="134"/>
        <v>0.02</v>
      </c>
      <c r="AA56" s="451">
        <f>SUMIF('3. PARTNER'!B$13:B$80,B56,'3. PARTNER'!E$13:E$80)</f>
        <v>0.5595</v>
      </c>
      <c r="AB56" s="452">
        <f>IF('2. START'!$C$20="UTB",(SUMIF('3. PARTNER'!B$13:B$80,B56,'3. PARTNER'!K$13:K$80))+(SUMIF('3. PARTNER'!B$13:B$80,B56,'3. PARTNER'!M$13:M$80)),(SUMIF('3. PARTNER'!B$13:B$80,B56,'3. PARTNER'!G$13:G$80))+(SUMIF('3. PARTNER'!B$13:B$80,B56,'3. PARTNER'!I$13:I$80)))</f>
        <v>0.16000843770704321</v>
      </c>
      <c r="AC56" s="452">
        <f>IF('2. START'!$C$20="UTB",(SUMIF('3. PARTNER'!B$13:B$80,B56,'3. PARTNER'!L$13:L$80))+(SUMIF('3. PARTNER'!B$13:B$80,B56,'3. PARTNER'!N$13:N$80)),(SUMIF('3. PARTNER'!B$13:B$80,B56,'3. PARTNER'!H$13:H$80))+(SUMIF('3. PARTNER'!B$13:B$80,B56,'3. PARTNER'!J$13:J$80)))</f>
        <v>0</v>
      </c>
      <c r="AD56" s="452">
        <f>IF('2. START'!C$11="NO",'2. START'!C$12,0)</f>
        <v>0</v>
      </c>
      <c r="AE56" s="453">
        <f t="shared" si="98"/>
        <v>0</v>
      </c>
      <c r="AF56" s="453">
        <f t="shared" si="99"/>
        <v>0</v>
      </c>
      <c r="AG56" s="454"/>
      <c r="AH56" s="455">
        <f t="shared" si="135"/>
        <v>0</v>
      </c>
      <c r="AI56" s="455">
        <f t="shared" si="136"/>
        <v>0</v>
      </c>
      <c r="AJ56" s="455">
        <f t="shared" si="137"/>
        <v>0</v>
      </c>
      <c r="AK56" s="455">
        <f t="shared" si="138"/>
        <v>0</v>
      </c>
      <c r="AL56" s="455">
        <f t="shared" si="139"/>
        <v>0</v>
      </c>
      <c r="AM56" s="455">
        <f t="shared" si="140"/>
        <v>0</v>
      </c>
      <c r="AN56" s="455">
        <f t="shared" si="141"/>
        <v>0</v>
      </c>
      <c r="AO56" s="455">
        <f t="shared" si="142"/>
        <v>0</v>
      </c>
      <c r="AP56" s="455">
        <f t="shared" si="143"/>
        <v>0</v>
      </c>
      <c r="AQ56" s="455">
        <f t="shared" si="144"/>
        <v>0</v>
      </c>
      <c r="AR56" s="456">
        <f t="shared" si="100"/>
        <v>0</v>
      </c>
      <c r="AS56" s="457"/>
      <c r="AT56" s="455">
        <f t="shared" si="145"/>
        <v>0</v>
      </c>
      <c r="AU56" s="455">
        <f t="shared" si="146"/>
        <v>0</v>
      </c>
      <c r="AV56" s="455">
        <f t="shared" si="147"/>
        <v>0</v>
      </c>
      <c r="AW56" s="455">
        <f t="shared" si="148"/>
        <v>0</v>
      </c>
      <c r="AX56" s="455">
        <f t="shared" si="149"/>
        <v>0</v>
      </c>
      <c r="AY56" s="455">
        <f t="shared" si="150"/>
        <v>0</v>
      </c>
      <c r="AZ56" s="455">
        <f t="shared" si="151"/>
        <v>0</v>
      </c>
      <c r="BA56" s="455">
        <f t="shared" si="152"/>
        <v>0</v>
      </c>
      <c r="BB56" s="455">
        <f t="shared" si="153"/>
        <v>0</v>
      </c>
      <c r="BC56" s="455">
        <f t="shared" si="154"/>
        <v>0</v>
      </c>
      <c r="BD56" s="456">
        <f t="shared" si="101"/>
        <v>0</v>
      </c>
      <c r="BE56" s="457"/>
      <c r="BF56" s="455">
        <f t="shared" si="155"/>
        <v>0</v>
      </c>
      <c r="BG56" s="455">
        <f t="shared" si="156"/>
        <v>0</v>
      </c>
      <c r="BH56" s="455">
        <f t="shared" si="157"/>
        <v>0</v>
      </c>
      <c r="BI56" s="455">
        <f t="shared" si="158"/>
        <v>0</v>
      </c>
      <c r="BJ56" s="455">
        <f t="shared" si="159"/>
        <v>0</v>
      </c>
      <c r="BK56" s="455">
        <f t="shared" si="160"/>
        <v>0</v>
      </c>
      <c r="BL56" s="455">
        <f t="shared" si="161"/>
        <v>0</v>
      </c>
      <c r="BM56" s="455">
        <f t="shared" si="162"/>
        <v>0</v>
      </c>
      <c r="BN56" s="455">
        <f t="shared" si="163"/>
        <v>0</v>
      </c>
      <c r="BO56" s="455">
        <f t="shared" si="164"/>
        <v>0</v>
      </c>
      <c r="BP56" s="456">
        <f t="shared" si="102"/>
        <v>0</v>
      </c>
      <c r="BQ56" s="463"/>
      <c r="BR56" s="459">
        <f t="shared" si="165"/>
        <v>0</v>
      </c>
      <c r="BS56" s="459">
        <f t="shared" si="166"/>
        <v>0</v>
      </c>
      <c r="BT56" s="459">
        <f t="shared" si="167"/>
        <v>0</v>
      </c>
      <c r="BU56" s="459">
        <f t="shared" si="168"/>
        <v>0</v>
      </c>
      <c r="BV56" s="459">
        <f t="shared" si="169"/>
        <v>0</v>
      </c>
      <c r="BW56" s="459">
        <f t="shared" si="170"/>
        <v>0</v>
      </c>
      <c r="BX56" s="459">
        <f t="shared" si="171"/>
        <v>0</v>
      </c>
      <c r="BY56" s="459">
        <f t="shared" si="172"/>
        <v>0</v>
      </c>
      <c r="BZ56" s="459">
        <f t="shared" si="173"/>
        <v>0</v>
      </c>
      <c r="CA56" s="459">
        <f t="shared" si="174"/>
        <v>0</v>
      </c>
      <c r="CB56" s="460">
        <f t="shared" si="103"/>
        <v>0</v>
      </c>
      <c r="CC56" s="463"/>
      <c r="CD56" s="462">
        <f t="shared" si="175"/>
        <v>0</v>
      </c>
      <c r="CE56" s="462">
        <f t="shared" si="176"/>
        <v>0</v>
      </c>
      <c r="CF56" s="462">
        <f t="shared" si="177"/>
        <v>0</v>
      </c>
      <c r="CG56" s="462">
        <f t="shared" si="178"/>
        <v>0</v>
      </c>
      <c r="CH56" s="462">
        <f t="shared" si="179"/>
        <v>0</v>
      </c>
      <c r="CI56" s="462">
        <f t="shared" si="180"/>
        <v>0</v>
      </c>
      <c r="CJ56" s="462">
        <f t="shared" si="181"/>
        <v>0</v>
      </c>
      <c r="CK56" s="462">
        <f t="shared" si="182"/>
        <v>0</v>
      </c>
      <c r="CL56" s="462">
        <f t="shared" si="183"/>
        <v>0</v>
      </c>
      <c r="CM56" s="462">
        <f t="shared" si="184"/>
        <v>0</v>
      </c>
      <c r="CN56" s="460">
        <f t="shared" si="104"/>
        <v>0</v>
      </c>
      <c r="CO56" s="463"/>
      <c r="CP56" s="459">
        <f t="shared" si="185"/>
        <v>0</v>
      </c>
      <c r="CQ56" s="459">
        <f t="shared" si="186"/>
        <v>0</v>
      </c>
      <c r="CR56" s="459">
        <f t="shared" si="187"/>
        <v>0</v>
      </c>
      <c r="CS56" s="459">
        <f t="shared" si="188"/>
        <v>0</v>
      </c>
      <c r="CT56" s="459">
        <f t="shared" si="189"/>
        <v>0</v>
      </c>
      <c r="CU56" s="459">
        <f t="shared" si="190"/>
        <v>0</v>
      </c>
      <c r="CV56" s="459">
        <f t="shared" si="191"/>
        <v>0</v>
      </c>
      <c r="CW56" s="459">
        <f t="shared" si="192"/>
        <v>0</v>
      </c>
      <c r="CX56" s="459">
        <f t="shared" si="193"/>
        <v>0</v>
      </c>
      <c r="CY56" s="459">
        <f t="shared" si="194"/>
        <v>0</v>
      </c>
      <c r="CZ56" s="460">
        <f t="shared" si="105"/>
        <v>0</v>
      </c>
      <c r="DA56" s="463"/>
      <c r="DB56" s="459">
        <f t="shared" si="195"/>
        <v>0</v>
      </c>
      <c r="DC56" s="459">
        <f t="shared" si="196"/>
        <v>0</v>
      </c>
      <c r="DD56" s="459">
        <f t="shared" si="197"/>
        <v>0</v>
      </c>
      <c r="DE56" s="459">
        <f t="shared" si="198"/>
        <v>0</v>
      </c>
      <c r="DF56" s="459">
        <f t="shared" si="199"/>
        <v>0</v>
      </c>
      <c r="DG56" s="459">
        <f t="shared" si="200"/>
        <v>0</v>
      </c>
      <c r="DH56" s="459">
        <f t="shared" si="201"/>
        <v>0</v>
      </c>
      <c r="DI56" s="459">
        <f t="shared" si="202"/>
        <v>0</v>
      </c>
      <c r="DJ56" s="459">
        <f t="shared" si="203"/>
        <v>0</v>
      </c>
      <c r="DK56" s="459">
        <f t="shared" si="204"/>
        <v>0</v>
      </c>
      <c r="DL56" s="460">
        <f t="shared" si="106"/>
        <v>0</v>
      </c>
      <c r="DM56" s="463"/>
      <c r="DN56" s="442">
        <f>IF('2. START'!$C$14&gt;0,(AT56/(1+$AA56))*(1+'2. START'!$C$14),AT56)</f>
        <v>0</v>
      </c>
      <c r="DO56" s="442">
        <f>IF('2. START'!$C$14&gt;0,(AU56/(1+$AA56))*(1+'2. START'!$C$14),AU56)</f>
        <v>0</v>
      </c>
      <c r="DP56" s="442">
        <f>IF('2. START'!$C$14&gt;0,(AV56/(1+$AA56))*(1+'2. START'!$C$14),AV56)</f>
        <v>0</v>
      </c>
      <c r="DQ56" s="442">
        <f>IF('2. START'!$C$14&gt;0,(AW56/(1+$AA56))*(1+'2. START'!$C$14),AW56)</f>
        <v>0</v>
      </c>
      <c r="DR56" s="442">
        <f>IF('2. START'!$C$14&gt;0,(AX56/(1+$AA56))*(1+'2. START'!$C$14),AX56)</f>
        <v>0</v>
      </c>
      <c r="DS56" s="442">
        <f>IF('2. START'!$C$14&gt;0,(AY56/(1+$AA56))*(1+'2. START'!$C$14),AY56)</f>
        <v>0</v>
      </c>
      <c r="DT56" s="442">
        <f>IF('2. START'!$C$14&gt;0,(AZ56/(1+$AA56))*(1+'2. START'!$C$14),AZ56)</f>
        <v>0</v>
      </c>
      <c r="DU56" s="442">
        <f>IF('2. START'!$C$14&gt;0,(BA56/(1+$AA56))*(1+'2. START'!$C$14),BA56)</f>
        <v>0</v>
      </c>
      <c r="DV56" s="442">
        <f>IF('2. START'!$C$14&gt;0,(BB56/(1+$AA56))*(1+'2. START'!$C$14),BB56)</f>
        <v>0</v>
      </c>
      <c r="DW56" s="442">
        <f>IF('2. START'!$C$14&gt;0,(BC56/(1+$AA56))*(1+'2. START'!$C$14),BC56)</f>
        <v>0</v>
      </c>
      <c r="DX56" s="460">
        <f t="shared" si="107"/>
        <v>0</v>
      </c>
      <c r="DY56" s="463"/>
      <c r="DZ56" s="459">
        <f>IF('2. START'!$C$11="NO",(IF('2. START'!$C$14&gt;0,(DN56*$AD56),(AT56*$AD56))),(BR56+CP56))</f>
        <v>0</v>
      </c>
      <c r="EA56" s="459">
        <f>IF('2. START'!$C$11="NO",(IF('2. START'!$C$14&gt;0,(DO56*$AD56),(AU56*$AD56))),(BS56+CQ56))</f>
        <v>0</v>
      </c>
      <c r="EB56" s="459">
        <f>IF('2. START'!$C$11="NO",(IF('2. START'!$C$14&gt;0,(DP56*$AD56),(AV56*$AD56))),(BT56+CR56))</f>
        <v>0</v>
      </c>
      <c r="EC56" s="459">
        <f>IF('2. START'!$C$11="NO",(IF('2. START'!$C$14&gt;0,(DQ56*$AD56),(AW56*$AD56))),(BU56+CS56))</f>
        <v>0</v>
      </c>
      <c r="ED56" s="459">
        <f>IF('2. START'!$C$11="NO",(IF('2. START'!$C$14&gt;0,(DR56*$AD56),(AX56*$AD56))),(BV56+CT56))</f>
        <v>0</v>
      </c>
      <c r="EE56" s="459">
        <f>IF('2. START'!$C$11="NO",(IF('2. START'!$C$14&gt;0,(DS56*$AD56),(AY56*$AD56))),(BW56+CU56))</f>
        <v>0</v>
      </c>
      <c r="EF56" s="459">
        <f>IF('2. START'!$C$11="NO",(IF('2. START'!$C$14&gt;0,(DT56*$AD56),(AZ56*$AD56))),(BX56+CV56))</f>
        <v>0</v>
      </c>
      <c r="EG56" s="459">
        <f>IF('2. START'!$C$11="NO",(IF('2. START'!$C$14&gt;0,(DU56*$AD56),(BA56*$AD56))),(BY56+CW56))</f>
        <v>0</v>
      </c>
      <c r="EH56" s="459">
        <f>IF('2. START'!$C$11="NO",(IF('2. START'!$C$14&gt;0,(DV56*$AD56),(BB56*$AD56))),(BZ56+CX56))</f>
        <v>0</v>
      </c>
      <c r="EI56" s="459">
        <f>IF('2. START'!$C$11="NO",(IF('2. START'!$C$14&gt;0,(DW56*$AD56),(BC56*$AD56))),(CA56+CY56))</f>
        <v>0</v>
      </c>
      <c r="EJ56" s="460">
        <f t="shared" si="108"/>
        <v>0</v>
      </c>
      <c r="EK56" s="463"/>
      <c r="EL56" s="459">
        <f>(BR56+CP56-DZ56)+IF('2. START'!$C$14&gt;0,AT56-DN56,0)</f>
        <v>0</v>
      </c>
      <c r="EM56" s="459">
        <f>(BS56+CQ56-EA56)+IF('2. START'!$C$14&gt;0,AU56-DO56,0)</f>
        <v>0</v>
      </c>
      <c r="EN56" s="459">
        <f>(BT56+CR56-EB56)+IF('2. START'!$C$14&gt;0,AV56-DP56,0)</f>
        <v>0</v>
      </c>
      <c r="EO56" s="459">
        <f>(BU56+CS56-EC56)+IF('2. START'!$C$14&gt;0,AW56-DQ56,0)</f>
        <v>0</v>
      </c>
      <c r="EP56" s="459">
        <f>(BV56+CT56-ED56)+IF('2. START'!$C$14&gt;0,AX56-DR56,0)</f>
        <v>0</v>
      </c>
      <c r="EQ56" s="459">
        <f>(BW56+CU56-EE56)+IF('2. START'!$C$14&gt;0,AY56-DS56,0)</f>
        <v>0</v>
      </c>
      <c r="ER56" s="459">
        <f>(BX56+CV56-EF56)+IF('2. START'!$C$14&gt;0,AZ56-DT56,0)</f>
        <v>0</v>
      </c>
      <c r="ES56" s="459">
        <f>(BY56+CW56-EG56)+IF('2. START'!$C$14&gt;0,BA56-DU56,0)</f>
        <v>0</v>
      </c>
      <c r="ET56" s="459">
        <f>(BZ56+CX56-EH56)+IF('2. START'!$C$14&gt;0,BB56-DV56,0)</f>
        <v>0</v>
      </c>
      <c r="EU56" s="459">
        <f>(CA56+CY56-EI56)+IF('2. START'!$C$14&gt;0,BC56-DW56,0)</f>
        <v>0</v>
      </c>
      <c r="EV56" s="460">
        <f t="shared" si="109"/>
        <v>0</v>
      </c>
      <c r="EW56" s="463"/>
      <c r="EX56" s="459">
        <f t="shared" si="110"/>
        <v>0</v>
      </c>
      <c r="EY56" s="459">
        <f t="shared" si="111"/>
        <v>0</v>
      </c>
      <c r="EZ56" s="459">
        <f t="shared" si="112"/>
        <v>0</v>
      </c>
      <c r="FA56" s="459">
        <f t="shared" si="113"/>
        <v>0</v>
      </c>
      <c r="FB56" s="459">
        <f t="shared" si="114"/>
        <v>0</v>
      </c>
      <c r="FC56" s="459">
        <f t="shared" si="115"/>
        <v>0</v>
      </c>
      <c r="FD56" s="459">
        <f t="shared" si="116"/>
        <v>0</v>
      </c>
      <c r="FE56" s="459">
        <f t="shared" si="117"/>
        <v>0</v>
      </c>
      <c r="FF56" s="459">
        <f t="shared" si="118"/>
        <v>0</v>
      </c>
      <c r="FG56" s="459">
        <f t="shared" si="119"/>
        <v>0</v>
      </c>
      <c r="FH56" s="460">
        <f t="shared" si="120"/>
        <v>0</v>
      </c>
      <c r="FI56" s="463"/>
      <c r="FJ56" s="459">
        <f t="shared" si="121"/>
        <v>0</v>
      </c>
      <c r="FK56" s="459">
        <f t="shared" si="122"/>
        <v>0</v>
      </c>
      <c r="FL56" s="459">
        <f t="shared" si="123"/>
        <v>0</v>
      </c>
      <c r="FM56" s="459">
        <f t="shared" si="124"/>
        <v>0</v>
      </c>
      <c r="FN56" s="459">
        <f t="shared" si="125"/>
        <v>0</v>
      </c>
      <c r="FO56" s="459">
        <f t="shared" si="126"/>
        <v>0</v>
      </c>
      <c r="FP56" s="459">
        <f t="shared" si="127"/>
        <v>0</v>
      </c>
      <c r="FQ56" s="459">
        <f t="shared" si="128"/>
        <v>0</v>
      </c>
      <c r="FR56" s="459">
        <f t="shared" si="129"/>
        <v>0</v>
      </c>
      <c r="FS56" s="459">
        <f t="shared" si="130"/>
        <v>0</v>
      </c>
      <c r="FT56" s="460">
        <f t="shared" si="131"/>
        <v>0</v>
      </c>
    </row>
    <row r="57" spans="2:176" s="270" customFormat="1" ht="15" customHeight="1" x14ac:dyDescent="0.25">
      <c r="B57" s="464" t="str">
        <f>'2. START'!C$7</f>
        <v>100GEM</v>
      </c>
      <c r="C57" s="470"/>
      <c r="D57" s="590"/>
      <c r="E57" s="514">
        <v>0</v>
      </c>
      <c r="F57" s="467"/>
      <c r="G57" s="432"/>
      <c r="H57" s="432"/>
      <c r="I57" s="432"/>
      <c r="J57" s="432"/>
      <c r="K57" s="432"/>
      <c r="L57" s="432"/>
      <c r="M57" s="432"/>
      <c r="N57" s="432"/>
      <c r="O57" s="432"/>
      <c r="P57" s="432"/>
      <c r="Q57" s="545">
        <f>SUMIF('3. PARTNER'!$B$13:$B$80,$B57,'3. PARTNER'!$F$13:$F$80)</f>
        <v>0.02</v>
      </c>
      <c r="R57" s="466">
        <f t="shared" ref="R57:Z66" si="205">$Q57</f>
        <v>0.02</v>
      </c>
      <c r="S57" s="466">
        <f t="shared" si="205"/>
        <v>0.02</v>
      </c>
      <c r="T57" s="466">
        <f t="shared" si="205"/>
        <v>0.02</v>
      </c>
      <c r="U57" s="466">
        <f t="shared" si="205"/>
        <v>0.02</v>
      </c>
      <c r="V57" s="466">
        <f t="shared" si="205"/>
        <v>0.02</v>
      </c>
      <c r="W57" s="466">
        <f t="shared" si="205"/>
        <v>0.02</v>
      </c>
      <c r="X57" s="466">
        <f t="shared" si="205"/>
        <v>0.02</v>
      </c>
      <c r="Y57" s="466">
        <f t="shared" si="205"/>
        <v>0.02</v>
      </c>
      <c r="Z57" s="466">
        <f t="shared" si="205"/>
        <v>0.02</v>
      </c>
      <c r="AA57" s="434">
        <f>SUMIF('3. PARTNER'!B$13:B$80,B57,'3. PARTNER'!E$13:E$80)</f>
        <v>0.5595</v>
      </c>
      <c r="AB57" s="435">
        <f>IF('2. START'!$C$20="UTB",(SUMIF('3. PARTNER'!B$13:B$80,B57,'3. PARTNER'!K$13:K$80))+(SUMIF('3. PARTNER'!B$13:B$80,B57,'3. PARTNER'!M$13:M$80)),(SUMIF('3. PARTNER'!B$13:B$80,B57,'3. PARTNER'!G$13:G$80))+(SUMIF('3. PARTNER'!B$13:B$80,B57,'3. PARTNER'!I$13:I$80)))</f>
        <v>0.16000843770704321</v>
      </c>
      <c r="AC57" s="435">
        <f>IF('2. START'!$C$20="UTB",(SUMIF('3. PARTNER'!B$13:B$80,B57,'3. PARTNER'!L$13:L$80))+(SUMIF('3. PARTNER'!B$13:B$80,B57,'3. PARTNER'!N$13:N$80)),(SUMIF('3. PARTNER'!B$13:B$80,B57,'3. PARTNER'!H$13:H$80))+(SUMIF('3. PARTNER'!B$13:B$80,B57,'3. PARTNER'!J$13:J$80)))</f>
        <v>0</v>
      </c>
      <c r="AD57" s="435">
        <f>IF('2. START'!C$11="NO",'2. START'!C$12,0)</f>
        <v>0</v>
      </c>
      <c r="AE57" s="436">
        <f t="shared" si="98"/>
        <v>0</v>
      </c>
      <c r="AF57" s="436">
        <f t="shared" si="99"/>
        <v>0</v>
      </c>
      <c r="AG57" s="437"/>
      <c r="AH57" s="438">
        <f t="shared" si="135"/>
        <v>0</v>
      </c>
      <c r="AI57" s="438">
        <f t="shared" si="136"/>
        <v>0</v>
      </c>
      <c r="AJ57" s="438">
        <f t="shared" si="137"/>
        <v>0</v>
      </c>
      <c r="AK57" s="438">
        <f t="shared" si="138"/>
        <v>0</v>
      </c>
      <c r="AL57" s="438">
        <f t="shared" si="139"/>
        <v>0</v>
      </c>
      <c r="AM57" s="438">
        <f t="shared" si="140"/>
        <v>0</v>
      </c>
      <c r="AN57" s="438">
        <f t="shared" si="141"/>
        <v>0</v>
      </c>
      <c r="AO57" s="438">
        <f t="shared" si="142"/>
        <v>0</v>
      </c>
      <c r="AP57" s="438">
        <f t="shared" si="143"/>
        <v>0</v>
      </c>
      <c r="AQ57" s="438">
        <f t="shared" si="144"/>
        <v>0</v>
      </c>
      <c r="AR57" s="439">
        <f t="shared" si="100"/>
        <v>0</v>
      </c>
      <c r="AS57" s="440"/>
      <c r="AT57" s="438">
        <f t="shared" si="145"/>
        <v>0</v>
      </c>
      <c r="AU57" s="438">
        <f t="shared" si="146"/>
        <v>0</v>
      </c>
      <c r="AV57" s="438">
        <f t="shared" si="147"/>
        <v>0</v>
      </c>
      <c r="AW57" s="438">
        <f t="shared" si="148"/>
        <v>0</v>
      </c>
      <c r="AX57" s="438">
        <f t="shared" si="149"/>
        <v>0</v>
      </c>
      <c r="AY57" s="438">
        <f t="shared" si="150"/>
        <v>0</v>
      </c>
      <c r="AZ57" s="438">
        <f t="shared" si="151"/>
        <v>0</v>
      </c>
      <c r="BA57" s="438">
        <f t="shared" si="152"/>
        <v>0</v>
      </c>
      <c r="BB57" s="438">
        <f t="shared" si="153"/>
        <v>0</v>
      </c>
      <c r="BC57" s="438">
        <f t="shared" si="154"/>
        <v>0</v>
      </c>
      <c r="BD57" s="439">
        <f t="shared" si="101"/>
        <v>0</v>
      </c>
      <c r="BE57" s="440"/>
      <c r="BF57" s="438">
        <f t="shared" si="155"/>
        <v>0</v>
      </c>
      <c r="BG57" s="438">
        <f t="shared" si="156"/>
        <v>0</v>
      </c>
      <c r="BH57" s="438">
        <f t="shared" si="157"/>
        <v>0</v>
      </c>
      <c r="BI57" s="438">
        <f t="shared" si="158"/>
        <v>0</v>
      </c>
      <c r="BJ57" s="438">
        <f t="shared" si="159"/>
        <v>0</v>
      </c>
      <c r="BK57" s="438">
        <f t="shared" si="160"/>
        <v>0</v>
      </c>
      <c r="BL57" s="438">
        <f t="shared" si="161"/>
        <v>0</v>
      </c>
      <c r="BM57" s="438">
        <f t="shared" si="162"/>
        <v>0</v>
      </c>
      <c r="BN57" s="438">
        <f t="shared" si="163"/>
        <v>0</v>
      </c>
      <c r="BO57" s="438">
        <f t="shared" si="164"/>
        <v>0</v>
      </c>
      <c r="BP57" s="439">
        <f t="shared" si="102"/>
        <v>0</v>
      </c>
      <c r="BR57" s="442">
        <f t="shared" si="165"/>
        <v>0</v>
      </c>
      <c r="BS57" s="442">
        <f t="shared" si="166"/>
        <v>0</v>
      </c>
      <c r="BT57" s="442">
        <f t="shared" si="167"/>
        <v>0</v>
      </c>
      <c r="BU57" s="442">
        <f t="shared" si="168"/>
        <v>0</v>
      </c>
      <c r="BV57" s="442">
        <f t="shared" si="169"/>
        <v>0</v>
      </c>
      <c r="BW57" s="442">
        <f t="shared" si="170"/>
        <v>0</v>
      </c>
      <c r="BX57" s="442">
        <f t="shared" si="171"/>
        <v>0</v>
      </c>
      <c r="BY57" s="442">
        <f t="shared" si="172"/>
        <v>0</v>
      </c>
      <c r="BZ57" s="442">
        <f t="shared" si="173"/>
        <v>0</v>
      </c>
      <c r="CA57" s="442">
        <f t="shared" si="174"/>
        <v>0</v>
      </c>
      <c r="CB57" s="443">
        <f t="shared" si="103"/>
        <v>0</v>
      </c>
      <c r="CD57" s="445">
        <f t="shared" si="175"/>
        <v>0</v>
      </c>
      <c r="CE57" s="445">
        <f t="shared" si="176"/>
        <v>0</v>
      </c>
      <c r="CF57" s="445">
        <f t="shared" si="177"/>
        <v>0</v>
      </c>
      <c r="CG57" s="445">
        <f t="shared" si="178"/>
        <v>0</v>
      </c>
      <c r="CH57" s="445">
        <f t="shared" si="179"/>
        <v>0</v>
      </c>
      <c r="CI57" s="445">
        <f t="shared" si="180"/>
        <v>0</v>
      </c>
      <c r="CJ57" s="445">
        <f t="shared" si="181"/>
        <v>0</v>
      </c>
      <c r="CK57" s="445">
        <f t="shared" si="182"/>
        <v>0</v>
      </c>
      <c r="CL57" s="445">
        <f t="shared" si="183"/>
        <v>0</v>
      </c>
      <c r="CM57" s="445">
        <f t="shared" si="184"/>
        <v>0</v>
      </c>
      <c r="CN57" s="443">
        <f t="shared" si="104"/>
        <v>0</v>
      </c>
      <c r="CP57" s="442">
        <f t="shared" si="185"/>
        <v>0</v>
      </c>
      <c r="CQ57" s="442">
        <f t="shared" si="186"/>
        <v>0</v>
      </c>
      <c r="CR57" s="442">
        <f t="shared" si="187"/>
        <v>0</v>
      </c>
      <c r="CS57" s="442">
        <f t="shared" si="188"/>
        <v>0</v>
      </c>
      <c r="CT57" s="442">
        <f t="shared" si="189"/>
        <v>0</v>
      </c>
      <c r="CU57" s="442">
        <f t="shared" si="190"/>
        <v>0</v>
      </c>
      <c r="CV57" s="442">
        <f t="shared" si="191"/>
        <v>0</v>
      </c>
      <c r="CW57" s="442">
        <f t="shared" si="192"/>
        <v>0</v>
      </c>
      <c r="CX57" s="442">
        <f t="shared" si="193"/>
        <v>0</v>
      </c>
      <c r="CY57" s="442">
        <f t="shared" si="194"/>
        <v>0</v>
      </c>
      <c r="CZ57" s="443">
        <f t="shared" si="105"/>
        <v>0</v>
      </c>
      <c r="DB57" s="442">
        <f t="shared" si="195"/>
        <v>0</v>
      </c>
      <c r="DC57" s="442">
        <f t="shared" si="196"/>
        <v>0</v>
      </c>
      <c r="DD57" s="442">
        <f t="shared" si="197"/>
        <v>0</v>
      </c>
      <c r="DE57" s="442">
        <f t="shared" si="198"/>
        <v>0</v>
      </c>
      <c r="DF57" s="442">
        <f t="shared" si="199"/>
        <v>0</v>
      </c>
      <c r="DG57" s="442">
        <f t="shared" si="200"/>
        <v>0</v>
      </c>
      <c r="DH57" s="442">
        <f t="shared" si="201"/>
        <v>0</v>
      </c>
      <c r="DI57" s="442">
        <f t="shared" si="202"/>
        <v>0</v>
      </c>
      <c r="DJ57" s="442">
        <f t="shared" si="203"/>
        <v>0</v>
      </c>
      <c r="DK57" s="442">
        <f t="shared" si="204"/>
        <v>0</v>
      </c>
      <c r="DL57" s="443">
        <f t="shared" si="106"/>
        <v>0</v>
      </c>
      <c r="DN57" s="442">
        <f>IF('2. START'!$C$14&gt;0,(AT57/(1+$AA57))*(1+'2. START'!$C$14),AT57)</f>
        <v>0</v>
      </c>
      <c r="DO57" s="442">
        <f>IF('2. START'!$C$14&gt;0,(AU57/(1+$AA57))*(1+'2. START'!$C$14),AU57)</f>
        <v>0</v>
      </c>
      <c r="DP57" s="442">
        <f>IF('2. START'!$C$14&gt;0,(AV57/(1+$AA57))*(1+'2. START'!$C$14),AV57)</f>
        <v>0</v>
      </c>
      <c r="DQ57" s="442">
        <f>IF('2. START'!$C$14&gt;0,(AW57/(1+$AA57))*(1+'2. START'!$C$14),AW57)</f>
        <v>0</v>
      </c>
      <c r="DR57" s="442">
        <f>IF('2. START'!$C$14&gt;0,(AX57/(1+$AA57))*(1+'2. START'!$C$14),AX57)</f>
        <v>0</v>
      </c>
      <c r="DS57" s="442">
        <f>IF('2. START'!$C$14&gt;0,(AY57/(1+$AA57))*(1+'2. START'!$C$14),AY57)</f>
        <v>0</v>
      </c>
      <c r="DT57" s="442">
        <f>IF('2. START'!$C$14&gt;0,(AZ57/(1+$AA57))*(1+'2. START'!$C$14),AZ57)</f>
        <v>0</v>
      </c>
      <c r="DU57" s="442">
        <f>IF('2. START'!$C$14&gt;0,(BA57/(1+$AA57))*(1+'2. START'!$C$14),BA57)</f>
        <v>0</v>
      </c>
      <c r="DV57" s="442">
        <f>IF('2. START'!$C$14&gt;0,(BB57/(1+$AA57))*(1+'2. START'!$C$14),BB57)</f>
        <v>0</v>
      </c>
      <c r="DW57" s="442">
        <f>IF('2. START'!$C$14&gt;0,(BC57/(1+$AA57))*(1+'2. START'!$C$14),BC57)</f>
        <v>0</v>
      </c>
      <c r="DX57" s="443">
        <f t="shared" si="107"/>
        <v>0</v>
      </c>
      <c r="DZ57" s="442">
        <f>IF('2. START'!$C$11="NO",(IF('2. START'!$C$14&gt;0,(DN57*$AD57),(AT57*$AD57))),(BR57+CP57))</f>
        <v>0</v>
      </c>
      <c r="EA57" s="442">
        <f>IF('2. START'!$C$11="NO",(IF('2. START'!$C$14&gt;0,(DO57*$AD57),(AU57*$AD57))),(BS57+CQ57))</f>
        <v>0</v>
      </c>
      <c r="EB57" s="442">
        <f>IF('2. START'!$C$11="NO",(IF('2. START'!$C$14&gt;0,(DP57*$AD57),(AV57*$AD57))),(BT57+CR57))</f>
        <v>0</v>
      </c>
      <c r="EC57" s="442">
        <f>IF('2. START'!$C$11="NO",(IF('2. START'!$C$14&gt;0,(DQ57*$AD57),(AW57*$AD57))),(BU57+CS57))</f>
        <v>0</v>
      </c>
      <c r="ED57" s="442">
        <f>IF('2. START'!$C$11="NO",(IF('2. START'!$C$14&gt;0,(DR57*$AD57),(AX57*$AD57))),(BV57+CT57))</f>
        <v>0</v>
      </c>
      <c r="EE57" s="442">
        <f>IF('2. START'!$C$11="NO",(IF('2. START'!$C$14&gt;0,(DS57*$AD57),(AY57*$AD57))),(BW57+CU57))</f>
        <v>0</v>
      </c>
      <c r="EF57" s="442">
        <f>IF('2. START'!$C$11="NO",(IF('2. START'!$C$14&gt;0,(DT57*$AD57),(AZ57*$AD57))),(BX57+CV57))</f>
        <v>0</v>
      </c>
      <c r="EG57" s="442">
        <f>IF('2. START'!$C$11="NO",(IF('2. START'!$C$14&gt;0,(DU57*$AD57),(BA57*$AD57))),(BY57+CW57))</f>
        <v>0</v>
      </c>
      <c r="EH57" s="442">
        <f>IF('2. START'!$C$11="NO",(IF('2. START'!$C$14&gt;0,(DV57*$AD57),(BB57*$AD57))),(BZ57+CX57))</f>
        <v>0</v>
      </c>
      <c r="EI57" s="442">
        <f>IF('2. START'!$C$11="NO",(IF('2. START'!$C$14&gt;0,(DW57*$AD57),(BC57*$AD57))),(CA57+CY57))</f>
        <v>0</v>
      </c>
      <c r="EJ57" s="443">
        <f t="shared" si="108"/>
        <v>0</v>
      </c>
      <c r="EL57" s="442">
        <f>(BR57+CP57-DZ57)+IF('2. START'!$C$14&gt;0,AT57-DN57,0)</f>
        <v>0</v>
      </c>
      <c r="EM57" s="442">
        <f>(BS57+CQ57-EA57)+IF('2. START'!$C$14&gt;0,AU57-DO57,0)</f>
        <v>0</v>
      </c>
      <c r="EN57" s="442">
        <f>(BT57+CR57-EB57)+IF('2. START'!$C$14&gt;0,AV57-DP57,0)</f>
        <v>0</v>
      </c>
      <c r="EO57" s="442">
        <f>(BU57+CS57-EC57)+IF('2. START'!$C$14&gt;0,AW57-DQ57,0)</f>
        <v>0</v>
      </c>
      <c r="EP57" s="442">
        <f>(BV57+CT57-ED57)+IF('2. START'!$C$14&gt;0,AX57-DR57,0)</f>
        <v>0</v>
      </c>
      <c r="EQ57" s="442">
        <f>(BW57+CU57-EE57)+IF('2. START'!$C$14&gt;0,AY57-DS57,0)</f>
        <v>0</v>
      </c>
      <c r="ER57" s="442">
        <f>(BX57+CV57-EF57)+IF('2. START'!$C$14&gt;0,AZ57-DT57,0)</f>
        <v>0</v>
      </c>
      <c r="ES57" s="442">
        <f>(BY57+CW57-EG57)+IF('2. START'!$C$14&gt;0,BA57-DU57,0)</f>
        <v>0</v>
      </c>
      <c r="ET57" s="442">
        <f>(BZ57+CX57-EH57)+IF('2. START'!$C$14&gt;0,BB57-DV57,0)</f>
        <v>0</v>
      </c>
      <c r="EU57" s="442">
        <f>(CA57+CY57-EI57)+IF('2. START'!$C$14&gt;0,BC57-DW57,0)</f>
        <v>0</v>
      </c>
      <c r="EV57" s="443">
        <f t="shared" si="109"/>
        <v>0</v>
      </c>
      <c r="EX57" s="442">
        <f t="shared" si="110"/>
        <v>0</v>
      </c>
      <c r="EY57" s="442">
        <f t="shared" si="111"/>
        <v>0</v>
      </c>
      <c r="EZ57" s="442">
        <f t="shared" si="112"/>
        <v>0</v>
      </c>
      <c r="FA57" s="442">
        <f t="shared" si="113"/>
        <v>0</v>
      </c>
      <c r="FB57" s="442">
        <f t="shared" si="114"/>
        <v>0</v>
      </c>
      <c r="FC57" s="442">
        <f t="shared" si="115"/>
        <v>0</v>
      </c>
      <c r="FD57" s="442">
        <f t="shared" si="116"/>
        <v>0</v>
      </c>
      <c r="FE57" s="442">
        <f t="shared" si="117"/>
        <v>0</v>
      </c>
      <c r="FF57" s="442">
        <f t="shared" si="118"/>
        <v>0</v>
      </c>
      <c r="FG57" s="442">
        <f t="shared" si="119"/>
        <v>0</v>
      </c>
      <c r="FH57" s="443">
        <f t="shared" si="120"/>
        <v>0</v>
      </c>
      <c r="FJ57" s="442">
        <f t="shared" si="121"/>
        <v>0</v>
      </c>
      <c r="FK57" s="442">
        <f t="shared" si="122"/>
        <v>0</v>
      </c>
      <c r="FL57" s="442">
        <f t="shared" si="123"/>
        <v>0</v>
      </c>
      <c r="FM57" s="442">
        <f t="shared" si="124"/>
        <v>0</v>
      </c>
      <c r="FN57" s="442">
        <f t="shared" si="125"/>
        <v>0</v>
      </c>
      <c r="FO57" s="442">
        <f t="shared" si="126"/>
        <v>0</v>
      </c>
      <c r="FP57" s="442">
        <f t="shared" si="127"/>
        <v>0</v>
      </c>
      <c r="FQ57" s="442">
        <f t="shared" si="128"/>
        <v>0</v>
      </c>
      <c r="FR57" s="442">
        <f t="shared" si="129"/>
        <v>0</v>
      </c>
      <c r="FS57" s="442">
        <f t="shared" si="130"/>
        <v>0</v>
      </c>
      <c r="FT57" s="443">
        <f t="shared" si="131"/>
        <v>0</v>
      </c>
    </row>
    <row r="58" spans="2:176" s="270" customFormat="1" ht="15" customHeight="1" x14ac:dyDescent="0.25">
      <c r="B58" s="446" t="str">
        <f>'2. START'!C$7</f>
        <v>100GEM</v>
      </c>
      <c r="C58" s="469"/>
      <c r="D58" s="589"/>
      <c r="E58" s="544">
        <v>0</v>
      </c>
      <c r="F58" s="448"/>
      <c r="G58" s="449"/>
      <c r="H58" s="449"/>
      <c r="I58" s="449"/>
      <c r="J58" s="449"/>
      <c r="K58" s="449"/>
      <c r="L58" s="449"/>
      <c r="M58" s="449"/>
      <c r="N58" s="449"/>
      <c r="O58" s="449"/>
      <c r="P58" s="449"/>
      <c r="Q58" s="546">
        <f>SUMIF('3. PARTNER'!$B$13:$B$80,$B58,'3. PARTNER'!$F$13:$F$80)</f>
        <v>0.02</v>
      </c>
      <c r="R58" s="450">
        <f t="shared" si="205"/>
        <v>0.02</v>
      </c>
      <c r="S58" s="450">
        <f t="shared" si="205"/>
        <v>0.02</v>
      </c>
      <c r="T58" s="450">
        <f t="shared" si="205"/>
        <v>0.02</v>
      </c>
      <c r="U58" s="450">
        <f t="shared" si="205"/>
        <v>0.02</v>
      </c>
      <c r="V58" s="450">
        <f t="shared" si="205"/>
        <v>0.02</v>
      </c>
      <c r="W58" s="450">
        <f t="shared" si="205"/>
        <v>0.02</v>
      </c>
      <c r="X58" s="450">
        <f t="shared" si="205"/>
        <v>0.02</v>
      </c>
      <c r="Y58" s="450">
        <f t="shared" si="205"/>
        <v>0.02</v>
      </c>
      <c r="Z58" s="450">
        <f t="shared" si="205"/>
        <v>0.02</v>
      </c>
      <c r="AA58" s="451">
        <f>SUMIF('3. PARTNER'!B$13:B$80,B58,'3. PARTNER'!E$13:E$80)</f>
        <v>0.5595</v>
      </c>
      <c r="AB58" s="452">
        <f>IF('2. START'!$C$20="UTB",(SUMIF('3. PARTNER'!B$13:B$80,B58,'3. PARTNER'!K$13:K$80))+(SUMIF('3. PARTNER'!B$13:B$80,B58,'3. PARTNER'!M$13:M$80)),(SUMIF('3. PARTNER'!B$13:B$80,B58,'3. PARTNER'!G$13:G$80))+(SUMIF('3. PARTNER'!B$13:B$80,B58,'3. PARTNER'!I$13:I$80)))</f>
        <v>0.16000843770704321</v>
      </c>
      <c r="AC58" s="452">
        <f>IF('2. START'!$C$20="UTB",(SUMIF('3. PARTNER'!B$13:B$80,B58,'3. PARTNER'!L$13:L$80))+(SUMIF('3. PARTNER'!B$13:B$80,B58,'3. PARTNER'!N$13:N$80)),(SUMIF('3. PARTNER'!B$13:B$80,B58,'3. PARTNER'!H$13:H$80))+(SUMIF('3. PARTNER'!B$13:B$80,B58,'3. PARTNER'!J$13:J$80)))</f>
        <v>0</v>
      </c>
      <c r="AD58" s="452">
        <f>IF('2. START'!C$11="NO",'2. START'!C$12,0)</f>
        <v>0</v>
      </c>
      <c r="AE58" s="453">
        <f t="shared" si="98"/>
        <v>0</v>
      </c>
      <c r="AF58" s="453">
        <f t="shared" si="99"/>
        <v>0</v>
      </c>
      <c r="AG58" s="454"/>
      <c r="AH58" s="455">
        <f t="shared" si="135"/>
        <v>0</v>
      </c>
      <c r="AI58" s="455">
        <f t="shared" si="136"/>
        <v>0</v>
      </c>
      <c r="AJ58" s="455">
        <f t="shared" si="137"/>
        <v>0</v>
      </c>
      <c r="AK58" s="455">
        <f t="shared" si="138"/>
        <v>0</v>
      </c>
      <c r="AL58" s="455">
        <f t="shared" si="139"/>
        <v>0</v>
      </c>
      <c r="AM58" s="455">
        <f t="shared" si="140"/>
        <v>0</v>
      </c>
      <c r="AN58" s="455">
        <f t="shared" si="141"/>
        <v>0</v>
      </c>
      <c r="AO58" s="455">
        <f t="shared" si="142"/>
        <v>0</v>
      </c>
      <c r="AP58" s="455">
        <f t="shared" si="143"/>
        <v>0</v>
      </c>
      <c r="AQ58" s="455">
        <f t="shared" si="144"/>
        <v>0</v>
      </c>
      <c r="AR58" s="456">
        <f t="shared" si="100"/>
        <v>0</v>
      </c>
      <c r="AS58" s="457"/>
      <c r="AT58" s="455">
        <f t="shared" si="145"/>
        <v>0</v>
      </c>
      <c r="AU58" s="455">
        <f t="shared" si="146"/>
        <v>0</v>
      </c>
      <c r="AV58" s="455">
        <f t="shared" si="147"/>
        <v>0</v>
      </c>
      <c r="AW58" s="455">
        <f t="shared" si="148"/>
        <v>0</v>
      </c>
      <c r="AX58" s="455">
        <f t="shared" si="149"/>
        <v>0</v>
      </c>
      <c r="AY58" s="455">
        <f t="shared" si="150"/>
        <v>0</v>
      </c>
      <c r="AZ58" s="455">
        <f t="shared" si="151"/>
        <v>0</v>
      </c>
      <c r="BA58" s="455">
        <f t="shared" si="152"/>
        <v>0</v>
      </c>
      <c r="BB58" s="455">
        <f t="shared" si="153"/>
        <v>0</v>
      </c>
      <c r="BC58" s="455">
        <f t="shared" si="154"/>
        <v>0</v>
      </c>
      <c r="BD58" s="456">
        <f t="shared" si="101"/>
        <v>0</v>
      </c>
      <c r="BE58" s="457"/>
      <c r="BF58" s="455">
        <f t="shared" si="155"/>
        <v>0</v>
      </c>
      <c r="BG58" s="455">
        <f t="shared" si="156"/>
        <v>0</v>
      </c>
      <c r="BH58" s="455">
        <f t="shared" si="157"/>
        <v>0</v>
      </c>
      <c r="BI58" s="455">
        <f t="shared" si="158"/>
        <v>0</v>
      </c>
      <c r="BJ58" s="455">
        <f t="shared" si="159"/>
        <v>0</v>
      </c>
      <c r="BK58" s="455">
        <f t="shared" si="160"/>
        <v>0</v>
      </c>
      <c r="BL58" s="455">
        <f t="shared" si="161"/>
        <v>0</v>
      </c>
      <c r="BM58" s="455">
        <f t="shared" si="162"/>
        <v>0</v>
      </c>
      <c r="BN58" s="455">
        <f t="shared" si="163"/>
        <v>0</v>
      </c>
      <c r="BO58" s="455">
        <f t="shared" si="164"/>
        <v>0</v>
      </c>
      <c r="BP58" s="456">
        <f t="shared" si="102"/>
        <v>0</v>
      </c>
      <c r="BQ58" s="463"/>
      <c r="BR58" s="459">
        <f t="shared" si="165"/>
        <v>0</v>
      </c>
      <c r="BS58" s="459">
        <f t="shared" si="166"/>
        <v>0</v>
      </c>
      <c r="BT58" s="459">
        <f t="shared" si="167"/>
        <v>0</v>
      </c>
      <c r="BU58" s="459">
        <f t="shared" si="168"/>
        <v>0</v>
      </c>
      <c r="BV58" s="459">
        <f t="shared" si="169"/>
        <v>0</v>
      </c>
      <c r="BW58" s="459">
        <f t="shared" si="170"/>
        <v>0</v>
      </c>
      <c r="BX58" s="459">
        <f t="shared" si="171"/>
        <v>0</v>
      </c>
      <c r="BY58" s="459">
        <f t="shared" si="172"/>
        <v>0</v>
      </c>
      <c r="BZ58" s="459">
        <f t="shared" si="173"/>
        <v>0</v>
      </c>
      <c r="CA58" s="459">
        <f t="shared" si="174"/>
        <v>0</v>
      </c>
      <c r="CB58" s="460">
        <f t="shared" si="103"/>
        <v>0</v>
      </c>
      <c r="CC58" s="463"/>
      <c r="CD58" s="462">
        <f t="shared" si="175"/>
        <v>0</v>
      </c>
      <c r="CE58" s="462">
        <f t="shared" si="176"/>
        <v>0</v>
      </c>
      <c r="CF58" s="462">
        <f t="shared" si="177"/>
        <v>0</v>
      </c>
      <c r="CG58" s="462">
        <f t="shared" si="178"/>
        <v>0</v>
      </c>
      <c r="CH58" s="462">
        <f t="shared" si="179"/>
        <v>0</v>
      </c>
      <c r="CI58" s="462">
        <f t="shared" si="180"/>
        <v>0</v>
      </c>
      <c r="CJ58" s="462">
        <f t="shared" si="181"/>
        <v>0</v>
      </c>
      <c r="CK58" s="462">
        <f t="shared" si="182"/>
        <v>0</v>
      </c>
      <c r="CL58" s="462">
        <f t="shared" si="183"/>
        <v>0</v>
      </c>
      <c r="CM58" s="462">
        <f t="shared" si="184"/>
        <v>0</v>
      </c>
      <c r="CN58" s="460">
        <f t="shared" si="104"/>
        <v>0</v>
      </c>
      <c r="CO58" s="463"/>
      <c r="CP58" s="459">
        <f t="shared" si="185"/>
        <v>0</v>
      </c>
      <c r="CQ58" s="459">
        <f t="shared" si="186"/>
        <v>0</v>
      </c>
      <c r="CR58" s="459">
        <f t="shared" si="187"/>
        <v>0</v>
      </c>
      <c r="CS58" s="459">
        <f t="shared" si="188"/>
        <v>0</v>
      </c>
      <c r="CT58" s="459">
        <f t="shared" si="189"/>
        <v>0</v>
      </c>
      <c r="CU58" s="459">
        <f t="shared" si="190"/>
        <v>0</v>
      </c>
      <c r="CV58" s="459">
        <f t="shared" si="191"/>
        <v>0</v>
      </c>
      <c r="CW58" s="459">
        <f t="shared" si="192"/>
        <v>0</v>
      </c>
      <c r="CX58" s="459">
        <f t="shared" si="193"/>
        <v>0</v>
      </c>
      <c r="CY58" s="459">
        <f t="shared" si="194"/>
        <v>0</v>
      </c>
      <c r="CZ58" s="460">
        <f t="shared" si="105"/>
        <v>0</v>
      </c>
      <c r="DA58" s="463"/>
      <c r="DB58" s="459">
        <f t="shared" si="195"/>
        <v>0</v>
      </c>
      <c r="DC58" s="459">
        <f t="shared" si="196"/>
        <v>0</v>
      </c>
      <c r="DD58" s="459">
        <f t="shared" si="197"/>
        <v>0</v>
      </c>
      <c r="DE58" s="459">
        <f t="shared" si="198"/>
        <v>0</v>
      </c>
      <c r="DF58" s="459">
        <f t="shared" si="199"/>
        <v>0</v>
      </c>
      <c r="DG58" s="459">
        <f t="shared" si="200"/>
        <v>0</v>
      </c>
      <c r="DH58" s="459">
        <f t="shared" si="201"/>
        <v>0</v>
      </c>
      <c r="DI58" s="459">
        <f t="shared" si="202"/>
        <v>0</v>
      </c>
      <c r="DJ58" s="459">
        <f t="shared" si="203"/>
        <v>0</v>
      </c>
      <c r="DK58" s="459">
        <f t="shared" si="204"/>
        <v>0</v>
      </c>
      <c r="DL58" s="460">
        <f t="shared" si="106"/>
        <v>0</v>
      </c>
      <c r="DM58" s="463"/>
      <c r="DN58" s="442">
        <f>IF('2. START'!$C$14&gt;0,(AT58/(1+$AA58))*(1+'2. START'!$C$14),AT58)</f>
        <v>0</v>
      </c>
      <c r="DO58" s="442">
        <f>IF('2. START'!$C$14&gt;0,(AU58/(1+$AA58))*(1+'2. START'!$C$14),AU58)</f>
        <v>0</v>
      </c>
      <c r="DP58" s="442">
        <f>IF('2. START'!$C$14&gt;0,(AV58/(1+$AA58))*(1+'2. START'!$C$14),AV58)</f>
        <v>0</v>
      </c>
      <c r="DQ58" s="442">
        <f>IF('2. START'!$C$14&gt;0,(AW58/(1+$AA58))*(1+'2. START'!$C$14),AW58)</f>
        <v>0</v>
      </c>
      <c r="DR58" s="442">
        <f>IF('2. START'!$C$14&gt;0,(AX58/(1+$AA58))*(1+'2. START'!$C$14),AX58)</f>
        <v>0</v>
      </c>
      <c r="DS58" s="442">
        <f>IF('2. START'!$C$14&gt;0,(AY58/(1+$AA58))*(1+'2. START'!$C$14),AY58)</f>
        <v>0</v>
      </c>
      <c r="DT58" s="442">
        <f>IF('2. START'!$C$14&gt;0,(AZ58/(1+$AA58))*(1+'2. START'!$C$14),AZ58)</f>
        <v>0</v>
      </c>
      <c r="DU58" s="442">
        <f>IF('2. START'!$C$14&gt;0,(BA58/(1+$AA58))*(1+'2. START'!$C$14),BA58)</f>
        <v>0</v>
      </c>
      <c r="DV58" s="442">
        <f>IF('2. START'!$C$14&gt;0,(BB58/(1+$AA58))*(1+'2. START'!$C$14),BB58)</f>
        <v>0</v>
      </c>
      <c r="DW58" s="442">
        <f>IF('2. START'!$C$14&gt;0,(BC58/(1+$AA58))*(1+'2. START'!$C$14),BC58)</f>
        <v>0</v>
      </c>
      <c r="DX58" s="460">
        <f t="shared" si="107"/>
        <v>0</v>
      </c>
      <c r="DY58" s="463"/>
      <c r="DZ58" s="459">
        <f>IF('2. START'!$C$11="NO",(IF('2. START'!$C$14&gt;0,(DN58*$AD58),(AT58*$AD58))),(BR58+CP58))</f>
        <v>0</v>
      </c>
      <c r="EA58" s="459">
        <f>IF('2. START'!$C$11="NO",(IF('2. START'!$C$14&gt;0,(DO58*$AD58),(AU58*$AD58))),(BS58+CQ58))</f>
        <v>0</v>
      </c>
      <c r="EB58" s="459">
        <f>IF('2. START'!$C$11="NO",(IF('2. START'!$C$14&gt;0,(DP58*$AD58),(AV58*$AD58))),(BT58+CR58))</f>
        <v>0</v>
      </c>
      <c r="EC58" s="459">
        <f>IF('2. START'!$C$11="NO",(IF('2. START'!$C$14&gt;0,(DQ58*$AD58),(AW58*$AD58))),(BU58+CS58))</f>
        <v>0</v>
      </c>
      <c r="ED58" s="459">
        <f>IF('2. START'!$C$11="NO",(IF('2. START'!$C$14&gt;0,(DR58*$AD58),(AX58*$AD58))),(BV58+CT58))</f>
        <v>0</v>
      </c>
      <c r="EE58" s="459">
        <f>IF('2. START'!$C$11="NO",(IF('2. START'!$C$14&gt;0,(DS58*$AD58),(AY58*$AD58))),(BW58+CU58))</f>
        <v>0</v>
      </c>
      <c r="EF58" s="459">
        <f>IF('2. START'!$C$11="NO",(IF('2. START'!$C$14&gt;0,(DT58*$AD58),(AZ58*$AD58))),(BX58+CV58))</f>
        <v>0</v>
      </c>
      <c r="EG58" s="459">
        <f>IF('2. START'!$C$11="NO",(IF('2. START'!$C$14&gt;0,(DU58*$AD58),(BA58*$AD58))),(BY58+CW58))</f>
        <v>0</v>
      </c>
      <c r="EH58" s="459">
        <f>IF('2. START'!$C$11="NO",(IF('2. START'!$C$14&gt;0,(DV58*$AD58),(BB58*$AD58))),(BZ58+CX58))</f>
        <v>0</v>
      </c>
      <c r="EI58" s="459">
        <f>IF('2. START'!$C$11="NO",(IF('2. START'!$C$14&gt;0,(DW58*$AD58),(BC58*$AD58))),(CA58+CY58))</f>
        <v>0</v>
      </c>
      <c r="EJ58" s="460">
        <f t="shared" si="108"/>
        <v>0</v>
      </c>
      <c r="EK58" s="463"/>
      <c r="EL58" s="459">
        <f>(BR58+CP58-DZ58)+IF('2. START'!$C$14&gt;0,AT58-DN58,0)</f>
        <v>0</v>
      </c>
      <c r="EM58" s="459">
        <f>(BS58+CQ58-EA58)+IF('2. START'!$C$14&gt;0,AU58-DO58,0)</f>
        <v>0</v>
      </c>
      <c r="EN58" s="459">
        <f>(BT58+CR58-EB58)+IF('2. START'!$C$14&gt;0,AV58-DP58,0)</f>
        <v>0</v>
      </c>
      <c r="EO58" s="459">
        <f>(BU58+CS58-EC58)+IF('2. START'!$C$14&gt;0,AW58-DQ58,0)</f>
        <v>0</v>
      </c>
      <c r="EP58" s="459">
        <f>(BV58+CT58-ED58)+IF('2. START'!$C$14&gt;0,AX58-DR58,0)</f>
        <v>0</v>
      </c>
      <c r="EQ58" s="459">
        <f>(BW58+CU58-EE58)+IF('2. START'!$C$14&gt;0,AY58-DS58,0)</f>
        <v>0</v>
      </c>
      <c r="ER58" s="459">
        <f>(BX58+CV58-EF58)+IF('2. START'!$C$14&gt;0,AZ58-DT58,0)</f>
        <v>0</v>
      </c>
      <c r="ES58" s="459">
        <f>(BY58+CW58-EG58)+IF('2. START'!$C$14&gt;0,BA58-DU58,0)</f>
        <v>0</v>
      </c>
      <c r="ET58" s="459">
        <f>(BZ58+CX58-EH58)+IF('2. START'!$C$14&gt;0,BB58-DV58,0)</f>
        <v>0</v>
      </c>
      <c r="EU58" s="459">
        <f>(CA58+CY58-EI58)+IF('2. START'!$C$14&gt;0,BC58-DW58,0)</f>
        <v>0</v>
      </c>
      <c r="EV58" s="460">
        <f t="shared" si="109"/>
        <v>0</v>
      </c>
      <c r="EW58" s="463"/>
      <c r="EX58" s="459">
        <f t="shared" si="110"/>
        <v>0</v>
      </c>
      <c r="EY58" s="459">
        <f t="shared" si="111"/>
        <v>0</v>
      </c>
      <c r="EZ58" s="459">
        <f t="shared" si="112"/>
        <v>0</v>
      </c>
      <c r="FA58" s="459">
        <f t="shared" si="113"/>
        <v>0</v>
      </c>
      <c r="FB58" s="459">
        <f t="shared" si="114"/>
        <v>0</v>
      </c>
      <c r="FC58" s="459">
        <f t="shared" si="115"/>
        <v>0</v>
      </c>
      <c r="FD58" s="459">
        <f t="shared" si="116"/>
        <v>0</v>
      </c>
      <c r="FE58" s="459">
        <f t="shared" si="117"/>
        <v>0</v>
      </c>
      <c r="FF58" s="459">
        <f t="shared" si="118"/>
        <v>0</v>
      </c>
      <c r="FG58" s="459">
        <f t="shared" si="119"/>
        <v>0</v>
      </c>
      <c r="FH58" s="460">
        <f t="shared" si="120"/>
        <v>0</v>
      </c>
      <c r="FI58" s="463"/>
      <c r="FJ58" s="459">
        <f t="shared" si="121"/>
        <v>0</v>
      </c>
      <c r="FK58" s="459">
        <f t="shared" si="122"/>
        <v>0</v>
      </c>
      <c r="FL58" s="459">
        <f t="shared" si="123"/>
        <v>0</v>
      </c>
      <c r="FM58" s="459">
        <f t="shared" si="124"/>
        <v>0</v>
      </c>
      <c r="FN58" s="459">
        <f t="shared" si="125"/>
        <v>0</v>
      </c>
      <c r="FO58" s="459">
        <f t="shared" si="126"/>
        <v>0</v>
      </c>
      <c r="FP58" s="459">
        <f t="shared" si="127"/>
        <v>0</v>
      </c>
      <c r="FQ58" s="459">
        <f t="shared" si="128"/>
        <v>0</v>
      </c>
      <c r="FR58" s="459">
        <f t="shared" si="129"/>
        <v>0</v>
      </c>
      <c r="FS58" s="459">
        <f t="shared" si="130"/>
        <v>0</v>
      </c>
      <c r="FT58" s="460">
        <f t="shared" si="131"/>
        <v>0</v>
      </c>
    </row>
    <row r="59" spans="2:176" s="270" customFormat="1" ht="15" customHeight="1" x14ac:dyDescent="0.25">
      <c r="B59" s="464" t="str">
        <f>'2. START'!C$7</f>
        <v>100GEM</v>
      </c>
      <c r="C59" s="470"/>
      <c r="D59" s="590"/>
      <c r="E59" s="514">
        <v>0</v>
      </c>
      <c r="F59" s="467"/>
      <c r="G59" s="432"/>
      <c r="H59" s="432"/>
      <c r="I59" s="432"/>
      <c r="J59" s="432"/>
      <c r="K59" s="432"/>
      <c r="L59" s="432"/>
      <c r="M59" s="432"/>
      <c r="N59" s="432"/>
      <c r="O59" s="432"/>
      <c r="P59" s="432"/>
      <c r="Q59" s="545">
        <f>SUMIF('3. PARTNER'!$B$13:$B$80,$B59,'3. PARTNER'!$F$13:$F$80)</f>
        <v>0.02</v>
      </c>
      <c r="R59" s="466">
        <f t="shared" si="205"/>
        <v>0.02</v>
      </c>
      <c r="S59" s="466">
        <f t="shared" si="205"/>
        <v>0.02</v>
      </c>
      <c r="T59" s="466">
        <f t="shared" si="205"/>
        <v>0.02</v>
      </c>
      <c r="U59" s="466">
        <f t="shared" si="205"/>
        <v>0.02</v>
      </c>
      <c r="V59" s="466">
        <f t="shared" si="205"/>
        <v>0.02</v>
      </c>
      <c r="W59" s="466">
        <f t="shared" si="205"/>
        <v>0.02</v>
      </c>
      <c r="X59" s="466">
        <f t="shared" si="205"/>
        <v>0.02</v>
      </c>
      <c r="Y59" s="466">
        <f t="shared" si="205"/>
        <v>0.02</v>
      </c>
      <c r="Z59" s="466">
        <f t="shared" si="205"/>
        <v>0.02</v>
      </c>
      <c r="AA59" s="434">
        <f>SUMIF('3. PARTNER'!B$13:B$80,B59,'3. PARTNER'!E$13:E$80)</f>
        <v>0.5595</v>
      </c>
      <c r="AB59" s="435">
        <f>IF('2. START'!$C$20="UTB",(SUMIF('3. PARTNER'!B$13:B$80,B59,'3. PARTNER'!K$13:K$80))+(SUMIF('3. PARTNER'!B$13:B$80,B59,'3. PARTNER'!M$13:M$80)),(SUMIF('3. PARTNER'!B$13:B$80,B59,'3. PARTNER'!G$13:G$80))+(SUMIF('3. PARTNER'!B$13:B$80,B59,'3. PARTNER'!I$13:I$80)))</f>
        <v>0.16000843770704321</v>
      </c>
      <c r="AC59" s="435">
        <f>IF('2. START'!$C$20="UTB",(SUMIF('3. PARTNER'!B$13:B$80,B59,'3. PARTNER'!L$13:L$80))+(SUMIF('3. PARTNER'!B$13:B$80,B59,'3. PARTNER'!N$13:N$80)),(SUMIF('3. PARTNER'!B$13:B$80,B59,'3. PARTNER'!H$13:H$80))+(SUMIF('3. PARTNER'!B$13:B$80,B59,'3. PARTNER'!J$13:J$80)))</f>
        <v>0</v>
      </c>
      <c r="AD59" s="435">
        <f>IF('2. START'!C$11="NO",'2. START'!C$12,0)</f>
        <v>0</v>
      </c>
      <c r="AE59" s="436">
        <f t="shared" si="98"/>
        <v>0</v>
      </c>
      <c r="AF59" s="436">
        <f t="shared" si="99"/>
        <v>0</v>
      </c>
      <c r="AG59" s="437"/>
      <c r="AH59" s="438">
        <f t="shared" si="135"/>
        <v>0</v>
      </c>
      <c r="AI59" s="438">
        <f t="shared" si="136"/>
        <v>0</v>
      </c>
      <c r="AJ59" s="438">
        <f t="shared" si="137"/>
        <v>0</v>
      </c>
      <c r="AK59" s="438">
        <f t="shared" si="138"/>
        <v>0</v>
      </c>
      <c r="AL59" s="438">
        <f t="shared" si="139"/>
        <v>0</v>
      </c>
      <c r="AM59" s="438">
        <f t="shared" si="140"/>
        <v>0</v>
      </c>
      <c r="AN59" s="438">
        <f t="shared" si="141"/>
        <v>0</v>
      </c>
      <c r="AO59" s="438">
        <f t="shared" si="142"/>
        <v>0</v>
      </c>
      <c r="AP59" s="438">
        <f t="shared" si="143"/>
        <v>0</v>
      </c>
      <c r="AQ59" s="438">
        <f t="shared" si="144"/>
        <v>0</v>
      </c>
      <c r="AR59" s="439">
        <f t="shared" si="100"/>
        <v>0</v>
      </c>
      <c r="AS59" s="440"/>
      <c r="AT59" s="438">
        <f t="shared" si="145"/>
        <v>0</v>
      </c>
      <c r="AU59" s="438">
        <f t="shared" si="146"/>
        <v>0</v>
      </c>
      <c r="AV59" s="438">
        <f t="shared" si="147"/>
        <v>0</v>
      </c>
      <c r="AW59" s="438">
        <f t="shared" si="148"/>
        <v>0</v>
      </c>
      <c r="AX59" s="438">
        <f t="shared" si="149"/>
        <v>0</v>
      </c>
      <c r="AY59" s="438">
        <f t="shared" si="150"/>
        <v>0</v>
      </c>
      <c r="AZ59" s="438">
        <f t="shared" si="151"/>
        <v>0</v>
      </c>
      <c r="BA59" s="438">
        <f t="shared" si="152"/>
        <v>0</v>
      </c>
      <c r="BB59" s="438">
        <f t="shared" si="153"/>
        <v>0</v>
      </c>
      <c r="BC59" s="438">
        <f t="shared" si="154"/>
        <v>0</v>
      </c>
      <c r="BD59" s="439">
        <f t="shared" si="101"/>
        <v>0</v>
      </c>
      <c r="BE59" s="440"/>
      <c r="BF59" s="438">
        <f t="shared" si="155"/>
        <v>0</v>
      </c>
      <c r="BG59" s="438">
        <f t="shared" si="156"/>
        <v>0</v>
      </c>
      <c r="BH59" s="438">
        <f t="shared" si="157"/>
        <v>0</v>
      </c>
      <c r="BI59" s="438">
        <f t="shared" si="158"/>
        <v>0</v>
      </c>
      <c r="BJ59" s="438">
        <f t="shared" si="159"/>
        <v>0</v>
      </c>
      <c r="BK59" s="438">
        <f t="shared" si="160"/>
        <v>0</v>
      </c>
      <c r="BL59" s="438">
        <f t="shared" si="161"/>
        <v>0</v>
      </c>
      <c r="BM59" s="438">
        <f t="shared" si="162"/>
        <v>0</v>
      </c>
      <c r="BN59" s="438">
        <f t="shared" si="163"/>
        <v>0</v>
      </c>
      <c r="BO59" s="438">
        <f t="shared" si="164"/>
        <v>0</v>
      </c>
      <c r="BP59" s="439">
        <f t="shared" si="102"/>
        <v>0</v>
      </c>
      <c r="BR59" s="442">
        <f t="shared" si="165"/>
        <v>0</v>
      </c>
      <c r="BS59" s="442">
        <f t="shared" si="166"/>
        <v>0</v>
      </c>
      <c r="BT59" s="442">
        <f t="shared" si="167"/>
        <v>0</v>
      </c>
      <c r="BU59" s="442">
        <f t="shared" si="168"/>
        <v>0</v>
      </c>
      <c r="BV59" s="442">
        <f t="shared" si="169"/>
        <v>0</v>
      </c>
      <c r="BW59" s="442">
        <f t="shared" si="170"/>
        <v>0</v>
      </c>
      <c r="BX59" s="442">
        <f t="shared" si="171"/>
        <v>0</v>
      </c>
      <c r="BY59" s="442">
        <f t="shared" si="172"/>
        <v>0</v>
      </c>
      <c r="BZ59" s="442">
        <f t="shared" si="173"/>
        <v>0</v>
      </c>
      <c r="CA59" s="442">
        <f t="shared" si="174"/>
        <v>0</v>
      </c>
      <c r="CB59" s="443">
        <f t="shared" si="103"/>
        <v>0</v>
      </c>
      <c r="CD59" s="445">
        <f t="shared" si="175"/>
        <v>0</v>
      </c>
      <c r="CE59" s="445">
        <f t="shared" si="176"/>
        <v>0</v>
      </c>
      <c r="CF59" s="445">
        <f t="shared" si="177"/>
        <v>0</v>
      </c>
      <c r="CG59" s="445">
        <f t="shared" si="178"/>
        <v>0</v>
      </c>
      <c r="CH59" s="445">
        <f t="shared" si="179"/>
        <v>0</v>
      </c>
      <c r="CI59" s="445">
        <f t="shared" si="180"/>
        <v>0</v>
      </c>
      <c r="CJ59" s="445">
        <f t="shared" si="181"/>
        <v>0</v>
      </c>
      <c r="CK59" s="445">
        <f t="shared" si="182"/>
        <v>0</v>
      </c>
      <c r="CL59" s="445">
        <f t="shared" si="183"/>
        <v>0</v>
      </c>
      <c r="CM59" s="445">
        <f t="shared" si="184"/>
        <v>0</v>
      </c>
      <c r="CN59" s="443">
        <f t="shared" si="104"/>
        <v>0</v>
      </c>
      <c r="CP59" s="442">
        <f t="shared" si="185"/>
        <v>0</v>
      </c>
      <c r="CQ59" s="442">
        <f t="shared" si="186"/>
        <v>0</v>
      </c>
      <c r="CR59" s="442">
        <f t="shared" si="187"/>
        <v>0</v>
      </c>
      <c r="CS59" s="442">
        <f t="shared" si="188"/>
        <v>0</v>
      </c>
      <c r="CT59" s="442">
        <f t="shared" si="189"/>
        <v>0</v>
      </c>
      <c r="CU59" s="442">
        <f t="shared" si="190"/>
        <v>0</v>
      </c>
      <c r="CV59" s="442">
        <f t="shared" si="191"/>
        <v>0</v>
      </c>
      <c r="CW59" s="442">
        <f t="shared" si="192"/>
        <v>0</v>
      </c>
      <c r="CX59" s="442">
        <f t="shared" si="193"/>
        <v>0</v>
      </c>
      <c r="CY59" s="442">
        <f t="shared" si="194"/>
        <v>0</v>
      </c>
      <c r="CZ59" s="443">
        <f t="shared" si="105"/>
        <v>0</v>
      </c>
      <c r="DB59" s="442">
        <f t="shared" si="195"/>
        <v>0</v>
      </c>
      <c r="DC59" s="442">
        <f t="shared" si="196"/>
        <v>0</v>
      </c>
      <c r="DD59" s="442">
        <f t="shared" si="197"/>
        <v>0</v>
      </c>
      <c r="DE59" s="442">
        <f t="shared" si="198"/>
        <v>0</v>
      </c>
      <c r="DF59" s="442">
        <f t="shared" si="199"/>
        <v>0</v>
      </c>
      <c r="DG59" s="442">
        <f t="shared" si="200"/>
        <v>0</v>
      </c>
      <c r="DH59" s="442">
        <f t="shared" si="201"/>
        <v>0</v>
      </c>
      <c r="DI59" s="442">
        <f t="shared" si="202"/>
        <v>0</v>
      </c>
      <c r="DJ59" s="442">
        <f t="shared" si="203"/>
        <v>0</v>
      </c>
      <c r="DK59" s="442">
        <f t="shared" si="204"/>
        <v>0</v>
      </c>
      <c r="DL59" s="443">
        <f t="shared" si="106"/>
        <v>0</v>
      </c>
      <c r="DN59" s="442">
        <f>IF('2. START'!$C$14&gt;0,(AT59/(1+$AA59))*(1+'2. START'!$C$14),AT59)</f>
        <v>0</v>
      </c>
      <c r="DO59" s="442">
        <f>IF('2. START'!$C$14&gt;0,(AU59/(1+$AA59))*(1+'2. START'!$C$14),AU59)</f>
        <v>0</v>
      </c>
      <c r="DP59" s="442">
        <f>IF('2. START'!$C$14&gt;0,(AV59/(1+$AA59))*(1+'2. START'!$C$14),AV59)</f>
        <v>0</v>
      </c>
      <c r="DQ59" s="442">
        <f>IF('2. START'!$C$14&gt;0,(AW59/(1+$AA59))*(1+'2. START'!$C$14),AW59)</f>
        <v>0</v>
      </c>
      <c r="DR59" s="442">
        <f>IF('2. START'!$C$14&gt;0,(AX59/(1+$AA59))*(1+'2. START'!$C$14),AX59)</f>
        <v>0</v>
      </c>
      <c r="DS59" s="442">
        <f>IF('2. START'!$C$14&gt;0,(AY59/(1+$AA59))*(1+'2. START'!$C$14),AY59)</f>
        <v>0</v>
      </c>
      <c r="DT59" s="442">
        <f>IF('2. START'!$C$14&gt;0,(AZ59/(1+$AA59))*(1+'2. START'!$C$14),AZ59)</f>
        <v>0</v>
      </c>
      <c r="DU59" s="442">
        <f>IF('2. START'!$C$14&gt;0,(BA59/(1+$AA59))*(1+'2. START'!$C$14),BA59)</f>
        <v>0</v>
      </c>
      <c r="DV59" s="442">
        <f>IF('2. START'!$C$14&gt;0,(BB59/(1+$AA59))*(1+'2. START'!$C$14),BB59)</f>
        <v>0</v>
      </c>
      <c r="DW59" s="442">
        <f>IF('2. START'!$C$14&gt;0,(BC59/(1+$AA59))*(1+'2. START'!$C$14),BC59)</f>
        <v>0</v>
      </c>
      <c r="DX59" s="443">
        <f t="shared" si="107"/>
        <v>0</v>
      </c>
      <c r="DZ59" s="442">
        <f>IF('2. START'!$C$11="NO",(IF('2. START'!$C$14&gt;0,(DN59*$AD59),(AT59*$AD59))),(BR59+CP59))</f>
        <v>0</v>
      </c>
      <c r="EA59" s="442">
        <f>IF('2. START'!$C$11="NO",(IF('2. START'!$C$14&gt;0,(DO59*$AD59),(AU59*$AD59))),(BS59+CQ59))</f>
        <v>0</v>
      </c>
      <c r="EB59" s="442">
        <f>IF('2. START'!$C$11="NO",(IF('2. START'!$C$14&gt;0,(DP59*$AD59),(AV59*$AD59))),(BT59+CR59))</f>
        <v>0</v>
      </c>
      <c r="EC59" s="442">
        <f>IF('2. START'!$C$11="NO",(IF('2. START'!$C$14&gt;0,(DQ59*$AD59),(AW59*$AD59))),(BU59+CS59))</f>
        <v>0</v>
      </c>
      <c r="ED59" s="442">
        <f>IF('2. START'!$C$11="NO",(IF('2. START'!$C$14&gt;0,(DR59*$AD59),(AX59*$AD59))),(BV59+CT59))</f>
        <v>0</v>
      </c>
      <c r="EE59" s="442">
        <f>IF('2. START'!$C$11="NO",(IF('2. START'!$C$14&gt;0,(DS59*$AD59),(AY59*$AD59))),(BW59+CU59))</f>
        <v>0</v>
      </c>
      <c r="EF59" s="442">
        <f>IF('2. START'!$C$11="NO",(IF('2. START'!$C$14&gt;0,(DT59*$AD59),(AZ59*$AD59))),(BX59+CV59))</f>
        <v>0</v>
      </c>
      <c r="EG59" s="442">
        <f>IF('2. START'!$C$11="NO",(IF('2. START'!$C$14&gt;0,(DU59*$AD59),(BA59*$AD59))),(BY59+CW59))</f>
        <v>0</v>
      </c>
      <c r="EH59" s="442">
        <f>IF('2. START'!$C$11="NO",(IF('2. START'!$C$14&gt;0,(DV59*$AD59),(BB59*$AD59))),(BZ59+CX59))</f>
        <v>0</v>
      </c>
      <c r="EI59" s="442">
        <f>IF('2. START'!$C$11="NO",(IF('2. START'!$C$14&gt;0,(DW59*$AD59),(BC59*$AD59))),(CA59+CY59))</f>
        <v>0</v>
      </c>
      <c r="EJ59" s="443">
        <f t="shared" si="108"/>
        <v>0</v>
      </c>
      <c r="EL59" s="442">
        <f>(BR59+CP59-DZ59)+IF('2. START'!$C$14&gt;0,AT59-DN59,0)</f>
        <v>0</v>
      </c>
      <c r="EM59" s="442">
        <f>(BS59+CQ59-EA59)+IF('2. START'!$C$14&gt;0,AU59-DO59,0)</f>
        <v>0</v>
      </c>
      <c r="EN59" s="442">
        <f>(BT59+CR59-EB59)+IF('2. START'!$C$14&gt;0,AV59-DP59,0)</f>
        <v>0</v>
      </c>
      <c r="EO59" s="442">
        <f>(BU59+CS59-EC59)+IF('2. START'!$C$14&gt;0,AW59-DQ59,0)</f>
        <v>0</v>
      </c>
      <c r="EP59" s="442">
        <f>(BV59+CT59-ED59)+IF('2. START'!$C$14&gt;0,AX59-DR59,0)</f>
        <v>0</v>
      </c>
      <c r="EQ59" s="442">
        <f>(BW59+CU59-EE59)+IF('2. START'!$C$14&gt;0,AY59-DS59,0)</f>
        <v>0</v>
      </c>
      <c r="ER59" s="442">
        <f>(BX59+CV59-EF59)+IF('2. START'!$C$14&gt;0,AZ59-DT59,0)</f>
        <v>0</v>
      </c>
      <c r="ES59" s="442">
        <f>(BY59+CW59-EG59)+IF('2. START'!$C$14&gt;0,BA59-DU59,0)</f>
        <v>0</v>
      </c>
      <c r="ET59" s="442">
        <f>(BZ59+CX59-EH59)+IF('2. START'!$C$14&gt;0,BB59-DV59,0)</f>
        <v>0</v>
      </c>
      <c r="EU59" s="442">
        <f>(CA59+CY59-EI59)+IF('2. START'!$C$14&gt;0,BC59-DW59,0)</f>
        <v>0</v>
      </c>
      <c r="EV59" s="443">
        <f t="shared" si="109"/>
        <v>0</v>
      </c>
      <c r="EX59" s="442">
        <f t="shared" si="110"/>
        <v>0</v>
      </c>
      <c r="EY59" s="442">
        <f t="shared" si="111"/>
        <v>0</v>
      </c>
      <c r="EZ59" s="442">
        <f t="shared" si="112"/>
        <v>0</v>
      </c>
      <c r="FA59" s="442">
        <f t="shared" si="113"/>
        <v>0</v>
      </c>
      <c r="FB59" s="442">
        <f t="shared" si="114"/>
        <v>0</v>
      </c>
      <c r="FC59" s="442">
        <f t="shared" si="115"/>
        <v>0</v>
      </c>
      <c r="FD59" s="442">
        <f t="shared" si="116"/>
        <v>0</v>
      </c>
      <c r="FE59" s="442">
        <f t="shared" si="117"/>
        <v>0</v>
      </c>
      <c r="FF59" s="442">
        <f t="shared" si="118"/>
        <v>0</v>
      </c>
      <c r="FG59" s="442">
        <f t="shared" si="119"/>
        <v>0</v>
      </c>
      <c r="FH59" s="443">
        <f t="shared" si="120"/>
        <v>0</v>
      </c>
      <c r="FJ59" s="442">
        <f t="shared" si="121"/>
        <v>0</v>
      </c>
      <c r="FK59" s="442">
        <f t="shared" si="122"/>
        <v>0</v>
      </c>
      <c r="FL59" s="442">
        <f t="shared" si="123"/>
        <v>0</v>
      </c>
      <c r="FM59" s="442">
        <f t="shared" si="124"/>
        <v>0</v>
      </c>
      <c r="FN59" s="442">
        <f t="shared" si="125"/>
        <v>0</v>
      </c>
      <c r="FO59" s="442">
        <f t="shared" si="126"/>
        <v>0</v>
      </c>
      <c r="FP59" s="442">
        <f t="shared" si="127"/>
        <v>0</v>
      </c>
      <c r="FQ59" s="442">
        <f t="shared" si="128"/>
        <v>0</v>
      </c>
      <c r="FR59" s="442">
        <f t="shared" si="129"/>
        <v>0</v>
      </c>
      <c r="FS59" s="442">
        <f t="shared" si="130"/>
        <v>0</v>
      </c>
      <c r="FT59" s="443">
        <f t="shared" si="131"/>
        <v>0</v>
      </c>
    </row>
    <row r="60" spans="2:176" s="270" customFormat="1" ht="15" customHeight="1" x14ac:dyDescent="0.25">
      <c r="B60" s="446" t="str">
        <f>'2. START'!C$7</f>
        <v>100GEM</v>
      </c>
      <c r="C60" s="469"/>
      <c r="D60" s="589"/>
      <c r="E60" s="544">
        <v>0</v>
      </c>
      <c r="F60" s="448"/>
      <c r="G60" s="449"/>
      <c r="H60" s="449"/>
      <c r="I60" s="449"/>
      <c r="J60" s="449"/>
      <c r="K60" s="449"/>
      <c r="L60" s="449"/>
      <c r="M60" s="449"/>
      <c r="N60" s="449"/>
      <c r="O60" s="449"/>
      <c r="P60" s="449"/>
      <c r="Q60" s="546">
        <f>SUMIF('3. PARTNER'!$B$13:$B$80,$B60,'3. PARTNER'!$F$13:$F$80)</f>
        <v>0.02</v>
      </c>
      <c r="R60" s="450">
        <f t="shared" si="205"/>
        <v>0.02</v>
      </c>
      <c r="S60" s="450">
        <f t="shared" si="205"/>
        <v>0.02</v>
      </c>
      <c r="T60" s="450">
        <f t="shared" si="205"/>
        <v>0.02</v>
      </c>
      <c r="U60" s="450">
        <f t="shared" si="205"/>
        <v>0.02</v>
      </c>
      <c r="V60" s="450">
        <f t="shared" si="205"/>
        <v>0.02</v>
      </c>
      <c r="W60" s="450">
        <f t="shared" si="205"/>
        <v>0.02</v>
      </c>
      <c r="X60" s="450">
        <f t="shared" si="205"/>
        <v>0.02</v>
      </c>
      <c r="Y60" s="450">
        <f t="shared" si="205"/>
        <v>0.02</v>
      </c>
      <c r="Z60" s="450">
        <f t="shared" si="205"/>
        <v>0.02</v>
      </c>
      <c r="AA60" s="451">
        <f>SUMIF('3. PARTNER'!B$13:B$80,B60,'3. PARTNER'!E$13:E$80)</f>
        <v>0.5595</v>
      </c>
      <c r="AB60" s="452">
        <f>IF('2. START'!$C$20="UTB",(SUMIF('3. PARTNER'!B$13:B$80,B60,'3. PARTNER'!K$13:K$80))+(SUMIF('3. PARTNER'!B$13:B$80,B60,'3. PARTNER'!M$13:M$80)),(SUMIF('3. PARTNER'!B$13:B$80,B60,'3. PARTNER'!G$13:G$80))+(SUMIF('3. PARTNER'!B$13:B$80,B60,'3. PARTNER'!I$13:I$80)))</f>
        <v>0.16000843770704321</v>
      </c>
      <c r="AC60" s="452">
        <f>IF('2. START'!$C$20="UTB",(SUMIF('3. PARTNER'!B$13:B$80,B60,'3. PARTNER'!L$13:L$80))+(SUMIF('3. PARTNER'!B$13:B$80,B60,'3. PARTNER'!N$13:N$80)),(SUMIF('3. PARTNER'!B$13:B$80,B60,'3. PARTNER'!H$13:H$80))+(SUMIF('3. PARTNER'!B$13:B$80,B60,'3. PARTNER'!J$13:J$80)))</f>
        <v>0</v>
      </c>
      <c r="AD60" s="452">
        <f>IF('2. START'!C$11="NO",'2. START'!C$12,0)</f>
        <v>0</v>
      </c>
      <c r="AE60" s="453">
        <f t="shared" si="98"/>
        <v>0</v>
      </c>
      <c r="AF60" s="453">
        <f t="shared" si="99"/>
        <v>0</v>
      </c>
      <c r="AG60" s="454"/>
      <c r="AH60" s="455">
        <f t="shared" si="135"/>
        <v>0</v>
      </c>
      <c r="AI60" s="455">
        <f t="shared" si="136"/>
        <v>0</v>
      </c>
      <c r="AJ60" s="455">
        <f t="shared" si="137"/>
        <v>0</v>
      </c>
      <c r="AK60" s="455">
        <f t="shared" si="138"/>
        <v>0</v>
      </c>
      <c r="AL60" s="455">
        <f t="shared" si="139"/>
        <v>0</v>
      </c>
      <c r="AM60" s="455">
        <f t="shared" si="140"/>
        <v>0</v>
      </c>
      <c r="AN60" s="455">
        <f t="shared" si="141"/>
        <v>0</v>
      </c>
      <c r="AO60" s="455">
        <f t="shared" si="142"/>
        <v>0</v>
      </c>
      <c r="AP60" s="455">
        <f t="shared" si="143"/>
        <v>0</v>
      </c>
      <c r="AQ60" s="455">
        <f t="shared" si="144"/>
        <v>0</v>
      </c>
      <c r="AR60" s="456">
        <f t="shared" si="100"/>
        <v>0</v>
      </c>
      <c r="AS60" s="457"/>
      <c r="AT60" s="455">
        <f t="shared" si="145"/>
        <v>0</v>
      </c>
      <c r="AU60" s="455">
        <f t="shared" si="146"/>
        <v>0</v>
      </c>
      <c r="AV60" s="455">
        <f t="shared" si="147"/>
        <v>0</v>
      </c>
      <c r="AW60" s="455">
        <f t="shared" si="148"/>
        <v>0</v>
      </c>
      <c r="AX60" s="455">
        <f t="shared" si="149"/>
        <v>0</v>
      </c>
      <c r="AY60" s="455">
        <f t="shared" si="150"/>
        <v>0</v>
      </c>
      <c r="AZ60" s="455">
        <f t="shared" si="151"/>
        <v>0</v>
      </c>
      <c r="BA60" s="455">
        <f t="shared" si="152"/>
        <v>0</v>
      </c>
      <c r="BB60" s="455">
        <f t="shared" si="153"/>
        <v>0</v>
      </c>
      <c r="BC60" s="455">
        <f t="shared" si="154"/>
        <v>0</v>
      </c>
      <c r="BD60" s="456">
        <f t="shared" si="101"/>
        <v>0</v>
      </c>
      <c r="BE60" s="457"/>
      <c r="BF60" s="455">
        <f t="shared" si="155"/>
        <v>0</v>
      </c>
      <c r="BG60" s="455">
        <f t="shared" si="156"/>
        <v>0</v>
      </c>
      <c r="BH60" s="455">
        <f t="shared" si="157"/>
        <v>0</v>
      </c>
      <c r="BI60" s="455">
        <f t="shared" si="158"/>
        <v>0</v>
      </c>
      <c r="BJ60" s="455">
        <f t="shared" si="159"/>
        <v>0</v>
      </c>
      <c r="BK60" s="455">
        <f t="shared" si="160"/>
        <v>0</v>
      </c>
      <c r="BL60" s="455">
        <f t="shared" si="161"/>
        <v>0</v>
      </c>
      <c r="BM60" s="455">
        <f t="shared" si="162"/>
        <v>0</v>
      </c>
      <c r="BN60" s="455">
        <f t="shared" si="163"/>
        <v>0</v>
      </c>
      <c r="BO60" s="455">
        <f t="shared" si="164"/>
        <v>0</v>
      </c>
      <c r="BP60" s="456">
        <f t="shared" si="102"/>
        <v>0</v>
      </c>
      <c r="BQ60" s="463"/>
      <c r="BR60" s="459">
        <f t="shared" si="165"/>
        <v>0</v>
      </c>
      <c r="BS60" s="459">
        <f t="shared" si="166"/>
        <v>0</v>
      </c>
      <c r="BT60" s="459">
        <f t="shared" si="167"/>
        <v>0</v>
      </c>
      <c r="BU60" s="459">
        <f t="shared" si="168"/>
        <v>0</v>
      </c>
      <c r="BV60" s="459">
        <f t="shared" si="169"/>
        <v>0</v>
      </c>
      <c r="BW60" s="459">
        <f t="shared" si="170"/>
        <v>0</v>
      </c>
      <c r="BX60" s="459">
        <f t="shared" si="171"/>
        <v>0</v>
      </c>
      <c r="BY60" s="459">
        <f t="shared" si="172"/>
        <v>0</v>
      </c>
      <c r="BZ60" s="459">
        <f t="shared" si="173"/>
        <v>0</v>
      </c>
      <c r="CA60" s="459">
        <f t="shared" si="174"/>
        <v>0</v>
      </c>
      <c r="CB60" s="460">
        <f t="shared" si="103"/>
        <v>0</v>
      </c>
      <c r="CC60" s="463"/>
      <c r="CD60" s="462">
        <f t="shared" si="175"/>
        <v>0</v>
      </c>
      <c r="CE60" s="462">
        <f t="shared" si="176"/>
        <v>0</v>
      </c>
      <c r="CF60" s="462">
        <f t="shared" si="177"/>
        <v>0</v>
      </c>
      <c r="CG60" s="462">
        <f t="shared" si="178"/>
        <v>0</v>
      </c>
      <c r="CH60" s="462">
        <f t="shared" si="179"/>
        <v>0</v>
      </c>
      <c r="CI60" s="462">
        <f t="shared" si="180"/>
        <v>0</v>
      </c>
      <c r="CJ60" s="462">
        <f t="shared" si="181"/>
        <v>0</v>
      </c>
      <c r="CK60" s="462">
        <f t="shared" si="182"/>
        <v>0</v>
      </c>
      <c r="CL60" s="462">
        <f t="shared" si="183"/>
        <v>0</v>
      </c>
      <c r="CM60" s="462">
        <f t="shared" si="184"/>
        <v>0</v>
      </c>
      <c r="CN60" s="460">
        <f t="shared" si="104"/>
        <v>0</v>
      </c>
      <c r="CO60" s="463"/>
      <c r="CP60" s="459">
        <f t="shared" si="185"/>
        <v>0</v>
      </c>
      <c r="CQ60" s="459">
        <f t="shared" si="186"/>
        <v>0</v>
      </c>
      <c r="CR60" s="459">
        <f t="shared" si="187"/>
        <v>0</v>
      </c>
      <c r="CS60" s="459">
        <f t="shared" si="188"/>
        <v>0</v>
      </c>
      <c r="CT60" s="459">
        <f t="shared" si="189"/>
        <v>0</v>
      </c>
      <c r="CU60" s="459">
        <f t="shared" si="190"/>
        <v>0</v>
      </c>
      <c r="CV60" s="459">
        <f t="shared" si="191"/>
        <v>0</v>
      </c>
      <c r="CW60" s="459">
        <f t="shared" si="192"/>
        <v>0</v>
      </c>
      <c r="CX60" s="459">
        <f t="shared" si="193"/>
        <v>0</v>
      </c>
      <c r="CY60" s="459">
        <f t="shared" si="194"/>
        <v>0</v>
      </c>
      <c r="CZ60" s="460">
        <f t="shared" si="105"/>
        <v>0</v>
      </c>
      <c r="DA60" s="463"/>
      <c r="DB60" s="459">
        <f t="shared" si="195"/>
        <v>0</v>
      </c>
      <c r="DC60" s="459">
        <f t="shared" si="196"/>
        <v>0</v>
      </c>
      <c r="DD60" s="459">
        <f t="shared" si="197"/>
        <v>0</v>
      </c>
      <c r="DE60" s="459">
        <f t="shared" si="198"/>
        <v>0</v>
      </c>
      <c r="DF60" s="459">
        <f t="shared" si="199"/>
        <v>0</v>
      </c>
      <c r="DG60" s="459">
        <f t="shared" si="200"/>
        <v>0</v>
      </c>
      <c r="DH60" s="459">
        <f t="shared" si="201"/>
        <v>0</v>
      </c>
      <c r="DI60" s="459">
        <f t="shared" si="202"/>
        <v>0</v>
      </c>
      <c r="DJ60" s="459">
        <f t="shared" si="203"/>
        <v>0</v>
      </c>
      <c r="DK60" s="459">
        <f t="shared" si="204"/>
        <v>0</v>
      </c>
      <c r="DL60" s="460">
        <f t="shared" si="106"/>
        <v>0</v>
      </c>
      <c r="DM60" s="463"/>
      <c r="DN60" s="442">
        <f>IF('2. START'!$C$14&gt;0,(AT60/(1+$AA60))*(1+'2. START'!$C$14),AT60)</f>
        <v>0</v>
      </c>
      <c r="DO60" s="442">
        <f>IF('2. START'!$C$14&gt;0,(AU60/(1+$AA60))*(1+'2. START'!$C$14),AU60)</f>
        <v>0</v>
      </c>
      <c r="DP60" s="442">
        <f>IF('2. START'!$C$14&gt;0,(AV60/(1+$AA60))*(1+'2. START'!$C$14),AV60)</f>
        <v>0</v>
      </c>
      <c r="DQ60" s="442">
        <f>IF('2. START'!$C$14&gt;0,(AW60/(1+$AA60))*(1+'2. START'!$C$14),AW60)</f>
        <v>0</v>
      </c>
      <c r="DR60" s="442">
        <f>IF('2. START'!$C$14&gt;0,(AX60/(1+$AA60))*(1+'2. START'!$C$14),AX60)</f>
        <v>0</v>
      </c>
      <c r="DS60" s="442">
        <f>IF('2. START'!$C$14&gt;0,(AY60/(1+$AA60))*(1+'2. START'!$C$14),AY60)</f>
        <v>0</v>
      </c>
      <c r="DT60" s="442">
        <f>IF('2. START'!$C$14&gt;0,(AZ60/(1+$AA60))*(1+'2. START'!$C$14),AZ60)</f>
        <v>0</v>
      </c>
      <c r="DU60" s="442">
        <f>IF('2. START'!$C$14&gt;0,(BA60/(1+$AA60))*(1+'2. START'!$C$14),BA60)</f>
        <v>0</v>
      </c>
      <c r="DV60" s="442">
        <f>IF('2. START'!$C$14&gt;0,(BB60/(1+$AA60))*(1+'2. START'!$C$14),BB60)</f>
        <v>0</v>
      </c>
      <c r="DW60" s="442">
        <f>IF('2. START'!$C$14&gt;0,(BC60/(1+$AA60))*(1+'2. START'!$C$14),BC60)</f>
        <v>0</v>
      </c>
      <c r="DX60" s="460">
        <f t="shared" si="107"/>
        <v>0</v>
      </c>
      <c r="DY60" s="463"/>
      <c r="DZ60" s="459">
        <f>IF('2. START'!$C$11="NO",(IF('2. START'!$C$14&gt;0,(DN60*$AD60),(AT60*$AD60))),(BR60+CP60))</f>
        <v>0</v>
      </c>
      <c r="EA60" s="459">
        <f>IF('2. START'!$C$11="NO",(IF('2. START'!$C$14&gt;0,(DO60*$AD60),(AU60*$AD60))),(BS60+CQ60))</f>
        <v>0</v>
      </c>
      <c r="EB60" s="459">
        <f>IF('2. START'!$C$11="NO",(IF('2. START'!$C$14&gt;0,(DP60*$AD60),(AV60*$AD60))),(BT60+CR60))</f>
        <v>0</v>
      </c>
      <c r="EC60" s="459">
        <f>IF('2. START'!$C$11="NO",(IF('2. START'!$C$14&gt;0,(DQ60*$AD60),(AW60*$AD60))),(BU60+CS60))</f>
        <v>0</v>
      </c>
      <c r="ED60" s="459">
        <f>IF('2. START'!$C$11="NO",(IF('2. START'!$C$14&gt;0,(DR60*$AD60),(AX60*$AD60))),(BV60+CT60))</f>
        <v>0</v>
      </c>
      <c r="EE60" s="459">
        <f>IF('2. START'!$C$11="NO",(IF('2. START'!$C$14&gt;0,(DS60*$AD60),(AY60*$AD60))),(BW60+CU60))</f>
        <v>0</v>
      </c>
      <c r="EF60" s="459">
        <f>IF('2. START'!$C$11="NO",(IF('2. START'!$C$14&gt;0,(DT60*$AD60),(AZ60*$AD60))),(BX60+CV60))</f>
        <v>0</v>
      </c>
      <c r="EG60" s="459">
        <f>IF('2. START'!$C$11="NO",(IF('2. START'!$C$14&gt;0,(DU60*$AD60),(BA60*$AD60))),(BY60+CW60))</f>
        <v>0</v>
      </c>
      <c r="EH60" s="459">
        <f>IF('2. START'!$C$11="NO",(IF('2. START'!$C$14&gt;0,(DV60*$AD60),(BB60*$AD60))),(BZ60+CX60))</f>
        <v>0</v>
      </c>
      <c r="EI60" s="459">
        <f>IF('2. START'!$C$11="NO",(IF('2. START'!$C$14&gt;0,(DW60*$AD60),(BC60*$AD60))),(CA60+CY60))</f>
        <v>0</v>
      </c>
      <c r="EJ60" s="460">
        <f t="shared" si="108"/>
        <v>0</v>
      </c>
      <c r="EK60" s="463"/>
      <c r="EL60" s="459">
        <f>(BR60+CP60-DZ60)+IF('2. START'!$C$14&gt;0,AT60-DN60,0)</f>
        <v>0</v>
      </c>
      <c r="EM60" s="459">
        <f>(BS60+CQ60-EA60)+IF('2. START'!$C$14&gt;0,AU60-DO60,0)</f>
        <v>0</v>
      </c>
      <c r="EN60" s="459">
        <f>(BT60+CR60-EB60)+IF('2. START'!$C$14&gt;0,AV60-DP60,0)</f>
        <v>0</v>
      </c>
      <c r="EO60" s="459">
        <f>(BU60+CS60-EC60)+IF('2. START'!$C$14&gt;0,AW60-DQ60,0)</f>
        <v>0</v>
      </c>
      <c r="EP60" s="459">
        <f>(BV60+CT60-ED60)+IF('2. START'!$C$14&gt;0,AX60-DR60,0)</f>
        <v>0</v>
      </c>
      <c r="EQ60" s="459">
        <f>(BW60+CU60-EE60)+IF('2. START'!$C$14&gt;0,AY60-DS60,0)</f>
        <v>0</v>
      </c>
      <c r="ER60" s="459">
        <f>(BX60+CV60-EF60)+IF('2. START'!$C$14&gt;0,AZ60-DT60,0)</f>
        <v>0</v>
      </c>
      <c r="ES60" s="459">
        <f>(BY60+CW60-EG60)+IF('2. START'!$C$14&gt;0,BA60-DU60,0)</f>
        <v>0</v>
      </c>
      <c r="ET60" s="459">
        <f>(BZ60+CX60-EH60)+IF('2. START'!$C$14&gt;0,BB60-DV60,0)</f>
        <v>0</v>
      </c>
      <c r="EU60" s="459">
        <f>(CA60+CY60-EI60)+IF('2. START'!$C$14&gt;0,BC60-DW60,0)</f>
        <v>0</v>
      </c>
      <c r="EV60" s="460">
        <f t="shared" si="109"/>
        <v>0</v>
      </c>
      <c r="EW60" s="463"/>
      <c r="EX60" s="459">
        <f t="shared" si="110"/>
        <v>0</v>
      </c>
      <c r="EY60" s="459">
        <f t="shared" si="111"/>
        <v>0</v>
      </c>
      <c r="EZ60" s="459">
        <f t="shared" si="112"/>
        <v>0</v>
      </c>
      <c r="FA60" s="459">
        <f t="shared" si="113"/>
        <v>0</v>
      </c>
      <c r="FB60" s="459">
        <f t="shared" si="114"/>
        <v>0</v>
      </c>
      <c r="FC60" s="459">
        <f t="shared" si="115"/>
        <v>0</v>
      </c>
      <c r="FD60" s="459">
        <f t="shared" si="116"/>
        <v>0</v>
      </c>
      <c r="FE60" s="459">
        <f t="shared" si="117"/>
        <v>0</v>
      </c>
      <c r="FF60" s="459">
        <f t="shared" si="118"/>
        <v>0</v>
      </c>
      <c r="FG60" s="459">
        <f t="shared" si="119"/>
        <v>0</v>
      </c>
      <c r="FH60" s="460">
        <f t="shared" si="120"/>
        <v>0</v>
      </c>
      <c r="FI60" s="463"/>
      <c r="FJ60" s="459">
        <f t="shared" si="121"/>
        <v>0</v>
      </c>
      <c r="FK60" s="459">
        <f t="shared" si="122"/>
        <v>0</v>
      </c>
      <c r="FL60" s="459">
        <f t="shared" si="123"/>
        <v>0</v>
      </c>
      <c r="FM60" s="459">
        <f t="shared" si="124"/>
        <v>0</v>
      </c>
      <c r="FN60" s="459">
        <f t="shared" si="125"/>
        <v>0</v>
      </c>
      <c r="FO60" s="459">
        <f t="shared" si="126"/>
        <v>0</v>
      </c>
      <c r="FP60" s="459">
        <f t="shared" si="127"/>
        <v>0</v>
      </c>
      <c r="FQ60" s="459">
        <f t="shared" si="128"/>
        <v>0</v>
      </c>
      <c r="FR60" s="459">
        <f t="shared" si="129"/>
        <v>0</v>
      </c>
      <c r="FS60" s="459">
        <f t="shared" si="130"/>
        <v>0</v>
      </c>
      <c r="FT60" s="460">
        <f t="shared" si="131"/>
        <v>0</v>
      </c>
    </row>
    <row r="61" spans="2:176" s="270" customFormat="1" ht="15" customHeight="1" x14ac:dyDescent="0.25">
      <c r="B61" s="464" t="str">
        <f>'2. START'!C$7</f>
        <v>100GEM</v>
      </c>
      <c r="C61" s="470"/>
      <c r="D61" s="590"/>
      <c r="E61" s="514">
        <v>0</v>
      </c>
      <c r="F61" s="467"/>
      <c r="G61" s="432"/>
      <c r="H61" s="432"/>
      <c r="I61" s="432"/>
      <c r="J61" s="432"/>
      <c r="K61" s="432"/>
      <c r="L61" s="432"/>
      <c r="M61" s="432"/>
      <c r="N61" s="432"/>
      <c r="O61" s="432"/>
      <c r="P61" s="432"/>
      <c r="Q61" s="545">
        <f>SUMIF('3. PARTNER'!$B$13:$B$80,$B61,'3. PARTNER'!$F$13:$F$80)</f>
        <v>0.02</v>
      </c>
      <c r="R61" s="466">
        <f t="shared" si="205"/>
        <v>0.02</v>
      </c>
      <c r="S61" s="466">
        <f t="shared" si="205"/>
        <v>0.02</v>
      </c>
      <c r="T61" s="466">
        <f t="shared" si="205"/>
        <v>0.02</v>
      </c>
      <c r="U61" s="466">
        <f t="shared" si="205"/>
        <v>0.02</v>
      </c>
      <c r="V61" s="466">
        <f t="shared" si="205"/>
        <v>0.02</v>
      </c>
      <c r="W61" s="466">
        <f t="shared" si="205"/>
        <v>0.02</v>
      </c>
      <c r="X61" s="466">
        <f t="shared" si="205"/>
        <v>0.02</v>
      </c>
      <c r="Y61" s="466">
        <f t="shared" si="205"/>
        <v>0.02</v>
      </c>
      <c r="Z61" s="466">
        <f t="shared" si="205"/>
        <v>0.02</v>
      </c>
      <c r="AA61" s="434">
        <f>SUMIF('3. PARTNER'!B$13:B$80,B61,'3. PARTNER'!E$13:E$80)</f>
        <v>0.5595</v>
      </c>
      <c r="AB61" s="435">
        <f>IF('2. START'!$C$20="UTB",(SUMIF('3. PARTNER'!B$13:B$80,B61,'3. PARTNER'!K$13:K$80))+(SUMIF('3. PARTNER'!B$13:B$80,B61,'3. PARTNER'!M$13:M$80)),(SUMIF('3. PARTNER'!B$13:B$80,B61,'3. PARTNER'!G$13:G$80))+(SUMIF('3. PARTNER'!B$13:B$80,B61,'3. PARTNER'!I$13:I$80)))</f>
        <v>0.16000843770704321</v>
      </c>
      <c r="AC61" s="435">
        <f>IF('2. START'!$C$20="UTB",(SUMIF('3. PARTNER'!B$13:B$80,B61,'3. PARTNER'!L$13:L$80))+(SUMIF('3. PARTNER'!B$13:B$80,B61,'3. PARTNER'!N$13:N$80)),(SUMIF('3. PARTNER'!B$13:B$80,B61,'3. PARTNER'!H$13:H$80))+(SUMIF('3. PARTNER'!B$13:B$80,B61,'3. PARTNER'!J$13:J$80)))</f>
        <v>0</v>
      </c>
      <c r="AD61" s="435">
        <f>IF('2. START'!C$11="NO",'2. START'!C$12,0)</f>
        <v>0</v>
      </c>
      <c r="AE61" s="436">
        <f t="shared" si="98"/>
        <v>0</v>
      </c>
      <c r="AF61" s="436">
        <f t="shared" si="99"/>
        <v>0</v>
      </c>
      <c r="AG61" s="437"/>
      <c r="AH61" s="438">
        <f t="shared" si="135"/>
        <v>0</v>
      </c>
      <c r="AI61" s="438">
        <f t="shared" si="136"/>
        <v>0</v>
      </c>
      <c r="AJ61" s="438">
        <f t="shared" si="137"/>
        <v>0</v>
      </c>
      <c r="AK61" s="438">
        <f t="shared" si="138"/>
        <v>0</v>
      </c>
      <c r="AL61" s="438">
        <f t="shared" si="139"/>
        <v>0</v>
      </c>
      <c r="AM61" s="438">
        <f t="shared" si="140"/>
        <v>0</v>
      </c>
      <c r="AN61" s="438">
        <f t="shared" si="141"/>
        <v>0</v>
      </c>
      <c r="AO61" s="438">
        <f t="shared" si="142"/>
        <v>0</v>
      </c>
      <c r="AP61" s="438">
        <f t="shared" si="143"/>
        <v>0</v>
      </c>
      <c r="AQ61" s="438">
        <f t="shared" si="144"/>
        <v>0</v>
      </c>
      <c r="AR61" s="439">
        <f t="shared" si="100"/>
        <v>0</v>
      </c>
      <c r="AS61" s="440"/>
      <c r="AT61" s="438">
        <f t="shared" si="145"/>
        <v>0</v>
      </c>
      <c r="AU61" s="438">
        <f t="shared" si="146"/>
        <v>0</v>
      </c>
      <c r="AV61" s="438">
        <f t="shared" si="147"/>
        <v>0</v>
      </c>
      <c r="AW61" s="438">
        <f t="shared" si="148"/>
        <v>0</v>
      </c>
      <c r="AX61" s="438">
        <f t="shared" si="149"/>
        <v>0</v>
      </c>
      <c r="AY61" s="438">
        <f t="shared" si="150"/>
        <v>0</v>
      </c>
      <c r="AZ61" s="438">
        <f t="shared" si="151"/>
        <v>0</v>
      </c>
      <c r="BA61" s="438">
        <f t="shared" si="152"/>
        <v>0</v>
      </c>
      <c r="BB61" s="438">
        <f t="shared" si="153"/>
        <v>0</v>
      </c>
      <c r="BC61" s="438">
        <f t="shared" si="154"/>
        <v>0</v>
      </c>
      <c r="BD61" s="439">
        <f t="shared" si="101"/>
        <v>0</v>
      </c>
      <c r="BE61" s="440"/>
      <c r="BF61" s="438">
        <f t="shared" si="155"/>
        <v>0</v>
      </c>
      <c r="BG61" s="438">
        <f t="shared" si="156"/>
        <v>0</v>
      </c>
      <c r="BH61" s="438">
        <f t="shared" si="157"/>
        <v>0</v>
      </c>
      <c r="BI61" s="438">
        <f t="shared" si="158"/>
        <v>0</v>
      </c>
      <c r="BJ61" s="438">
        <f t="shared" si="159"/>
        <v>0</v>
      </c>
      <c r="BK61" s="438">
        <f t="shared" si="160"/>
        <v>0</v>
      </c>
      <c r="BL61" s="438">
        <f t="shared" si="161"/>
        <v>0</v>
      </c>
      <c r="BM61" s="438">
        <f t="shared" si="162"/>
        <v>0</v>
      </c>
      <c r="BN61" s="438">
        <f t="shared" si="163"/>
        <v>0</v>
      </c>
      <c r="BO61" s="438">
        <f t="shared" si="164"/>
        <v>0</v>
      </c>
      <c r="BP61" s="439">
        <f t="shared" si="102"/>
        <v>0</v>
      </c>
      <c r="BR61" s="442">
        <f t="shared" si="165"/>
        <v>0</v>
      </c>
      <c r="BS61" s="442">
        <f t="shared" si="166"/>
        <v>0</v>
      </c>
      <c r="BT61" s="442">
        <f t="shared" si="167"/>
        <v>0</v>
      </c>
      <c r="BU61" s="442">
        <f t="shared" si="168"/>
        <v>0</v>
      </c>
      <c r="BV61" s="442">
        <f t="shared" si="169"/>
        <v>0</v>
      </c>
      <c r="BW61" s="442">
        <f t="shared" si="170"/>
        <v>0</v>
      </c>
      <c r="BX61" s="442">
        <f t="shared" si="171"/>
        <v>0</v>
      </c>
      <c r="BY61" s="442">
        <f t="shared" si="172"/>
        <v>0</v>
      </c>
      <c r="BZ61" s="442">
        <f t="shared" si="173"/>
        <v>0</v>
      </c>
      <c r="CA61" s="442">
        <f t="shared" si="174"/>
        <v>0</v>
      </c>
      <c r="CB61" s="443">
        <f t="shared" si="103"/>
        <v>0</v>
      </c>
      <c r="CD61" s="445">
        <f t="shared" si="175"/>
        <v>0</v>
      </c>
      <c r="CE61" s="445">
        <f t="shared" si="176"/>
        <v>0</v>
      </c>
      <c r="CF61" s="445">
        <f t="shared" si="177"/>
        <v>0</v>
      </c>
      <c r="CG61" s="445">
        <f t="shared" si="178"/>
        <v>0</v>
      </c>
      <c r="CH61" s="445">
        <f t="shared" si="179"/>
        <v>0</v>
      </c>
      <c r="CI61" s="445">
        <f t="shared" si="180"/>
        <v>0</v>
      </c>
      <c r="CJ61" s="445">
        <f t="shared" si="181"/>
        <v>0</v>
      </c>
      <c r="CK61" s="445">
        <f t="shared" si="182"/>
        <v>0</v>
      </c>
      <c r="CL61" s="445">
        <f t="shared" si="183"/>
        <v>0</v>
      </c>
      <c r="CM61" s="445">
        <f t="shared" si="184"/>
        <v>0</v>
      </c>
      <c r="CN61" s="443">
        <f t="shared" si="104"/>
        <v>0</v>
      </c>
      <c r="CP61" s="442">
        <f t="shared" si="185"/>
        <v>0</v>
      </c>
      <c r="CQ61" s="442">
        <f t="shared" si="186"/>
        <v>0</v>
      </c>
      <c r="CR61" s="442">
        <f t="shared" si="187"/>
        <v>0</v>
      </c>
      <c r="CS61" s="442">
        <f t="shared" si="188"/>
        <v>0</v>
      </c>
      <c r="CT61" s="442">
        <f t="shared" si="189"/>
        <v>0</v>
      </c>
      <c r="CU61" s="442">
        <f t="shared" si="190"/>
        <v>0</v>
      </c>
      <c r="CV61" s="442">
        <f t="shared" si="191"/>
        <v>0</v>
      </c>
      <c r="CW61" s="442">
        <f t="shared" si="192"/>
        <v>0</v>
      </c>
      <c r="CX61" s="442">
        <f t="shared" si="193"/>
        <v>0</v>
      </c>
      <c r="CY61" s="442">
        <f t="shared" si="194"/>
        <v>0</v>
      </c>
      <c r="CZ61" s="443">
        <f t="shared" si="105"/>
        <v>0</v>
      </c>
      <c r="DB61" s="442">
        <f t="shared" si="195"/>
        <v>0</v>
      </c>
      <c r="DC61" s="442">
        <f t="shared" si="196"/>
        <v>0</v>
      </c>
      <c r="DD61" s="442">
        <f t="shared" si="197"/>
        <v>0</v>
      </c>
      <c r="DE61" s="442">
        <f t="shared" si="198"/>
        <v>0</v>
      </c>
      <c r="DF61" s="442">
        <f t="shared" si="199"/>
        <v>0</v>
      </c>
      <c r="DG61" s="442">
        <f t="shared" si="200"/>
        <v>0</v>
      </c>
      <c r="DH61" s="442">
        <f t="shared" si="201"/>
        <v>0</v>
      </c>
      <c r="DI61" s="442">
        <f t="shared" si="202"/>
        <v>0</v>
      </c>
      <c r="DJ61" s="442">
        <f t="shared" si="203"/>
        <v>0</v>
      </c>
      <c r="DK61" s="442">
        <f t="shared" si="204"/>
        <v>0</v>
      </c>
      <c r="DL61" s="443">
        <f t="shared" si="106"/>
        <v>0</v>
      </c>
      <c r="DN61" s="442">
        <f>IF('2. START'!$C$14&gt;0,(AT61/(1+$AA61))*(1+'2. START'!$C$14),AT61)</f>
        <v>0</v>
      </c>
      <c r="DO61" s="442">
        <f>IF('2. START'!$C$14&gt;0,(AU61/(1+$AA61))*(1+'2. START'!$C$14),AU61)</f>
        <v>0</v>
      </c>
      <c r="DP61" s="442">
        <f>IF('2. START'!$C$14&gt;0,(AV61/(1+$AA61))*(1+'2. START'!$C$14),AV61)</f>
        <v>0</v>
      </c>
      <c r="DQ61" s="442">
        <f>IF('2. START'!$C$14&gt;0,(AW61/(1+$AA61))*(1+'2. START'!$C$14),AW61)</f>
        <v>0</v>
      </c>
      <c r="DR61" s="442">
        <f>IF('2. START'!$C$14&gt;0,(AX61/(1+$AA61))*(1+'2. START'!$C$14),AX61)</f>
        <v>0</v>
      </c>
      <c r="DS61" s="442">
        <f>IF('2. START'!$C$14&gt;0,(AY61/(1+$AA61))*(1+'2. START'!$C$14),AY61)</f>
        <v>0</v>
      </c>
      <c r="DT61" s="442">
        <f>IF('2. START'!$C$14&gt;0,(AZ61/(1+$AA61))*(1+'2. START'!$C$14),AZ61)</f>
        <v>0</v>
      </c>
      <c r="DU61" s="442">
        <f>IF('2. START'!$C$14&gt;0,(BA61/(1+$AA61))*(1+'2. START'!$C$14),BA61)</f>
        <v>0</v>
      </c>
      <c r="DV61" s="442">
        <f>IF('2. START'!$C$14&gt;0,(BB61/(1+$AA61))*(1+'2. START'!$C$14),BB61)</f>
        <v>0</v>
      </c>
      <c r="DW61" s="442">
        <f>IF('2. START'!$C$14&gt;0,(BC61/(1+$AA61))*(1+'2. START'!$C$14),BC61)</f>
        <v>0</v>
      </c>
      <c r="DX61" s="443">
        <f t="shared" si="107"/>
        <v>0</v>
      </c>
      <c r="DZ61" s="442">
        <f>IF('2. START'!$C$11="NO",(IF('2. START'!$C$14&gt;0,(DN61*$AD61),(AT61*$AD61))),(BR61+CP61))</f>
        <v>0</v>
      </c>
      <c r="EA61" s="442">
        <f>IF('2. START'!$C$11="NO",(IF('2. START'!$C$14&gt;0,(DO61*$AD61),(AU61*$AD61))),(BS61+CQ61))</f>
        <v>0</v>
      </c>
      <c r="EB61" s="442">
        <f>IF('2. START'!$C$11="NO",(IF('2. START'!$C$14&gt;0,(DP61*$AD61),(AV61*$AD61))),(BT61+CR61))</f>
        <v>0</v>
      </c>
      <c r="EC61" s="442">
        <f>IF('2. START'!$C$11="NO",(IF('2. START'!$C$14&gt;0,(DQ61*$AD61),(AW61*$AD61))),(BU61+CS61))</f>
        <v>0</v>
      </c>
      <c r="ED61" s="442">
        <f>IF('2. START'!$C$11="NO",(IF('2. START'!$C$14&gt;0,(DR61*$AD61),(AX61*$AD61))),(BV61+CT61))</f>
        <v>0</v>
      </c>
      <c r="EE61" s="442">
        <f>IF('2. START'!$C$11="NO",(IF('2. START'!$C$14&gt;0,(DS61*$AD61),(AY61*$AD61))),(BW61+CU61))</f>
        <v>0</v>
      </c>
      <c r="EF61" s="442">
        <f>IF('2. START'!$C$11="NO",(IF('2. START'!$C$14&gt;0,(DT61*$AD61),(AZ61*$AD61))),(BX61+CV61))</f>
        <v>0</v>
      </c>
      <c r="EG61" s="442">
        <f>IF('2. START'!$C$11="NO",(IF('2. START'!$C$14&gt;0,(DU61*$AD61),(BA61*$AD61))),(BY61+CW61))</f>
        <v>0</v>
      </c>
      <c r="EH61" s="442">
        <f>IF('2. START'!$C$11="NO",(IF('2. START'!$C$14&gt;0,(DV61*$AD61),(BB61*$AD61))),(BZ61+CX61))</f>
        <v>0</v>
      </c>
      <c r="EI61" s="442">
        <f>IF('2. START'!$C$11="NO",(IF('2. START'!$C$14&gt;0,(DW61*$AD61),(BC61*$AD61))),(CA61+CY61))</f>
        <v>0</v>
      </c>
      <c r="EJ61" s="443">
        <f t="shared" si="108"/>
        <v>0</v>
      </c>
      <c r="EL61" s="442">
        <f>(BR61+CP61-DZ61)+IF('2. START'!$C$14&gt;0,AT61-DN61,0)</f>
        <v>0</v>
      </c>
      <c r="EM61" s="442">
        <f>(BS61+CQ61-EA61)+IF('2. START'!$C$14&gt;0,AU61-DO61,0)</f>
        <v>0</v>
      </c>
      <c r="EN61" s="442">
        <f>(BT61+CR61-EB61)+IF('2. START'!$C$14&gt;0,AV61-DP61,0)</f>
        <v>0</v>
      </c>
      <c r="EO61" s="442">
        <f>(BU61+CS61-EC61)+IF('2. START'!$C$14&gt;0,AW61-DQ61,0)</f>
        <v>0</v>
      </c>
      <c r="EP61" s="442">
        <f>(BV61+CT61-ED61)+IF('2. START'!$C$14&gt;0,AX61-DR61,0)</f>
        <v>0</v>
      </c>
      <c r="EQ61" s="442">
        <f>(BW61+CU61-EE61)+IF('2. START'!$C$14&gt;0,AY61-DS61,0)</f>
        <v>0</v>
      </c>
      <c r="ER61" s="442">
        <f>(BX61+CV61-EF61)+IF('2. START'!$C$14&gt;0,AZ61-DT61,0)</f>
        <v>0</v>
      </c>
      <c r="ES61" s="442">
        <f>(BY61+CW61-EG61)+IF('2. START'!$C$14&gt;0,BA61-DU61,0)</f>
        <v>0</v>
      </c>
      <c r="ET61" s="442">
        <f>(BZ61+CX61-EH61)+IF('2. START'!$C$14&gt;0,BB61-DV61,0)</f>
        <v>0</v>
      </c>
      <c r="EU61" s="442">
        <f>(CA61+CY61-EI61)+IF('2. START'!$C$14&gt;0,BC61-DW61,0)</f>
        <v>0</v>
      </c>
      <c r="EV61" s="443">
        <f t="shared" si="109"/>
        <v>0</v>
      </c>
      <c r="EX61" s="442">
        <f t="shared" si="110"/>
        <v>0</v>
      </c>
      <c r="EY61" s="442">
        <f t="shared" si="111"/>
        <v>0</v>
      </c>
      <c r="EZ61" s="442">
        <f t="shared" si="112"/>
        <v>0</v>
      </c>
      <c r="FA61" s="442">
        <f t="shared" si="113"/>
        <v>0</v>
      </c>
      <c r="FB61" s="442">
        <f t="shared" si="114"/>
        <v>0</v>
      </c>
      <c r="FC61" s="442">
        <f t="shared" si="115"/>
        <v>0</v>
      </c>
      <c r="FD61" s="442">
        <f t="shared" si="116"/>
        <v>0</v>
      </c>
      <c r="FE61" s="442">
        <f t="shared" si="117"/>
        <v>0</v>
      </c>
      <c r="FF61" s="442">
        <f t="shared" si="118"/>
        <v>0</v>
      </c>
      <c r="FG61" s="442">
        <f t="shared" si="119"/>
        <v>0</v>
      </c>
      <c r="FH61" s="443">
        <f t="shared" si="120"/>
        <v>0</v>
      </c>
      <c r="FJ61" s="442">
        <f t="shared" si="121"/>
        <v>0</v>
      </c>
      <c r="FK61" s="442">
        <f t="shared" si="122"/>
        <v>0</v>
      </c>
      <c r="FL61" s="442">
        <f t="shared" si="123"/>
        <v>0</v>
      </c>
      <c r="FM61" s="442">
        <f t="shared" si="124"/>
        <v>0</v>
      </c>
      <c r="FN61" s="442">
        <f t="shared" si="125"/>
        <v>0</v>
      </c>
      <c r="FO61" s="442">
        <f t="shared" si="126"/>
        <v>0</v>
      </c>
      <c r="FP61" s="442">
        <f t="shared" si="127"/>
        <v>0</v>
      </c>
      <c r="FQ61" s="442">
        <f t="shared" si="128"/>
        <v>0</v>
      </c>
      <c r="FR61" s="442">
        <f t="shared" si="129"/>
        <v>0</v>
      </c>
      <c r="FS61" s="442">
        <f t="shared" si="130"/>
        <v>0</v>
      </c>
      <c r="FT61" s="443">
        <f t="shared" si="131"/>
        <v>0</v>
      </c>
    </row>
    <row r="62" spans="2:176" s="270" customFormat="1" ht="15" customHeight="1" x14ac:dyDescent="0.25">
      <c r="B62" s="446" t="str">
        <f>'2. START'!C$7</f>
        <v>100GEM</v>
      </c>
      <c r="C62" s="469"/>
      <c r="D62" s="589"/>
      <c r="E62" s="544">
        <v>0</v>
      </c>
      <c r="F62" s="448"/>
      <c r="G62" s="449"/>
      <c r="H62" s="449"/>
      <c r="I62" s="449"/>
      <c r="J62" s="449"/>
      <c r="K62" s="449"/>
      <c r="L62" s="449"/>
      <c r="M62" s="449"/>
      <c r="N62" s="449"/>
      <c r="O62" s="449"/>
      <c r="P62" s="449"/>
      <c r="Q62" s="546">
        <f>SUMIF('3. PARTNER'!$B$13:$B$80,$B62,'3. PARTNER'!$F$13:$F$80)</f>
        <v>0.02</v>
      </c>
      <c r="R62" s="450">
        <f t="shared" si="205"/>
        <v>0.02</v>
      </c>
      <c r="S62" s="450">
        <f t="shared" si="205"/>
        <v>0.02</v>
      </c>
      <c r="T62" s="450">
        <f t="shared" si="205"/>
        <v>0.02</v>
      </c>
      <c r="U62" s="450">
        <f t="shared" si="205"/>
        <v>0.02</v>
      </c>
      <c r="V62" s="450">
        <f t="shared" si="205"/>
        <v>0.02</v>
      </c>
      <c r="W62" s="450">
        <f t="shared" si="205"/>
        <v>0.02</v>
      </c>
      <c r="X62" s="450">
        <f t="shared" si="205"/>
        <v>0.02</v>
      </c>
      <c r="Y62" s="450">
        <f t="shared" si="205"/>
        <v>0.02</v>
      </c>
      <c r="Z62" s="450">
        <f t="shared" si="205"/>
        <v>0.02</v>
      </c>
      <c r="AA62" s="451">
        <f>SUMIF('3. PARTNER'!B$13:B$80,B62,'3. PARTNER'!E$13:E$80)</f>
        <v>0.5595</v>
      </c>
      <c r="AB62" s="452">
        <f>IF('2. START'!$C$20="UTB",(SUMIF('3. PARTNER'!B$13:B$80,B62,'3. PARTNER'!K$13:K$80))+(SUMIF('3. PARTNER'!B$13:B$80,B62,'3. PARTNER'!M$13:M$80)),(SUMIF('3. PARTNER'!B$13:B$80,B62,'3. PARTNER'!G$13:G$80))+(SUMIF('3. PARTNER'!B$13:B$80,B62,'3. PARTNER'!I$13:I$80)))</f>
        <v>0.16000843770704321</v>
      </c>
      <c r="AC62" s="452">
        <f>IF('2. START'!$C$20="UTB",(SUMIF('3. PARTNER'!B$13:B$80,B62,'3. PARTNER'!L$13:L$80))+(SUMIF('3. PARTNER'!B$13:B$80,B62,'3. PARTNER'!N$13:N$80)),(SUMIF('3. PARTNER'!B$13:B$80,B62,'3. PARTNER'!H$13:H$80))+(SUMIF('3. PARTNER'!B$13:B$80,B62,'3. PARTNER'!J$13:J$80)))</f>
        <v>0</v>
      </c>
      <c r="AD62" s="452">
        <f>IF('2. START'!C$11="NO",'2. START'!C$12,0)</f>
        <v>0</v>
      </c>
      <c r="AE62" s="453">
        <f t="shared" si="98"/>
        <v>0</v>
      </c>
      <c r="AF62" s="453">
        <f t="shared" si="99"/>
        <v>0</v>
      </c>
      <c r="AG62" s="454"/>
      <c r="AH62" s="455">
        <f t="shared" si="135"/>
        <v>0</v>
      </c>
      <c r="AI62" s="455">
        <f t="shared" si="136"/>
        <v>0</v>
      </c>
      <c r="AJ62" s="455">
        <f t="shared" si="137"/>
        <v>0</v>
      </c>
      <c r="AK62" s="455">
        <f t="shared" si="138"/>
        <v>0</v>
      </c>
      <c r="AL62" s="455">
        <f t="shared" si="139"/>
        <v>0</v>
      </c>
      <c r="AM62" s="455">
        <f t="shared" si="140"/>
        <v>0</v>
      </c>
      <c r="AN62" s="455">
        <f t="shared" si="141"/>
        <v>0</v>
      </c>
      <c r="AO62" s="455">
        <f t="shared" si="142"/>
        <v>0</v>
      </c>
      <c r="AP62" s="455">
        <f t="shared" si="143"/>
        <v>0</v>
      </c>
      <c r="AQ62" s="455">
        <f t="shared" si="144"/>
        <v>0</v>
      </c>
      <c r="AR62" s="456">
        <f t="shared" si="100"/>
        <v>0</v>
      </c>
      <c r="AS62" s="457"/>
      <c r="AT62" s="455">
        <f t="shared" si="145"/>
        <v>0</v>
      </c>
      <c r="AU62" s="455">
        <f t="shared" si="146"/>
        <v>0</v>
      </c>
      <c r="AV62" s="455">
        <f t="shared" si="147"/>
        <v>0</v>
      </c>
      <c r="AW62" s="455">
        <f t="shared" si="148"/>
        <v>0</v>
      </c>
      <c r="AX62" s="455">
        <f t="shared" si="149"/>
        <v>0</v>
      </c>
      <c r="AY62" s="455">
        <f t="shared" si="150"/>
        <v>0</v>
      </c>
      <c r="AZ62" s="455">
        <f t="shared" si="151"/>
        <v>0</v>
      </c>
      <c r="BA62" s="455">
        <f t="shared" si="152"/>
        <v>0</v>
      </c>
      <c r="BB62" s="455">
        <f t="shared" si="153"/>
        <v>0</v>
      </c>
      <c r="BC62" s="455">
        <f t="shared" si="154"/>
        <v>0</v>
      </c>
      <c r="BD62" s="456">
        <f t="shared" si="101"/>
        <v>0</v>
      </c>
      <c r="BE62" s="457"/>
      <c r="BF62" s="455">
        <f t="shared" si="155"/>
        <v>0</v>
      </c>
      <c r="BG62" s="455">
        <f t="shared" si="156"/>
        <v>0</v>
      </c>
      <c r="BH62" s="455">
        <f t="shared" si="157"/>
        <v>0</v>
      </c>
      <c r="BI62" s="455">
        <f t="shared" si="158"/>
        <v>0</v>
      </c>
      <c r="BJ62" s="455">
        <f t="shared" si="159"/>
        <v>0</v>
      </c>
      <c r="BK62" s="455">
        <f t="shared" si="160"/>
        <v>0</v>
      </c>
      <c r="BL62" s="455">
        <f t="shared" si="161"/>
        <v>0</v>
      </c>
      <c r="BM62" s="455">
        <f t="shared" si="162"/>
        <v>0</v>
      </c>
      <c r="BN62" s="455">
        <f t="shared" si="163"/>
        <v>0</v>
      </c>
      <c r="BO62" s="455">
        <f t="shared" si="164"/>
        <v>0</v>
      </c>
      <c r="BP62" s="456">
        <f t="shared" si="102"/>
        <v>0</v>
      </c>
      <c r="BQ62" s="463"/>
      <c r="BR62" s="459">
        <f t="shared" si="165"/>
        <v>0</v>
      </c>
      <c r="BS62" s="459">
        <f t="shared" si="166"/>
        <v>0</v>
      </c>
      <c r="BT62" s="459">
        <f t="shared" si="167"/>
        <v>0</v>
      </c>
      <c r="BU62" s="459">
        <f t="shared" si="168"/>
        <v>0</v>
      </c>
      <c r="BV62" s="459">
        <f t="shared" si="169"/>
        <v>0</v>
      </c>
      <c r="BW62" s="459">
        <f t="shared" si="170"/>
        <v>0</v>
      </c>
      <c r="BX62" s="459">
        <f t="shared" si="171"/>
        <v>0</v>
      </c>
      <c r="BY62" s="459">
        <f t="shared" si="172"/>
        <v>0</v>
      </c>
      <c r="BZ62" s="459">
        <f t="shared" si="173"/>
        <v>0</v>
      </c>
      <c r="CA62" s="459">
        <f t="shared" si="174"/>
        <v>0</v>
      </c>
      <c r="CB62" s="460">
        <f t="shared" si="103"/>
        <v>0</v>
      </c>
      <c r="CC62" s="463"/>
      <c r="CD62" s="462">
        <f t="shared" si="175"/>
        <v>0</v>
      </c>
      <c r="CE62" s="462">
        <f t="shared" si="176"/>
        <v>0</v>
      </c>
      <c r="CF62" s="462">
        <f t="shared" si="177"/>
        <v>0</v>
      </c>
      <c r="CG62" s="462">
        <f t="shared" si="178"/>
        <v>0</v>
      </c>
      <c r="CH62" s="462">
        <f t="shared" si="179"/>
        <v>0</v>
      </c>
      <c r="CI62" s="462">
        <f t="shared" si="180"/>
        <v>0</v>
      </c>
      <c r="CJ62" s="462">
        <f t="shared" si="181"/>
        <v>0</v>
      </c>
      <c r="CK62" s="462">
        <f t="shared" si="182"/>
        <v>0</v>
      </c>
      <c r="CL62" s="462">
        <f t="shared" si="183"/>
        <v>0</v>
      </c>
      <c r="CM62" s="462">
        <f t="shared" si="184"/>
        <v>0</v>
      </c>
      <c r="CN62" s="460">
        <f t="shared" si="104"/>
        <v>0</v>
      </c>
      <c r="CO62" s="463"/>
      <c r="CP62" s="459">
        <f t="shared" si="185"/>
        <v>0</v>
      </c>
      <c r="CQ62" s="459">
        <f t="shared" si="186"/>
        <v>0</v>
      </c>
      <c r="CR62" s="459">
        <f t="shared" si="187"/>
        <v>0</v>
      </c>
      <c r="CS62" s="459">
        <f t="shared" si="188"/>
        <v>0</v>
      </c>
      <c r="CT62" s="459">
        <f t="shared" si="189"/>
        <v>0</v>
      </c>
      <c r="CU62" s="459">
        <f t="shared" si="190"/>
        <v>0</v>
      </c>
      <c r="CV62" s="459">
        <f t="shared" si="191"/>
        <v>0</v>
      </c>
      <c r="CW62" s="459">
        <f t="shared" si="192"/>
        <v>0</v>
      </c>
      <c r="CX62" s="459">
        <f t="shared" si="193"/>
        <v>0</v>
      </c>
      <c r="CY62" s="459">
        <f t="shared" si="194"/>
        <v>0</v>
      </c>
      <c r="CZ62" s="460">
        <f t="shared" si="105"/>
        <v>0</v>
      </c>
      <c r="DA62" s="463"/>
      <c r="DB62" s="459">
        <f t="shared" si="195"/>
        <v>0</v>
      </c>
      <c r="DC62" s="459">
        <f t="shared" si="196"/>
        <v>0</v>
      </c>
      <c r="DD62" s="459">
        <f t="shared" si="197"/>
        <v>0</v>
      </c>
      <c r="DE62" s="459">
        <f t="shared" si="198"/>
        <v>0</v>
      </c>
      <c r="DF62" s="459">
        <f t="shared" si="199"/>
        <v>0</v>
      </c>
      <c r="DG62" s="459">
        <f t="shared" si="200"/>
        <v>0</v>
      </c>
      <c r="DH62" s="459">
        <f t="shared" si="201"/>
        <v>0</v>
      </c>
      <c r="DI62" s="459">
        <f t="shared" si="202"/>
        <v>0</v>
      </c>
      <c r="DJ62" s="459">
        <f t="shared" si="203"/>
        <v>0</v>
      </c>
      <c r="DK62" s="459">
        <f t="shared" si="204"/>
        <v>0</v>
      </c>
      <c r="DL62" s="460">
        <f t="shared" si="106"/>
        <v>0</v>
      </c>
      <c r="DM62" s="463"/>
      <c r="DN62" s="442">
        <f>IF('2. START'!$C$14&gt;0,(AT62/(1+$AA62))*(1+'2. START'!$C$14),AT62)</f>
        <v>0</v>
      </c>
      <c r="DO62" s="442">
        <f>IF('2. START'!$C$14&gt;0,(AU62/(1+$AA62))*(1+'2. START'!$C$14),AU62)</f>
        <v>0</v>
      </c>
      <c r="DP62" s="442">
        <f>IF('2. START'!$C$14&gt;0,(AV62/(1+$AA62))*(1+'2. START'!$C$14),AV62)</f>
        <v>0</v>
      </c>
      <c r="DQ62" s="442">
        <f>IF('2. START'!$C$14&gt;0,(AW62/(1+$AA62))*(1+'2. START'!$C$14),AW62)</f>
        <v>0</v>
      </c>
      <c r="DR62" s="442">
        <f>IF('2. START'!$C$14&gt;0,(AX62/(1+$AA62))*(1+'2. START'!$C$14),AX62)</f>
        <v>0</v>
      </c>
      <c r="DS62" s="442">
        <f>IF('2. START'!$C$14&gt;0,(AY62/(1+$AA62))*(1+'2. START'!$C$14),AY62)</f>
        <v>0</v>
      </c>
      <c r="DT62" s="442">
        <f>IF('2. START'!$C$14&gt;0,(AZ62/(1+$AA62))*(1+'2. START'!$C$14),AZ62)</f>
        <v>0</v>
      </c>
      <c r="DU62" s="442">
        <f>IF('2. START'!$C$14&gt;0,(BA62/(1+$AA62))*(1+'2. START'!$C$14),BA62)</f>
        <v>0</v>
      </c>
      <c r="DV62" s="442">
        <f>IF('2. START'!$C$14&gt;0,(BB62/(1+$AA62))*(1+'2. START'!$C$14),BB62)</f>
        <v>0</v>
      </c>
      <c r="DW62" s="442">
        <f>IF('2. START'!$C$14&gt;0,(BC62/(1+$AA62))*(1+'2. START'!$C$14),BC62)</f>
        <v>0</v>
      </c>
      <c r="DX62" s="460">
        <f t="shared" si="107"/>
        <v>0</v>
      </c>
      <c r="DY62" s="463"/>
      <c r="DZ62" s="459">
        <f>IF('2. START'!$C$11="NO",(IF('2. START'!$C$14&gt;0,(DN62*$AD62),(AT62*$AD62))),(BR62+CP62))</f>
        <v>0</v>
      </c>
      <c r="EA62" s="459">
        <f>IF('2. START'!$C$11="NO",(IF('2. START'!$C$14&gt;0,(DO62*$AD62),(AU62*$AD62))),(BS62+CQ62))</f>
        <v>0</v>
      </c>
      <c r="EB62" s="459">
        <f>IF('2. START'!$C$11="NO",(IF('2. START'!$C$14&gt;0,(DP62*$AD62),(AV62*$AD62))),(BT62+CR62))</f>
        <v>0</v>
      </c>
      <c r="EC62" s="459">
        <f>IF('2. START'!$C$11="NO",(IF('2. START'!$C$14&gt;0,(DQ62*$AD62),(AW62*$AD62))),(BU62+CS62))</f>
        <v>0</v>
      </c>
      <c r="ED62" s="459">
        <f>IF('2. START'!$C$11="NO",(IF('2. START'!$C$14&gt;0,(DR62*$AD62),(AX62*$AD62))),(BV62+CT62))</f>
        <v>0</v>
      </c>
      <c r="EE62" s="459">
        <f>IF('2. START'!$C$11="NO",(IF('2. START'!$C$14&gt;0,(DS62*$AD62),(AY62*$AD62))),(BW62+CU62))</f>
        <v>0</v>
      </c>
      <c r="EF62" s="459">
        <f>IF('2. START'!$C$11="NO",(IF('2. START'!$C$14&gt;0,(DT62*$AD62),(AZ62*$AD62))),(BX62+CV62))</f>
        <v>0</v>
      </c>
      <c r="EG62" s="459">
        <f>IF('2. START'!$C$11="NO",(IF('2. START'!$C$14&gt;0,(DU62*$AD62),(BA62*$AD62))),(BY62+CW62))</f>
        <v>0</v>
      </c>
      <c r="EH62" s="459">
        <f>IF('2. START'!$C$11="NO",(IF('2. START'!$C$14&gt;0,(DV62*$AD62),(BB62*$AD62))),(BZ62+CX62))</f>
        <v>0</v>
      </c>
      <c r="EI62" s="459">
        <f>IF('2. START'!$C$11="NO",(IF('2. START'!$C$14&gt;0,(DW62*$AD62),(BC62*$AD62))),(CA62+CY62))</f>
        <v>0</v>
      </c>
      <c r="EJ62" s="460">
        <f t="shared" si="108"/>
        <v>0</v>
      </c>
      <c r="EK62" s="463"/>
      <c r="EL62" s="459">
        <f>(BR62+CP62-DZ62)+IF('2. START'!$C$14&gt;0,AT62-DN62,0)</f>
        <v>0</v>
      </c>
      <c r="EM62" s="459">
        <f>(BS62+CQ62-EA62)+IF('2. START'!$C$14&gt;0,AU62-DO62,0)</f>
        <v>0</v>
      </c>
      <c r="EN62" s="459">
        <f>(BT62+CR62-EB62)+IF('2. START'!$C$14&gt;0,AV62-DP62,0)</f>
        <v>0</v>
      </c>
      <c r="EO62" s="459">
        <f>(BU62+CS62-EC62)+IF('2. START'!$C$14&gt;0,AW62-DQ62,0)</f>
        <v>0</v>
      </c>
      <c r="EP62" s="459">
        <f>(BV62+CT62-ED62)+IF('2. START'!$C$14&gt;0,AX62-DR62,0)</f>
        <v>0</v>
      </c>
      <c r="EQ62" s="459">
        <f>(BW62+CU62-EE62)+IF('2. START'!$C$14&gt;0,AY62-DS62,0)</f>
        <v>0</v>
      </c>
      <c r="ER62" s="459">
        <f>(BX62+CV62-EF62)+IF('2. START'!$C$14&gt;0,AZ62-DT62,0)</f>
        <v>0</v>
      </c>
      <c r="ES62" s="459">
        <f>(BY62+CW62-EG62)+IF('2. START'!$C$14&gt;0,BA62-DU62,0)</f>
        <v>0</v>
      </c>
      <c r="ET62" s="459">
        <f>(BZ62+CX62-EH62)+IF('2. START'!$C$14&gt;0,BB62-DV62,0)</f>
        <v>0</v>
      </c>
      <c r="EU62" s="459">
        <f>(CA62+CY62-EI62)+IF('2. START'!$C$14&gt;0,BC62-DW62,0)</f>
        <v>0</v>
      </c>
      <c r="EV62" s="460">
        <f t="shared" si="109"/>
        <v>0</v>
      </c>
      <c r="EW62" s="463"/>
      <c r="EX62" s="459">
        <f t="shared" si="110"/>
        <v>0</v>
      </c>
      <c r="EY62" s="459">
        <f t="shared" si="111"/>
        <v>0</v>
      </c>
      <c r="EZ62" s="459">
        <f t="shared" si="112"/>
        <v>0</v>
      </c>
      <c r="FA62" s="459">
        <f t="shared" si="113"/>
        <v>0</v>
      </c>
      <c r="FB62" s="459">
        <f t="shared" si="114"/>
        <v>0</v>
      </c>
      <c r="FC62" s="459">
        <f t="shared" si="115"/>
        <v>0</v>
      </c>
      <c r="FD62" s="459">
        <f t="shared" si="116"/>
        <v>0</v>
      </c>
      <c r="FE62" s="459">
        <f t="shared" si="117"/>
        <v>0</v>
      </c>
      <c r="FF62" s="459">
        <f t="shared" si="118"/>
        <v>0</v>
      </c>
      <c r="FG62" s="459">
        <f t="shared" si="119"/>
        <v>0</v>
      </c>
      <c r="FH62" s="460">
        <f t="shared" si="120"/>
        <v>0</v>
      </c>
      <c r="FI62" s="463"/>
      <c r="FJ62" s="459">
        <f t="shared" si="121"/>
        <v>0</v>
      </c>
      <c r="FK62" s="459">
        <f t="shared" si="122"/>
        <v>0</v>
      </c>
      <c r="FL62" s="459">
        <f t="shared" si="123"/>
        <v>0</v>
      </c>
      <c r="FM62" s="459">
        <f t="shared" si="124"/>
        <v>0</v>
      </c>
      <c r="FN62" s="459">
        <f t="shared" si="125"/>
        <v>0</v>
      </c>
      <c r="FO62" s="459">
        <f t="shared" si="126"/>
        <v>0</v>
      </c>
      <c r="FP62" s="459">
        <f t="shared" si="127"/>
        <v>0</v>
      </c>
      <c r="FQ62" s="459">
        <f t="shared" si="128"/>
        <v>0</v>
      </c>
      <c r="FR62" s="459">
        <f t="shared" si="129"/>
        <v>0</v>
      </c>
      <c r="FS62" s="459">
        <f t="shared" si="130"/>
        <v>0</v>
      </c>
      <c r="FT62" s="460">
        <f t="shared" si="131"/>
        <v>0</v>
      </c>
    </row>
    <row r="63" spans="2:176" s="270" customFormat="1" ht="15" customHeight="1" x14ac:dyDescent="0.25">
      <c r="B63" s="464" t="str">
        <f>'2. START'!C$7</f>
        <v>100GEM</v>
      </c>
      <c r="C63" s="470"/>
      <c r="D63" s="590"/>
      <c r="E63" s="514">
        <v>0</v>
      </c>
      <c r="F63" s="467"/>
      <c r="G63" s="432"/>
      <c r="H63" s="432"/>
      <c r="I63" s="432"/>
      <c r="J63" s="432"/>
      <c r="K63" s="432"/>
      <c r="L63" s="432"/>
      <c r="M63" s="432"/>
      <c r="N63" s="432"/>
      <c r="O63" s="432"/>
      <c r="P63" s="432"/>
      <c r="Q63" s="545">
        <f>SUMIF('3. PARTNER'!$B$13:$B$80,$B63,'3. PARTNER'!$F$13:$F$80)</f>
        <v>0.02</v>
      </c>
      <c r="R63" s="466">
        <f t="shared" si="205"/>
        <v>0.02</v>
      </c>
      <c r="S63" s="466">
        <f t="shared" si="205"/>
        <v>0.02</v>
      </c>
      <c r="T63" s="466">
        <f t="shared" si="205"/>
        <v>0.02</v>
      </c>
      <c r="U63" s="466">
        <f t="shared" si="205"/>
        <v>0.02</v>
      </c>
      <c r="V63" s="466">
        <f t="shared" si="205"/>
        <v>0.02</v>
      </c>
      <c r="W63" s="466">
        <f t="shared" si="205"/>
        <v>0.02</v>
      </c>
      <c r="X63" s="466">
        <f t="shared" si="205"/>
        <v>0.02</v>
      </c>
      <c r="Y63" s="466">
        <f t="shared" si="205"/>
        <v>0.02</v>
      </c>
      <c r="Z63" s="466">
        <f t="shared" si="205"/>
        <v>0.02</v>
      </c>
      <c r="AA63" s="434">
        <f>SUMIF('3. PARTNER'!B$13:B$80,B63,'3. PARTNER'!E$13:E$80)</f>
        <v>0.5595</v>
      </c>
      <c r="AB63" s="435">
        <f>IF('2. START'!$C$20="UTB",(SUMIF('3. PARTNER'!B$13:B$80,B63,'3. PARTNER'!K$13:K$80))+(SUMIF('3. PARTNER'!B$13:B$80,B63,'3. PARTNER'!M$13:M$80)),(SUMIF('3. PARTNER'!B$13:B$80,B63,'3. PARTNER'!G$13:G$80))+(SUMIF('3. PARTNER'!B$13:B$80,B63,'3. PARTNER'!I$13:I$80)))</f>
        <v>0.16000843770704321</v>
      </c>
      <c r="AC63" s="435">
        <f>IF('2. START'!$C$20="UTB",(SUMIF('3. PARTNER'!B$13:B$80,B63,'3. PARTNER'!L$13:L$80))+(SUMIF('3. PARTNER'!B$13:B$80,B63,'3. PARTNER'!N$13:N$80)),(SUMIF('3. PARTNER'!B$13:B$80,B63,'3. PARTNER'!H$13:H$80))+(SUMIF('3. PARTNER'!B$13:B$80,B63,'3. PARTNER'!J$13:J$80)))</f>
        <v>0</v>
      </c>
      <c r="AD63" s="435">
        <f>IF('2. START'!C$11="NO",'2. START'!C$12,0)</f>
        <v>0</v>
      </c>
      <c r="AE63" s="436">
        <f t="shared" si="98"/>
        <v>0</v>
      </c>
      <c r="AF63" s="436">
        <f t="shared" si="99"/>
        <v>0</v>
      </c>
      <c r="AG63" s="437"/>
      <c r="AH63" s="438">
        <f t="shared" si="135"/>
        <v>0</v>
      </c>
      <c r="AI63" s="438">
        <f t="shared" si="136"/>
        <v>0</v>
      </c>
      <c r="AJ63" s="438">
        <f t="shared" si="137"/>
        <v>0</v>
      </c>
      <c r="AK63" s="438">
        <f t="shared" si="138"/>
        <v>0</v>
      </c>
      <c r="AL63" s="438">
        <f t="shared" si="139"/>
        <v>0</v>
      </c>
      <c r="AM63" s="438">
        <f t="shared" si="140"/>
        <v>0</v>
      </c>
      <c r="AN63" s="438">
        <f t="shared" si="141"/>
        <v>0</v>
      </c>
      <c r="AO63" s="438">
        <f t="shared" si="142"/>
        <v>0</v>
      </c>
      <c r="AP63" s="438">
        <f t="shared" si="143"/>
        <v>0</v>
      </c>
      <c r="AQ63" s="438">
        <f t="shared" si="144"/>
        <v>0</v>
      </c>
      <c r="AR63" s="439">
        <f t="shared" si="100"/>
        <v>0</v>
      </c>
      <c r="AS63" s="440"/>
      <c r="AT63" s="438">
        <f t="shared" si="145"/>
        <v>0</v>
      </c>
      <c r="AU63" s="438">
        <f t="shared" si="146"/>
        <v>0</v>
      </c>
      <c r="AV63" s="438">
        <f t="shared" si="147"/>
        <v>0</v>
      </c>
      <c r="AW63" s="438">
        <f t="shared" si="148"/>
        <v>0</v>
      </c>
      <c r="AX63" s="438">
        <f t="shared" si="149"/>
        <v>0</v>
      </c>
      <c r="AY63" s="438">
        <f t="shared" si="150"/>
        <v>0</v>
      </c>
      <c r="AZ63" s="438">
        <f t="shared" si="151"/>
        <v>0</v>
      </c>
      <c r="BA63" s="438">
        <f t="shared" si="152"/>
        <v>0</v>
      </c>
      <c r="BB63" s="438">
        <f t="shared" si="153"/>
        <v>0</v>
      </c>
      <c r="BC63" s="438">
        <f t="shared" si="154"/>
        <v>0</v>
      </c>
      <c r="BD63" s="439">
        <f t="shared" si="101"/>
        <v>0</v>
      </c>
      <c r="BE63" s="440"/>
      <c r="BF63" s="438">
        <f t="shared" si="155"/>
        <v>0</v>
      </c>
      <c r="BG63" s="438">
        <f t="shared" si="156"/>
        <v>0</v>
      </c>
      <c r="BH63" s="438">
        <f t="shared" si="157"/>
        <v>0</v>
      </c>
      <c r="BI63" s="438">
        <f t="shared" si="158"/>
        <v>0</v>
      </c>
      <c r="BJ63" s="438">
        <f t="shared" si="159"/>
        <v>0</v>
      </c>
      <c r="BK63" s="438">
        <f t="shared" si="160"/>
        <v>0</v>
      </c>
      <c r="BL63" s="438">
        <f t="shared" si="161"/>
        <v>0</v>
      </c>
      <c r="BM63" s="438">
        <f t="shared" si="162"/>
        <v>0</v>
      </c>
      <c r="BN63" s="438">
        <f t="shared" si="163"/>
        <v>0</v>
      </c>
      <c r="BO63" s="438">
        <f t="shared" si="164"/>
        <v>0</v>
      </c>
      <c r="BP63" s="439">
        <f t="shared" si="102"/>
        <v>0</v>
      </c>
      <c r="BR63" s="442">
        <f t="shared" si="165"/>
        <v>0</v>
      </c>
      <c r="BS63" s="442">
        <f t="shared" si="166"/>
        <v>0</v>
      </c>
      <c r="BT63" s="442">
        <f t="shared" si="167"/>
        <v>0</v>
      </c>
      <c r="BU63" s="442">
        <f t="shared" si="168"/>
        <v>0</v>
      </c>
      <c r="BV63" s="442">
        <f t="shared" si="169"/>
        <v>0</v>
      </c>
      <c r="BW63" s="442">
        <f t="shared" si="170"/>
        <v>0</v>
      </c>
      <c r="BX63" s="442">
        <f t="shared" si="171"/>
        <v>0</v>
      </c>
      <c r="BY63" s="442">
        <f t="shared" si="172"/>
        <v>0</v>
      </c>
      <c r="BZ63" s="442">
        <f t="shared" si="173"/>
        <v>0</v>
      </c>
      <c r="CA63" s="442">
        <f t="shared" si="174"/>
        <v>0</v>
      </c>
      <c r="CB63" s="443">
        <f t="shared" si="103"/>
        <v>0</v>
      </c>
      <c r="CD63" s="445">
        <f t="shared" si="175"/>
        <v>0</v>
      </c>
      <c r="CE63" s="445">
        <f t="shared" si="176"/>
        <v>0</v>
      </c>
      <c r="CF63" s="445">
        <f t="shared" si="177"/>
        <v>0</v>
      </c>
      <c r="CG63" s="445">
        <f t="shared" si="178"/>
        <v>0</v>
      </c>
      <c r="CH63" s="445">
        <f t="shared" si="179"/>
        <v>0</v>
      </c>
      <c r="CI63" s="445">
        <f t="shared" si="180"/>
        <v>0</v>
      </c>
      <c r="CJ63" s="445">
        <f t="shared" si="181"/>
        <v>0</v>
      </c>
      <c r="CK63" s="445">
        <f t="shared" si="182"/>
        <v>0</v>
      </c>
      <c r="CL63" s="445">
        <f t="shared" si="183"/>
        <v>0</v>
      </c>
      <c r="CM63" s="445">
        <f t="shared" si="184"/>
        <v>0</v>
      </c>
      <c r="CN63" s="443">
        <f t="shared" si="104"/>
        <v>0</v>
      </c>
      <c r="CP63" s="442">
        <f t="shared" si="185"/>
        <v>0</v>
      </c>
      <c r="CQ63" s="442">
        <f t="shared" si="186"/>
        <v>0</v>
      </c>
      <c r="CR63" s="442">
        <f t="shared" si="187"/>
        <v>0</v>
      </c>
      <c r="CS63" s="442">
        <f t="shared" si="188"/>
        <v>0</v>
      </c>
      <c r="CT63" s="442">
        <f t="shared" si="189"/>
        <v>0</v>
      </c>
      <c r="CU63" s="442">
        <f t="shared" si="190"/>
        <v>0</v>
      </c>
      <c r="CV63" s="442">
        <f t="shared" si="191"/>
        <v>0</v>
      </c>
      <c r="CW63" s="442">
        <f t="shared" si="192"/>
        <v>0</v>
      </c>
      <c r="CX63" s="442">
        <f t="shared" si="193"/>
        <v>0</v>
      </c>
      <c r="CY63" s="442">
        <f t="shared" si="194"/>
        <v>0</v>
      </c>
      <c r="CZ63" s="443">
        <f t="shared" si="105"/>
        <v>0</v>
      </c>
      <c r="DB63" s="442">
        <f t="shared" si="195"/>
        <v>0</v>
      </c>
      <c r="DC63" s="442">
        <f t="shared" si="196"/>
        <v>0</v>
      </c>
      <c r="DD63" s="442">
        <f t="shared" si="197"/>
        <v>0</v>
      </c>
      <c r="DE63" s="442">
        <f t="shared" si="198"/>
        <v>0</v>
      </c>
      <c r="DF63" s="442">
        <f t="shared" si="199"/>
        <v>0</v>
      </c>
      <c r="DG63" s="442">
        <f t="shared" si="200"/>
        <v>0</v>
      </c>
      <c r="DH63" s="442">
        <f t="shared" si="201"/>
        <v>0</v>
      </c>
      <c r="DI63" s="442">
        <f t="shared" si="202"/>
        <v>0</v>
      </c>
      <c r="DJ63" s="442">
        <f t="shared" si="203"/>
        <v>0</v>
      </c>
      <c r="DK63" s="442">
        <f t="shared" si="204"/>
        <v>0</v>
      </c>
      <c r="DL63" s="443">
        <f t="shared" si="106"/>
        <v>0</v>
      </c>
      <c r="DN63" s="442">
        <f>IF('2. START'!$C$14&gt;0,(AT63/(1+$AA63))*(1+'2. START'!$C$14),AT63)</f>
        <v>0</v>
      </c>
      <c r="DO63" s="442">
        <f>IF('2. START'!$C$14&gt;0,(AU63/(1+$AA63))*(1+'2. START'!$C$14),AU63)</f>
        <v>0</v>
      </c>
      <c r="DP63" s="442">
        <f>IF('2. START'!$C$14&gt;0,(AV63/(1+$AA63))*(1+'2. START'!$C$14),AV63)</f>
        <v>0</v>
      </c>
      <c r="DQ63" s="442">
        <f>IF('2. START'!$C$14&gt;0,(AW63/(1+$AA63))*(1+'2. START'!$C$14),AW63)</f>
        <v>0</v>
      </c>
      <c r="DR63" s="442">
        <f>IF('2. START'!$C$14&gt;0,(AX63/(1+$AA63))*(1+'2. START'!$C$14),AX63)</f>
        <v>0</v>
      </c>
      <c r="DS63" s="442">
        <f>IF('2. START'!$C$14&gt;0,(AY63/(1+$AA63))*(1+'2. START'!$C$14),AY63)</f>
        <v>0</v>
      </c>
      <c r="DT63" s="442">
        <f>IF('2. START'!$C$14&gt;0,(AZ63/(1+$AA63))*(1+'2. START'!$C$14),AZ63)</f>
        <v>0</v>
      </c>
      <c r="DU63" s="442">
        <f>IF('2. START'!$C$14&gt;0,(BA63/(1+$AA63))*(1+'2. START'!$C$14),BA63)</f>
        <v>0</v>
      </c>
      <c r="DV63" s="442">
        <f>IF('2. START'!$C$14&gt;0,(BB63/(1+$AA63))*(1+'2. START'!$C$14),BB63)</f>
        <v>0</v>
      </c>
      <c r="DW63" s="442">
        <f>IF('2. START'!$C$14&gt;0,(BC63/(1+$AA63))*(1+'2. START'!$C$14),BC63)</f>
        <v>0</v>
      </c>
      <c r="DX63" s="443">
        <f t="shared" si="107"/>
        <v>0</v>
      </c>
      <c r="DZ63" s="442">
        <f>IF('2. START'!$C$11="NO",(IF('2. START'!$C$14&gt;0,(DN63*$AD63),(AT63*$AD63))),(BR63+CP63))</f>
        <v>0</v>
      </c>
      <c r="EA63" s="442">
        <f>IF('2. START'!$C$11="NO",(IF('2. START'!$C$14&gt;0,(DO63*$AD63),(AU63*$AD63))),(BS63+CQ63))</f>
        <v>0</v>
      </c>
      <c r="EB63" s="442">
        <f>IF('2. START'!$C$11="NO",(IF('2. START'!$C$14&gt;0,(DP63*$AD63),(AV63*$AD63))),(BT63+CR63))</f>
        <v>0</v>
      </c>
      <c r="EC63" s="442">
        <f>IF('2. START'!$C$11="NO",(IF('2. START'!$C$14&gt;0,(DQ63*$AD63),(AW63*$AD63))),(BU63+CS63))</f>
        <v>0</v>
      </c>
      <c r="ED63" s="442">
        <f>IF('2. START'!$C$11="NO",(IF('2. START'!$C$14&gt;0,(DR63*$AD63),(AX63*$AD63))),(BV63+CT63))</f>
        <v>0</v>
      </c>
      <c r="EE63" s="442">
        <f>IF('2. START'!$C$11="NO",(IF('2. START'!$C$14&gt;0,(DS63*$AD63),(AY63*$AD63))),(BW63+CU63))</f>
        <v>0</v>
      </c>
      <c r="EF63" s="442">
        <f>IF('2. START'!$C$11="NO",(IF('2. START'!$C$14&gt;0,(DT63*$AD63),(AZ63*$AD63))),(BX63+CV63))</f>
        <v>0</v>
      </c>
      <c r="EG63" s="442">
        <f>IF('2. START'!$C$11="NO",(IF('2. START'!$C$14&gt;0,(DU63*$AD63),(BA63*$AD63))),(BY63+CW63))</f>
        <v>0</v>
      </c>
      <c r="EH63" s="442">
        <f>IF('2. START'!$C$11="NO",(IF('2. START'!$C$14&gt;0,(DV63*$AD63),(BB63*$AD63))),(BZ63+CX63))</f>
        <v>0</v>
      </c>
      <c r="EI63" s="442">
        <f>IF('2. START'!$C$11="NO",(IF('2. START'!$C$14&gt;0,(DW63*$AD63),(BC63*$AD63))),(CA63+CY63))</f>
        <v>0</v>
      </c>
      <c r="EJ63" s="443">
        <f t="shared" si="108"/>
        <v>0</v>
      </c>
      <c r="EL63" s="442">
        <f>(BR63+CP63-DZ63)+IF('2. START'!$C$14&gt;0,AT63-DN63,0)</f>
        <v>0</v>
      </c>
      <c r="EM63" s="442">
        <f>(BS63+CQ63-EA63)+IF('2. START'!$C$14&gt;0,AU63-DO63,0)</f>
        <v>0</v>
      </c>
      <c r="EN63" s="442">
        <f>(BT63+CR63-EB63)+IF('2. START'!$C$14&gt;0,AV63-DP63,0)</f>
        <v>0</v>
      </c>
      <c r="EO63" s="442">
        <f>(BU63+CS63-EC63)+IF('2. START'!$C$14&gt;0,AW63-DQ63,0)</f>
        <v>0</v>
      </c>
      <c r="EP63" s="442">
        <f>(BV63+CT63-ED63)+IF('2. START'!$C$14&gt;0,AX63-DR63,0)</f>
        <v>0</v>
      </c>
      <c r="EQ63" s="442">
        <f>(BW63+CU63-EE63)+IF('2. START'!$C$14&gt;0,AY63-DS63,0)</f>
        <v>0</v>
      </c>
      <c r="ER63" s="442">
        <f>(BX63+CV63-EF63)+IF('2. START'!$C$14&gt;0,AZ63-DT63,0)</f>
        <v>0</v>
      </c>
      <c r="ES63" s="442">
        <f>(BY63+CW63-EG63)+IF('2. START'!$C$14&gt;0,BA63-DU63,0)</f>
        <v>0</v>
      </c>
      <c r="ET63" s="442">
        <f>(BZ63+CX63-EH63)+IF('2. START'!$C$14&gt;0,BB63-DV63,0)</f>
        <v>0</v>
      </c>
      <c r="EU63" s="442">
        <f>(CA63+CY63-EI63)+IF('2. START'!$C$14&gt;0,BC63-DW63,0)</f>
        <v>0</v>
      </c>
      <c r="EV63" s="443">
        <f t="shared" si="109"/>
        <v>0</v>
      </c>
      <c r="EX63" s="442">
        <f t="shared" si="110"/>
        <v>0</v>
      </c>
      <c r="EY63" s="442">
        <f t="shared" si="111"/>
        <v>0</v>
      </c>
      <c r="EZ63" s="442">
        <f t="shared" si="112"/>
        <v>0</v>
      </c>
      <c r="FA63" s="442">
        <f t="shared" si="113"/>
        <v>0</v>
      </c>
      <c r="FB63" s="442">
        <f t="shared" si="114"/>
        <v>0</v>
      </c>
      <c r="FC63" s="442">
        <f t="shared" si="115"/>
        <v>0</v>
      </c>
      <c r="FD63" s="442">
        <f t="shared" si="116"/>
        <v>0</v>
      </c>
      <c r="FE63" s="442">
        <f t="shared" si="117"/>
        <v>0</v>
      </c>
      <c r="FF63" s="442">
        <f t="shared" si="118"/>
        <v>0</v>
      </c>
      <c r="FG63" s="442">
        <f t="shared" si="119"/>
        <v>0</v>
      </c>
      <c r="FH63" s="443">
        <f t="shared" si="120"/>
        <v>0</v>
      </c>
      <c r="FJ63" s="442">
        <f t="shared" si="121"/>
        <v>0</v>
      </c>
      <c r="FK63" s="442">
        <f t="shared" si="122"/>
        <v>0</v>
      </c>
      <c r="FL63" s="442">
        <f t="shared" si="123"/>
        <v>0</v>
      </c>
      <c r="FM63" s="442">
        <f t="shared" si="124"/>
        <v>0</v>
      </c>
      <c r="FN63" s="442">
        <f t="shared" si="125"/>
        <v>0</v>
      </c>
      <c r="FO63" s="442">
        <f t="shared" si="126"/>
        <v>0</v>
      </c>
      <c r="FP63" s="442">
        <f t="shared" si="127"/>
        <v>0</v>
      </c>
      <c r="FQ63" s="442">
        <f t="shared" si="128"/>
        <v>0</v>
      </c>
      <c r="FR63" s="442">
        <f t="shared" si="129"/>
        <v>0</v>
      </c>
      <c r="FS63" s="442">
        <f t="shared" si="130"/>
        <v>0</v>
      </c>
      <c r="FT63" s="443">
        <f t="shared" si="131"/>
        <v>0</v>
      </c>
    </row>
    <row r="64" spans="2:176" s="270" customFormat="1" ht="15" customHeight="1" x14ac:dyDescent="0.25">
      <c r="B64" s="446" t="str">
        <f>'2. START'!C$7</f>
        <v>100GEM</v>
      </c>
      <c r="C64" s="469"/>
      <c r="D64" s="589"/>
      <c r="E64" s="544">
        <v>0</v>
      </c>
      <c r="F64" s="448"/>
      <c r="G64" s="449"/>
      <c r="H64" s="449"/>
      <c r="I64" s="449"/>
      <c r="J64" s="449"/>
      <c r="K64" s="449"/>
      <c r="L64" s="449"/>
      <c r="M64" s="449"/>
      <c r="N64" s="449"/>
      <c r="O64" s="449"/>
      <c r="P64" s="449"/>
      <c r="Q64" s="546">
        <f>SUMIF('3. PARTNER'!$B$13:$B$80,$B64,'3. PARTNER'!$F$13:$F$80)</f>
        <v>0.02</v>
      </c>
      <c r="R64" s="450">
        <f t="shared" si="205"/>
        <v>0.02</v>
      </c>
      <c r="S64" s="450">
        <f t="shared" si="205"/>
        <v>0.02</v>
      </c>
      <c r="T64" s="450">
        <f t="shared" si="205"/>
        <v>0.02</v>
      </c>
      <c r="U64" s="450">
        <f t="shared" si="205"/>
        <v>0.02</v>
      </c>
      <c r="V64" s="450">
        <f t="shared" si="205"/>
        <v>0.02</v>
      </c>
      <c r="W64" s="450">
        <f t="shared" si="205"/>
        <v>0.02</v>
      </c>
      <c r="X64" s="450">
        <f t="shared" si="205"/>
        <v>0.02</v>
      </c>
      <c r="Y64" s="450">
        <f t="shared" si="205"/>
        <v>0.02</v>
      </c>
      <c r="Z64" s="450">
        <f t="shared" si="205"/>
        <v>0.02</v>
      </c>
      <c r="AA64" s="451">
        <f>SUMIF('3. PARTNER'!B$13:B$80,B64,'3. PARTNER'!E$13:E$80)</f>
        <v>0.5595</v>
      </c>
      <c r="AB64" s="452">
        <f>IF('2. START'!$C$20="UTB",(SUMIF('3. PARTNER'!B$13:B$80,B64,'3. PARTNER'!K$13:K$80))+(SUMIF('3. PARTNER'!B$13:B$80,B64,'3. PARTNER'!M$13:M$80)),(SUMIF('3. PARTNER'!B$13:B$80,B64,'3. PARTNER'!G$13:G$80))+(SUMIF('3. PARTNER'!B$13:B$80,B64,'3. PARTNER'!I$13:I$80)))</f>
        <v>0.16000843770704321</v>
      </c>
      <c r="AC64" s="452">
        <f>IF('2. START'!$C$20="UTB",(SUMIF('3. PARTNER'!B$13:B$80,B64,'3. PARTNER'!L$13:L$80))+(SUMIF('3. PARTNER'!B$13:B$80,B64,'3. PARTNER'!N$13:N$80)),(SUMIF('3. PARTNER'!B$13:B$80,B64,'3. PARTNER'!H$13:H$80))+(SUMIF('3. PARTNER'!B$13:B$80,B64,'3. PARTNER'!J$13:J$80)))</f>
        <v>0</v>
      </c>
      <c r="AD64" s="452">
        <f>IF('2. START'!C$11="NO",'2. START'!C$12,0)</f>
        <v>0</v>
      </c>
      <c r="AE64" s="453">
        <f t="shared" si="98"/>
        <v>0</v>
      </c>
      <c r="AF64" s="453">
        <f t="shared" si="99"/>
        <v>0</v>
      </c>
      <c r="AG64" s="454"/>
      <c r="AH64" s="455">
        <f t="shared" si="135"/>
        <v>0</v>
      </c>
      <c r="AI64" s="455">
        <f t="shared" si="136"/>
        <v>0</v>
      </c>
      <c r="AJ64" s="455">
        <f t="shared" si="137"/>
        <v>0</v>
      </c>
      <c r="AK64" s="455">
        <f t="shared" si="138"/>
        <v>0</v>
      </c>
      <c r="AL64" s="455">
        <f t="shared" si="139"/>
        <v>0</v>
      </c>
      <c r="AM64" s="455">
        <f t="shared" si="140"/>
        <v>0</v>
      </c>
      <c r="AN64" s="455">
        <f t="shared" si="141"/>
        <v>0</v>
      </c>
      <c r="AO64" s="455">
        <f t="shared" si="142"/>
        <v>0</v>
      </c>
      <c r="AP64" s="455">
        <f t="shared" si="143"/>
        <v>0</v>
      </c>
      <c r="AQ64" s="455">
        <f t="shared" si="144"/>
        <v>0</v>
      </c>
      <c r="AR64" s="456">
        <f t="shared" si="100"/>
        <v>0</v>
      </c>
      <c r="AS64" s="457"/>
      <c r="AT64" s="455">
        <f t="shared" si="145"/>
        <v>0</v>
      </c>
      <c r="AU64" s="455">
        <f t="shared" si="146"/>
        <v>0</v>
      </c>
      <c r="AV64" s="455">
        <f t="shared" si="147"/>
        <v>0</v>
      </c>
      <c r="AW64" s="455">
        <f t="shared" si="148"/>
        <v>0</v>
      </c>
      <c r="AX64" s="455">
        <f t="shared" si="149"/>
        <v>0</v>
      </c>
      <c r="AY64" s="455">
        <f t="shared" si="150"/>
        <v>0</v>
      </c>
      <c r="AZ64" s="455">
        <f t="shared" si="151"/>
        <v>0</v>
      </c>
      <c r="BA64" s="455">
        <f t="shared" si="152"/>
        <v>0</v>
      </c>
      <c r="BB64" s="455">
        <f t="shared" si="153"/>
        <v>0</v>
      </c>
      <c r="BC64" s="455">
        <f t="shared" si="154"/>
        <v>0</v>
      </c>
      <c r="BD64" s="456">
        <f t="shared" si="101"/>
        <v>0</v>
      </c>
      <c r="BE64" s="457"/>
      <c r="BF64" s="455">
        <f t="shared" si="155"/>
        <v>0</v>
      </c>
      <c r="BG64" s="455">
        <f t="shared" si="156"/>
        <v>0</v>
      </c>
      <c r="BH64" s="455">
        <f t="shared" si="157"/>
        <v>0</v>
      </c>
      <c r="BI64" s="455">
        <f t="shared" si="158"/>
        <v>0</v>
      </c>
      <c r="BJ64" s="455">
        <f t="shared" si="159"/>
        <v>0</v>
      </c>
      <c r="BK64" s="455">
        <f t="shared" si="160"/>
        <v>0</v>
      </c>
      <c r="BL64" s="455">
        <f t="shared" si="161"/>
        <v>0</v>
      </c>
      <c r="BM64" s="455">
        <f t="shared" si="162"/>
        <v>0</v>
      </c>
      <c r="BN64" s="455">
        <f t="shared" si="163"/>
        <v>0</v>
      </c>
      <c r="BO64" s="455">
        <f t="shared" si="164"/>
        <v>0</v>
      </c>
      <c r="BP64" s="456">
        <f t="shared" si="102"/>
        <v>0</v>
      </c>
      <c r="BQ64" s="463"/>
      <c r="BR64" s="459">
        <f t="shared" si="165"/>
        <v>0</v>
      </c>
      <c r="BS64" s="459">
        <f t="shared" si="166"/>
        <v>0</v>
      </c>
      <c r="BT64" s="459">
        <f t="shared" si="167"/>
        <v>0</v>
      </c>
      <c r="BU64" s="459">
        <f t="shared" si="168"/>
        <v>0</v>
      </c>
      <c r="BV64" s="459">
        <f t="shared" si="169"/>
        <v>0</v>
      </c>
      <c r="BW64" s="459">
        <f t="shared" si="170"/>
        <v>0</v>
      </c>
      <c r="BX64" s="459">
        <f t="shared" si="171"/>
        <v>0</v>
      </c>
      <c r="BY64" s="459">
        <f t="shared" si="172"/>
        <v>0</v>
      </c>
      <c r="BZ64" s="459">
        <f t="shared" si="173"/>
        <v>0</v>
      </c>
      <c r="CA64" s="459">
        <f t="shared" si="174"/>
        <v>0</v>
      </c>
      <c r="CB64" s="460">
        <f t="shared" si="103"/>
        <v>0</v>
      </c>
      <c r="CC64" s="463"/>
      <c r="CD64" s="462">
        <f t="shared" si="175"/>
        <v>0</v>
      </c>
      <c r="CE64" s="462">
        <f t="shared" si="176"/>
        <v>0</v>
      </c>
      <c r="CF64" s="462">
        <f t="shared" si="177"/>
        <v>0</v>
      </c>
      <c r="CG64" s="462">
        <f t="shared" si="178"/>
        <v>0</v>
      </c>
      <c r="CH64" s="462">
        <f t="shared" si="179"/>
        <v>0</v>
      </c>
      <c r="CI64" s="462">
        <f t="shared" si="180"/>
        <v>0</v>
      </c>
      <c r="CJ64" s="462">
        <f t="shared" si="181"/>
        <v>0</v>
      </c>
      <c r="CK64" s="462">
        <f t="shared" si="182"/>
        <v>0</v>
      </c>
      <c r="CL64" s="462">
        <f t="shared" si="183"/>
        <v>0</v>
      </c>
      <c r="CM64" s="462">
        <f t="shared" si="184"/>
        <v>0</v>
      </c>
      <c r="CN64" s="460">
        <f t="shared" si="104"/>
        <v>0</v>
      </c>
      <c r="CO64" s="463"/>
      <c r="CP64" s="459">
        <f t="shared" si="185"/>
        <v>0</v>
      </c>
      <c r="CQ64" s="459">
        <f t="shared" si="186"/>
        <v>0</v>
      </c>
      <c r="CR64" s="459">
        <f t="shared" si="187"/>
        <v>0</v>
      </c>
      <c r="CS64" s="459">
        <f t="shared" si="188"/>
        <v>0</v>
      </c>
      <c r="CT64" s="459">
        <f t="shared" si="189"/>
        <v>0</v>
      </c>
      <c r="CU64" s="459">
        <f t="shared" si="190"/>
        <v>0</v>
      </c>
      <c r="CV64" s="459">
        <f t="shared" si="191"/>
        <v>0</v>
      </c>
      <c r="CW64" s="459">
        <f t="shared" si="192"/>
        <v>0</v>
      </c>
      <c r="CX64" s="459">
        <f t="shared" si="193"/>
        <v>0</v>
      </c>
      <c r="CY64" s="459">
        <f t="shared" si="194"/>
        <v>0</v>
      </c>
      <c r="CZ64" s="460">
        <f t="shared" si="105"/>
        <v>0</v>
      </c>
      <c r="DA64" s="463"/>
      <c r="DB64" s="459">
        <f t="shared" si="195"/>
        <v>0</v>
      </c>
      <c r="DC64" s="459">
        <f t="shared" si="196"/>
        <v>0</v>
      </c>
      <c r="DD64" s="459">
        <f t="shared" si="197"/>
        <v>0</v>
      </c>
      <c r="DE64" s="459">
        <f t="shared" si="198"/>
        <v>0</v>
      </c>
      <c r="DF64" s="459">
        <f t="shared" si="199"/>
        <v>0</v>
      </c>
      <c r="DG64" s="459">
        <f t="shared" si="200"/>
        <v>0</v>
      </c>
      <c r="DH64" s="459">
        <f t="shared" si="201"/>
        <v>0</v>
      </c>
      <c r="DI64" s="459">
        <f t="shared" si="202"/>
        <v>0</v>
      </c>
      <c r="DJ64" s="459">
        <f t="shared" si="203"/>
        <v>0</v>
      </c>
      <c r="DK64" s="459">
        <f t="shared" si="204"/>
        <v>0</v>
      </c>
      <c r="DL64" s="460">
        <f t="shared" si="106"/>
        <v>0</v>
      </c>
      <c r="DM64" s="463"/>
      <c r="DN64" s="442">
        <f>IF('2. START'!$C$14&gt;0,(AT64/(1+$AA64))*(1+'2. START'!$C$14),AT64)</f>
        <v>0</v>
      </c>
      <c r="DO64" s="442">
        <f>IF('2. START'!$C$14&gt;0,(AU64/(1+$AA64))*(1+'2. START'!$C$14),AU64)</f>
        <v>0</v>
      </c>
      <c r="DP64" s="442">
        <f>IF('2. START'!$C$14&gt;0,(AV64/(1+$AA64))*(1+'2. START'!$C$14),AV64)</f>
        <v>0</v>
      </c>
      <c r="DQ64" s="442">
        <f>IF('2. START'!$C$14&gt;0,(AW64/(1+$AA64))*(1+'2. START'!$C$14),AW64)</f>
        <v>0</v>
      </c>
      <c r="DR64" s="442">
        <f>IF('2. START'!$C$14&gt;0,(AX64/(1+$AA64))*(1+'2. START'!$C$14),AX64)</f>
        <v>0</v>
      </c>
      <c r="DS64" s="442">
        <f>IF('2. START'!$C$14&gt;0,(AY64/(1+$AA64))*(1+'2. START'!$C$14),AY64)</f>
        <v>0</v>
      </c>
      <c r="DT64" s="442">
        <f>IF('2. START'!$C$14&gt;0,(AZ64/(1+$AA64))*(1+'2. START'!$C$14),AZ64)</f>
        <v>0</v>
      </c>
      <c r="DU64" s="442">
        <f>IF('2. START'!$C$14&gt;0,(BA64/(1+$AA64))*(1+'2. START'!$C$14),BA64)</f>
        <v>0</v>
      </c>
      <c r="DV64" s="442">
        <f>IF('2. START'!$C$14&gt;0,(BB64/(1+$AA64))*(1+'2. START'!$C$14),BB64)</f>
        <v>0</v>
      </c>
      <c r="DW64" s="442">
        <f>IF('2. START'!$C$14&gt;0,(BC64/(1+$AA64))*(1+'2. START'!$C$14),BC64)</f>
        <v>0</v>
      </c>
      <c r="DX64" s="460">
        <f t="shared" si="107"/>
        <v>0</v>
      </c>
      <c r="DY64" s="463"/>
      <c r="DZ64" s="459">
        <f>IF('2. START'!$C$11="NO",(IF('2. START'!$C$14&gt;0,(DN64*$AD64),(AT64*$AD64))),(BR64+CP64))</f>
        <v>0</v>
      </c>
      <c r="EA64" s="459">
        <f>IF('2. START'!$C$11="NO",(IF('2. START'!$C$14&gt;0,(DO64*$AD64),(AU64*$AD64))),(BS64+CQ64))</f>
        <v>0</v>
      </c>
      <c r="EB64" s="459">
        <f>IF('2. START'!$C$11="NO",(IF('2. START'!$C$14&gt;0,(DP64*$AD64),(AV64*$AD64))),(BT64+CR64))</f>
        <v>0</v>
      </c>
      <c r="EC64" s="459">
        <f>IF('2. START'!$C$11="NO",(IF('2. START'!$C$14&gt;0,(DQ64*$AD64),(AW64*$AD64))),(BU64+CS64))</f>
        <v>0</v>
      </c>
      <c r="ED64" s="459">
        <f>IF('2. START'!$C$11="NO",(IF('2. START'!$C$14&gt;0,(DR64*$AD64),(AX64*$AD64))),(BV64+CT64))</f>
        <v>0</v>
      </c>
      <c r="EE64" s="459">
        <f>IF('2. START'!$C$11="NO",(IF('2. START'!$C$14&gt;0,(DS64*$AD64),(AY64*$AD64))),(BW64+CU64))</f>
        <v>0</v>
      </c>
      <c r="EF64" s="459">
        <f>IF('2. START'!$C$11="NO",(IF('2. START'!$C$14&gt;0,(DT64*$AD64),(AZ64*$AD64))),(BX64+CV64))</f>
        <v>0</v>
      </c>
      <c r="EG64" s="459">
        <f>IF('2. START'!$C$11="NO",(IF('2. START'!$C$14&gt;0,(DU64*$AD64),(BA64*$AD64))),(BY64+CW64))</f>
        <v>0</v>
      </c>
      <c r="EH64" s="459">
        <f>IF('2. START'!$C$11="NO",(IF('2. START'!$C$14&gt;0,(DV64*$AD64),(BB64*$AD64))),(BZ64+CX64))</f>
        <v>0</v>
      </c>
      <c r="EI64" s="459">
        <f>IF('2. START'!$C$11="NO",(IF('2. START'!$C$14&gt;0,(DW64*$AD64),(BC64*$AD64))),(CA64+CY64))</f>
        <v>0</v>
      </c>
      <c r="EJ64" s="460">
        <f t="shared" si="108"/>
        <v>0</v>
      </c>
      <c r="EK64" s="463"/>
      <c r="EL64" s="459">
        <f>(BR64+CP64-DZ64)+IF('2. START'!$C$14&gt;0,AT64-DN64,0)</f>
        <v>0</v>
      </c>
      <c r="EM64" s="459">
        <f>(BS64+CQ64-EA64)+IF('2. START'!$C$14&gt;0,AU64-DO64,0)</f>
        <v>0</v>
      </c>
      <c r="EN64" s="459">
        <f>(BT64+CR64-EB64)+IF('2. START'!$C$14&gt;0,AV64-DP64,0)</f>
        <v>0</v>
      </c>
      <c r="EO64" s="459">
        <f>(BU64+CS64-EC64)+IF('2. START'!$C$14&gt;0,AW64-DQ64,0)</f>
        <v>0</v>
      </c>
      <c r="EP64" s="459">
        <f>(BV64+CT64-ED64)+IF('2. START'!$C$14&gt;0,AX64-DR64,0)</f>
        <v>0</v>
      </c>
      <c r="EQ64" s="459">
        <f>(BW64+CU64-EE64)+IF('2. START'!$C$14&gt;0,AY64-DS64,0)</f>
        <v>0</v>
      </c>
      <c r="ER64" s="459">
        <f>(BX64+CV64-EF64)+IF('2. START'!$C$14&gt;0,AZ64-DT64,0)</f>
        <v>0</v>
      </c>
      <c r="ES64" s="459">
        <f>(BY64+CW64-EG64)+IF('2. START'!$C$14&gt;0,BA64-DU64,0)</f>
        <v>0</v>
      </c>
      <c r="ET64" s="459">
        <f>(BZ64+CX64-EH64)+IF('2. START'!$C$14&gt;0,BB64-DV64,0)</f>
        <v>0</v>
      </c>
      <c r="EU64" s="459">
        <f>(CA64+CY64-EI64)+IF('2. START'!$C$14&gt;0,BC64-DW64,0)</f>
        <v>0</v>
      </c>
      <c r="EV64" s="460">
        <f t="shared" si="109"/>
        <v>0</v>
      </c>
      <c r="EW64" s="463"/>
      <c r="EX64" s="459">
        <f t="shared" si="110"/>
        <v>0</v>
      </c>
      <c r="EY64" s="459">
        <f t="shared" si="111"/>
        <v>0</v>
      </c>
      <c r="EZ64" s="459">
        <f t="shared" si="112"/>
        <v>0</v>
      </c>
      <c r="FA64" s="459">
        <f t="shared" si="113"/>
        <v>0</v>
      </c>
      <c r="FB64" s="459">
        <f t="shared" si="114"/>
        <v>0</v>
      </c>
      <c r="FC64" s="459">
        <f t="shared" si="115"/>
        <v>0</v>
      </c>
      <c r="FD64" s="459">
        <f t="shared" si="116"/>
        <v>0</v>
      </c>
      <c r="FE64" s="459">
        <f t="shared" si="117"/>
        <v>0</v>
      </c>
      <c r="FF64" s="459">
        <f t="shared" si="118"/>
        <v>0</v>
      </c>
      <c r="FG64" s="459">
        <f t="shared" si="119"/>
        <v>0</v>
      </c>
      <c r="FH64" s="460">
        <f t="shared" si="120"/>
        <v>0</v>
      </c>
      <c r="FI64" s="463"/>
      <c r="FJ64" s="459">
        <f t="shared" si="121"/>
        <v>0</v>
      </c>
      <c r="FK64" s="459">
        <f t="shared" si="122"/>
        <v>0</v>
      </c>
      <c r="FL64" s="459">
        <f t="shared" si="123"/>
        <v>0</v>
      </c>
      <c r="FM64" s="459">
        <f t="shared" si="124"/>
        <v>0</v>
      </c>
      <c r="FN64" s="459">
        <f t="shared" si="125"/>
        <v>0</v>
      </c>
      <c r="FO64" s="459">
        <f t="shared" si="126"/>
        <v>0</v>
      </c>
      <c r="FP64" s="459">
        <f t="shared" si="127"/>
        <v>0</v>
      </c>
      <c r="FQ64" s="459">
        <f t="shared" si="128"/>
        <v>0</v>
      </c>
      <c r="FR64" s="459">
        <f t="shared" si="129"/>
        <v>0</v>
      </c>
      <c r="FS64" s="459">
        <f t="shared" si="130"/>
        <v>0</v>
      </c>
      <c r="FT64" s="460">
        <f t="shared" si="131"/>
        <v>0</v>
      </c>
    </row>
    <row r="65" spans="2:176" s="270" customFormat="1" ht="15" customHeight="1" x14ac:dyDescent="0.25">
      <c r="B65" s="464" t="str">
        <f>'2. START'!C$7</f>
        <v>100GEM</v>
      </c>
      <c r="C65" s="470"/>
      <c r="D65" s="590"/>
      <c r="E65" s="514">
        <v>0</v>
      </c>
      <c r="F65" s="467"/>
      <c r="G65" s="432"/>
      <c r="H65" s="432"/>
      <c r="I65" s="432"/>
      <c r="J65" s="432"/>
      <c r="K65" s="432"/>
      <c r="L65" s="432"/>
      <c r="M65" s="432"/>
      <c r="N65" s="432"/>
      <c r="O65" s="432"/>
      <c r="P65" s="432"/>
      <c r="Q65" s="545">
        <f>SUMIF('3. PARTNER'!$B$13:$B$80,$B65,'3. PARTNER'!$F$13:$F$80)</f>
        <v>0.02</v>
      </c>
      <c r="R65" s="466">
        <f t="shared" si="205"/>
        <v>0.02</v>
      </c>
      <c r="S65" s="466">
        <f t="shared" si="205"/>
        <v>0.02</v>
      </c>
      <c r="T65" s="466">
        <f t="shared" si="205"/>
        <v>0.02</v>
      </c>
      <c r="U65" s="466">
        <f t="shared" si="205"/>
        <v>0.02</v>
      </c>
      <c r="V65" s="466">
        <f t="shared" si="205"/>
        <v>0.02</v>
      </c>
      <c r="W65" s="466">
        <f t="shared" si="205"/>
        <v>0.02</v>
      </c>
      <c r="X65" s="466">
        <f t="shared" si="205"/>
        <v>0.02</v>
      </c>
      <c r="Y65" s="466">
        <f t="shared" si="205"/>
        <v>0.02</v>
      </c>
      <c r="Z65" s="466">
        <f t="shared" si="205"/>
        <v>0.02</v>
      </c>
      <c r="AA65" s="434">
        <f>SUMIF('3. PARTNER'!B$13:B$80,B65,'3. PARTNER'!E$13:E$80)</f>
        <v>0.5595</v>
      </c>
      <c r="AB65" s="435">
        <f>IF('2. START'!$C$20="UTB",(SUMIF('3. PARTNER'!B$13:B$80,B65,'3. PARTNER'!K$13:K$80))+(SUMIF('3. PARTNER'!B$13:B$80,B65,'3. PARTNER'!M$13:M$80)),(SUMIF('3. PARTNER'!B$13:B$80,B65,'3. PARTNER'!G$13:G$80))+(SUMIF('3. PARTNER'!B$13:B$80,B65,'3. PARTNER'!I$13:I$80)))</f>
        <v>0.16000843770704321</v>
      </c>
      <c r="AC65" s="435">
        <f>IF('2. START'!$C$20="UTB",(SUMIF('3. PARTNER'!B$13:B$80,B65,'3. PARTNER'!L$13:L$80))+(SUMIF('3. PARTNER'!B$13:B$80,B65,'3. PARTNER'!N$13:N$80)),(SUMIF('3. PARTNER'!B$13:B$80,B65,'3. PARTNER'!H$13:H$80))+(SUMIF('3. PARTNER'!B$13:B$80,B65,'3. PARTNER'!J$13:J$80)))</f>
        <v>0</v>
      </c>
      <c r="AD65" s="435">
        <f>IF('2. START'!C$11="NO",'2. START'!C$12,0)</f>
        <v>0</v>
      </c>
      <c r="AE65" s="436">
        <f t="shared" si="98"/>
        <v>0</v>
      </c>
      <c r="AF65" s="436">
        <f t="shared" si="99"/>
        <v>0</v>
      </c>
      <c r="AG65" s="437"/>
      <c r="AH65" s="438">
        <f t="shared" si="135"/>
        <v>0</v>
      </c>
      <c r="AI65" s="438">
        <f t="shared" si="136"/>
        <v>0</v>
      </c>
      <c r="AJ65" s="438">
        <f t="shared" si="137"/>
        <v>0</v>
      </c>
      <c r="AK65" s="438">
        <f t="shared" si="138"/>
        <v>0</v>
      </c>
      <c r="AL65" s="438">
        <f t="shared" si="139"/>
        <v>0</v>
      </c>
      <c r="AM65" s="438">
        <f t="shared" si="140"/>
        <v>0</v>
      </c>
      <c r="AN65" s="438">
        <f t="shared" si="141"/>
        <v>0</v>
      </c>
      <c r="AO65" s="438">
        <f t="shared" si="142"/>
        <v>0</v>
      </c>
      <c r="AP65" s="438">
        <f t="shared" si="143"/>
        <v>0</v>
      </c>
      <c r="AQ65" s="438">
        <f t="shared" si="144"/>
        <v>0</v>
      </c>
      <c r="AR65" s="439">
        <f t="shared" si="100"/>
        <v>0</v>
      </c>
      <c r="AS65" s="440"/>
      <c r="AT65" s="438">
        <f t="shared" si="145"/>
        <v>0</v>
      </c>
      <c r="AU65" s="438">
        <f t="shared" si="146"/>
        <v>0</v>
      </c>
      <c r="AV65" s="438">
        <f t="shared" si="147"/>
        <v>0</v>
      </c>
      <c r="AW65" s="438">
        <f t="shared" si="148"/>
        <v>0</v>
      </c>
      <c r="AX65" s="438">
        <f t="shared" si="149"/>
        <v>0</v>
      </c>
      <c r="AY65" s="438">
        <f t="shared" si="150"/>
        <v>0</v>
      </c>
      <c r="AZ65" s="438">
        <f t="shared" si="151"/>
        <v>0</v>
      </c>
      <c r="BA65" s="438">
        <f t="shared" si="152"/>
        <v>0</v>
      </c>
      <c r="BB65" s="438">
        <f t="shared" si="153"/>
        <v>0</v>
      </c>
      <c r="BC65" s="438">
        <f t="shared" si="154"/>
        <v>0</v>
      </c>
      <c r="BD65" s="439">
        <f t="shared" si="101"/>
        <v>0</v>
      </c>
      <c r="BE65" s="440"/>
      <c r="BF65" s="438">
        <f t="shared" si="155"/>
        <v>0</v>
      </c>
      <c r="BG65" s="438">
        <f t="shared" si="156"/>
        <v>0</v>
      </c>
      <c r="BH65" s="438">
        <f t="shared" si="157"/>
        <v>0</v>
      </c>
      <c r="BI65" s="438">
        <f t="shared" si="158"/>
        <v>0</v>
      </c>
      <c r="BJ65" s="438">
        <f t="shared" si="159"/>
        <v>0</v>
      </c>
      <c r="BK65" s="438">
        <f t="shared" si="160"/>
        <v>0</v>
      </c>
      <c r="BL65" s="438">
        <f t="shared" si="161"/>
        <v>0</v>
      </c>
      <c r="BM65" s="438">
        <f t="shared" si="162"/>
        <v>0</v>
      </c>
      <c r="BN65" s="438">
        <f t="shared" si="163"/>
        <v>0</v>
      </c>
      <c r="BO65" s="438">
        <f t="shared" si="164"/>
        <v>0</v>
      </c>
      <c r="BP65" s="439">
        <f t="shared" si="102"/>
        <v>0</v>
      </c>
      <c r="BR65" s="442">
        <f t="shared" si="165"/>
        <v>0</v>
      </c>
      <c r="BS65" s="442">
        <f t="shared" si="166"/>
        <v>0</v>
      </c>
      <c r="BT65" s="442">
        <f t="shared" si="167"/>
        <v>0</v>
      </c>
      <c r="BU65" s="442">
        <f t="shared" si="168"/>
        <v>0</v>
      </c>
      <c r="BV65" s="442">
        <f t="shared" si="169"/>
        <v>0</v>
      </c>
      <c r="BW65" s="442">
        <f t="shared" si="170"/>
        <v>0</v>
      </c>
      <c r="BX65" s="442">
        <f t="shared" si="171"/>
        <v>0</v>
      </c>
      <c r="BY65" s="442">
        <f t="shared" si="172"/>
        <v>0</v>
      </c>
      <c r="BZ65" s="442">
        <f t="shared" si="173"/>
        <v>0</v>
      </c>
      <c r="CA65" s="442">
        <f t="shared" si="174"/>
        <v>0</v>
      </c>
      <c r="CB65" s="443">
        <f t="shared" si="103"/>
        <v>0</v>
      </c>
      <c r="CD65" s="445">
        <f t="shared" si="175"/>
        <v>0</v>
      </c>
      <c r="CE65" s="445">
        <f t="shared" si="176"/>
        <v>0</v>
      </c>
      <c r="CF65" s="445">
        <f t="shared" si="177"/>
        <v>0</v>
      </c>
      <c r="CG65" s="445">
        <f t="shared" si="178"/>
        <v>0</v>
      </c>
      <c r="CH65" s="445">
        <f t="shared" si="179"/>
        <v>0</v>
      </c>
      <c r="CI65" s="445">
        <f t="shared" si="180"/>
        <v>0</v>
      </c>
      <c r="CJ65" s="445">
        <f t="shared" si="181"/>
        <v>0</v>
      </c>
      <c r="CK65" s="445">
        <f t="shared" si="182"/>
        <v>0</v>
      </c>
      <c r="CL65" s="445">
        <f t="shared" si="183"/>
        <v>0</v>
      </c>
      <c r="CM65" s="445">
        <f t="shared" si="184"/>
        <v>0</v>
      </c>
      <c r="CN65" s="443">
        <f t="shared" si="104"/>
        <v>0</v>
      </c>
      <c r="CP65" s="442">
        <f t="shared" si="185"/>
        <v>0</v>
      </c>
      <c r="CQ65" s="442">
        <f t="shared" si="186"/>
        <v>0</v>
      </c>
      <c r="CR65" s="442">
        <f t="shared" si="187"/>
        <v>0</v>
      </c>
      <c r="CS65" s="442">
        <f t="shared" si="188"/>
        <v>0</v>
      </c>
      <c r="CT65" s="442">
        <f t="shared" si="189"/>
        <v>0</v>
      </c>
      <c r="CU65" s="442">
        <f t="shared" si="190"/>
        <v>0</v>
      </c>
      <c r="CV65" s="442">
        <f t="shared" si="191"/>
        <v>0</v>
      </c>
      <c r="CW65" s="442">
        <f t="shared" si="192"/>
        <v>0</v>
      </c>
      <c r="CX65" s="442">
        <f t="shared" si="193"/>
        <v>0</v>
      </c>
      <c r="CY65" s="442">
        <f t="shared" si="194"/>
        <v>0</v>
      </c>
      <c r="CZ65" s="443">
        <f t="shared" si="105"/>
        <v>0</v>
      </c>
      <c r="DB65" s="442">
        <f t="shared" si="195"/>
        <v>0</v>
      </c>
      <c r="DC65" s="442">
        <f t="shared" si="196"/>
        <v>0</v>
      </c>
      <c r="DD65" s="442">
        <f t="shared" si="197"/>
        <v>0</v>
      </c>
      <c r="DE65" s="442">
        <f t="shared" si="198"/>
        <v>0</v>
      </c>
      <c r="DF65" s="442">
        <f t="shared" si="199"/>
        <v>0</v>
      </c>
      <c r="DG65" s="442">
        <f t="shared" si="200"/>
        <v>0</v>
      </c>
      <c r="DH65" s="442">
        <f t="shared" si="201"/>
        <v>0</v>
      </c>
      <c r="DI65" s="442">
        <f t="shared" si="202"/>
        <v>0</v>
      </c>
      <c r="DJ65" s="442">
        <f t="shared" si="203"/>
        <v>0</v>
      </c>
      <c r="DK65" s="442">
        <f t="shared" si="204"/>
        <v>0</v>
      </c>
      <c r="DL65" s="443">
        <f t="shared" si="106"/>
        <v>0</v>
      </c>
      <c r="DN65" s="442">
        <f>IF('2. START'!$C$14&gt;0,(AT65/(1+$AA65))*(1+'2. START'!$C$14),AT65)</f>
        <v>0</v>
      </c>
      <c r="DO65" s="442">
        <f>IF('2. START'!$C$14&gt;0,(AU65/(1+$AA65))*(1+'2. START'!$C$14),AU65)</f>
        <v>0</v>
      </c>
      <c r="DP65" s="442">
        <f>IF('2. START'!$C$14&gt;0,(AV65/(1+$AA65))*(1+'2. START'!$C$14),AV65)</f>
        <v>0</v>
      </c>
      <c r="DQ65" s="442">
        <f>IF('2. START'!$C$14&gt;0,(AW65/(1+$AA65))*(1+'2. START'!$C$14),AW65)</f>
        <v>0</v>
      </c>
      <c r="DR65" s="442">
        <f>IF('2. START'!$C$14&gt;0,(AX65/(1+$AA65))*(1+'2. START'!$C$14),AX65)</f>
        <v>0</v>
      </c>
      <c r="DS65" s="442">
        <f>IF('2. START'!$C$14&gt;0,(AY65/(1+$AA65))*(1+'2. START'!$C$14),AY65)</f>
        <v>0</v>
      </c>
      <c r="DT65" s="442">
        <f>IF('2. START'!$C$14&gt;0,(AZ65/(1+$AA65))*(1+'2. START'!$C$14),AZ65)</f>
        <v>0</v>
      </c>
      <c r="DU65" s="442">
        <f>IF('2. START'!$C$14&gt;0,(BA65/(1+$AA65))*(1+'2. START'!$C$14),BA65)</f>
        <v>0</v>
      </c>
      <c r="DV65" s="442">
        <f>IF('2. START'!$C$14&gt;0,(BB65/(1+$AA65))*(1+'2. START'!$C$14),BB65)</f>
        <v>0</v>
      </c>
      <c r="DW65" s="442">
        <f>IF('2. START'!$C$14&gt;0,(BC65/(1+$AA65))*(1+'2. START'!$C$14),BC65)</f>
        <v>0</v>
      </c>
      <c r="DX65" s="443">
        <f t="shared" si="107"/>
        <v>0</v>
      </c>
      <c r="DZ65" s="442">
        <f>IF('2. START'!$C$11="NO",(IF('2. START'!$C$14&gt;0,(DN65*$AD65),(AT65*$AD65))),(BR65+CP65))</f>
        <v>0</v>
      </c>
      <c r="EA65" s="442">
        <f>IF('2. START'!$C$11="NO",(IF('2. START'!$C$14&gt;0,(DO65*$AD65),(AU65*$AD65))),(BS65+CQ65))</f>
        <v>0</v>
      </c>
      <c r="EB65" s="442">
        <f>IF('2. START'!$C$11="NO",(IF('2. START'!$C$14&gt;0,(DP65*$AD65),(AV65*$AD65))),(BT65+CR65))</f>
        <v>0</v>
      </c>
      <c r="EC65" s="442">
        <f>IF('2. START'!$C$11="NO",(IF('2. START'!$C$14&gt;0,(DQ65*$AD65),(AW65*$AD65))),(BU65+CS65))</f>
        <v>0</v>
      </c>
      <c r="ED65" s="442">
        <f>IF('2. START'!$C$11="NO",(IF('2. START'!$C$14&gt;0,(DR65*$AD65),(AX65*$AD65))),(BV65+CT65))</f>
        <v>0</v>
      </c>
      <c r="EE65" s="442">
        <f>IF('2. START'!$C$11="NO",(IF('2. START'!$C$14&gt;0,(DS65*$AD65),(AY65*$AD65))),(BW65+CU65))</f>
        <v>0</v>
      </c>
      <c r="EF65" s="442">
        <f>IF('2. START'!$C$11="NO",(IF('2. START'!$C$14&gt;0,(DT65*$AD65),(AZ65*$AD65))),(BX65+CV65))</f>
        <v>0</v>
      </c>
      <c r="EG65" s="442">
        <f>IF('2. START'!$C$11="NO",(IF('2. START'!$C$14&gt;0,(DU65*$AD65),(BA65*$AD65))),(BY65+CW65))</f>
        <v>0</v>
      </c>
      <c r="EH65" s="442">
        <f>IF('2. START'!$C$11="NO",(IF('2. START'!$C$14&gt;0,(DV65*$AD65),(BB65*$AD65))),(BZ65+CX65))</f>
        <v>0</v>
      </c>
      <c r="EI65" s="442">
        <f>IF('2. START'!$C$11="NO",(IF('2. START'!$C$14&gt;0,(DW65*$AD65),(BC65*$AD65))),(CA65+CY65))</f>
        <v>0</v>
      </c>
      <c r="EJ65" s="443">
        <f t="shared" si="108"/>
        <v>0</v>
      </c>
      <c r="EL65" s="442">
        <f>(BR65+CP65-DZ65)+IF('2. START'!$C$14&gt;0,AT65-DN65,0)</f>
        <v>0</v>
      </c>
      <c r="EM65" s="442">
        <f>(BS65+CQ65-EA65)+IF('2. START'!$C$14&gt;0,AU65-DO65,0)</f>
        <v>0</v>
      </c>
      <c r="EN65" s="442">
        <f>(BT65+CR65-EB65)+IF('2. START'!$C$14&gt;0,AV65-DP65,0)</f>
        <v>0</v>
      </c>
      <c r="EO65" s="442">
        <f>(BU65+CS65-EC65)+IF('2. START'!$C$14&gt;0,AW65-DQ65,0)</f>
        <v>0</v>
      </c>
      <c r="EP65" s="442">
        <f>(BV65+CT65-ED65)+IF('2. START'!$C$14&gt;0,AX65-DR65,0)</f>
        <v>0</v>
      </c>
      <c r="EQ65" s="442">
        <f>(BW65+CU65-EE65)+IF('2. START'!$C$14&gt;0,AY65-DS65,0)</f>
        <v>0</v>
      </c>
      <c r="ER65" s="442">
        <f>(BX65+CV65-EF65)+IF('2. START'!$C$14&gt;0,AZ65-DT65,0)</f>
        <v>0</v>
      </c>
      <c r="ES65" s="442">
        <f>(BY65+CW65-EG65)+IF('2. START'!$C$14&gt;0,BA65-DU65,0)</f>
        <v>0</v>
      </c>
      <c r="ET65" s="442">
        <f>(BZ65+CX65-EH65)+IF('2. START'!$C$14&gt;0,BB65-DV65,0)</f>
        <v>0</v>
      </c>
      <c r="EU65" s="442">
        <f>(CA65+CY65-EI65)+IF('2. START'!$C$14&gt;0,BC65-DW65,0)</f>
        <v>0</v>
      </c>
      <c r="EV65" s="443">
        <f t="shared" si="109"/>
        <v>0</v>
      </c>
      <c r="EX65" s="442">
        <f t="shared" si="110"/>
        <v>0</v>
      </c>
      <c r="EY65" s="442">
        <f t="shared" si="111"/>
        <v>0</v>
      </c>
      <c r="EZ65" s="442">
        <f t="shared" si="112"/>
        <v>0</v>
      </c>
      <c r="FA65" s="442">
        <f t="shared" si="113"/>
        <v>0</v>
      </c>
      <c r="FB65" s="442">
        <f t="shared" si="114"/>
        <v>0</v>
      </c>
      <c r="FC65" s="442">
        <f t="shared" si="115"/>
        <v>0</v>
      </c>
      <c r="FD65" s="442">
        <f t="shared" si="116"/>
        <v>0</v>
      </c>
      <c r="FE65" s="442">
        <f t="shared" si="117"/>
        <v>0</v>
      </c>
      <c r="FF65" s="442">
        <f t="shared" si="118"/>
        <v>0</v>
      </c>
      <c r="FG65" s="442">
        <f t="shared" si="119"/>
        <v>0</v>
      </c>
      <c r="FH65" s="443">
        <f t="shared" si="120"/>
        <v>0</v>
      </c>
      <c r="FJ65" s="442">
        <f t="shared" si="121"/>
        <v>0</v>
      </c>
      <c r="FK65" s="442">
        <f t="shared" si="122"/>
        <v>0</v>
      </c>
      <c r="FL65" s="442">
        <f t="shared" si="123"/>
        <v>0</v>
      </c>
      <c r="FM65" s="442">
        <f t="shared" si="124"/>
        <v>0</v>
      </c>
      <c r="FN65" s="442">
        <f t="shared" si="125"/>
        <v>0</v>
      </c>
      <c r="FO65" s="442">
        <f t="shared" si="126"/>
        <v>0</v>
      </c>
      <c r="FP65" s="442">
        <f t="shared" si="127"/>
        <v>0</v>
      </c>
      <c r="FQ65" s="442">
        <f t="shared" si="128"/>
        <v>0</v>
      </c>
      <c r="FR65" s="442">
        <f t="shared" si="129"/>
        <v>0</v>
      </c>
      <c r="FS65" s="442">
        <f t="shared" si="130"/>
        <v>0</v>
      </c>
      <c r="FT65" s="443">
        <f t="shared" si="131"/>
        <v>0</v>
      </c>
    </row>
    <row r="66" spans="2:176" s="270" customFormat="1" ht="15" customHeight="1" x14ac:dyDescent="0.25">
      <c r="B66" s="446" t="str">
        <f>'2. START'!C$7</f>
        <v>100GEM</v>
      </c>
      <c r="C66" s="469"/>
      <c r="D66" s="589"/>
      <c r="E66" s="544">
        <v>0</v>
      </c>
      <c r="F66" s="448"/>
      <c r="G66" s="449"/>
      <c r="H66" s="449"/>
      <c r="I66" s="449"/>
      <c r="J66" s="449"/>
      <c r="K66" s="449"/>
      <c r="L66" s="449"/>
      <c r="M66" s="449"/>
      <c r="N66" s="449"/>
      <c r="O66" s="449"/>
      <c r="P66" s="449"/>
      <c r="Q66" s="546">
        <f>SUMIF('3. PARTNER'!$B$13:$B$80,$B66,'3. PARTNER'!$F$13:$F$80)</f>
        <v>0.02</v>
      </c>
      <c r="R66" s="450">
        <f t="shared" si="205"/>
        <v>0.02</v>
      </c>
      <c r="S66" s="450">
        <f t="shared" si="205"/>
        <v>0.02</v>
      </c>
      <c r="T66" s="450">
        <f t="shared" si="205"/>
        <v>0.02</v>
      </c>
      <c r="U66" s="450">
        <f t="shared" si="205"/>
        <v>0.02</v>
      </c>
      <c r="V66" s="450">
        <f t="shared" si="205"/>
        <v>0.02</v>
      </c>
      <c r="W66" s="450">
        <f t="shared" si="205"/>
        <v>0.02</v>
      </c>
      <c r="X66" s="450">
        <f t="shared" si="205"/>
        <v>0.02</v>
      </c>
      <c r="Y66" s="450">
        <f t="shared" si="205"/>
        <v>0.02</v>
      </c>
      <c r="Z66" s="450">
        <f t="shared" si="205"/>
        <v>0.02</v>
      </c>
      <c r="AA66" s="451">
        <f>SUMIF('3. PARTNER'!B$13:B$80,B66,'3. PARTNER'!E$13:E$80)</f>
        <v>0.5595</v>
      </c>
      <c r="AB66" s="452">
        <f>IF('2. START'!$C$20="UTB",(SUMIF('3. PARTNER'!B$13:B$80,B66,'3. PARTNER'!K$13:K$80))+(SUMIF('3. PARTNER'!B$13:B$80,B66,'3. PARTNER'!M$13:M$80)),(SUMIF('3. PARTNER'!B$13:B$80,B66,'3. PARTNER'!G$13:G$80))+(SUMIF('3. PARTNER'!B$13:B$80,B66,'3. PARTNER'!I$13:I$80)))</f>
        <v>0.16000843770704321</v>
      </c>
      <c r="AC66" s="452">
        <f>IF('2. START'!$C$20="UTB",(SUMIF('3. PARTNER'!B$13:B$80,B66,'3. PARTNER'!L$13:L$80))+(SUMIF('3. PARTNER'!B$13:B$80,B66,'3. PARTNER'!N$13:N$80)),(SUMIF('3. PARTNER'!B$13:B$80,B66,'3. PARTNER'!H$13:H$80))+(SUMIF('3. PARTNER'!B$13:B$80,B66,'3. PARTNER'!J$13:J$80)))</f>
        <v>0</v>
      </c>
      <c r="AD66" s="452">
        <f>IF('2. START'!C$11="NO",'2. START'!C$12,0)</f>
        <v>0</v>
      </c>
      <c r="AE66" s="453">
        <f t="shared" si="98"/>
        <v>0</v>
      </c>
      <c r="AF66" s="453">
        <f t="shared" si="99"/>
        <v>0</v>
      </c>
      <c r="AG66" s="454"/>
      <c r="AH66" s="455">
        <f t="shared" si="135"/>
        <v>0</v>
      </c>
      <c r="AI66" s="455">
        <f t="shared" si="136"/>
        <v>0</v>
      </c>
      <c r="AJ66" s="455">
        <f t="shared" si="137"/>
        <v>0</v>
      </c>
      <c r="AK66" s="455">
        <f t="shared" si="138"/>
        <v>0</v>
      </c>
      <c r="AL66" s="455">
        <f t="shared" si="139"/>
        <v>0</v>
      </c>
      <c r="AM66" s="455">
        <f t="shared" si="140"/>
        <v>0</v>
      </c>
      <c r="AN66" s="455">
        <f t="shared" si="141"/>
        <v>0</v>
      </c>
      <c r="AO66" s="455">
        <f t="shared" si="142"/>
        <v>0</v>
      </c>
      <c r="AP66" s="455">
        <f t="shared" si="143"/>
        <v>0</v>
      </c>
      <c r="AQ66" s="455">
        <f t="shared" si="144"/>
        <v>0</v>
      </c>
      <c r="AR66" s="456">
        <f t="shared" si="100"/>
        <v>0</v>
      </c>
      <c r="AS66" s="457"/>
      <c r="AT66" s="455">
        <f t="shared" si="145"/>
        <v>0</v>
      </c>
      <c r="AU66" s="455">
        <f t="shared" si="146"/>
        <v>0</v>
      </c>
      <c r="AV66" s="455">
        <f t="shared" si="147"/>
        <v>0</v>
      </c>
      <c r="AW66" s="455">
        <f t="shared" si="148"/>
        <v>0</v>
      </c>
      <c r="AX66" s="455">
        <f t="shared" si="149"/>
        <v>0</v>
      </c>
      <c r="AY66" s="455">
        <f t="shared" si="150"/>
        <v>0</v>
      </c>
      <c r="AZ66" s="455">
        <f t="shared" si="151"/>
        <v>0</v>
      </c>
      <c r="BA66" s="455">
        <f t="shared" si="152"/>
        <v>0</v>
      </c>
      <c r="BB66" s="455">
        <f t="shared" si="153"/>
        <v>0</v>
      </c>
      <c r="BC66" s="455">
        <f t="shared" si="154"/>
        <v>0</v>
      </c>
      <c r="BD66" s="456">
        <f t="shared" si="101"/>
        <v>0</v>
      </c>
      <c r="BE66" s="457"/>
      <c r="BF66" s="455">
        <f t="shared" si="155"/>
        <v>0</v>
      </c>
      <c r="BG66" s="455">
        <f t="shared" si="156"/>
        <v>0</v>
      </c>
      <c r="BH66" s="455">
        <f t="shared" si="157"/>
        <v>0</v>
      </c>
      <c r="BI66" s="455">
        <f t="shared" si="158"/>
        <v>0</v>
      </c>
      <c r="BJ66" s="455">
        <f t="shared" si="159"/>
        <v>0</v>
      </c>
      <c r="BK66" s="455">
        <f t="shared" si="160"/>
        <v>0</v>
      </c>
      <c r="BL66" s="455">
        <f t="shared" si="161"/>
        <v>0</v>
      </c>
      <c r="BM66" s="455">
        <f t="shared" si="162"/>
        <v>0</v>
      </c>
      <c r="BN66" s="455">
        <f t="shared" si="163"/>
        <v>0</v>
      </c>
      <c r="BO66" s="455">
        <f t="shared" si="164"/>
        <v>0</v>
      </c>
      <c r="BP66" s="456">
        <f t="shared" si="102"/>
        <v>0</v>
      </c>
      <c r="BQ66" s="463"/>
      <c r="BR66" s="459">
        <f t="shared" si="165"/>
        <v>0</v>
      </c>
      <c r="BS66" s="459">
        <f t="shared" si="166"/>
        <v>0</v>
      </c>
      <c r="BT66" s="459">
        <f t="shared" si="167"/>
        <v>0</v>
      </c>
      <c r="BU66" s="459">
        <f t="shared" si="168"/>
        <v>0</v>
      </c>
      <c r="BV66" s="459">
        <f t="shared" si="169"/>
        <v>0</v>
      </c>
      <c r="BW66" s="459">
        <f t="shared" si="170"/>
        <v>0</v>
      </c>
      <c r="BX66" s="459">
        <f t="shared" si="171"/>
        <v>0</v>
      </c>
      <c r="BY66" s="459">
        <f t="shared" si="172"/>
        <v>0</v>
      </c>
      <c r="BZ66" s="459">
        <f t="shared" si="173"/>
        <v>0</v>
      </c>
      <c r="CA66" s="459">
        <f t="shared" si="174"/>
        <v>0</v>
      </c>
      <c r="CB66" s="460">
        <f t="shared" si="103"/>
        <v>0</v>
      </c>
      <c r="CC66" s="463"/>
      <c r="CD66" s="462">
        <f t="shared" si="175"/>
        <v>0</v>
      </c>
      <c r="CE66" s="462">
        <f t="shared" si="176"/>
        <v>0</v>
      </c>
      <c r="CF66" s="462">
        <f t="shared" si="177"/>
        <v>0</v>
      </c>
      <c r="CG66" s="462">
        <f t="shared" si="178"/>
        <v>0</v>
      </c>
      <c r="CH66" s="462">
        <f t="shared" si="179"/>
        <v>0</v>
      </c>
      <c r="CI66" s="462">
        <f t="shared" si="180"/>
        <v>0</v>
      </c>
      <c r="CJ66" s="462">
        <f t="shared" si="181"/>
        <v>0</v>
      </c>
      <c r="CK66" s="462">
        <f t="shared" si="182"/>
        <v>0</v>
      </c>
      <c r="CL66" s="462">
        <f t="shared" si="183"/>
        <v>0</v>
      </c>
      <c r="CM66" s="462">
        <f t="shared" si="184"/>
        <v>0</v>
      </c>
      <c r="CN66" s="460">
        <f t="shared" si="104"/>
        <v>0</v>
      </c>
      <c r="CO66" s="463"/>
      <c r="CP66" s="459">
        <f t="shared" si="185"/>
        <v>0</v>
      </c>
      <c r="CQ66" s="459">
        <f t="shared" si="186"/>
        <v>0</v>
      </c>
      <c r="CR66" s="459">
        <f t="shared" si="187"/>
        <v>0</v>
      </c>
      <c r="CS66" s="459">
        <f t="shared" si="188"/>
        <v>0</v>
      </c>
      <c r="CT66" s="459">
        <f t="shared" si="189"/>
        <v>0</v>
      </c>
      <c r="CU66" s="459">
        <f t="shared" si="190"/>
        <v>0</v>
      </c>
      <c r="CV66" s="459">
        <f t="shared" si="191"/>
        <v>0</v>
      </c>
      <c r="CW66" s="459">
        <f t="shared" si="192"/>
        <v>0</v>
      </c>
      <c r="CX66" s="459">
        <f t="shared" si="193"/>
        <v>0</v>
      </c>
      <c r="CY66" s="459">
        <f t="shared" si="194"/>
        <v>0</v>
      </c>
      <c r="CZ66" s="460">
        <f t="shared" si="105"/>
        <v>0</v>
      </c>
      <c r="DA66" s="463"/>
      <c r="DB66" s="459">
        <f t="shared" si="195"/>
        <v>0</v>
      </c>
      <c r="DC66" s="459">
        <f t="shared" si="196"/>
        <v>0</v>
      </c>
      <c r="DD66" s="459">
        <f t="shared" si="197"/>
        <v>0</v>
      </c>
      <c r="DE66" s="459">
        <f t="shared" si="198"/>
        <v>0</v>
      </c>
      <c r="DF66" s="459">
        <f t="shared" si="199"/>
        <v>0</v>
      </c>
      <c r="DG66" s="459">
        <f t="shared" si="200"/>
        <v>0</v>
      </c>
      <c r="DH66" s="459">
        <f t="shared" si="201"/>
        <v>0</v>
      </c>
      <c r="DI66" s="459">
        <f t="shared" si="202"/>
        <v>0</v>
      </c>
      <c r="DJ66" s="459">
        <f t="shared" si="203"/>
        <v>0</v>
      </c>
      <c r="DK66" s="459">
        <f t="shared" si="204"/>
        <v>0</v>
      </c>
      <c r="DL66" s="460">
        <f t="shared" si="106"/>
        <v>0</v>
      </c>
      <c r="DM66" s="463"/>
      <c r="DN66" s="442">
        <f>IF('2. START'!$C$14&gt;0,(AT66/(1+$AA66))*(1+'2. START'!$C$14),AT66)</f>
        <v>0</v>
      </c>
      <c r="DO66" s="442">
        <f>IF('2. START'!$C$14&gt;0,(AU66/(1+$AA66))*(1+'2. START'!$C$14),AU66)</f>
        <v>0</v>
      </c>
      <c r="DP66" s="442">
        <f>IF('2. START'!$C$14&gt;0,(AV66/(1+$AA66))*(1+'2. START'!$C$14),AV66)</f>
        <v>0</v>
      </c>
      <c r="DQ66" s="442">
        <f>IF('2. START'!$C$14&gt;0,(AW66/(1+$AA66))*(1+'2. START'!$C$14),AW66)</f>
        <v>0</v>
      </c>
      <c r="DR66" s="442">
        <f>IF('2. START'!$C$14&gt;0,(AX66/(1+$AA66))*(1+'2. START'!$C$14),AX66)</f>
        <v>0</v>
      </c>
      <c r="DS66" s="442">
        <f>IF('2. START'!$C$14&gt;0,(AY66/(1+$AA66))*(1+'2. START'!$C$14),AY66)</f>
        <v>0</v>
      </c>
      <c r="DT66" s="442">
        <f>IF('2. START'!$C$14&gt;0,(AZ66/(1+$AA66))*(1+'2. START'!$C$14),AZ66)</f>
        <v>0</v>
      </c>
      <c r="DU66" s="442">
        <f>IF('2. START'!$C$14&gt;0,(BA66/(1+$AA66))*(1+'2. START'!$C$14),BA66)</f>
        <v>0</v>
      </c>
      <c r="DV66" s="442">
        <f>IF('2. START'!$C$14&gt;0,(BB66/(1+$AA66))*(1+'2. START'!$C$14),BB66)</f>
        <v>0</v>
      </c>
      <c r="DW66" s="442">
        <f>IF('2. START'!$C$14&gt;0,(BC66/(1+$AA66))*(1+'2. START'!$C$14),BC66)</f>
        <v>0</v>
      </c>
      <c r="DX66" s="460">
        <f t="shared" si="107"/>
        <v>0</v>
      </c>
      <c r="DY66" s="463"/>
      <c r="DZ66" s="459">
        <f>IF('2. START'!$C$11="NO",(IF('2. START'!$C$14&gt;0,(DN66*$AD66),(AT66*$AD66))),(BR66+CP66))</f>
        <v>0</v>
      </c>
      <c r="EA66" s="459">
        <f>IF('2. START'!$C$11="NO",(IF('2. START'!$C$14&gt;0,(DO66*$AD66),(AU66*$AD66))),(BS66+CQ66))</f>
        <v>0</v>
      </c>
      <c r="EB66" s="459">
        <f>IF('2. START'!$C$11="NO",(IF('2. START'!$C$14&gt;0,(DP66*$AD66),(AV66*$AD66))),(BT66+CR66))</f>
        <v>0</v>
      </c>
      <c r="EC66" s="459">
        <f>IF('2. START'!$C$11="NO",(IF('2. START'!$C$14&gt;0,(DQ66*$AD66),(AW66*$AD66))),(BU66+CS66))</f>
        <v>0</v>
      </c>
      <c r="ED66" s="459">
        <f>IF('2. START'!$C$11="NO",(IF('2. START'!$C$14&gt;0,(DR66*$AD66),(AX66*$AD66))),(BV66+CT66))</f>
        <v>0</v>
      </c>
      <c r="EE66" s="459">
        <f>IF('2. START'!$C$11="NO",(IF('2. START'!$C$14&gt;0,(DS66*$AD66),(AY66*$AD66))),(BW66+CU66))</f>
        <v>0</v>
      </c>
      <c r="EF66" s="459">
        <f>IF('2. START'!$C$11="NO",(IF('2. START'!$C$14&gt;0,(DT66*$AD66),(AZ66*$AD66))),(BX66+CV66))</f>
        <v>0</v>
      </c>
      <c r="EG66" s="459">
        <f>IF('2. START'!$C$11="NO",(IF('2. START'!$C$14&gt;0,(DU66*$AD66),(BA66*$AD66))),(BY66+CW66))</f>
        <v>0</v>
      </c>
      <c r="EH66" s="459">
        <f>IF('2. START'!$C$11="NO",(IF('2. START'!$C$14&gt;0,(DV66*$AD66),(BB66*$AD66))),(BZ66+CX66))</f>
        <v>0</v>
      </c>
      <c r="EI66" s="459">
        <f>IF('2. START'!$C$11="NO",(IF('2. START'!$C$14&gt;0,(DW66*$AD66),(BC66*$AD66))),(CA66+CY66))</f>
        <v>0</v>
      </c>
      <c r="EJ66" s="460">
        <f t="shared" si="108"/>
        <v>0</v>
      </c>
      <c r="EK66" s="463"/>
      <c r="EL66" s="459">
        <f>(BR66+CP66-DZ66)+IF('2. START'!$C$14&gt;0,AT66-DN66,0)</f>
        <v>0</v>
      </c>
      <c r="EM66" s="459">
        <f>(BS66+CQ66-EA66)+IF('2. START'!$C$14&gt;0,AU66-DO66,0)</f>
        <v>0</v>
      </c>
      <c r="EN66" s="459">
        <f>(BT66+CR66-EB66)+IF('2. START'!$C$14&gt;0,AV66-DP66,0)</f>
        <v>0</v>
      </c>
      <c r="EO66" s="459">
        <f>(BU66+CS66-EC66)+IF('2. START'!$C$14&gt;0,AW66-DQ66,0)</f>
        <v>0</v>
      </c>
      <c r="EP66" s="459">
        <f>(BV66+CT66-ED66)+IF('2. START'!$C$14&gt;0,AX66-DR66,0)</f>
        <v>0</v>
      </c>
      <c r="EQ66" s="459">
        <f>(BW66+CU66-EE66)+IF('2. START'!$C$14&gt;0,AY66-DS66,0)</f>
        <v>0</v>
      </c>
      <c r="ER66" s="459">
        <f>(BX66+CV66-EF66)+IF('2. START'!$C$14&gt;0,AZ66-DT66,0)</f>
        <v>0</v>
      </c>
      <c r="ES66" s="459">
        <f>(BY66+CW66-EG66)+IF('2. START'!$C$14&gt;0,BA66-DU66,0)</f>
        <v>0</v>
      </c>
      <c r="ET66" s="459">
        <f>(BZ66+CX66-EH66)+IF('2. START'!$C$14&gt;0,BB66-DV66,0)</f>
        <v>0</v>
      </c>
      <c r="EU66" s="459">
        <f>(CA66+CY66-EI66)+IF('2. START'!$C$14&gt;0,BC66-DW66,0)</f>
        <v>0</v>
      </c>
      <c r="EV66" s="460">
        <f t="shared" si="109"/>
        <v>0</v>
      </c>
      <c r="EW66" s="463"/>
      <c r="EX66" s="459">
        <f t="shared" si="110"/>
        <v>0</v>
      </c>
      <c r="EY66" s="459">
        <f t="shared" si="111"/>
        <v>0</v>
      </c>
      <c r="EZ66" s="459">
        <f t="shared" si="112"/>
        <v>0</v>
      </c>
      <c r="FA66" s="459">
        <f t="shared" si="113"/>
        <v>0</v>
      </c>
      <c r="FB66" s="459">
        <f t="shared" si="114"/>
        <v>0</v>
      </c>
      <c r="FC66" s="459">
        <f t="shared" si="115"/>
        <v>0</v>
      </c>
      <c r="FD66" s="459">
        <f t="shared" si="116"/>
        <v>0</v>
      </c>
      <c r="FE66" s="459">
        <f t="shared" si="117"/>
        <v>0</v>
      </c>
      <c r="FF66" s="459">
        <f t="shared" si="118"/>
        <v>0</v>
      </c>
      <c r="FG66" s="459">
        <f t="shared" si="119"/>
        <v>0</v>
      </c>
      <c r="FH66" s="460">
        <f t="shared" si="120"/>
        <v>0</v>
      </c>
      <c r="FI66" s="463"/>
      <c r="FJ66" s="459">
        <f t="shared" si="121"/>
        <v>0</v>
      </c>
      <c r="FK66" s="459">
        <f t="shared" si="122"/>
        <v>0</v>
      </c>
      <c r="FL66" s="459">
        <f t="shared" si="123"/>
        <v>0</v>
      </c>
      <c r="FM66" s="459">
        <f t="shared" si="124"/>
        <v>0</v>
      </c>
      <c r="FN66" s="459">
        <f t="shared" si="125"/>
        <v>0</v>
      </c>
      <c r="FO66" s="459">
        <f t="shared" si="126"/>
        <v>0</v>
      </c>
      <c r="FP66" s="459">
        <f t="shared" si="127"/>
        <v>0</v>
      </c>
      <c r="FQ66" s="459">
        <f t="shared" si="128"/>
        <v>0</v>
      </c>
      <c r="FR66" s="459">
        <f t="shared" si="129"/>
        <v>0</v>
      </c>
      <c r="FS66" s="459">
        <f t="shared" si="130"/>
        <v>0</v>
      </c>
      <c r="FT66" s="460">
        <f t="shared" si="131"/>
        <v>0</v>
      </c>
    </row>
    <row r="67" spans="2:176" s="270" customFormat="1" ht="15" customHeight="1" x14ac:dyDescent="0.25">
      <c r="B67" s="464" t="str">
        <f>'2. START'!C$7</f>
        <v>100GEM</v>
      </c>
      <c r="C67" s="470"/>
      <c r="D67" s="590"/>
      <c r="E67" s="514">
        <v>0</v>
      </c>
      <c r="F67" s="467"/>
      <c r="G67" s="432"/>
      <c r="H67" s="432"/>
      <c r="I67" s="432"/>
      <c r="J67" s="432"/>
      <c r="K67" s="432"/>
      <c r="L67" s="432"/>
      <c r="M67" s="432"/>
      <c r="N67" s="432"/>
      <c r="O67" s="432"/>
      <c r="P67" s="432"/>
      <c r="Q67" s="545">
        <f>SUMIF('3. PARTNER'!$B$13:$B$80,$B67,'3. PARTNER'!$F$13:$F$80)</f>
        <v>0.02</v>
      </c>
      <c r="R67" s="466">
        <f t="shared" ref="R67:Z76" si="206">$Q67</f>
        <v>0.02</v>
      </c>
      <c r="S67" s="466">
        <f t="shared" si="206"/>
        <v>0.02</v>
      </c>
      <c r="T67" s="466">
        <f t="shared" si="206"/>
        <v>0.02</v>
      </c>
      <c r="U67" s="466">
        <f t="shared" si="206"/>
        <v>0.02</v>
      </c>
      <c r="V67" s="466">
        <f t="shared" si="206"/>
        <v>0.02</v>
      </c>
      <c r="W67" s="466">
        <f t="shared" si="206"/>
        <v>0.02</v>
      </c>
      <c r="X67" s="466">
        <f t="shared" si="206"/>
        <v>0.02</v>
      </c>
      <c r="Y67" s="466">
        <f t="shared" si="206"/>
        <v>0.02</v>
      </c>
      <c r="Z67" s="466">
        <f t="shared" si="206"/>
        <v>0.02</v>
      </c>
      <c r="AA67" s="434">
        <f>SUMIF('3. PARTNER'!B$13:B$80,B67,'3. PARTNER'!E$13:E$80)</f>
        <v>0.5595</v>
      </c>
      <c r="AB67" s="435">
        <f>IF('2. START'!$C$20="UTB",(SUMIF('3. PARTNER'!B$13:B$80,B67,'3. PARTNER'!K$13:K$80))+(SUMIF('3. PARTNER'!B$13:B$80,B67,'3. PARTNER'!M$13:M$80)),(SUMIF('3. PARTNER'!B$13:B$80,B67,'3. PARTNER'!G$13:G$80))+(SUMIF('3. PARTNER'!B$13:B$80,B67,'3. PARTNER'!I$13:I$80)))</f>
        <v>0.16000843770704321</v>
      </c>
      <c r="AC67" s="435">
        <f>IF('2. START'!$C$20="UTB",(SUMIF('3. PARTNER'!B$13:B$80,B67,'3. PARTNER'!L$13:L$80))+(SUMIF('3. PARTNER'!B$13:B$80,B67,'3. PARTNER'!N$13:N$80)),(SUMIF('3. PARTNER'!B$13:B$80,B67,'3. PARTNER'!H$13:H$80))+(SUMIF('3. PARTNER'!B$13:B$80,B67,'3. PARTNER'!J$13:J$80)))</f>
        <v>0</v>
      </c>
      <c r="AD67" s="435">
        <f>IF('2. START'!C$11="NO",'2. START'!C$12,0)</f>
        <v>0</v>
      </c>
      <c r="AE67" s="436">
        <f t="shared" si="98"/>
        <v>0</v>
      </c>
      <c r="AF67" s="436">
        <f t="shared" si="99"/>
        <v>0</v>
      </c>
      <c r="AG67" s="437"/>
      <c r="AH67" s="438">
        <f t="shared" si="135"/>
        <v>0</v>
      </c>
      <c r="AI67" s="438">
        <f t="shared" si="136"/>
        <v>0</v>
      </c>
      <c r="AJ67" s="438">
        <f t="shared" si="137"/>
        <v>0</v>
      </c>
      <c r="AK67" s="438">
        <f t="shared" si="138"/>
        <v>0</v>
      </c>
      <c r="AL67" s="438">
        <f t="shared" si="139"/>
        <v>0</v>
      </c>
      <c r="AM67" s="438">
        <f t="shared" si="140"/>
        <v>0</v>
      </c>
      <c r="AN67" s="438">
        <f t="shared" si="141"/>
        <v>0</v>
      </c>
      <c r="AO67" s="438">
        <f t="shared" si="142"/>
        <v>0</v>
      </c>
      <c r="AP67" s="438">
        <f t="shared" si="143"/>
        <v>0</v>
      </c>
      <c r="AQ67" s="438">
        <f t="shared" si="144"/>
        <v>0</v>
      </c>
      <c r="AR67" s="439">
        <f t="shared" si="100"/>
        <v>0</v>
      </c>
      <c r="AS67" s="440"/>
      <c r="AT67" s="438">
        <f t="shared" si="145"/>
        <v>0</v>
      </c>
      <c r="AU67" s="438">
        <f t="shared" si="146"/>
        <v>0</v>
      </c>
      <c r="AV67" s="438">
        <f t="shared" si="147"/>
        <v>0</v>
      </c>
      <c r="AW67" s="438">
        <f t="shared" si="148"/>
        <v>0</v>
      </c>
      <c r="AX67" s="438">
        <f t="shared" si="149"/>
        <v>0</v>
      </c>
      <c r="AY67" s="438">
        <f t="shared" si="150"/>
        <v>0</v>
      </c>
      <c r="AZ67" s="438">
        <f t="shared" si="151"/>
        <v>0</v>
      </c>
      <c r="BA67" s="438">
        <f t="shared" si="152"/>
        <v>0</v>
      </c>
      <c r="BB67" s="438">
        <f t="shared" si="153"/>
        <v>0</v>
      </c>
      <c r="BC67" s="438">
        <f t="shared" si="154"/>
        <v>0</v>
      </c>
      <c r="BD67" s="439">
        <f t="shared" si="101"/>
        <v>0</v>
      </c>
      <c r="BE67" s="440"/>
      <c r="BF67" s="438">
        <f t="shared" si="155"/>
        <v>0</v>
      </c>
      <c r="BG67" s="438">
        <f t="shared" si="156"/>
        <v>0</v>
      </c>
      <c r="BH67" s="438">
        <f t="shared" si="157"/>
        <v>0</v>
      </c>
      <c r="BI67" s="438">
        <f t="shared" si="158"/>
        <v>0</v>
      </c>
      <c r="BJ67" s="438">
        <f t="shared" si="159"/>
        <v>0</v>
      </c>
      <c r="BK67" s="438">
        <f t="shared" si="160"/>
        <v>0</v>
      </c>
      <c r="BL67" s="438">
        <f t="shared" si="161"/>
        <v>0</v>
      </c>
      <c r="BM67" s="438">
        <f t="shared" si="162"/>
        <v>0</v>
      </c>
      <c r="BN67" s="438">
        <f t="shared" si="163"/>
        <v>0</v>
      </c>
      <c r="BO67" s="438">
        <f t="shared" si="164"/>
        <v>0</v>
      </c>
      <c r="BP67" s="439">
        <f t="shared" si="102"/>
        <v>0</v>
      </c>
      <c r="BR67" s="442">
        <f t="shared" si="165"/>
        <v>0</v>
      </c>
      <c r="BS67" s="442">
        <f t="shared" si="166"/>
        <v>0</v>
      </c>
      <c r="BT67" s="442">
        <f t="shared" si="167"/>
        <v>0</v>
      </c>
      <c r="BU67" s="442">
        <f t="shared" si="168"/>
        <v>0</v>
      </c>
      <c r="BV67" s="442">
        <f t="shared" si="169"/>
        <v>0</v>
      </c>
      <c r="BW67" s="442">
        <f t="shared" si="170"/>
        <v>0</v>
      </c>
      <c r="BX67" s="442">
        <f t="shared" si="171"/>
        <v>0</v>
      </c>
      <c r="BY67" s="442">
        <f t="shared" si="172"/>
        <v>0</v>
      </c>
      <c r="BZ67" s="442">
        <f t="shared" si="173"/>
        <v>0</v>
      </c>
      <c r="CA67" s="442">
        <f t="shared" si="174"/>
        <v>0</v>
      </c>
      <c r="CB67" s="443">
        <f t="shared" si="103"/>
        <v>0</v>
      </c>
      <c r="CD67" s="445">
        <f t="shared" si="175"/>
        <v>0</v>
      </c>
      <c r="CE67" s="445">
        <f t="shared" si="176"/>
        <v>0</v>
      </c>
      <c r="CF67" s="445">
        <f t="shared" si="177"/>
        <v>0</v>
      </c>
      <c r="CG67" s="445">
        <f t="shared" si="178"/>
        <v>0</v>
      </c>
      <c r="CH67" s="445">
        <f t="shared" si="179"/>
        <v>0</v>
      </c>
      <c r="CI67" s="445">
        <f t="shared" si="180"/>
        <v>0</v>
      </c>
      <c r="CJ67" s="445">
        <f t="shared" si="181"/>
        <v>0</v>
      </c>
      <c r="CK67" s="445">
        <f t="shared" si="182"/>
        <v>0</v>
      </c>
      <c r="CL67" s="445">
        <f t="shared" si="183"/>
        <v>0</v>
      </c>
      <c r="CM67" s="445">
        <f t="shared" si="184"/>
        <v>0</v>
      </c>
      <c r="CN67" s="443">
        <f t="shared" si="104"/>
        <v>0</v>
      </c>
      <c r="CP67" s="442">
        <f t="shared" si="185"/>
        <v>0</v>
      </c>
      <c r="CQ67" s="442">
        <f t="shared" si="186"/>
        <v>0</v>
      </c>
      <c r="CR67" s="442">
        <f t="shared" si="187"/>
        <v>0</v>
      </c>
      <c r="CS67" s="442">
        <f t="shared" si="188"/>
        <v>0</v>
      </c>
      <c r="CT67" s="442">
        <f t="shared" si="189"/>
        <v>0</v>
      </c>
      <c r="CU67" s="442">
        <f t="shared" si="190"/>
        <v>0</v>
      </c>
      <c r="CV67" s="442">
        <f t="shared" si="191"/>
        <v>0</v>
      </c>
      <c r="CW67" s="442">
        <f t="shared" si="192"/>
        <v>0</v>
      </c>
      <c r="CX67" s="442">
        <f t="shared" si="193"/>
        <v>0</v>
      </c>
      <c r="CY67" s="442">
        <f t="shared" si="194"/>
        <v>0</v>
      </c>
      <c r="CZ67" s="443">
        <f t="shared" si="105"/>
        <v>0</v>
      </c>
      <c r="DB67" s="442">
        <f t="shared" si="195"/>
        <v>0</v>
      </c>
      <c r="DC67" s="442">
        <f t="shared" si="196"/>
        <v>0</v>
      </c>
      <c r="DD67" s="442">
        <f t="shared" si="197"/>
        <v>0</v>
      </c>
      <c r="DE67" s="442">
        <f t="shared" si="198"/>
        <v>0</v>
      </c>
      <c r="DF67" s="442">
        <f t="shared" si="199"/>
        <v>0</v>
      </c>
      <c r="DG67" s="442">
        <f t="shared" si="200"/>
        <v>0</v>
      </c>
      <c r="DH67" s="442">
        <f t="shared" si="201"/>
        <v>0</v>
      </c>
      <c r="DI67" s="442">
        <f t="shared" si="202"/>
        <v>0</v>
      </c>
      <c r="DJ67" s="442">
        <f t="shared" si="203"/>
        <v>0</v>
      </c>
      <c r="DK67" s="442">
        <f t="shared" si="204"/>
        <v>0</v>
      </c>
      <c r="DL67" s="443">
        <f t="shared" si="106"/>
        <v>0</v>
      </c>
      <c r="DN67" s="442">
        <f>IF('2. START'!$C$14&gt;0,(AT67/(1+$AA67))*(1+'2. START'!$C$14),AT67)</f>
        <v>0</v>
      </c>
      <c r="DO67" s="442">
        <f>IF('2. START'!$C$14&gt;0,(AU67/(1+$AA67))*(1+'2. START'!$C$14),AU67)</f>
        <v>0</v>
      </c>
      <c r="DP67" s="442">
        <f>IF('2. START'!$C$14&gt;0,(AV67/(1+$AA67))*(1+'2. START'!$C$14),AV67)</f>
        <v>0</v>
      </c>
      <c r="DQ67" s="442">
        <f>IF('2. START'!$C$14&gt;0,(AW67/(1+$AA67))*(1+'2. START'!$C$14),AW67)</f>
        <v>0</v>
      </c>
      <c r="DR67" s="442">
        <f>IF('2. START'!$C$14&gt;0,(AX67/(1+$AA67))*(1+'2. START'!$C$14),AX67)</f>
        <v>0</v>
      </c>
      <c r="DS67" s="442">
        <f>IF('2. START'!$C$14&gt;0,(AY67/(1+$AA67))*(1+'2. START'!$C$14),AY67)</f>
        <v>0</v>
      </c>
      <c r="DT67" s="442">
        <f>IF('2. START'!$C$14&gt;0,(AZ67/(1+$AA67))*(1+'2. START'!$C$14),AZ67)</f>
        <v>0</v>
      </c>
      <c r="DU67" s="442">
        <f>IF('2. START'!$C$14&gt;0,(BA67/(1+$AA67))*(1+'2. START'!$C$14),BA67)</f>
        <v>0</v>
      </c>
      <c r="DV67" s="442">
        <f>IF('2. START'!$C$14&gt;0,(BB67/(1+$AA67))*(1+'2. START'!$C$14),BB67)</f>
        <v>0</v>
      </c>
      <c r="DW67" s="442">
        <f>IF('2. START'!$C$14&gt;0,(BC67/(1+$AA67))*(1+'2. START'!$C$14),BC67)</f>
        <v>0</v>
      </c>
      <c r="DX67" s="443">
        <f t="shared" si="107"/>
        <v>0</v>
      </c>
      <c r="DZ67" s="442">
        <f>IF('2. START'!$C$11="NO",(IF('2. START'!$C$14&gt;0,(DN67*$AD67),(AT67*$AD67))),(BR67+CP67))</f>
        <v>0</v>
      </c>
      <c r="EA67" s="442">
        <f>IF('2. START'!$C$11="NO",(IF('2. START'!$C$14&gt;0,(DO67*$AD67),(AU67*$AD67))),(BS67+CQ67))</f>
        <v>0</v>
      </c>
      <c r="EB67" s="442">
        <f>IF('2. START'!$C$11="NO",(IF('2. START'!$C$14&gt;0,(DP67*$AD67),(AV67*$AD67))),(BT67+CR67))</f>
        <v>0</v>
      </c>
      <c r="EC67" s="442">
        <f>IF('2. START'!$C$11="NO",(IF('2. START'!$C$14&gt;0,(DQ67*$AD67),(AW67*$AD67))),(BU67+CS67))</f>
        <v>0</v>
      </c>
      <c r="ED67" s="442">
        <f>IF('2. START'!$C$11="NO",(IF('2. START'!$C$14&gt;0,(DR67*$AD67),(AX67*$AD67))),(BV67+CT67))</f>
        <v>0</v>
      </c>
      <c r="EE67" s="442">
        <f>IF('2. START'!$C$11="NO",(IF('2. START'!$C$14&gt;0,(DS67*$AD67),(AY67*$AD67))),(BW67+CU67))</f>
        <v>0</v>
      </c>
      <c r="EF67" s="442">
        <f>IF('2. START'!$C$11="NO",(IF('2. START'!$C$14&gt;0,(DT67*$AD67),(AZ67*$AD67))),(BX67+CV67))</f>
        <v>0</v>
      </c>
      <c r="EG67" s="442">
        <f>IF('2. START'!$C$11="NO",(IF('2. START'!$C$14&gt;0,(DU67*$AD67),(BA67*$AD67))),(BY67+CW67))</f>
        <v>0</v>
      </c>
      <c r="EH67" s="442">
        <f>IF('2. START'!$C$11="NO",(IF('2. START'!$C$14&gt;0,(DV67*$AD67),(BB67*$AD67))),(BZ67+CX67))</f>
        <v>0</v>
      </c>
      <c r="EI67" s="442">
        <f>IF('2. START'!$C$11="NO",(IF('2. START'!$C$14&gt;0,(DW67*$AD67),(BC67*$AD67))),(CA67+CY67))</f>
        <v>0</v>
      </c>
      <c r="EJ67" s="443">
        <f t="shared" si="108"/>
        <v>0</v>
      </c>
      <c r="EL67" s="442">
        <f>(BR67+CP67-DZ67)+IF('2. START'!$C$14&gt;0,AT67-DN67,0)</f>
        <v>0</v>
      </c>
      <c r="EM67" s="442">
        <f>(BS67+CQ67-EA67)+IF('2. START'!$C$14&gt;0,AU67-DO67,0)</f>
        <v>0</v>
      </c>
      <c r="EN67" s="442">
        <f>(BT67+CR67-EB67)+IF('2. START'!$C$14&gt;0,AV67-DP67,0)</f>
        <v>0</v>
      </c>
      <c r="EO67" s="442">
        <f>(BU67+CS67-EC67)+IF('2. START'!$C$14&gt;0,AW67-DQ67,0)</f>
        <v>0</v>
      </c>
      <c r="EP67" s="442">
        <f>(BV67+CT67-ED67)+IF('2. START'!$C$14&gt;0,AX67-DR67,0)</f>
        <v>0</v>
      </c>
      <c r="EQ67" s="442">
        <f>(BW67+CU67-EE67)+IF('2. START'!$C$14&gt;0,AY67-DS67,0)</f>
        <v>0</v>
      </c>
      <c r="ER67" s="442">
        <f>(BX67+CV67-EF67)+IF('2. START'!$C$14&gt;0,AZ67-DT67,0)</f>
        <v>0</v>
      </c>
      <c r="ES67" s="442">
        <f>(BY67+CW67-EG67)+IF('2. START'!$C$14&gt;0,BA67-DU67,0)</f>
        <v>0</v>
      </c>
      <c r="ET67" s="442">
        <f>(BZ67+CX67-EH67)+IF('2. START'!$C$14&gt;0,BB67-DV67,0)</f>
        <v>0</v>
      </c>
      <c r="EU67" s="442">
        <f>(CA67+CY67-EI67)+IF('2. START'!$C$14&gt;0,BC67-DW67,0)</f>
        <v>0</v>
      </c>
      <c r="EV67" s="443">
        <f t="shared" si="109"/>
        <v>0</v>
      </c>
      <c r="EX67" s="442">
        <f t="shared" si="110"/>
        <v>0</v>
      </c>
      <c r="EY67" s="442">
        <f t="shared" si="111"/>
        <v>0</v>
      </c>
      <c r="EZ67" s="442">
        <f t="shared" si="112"/>
        <v>0</v>
      </c>
      <c r="FA67" s="442">
        <f t="shared" si="113"/>
        <v>0</v>
      </c>
      <c r="FB67" s="442">
        <f t="shared" si="114"/>
        <v>0</v>
      </c>
      <c r="FC67" s="442">
        <f t="shared" si="115"/>
        <v>0</v>
      </c>
      <c r="FD67" s="442">
        <f t="shared" si="116"/>
        <v>0</v>
      </c>
      <c r="FE67" s="442">
        <f t="shared" si="117"/>
        <v>0</v>
      </c>
      <c r="FF67" s="442">
        <f t="shared" si="118"/>
        <v>0</v>
      </c>
      <c r="FG67" s="442">
        <f t="shared" si="119"/>
        <v>0</v>
      </c>
      <c r="FH67" s="443">
        <f t="shared" si="120"/>
        <v>0</v>
      </c>
      <c r="FJ67" s="442">
        <f t="shared" si="121"/>
        <v>0</v>
      </c>
      <c r="FK67" s="442">
        <f t="shared" si="122"/>
        <v>0</v>
      </c>
      <c r="FL67" s="442">
        <f t="shared" si="123"/>
        <v>0</v>
      </c>
      <c r="FM67" s="442">
        <f t="shared" si="124"/>
        <v>0</v>
      </c>
      <c r="FN67" s="442">
        <f t="shared" si="125"/>
        <v>0</v>
      </c>
      <c r="FO67" s="442">
        <f t="shared" si="126"/>
        <v>0</v>
      </c>
      <c r="FP67" s="442">
        <f t="shared" si="127"/>
        <v>0</v>
      </c>
      <c r="FQ67" s="442">
        <f t="shared" si="128"/>
        <v>0</v>
      </c>
      <c r="FR67" s="442">
        <f t="shared" si="129"/>
        <v>0</v>
      </c>
      <c r="FS67" s="442">
        <f t="shared" si="130"/>
        <v>0</v>
      </c>
      <c r="FT67" s="443">
        <f t="shared" si="131"/>
        <v>0</v>
      </c>
    </row>
    <row r="68" spans="2:176" s="270" customFormat="1" ht="15" customHeight="1" x14ac:dyDescent="0.25">
      <c r="B68" s="446" t="str">
        <f>'2. START'!C$7</f>
        <v>100GEM</v>
      </c>
      <c r="C68" s="469"/>
      <c r="D68" s="589"/>
      <c r="E68" s="544">
        <v>0</v>
      </c>
      <c r="F68" s="448"/>
      <c r="G68" s="449"/>
      <c r="H68" s="449"/>
      <c r="I68" s="449"/>
      <c r="J68" s="449"/>
      <c r="K68" s="449"/>
      <c r="L68" s="449"/>
      <c r="M68" s="449"/>
      <c r="N68" s="449"/>
      <c r="O68" s="449"/>
      <c r="P68" s="449"/>
      <c r="Q68" s="546">
        <f>SUMIF('3. PARTNER'!$B$13:$B$80,$B68,'3. PARTNER'!$F$13:$F$80)</f>
        <v>0.02</v>
      </c>
      <c r="R68" s="450">
        <f t="shared" si="206"/>
        <v>0.02</v>
      </c>
      <c r="S68" s="450">
        <f t="shared" si="206"/>
        <v>0.02</v>
      </c>
      <c r="T68" s="450">
        <f t="shared" si="206"/>
        <v>0.02</v>
      </c>
      <c r="U68" s="450">
        <f t="shared" si="206"/>
        <v>0.02</v>
      </c>
      <c r="V68" s="450">
        <f t="shared" si="206"/>
        <v>0.02</v>
      </c>
      <c r="W68" s="450">
        <f t="shared" si="206"/>
        <v>0.02</v>
      </c>
      <c r="X68" s="450">
        <f t="shared" si="206"/>
        <v>0.02</v>
      </c>
      <c r="Y68" s="450">
        <f t="shared" si="206"/>
        <v>0.02</v>
      </c>
      <c r="Z68" s="450">
        <f t="shared" si="206"/>
        <v>0.02</v>
      </c>
      <c r="AA68" s="451">
        <f>SUMIF('3. PARTNER'!B$13:B$80,B68,'3. PARTNER'!E$13:E$80)</f>
        <v>0.5595</v>
      </c>
      <c r="AB68" s="452">
        <f>IF('2. START'!$C$20="UTB",(SUMIF('3. PARTNER'!B$13:B$80,B68,'3. PARTNER'!K$13:K$80))+(SUMIF('3. PARTNER'!B$13:B$80,B68,'3. PARTNER'!M$13:M$80)),(SUMIF('3. PARTNER'!B$13:B$80,B68,'3. PARTNER'!G$13:G$80))+(SUMIF('3. PARTNER'!B$13:B$80,B68,'3. PARTNER'!I$13:I$80)))</f>
        <v>0.16000843770704321</v>
      </c>
      <c r="AC68" s="452">
        <f>IF('2. START'!$C$20="UTB",(SUMIF('3. PARTNER'!B$13:B$80,B68,'3. PARTNER'!L$13:L$80))+(SUMIF('3. PARTNER'!B$13:B$80,B68,'3. PARTNER'!N$13:N$80)),(SUMIF('3. PARTNER'!B$13:B$80,B68,'3. PARTNER'!H$13:H$80))+(SUMIF('3. PARTNER'!B$13:B$80,B68,'3. PARTNER'!J$13:J$80)))</f>
        <v>0</v>
      </c>
      <c r="AD68" s="452">
        <f>IF('2. START'!C$11="NO",'2. START'!C$12,0)</f>
        <v>0</v>
      </c>
      <c r="AE68" s="453">
        <f t="shared" si="98"/>
        <v>0</v>
      </c>
      <c r="AF68" s="453">
        <f t="shared" si="99"/>
        <v>0</v>
      </c>
      <c r="AG68" s="454"/>
      <c r="AH68" s="455">
        <f t="shared" si="135"/>
        <v>0</v>
      </c>
      <c r="AI68" s="455">
        <f t="shared" si="136"/>
        <v>0</v>
      </c>
      <c r="AJ68" s="455">
        <f t="shared" si="137"/>
        <v>0</v>
      </c>
      <c r="AK68" s="455">
        <f t="shared" si="138"/>
        <v>0</v>
      </c>
      <c r="AL68" s="455">
        <f t="shared" si="139"/>
        <v>0</v>
      </c>
      <c r="AM68" s="455">
        <f t="shared" si="140"/>
        <v>0</v>
      </c>
      <c r="AN68" s="455">
        <f t="shared" si="141"/>
        <v>0</v>
      </c>
      <c r="AO68" s="455">
        <f t="shared" si="142"/>
        <v>0</v>
      </c>
      <c r="AP68" s="455">
        <f t="shared" si="143"/>
        <v>0</v>
      </c>
      <c r="AQ68" s="455">
        <f t="shared" si="144"/>
        <v>0</v>
      </c>
      <c r="AR68" s="456">
        <f t="shared" si="100"/>
        <v>0</v>
      </c>
      <c r="AS68" s="457"/>
      <c r="AT68" s="455">
        <f t="shared" si="145"/>
        <v>0</v>
      </c>
      <c r="AU68" s="455">
        <f t="shared" si="146"/>
        <v>0</v>
      </c>
      <c r="AV68" s="455">
        <f t="shared" si="147"/>
        <v>0</v>
      </c>
      <c r="AW68" s="455">
        <f t="shared" si="148"/>
        <v>0</v>
      </c>
      <c r="AX68" s="455">
        <f t="shared" si="149"/>
        <v>0</v>
      </c>
      <c r="AY68" s="455">
        <f t="shared" si="150"/>
        <v>0</v>
      </c>
      <c r="AZ68" s="455">
        <f t="shared" si="151"/>
        <v>0</v>
      </c>
      <c r="BA68" s="455">
        <f t="shared" si="152"/>
        <v>0</v>
      </c>
      <c r="BB68" s="455">
        <f t="shared" si="153"/>
        <v>0</v>
      </c>
      <c r="BC68" s="455">
        <f t="shared" si="154"/>
        <v>0</v>
      </c>
      <c r="BD68" s="456">
        <f t="shared" si="101"/>
        <v>0</v>
      </c>
      <c r="BE68" s="457"/>
      <c r="BF68" s="455">
        <f t="shared" si="155"/>
        <v>0</v>
      </c>
      <c r="BG68" s="455">
        <f t="shared" si="156"/>
        <v>0</v>
      </c>
      <c r="BH68" s="455">
        <f t="shared" si="157"/>
        <v>0</v>
      </c>
      <c r="BI68" s="455">
        <f t="shared" si="158"/>
        <v>0</v>
      </c>
      <c r="BJ68" s="455">
        <f t="shared" si="159"/>
        <v>0</v>
      </c>
      <c r="BK68" s="455">
        <f t="shared" si="160"/>
        <v>0</v>
      </c>
      <c r="BL68" s="455">
        <f t="shared" si="161"/>
        <v>0</v>
      </c>
      <c r="BM68" s="455">
        <f t="shared" si="162"/>
        <v>0</v>
      </c>
      <c r="BN68" s="455">
        <f t="shared" si="163"/>
        <v>0</v>
      </c>
      <c r="BO68" s="455">
        <f t="shared" si="164"/>
        <v>0</v>
      </c>
      <c r="BP68" s="456">
        <f t="shared" si="102"/>
        <v>0</v>
      </c>
      <c r="BQ68" s="463"/>
      <c r="BR68" s="459">
        <f t="shared" si="165"/>
        <v>0</v>
      </c>
      <c r="BS68" s="459">
        <f t="shared" si="166"/>
        <v>0</v>
      </c>
      <c r="BT68" s="459">
        <f t="shared" si="167"/>
        <v>0</v>
      </c>
      <c r="BU68" s="459">
        <f t="shared" si="168"/>
        <v>0</v>
      </c>
      <c r="BV68" s="459">
        <f t="shared" si="169"/>
        <v>0</v>
      </c>
      <c r="BW68" s="459">
        <f t="shared" si="170"/>
        <v>0</v>
      </c>
      <c r="BX68" s="459">
        <f t="shared" si="171"/>
        <v>0</v>
      </c>
      <c r="BY68" s="459">
        <f t="shared" si="172"/>
        <v>0</v>
      </c>
      <c r="BZ68" s="459">
        <f t="shared" si="173"/>
        <v>0</v>
      </c>
      <c r="CA68" s="459">
        <f t="shared" si="174"/>
        <v>0</v>
      </c>
      <c r="CB68" s="460">
        <f t="shared" si="103"/>
        <v>0</v>
      </c>
      <c r="CC68" s="463"/>
      <c r="CD68" s="462">
        <f t="shared" si="175"/>
        <v>0</v>
      </c>
      <c r="CE68" s="462">
        <f t="shared" si="176"/>
        <v>0</v>
      </c>
      <c r="CF68" s="462">
        <f t="shared" si="177"/>
        <v>0</v>
      </c>
      <c r="CG68" s="462">
        <f t="shared" si="178"/>
        <v>0</v>
      </c>
      <c r="CH68" s="462">
        <f t="shared" si="179"/>
        <v>0</v>
      </c>
      <c r="CI68" s="462">
        <f t="shared" si="180"/>
        <v>0</v>
      </c>
      <c r="CJ68" s="462">
        <f t="shared" si="181"/>
        <v>0</v>
      </c>
      <c r="CK68" s="462">
        <f t="shared" si="182"/>
        <v>0</v>
      </c>
      <c r="CL68" s="462">
        <f t="shared" si="183"/>
        <v>0</v>
      </c>
      <c r="CM68" s="462">
        <f t="shared" si="184"/>
        <v>0</v>
      </c>
      <c r="CN68" s="460">
        <f t="shared" si="104"/>
        <v>0</v>
      </c>
      <c r="CO68" s="463"/>
      <c r="CP68" s="459">
        <f t="shared" si="185"/>
        <v>0</v>
      </c>
      <c r="CQ68" s="459">
        <f t="shared" si="186"/>
        <v>0</v>
      </c>
      <c r="CR68" s="459">
        <f t="shared" si="187"/>
        <v>0</v>
      </c>
      <c r="CS68" s="459">
        <f t="shared" si="188"/>
        <v>0</v>
      </c>
      <c r="CT68" s="459">
        <f t="shared" si="189"/>
        <v>0</v>
      </c>
      <c r="CU68" s="459">
        <f t="shared" si="190"/>
        <v>0</v>
      </c>
      <c r="CV68" s="459">
        <f t="shared" si="191"/>
        <v>0</v>
      </c>
      <c r="CW68" s="459">
        <f t="shared" si="192"/>
        <v>0</v>
      </c>
      <c r="CX68" s="459">
        <f t="shared" si="193"/>
        <v>0</v>
      </c>
      <c r="CY68" s="459">
        <f t="shared" si="194"/>
        <v>0</v>
      </c>
      <c r="CZ68" s="460">
        <f t="shared" si="105"/>
        <v>0</v>
      </c>
      <c r="DA68" s="463"/>
      <c r="DB68" s="459">
        <f t="shared" si="195"/>
        <v>0</v>
      </c>
      <c r="DC68" s="459">
        <f t="shared" si="196"/>
        <v>0</v>
      </c>
      <c r="DD68" s="459">
        <f t="shared" si="197"/>
        <v>0</v>
      </c>
      <c r="DE68" s="459">
        <f t="shared" si="198"/>
        <v>0</v>
      </c>
      <c r="DF68" s="459">
        <f t="shared" si="199"/>
        <v>0</v>
      </c>
      <c r="DG68" s="459">
        <f t="shared" si="200"/>
        <v>0</v>
      </c>
      <c r="DH68" s="459">
        <f t="shared" si="201"/>
        <v>0</v>
      </c>
      <c r="DI68" s="459">
        <f t="shared" si="202"/>
        <v>0</v>
      </c>
      <c r="DJ68" s="459">
        <f t="shared" si="203"/>
        <v>0</v>
      </c>
      <c r="DK68" s="459">
        <f t="shared" si="204"/>
        <v>0</v>
      </c>
      <c r="DL68" s="460">
        <f t="shared" si="106"/>
        <v>0</v>
      </c>
      <c r="DM68" s="463"/>
      <c r="DN68" s="442">
        <f>IF('2. START'!$C$14&gt;0,(AT68/(1+$AA68))*(1+'2. START'!$C$14),AT68)</f>
        <v>0</v>
      </c>
      <c r="DO68" s="442">
        <f>IF('2. START'!$C$14&gt;0,(AU68/(1+$AA68))*(1+'2. START'!$C$14),AU68)</f>
        <v>0</v>
      </c>
      <c r="DP68" s="442">
        <f>IF('2. START'!$C$14&gt;0,(AV68/(1+$AA68))*(1+'2. START'!$C$14),AV68)</f>
        <v>0</v>
      </c>
      <c r="DQ68" s="442">
        <f>IF('2. START'!$C$14&gt;0,(AW68/(1+$AA68))*(1+'2. START'!$C$14),AW68)</f>
        <v>0</v>
      </c>
      <c r="DR68" s="442">
        <f>IF('2. START'!$C$14&gt;0,(AX68/(1+$AA68))*(1+'2. START'!$C$14),AX68)</f>
        <v>0</v>
      </c>
      <c r="DS68" s="442">
        <f>IF('2. START'!$C$14&gt;0,(AY68/(1+$AA68))*(1+'2. START'!$C$14),AY68)</f>
        <v>0</v>
      </c>
      <c r="DT68" s="442">
        <f>IF('2. START'!$C$14&gt;0,(AZ68/(1+$AA68))*(1+'2. START'!$C$14),AZ68)</f>
        <v>0</v>
      </c>
      <c r="DU68" s="442">
        <f>IF('2. START'!$C$14&gt;0,(BA68/(1+$AA68))*(1+'2. START'!$C$14),BA68)</f>
        <v>0</v>
      </c>
      <c r="DV68" s="442">
        <f>IF('2. START'!$C$14&gt;0,(BB68/(1+$AA68))*(1+'2. START'!$C$14),BB68)</f>
        <v>0</v>
      </c>
      <c r="DW68" s="442">
        <f>IF('2. START'!$C$14&gt;0,(BC68/(1+$AA68))*(1+'2. START'!$C$14),BC68)</f>
        <v>0</v>
      </c>
      <c r="DX68" s="460">
        <f t="shared" si="107"/>
        <v>0</v>
      </c>
      <c r="DY68" s="463"/>
      <c r="DZ68" s="459">
        <f>IF('2. START'!$C$11="NO",(IF('2. START'!$C$14&gt;0,(DN68*$AD68),(AT68*$AD68))),(BR68+CP68))</f>
        <v>0</v>
      </c>
      <c r="EA68" s="459">
        <f>IF('2. START'!$C$11="NO",(IF('2. START'!$C$14&gt;0,(DO68*$AD68),(AU68*$AD68))),(BS68+CQ68))</f>
        <v>0</v>
      </c>
      <c r="EB68" s="459">
        <f>IF('2. START'!$C$11="NO",(IF('2. START'!$C$14&gt;0,(DP68*$AD68),(AV68*$AD68))),(BT68+CR68))</f>
        <v>0</v>
      </c>
      <c r="EC68" s="459">
        <f>IF('2. START'!$C$11="NO",(IF('2. START'!$C$14&gt;0,(DQ68*$AD68),(AW68*$AD68))),(BU68+CS68))</f>
        <v>0</v>
      </c>
      <c r="ED68" s="459">
        <f>IF('2. START'!$C$11="NO",(IF('2. START'!$C$14&gt;0,(DR68*$AD68),(AX68*$AD68))),(BV68+CT68))</f>
        <v>0</v>
      </c>
      <c r="EE68" s="459">
        <f>IF('2. START'!$C$11="NO",(IF('2. START'!$C$14&gt;0,(DS68*$AD68),(AY68*$AD68))),(BW68+CU68))</f>
        <v>0</v>
      </c>
      <c r="EF68" s="459">
        <f>IF('2. START'!$C$11="NO",(IF('2. START'!$C$14&gt;0,(DT68*$AD68),(AZ68*$AD68))),(BX68+CV68))</f>
        <v>0</v>
      </c>
      <c r="EG68" s="459">
        <f>IF('2. START'!$C$11="NO",(IF('2. START'!$C$14&gt;0,(DU68*$AD68),(BA68*$AD68))),(BY68+CW68))</f>
        <v>0</v>
      </c>
      <c r="EH68" s="459">
        <f>IF('2. START'!$C$11="NO",(IF('2. START'!$C$14&gt;0,(DV68*$AD68),(BB68*$AD68))),(BZ68+CX68))</f>
        <v>0</v>
      </c>
      <c r="EI68" s="459">
        <f>IF('2. START'!$C$11="NO",(IF('2. START'!$C$14&gt;0,(DW68*$AD68),(BC68*$AD68))),(CA68+CY68))</f>
        <v>0</v>
      </c>
      <c r="EJ68" s="460">
        <f t="shared" si="108"/>
        <v>0</v>
      </c>
      <c r="EK68" s="463"/>
      <c r="EL68" s="459">
        <f>(BR68+CP68-DZ68)+IF('2. START'!$C$14&gt;0,AT68-DN68,0)</f>
        <v>0</v>
      </c>
      <c r="EM68" s="459">
        <f>(BS68+CQ68-EA68)+IF('2. START'!$C$14&gt;0,AU68-DO68,0)</f>
        <v>0</v>
      </c>
      <c r="EN68" s="459">
        <f>(BT68+CR68-EB68)+IF('2. START'!$C$14&gt;0,AV68-DP68,0)</f>
        <v>0</v>
      </c>
      <c r="EO68" s="459">
        <f>(BU68+CS68-EC68)+IF('2. START'!$C$14&gt;0,AW68-DQ68,0)</f>
        <v>0</v>
      </c>
      <c r="EP68" s="459">
        <f>(BV68+CT68-ED68)+IF('2. START'!$C$14&gt;0,AX68-DR68,0)</f>
        <v>0</v>
      </c>
      <c r="EQ68" s="459">
        <f>(BW68+CU68-EE68)+IF('2. START'!$C$14&gt;0,AY68-DS68,0)</f>
        <v>0</v>
      </c>
      <c r="ER68" s="459">
        <f>(BX68+CV68-EF68)+IF('2. START'!$C$14&gt;0,AZ68-DT68,0)</f>
        <v>0</v>
      </c>
      <c r="ES68" s="459">
        <f>(BY68+CW68-EG68)+IF('2. START'!$C$14&gt;0,BA68-DU68,0)</f>
        <v>0</v>
      </c>
      <c r="ET68" s="459">
        <f>(BZ68+CX68-EH68)+IF('2. START'!$C$14&gt;0,BB68-DV68,0)</f>
        <v>0</v>
      </c>
      <c r="EU68" s="459">
        <f>(CA68+CY68-EI68)+IF('2. START'!$C$14&gt;0,BC68-DW68,0)</f>
        <v>0</v>
      </c>
      <c r="EV68" s="460">
        <f t="shared" si="109"/>
        <v>0</v>
      </c>
      <c r="EW68" s="463"/>
      <c r="EX68" s="459">
        <f t="shared" si="110"/>
        <v>0</v>
      </c>
      <c r="EY68" s="459">
        <f t="shared" si="111"/>
        <v>0</v>
      </c>
      <c r="EZ68" s="459">
        <f t="shared" si="112"/>
        <v>0</v>
      </c>
      <c r="FA68" s="459">
        <f t="shared" si="113"/>
        <v>0</v>
      </c>
      <c r="FB68" s="459">
        <f t="shared" si="114"/>
        <v>0</v>
      </c>
      <c r="FC68" s="459">
        <f t="shared" si="115"/>
        <v>0</v>
      </c>
      <c r="FD68" s="459">
        <f t="shared" si="116"/>
        <v>0</v>
      </c>
      <c r="FE68" s="459">
        <f t="shared" si="117"/>
        <v>0</v>
      </c>
      <c r="FF68" s="459">
        <f t="shared" si="118"/>
        <v>0</v>
      </c>
      <c r="FG68" s="459">
        <f t="shared" si="119"/>
        <v>0</v>
      </c>
      <c r="FH68" s="460">
        <f t="shared" si="120"/>
        <v>0</v>
      </c>
      <c r="FI68" s="463"/>
      <c r="FJ68" s="459">
        <f t="shared" si="121"/>
        <v>0</v>
      </c>
      <c r="FK68" s="459">
        <f t="shared" si="122"/>
        <v>0</v>
      </c>
      <c r="FL68" s="459">
        <f t="shared" si="123"/>
        <v>0</v>
      </c>
      <c r="FM68" s="459">
        <f t="shared" si="124"/>
        <v>0</v>
      </c>
      <c r="FN68" s="459">
        <f t="shared" si="125"/>
        <v>0</v>
      </c>
      <c r="FO68" s="459">
        <f t="shared" si="126"/>
        <v>0</v>
      </c>
      <c r="FP68" s="459">
        <f t="shared" si="127"/>
        <v>0</v>
      </c>
      <c r="FQ68" s="459">
        <f t="shared" si="128"/>
        <v>0</v>
      </c>
      <c r="FR68" s="459">
        <f t="shared" si="129"/>
        <v>0</v>
      </c>
      <c r="FS68" s="459">
        <f t="shared" si="130"/>
        <v>0</v>
      </c>
      <c r="FT68" s="460">
        <f t="shared" si="131"/>
        <v>0</v>
      </c>
    </row>
    <row r="69" spans="2:176" s="270" customFormat="1" ht="15" customHeight="1" x14ac:dyDescent="0.25">
      <c r="B69" s="464" t="str">
        <f>'2. START'!C$7</f>
        <v>100GEM</v>
      </c>
      <c r="C69" s="470"/>
      <c r="D69" s="590"/>
      <c r="E69" s="514">
        <v>0</v>
      </c>
      <c r="F69" s="467"/>
      <c r="G69" s="432"/>
      <c r="H69" s="432"/>
      <c r="I69" s="432"/>
      <c r="J69" s="432"/>
      <c r="K69" s="432"/>
      <c r="L69" s="432"/>
      <c r="M69" s="432"/>
      <c r="N69" s="432"/>
      <c r="O69" s="432"/>
      <c r="P69" s="432"/>
      <c r="Q69" s="545">
        <f>SUMIF('3. PARTNER'!$B$13:$B$80,$B69,'3. PARTNER'!$F$13:$F$80)</f>
        <v>0.02</v>
      </c>
      <c r="R69" s="466">
        <f t="shared" si="206"/>
        <v>0.02</v>
      </c>
      <c r="S69" s="466">
        <f t="shared" si="206"/>
        <v>0.02</v>
      </c>
      <c r="T69" s="466">
        <f t="shared" si="206"/>
        <v>0.02</v>
      </c>
      <c r="U69" s="466">
        <f t="shared" si="206"/>
        <v>0.02</v>
      </c>
      <c r="V69" s="466">
        <f t="shared" si="206"/>
        <v>0.02</v>
      </c>
      <c r="W69" s="466">
        <f t="shared" si="206"/>
        <v>0.02</v>
      </c>
      <c r="X69" s="466">
        <f t="shared" si="206"/>
        <v>0.02</v>
      </c>
      <c r="Y69" s="466">
        <f t="shared" si="206"/>
        <v>0.02</v>
      </c>
      <c r="Z69" s="466">
        <f t="shared" si="206"/>
        <v>0.02</v>
      </c>
      <c r="AA69" s="434">
        <f>SUMIF('3. PARTNER'!B$13:B$80,B69,'3. PARTNER'!E$13:E$80)</f>
        <v>0.5595</v>
      </c>
      <c r="AB69" s="435">
        <f>IF('2. START'!$C$20="UTB",(SUMIF('3. PARTNER'!B$13:B$80,B69,'3. PARTNER'!K$13:K$80))+(SUMIF('3. PARTNER'!B$13:B$80,B69,'3. PARTNER'!M$13:M$80)),(SUMIF('3. PARTNER'!B$13:B$80,B69,'3. PARTNER'!G$13:G$80))+(SUMIF('3. PARTNER'!B$13:B$80,B69,'3. PARTNER'!I$13:I$80)))</f>
        <v>0.16000843770704321</v>
      </c>
      <c r="AC69" s="435">
        <f>IF('2. START'!$C$20="UTB",(SUMIF('3. PARTNER'!B$13:B$80,B69,'3. PARTNER'!L$13:L$80))+(SUMIF('3. PARTNER'!B$13:B$80,B69,'3. PARTNER'!N$13:N$80)),(SUMIF('3. PARTNER'!B$13:B$80,B69,'3. PARTNER'!H$13:H$80))+(SUMIF('3. PARTNER'!B$13:B$80,B69,'3. PARTNER'!J$13:J$80)))</f>
        <v>0</v>
      </c>
      <c r="AD69" s="435">
        <f>IF('2. START'!C$11="NO",'2. START'!C$12,0)</f>
        <v>0</v>
      </c>
      <c r="AE69" s="436">
        <f t="shared" si="98"/>
        <v>0</v>
      </c>
      <c r="AF69" s="436">
        <f t="shared" si="99"/>
        <v>0</v>
      </c>
      <c r="AG69" s="437"/>
      <c r="AH69" s="438">
        <f t="shared" si="135"/>
        <v>0</v>
      </c>
      <c r="AI69" s="438">
        <f t="shared" si="136"/>
        <v>0</v>
      </c>
      <c r="AJ69" s="438">
        <f t="shared" si="137"/>
        <v>0</v>
      </c>
      <c r="AK69" s="438">
        <f t="shared" si="138"/>
        <v>0</v>
      </c>
      <c r="AL69" s="438">
        <f t="shared" si="139"/>
        <v>0</v>
      </c>
      <c r="AM69" s="438">
        <f t="shared" si="140"/>
        <v>0</v>
      </c>
      <c r="AN69" s="438">
        <f t="shared" si="141"/>
        <v>0</v>
      </c>
      <c r="AO69" s="438">
        <f t="shared" si="142"/>
        <v>0</v>
      </c>
      <c r="AP69" s="438">
        <f t="shared" si="143"/>
        <v>0</v>
      </c>
      <c r="AQ69" s="438">
        <f t="shared" si="144"/>
        <v>0</v>
      </c>
      <c r="AR69" s="439">
        <f t="shared" si="100"/>
        <v>0</v>
      </c>
      <c r="AS69" s="440"/>
      <c r="AT69" s="438">
        <f t="shared" si="145"/>
        <v>0</v>
      </c>
      <c r="AU69" s="438">
        <f t="shared" si="146"/>
        <v>0</v>
      </c>
      <c r="AV69" s="438">
        <f t="shared" si="147"/>
        <v>0</v>
      </c>
      <c r="AW69" s="438">
        <f t="shared" si="148"/>
        <v>0</v>
      </c>
      <c r="AX69" s="438">
        <f t="shared" si="149"/>
        <v>0</v>
      </c>
      <c r="AY69" s="438">
        <f t="shared" si="150"/>
        <v>0</v>
      </c>
      <c r="AZ69" s="438">
        <f t="shared" si="151"/>
        <v>0</v>
      </c>
      <c r="BA69" s="438">
        <f t="shared" si="152"/>
        <v>0</v>
      </c>
      <c r="BB69" s="438">
        <f t="shared" si="153"/>
        <v>0</v>
      </c>
      <c r="BC69" s="438">
        <f t="shared" si="154"/>
        <v>0</v>
      </c>
      <c r="BD69" s="439">
        <f t="shared" si="101"/>
        <v>0</v>
      </c>
      <c r="BE69" s="440"/>
      <c r="BF69" s="438">
        <f t="shared" si="155"/>
        <v>0</v>
      </c>
      <c r="BG69" s="438">
        <f t="shared" si="156"/>
        <v>0</v>
      </c>
      <c r="BH69" s="438">
        <f t="shared" si="157"/>
        <v>0</v>
      </c>
      <c r="BI69" s="438">
        <f t="shared" si="158"/>
        <v>0</v>
      </c>
      <c r="BJ69" s="438">
        <f t="shared" si="159"/>
        <v>0</v>
      </c>
      <c r="BK69" s="438">
        <f t="shared" si="160"/>
        <v>0</v>
      </c>
      <c r="BL69" s="438">
        <f t="shared" si="161"/>
        <v>0</v>
      </c>
      <c r="BM69" s="438">
        <f t="shared" si="162"/>
        <v>0</v>
      </c>
      <c r="BN69" s="438">
        <f t="shared" si="163"/>
        <v>0</v>
      </c>
      <c r="BO69" s="438">
        <f t="shared" si="164"/>
        <v>0</v>
      </c>
      <c r="BP69" s="439">
        <f t="shared" si="102"/>
        <v>0</v>
      </c>
      <c r="BR69" s="442">
        <f t="shared" si="165"/>
        <v>0</v>
      </c>
      <c r="BS69" s="442">
        <f t="shared" si="166"/>
        <v>0</v>
      </c>
      <c r="BT69" s="442">
        <f t="shared" si="167"/>
        <v>0</v>
      </c>
      <c r="BU69" s="442">
        <f t="shared" si="168"/>
        <v>0</v>
      </c>
      <c r="BV69" s="442">
        <f t="shared" si="169"/>
        <v>0</v>
      </c>
      <c r="BW69" s="442">
        <f t="shared" si="170"/>
        <v>0</v>
      </c>
      <c r="BX69" s="442">
        <f t="shared" si="171"/>
        <v>0</v>
      </c>
      <c r="BY69" s="442">
        <f t="shared" si="172"/>
        <v>0</v>
      </c>
      <c r="BZ69" s="442">
        <f t="shared" si="173"/>
        <v>0</v>
      </c>
      <c r="CA69" s="442">
        <f t="shared" si="174"/>
        <v>0</v>
      </c>
      <c r="CB69" s="443">
        <f t="shared" si="103"/>
        <v>0</v>
      </c>
      <c r="CD69" s="445">
        <f t="shared" si="175"/>
        <v>0</v>
      </c>
      <c r="CE69" s="445">
        <f t="shared" si="176"/>
        <v>0</v>
      </c>
      <c r="CF69" s="445">
        <f t="shared" si="177"/>
        <v>0</v>
      </c>
      <c r="CG69" s="445">
        <f t="shared" si="178"/>
        <v>0</v>
      </c>
      <c r="CH69" s="445">
        <f t="shared" si="179"/>
        <v>0</v>
      </c>
      <c r="CI69" s="445">
        <f t="shared" si="180"/>
        <v>0</v>
      </c>
      <c r="CJ69" s="445">
        <f t="shared" si="181"/>
        <v>0</v>
      </c>
      <c r="CK69" s="445">
        <f t="shared" si="182"/>
        <v>0</v>
      </c>
      <c r="CL69" s="445">
        <f t="shared" si="183"/>
        <v>0</v>
      </c>
      <c r="CM69" s="445">
        <f t="shared" si="184"/>
        <v>0</v>
      </c>
      <c r="CN69" s="443">
        <f t="shared" si="104"/>
        <v>0</v>
      </c>
      <c r="CP69" s="442">
        <f t="shared" si="185"/>
        <v>0</v>
      </c>
      <c r="CQ69" s="442">
        <f t="shared" si="186"/>
        <v>0</v>
      </c>
      <c r="CR69" s="442">
        <f t="shared" si="187"/>
        <v>0</v>
      </c>
      <c r="CS69" s="442">
        <f t="shared" si="188"/>
        <v>0</v>
      </c>
      <c r="CT69" s="442">
        <f t="shared" si="189"/>
        <v>0</v>
      </c>
      <c r="CU69" s="442">
        <f t="shared" si="190"/>
        <v>0</v>
      </c>
      <c r="CV69" s="442">
        <f t="shared" si="191"/>
        <v>0</v>
      </c>
      <c r="CW69" s="442">
        <f t="shared" si="192"/>
        <v>0</v>
      </c>
      <c r="CX69" s="442">
        <f t="shared" si="193"/>
        <v>0</v>
      </c>
      <c r="CY69" s="442">
        <f t="shared" si="194"/>
        <v>0</v>
      </c>
      <c r="CZ69" s="443">
        <f t="shared" si="105"/>
        <v>0</v>
      </c>
      <c r="DB69" s="442">
        <f t="shared" si="195"/>
        <v>0</v>
      </c>
      <c r="DC69" s="442">
        <f t="shared" si="196"/>
        <v>0</v>
      </c>
      <c r="DD69" s="442">
        <f t="shared" si="197"/>
        <v>0</v>
      </c>
      <c r="DE69" s="442">
        <f t="shared" si="198"/>
        <v>0</v>
      </c>
      <c r="DF69" s="442">
        <f t="shared" si="199"/>
        <v>0</v>
      </c>
      <c r="DG69" s="442">
        <f t="shared" si="200"/>
        <v>0</v>
      </c>
      <c r="DH69" s="442">
        <f t="shared" si="201"/>
        <v>0</v>
      </c>
      <c r="DI69" s="442">
        <f t="shared" si="202"/>
        <v>0</v>
      </c>
      <c r="DJ69" s="442">
        <f t="shared" si="203"/>
        <v>0</v>
      </c>
      <c r="DK69" s="442">
        <f t="shared" si="204"/>
        <v>0</v>
      </c>
      <c r="DL69" s="443">
        <f t="shared" si="106"/>
        <v>0</v>
      </c>
      <c r="DN69" s="442">
        <f>IF('2. START'!$C$14&gt;0,(AT69/(1+$AA69))*(1+'2. START'!$C$14),AT69)</f>
        <v>0</v>
      </c>
      <c r="DO69" s="442">
        <f>IF('2. START'!$C$14&gt;0,(AU69/(1+$AA69))*(1+'2. START'!$C$14),AU69)</f>
        <v>0</v>
      </c>
      <c r="DP69" s="442">
        <f>IF('2. START'!$C$14&gt;0,(AV69/(1+$AA69))*(1+'2. START'!$C$14),AV69)</f>
        <v>0</v>
      </c>
      <c r="DQ69" s="442">
        <f>IF('2. START'!$C$14&gt;0,(AW69/(1+$AA69))*(1+'2. START'!$C$14),AW69)</f>
        <v>0</v>
      </c>
      <c r="DR69" s="442">
        <f>IF('2. START'!$C$14&gt;0,(AX69/(1+$AA69))*(1+'2. START'!$C$14),AX69)</f>
        <v>0</v>
      </c>
      <c r="DS69" s="442">
        <f>IF('2. START'!$C$14&gt;0,(AY69/(1+$AA69))*(1+'2. START'!$C$14),AY69)</f>
        <v>0</v>
      </c>
      <c r="DT69" s="442">
        <f>IF('2. START'!$C$14&gt;0,(AZ69/(1+$AA69))*(1+'2. START'!$C$14),AZ69)</f>
        <v>0</v>
      </c>
      <c r="DU69" s="442">
        <f>IF('2. START'!$C$14&gt;0,(BA69/(1+$AA69))*(1+'2. START'!$C$14),BA69)</f>
        <v>0</v>
      </c>
      <c r="DV69" s="442">
        <f>IF('2. START'!$C$14&gt;0,(BB69/(1+$AA69))*(1+'2. START'!$C$14),BB69)</f>
        <v>0</v>
      </c>
      <c r="DW69" s="442">
        <f>IF('2. START'!$C$14&gt;0,(BC69/(1+$AA69))*(1+'2. START'!$C$14),BC69)</f>
        <v>0</v>
      </c>
      <c r="DX69" s="443">
        <f t="shared" si="107"/>
        <v>0</v>
      </c>
      <c r="DZ69" s="442">
        <f>IF('2. START'!$C$11="NO",(IF('2. START'!$C$14&gt;0,(DN69*$AD69),(AT69*$AD69))),(BR69+CP69))</f>
        <v>0</v>
      </c>
      <c r="EA69" s="442">
        <f>IF('2. START'!$C$11="NO",(IF('2. START'!$C$14&gt;0,(DO69*$AD69),(AU69*$AD69))),(BS69+CQ69))</f>
        <v>0</v>
      </c>
      <c r="EB69" s="442">
        <f>IF('2. START'!$C$11="NO",(IF('2. START'!$C$14&gt;0,(DP69*$AD69),(AV69*$AD69))),(BT69+CR69))</f>
        <v>0</v>
      </c>
      <c r="EC69" s="442">
        <f>IF('2. START'!$C$11="NO",(IF('2. START'!$C$14&gt;0,(DQ69*$AD69),(AW69*$AD69))),(BU69+CS69))</f>
        <v>0</v>
      </c>
      <c r="ED69" s="442">
        <f>IF('2. START'!$C$11="NO",(IF('2. START'!$C$14&gt;0,(DR69*$AD69),(AX69*$AD69))),(BV69+CT69))</f>
        <v>0</v>
      </c>
      <c r="EE69" s="442">
        <f>IF('2. START'!$C$11="NO",(IF('2. START'!$C$14&gt;0,(DS69*$AD69),(AY69*$AD69))),(BW69+CU69))</f>
        <v>0</v>
      </c>
      <c r="EF69" s="442">
        <f>IF('2. START'!$C$11="NO",(IF('2. START'!$C$14&gt;0,(DT69*$AD69),(AZ69*$AD69))),(BX69+CV69))</f>
        <v>0</v>
      </c>
      <c r="EG69" s="442">
        <f>IF('2. START'!$C$11="NO",(IF('2. START'!$C$14&gt;0,(DU69*$AD69),(BA69*$AD69))),(BY69+CW69))</f>
        <v>0</v>
      </c>
      <c r="EH69" s="442">
        <f>IF('2. START'!$C$11="NO",(IF('2. START'!$C$14&gt;0,(DV69*$AD69),(BB69*$AD69))),(BZ69+CX69))</f>
        <v>0</v>
      </c>
      <c r="EI69" s="442">
        <f>IF('2. START'!$C$11="NO",(IF('2. START'!$C$14&gt;0,(DW69*$AD69),(BC69*$AD69))),(CA69+CY69))</f>
        <v>0</v>
      </c>
      <c r="EJ69" s="443">
        <f t="shared" si="108"/>
        <v>0</v>
      </c>
      <c r="EL69" s="442">
        <f>(BR69+CP69-DZ69)+IF('2. START'!$C$14&gt;0,AT69-DN69,0)</f>
        <v>0</v>
      </c>
      <c r="EM69" s="442">
        <f>(BS69+CQ69-EA69)+IF('2. START'!$C$14&gt;0,AU69-DO69,0)</f>
        <v>0</v>
      </c>
      <c r="EN69" s="442">
        <f>(BT69+CR69-EB69)+IF('2. START'!$C$14&gt;0,AV69-DP69,0)</f>
        <v>0</v>
      </c>
      <c r="EO69" s="442">
        <f>(BU69+CS69-EC69)+IF('2. START'!$C$14&gt;0,AW69-DQ69,0)</f>
        <v>0</v>
      </c>
      <c r="EP69" s="442">
        <f>(BV69+CT69-ED69)+IF('2. START'!$C$14&gt;0,AX69-DR69,0)</f>
        <v>0</v>
      </c>
      <c r="EQ69" s="442">
        <f>(BW69+CU69-EE69)+IF('2. START'!$C$14&gt;0,AY69-DS69,0)</f>
        <v>0</v>
      </c>
      <c r="ER69" s="442">
        <f>(BX69+CV69-EF69)+IF('2. START'!$C$14&gt;0,AZ69-DT69,0)</f>
        <v>0</v>
      </c>
      <c r="ES69" s="442">
        <f>(BY69+CW69-EG69)+IF('2. START'!$C$14&gt;0,BA69-DU69,0)</f>
        <v>0</v>
      </c>
      <c r="ET69" s="442">
        <f>(BZ69+CX69-EH69)+IF('2. START'!$C$14&gt;0,BB69-DV69,0)</f>
        <v>0</v>
      </c>
      <c r="EU69" s="442">
        <f>(CA69+CY69-EI69)+IF('2. START'!$C$14&gt;0,BC69-DW69,0)</f>
        <v>0</v>
      </c>
      <c r="EV69" s="443">
        <f t="shared" si="109"/>
        <v>0</v>
      </c>
      <c r="EX69" s="442">
        <f t="shared" si="110"/>
        <v>0</v>
      </c>
      <c r="EY69" s="442">
        <f t="shared" si="111"/>
        <v>0</v>
      </c>
      <c r="EZ69" s="442">
        <f t="shared" si="112"/>
        <v>0</v>
      </c>
      <c r="FA69" s="442">
        <f t="shared" si="113"/>
        <v>0</v>
      </c>
      <c r="FB69" s="442">
        <f t="shared" si="114"/>
        <v>0</v>
      </c>
      <c r="FC69" s="442">
        <f t="shared" si="115"/>
        <v>0</v>
      </c>
      <c r="FD69" s="442">
        <f t="shared" si="116"/>
        <v>0</v>
      </c>
      <c r="FE69" s="442">
        <f t="shared" si="117"/>
        <v>0</v>
      </c>
      <c r="FF69" s="442">
        <f t="shared" si="118"/>
        <v>0</v>
      </c>
      <c r="FG69" s="442">
        <f t="shared" si="119"/>
        <v>0</v>
      </c>
      <c r="FH69" s="443">
        <f t="shared" si="120"/>
        <v>0</v>
      </c>
      <c r="FJ69" s="442">
        <f t="shared" si="121"/>
        <v>0</v>
      </c>
      <c r="FK69" s="442">
        <f t="shared" si="122"/>
        <v>0</v>
      </c>
      <c r="FL69" s="442">
        <f t="shared" si="123"/>
        <v>0</v>
      </c>
      <c r="FM69" s="442">
        <f t="shared" si="124"/>
        <v>0</v>
      </c>
      <c r="FN69" s="442">
        <f t="shared" si="125"/>
        <v>0</v>
      </c>
      <c r="FO69" s="442">
        <f t="shared" si="126"/>
        <v>0</v>
      </c>
      <c r="FP69" s="442">
        <f t="shared" si="127"/>
        <v>0</v>
      </c>
      <c r="FQ69" s="442">
        <f t="shared" si="128"/>
        <v>0</v>
      </c>
      <c r="FR69" s="442">
        <f t="shared" si="129"/>
        <v>0</v>
      </c>
      <c r="FS69" s="442">
        <f t="shared" si="130"/>
        <v>0</v>
      </c>
      <c r="FT69" s="443">
        <f t="shared" si="131"/>
        <v>0</v>
      </c>
    </row>
    <row r="70" spans="2:176" s="270" customFormat="1" ht="15" customHeight="1" x14ac:dyDescent="0.25">
      <c r="B70" s="446" t="str">
        <f>'2. START'!C$7</f>
        <v>100GEM</v>
      </c>
      <c r="C70" s="469"/>
      <c r="D70" s="589"/>
      <c r="E70" s="544">
        <v>0</v>
      </c>
      <c r="F70" s="448"/>
      <c r="G70" s="449"/>
      <c r="H70" s="449"/>
      <c r="I70" s="449"/>
      <c r="J70" s="449"/>
      <c r="K70" s="449"/>
      <c r="L70" s="449"/>
      <c r="M70" s="449"/>
      <c r="N70" s="449"/>
      <c r="O70" s="449"/>
      <c r="P70" s="449"/>
      <c r="Q70" s="546">
        <f>SUMIF('3. PARTNER'!$B$13:$B$80,$B70,'3. PARTNER'!$F$13:$F$80)</f>
        <v>0.02</v>
      </c>
      <c r="R70" s="450">
        <f t="shared" si="206"/>
        <v>0.02</v>
      </c>
      <c r="S70" s="450">
        <f t="shared" si="206"/>
        <v>0.02</v>
      </c>
      <c r="T70" s="450">
        <f t="shared" si="206"/>
        <v>0.02</v>
      </c>
      <c r="U70" s="450">
        <f t="shared" si="206"/>
        <v>0.02</v>
      </c>
      <c r="V70" s="450">
        <f t="shared" si="206"/>
        <v>0.02</v>
      </c>
      <c r="W70" s="450">
        <f t="shared" si="206"/>
        <v>0.02</v>
      </c>
      <c r="X70" s="450">
        <f t="shared" si="206"/>
        <v>0.02</v>
      </c>
      <c r="Y70" s="450">
        <f t="shared" si="206"/>
        <v>0.02</v>
      </c>
      <c r="Z70" s="450">
        <f t="shared" si="206"/>
        <v>0.02</v>
      </c>
      <c r="AA70" s="451">
        <f>SUMIF('3. PARTNER'!B$13:B$80,B70,'3. PARTNER'!E$13:E$80)</f>
        <v>0.5595</v>
      </c>
      <c r="AB70" s="452">
        <f>IF('2. START'!$C$20="UTB",(SUMIF('3. PARTNER'!B$13:B$80,B70,'3. PARTNER'!K$13:K$80))+(SUMIF('3. PARTNER'!B$13:B$80,B70,'3. PARTNER'!M$13:M$80)),(SUMIF('3. PARTNER'!B$13:B$80,B70,'3. PARTNER'!G$13:G$80))+(SUMIF('3. PARTNER'!B$13:B$80,B70,'3. PARTNER'!I$13:I$80)))</f>
        <v>0.16000843770704321</v>
      </c>
      <c r="AC70" s="452">
        <f>IF('2. START'!$C$20="UTB",(SUMIF('3. PARTNER'!B$13:B$80,B70,'3. PARTNER'!L$13:L$80))+(SUMIF('3. PARTNER'!B$13:B$80,B70,'3. PARTNER'!N$13:N$80)),(SUMIF('3. PARTNER'!B$13:B$80,B70,'3. PARTNER'!H$13:H$80))+(SUMIF('3. PARTNER'!B$13:B$80,B70,'3. PARTNER'!J$13:J$80)))</f>
        <v>0</v>
      </c>
      <c r="AD70" s="452">
        <f>IF('2. START'!C$11="NO",'2. START'!C$12,0)</f>
        <v>0</v>
      </c>
      <c r="AE70" s="453">
        <f t="shared" si="98"/>
        <v>0</v>
      </c>
      <c r="AF70" s="453">
        <f t="shared" si="99"/>
        <v>0</v>
      </c>
      <c r="AG70" s="454"/>
      <c r="AH70" s="455">
        <f t="shared" si="135"/>
        <v>0</v>
      </c>
      <c r="AI70" s="455">
        <f t="shared" si="136"/>
        <v>0</v>
      </c>
      <c r="AJ70" s="455">
        <f t="shared" si="137"/>
        <v>0</v>
      </c>
      <c r="AK70" s="455">
        <f t="shared" si="138"/>
        <v>0</v>
      </c>
      <c r="AL70" s="455">
        <f t="shared" si="139"/>
        <v>0</v>
      </c>
      <c r="AM70" s="455">
        <f t="shared" si="140"/>
        <v>0</v>
      </c>
      <c r="AN70" s="455">
        <f t="shared" si="141"/>
        <v>0</v>
      </c>
      <c r="AO70" s="455">
        <f t="shared" si="142"/>
        <v>0</v>
      </c>
      <c r="AP70" s="455">
        <f t="shared" si="143"/>
        <v>0</v>
      </c>
      <c r="AQ70" s="455">
        <f t="shared" si="144"/>
        <v>0</v>
      </c>
      <c r="AR70" s="456">
        <f t="shared" si="100"/>
        <v>0</v>
      </c>
      <c r="AS70" s="457"/>
      <c r="AT70" s="455">
        <f t="shared" si="145"/>
        <v>0</v>
      </c>
      <c r="AU70" s="455">
        <f t="shared" si="146"/>
        <v>0</v>
      </c>
      <c r="AV70" s="455">
        <f t="shared" si="147"/>
        <v>0</v>
      </c>
      <c r="AW70" s="455">
        <f t="shared" si="148"/>
        <v>0</v>
      </c>
      <c r="AX70" s="455">
        <f t="shared" si="149"/>
        <v>0</v>
      </c>
      <c r="AY70" s="455">
        <f t="shared" si="150"/>
        <v>0</v>
      </c>
      <c r="AZ70" s="455">
        <f t="shared" si="151"/>
        <v>0</v>
      </c>
      <c r="BA70" s="455">
        <f t="shared" si="152"/>
        <v>0</v>
      </c>
      <c r="BB70" s="455">
        <f t="shared" si="153"/>
        <v>0</v>
      </c>
      <c r="BC70" s="455">
        <f t="shared" si="154"/>
        <v>0</v>
      </c>
      <c r="BD70" s="456">
        <f t="shared" si="101"/>
        <v>0</v>
      </c>
      <c r="BE70" s="457"/>
      <c r="BF70" s="455">
        <f t="shared" si="155"/>
        <v>0</v>
      </c>
      <c r="BG70" s="455">
        <f t="shared" si="156"/>
        <v>0</v>
      </c>
      <c r="BH70" s="455">
        <f t="shared" si="157"/>
        <v>0</v>
      </c>
      <c r="BI70" s="455">
        <f t="shared" si="158"/>
        <v>0</v>
      </c>
      <c r="BJ70" s="455">
        <f t="shared" si="159"/>
        <v>0</v>
      </c>
      <c r="BK70" s="455">
        <f t="shared" si="160"/>
        <v>0</v>
      </c>
      <c r="BL70" s="455">
        <f t="shared" si="161"/>
        <v>0</v>
      </c>
      <c r="BM70" s="455">
        <f t="shared" si="162"/>
        <v>0</v>
      </c>
      <c r="BN70" s="455">
        <f t="shared" si="163"/>
        <v>0</v>
      </c>
      <c r="BO70" s="455">
        <f t="shared" si="164"/>
        <v>0</v>
      </c>
      <c r="BP70" s="456">
        <f t="shared" si="102"/>
        <v>0</v>
      </c>
      <c r="BQ70" s="463"/>
      <c r="BR70" s="459">
        <f t="shared" si="165"/>
        <v>0</v>
      </c>
      <c r="BS70" s="459">
        <f t="shared" si="166"/>
        <v>0</v>
      </c>
      <c r="BT70" s="459">
        <f t="shared" si="167"/>
        <v>0</v>
      </c>
      <c r="BU70" s="459">
        <f t="shared" si="168"/>
        <v>0</v>
      </c>
      <c r="BV70" s="459">
        <f t="shared" si="169"/>
        <v>0</v>
      </c>
      <c r="BW70" s="459">
        <f t="shared" si="170"/>
        <v>0</v>
      </c>
      <c r="BX70" s="459">
        <f t="shared" si="171"/>
        <v>0</v>
      </c>
      <c r="BY70" s="459">
        <f t="shared" si="172"/>
        <v>0</v>
      </c>
      <c r="BZ70" s="459">
        <f t="shared" si="173"/>
        <v>0</v>
      </c>
      <c r="CA70" s="459">
        <f t="shared" si="174"/>
        <v>0</v>
      </c>
      <c r="CB70" s="460">
        <f t="shared" si="103"/>
        <v>0</v>
      </c>
      <c r="CC70" s="463"/>
      <c r="CD70" s="462">
        <f t="shared" si="175"/>
        <v>0</v>
      </c>
      <c r="CE70" s="462">
        <f t="shared" si="176"/>
        <v>0</v>
      </c>
      <c r="CF70" s="462">
        <f t="shared" si="177"/>
        <v>0</v>
      </c>
      <c r="CG70" s="462">
        <f t="shared" si="178"/>
        <v>0</v>
      </c>
      <c r="CH70" s="462">
        <f t="shared" si="179"/>
        <v>0</v>
      </c>
      <c r="CI70" s="462">
        <f t="shared" si="180"/>
        <v>0</v>
      </c>
      <c r="CJ70" s="462">
        <f t="shared" si="181"/>
        <v>0</v>
      </c>
      <c r="CK70" s="462">
        <f t="shared" si="182"/>
        <v>0</v>
      </c>
      <c r="CL70" s="462">
        <f t="shared" si="183"/>
        <v>0</v>
      </c>
      <c r="CM70" s="462">
        <f t="shared" si="184"/>
        <v>0</v>
      </c>
      <c r="CN70" s="460">
        <f t="shared" si="104"/>
        <v>0</v>
      </c>
      <c r="CO70" s="463"/>
      <c r="CP70" s="459">
        <f t="shared" si="185"/>
        <v>0</v>
      </c>
      <c r="CQ70" s="459">
        <f t="shared" si="186"/>
        <v>0</v>
      </c>
      <c r="CR70" s="459">
        <f t="shared" si="187"/>
        <v>0</v>
      </c>
      <c r="CS70" s="459">
        <f t="shared" si="188"/>
        <v>0</v>
      </c>
      <c r="CT70" s="459">
        <f t="shared" si="189"/>
        <v>0</v>
      </c>
      <c r="CU70" s="459">
        <f t="shared" si="190"/>
        <v>0</v>
      </c>
      <c r="CV70" s="459">
        <f t="shared" si="191"/>
        <v>0</v>
      </c>
      <c r="CW70" s="459">
        <f t="shared" si="192"/>
        <v>0</v>
      </c>
      <c r="CX70" s="459">
        <f t="shared" si="193"/>
        <v>0</v>
      </c>
      <c r="CY70" s="459">
        <f t="shared" si="194"/>
        <v>0</v>
      </c>
      <c r="CZ70" s="460">
        <f t="shared" si="105"/>
        <v>0</v>
      </c>
      <c r="DA70" s="463"/>
      <c r="DB70" s="459">
        <f t="shared" si="195"/>
        <v>0</v>
      </c>
      <c r="DC70" s="459">
        <f t="shared" si="196"/>
        <v>0</v>
      </c>
      <c r="DD70" s="459">
        <f t="shared" si="197"/>
        <v>0</v>
      </c>
      <c r="DE70" s="459">
        <f t="shared" si="198"/>
        <v>0</v>
      </c>
      <c r="DF70" s="459">
        <f t="shared" si="199"/>
        <v>0</v>
      </c>
      <c r="DG70" s="459">
        <f t="shared" si="200"/>
        <v>0</v>
      </c>
      <c r="DH70" s="459">
        <f t="shared" si="201"/>
        <v>0</v>
      </c>
      <c r="DI70" s="459">
        <f t="shared" si="202"/>
        <v>0</v>
      </c>
      <c r="DJ70" s="459">
        <f t="shared" si="203"/>
        <v>0</v>
      </c>
      <c r="DK70" s="459">
        <f t="shared" si="204"/>
        <v>0</v>
      </c>
      <c r="DL70" s="460">
        <f t="shared" si="106"/>
        <v>0</v>
      </c>
      <c r="DM70" s="463"/>
      <c r="DN70" s="442">
        <f>IF('2. START'!$C$14&gt;0,(AT70/(1+$AA70))*(1+'2. START'!$C$14),AT70)</f>
        <v>0</v>
      </c>
      <c r="DO70" s="442">
        <f>IF('2. START'!$C$14&gt;0,(AU70/(1+$AA70))*(1+'2. START'!$C$14),AU70)</f>
        <v>0</v>
      </c>
      <c r="DP70" s="442">
        <f>IF('2. START'!$C$14&gt;0,(AV70/(1+$AA70))*(1+'2. START'!$C$14),AV70)</f>
        <v>0</v>
      </c>
      <c r="DQ70" s="442">
        <f>IF('2. START'!$C$14&gt;0,(AW70/(1+$AA70))*(1+'2. START'!$C$14),AW70)</f>
        <v>0</v>
      </c>
      <c r="DR70" s="442">
        <f>IF('2. START'!$C$14&gt;0,(AX70/(1+$AA70))*(1+'2. START'!$C$14),AX70)</f>
        <v>0</v>
      </c>
      <c r="DS70" s="442">
        <f>IF('2. START'!$C$14&gt;0,(AY70/(1+$AA70))*(1+'2. START'!$C$14),AY70)</f>
        <v>0</v>
      </c>
      <c r="DT70" s="442">
        <f>IF('2. START'!$C$14&gt;0,(AZ70/(1+$AA70))*(1+'2. START'!$C$14),AZ70)</f>
        <v>0</v>
      </c>
      <c r="DU70" s="442">
        <f>IF('2. START'!$C$14&gt;0,(BA70/(1+$AA70))*(1+'2. START'!$C$14),BA70)</f>
        <v>0</v>
      </c>
      <c r="DV70" s="442">
        <f>IF('2. START'!$C$14&gt;0,(BB70/(1+$AA70))*(1+'2. START'!$C$14),BB70)</f>
        <v>0</v>
      </c>
      <c r="DW70" s="442">
        <f>IF('2. START'!$C$14&gt;0,(BC70/(1+$AA70))*(1+'2. START'!$C$14),BC70)</f>
        <v>0</v>
      </c>
      <c r="DX70" s="460">
        <f t="shared" si="107"/>
        <v>0</v>
      </c>
      <c r="DY70" s="463"/>
      <c r="DZ70" s="459">
        <f>IF('2. START'!$C$11="NO",(IF('2. START'!$C$14&gt;0,(DN70*$AD70),(AT70*$AD70))),(BR70+CP70))</f>
        <v>0</v>
      </c>
      <c r="EA70" s="459">
        <f>IF('2. START'!$C$11="NO",(IF('2. START'!$C$14&gt;0,(DO70*$AD70),(AU70*$AD70))),(BS70+CQ70))</f>
        <v>0</v>
      </c>
      <c r="EB70" s="459">
        <f>IF('2. START'!$C$11="NO",(IF('2. START'!$C$14&gt;0,(DP70*$AD70),(AV70*$AD70))),(BT70+CR70))</f>
        <v>0</v>
      </c>
      <c r="EC70" s="459">
        <f>IF('2. START'!$C$11="NO",(IF('2. START'!$C$14&gt;0,(DQ70*$AD70),(AW70*$AD70))),(BU70+CS70))</f>
        <v>0</v>
      </c>
      <c r="ED70" s="459">
        <f>IF('2. START'!$C$11="NO",(IF('2. START'!$C$14&gt;0,(DR70*$AD70),(AX70*$AD70))),(BV70+CT70))</f>
        <v>0</v>
      </c>
      <c r="EE70" s="459">
        <f>IF('2. START'!$C$11="NO",(IF('2. START'!$C$14&gt;0,(DS70*$AD70),(AY70*$AD70))),(BW70+CU70))</f>
        <v>0</v>
      </c>
      <c r="EF70" s="459">
        <f>IF('2. START'!$C$11="NO",(IF('2. START'!$C$14&gt;0,(DT70*$AD70),(AZ70*$AD70))),(BX70+CV70))</f>
        <v>0</v>
      </c>
      <c r="EG70" s="459">
        <f>IF('2. START'!$C$11="NO",(IF('2. START'!$C$14&gt;0,(DU70*$AD70),(BA70*$AD70))),(BY70+CW70))</f>
        <v>0</v>
      </c>
      <c r="EH70" s="459">
        <f>IF('2. START'!$C$11="NO",(IF('2. START'!$C$14&gt;0,(DV70*$AD70),(BB70*$AD70))),(BZ70+CX70))</f>
        <v>0</v>
      </c>
      <c r="EI70" s="459">
        <f>IF('2. START'!$C$11="NO",(IF('2. START'!$C$14&gt;0,(DW70*$AD70),(BC70*$AD70))),(CA70+CY70))</f>
        <v>0</v>
      </c>
      <c r="EJ70" s="460">
        <f t="shared" si="108"/>
        <v>0</v>
      </c>
      <c r="EK70" s="463"/>
      <c r="EL70" s="459">
        <f>(BR70+CP70-DZ70)+IF('2. START'!$C$14&gt;0,AT70-DN70,0)</f>
        <v>0</v>
      </c>
      <c r="EM70" s="459">
        <f>(BS70+CQ70-EA70)+IF('2. START'!$C$14&gt;0,AU70-DO70,0)</f>
        <v>0</v>
      </c>
      <c r="EN70" s="459">
        <f>(BT70+CR70-EB70)+IF('2. START'!$C$14&gt;0,AV70-DP70,0)</f>
        <v>0</v>
      </c>
      <c r="EO70" s="459">
        <f>(BU70+CS70-EC70)+IF('2. START'!$C$14&gt;0,AW70-DQ70,0)</f>
        <v>0</v>
      </c>
      <c r="EP70" s="459">
        <f>(BV70+CT70-ED70)+IF('2. START'!$C$14&gt;0,AX70-DR70,0)</f>
        <v>0</v>
      </c>
      <c r="EQ70" s="459">
        <f>(BW70+CU70-EE70)+IF('2. START'!$C$14&gt;0,AY70-DS70,0)</f>
        <v>0</v>
      </c>
      <c r="ER70" s="459">
        <f>(BX70+CV70-EF70)+IF('2. START'!$C$14&gt;0,AZ70-DT70,0)</f>
        <v>0</v>
      </c>
      <c r="ES70" s="459">
        <f>(BY70+CW70-EG70)+IF('2. START'!$C$14&gt;0,BA70-DU70,0)</f>
        <v>0</v>
      </c>
      <c r="ET70" s="459">
        <f>(BZ70+CX70-EH70)+IF('2. START'!$C$14&gt;0,BB70-DV70,0)</f>
        <v>0</v>
      </c>
      <c r="EU70" s="459">
        <f>(CA70+CY70-EI70)+IF('2. START'!$C$14&gt;0,BC70-DW70,0)</f>
        <v>0</v>
      </c>
      <c r="EV70" s="460">
        <f t="shared" si="109"/>
        <v>0</v>
      </c>
      <c r="EW70" s="463"/>
      <c r="EX70" s="459">
        <f t="shared" si="110"/>
        <v>0</v>
      </c>
      <c r="EY70" s="459">
        <f t="shared" si="111"/>
        <v>0</v>
      </c>
      <c r="EZ70" s="459">
        <f t="shared" si="112"/>
        <v>0</v>
      </c>
      <c r="FA70" s="459">
        <f t="shared" si="113"/>
        <v>0</v>
      </c>
      <c r="FB70" s="459">
        <f t="shared" si="114"/>
        <v>0</v>
      </c>
      <c r="FC70" s="459">
        <f t="shared" si="115"/>
        <v>0</v>
      </c>
      <c r="FD70" s="459">
        <f t="shared" si="116"/>
        <v>0</v>
      </c>
      <c r="FE70" s="459">
        <f t="shared" si="117"/>
        <v>0</v>
      </c>
      <c r="FF70" s="459">
        <f t="shared" si="118"/>
        <v>0</v>
      </c>
      <c r="FG70" s="459">
        <f t="shared" si="119"/>
        <v>0</v>
      </c>
      <c r="FH70" s="460">
        <f t="shared" si="120"/>
        <v>0</v>
      </c>
      <c r="FI70" s="463"/>
      <c r="FJ70" s="459">
        <f t="shared" si="121"/>
        <v>0</v>
      </c>
      <c r="FK70" s="459">
        <f t="shared" si="122"/>
        <v>0</v>
      </c>
      <c r="FL70" s="459">
        <f t="shared" si="123"/>
        <v>0</v>
      </c>
      <c r="FM70" s="459">
        <f t="shared" si="124"/>
        <v>0</v>
      </c>
      <c r="FN70" s="459">
        <f t="shared" si="125"/>
        <v>0</v>
      </c>
      <c r="FO70" s="459">
        <f t="shared" si="126"/>
        <v>0</v>
      </c>
      <c r="FP70" s="459">
        <f t="shared" si="127"/>
        <v>0</v>
      </c>
      <c r="FQ70" s="459">
        <f t="shared" si="128"/>
        <v>0</v>
      </c>
      <c r="FR70" s="459">
        <f t="shared" si="129"/>
        <v>0</v>
      </c>
      <c r="FS70" s="459">
        <f t="shared" si="130"/>
        <v>0</v>
      </c>
      <c r="FT70" s="460">
        <f t="shared" si="131"/>
        <v>0</v>
      </c>
    </row>
    <row r="71" spans="2:176" s="270" customFormat="1" ht="15" customHeight="1" x14ac:dyDescent="0.25">
      <c r="B71" s="464" t="str">
        <f>'2. START'!C$7</f>
        <v>100GEM</v>
      </c>
      <c r="C71" s="470"/>
      <c r="D71" s="590"/>
      <c r="E71" s="514">
        <v>0</v>
      </c>
      <c r="F71" s="467"/>
      <c r="G71" s="432"/>
      <c r="H71" s="432"/>
      <c r="I71" s="432"/>
      <c r="J71" s="432"/>
      <c r="K71" s="432"/>
      <c r="L71" s="432"/>
      <c r="M71" s="432"/>
      <c r="N71" s="432"/>
      <c r="O71" s="432"/>
      <c r="P71" s="432"/>
      <c r="Q71" s="545">
        <f>SUMIF('3. PARTNER'!$B$13:$B$80,$B71,'3. PARTNER'!$F$13:$F$80)</f>
        <v>0.02</v>
      </c>
      <c r="R71" s="466">
        <f t="shared" si="206"/>
        <v>0.02</v>
      </c>
      <c r="S71" s="466">
        <f t="shared" si="206"/>
        <v>0.02</v>
      </c>
      <c r="T71" s="466">
        <f t="shared" si="206"/>
        <v>0.02</v>
      </c>
      <c r="U71" s="466">
        <f t="shared" si="206"/>
        <v>0.02</v>
      </c>
      <c r="V71" s="466">
        <f t="shared" si="206"/>
        <v>0.02</v>
      </c>
      <c r="W71" s="466">
        <f t="shared" si="206"/>
        <v>0.02</v>
      </c>
      <c r="X71" s="466">
        <f t="shared" si="206"/>
        <v>0.02</v>
      </c>
      <c r="Y71" s="466">
        <f t="shared" si="206"/>
        <v>0.02</v>
      </c>
      <c r="Z71" s="466">
        <f t="shared" si="206"/>
        <v>0.02</v>
      </c>
      <c r="AA71" s="434">
        <f>SUMIF('3. PARTNER'!B$13:B$80,B71,'3. PARTNER'!E$13:E$80)</f>
        <v>0.5595</v>
      </c>
      <c r="AB71" s="435">
        <f>IF('2. START'!$C$20="UTB",(SUMIF('3. PARTNER'!B$13:B$80,B71,'3. PARTNER'!K$13:K$80))+(SUMIF('3. PARTNER'!B$13:B$80,B71,'3. PARTNER'!M$13:M$80)),(SUMIF('3. PARTNER'!B$13:B$80,B71,'3. PARTNER'!G$13:G$80))+(SUMIF('3. PARTNER'!B$13:B$80,B71,'3. PARTNER'!I$13:I$80)))</f>
        <v>0.16000843770704321</v>
      </c>
      <c r="AC71" s="435">
        <f>IF('2. START'!$C$20="UTB",(SUMIF('3. PARTNER'!B$13:B$80,B71,'3. PARTNER'!L$13:L$80))+(SUMIF('3. PARTNER'!B$13:B$80,B71,'3. PARTNER'!N$13:N$80)),(SUMIF('3. PARTNER'!B$13:B$80,B71,'3. PARTNER'!H$13:H$80))+(SUMIF('3. PARTNER'!B$13:B$80,B71,'3. PARTNER'!J$13:J$80)))</f>
        <v>0</v>
      </c>
      <c r="AD71" s="435">
        <f>IF('2. START'!C$11="NO",'2. START'!C$12,0)</f>
        <v>0</v>
      </c>
      <c r="AE71" s="436">
        <f t="shared" si="98"/>
        <v>0</v>
      </c>
      <c r="AF71" s="436">
        <f t="shared" si="99"/>
        <v>0</v>
      </c>
      <c r="AG71" s="437"/>
      <c r="AH71" s="438">
        <f t="shared" si="135"/>
        <v>0</v>
      </c>
      <c r="AI71" s="438">
        <f t="shared" si="136"/>
        <v>0</v>
      </c>
      <c r="AJ71" s="438">
        <f t="shared" si="137"/>
        <v>0</v>
      </c>
      <c r="AK71" s="438">
        <f t="shared" si="138"/>
        <v>0</v>
      </c>
      <c r="AL71" s="438">
        <f t="shared" si="139"/>
        <v>0</v>
      </c>
      <c r="AM71" s="438">
        <f t="shared" si="140"/>
        <v>0</v>
      </c>
      <c r="AN71" s="438">
        <f t="shared" si="141"/>
        <v>0</v>
      </c>
      <c r="AO71" s="438">
        <f t="shared" si="142"/>
        <v>0</v>
      </c>
      <c r="AP71" s="438">
        <f t="shared" si="143"/>
        <v>0</v>
      </c>
      <c r="AQ71" s="438">
        <f t="shared" si="144"/>
        <v>0</v>
      </c>
      <c r="AR71" s="439">
        <f t="shared" si="100"/>
        <v>0</v>
      </c>
      <c r="AS71" s="440"/>
      <c r="AT71" s="438">
        <f t="shared" si="145"/>
        <v>0</v>
      </c>
      <c r="AU71" s="438">
        <f t="shared" si="146"/>
        <v>0</v>
      </c>
      <c r="AV71" s="438">
        <f t="shared" si="147"/>
        <v>0</v>
      </c>
      <c r="AW71" s="438">
        <f t="shared" si="148"/>
        <v>0</v>
      </c>
      <c r="AX71" s="438">
        <f t="shared" si="149"/>
        <v>0</v>
      </c>
      <c r="AY71" s="438">
        <f t="shared" si="150"/>
        <v>0</v>
      </c>
      <c r="AZ71" s="438">
        <f t="shared" si="151"/>
        <v>0</v>
      </c>
      <c r="BA71" s="438">
        <f t="shared" si="152"/>
        <v>0</v>
      </c>
      <c r="BB71" s="438">
        <f t="shared" si="153"/>
        <v>0</v>
      </c>
      <c r="BC71" s="438">
        <f t="shared" si="154"/>
        <v>0</v>
      </c>
      <c r="BD71" s="439">
        <f t="shared" si="101"/>
        <v>0</v>
      </c>
      <c r="BE71" s="440"/>
      <c r="BF71" s="438">
        <f t="shared" si="155"/>
        <v>0</v>
      </c>
      <c r="BG71" s="438">
        <f t="shared" si="156"/>
        <v>0</v>
      </c>
      <c r="BH71" s="438">
        <f t="shared" si="157"/>
        <v>0</v>
      </c>
      <c r="BI71" s="438">
        <f t="shared" si="158"/>
        <v>0</v>
      </c>
      <c r="BJ71" s="438">
        <f t="shared" si="159"/>
        <v>0</v>
      </c>
      <c r="BK71" s="438">
        <f t="shared" si="160"/>
        <v>0</v>
      </c>
      <c r="BL71" s="438">
        <f t="shared" si="161"/>
        <v>0</v>
      </c>
      <c r="BM71" s="438">
        <f t="shared" si="162"/>
        <v>0</v>
      </c>
      <c r="BN71" s="438">
        <f t="shared" si="163"/>
        <v>0</v>
      </c>
      <c r="BO71" s="438">
        <f t="shared" si="164"/>
        <v>0</v>
      </c>
      <c r="BP71" s="439">
        <f t="shared" si="102"/>
        <v>0</v>
      </c>
      <c r="BR71" s="442">
        <f t="shared" si="165"/>
        <v>0</v>
      </c>
      <c r="BS71" s="442">
        <f t="shared" si="166"/>
        <v>0</v>
      </c>
      <c r="BT71" s="442">
        <f t="shared" si="167"/>
        <v>0</v>
      </c>
      <c r="BU71" s="442">
        <f t="shared" si="168"/>
        <v>0</v>
      </c>
      <c r="BV71" s="442">
        <f t="shared" si="169"/>
        <v>0</v>
      </c>
      <c r="BW71" s="442">
        <f t="shared" si="170"/>
        <v>0</v>
      </c>
      <c r="BX71" s="442">
        <f t="shared" si="171"/>
        <v>0</v>
      </c>
      <c r="BY71" s="442">
        <f t="shared" si="172"/>
        <v>0</v>
      </c>
      <c r="BZ71" s="442">
        <f t="shared" si="173"/>
        <v>0</v>
      </c>
      <c r="CA71" s="442">
        <f t="shared" si="174"/>
        <v>0</v>
      </c>
      <c r="CB71" s="443">
        <f t="shared" si="103"/>
        <v>0</v>
      </c>
      <c r="CD71" s="445">
        <f t="shared" si="175"/>
        <v>0</v>
      </c>
      <c r="CE71" s="445">
        <f t="shared" si="176"/>
        <v>0</v>
      </c>
      <c r="CF71" s="445">
        <f t="shared" si="177"/>
        <v>0</v>
      </c>
      <c r="CG71" s="445">
        <f t="shared" si="178"/>
        <v>0</v>
      </c>
      <c r="CH71" s="445">
        <f t="shared" si="179"/>
        <v>0</v>
      </c>
      <c r="CI71" s="445">
        <f t="shared" si="180"/>
        <v>0</v>
      </c>
      <c r="CJ71" s="445">
        <f t="shared" si="181"/>
        <v>0</v>
      </c>
      <c r="CK71" s="445">
        <f t="shared" si="182"/>
        <v>0</v>
      </c>
      <c r="CL71" s="445">
        <f t="shared" si="183"/>
        <v>0</v>
      </c>
      <c r="CM71" s="445">
        <f t="shared" si="184"/>
        <v>0</v>
      </c>
      <c r="CN71" s="443">
        <f t="shared" si="104"/>
        <v>0</v>
      </c>
      <c r="CP71" s="442">
        <f t="shared" si="185"/>
        <v>0</v>
      </c>
      <c r="CQ71" s="442">
        <f t="shared" si="186"/>
        <v>0</v>
      </c>
      <c r="CR71" s="442">
        <f t="shared" si="187"/>
        <v>0</v>
      </c>
      <c r="CS71" s="442">
        <f t="shared" si="188"/>
        <v>0</v>
      </c>
      <c r="CT71" s="442">
        <f t="shared" si="189"/>
        <v>0</v>
      </c>
      <c r="CU71" s="442">
        <f t="shared" si="190"/>
        <v>0</v>
      </c>
      <c r="CV71" s="442">
        <f t="shared" si="191"/>
        <v>0</v>
      </c>
      <c r="CW71" s="442">
        <f t="shared" si="192"/>
        <v>0</v>
      </c>
      <c r="CX71" s="442">
        <f t="shared" si="193"/>
        <v>0</v>
      </c>
      <c r="CY71" s="442">
        <f t="shared" si="194"/>
        <v>0</v>
      </c>
      <c r="CZ71" s="443">
        <f t="shared" si="105"/>
        <v>0</v>
      </c>
      <c r="DB71" s="442">
        <f t="shared" si="195"/>
        <v>0</v>
      </c>
      <c r="DC71" s="442">
        <f t="shared" si="196"/>
        <v>0</v>
      </c>
      <c r="DD71" s="442">
        <f t="shared" si="197"/>
        <v>0</v>
      </c>
      <c r="DE71" s="442">
        <f t="shared" si="198"/>
        <v>0</v>
      </c>
      <c r="DF71" s="442">
        <f t="shared" si="199"/>
        <v>0</v>
      </c>
      <c r="DG71" s="442">
        <f t="shared" si="200"/>
        <v>0</v>
      </c>
      <c r="DH71" s="442">
        <f t="shared" si="201"/>
        <v>0</v>
      </c>
      <c r="DI71" s="442">
        <f t="shared" si="202"/>
        <v>0</v>
      </c>
      <c r="DJ71" s="442">
        <f t="shared" si="203"/>
        <v>0</v>
      </c>
      <c r="DK71" s="442">
        <f t="shared" si="204"/>
        <v>0</v>
      </c>
      <c r="DL71" s="443">
        <f t="shared" si="106"/>
        <v>0</v>
      </c>
      <c r="DN71" s="442">
        <f>IF('2. START'!$C$14&gt;0,(AT71/(1+$AA71))*(1+'2. START'!$C$14),AT71)</f>
        <v>0</v>
      </c>
      <c r="DO71" s="442">
        <f>IF('2. START'!$C$14&gt;0,(AU71/(1+$AA71))*(1+'2. START'!$C$14),AU71)</f>
        <v>0</v>
      </c>
      <c r="DP71" s="442">
        <f>IF('2. START'!$C$14&gt;0,(AV71/(1+$AA71))*(1+'2. START'!$C$14),AV71)</f>
        <v>0</v>
      </c>
      <c r="DQ71" s="442">
        <f>IF('2. START'!$C$14&gt;0,(AW71/(1+$AA71))*(1+'2. START'!$C$14),AW71)</f>
        <v>0</v>
      </c>
      <c r="DR71" s="442">
        <f>IF('2. START'!$C$14&gt;0,(AX71/(1+$AA71))*(1+'2. START'!$C$14),AX71)</f>
        <v>0</v>
      </c>
      <c r="DS71" s="442">
        <f>IF('2. START'!$C$14&gt;0,(AY71/(1+$AA71))*(1+'2. START'!$C$14),AY71)</f>
        <v>0</v>
      </c>
      <c r="DT71" s="442">
        <f>IF('2. START'!$C$14&gt;0,(AZ71/(1+$AA71))*(1+'2. START'!$C$14),AZ71)</f>
        <v>0</v>
      </c>
      <c r="DU71" s="442">
        <f>IF('2. START'!$C$14&gt;0,(BA71/(1+$AA71))*(1+'2. START'!$C$14),BA71)</f>
        <v>0</v>
      </c>
      <c r="DV71" s="442">
        <f>IF('2. START'!$C$14&gt;0,(BB71/(1+$AA71))*(1+'2. START'!$C$14),BB71)</f>
        <v>0</v>
      </c>
      <c r="DW71" s="442">
        <f>IF('2. START'!$C$14&gt;0,(BC71/(1+$AA71))*(1+'2. START'!$C$14),BC71)</f>
        <v>0</v>
      </c>
      <c r="DX71" s="443">
        <f t="shared" si="107"/>
        <v>0</v>
      </c>
      <c r="DZ71" s="442">
        <f>IF('2. START'!$C$11="NO",(IF('2. START'!$C$14&gt;0,(DN71*$AD71),(AT71*$AD71))),(BR71+CP71))</f>
        <v>0</v>
      </c>
      <c r="EA71" s="442">
        <f>IF('2. START'!$C$11="NO",(IF('2. START'!$C$14&gt;0,(DO71*$AD71),(AU71*$AD71))),(BS71+CQ71))</f>
        <v>0</v>
      </c>
      <c r="EB71" s="442">
        <f>IF('2. START'!$C$11="NO",(IF('2. START'!$C$14&gt;0,(DP71*$AD71),(AV71*$AD71))),(BT71+CR71))</f>
        <v>0</v>
      </c>
      <c r="EC71" s="442">
        <f>IF('2. START'!$C$11="NO",(IF('2. START'!$C$14&gt;0,(DQ71*$AD71),(AW71*$AD71))),(BU71+CS71))</f>
        <v>0</v>
      </c>
      <c r="ED71" s="442">
        <f>IF('2. START'!$C$11="NO",(IF('2. START'!$C$14&gt;0,(DR71*$AD71),(AX71*$AD71))),(BV71+CT71))</f>
        <v>0</v>
      </c>
      <c r="EE71" s="442">
        <f>IF('2. START'!$C$11="NO",(IF('2. START'!$C$14&gt;0,(DS71*$AD71),(AY71*$AD71))),(BW71+CU71))</f>
        <v>0</v>
      </c>
      <c r="EF71" s="442">
        <f>IF('2. START'!$C$11="NO",(IF('2. START'!$C$14&gt;0,(DT71*$AD71),(AZ71*$AD71))),(BX71+CV71))</f>
        <v>0</v>
      </c>
      <c r="EG71" s="442">
        <f>IF('2. START'!$C$11="NO",(IF('2. START'!$C$14&gt;0,(DU71*$AD71),(BA71*$AD71))),(BY71+CW71))</f>
        <v>0</v>
      </c>
      <c r="EH71" s="442">
        <f>IF('2. START'!$C$11="NO",(IF('2. START'!$C$14&gt;0,(DV71*$AD71),(BB71*$AD71))),(BZ71+CX71))</f>
        <v>0</v>
      </c>
      <c r="EI71" s="442">
        <f>IF('2. START'!$C$11="NO",(IF('2. START'!$C$14&gt;0,(DW71*$AD71),(BC71*$AD71))),(CA71+CY71))</f>
        <v>0</v>
      </c>
      <c r="EJ71" s="443">
        <f t="shared" si="108"/>
        <v>0</v>
      </c>
      <c r="EL71" s="442">
        <f>(BR71+CP71-DZ71)+IF('2. START'!$C$14&gt;0,AT71-DN71,0)</f>
        <v>0</v>
      </c>
      <c r="EM71" s="442">
        <f>(BS71+CQ71-EA71)+IF('2. START'!$C$14&gt;0,AU71-DO71,0)</f>
        <v>0</v>
      </c>
      <c r="EN71" s="442">
        <f>(BT71+CR71-EB71)+IF('2. START'!$C$14&gt;0,AV71-DP71,0)</f>
        <v>0</v>
      </c>
      <c r="EO71" s="442">
        <f>(BU71+CS71-EC71)+IF('2. START'!$C$14&gt;0,AW71-DQ71,0)</f>
        <v>0</v>
      </c>
      <c r="EP71" s="442">
        <f>(BV71+CT71-ED71)+IF('2. START'!$C$14&gt;0,AX71-DR71,0)</f>
        <v>0</v>
      </c>
      <c r="EQ71" s="442">
        <f>(BW71+CU71-EE71)+IF('2. START'!$C$14&gt;0,AY71-DS71,0)</f>
        <v>0</v>
      </c>
      <c r="ER71" s="442">
        <f>(BX71+CV71-EF71)+IF('2. START'!$C$14&gt;0,AZ71-DT71,0)</f>
        <v>0</v>
      </c>
      <c r="ES71" s="442">
        <f>(BY71+CW71-EG71)+IF('2. START'!$C$14&gt;0,BA71-DU71,0)</f>
        <v>0</v>
      </c>
      <c r="ET71" s="442">
        <f>(BZ71+CX71-EH71)+IF('2. START'!$C$14&gt;0,BB71-DV71,0)</f>
        <v>0</v>
      </c>
      <c r="EU71" s="442">
        <f>(CA71+CY71-EI71)+IF('2. START'!$C$14&gt;0,BC71-DW71,0)</f>
        <v>0</v>
      </c>
      <c r="EV71" s="443">
        <f t="shared" si="109"/>
        <v>0</v>
      </c>
      <c r="EX71" s="442">
        <f t="shared" si="110"/>
        <v>0</v>
      </c>
      <c r="EY71" s="442">
        <f t="shared" si="111"/>
        <v>0</v>
      </c>
      <c r="EZ71" s="442">
        <f t="shared" si="112"/>
        <v>0</v>
      </c>
      <c r="FA71" s="442">
        <f t="shared" si="113"/>
        <v>0</v>
      </c>
      <c r="FB71" s="442">
        <f t="shared" si="114"/>
        <v>0</v>
      </c>
      <c r="FC71" s="442">
        <f t="shared" si="115"/>
        <v>0</v>
      </c>
      <c r="FD71" s="442">
        <f t="shared" si="116"/>
        <v>0</v>
      </c>
      <c r="FE71" s="442">
        <f t="shared" si="117"/>
        <v>0</v>
      </c>
      <c r="FF71" s="442">
        <f t="shared" si="118"/>
        <v>0</v>
      </c>
      <c r="FG71" s="442">
        <f t="shared" si="119"/>
        <v>0</v>
      </c>
      <c r="FH71" s="443">
        <f t="shared" si="120"/>
        <v>0</v>
      </c>
      <c r="FJ71" s="442">
        <f t="shared" si="121"/>
        <v>0</v>
      </c>
      <c r="FK71" s="442">
        <f t="shared" si="122"/>
        <v>0</v>
      </c>
      <c r="FL71" s="442">
        <f t="shared" si="123"/>
        <v>0</v>
      </c>
      <c r="FM71" s="442">
        <f t="shared" si="124"/>
        <v>0</v>
      </c>
      <c r="FN71" s="442">
        <f t="shared" si="125"/>
        <v>0</v>
      </c>
      <c r="FO71" s="442">
        <f t="shared" si="126"/>
        <v>0</v>
      </c>
      <c r="FP71" s="442">
        <f t="shared" si="127"/>
        <v>0</v>
      </c>
      <c r="FQ71" s="442">
        <f t="shared" si="128"/>
        <v>0</v>
      </c>
      <c r="FR71" s="442">
        <f t="shared" si="129"/>
        <v>0</v>
      </c>
      <c r="FS71" s="442">
        <f t="shared" si="130"/>
        <v>0</v>
      </c>
      <c r="FT71" s="443">
        <f t="shared" si="131"/>
        <v>0</v>
      </c>
    </row>
    <row r="72" spans="2:176" s="270" customFormat="1" ht="15" customHeight="1" x14ac:dyDescent="0.25">
      <c r="B72" s="446" t="str">
        <f>'2. START'!C$7</f>
        <v>100GEM</v>
      </c>
      <c r="C72" s="469"/>
      <c r="D72" s="589"/>
      <c r="E72" s="544">
        <v>0</v>
      </c>
      <c r="F72" s="448"/>
      <c r="G72" s="449"/>
      <c r="H72" s="449"/>
      <c r="I72" s="449"/>
      <c r="J72" s="449"/>
      <c r="K72" s="449"/>
      <c r="L72" s="449"/>
      <c r="M72" s="449"/>
      <c r="N72" s="449"/>
      <c r="O72" s="449"/>
      <c r="P72" s="449"/>
      <c r="Q72" s="546">
        <f>SUMIF('3. PARTNER'!$B$13:$B$80,$B72,'3. PARTNER'!$F$13:$F$80)</f>
        <v>0.02</v>
      </c>
      <c r="R72" s="450">
        <f t="shared" si="206"/>
        <v>0.02</v>
      </c>
      <c r="S72" s="450">
        <f t="shared" si="206"/>
        <v>0.02</v>
      </c>
      <c r="T72" s="450">
        <f t="shared" si="206"/>
        <v>0.02</v>
      </c>
      <c r="U72" s="450">
        <f t="shared" si="206"/>
        <v>0.02</v>
      </c>
      <c r="V72" s="450">
        <f t="shared" si="206"/>
        <v>0.02</v>
      </c>
      <c r="W72" s="450">
        <f t="shared" si="206"/>
        <v>0.02</v>
      </c>
      <c r="X72" s="450">
        <f t="shared" si="206"/>
        <v>0.02</v>
      </c>
      <c r="Y72" s="450">
        <f t="shared" si="206"/>
        <v>0.02</v>
      </c>
      <c r="Z72" s="450">
        <f t="shared" si="206"/>
        <v>0.02</v>
      </c>
      <c r="AA72" s="451">
        <f>SUMIF('3. PARTNER'!B$13:B$80,B72,'3. PARTNER'!E$13:E$80)</f>
        <v>0.5595</v>
      </c>
      <c r="AB72" s="452">
        <f>IF('2. START'!$C$20="UTB",(SUMIF('3. PARTNER'!B$13:B$80,B72,'3. PARTNER'!K$13:K$80))+(SUMIF('3. PARTNER'!B$13:B$80,B72,'3. PARTNER'!M$13:M$80)),(SUMIF('3. PARTNER'!B$13:B$80,B72,'3. PARTNER'!G$13:G$80))+(SUMIF('3. PARTNER'!B$13:B$80,B72,'3. PARTNER'!I$13:I$80)))</f>
        <v>0.16000843770704321</v>
      </c>
      <c r="AC72" s="452">
        <f>IF('2. START'!$C$20="UTB",(SUMIF('3. PARTNER'!B$13:B$80,B72,'3. PARTNER'!L$13:L$80))+(SUMIF('3. PARTNER'!B$13:B$80,B72,'3. PARTNER'!N$13:N$80)),(SUMIF('3. PARTNER'!B$13:B$80,B72,'3. PARTNER'!H$13:H$80))+(SUMIF('3. PARTNER'!B$13:B$80,B72,'3. PARTNER'!J$13:J$80)))</f>
        <v>0</v>
      </c>
      <c r="AD72" s="452">
        <f>IF('2. START'!C$11="NO",'2. START'!C$12,0)</f>
        <v>0</v>
      </c>
      <c r="AE72" s="453">
        <f t="shared" si="98"/>
        <v>0</v>
      </c>
      <c r="AF72" s="453">
        <f t="shared" si="99"/>
        <v>0</v>
      </c>
      <c r="AG72" s="454"/>
      <c r="AH72" s="455">
        <f t="shared" si="135"/>
        <v>0</v>
      </c>
      <c r="AI72" s="455">
        <f t="shared" si="136"/>
        <v>0</v>
      </c>
      <c r="AJ72" s="455">
        <f t="shared" si="137"/>
        <v>0</v>
      </c>
      <c r="AK72" s="455">
        <f t="shared" si="138"/>
        <v>0</v>
      </c>
      <c r="AL72" s="455">
        <f t="shared" si="139"/>
        <v>0</v>
      </c>
      <c r="AM72" s="455">
        <f t="shared" si="140"/>
        <v>0</v>
      </c>
      <c r="AN72" s="455">
        <f t="shared" si="141"/>
        <v>0</v>
      </c>
      <c r="AO72" s="455">
        <f t="shared" si="142"/>
        <v>0</v>
      </c>
      <c r="AP72" s="455">
        <f t="shared" si="143"/>
        <v>0</v>
      </c>
      <c r="AQ72" s="455">
        <f t="shared" si="144"/>
        <v>0</v>
      </c>
      <c r="AR72" s="456">
        <f t="shared" si="100"/>
        <v>0</v>
      </c>
      <c r="AS72" s="457"/>
      <c r="AT72" s="455">
        <f t="shared" si="145"/>
        <v>0</v>
      </c>
      <c r="AU72" s="455">
        <f t="shared" si="146"/>
        <v>0</v>
      </c>
      <c r="AV72" s="455">
        <f t="shared" si="147"/>
        <v>0</v>
      </c>
      <c r="AW72" s="455">
        <f t="shared" si="148"/>
        <v>0</v>
      </c>
      <c r="AX72" s="455">
        <f t="shared" si="149"/>
        <v>0</v>
      </c>
      <c r="AY72" s="455">
        <f t="shared" si="150"/>
        <v>0</v>
      </c>
      <c r="AZ72" s="455">
        <f t="shared" si="151"/>
        <v>0</v>
      </c>
      <c r="BA72" s="455">
        <f t="shared" si="152"/>
        <v>0</v>
      </c>
      <c r="BB72" s="455">
        <f t="shared" si="153"/>
        <v>0</v>
      </c>
      <c r="BC72" s="455">
        <f t="shared" si="154"/>
        <v>0</v>
      </c>
      <c r="BD72" s="456">
        <f t="shared" si="101"/>
        <v>0</v>
      </c>
      <c r="BE72" s="457"/>
      <c r="BF72" s="455">
        <f t="shared" si="155"/>
        <v>0</v>
      </c>
      <c r="BG72" s="455">
        <f t="shared" si="156"/>
        <v>0</v>
      </c>
      <c r="BH72" s="455">
        <f t="shared" si="157"/>
        <v>0</v>
      </c>
      <c r="BI72" s="455">
        <f t="shared" si="158"/>
        <v>0</v>
      </c>
      <c r="BJ72" s="455">
        <f t="shared" si="159"/>
        <v>0</v>
      </c>
      <c r="BK72" s="455">
        <f t="shared" si="160"/>
        <v>0</v>
      </c>
      <c r="BL72" s="455">
        <f t="shared" si="161"/>
        <v>0</v>
      </c>
      <c r="BM72" s="455">
        <f t="shared" si="162"/>
        <v>0</v>
      </c>
      <c r="BN72" s="455">
        <f t="shared" si="163"/>
        <v>0</v>
      </c>
      <c r="BO72" s="455">
        <f t="shared" si="164"/>
        <v>0</v>
      </c>
      <c r="BP72" s="456">
        <f t="shared" si="102"/>
        <v>0</v>
      </c>
      <c r="BQ72" s="463"/>
      <c r="BR72" s="459">
        <f t="shared" si="165"/>
        <v>0</v>
      </c>
      <c r="BS72" s="459">
        <f t="shared" si="166"/>
        <v>0</v>
      </c>
      <c r="BT72" s="459">
        <f t="shared" si="167"/>
        <v>0</v>
      </c>
      <c r="BU72" s="459">
        <f t="shared" si="168"/>
        <v>0</v>
      </c>
      <c r="BV72" s="459">
        <f t="shared" si="169"/>
        <v>0</v>
      </c>
      <c r="BW72" s="459">
        <f t="shared" si="170"/>
        <v>0</v>
      </c>
      <c r="BX72" s="459">
        <f t="shared" si="171"/>
        <v>0</v>
      </c>
      <c r="BY72" s="459">
        <f t="shared" si="172"/>
        <v>0</v>
      </c>
      <c r="BZ72" s="459">
        <f t="shared" si="173"/>
        <v>0</v>
      </c>
      <c r="CA72" s="459">
        <f t="shared" si="174"/>
        <v>0</v>
      </c>
      <c r="CB72" s="460">
        <f t="shared" si="103"/>
        <v>0</v>
      </c>
      <c r="CC72" s="463"/>
      <c r="CD72" s="462">
        <f t="shared" si="175"/>
        <v>0</v>
      </c>
      <c r="CE72" s="462">
        <f t="shared" si="176"/>
        <v>0</v>
      </c>
      <c r="CF72" s="462">
        <f t="shared" si="177"/>
        <v>0</v>
      </c>
      <c r="CG72" s="462">
        <f t="shared" si="178"/>
        <v>0</v>
      </c>
      <c r="CH72" s="462">
        <f t="shared" si="179"/>
        <v>0</v>
      </c>
      <c r="CI72" s="462">
        <f t="shared" si="180"/>
        <v>0</v>
      </c>
      <c r="CJ72" s="462">
        <f t="shared" si="181"/>
        <v>0</v>
      </c>
      <c r="CK72" s="462">
        <f t="shared" si="182"/>
        <v>0</v>
      </c>
      <c r="CL72" s="462">
        <f t="shared" si="183"/>
        <v>0</v>
      </c>
      <c r="CM72" s="462">
        <f t="shared" si="184"/>
        <v>0</v>
      </c>
      <c r="CN72" s="460">
        <f t="shared" si="104"/>
        <v>0</v>
      </c>
      <c r="CO72" s="463"/>
      <c r="CP72" s="459">
        <f t="shared" si="185"/>
        <v>0</v>
      </c>
      <c r="CQ72" s="459">
        <f t="shared" si="186"/>
        <v>0</v>
      </c>
      <c r="CR72" s="459">
        <f t="shared" si="187"/>
        <v>0</v>
      </c>
      <c r="CS72" s="459">
        <f t="shared" si="188"/>
        <v>0</v>
      </c>
      <c r="CT72" s="459">
        <f t="shared" si="189"/>
        <v>0</v>
      </c>
      <c r="CU72" s="459">
        <f t="shared" si="190"/>
        <v>0</v>
      </c>
      <c r="CV72" s="459">
        <f t="shared" si="191"/>
        <v>0</v>
      </c>
      <c r="CW72" s="459">
        <f t="shared" si="192"/>
        <v>0</v>
      </c>
      <c r="CX72" s="459">
        <f t="shared" si="193"/>
        <v>0</v>
      </c>
      <c r="CY72" s="459">
        <f t="shared" si="194"/>
        <v>0</v>
      </c>
      <c r="CZ72" s="460">
        <f t="shared" si="105"/>
        <v>0</v>
      </c>
      <c r="DA72" s="463"/>
      <c r="DB72" s="459">
        <f t="shared" si="195"/>
        <v>0</v>
      </c>
      <c r="DC72" s="459">
        <f t="shared" si="196"/>
        <v>0</v>
      </c>
      <c r="DD72" s="459">
        <f t="shared" si="197"/>
        <v>0</v>
      </c>
      <c r="DE72" s="459">
        <f t="shared" si="198"/>
        <v>0</v>
      </c>
      <c r="DF72" s="459">
        <f t="shared" si="199"/>
        <v>0</v>
      </c>
      <c r="DG72" s="459">
        <f t="shared" si="200"/>
        <v>0</v>
      </c>
      <c r="DH72" s="459">
        <f t="shared" si="201"/>
        <v>0</v>
      </c>
      <c r="DI72" s="459">
        <f t="shared" si="202"/>
        <v>0</v>
      </c>
      <c r="DJ72" s="459">
        <f t="shared" si="203"/>
        <v>0</v>
      </c>
      <c r="DK72" s="459">
        <f t="shared" si="204"/>
        <v>0</v>
      </c>
      <c r="DL72" s="460">
        <f t="shared" si="106"/>
        <v>0</v>
      </c>
      <c r="DM72" s="463"/>
      <c r="DN72" s="442">
        <f>IF('2. START'!$C$14&gt;0,(AT72/(1+$AA72))*(1+'2. START'!$C$14),AT72)</f>
        <v>0</v>
      </c>
      <c r="DO72" s="442">
        <f>IF('2. START'!$C$14&gt;0,(AU72/(1+$AA72))*(1+'2. START'!$C$14),AU72)</f>
        <v>0</v>
      </c>
      <c r="DP72" s="442">
        <f>IF('2. START'!$C$14&gt;0,(AV72/(1+$AA72))*(1+'2. START'!$C$14),AV72)</f>
        <v>0</v>
      </c>
      <c r="DQ72" s="442">
        <f>IF('2. START'!$C$14&gt;0,(AW72/(1+$AA72))*(1+'2. START'!$C$14),AW72)</f>
        <v>0</v>
      </c>
      <c r="DR72" s="442">
        <f>IF('2. START'!$C$14&gt;0,(AX72/(1+$AA72))*(1+'2. START'!$C$14),AX72)</f>
        <v>0</v>
      </c>
      <c r="DS72" s="442">
        <f>IF('2. START'!$C$14&gt;0,(AY72/(1+$AA72))*(1+'2. START'!$C$14),AY72)</f>
        <v>0</v>
      </c>
      <c r="DT72" s="442">
        <f>IF('2. START'!$C$14&gt;0,(AZ72/(1+$AA72))*(1+'2. START'!$C$14),AZ72)</f>
        <v>0</v>
      </c>
      <c r="DU72" s="442">
        <f>IF('2. START'!$C$14&gt;0,(BA72/(1+$AA72))*(1+'2. START'!$C$14),BA72)</f>
        <v>0</v>
      </c>
      <c r="DV72" s="442">
        <f>IF('2. START'!$C$14&gt;0,(BB72/(1+$AA72))*(1+'2. START'!$C$14),BB72)</f>
        <v>0</v>
      </c>
      <c r="DW72" s="442">
        <f>IF('2. START'!$C$14&gt;0,(BC72/(1+$AA72))*(1+'2. START'!$C$14),BC72)</f>
        <v>0</v>
      </c>
      <c r="DX72" s="460">
        <f t="shared" si="107"/>
        <v>0</v>
      </c>
      <c r="DY72" s="463"/>
      <c r="DZ72" s="459">
        <f>IF('2. START'!$C$11="NO",(IF('2. START'!$C$14&gt;0,(DN72*$AD72),(AT72*$AD72))),(BR72+CP72))</f>
        <v>0</v>
      </c>
      <c r="EA72" s="459">
        <f>IF('2. START'!$C$11="NO",(IF('2. START'!$C$14&gt;0,(DO72*$AD72),(AU72*$AD72))),(BS72+CQ72))</f>
        <v>0</v>
      </c>
      <c r="EB72" s="459">
        <f>IF('2. START'!$C$11="NO",(IF('2. START'!$C$14&gt;0,(DP72*$AD72),(AV72*$AD72))),(BT72+CR72))</f>
        <v>0</v>
      </c>
      <c r="EC72" s="459">
        <f>IF('2. START'!$C$11="NO",(IF('2. START'!$C$14&gt;0,(DQ72*$AD72),(AW72*$AD72))),(BU72+CS72))</f>
        <v>0</v>
      </c>
      <c r="ED72" s="459">
        <f>IF('2. START'!$C$11="NO",(IF('2. START'!$C$14&gt;0,(DR72*$AD72),(AX72*$AD72))),(BV72+CT72))</f>
        <v>0</v>
      </c>
      <c r="EE72" s="459">
        <f>IF('2. START'!$C$11="NO",(IF('2. START'!$C$14&gt;0,(DS72*$AD72),(AY72*$AD72))),(BW72+CU72))</f>
        <v>0</v>
      </c>
      <c r="EF72" s="459">
        <f>IF('2. START'!$C$11="NO",(IF('2. START'!$C$14&gt;0,(DT72*$AD72),(AZ72*$AD72))),(BX72+CV72))</f>
        <v>0</v>
      </c>
      <c r="EG72" s="459">
        <f>IF('2. START'!$C$11="NO",(IF('2. START'!$C$14&gt;0,(DU72*$AD72),(BA72*$AD72))),(BY72+CW72))</f>
        <v>0</v>
      </c>
      <c r="EH72" s="459">
        <f>IF('2. START'!$C$11="NO",(IF('2. START'!$C$14&gt;0,(DV72*$AD72),(BB72*$AD72))),(BZ72+CX72))</f>
        <v>0</v>
      </c>
      <c r="EI72" s="459">
        <f>IF('2. START'!$C$11="NO",(IF('2. START'!$C$14&gt;0,(DW72*$AD72),(BC72*$AD72))),(CA72+CY72))</f>
        <v>0</v>
      </c>
      <c r="EJ72" s="460">
        <f t="shared" si="108"/>
        <v>0</v>
      </c>
      <c r="EK72" s="463"/>
      <c r="EL72" s="459">
        <f>(BR72+CP72-DZ72)+IF('2. START'!$C$14&gt;0,AT72-DN72,0)</f>
        <v>0</v>
      </c>
      <c r="EM72" s="459">
        <f>(BS72+CQ72-EA72)+IF('2. START'!$C$14&gt;0,AU72-DO72,0)</f>
        <v>0</v>
      </c>
      <c r="EN72" s="459">
        <f>(BT72+CR72-EB72)+IF('2. START'!$C$14&gt;0,AV72-DP72,0)</f>
        <v>0</v>
      </c>
      <c r="EO72" s="459">
        <f>(BU72+CS72-EC72)+IF('2. START'!$C$14&gt;0,AW72-DQ72,0)</f>
        <v>0</v>
      </c>
      <c r="EP72" s="459">
        <f>(BV72+CT72-ED72)+IF('2. START'!$C$14&gt;0,AX72-DR72,0)</f>
        <v>0</v>
      </c>
      <c r="EQ72" s="459">
        <f>(BW72+CU72-EE72)+IF('2. START'!$C$14&gt;0,AY72-DS72,0)</f>
        <v>0</v>
      </c>
      <c r="ER72" s="459">
        <f>(BX72+CV72-EF72)+IF('2. START'!$C$14&gt;0,AZ72-DT72,0)</f>
        <v>0</v>
      </c>
      <c r="ES72" s="459">
        <f>(BY72+CW72-EG72)+IF('2. START'!$C$14&gt;0,BA72-DU72,0)</f>
        <v>0</v>
      </c>
      <c r="ET72" s="459">
        <f>(BZ72+CX72-EH72)+IF('2. START'!$C$14&gt;0,BB72-DV72,0)</f>
        <v>0</v>
      </c>
      <c r="EU72" s="459">
        <f>(CA72+CY72-EI72)+IF('2. START'!$C$14&gt;0,BC72-DW72,0)</f>
        <v>0</v>
      </c>
      <c r="EV72" s="460">
        <f t="shared" si="109"/>
        <v>0</v>
      </c>
      <c r="EW72" s="463"/>
      <c r="EX72" s="459">
        <f t="shared" si="110"/>
        <v>0</v>
      </c>
      <c r="EY72" s="459">
        <f t="shared" si="111"/>
        <v>0</v>
      </c>
      <c r="EZ72" s="459">
        <f t="shared" si="112"/>
        <v>0</v>
      </c>
      <c r="FA72" s="459">
        <f t="shared" si="113"/>
        <v>0</v>
      </c>
      <c r="FB72" s="459">
        <f t="shared" si="114"/>
        <v>0</v>
      </c>
      <c r="FC72" s="459">
        <f t="shared" si="115"/>
        <v>0</v>
      </c>
      <c r="FD72" s="459">
        <f t="shared" si="116"/>
        <v>0</v>
      </c>
      <c r="FE72" s="459">
        <f t="shared" si="117"/>
        <v>0</v>
      </c>
      <c r="FF72" s="459">
        <f t="shared" si="118"/>
        <v>0</v>
      </c>
      <c r="FG72" s="459">
        <f t="shared" si="119"/>
        <v>0</v>
      </c>
      <c r="FH72" s="460">
        <f t="shared" si="120"/>
        <v>0</v>
      </c>
      <c r="FI72" s="463"/>
      <c r="FJ72" s="459">
        <f t="shared" si="121"/>
        <v>0</v>
      </c>
      <c r="FK72" s="459">
        <f t="shared" si="122"/>
        <v>0</v>
      </c>
      <c r="FL72" s="459">
        <f t="shared" si="123"/>
        <v>0</v>
      </c>
      <c r="FM72" s="459">
        <f t="shared" si="124"/>
        <v>0</v>
      </c>
      <c r="FN72" s="459">
        <f t="shared" si="125"/>
        <v>0</v>
      </c>
      <c r="FO72" s="459">
        <f t="shared" si="126"/>
        <v>0</v>
      </c>
      <c r="FP72" s="459">
        <f t="shared" si="127"/>
        <v>0</v>
      </c>
      <c r="FQ72" s="459">
        <f t="shared" si="128"/>
        <v>0</v>
      </c>
      <c r="FR72" s="459">
        <f t="shared" si="129"/>
        <v>0</v>
      </c>
      <c r="FS72" s="459">
        <f t="shared" si="130"/>
        <v>0</v>
      </c>
      <c r="FT72" s="460">
        <f t="shared" si="131"/>
        <v>0</v>
      </c>
    </row>
    <row r="73" spans="2:176" s="270" customFormat="1" ht="15" customHeight="1" x14ac:dyDescent="0.25">
      <c r="B73" s="464" t="str">
        <f>'2. START'!C$7</f>
        <v>100GEM</v>
      </c>
      <c r="C73" s="470"/>
      <c r="D73" s="590"/>
      <c r="E73" s="514">
        <v>0</v>
      </c>
      <c r="F73" s="467"/>
      <c r="G73" s="432"/>
      <c r="H73" s="432"/>
      <c r="I73" s="432"/>
      <c r="J73" s="432"/>
      <c r="K73" s="432"/>
      <c r="L73" s="432"/>
      <c r="M73" s="432"/>
      <c r="N73" s="432"/>
      <c r="O73" s="432"/>
      <c r="P73" s="432"/>
      <c r="Q73" s="545">
        <f>SUMIF('3. PARTNER'!$B$13:$B$80,$B73,'3. PARTNER'!$F$13:$F$80)</f>
        <v>0.02</v>
      </c>
      <c r="R73" s="466">
        <f t="shared" si="206"/>
        <v>0.02</v>
      </c>
      <c r="S73" s="466">
        <f t="shared" si="206"/>
        <v>0.02</v>
      </c>
      <c r="T73" s="466">
        <f t="shared" si="206"/>
        <v>0.02</v>
      </c>
      <c r="U73" s="466">
        <f t="shared" si="206"/>
        <v>0.02</v>
      </c>
      <c r="V73" s="466">
        <f t="shared" si="206"/>
        <v>0.02</v>
      </c>
      <c r="W73" s="466">
        <f t="shared" si="206"/>
        <v>0.02</v>
      </c>
      <c r="X73" s="466">
        <f t="shared" si="206"/>
        <v>0.02</v>
      </c>
      <c r="Y73" s="466">
        <f t="shared" si="206"/>
        <v>0.02</v>
      </c>
      <c r="Z73" s="466">
        <f t="shared" si="206"/>
        <v>0.02</v>
      </c>
      <c r="AA73" s="434">
        <f>SUMIF('3. PARTNER'!B$13:B$80,B73,'3. PARTNER'!E$13:E$80)</f>
        <v>0.5595</v>
      </c>
      <c r="AB73" s="435">
        <f>IF('2. START'!$C$20="UTB",(SUMIF('3. PARTNER'!B$13:B$80,B73,'3. PARTNER'!K$13:K$80))+(SUMIF('3. PARTNER'!B$13:B$80,B73,'3. PARTNER'!M$13:M$80)),(SUMIF('3. PARTNER'!B$13:B$80,B73,'3. PARTNER'!G$13:G$80))+(SUMIF('3. PARTNER'!B$13:B$80,B73,'3. PARTNER'!I$13:I$80)))</f>
        <v>0.16000843770704321</v>
      </c>
      <c r="AC73" s="435">
        <f>IF('2. START'!$C$20="UTB",(SUMIF('3. PARTNER'!B$13:B$80,B73,'3. PARTNER'!L$13:L$80))+(SUMIF('3. PARTNER'!B$13:B$80,B73,'3. PARTNER'!N$13:N$80)),(SUMIF('3. PARTNER'!B$13:B$80,B73,'3. PARTNER'!H$13:H$80))+(SUMIF('3. PARTNER'!B$13:B$80,B73,'3. PARTNER'!J$13:J$80)))</f>
        <v>0</v>
      </c>
      <c r="AD73" s="435">
        <f>IF('2. START'!C$11="NO",'2. START'!C$12,0)</f>
        <v>0</v>
      </c>
      <c r="AE73" s="436">
        <f t="shared" si="98"/>
        <v>0</v>
      </c>
      <c r="AF73" s="436">
        <f t="shared" si="99"/>
        <v>0</v>
      </c>
      <c r="AG73" s="437"/>
      <c r="AH73" s="438">
        <f t="shared" si="135"/>
        <v>0</v>
      </c>
      <c r="AI73" s="438">
        <f t="shared" si="136"/>
        <v>0</v>
      </c>
      <c r="AJ73" s="438">
        <f t="shared" si="137"/>
        <v>0</v>
      </c>
      <c r="AK73" s="438">
        <f t="shared" si="138"/>
        <v>0</v>
      </c>
      <c r="AL73" s="438">
        <f t="shared" si="139"/>
        <v>0</v>
      </c>
      <c r="AM73" s="438">
        <f t="shared" si="140"/>
        <v>0</v>
      </c>
      <c r="AN73" s="438">
        <f t="shared" si="141"/>
        <v>0</v>
      </c>
      <c r="AO73" s="438">
        <f t="shared" si="142"/>
        <v>0</v>
      </c>
      <c r="AP73" s="438">
        <f t="shared" si="143"/>
        <v>0</v>
      </c>
      <c r="AQ73" s="438">
        <f t="shared" si="144"/>
        <v>0</v>
      </c>
      <c r="AR73" s="439">
        <f t="shared" si="100"/>
        <v>0</v>
      </c>
      <c r="AS73" s="440"/>
      <c r="AT73" s="438">
        <f t="shared" si="145"/>
        <v>0</v>
      </c>
      <c r="AU73" s="438">
        <f t="shared" si="146"/>
        <v>0</v>
      </c>
      <c r="AV73" s="438">
        <f t="shared" si="147"/>
        <v>0</v>
      </c>
      <c r="AW73" s="438">
        <f t="shared" si="148"/>
        <v>0</v>
      </c>
      <c r="AX73" s="438">
        <f t="shared" si="149"/>
        <v>0</v>
      </c>
      <c r="AY73" s="438">
        <f t="shared" si="150"/>
        <v>0</v>
      </c>
      <c r="AZ73" s="438">
        <f t="shared" si="151"/>
        <v>0</v>
      </c>
      <c r="BA73" s="438">
        <f t="shared" si="152"/>
        <v>0</v>
      </c>
      <c r="BB73" s="438">
        <f t="shared" si="153"/>
        <v>0</v>
      </c>
      <c r="BC73" s="438">
        <f t="shared" si="154"/>
        <v>0</v>
      </c>
      <c r="BD73" s="439">
        <f t="shared" si="101"/>
        <v>0</v>
      </c>
      <c r="BE73" s="440"/>
      <c r="BF73" s="438">
        <f t="shared" si="155"/>
        <v>0</v>
      </c>
      <c r="BG73" s="438">
        <f t="shared" si="156"/>
        <v>0</v>
      </c>
      <c r="BH73" s="438">
        <f t="shared" si="157"/>
        <v>0</v>
      </c>
      <c r="BI73" s="438">
        <f t="shared" si="158"/>
        <v>0</v>
      </c>
      <c r="BJ73" s="438">
        <f t="shared" si="159"/>
        <v>0</v>
      </c>
      <c r="BK73" s="438">
        <f t="shared" si="160"/>
        <v>0</v>
      </c>
      <c r="BL73" s="438">
        <f t="shared" si="161"/>
        <v>0</v>
      </c>
      <c r="BM73" s="438">
        <f t="shared" si="162"/>
        <v>0</v>
      </c>
      <c r="BN73" s="438">
        <f t="shared" si="163"/>
        <v>0</v>
      </c>
      <c r="BO73" s="438">
        <f t="shared" si="164"/>
        <v>0</v>
      </c>
      <c r="BP73" s="439">
        <f t="shared" si="102"/>
        <v>0</v>
      </c>
      <c r="BR73" s="442">
        <f t="shared" si="165"/>
        <v>0</v>
      </c>
      <c r="BS73" s="442">
        <f t="shared" si="166"/>
        <v>0</v>
      </c>
      <c r="BT73" s="442">
        <f t="shared" si="167"/>
        <v>0</v>
      </c>
      <c r="BU73" s="442">
        <f t="shared" si="168"/>
        <v>0</v>
      </c>
      <c r="BV73" s="442">
        <f t="shared" si="169"/>
        <v>0</v>
      </c>
      <c r="BW73" s="442">
        <f t="shared" si="170"/>
        <v>0</v>
      </c>
      <c r="BX73" s="442">
        <f t="shared" si="171"/>
        <v>0</v>
      </c>
      <c r="BY73" s="442">
        <f t="shared" si="172"/>
        <v>0</v>
      </c>
      <c r="BZ73" s="442">
        <f t="shared" si="173"/>
        <v>0</v>
      </c>
      <c r="CA73" s="442">
        <f t="shared" si="174"/>
        <v>0</v>
      </c>
      <c r="CB73" s="443">
        <f t="shared" si="103"/>
        <v>0</v>
      </c>
      <c r="CD73" s="445">
        <f t="shared" si="175"/>
        <v>0</v>
      </c>
      <c r="CE73" s="445">
        <f t="shared" si="176"/>
        <v>0</v>
      </c>
      <c r="CF73" s="445">
        <f t="shared" si="177"/>
        <v>0</v>
      </c>
      <c r="CG73" s="445">
        <f t="shared" si="178"/>
        <v>0</v>
      </c>
      <c r="CH73" s="445">
        <f t="shared" si="179"/>
        <v>0</v>
      </c>
      <c r="CI73" s="445">
        <f t="shared" si="180"/>
        <v>0</v>
      </c>
      <c r="CJ73" s="445">
        <f t="shared" si="181"/>
        <v>0</v>
      </c>
      <c r="CK73" s="445">
        <f t="shared" si="182"/>
        <v>0</v>
      </c>
      <c r="CL73" s="445">
        <f t="shared" si="183"/>
        <v>0</v>
      </c>
      <c r="CM73" s="445">
        <f t="shared" si="184"/>
        <v>0</v>
      </c>
      <c r="CN73" s="443">
        <f t="shared" si="104"/>
        <v>0</v>
      </c>
      <c r="CP73" s="442">
        <f t="shared" si="185"/>
        <v>0</v>
      </c>
      <c r="CQ73" s="442">
        <f t="shared" si="186"/>
        <v>0</v>
      </c>
      <c r="CR73" s="442">
        <f t="shared" si="187"/>
        <v>0</v>
      </c>
      <c r="CS73" s="442">
        <f t="shared" si="188"/>
        <v>0</v>
      </c>
      <c r="CT73" s="442">
        <f t="shared" si="189"/>
        <v>0</v>
      </c>
      <c r="CU73" s="442">
        <f t="shared" si="190"/>
        <v>0</v>
      </c>
      <c r="CV73" s="442">
        <f t="shared" si="191"/>
        <v>0</v>
      </c>
      <c r="CW73" s="442">
        <f t="shared" si="192"/>
        <v>0</v>
      </c>
      <c r="CX73" s="442">
        <f t="shared" si="193"/>
        <v>0</v>
      </c>
      <c r="CY73" s="442">
        <f t="shared" si="194"/>
        <v>0</v>
      </c>
      <c r="CZ73" s="443">
        <f t="shared" si="105"/>
        <v>0</v>
      </c>
      <c r="DB73" s="442">
        <f t="shared" si="195"/>
        <v>0</v>
      </c>
      <c r="DC73" s="442">
        <f t="shared" si="196"/>
        <v>0</v>
      </c>
      <c r="DD73" s="442">
        <f t="shared" si="197"/>
        <v>0</v>
      </c>
      <c r="DE73" s="442">
        <f t="shared" si="198"/>
        <v>0</v>
      </c>
      <c r="DF73" s="442">
        <f t="shared" si="199"/>
        <v>0</v>
      </c>
      <c r="DG73" s="442">
        <f t="shared" si="200"/>
        <v>0</v>
      </c>
      <c r="DH73" s="442">
        <f t="shared" si="201"/>
        <v>0</v>
      </c>
      <c r="DI73" s="442">
        <f t="shared" si="202"/>
        <v>0</v>
      </c>
      <c r="DJ73" s="442">
        <f t="shared" si="203"/>
        <v>0</v>
      </c>
      <c r="DK73" s="442">
        <f t="shared" si="204"/>
        <v>0</v>
      </c>
      <c r="DL73" s="443">
        <f t="shared" si="106"/>
        <v>0</v>
      </c>
      <c r="DN73" s="442">
        <f>IF('2. START'!$C$14&gt;0,(AT73/(1+$AA73))*(1+'2. START'!$C$14),AT73)</f>
        <v>0</v>
      </c>
      <c r="DO73" s="442">
        <f>IF('2. START'!$C$14&gt;0,(AU73/(1+$AA73))*(1+'2. START'!$C$14),AU73)</f>
        <v>0</v>
      </c>
      <c r="DP73" s="442">
        <f>IF('2. START'!$C$14&gt;0,(AV73/(1+$AA73))*(1+'2. START'!$C$14),AV73)</f>
        <v>0</v>
      </c>
      <c r="DQ73" s="442">
        <f>IF('2. START'!$C$14&gt;0,(AW73/(1+$AA73))*(1+'2. START'!$C$14),AW73)</f>
        <v>0</v>
      </c>
      <c r="DR73" s="442">
        <f>IF('2. START'!$C$14&gt;0,(AX73/(1+$AA73))*(1+'2. START'!$C$14),AX73)</f>
        <v>0</v>
      </c>
      <c r="DS73" s="442">
        <f>IF('2. START'!$C$14&gt;0,(AY73/(1+$AA73))*(1+'2. START'!$C$14),AY73)</f>
        <v>0</v>
      </c>
      <c r="DT73" s="442">
        <f>IF('2. START'!$C$14&gt;0,(AZ73/(1+$AA73))*(1+'2. START'!$C$14),AZ73)</f>
        <v>0</v>
      </c>
      <c r="DU73" s="442">
        <f>IF('2. START'!$C$14&gt;0,(BA73/(1+$AA73))*(1+'2. START'!$C$14),BA73)</f>
        <v>0</v>
      </c>
      <c r="DV73" s="442">
        <f>IF('2. START'!$C$14&gt;0,(BB73/(1+$AA73))*(1+'2. START'!$C$14),BB73)</f>
        <v>0</v>
      </c>
      <c r="DW73" s="442">
        <f>IF('2. START'!$C$14&gt;0,(BC73/(1+$AA73))*(1+'2. START'!$C$14),BC73)</f>
        <v>0</v>
      </c>
      <c r="DX73" s="443">
        <f t="shared" si="107"/>
        <v>0</v>
      </c>
      <c r="DZ73" s="442">
        <f>IF('2. START'!$C$11="NO",(IF('2. START'!$C$14&gt;0,(DN73*$AD73),(AT73*$AD73))),(BR73+CP73))</f>
        <v>0</v>
      </c>
      <c r="EA73" s="442">
        <f>IF('2. START'!$C$11="NO",(IF('2. START'!$C$14&gt;0,(DO73*$AD73),(AU73*$AD73))),(BS73+CQ73))</f>
        <v>0</v>
      </c>
      <c r="EB73" s="442">
        <f>IF('2. START'!$C$11="NO",(IF('2. START'!$C$14&gt;0,(DP73*$AD73),(AV73*$AD73))),(BT73+CR73))</f>
        <v>0</v>
      </c>
      <c r="EC73" s="442">
        <f>IF('2. START'!$C$11="NO",(IF('2. START'!$C$14&gt;0,(DQ73*$AD73),(AW73*$AD73))),(BU73+CS73))</f>
        <v>0</v>
      </c>
      <c r="ED73" s="442">
        <f>IF('2. START'!$C$11="NO",(IF('2. START'!$C$14&gt;0,(DR73*$AD73),(AX73*$AD73))),(BV73+CT73))</f>
        <v>0</v>
      </c>
      <c r="EE73" s="442">
        <f>IF('2. START'!$C$11="NO",(IF('2. START'!$C$14&gt;0,(DS73*$AD73),(AY73*$AD73))),(BW73+CU73))</f>
        <v>0</v>
      </c>
      <c r="EF73" s="442">
        <f>IF('2. START'!$C$11="NO",(IF('2. START'!$C$14&gt;0,(DT73*$AD73),(AZ73*$AD73))),(BX73+CV73))</f>
        <v>0</v>
      </c>
      <c r="EG73" s="442">
        <f>IF('2. START'!$C$11="NO",(IF('2. START'!$C$14&gt;0,(DU73*$AD73),(BA73*$AD73))),(BY73+CW73))</f>
        <v>0</v>
      </c>
      <c r="EH73" s="442">
        <f>IF('2. START'!$C$11="NO",(IF('2. START'!$C$14&gt;0,(DV73*$AD73),(BB73*$AD73))),(BZ73+CX73))</f>
        <v>0</v>
      </c>
      <c r="EI73" s="442">
        <f>IF('2. START'!$C$11="NO",(IF('2. START'!$C$14&gt;0,(DW73*$AD73),(BC73*$AD73))),(CA73+CY73))</f>
        <v>0</v>
      </c>
      <c r="EJ73" s="443">
        <f t="shared" si="108"/>
        <v>0</v>
      </c>
      <c r="EL73" s="442">
        <f>(BR73+CP73-DZ73)+IF('2. START'!$C$14&gt;0,AT73-DN73,0)</f>
        <v>0</v>
      </c>
      <c r="EM73" s="442">
        <f>(BS73+CQ73-EA73)+IF('2. START'!$C$14&gt;0,AU73-DO73,0)</f>
        <v>0</v>
      </c>
      <c r="EN73" s="442">
        <f>(BT73+CR73-EB73)+IF('2. START'!$C$14&gt;0,AV73-DP73,0)</f>
        <v>0</v>
      </c>
      <c r="EO73" s="442">
        <f>(BU73+CS73-EC73)+IF('2. START'!$C$14&gt;0,AW73-DQ73,0)</f>
        <v>0</v>
      </c>
      <c r="EP73" s="442">
        <f>(BV73+CT73-ED73)+IF('2. START'!$C$14&gt;0,AX73-DR73,0)</f>
        <v>0</v>
      </c>
      <c r="EQ73" s="442">
        <f>(BW73+CU73-EE73)+IF('2. START'!$C$14&gt;0,AY73-DS73,0)</f>
        <v>0</v>
      </c>
      <c r="ER73" s="442">
        <f>(BX73+CV73-EF73)+IF('2. START'!$C$14&gt;0,AZ73-DT73,0)</f>
        <v>0</v>
      </c>
      <c r="ES73" s="442">
        <f>(BY73+CW73-EG73)+IF('2. START'!$C$14&gt;0,BA73-DU73,0)</f>
        <v>0</v>
      </c>
      <c r="ET73" s="442">
        <f>(BZ73+CX73-EH73)+IF('2. START'!$C$14&gt;0,BB73-DV73,0)</f>
        <v>0</v>
      </c>
      <c r="EU73" s="442">
        <f>(CA73+CY73-EI73)+IF('2. START'!$C$14&gt;0,BC73-DW73,0)</f>
        <v>0</v>
      </c>
      <c r="EV73" s="443">
        <f t="shared" si="109"/>
        <v>0</v>
      </c>
      <c r="EX73" s="442">
        <f t="shared" si="110"/>
        <v>0</v>
      </c>
      <c r="EY73" s="442">
        <f t="shared" si="111"/>
        <v>0</v>
      </c>
      <c r="EZ73" s="442">
        <f t="shared" si="112"/>
        <v>0</v>
      </c>
      <c r="FA73" s="442">
        <f t="shared" si="113"/>
        <v>0</v>
      </c>
      <c r="FB73" s="442">
        <f t="shared" si="114"/>
        <v>0</v>
      </c>
      <c r="FC73" s="442">
        <f t="shared" si="115"/>
        <v>0</v>
      </c>
      <c r="FD73" s="442">
        <f t="shared" si="116"/>
        <v>0</v>
      </c>
      <c r="FE73" s="442">
        <f t="shared" si="117"/>
        <v>0</v>
      </c>
      <c r="FF73" s="442">
        <f t="shared" si="118"/>
        <v>0</v>
      </c>
      <c r="FG73" s="442">
        <f t="shared" si="119"/>
        <v>0</v>
      </c>
      <c r="FH73" s="443">
        <f t="shared" si="120"/>
        <v>0</v>
      </c>
      <c r="FJ73" s="442">
        <f t="shared" si="121"/>
        <v>0</v>
      </c>
      <c r="FK73" s="442">
        <f t="shared" si="122"/>
        <v>0</v>
      </c>
      <c r="FL73" s="442">
        <f t="shared" si="123"/>
        <v>0</v>
      </c>
      <c r="FM73" s="442">
        <f t="shared" si="124"/>
        <v>0</v>
      </c>
      <c r="FN73" s="442">
        <f t="shared" si="125"/>
        <v>0</v>
      </c>
      <c r="FO73" s="442">
        <f t="shared" si="126"/>
        <v>0</v>
      </c>
      <c r="FP73" s="442">
        <f t="shared" si="127"/>
        <v>0</v>
      </c>
      <c r="FQ73" s="442">
        <f t="shared" si="128"/>
        <v>0</v>
      </c>
      <c r="FR73" s="442">
        <f t="shared" si="129"/>
        <v>0</v>
      </c>
      <c r="FS73" s="442">
        <f t="shared" si="130"/>
        <v>0</v>
      </c>
      <c r="FT73" s="443">
        <f t="shared" si="131"/>
        <v>0</v>
      </c>
    </row>
    <row r="74" spans="2:176" s="270" customFormat="1" ht="15" customHeight="1" x14ac:dyDescent="0.25">
      <c r="B74" s="446" t="str">
        <f>'2. START'!C$7</f>
        <v>100GEM</v>
      </c>
      <c r="C74" s="469"/>
      <c r="D74" s="589"/>
      <c r="E74" s="544">
        <v>0</v>
      </c>
      <c r="F74" s="448"/>
      <c r="G74" s="449"/>
      <c r="H74" s="449"/>
      <c r="I74" s="449"/>
      <c r="J74" s="449"/>
      <c r="K74" s="449"/>
      <c r="L74" s="449"/>
      <c r="M74" s="449"/>
      <c r="N74" s="449"/>
      <c r="O74" s="449"/>
      <c r="P74" s="449"/>
      <c r="Q74" s="546">
        <f>SUMIF('3. PARTNER'!$B$13:$B$80,$B74,'3. PARTNER'!$F$13:$F$80)</f>
        <v>0.02</v>
      </c>
      <c r="R74" s="450">
        <f t="shared" si="206"/>
        <v>0.02</v>
      </c>
      <c r="S74" s="450">
        <f t="shared" si="206"/>
        <v>0.02</v>
      </c>
      <c r="T74" s="450">
        <f t="shared" si="206"/>
        <v>0.02</v>
      </c>
      <c r="U74" s="450">
        <f t="shared" si="206"/>
        <v>0.02</v>
      </c>
      <c r="V74" s="450">
        <f t="shared" si="206"/>
        <v>0.02</v>
      </c>
      <c r="W74" s="450">
        <f t="shared" si="206"/>
        <v>0.02</v>
      </c>
      <c r="X74" s="450">
        <f t="shared" si="206"/>
        <v>0.02</v>
      </c>
      <c r="Y74" s="450">
        <f t="shared" si="206"/>
        <v>0.02</v>
      </c>
      <c r="Z74" s="450">
        <f t="shared" si="206"/>
        <v>0.02</v>
      </c>
      <c r="AA74" s="451">
        <f>SUMIF('3. PARTNER'!B$13:B$80,B74,'3. PARTNER'!E$13:E$80)</f>
        <v>0.5595</v>
      </c>
      <c r="AB74" s="452">
        <f>IF('2. START'!$C$20="UTB",(SUMIF('3. PARTNER'!B$13:B$80,B74,'3. PARTNER'!K$13:K$80))+(SUMIF('3. PARTNER'!B$13:B$80,B74,'3. PARTNER'!M$13:M$80)),(SUMIF('3. PARTNER'!B$13:B$80,B74,'3. PARTNER'!G$13:G$80))+(SUMIF('3. PARTNER'!B$13:B$80,B74,'3. PARTNER'!I$13:I$80)))</f>
        <v>0.16000843770704321</v>
      </c>
      <c r="AC74" s="452">
        <f>IF('2. START'!$C$20="UTB",(SUMIF('3. PARTNER'!B$13:B$80,B74,'3. PARTNER'!L$13:L$80))+(SUMIF('3. PARTNER'!B$13:B$80,B74,'3. PARTNER'!N$13:N$80)),(SUMIF('3. PARTNER'!B$13:B$80,B74,'3. PARTNER'!H$13:H$80))+(SUMIF('3. PARTNER'!B$13:B$80,B74,'3. PARTNER'!J$13:J$80)))</f>
        <v>0</v>
      </c>
      <c r="AD74" s="452">
        <f>IF('2. START'!C$11="NO",'2. START'!C$12,0)</f>
        <v>0</v>
      </c>
      <c r="AE74" s="453">
        <f t="shared" si="98"/>
        <v>0</v>
      </c>
      <c r="AF74" s="453">
        <f t="shared" si="99"/>
        <v>0</v>
      </c>
      <c r="AG74" s="454"/>
      <c r="AH74" s="455">
        <f t="shared" si="135"/>
        <v>0</v>
      </c>
      <c r="AI74" s="455">
        <f t="shared" si="136"/>
        <v>0</v>
      </c>
      <c r="AJ74" s="455">
        <f t="shared" si="137"/>
        <v>0</v>
      </c>
      <c r="AK74" s="455">
        <f t="shared" si="138"/>
        <v>0</v>
      </c>
      <c r="AL74" s="455">
        <f t="shared" si="139"/>
        <v>0</v>
      </c>
      <c r="AM74" s="455">
        <f t="shared" si="140"/>
        <v>0</v>
      </c>
      <c r="AN74" s="455">
        <f t="shared" si="141"/>
        <v>0</v>
      </c>
      <c r="AO74" s="455">
        <f t="shared" si="142"/>
        <v>0</v>
      </c>
      <c r="AP74" s="455">
        <f t="shared" si="143"/>
        <v>0</v>
      </c>
      <c r="AQ74" s="455">
        <f t="shared" si="144"/>
        <v>0</v>
      </c>
      <c r="AR74" s="456">
        <f t="shared" si="100"/>
        <v>0</v>
      </c>
      <c r="AS74" s="457"/>
      <c r="AT74" s="455">
        <f t="shared" si="145"/>
        <v>0</v>
      </c>
      <c r="AU74" s="455">
        <f t="shared" si="146"/>
        <v>0</v>
      </c>
      <c r="AV74" s="455">
        <f t="shared" si="147"/>
        <v>0</v>
      </c>
      <c r="AW74" s="455">
        <f t="shared" si="148"/>
        <v>0</v>
      </c>
      <c r="AX74" s="455">
        <f t="shared" si="149"/>
        <v>0</v>
      </c>
      <c r="AY74" s="455">
        <f t="shared" si="150"/>
        <v>0</v>
      </c>
      <c r="AZ74" s="455">
        <f t="shared" si="151"/>
        <v>0</v>
      </c>
      <c r="BA74" s="455">
        <f t="shared" si="152"/>
        <v>0</v>
      </c>
      <c r="BB74" s="455">
        <f t="shared" si="153"/>
        <v>0</v>
      </c>
      <c r="BC74" s="455">
        <f t="shared" si="154"/>
        <v>0</v>
      </c>
      <c r="BD74" s="456">
        <f t="shared" si="101"/>
        <v>0</v>
      </c>
      <c r="BE74" s="457"/>
      <c r="BF74" s="455">
        <f t="shared" si="155"/>
        <v>0</v>
      </c>
      <c r="BG74" s="455">
        <f t="shared" si="156"/>
        <v>0</v>
      </c>
      <c r="BH74" s="455">
        <f t="shared" si="157"/>
        <v>0</v>
      </c>
      <c r="BI74" s="455">
        <f t="shared" si="158"/>
        <v>0</v>
      </c>
      <c r="BJ74" s="455">
        <f t="shared" si="159"/>
        <v>0</v>
      </c>
      <c r="BK74" s="455">
        <f t="shared" si="160"/>
        <v>0</v>
      </c>
      <c r="BL74" s="455">
        <f t="shared" si="161"/>
        <v>0</v>
      </c>
      <c r="BM74" s="455">
        <f t="shared" si="162"/>
        <v>0</v>
      </c>
      <c r="BN74" s="455">
        <f t="shared" si="163"/>
        <v>0</v>
      </c>
      <c r="BO74" s="455">
        <f t="shared" si="164"/>
        <v>0</v>
      </c>
      <c r="BP74" s="456">
        <f t="shared" si="102"/>
        <v>0</v>
      </c>
      <c r="BQ74" s="463"/>
      <c r="BR74" s="459">
        <f t="shared" si="165"/>
        <v>0</v>
      </c>
      <c r="BS74" s="459">
        <f t="shared" si="166"/>
        <v>0</v>
      </c>
      <c r="BT74" s="459">
        <f t="shared" si="167"/>
        <v>0</v>
      </c>
      <c r="BU74" s="459">
        <f t="shared" si="168"/>
        <v>0</v>
      </c>
      <c r="BV74" s="459">
        <f t="shared" si="169"/>
        <v>0</v>
      </c>
      <c r="BW74" s="459">
        <f t="shared" si="170"/>
        <v>0</v>
      </c>
      <c r="BX74" s="459">
        <f t="shared" si="171"/>
        <v>0</v>
      </c>
      <c r="BY74" s="459">
        <f t="shared" si="172"/>
        <v>0</v>
      </c>
      <c r="BZ74" s="459">
        <f t="shared" si="173"/>
        <v>0</v>
      </c>
      <c r="CA74" s="459">
        <f t="shared" si="174"/>
        <v>0</v>
      </c>
      <c r="CB74" s="460">
        <f t="shared" si="103"/>
        <v>0</v>
      </c>
      <c r="CC74" s="463"/>
      <c r="CD74" s="462">
        <f t="shared" si="175"/>
        <v>0</v>
      </c>
      <c r="CE74" s="462">
        <f t="shared" si="176"/>
        <v>0</v>
      </c>
      <c r="CF74" s="462">
        <f t="shared" si="177"/>
        <v>0</v>
      </c>
      <c r="CG74" s="462">
        <f t="shared" si="178"/>
        <v>0</v>
      </c>
      <c r="CH74" s="462">
        <f t="shared" si="179"/>
        <v>0</v>
      </c>
      <c r="CI74" s="462">
        <f t="shared" si="180"/>
        <v>0</v>
      </c>
      <c r="CJ74" s="462">
        <f t="shared" si="181"/>
        <v>0</v>
      </c>
      <c r="CK74" s="462">
        <f t="shared" si="182"/>
        <v>0</v>
      </c>
      <c r="CL74" s="462">
        <f t="shared" si="183"/>
        <v>0</v>
      </c>
      <c r="CM74" s="462">
        <f t="shared" si="184"/>
        <v>0</v>
      </c>
      <c r="CN74" s="460">
        <f t="shared" si="104"/>
        <v>0</v>
      </c>
      <c r="CO74" s="463"/>
      <c r="CP74" s="459">
        <f t="shared" si="185"/>
        <v>0</v>
      </c>
      <c r="CQ74" s="459">
        <f t="shared" si="186"/>
        <v>0</v>
      </c>
      <c r="CR74" s="459">
        <f t="shared" si="187"/>
        <v>0</v>
      </c>
      <c r="CS74" s="459">
        <f t="shared" si="188"/>
        <v>0</v>
      </c>
      <c r="CT74" s="459">
        <f t="shared" si="189"/>
        <v>0</v>
      </c>
      <c r="CU74" s="459">
        <f t="shared" si="190"/>
        <v>0</v>
      </c>
      <c r="CV74" s="459">
        <f t="shared" si="191"/>
        <v>0</v>
      </c>
      <c r="CW74" s="459">
        <f t="shared" si="192"/>
        <v>0</v>
      </c>
      <c r="CX74" s="459">
        <f t="shared" si="193"/>
        <v>0</v>
      </c>
      <c r="CY74" s="459">
        <f t="shared" si="194"/>
        <v>0</v>
      </c>
      <c r="CZ74" s="460">
        <f t="shared" si="105"/>
        <v>0</v>
      </c>
      <c r="DA74" s="463"/>
      <c r="DB74" s="459">
        <f t="shared" si="195"/>
        <v>0</v>
      </c>
      <c r="DC74" s="459">
        <f t="shared" si="196"/>
        <v>0</v>
      </c>
      <c r="DD74" s="459">
        <f t="shared" si="197"/>
        <v>0</v>
      </c>
      <c r="DE74" s="459">
        <f t="shared" si="198"/>
        <v>0</v>
      </c>
      <c r="DF74" s="459">
        <f t="shared" si="199"/>
        <v>0</v>
      </c>
      <c r="DG74" s="459">
        <f t="shared" si="200"/>
        <v>0</v>
      </c>
      <c r="DH74" s="459">
        <f t="shared" si="201"/>
        <v>0</v>
      </c>
      <c r="DI74" s="459">
        <f t="shared" si="202"/>
        <v>0</v>
      </c>
      <c r="DJ74" s="459">
        <f t="shared" si="203"/>
        <v>0</v>
      </c>
      <c r="DK74" s="459">
        <f t="shared" si="204"/>
        <v>0</v>
      </c>
      <c r="DL74" s="460">
        <f t="shared" si="106"/>
        <v>0</v>
      </c>
      <c r="DM74" s="463"/>
      <c r="DN74" s="442">
        <f>IF('2. START'!$C$14&gt;0,(AT74/(1+$AA74))*(1+'2. START'!$C$14),AT74)</f>
        <v>0</v>
      </c>
      <c r="DO74" s="442">
        <f>IF('2. START'!$C$14&gt;0,(AU74/(1+$AA74))*(1+'2. START'!$C$14),AU74)</f>
        <v>0</v>
      </c>
      <c r="DP74" s="442">
        <f>IF('2. START'!$C$14&gt;0,(AV74/(1+$AA74))*(1+'2. START'!$C$14),AV74)</f>
        <v>0</v>
      </c>
      <c r="DQ74" s="442">
        <f>IF('2. START'!$C$14&gt;0,(AW74/(1+$AA74))*(1+'2. START'!$C$14),AW74)</f>
        <v>0</v>
      </c>
      <c r="DR74" s="442">
        <f>IF('2. START'!$C$14&gt;0,(AX74/(1+$AA74))*(1+'2. START'!$C$14),AX74)</f>
        <v>0</v>
      </c>
      <c r="DS74" s="442">
        <f>IF('2. START'!$C$14&gt;0,(AY74/(1+$AA74))*(1+'2. START'!$C$14),AY74)</f>
        <v>0</v>
      </c>
      <c r="DT74" s="442">
        <f>IF('2. START'!$C$14&gt;0,(AZ74/(1+$AA74))*(1+'2. START'!$C$14),AZ74)</f>
        <v>0</v>
      </c>
      <c r="DU74" s="442">
        <f>IF('2. START'!$C$14&gt;0,(BA74/(1+$AA74))*(1+'2. START'!$C$14),BA74)</f>
        <v>0</v>
      </c>
      <c r="DV74" s="442">
        <f>IF('2. START'!$C$14&gt;0,(BB74/(1+$AA74))*(1+'2. START'!$C$14),BB74)</f>
        <v>0</v>
      </c>
      <c r="DW74" s="442">
        <f>IF('2. START'!$C$14&gt;0,(BC74/(1+$AA74))*(1+'2. START'!$C$14),BC74)</f>
        <v>0</v>
      </c>
      <c r="DX74" s="460">
        <f t="shared" si="107"/>
        <v>0</v>
      </c>
      <c r="DY74" s="463"/>
      <c r="DZ74" s="459">
        <f>IF('2. START'!$C$11="NO",(IF('2. START'!$C$14&gt;0,(DN74*$AD74),(AT74*$AD74))),(BR74+CP74))</f>
        <v>0</v>
      </c>
      <c r="EA74" s="459">
        <f>IF('2. START'!$C$11="NO",(IF('2. START'!$C$14&gt;0,(DO74*$AD74),(AU74*$AD74))),(BS74+CQ74))</f>
        <v>0</v>
      </c>
      <c r="EB74" s="459">
        <f>IF('2. START'!$C$11="NO",(IF('2. START'!$C$14&gt;0,(DP74*$AD74),(AV74*$AD74))),(BT74+CR74))</f>
        <v>0</v>
      </c>
      <c r="EC74" s="459">
        <f>IF('2. START'!$C$11="NO",(IF('2. START'!$C$14&gt;0,(DQ74*$AD74),(AW74*$AD74))),(BU74+CS74))</f>
        <v>0</v>
      </c>
      <c r="ED74" s="459">
        <f>IF('2. START'!$C$11="NO",(IF('2. START'!$C$14&gt;0,(DR74*$AD74),(AX74*$AD74))),(BV74+CT74))</f>
        <v>0</v>
      </c>
      <c r="EE74" s="459">
        <f>IF('2. START'!$C$11="NO",(IF('2. START'!$C$14&gt;0,(DS74*$AD74),(AY74*$AD74))),(BW74+CU74))</f>
        <v>0</v>
      </c>
      <c r="EF74" s="459">
        <f>IF('2. START'!$C$11="NO",(IF('2. START'!$C$14&gt;0,(DT74*$AD74),(AZ74*$AD74))),(BX74+CV74))</f>
        <v>0</v>
      </c>
      <c r="EG74" s="459">
        <f>IF('2. START'!$C$11="NO",(IF('2. START'!$C$14&gt;0,(DU74*$AD74),(BA74*$AD74))),(BY74+CW74))</f>
        <v>0</v>
      </c>
      <c r="EH74" s="459">
        <f>IF('2. START'!$C$11="NO",(IF('2. START'!$C$14&gt;0,(DV74*$AD74),(BB74*$AD74))),(BZ74+CX74))</f>
        <v>0</v>
      </c>
      <c r="EI74" s="459">
        <f>IF('2. START'!$C$11="NO",(IF('2. START'!$C$14&gt;0,(DW74*$AD74),(BC74*$AD74))),(CA74+CY74))</f>
        <v>0</v>
      </c>
      <c r="EJ74" s="460">
        <f t="shared" si="108"/>
        <v>0</v>
      </c>
      <c r="EK74" s="463"/>
      <c r="EL74" s="459">
        <f>(BR74+CP74-DZ74)+IF('2. START'!$C$14&gt;0,AT74-DN74,0)</f>
        <v>0</v>
      </c>
      <c r="EM74" s="459">
        <f>(BS74+CQ74-EA74)+IF('2. START'!$C$14&gt;0,AU74-DO74,0)</f>
        <v>0</v>
      </c>
      <c r="EN74" s="459">
        <f>(BT74+CR74-EB74)+IF('2. START'!$C$14&gt;0,AV74-DP74,0)</f>
        <v>0</v>
      </c>
      <c r="EO74" s="459">
        <f>(BU74+CS74-EC74)+IF('2. START'!$C$14&gt;0,AW74-DQ74,0)</f>
        <v>0</v>
      </c>
      <c r="EP74" s="459">
        <f>(BV74+CT74-ED74)+IF('2. START'!$C$14&gt;0,AX74-DR74,0)</f>
        <v>0</v>
      </c>
      <c r="EQ74" s="459">
        <f>(BW74+CU74-EE74)+IF('2. START'!$C$14&gt;0,AY74-DS74,0)</f>
        <v>0</v>
      </c>
      <c r="ER74" s="459">
        <f>(BX74+CV74-EF74)+IF('2. START'!$C$14&gt;0,AZ74-DT74,0)</f>
        <v>0</v>
      </c>
      <c r="ES74" s="459">
        <f>(BY74+CW74-EG74)+IF('2. START'!$C$14&gt;0,BA74-DU74,0)</f>
        <v>0</v>
      </c>
      <c r="ET74" s="459">
        <f>(BZ74+CX74-EH74)+IF('2. START'!$C$14&gt;0,BB74-DV74,0)</f>
        <v>0</v>
      </c>
      <c r="EU74" s="459">
        <f>(CA74+CY74-EI74)+IF('2. START'!$C$14&gt;0,BC74-DW74,0)</f>
        <v>0</v>
      </c>
      <c r="EV74" s="460">
        <f t="shared" si="109"/>
        <v>0</v>
      </c>
      <c r="EW74" s="463"/>
      <c r="EX74" s="459">
        <f t="shared" si="110"/>
        <v>0</v>
      </c>
      <c r="EY74" s="459">
        <f t="shared" si="111"/>
        <v>0</v>
      </c>
      <c r="EZ74" s="459">
        <f t="shared" si="112"/>
        <v>0</v>
      </c>
      <c r="FA74" s="459">
        <f t="shared" si="113"/>
        <v>0</v>
      </c>
      <c r="FB74" s="459">
        <f t="shared" si="114"/>
        <v>0</v>
      </c>
      <c r="FC74" s="459">
        <f t="shared" si="115"/>
        <v>0</v>
      </c>
      <c r="FD74" s="459">
        <f t="shared" si="116"/>
        <v>0</v>
      </c>
      <c r="FE74" s="459">
        <f t="shared" si="117"/>
        <v>0</v>
      </c>
      <c r="FF74" s="459">
        <f t="shared" si="118"/>
        <v>0</v>
      </c>
      <c r="FG74" s="459">
        <f t="shared" si="119"/>
        <v>0</v>
      </c>
      <c r="FH74" s="460">
        <f t="shared" si="120"/>
        <v>0</v>
      </c>
      <c r="FI74" s="463"/>
      <c r="FJ74" s="459">
        <f t="shared" si="121"/>
        <v>0</v>
      </c>
      <c r="FK74" s="459">
        <f t="shared" si="122"/>
        <v>0</v>
      </c>
      <c r="FL74" s="459">
        <f t="shared" si="123"/>
        <v>0</v>
      </c>
      <c r="FM74" s="459">
        <f t="shared" si="124"/>
        <v>0</v>
      </c>
      <c r="FN74" s="459">
        <f t="shared" si="125"/>
        <v>0</v>
      </c>
      <c r="FO74" s="459">
        <f t="shared" si="126"/>
        <v>0</v>
      </c>
      <c r="FP74" s="459">
        <f t="shared" si="127"/>
        <v>0</v>
      </c>
      <c r="FQ74" s="459">
        <f t="shared" si="128"/>
        <v>0</v>
      </c>
      <c r="FR74" s="459">
        <f t="shared" si="129"/>
        <v>0</v>
      </c>
      <c r="FS74" s="459">
        <f t="shared" si="130"/>
        <v>0</v>
      </c>
      <c r="FT74" s="460">
        <f t="shared" si="131"/>
        <v>0</v>
      </c>
    </row>
    <row r="75" spans="2:176" s="270" customFormat="1" ht="15" customHeight="1" x14ac:dyDescent="0.25">
      <c r="B75" s="464" t="str">
        <f>'2. START'!C$7</f>
        <v>100GEM</v>
      </c>
      <c r="C75" s="470"/>
      <c r="D75" s="590"/>
      <c r="E75" s="514">
        <v>0</v>
      </c>
      <c r="F75" s="467"/>
      <c r="G75" s="432"/>
      <c r="H75" s="432"/>
      <c r="I75" s="432"/>
      <c r="J75" s="432"/>
      <c r="K75" s="432"/>
      <c r="L75" s="432"/>
      <c r="M75" s="432"/>
      <c r="N75" s="432"/>
      <c r="O75" s="432"/>
      <c r="P75" s="432"/>
      <c r="Q75" s="545">
        <f>SUMIF('3. PARTNER'!$B$13:$B$80,$B75,'3. PARTNER'!$F$13:$F$80)</f>
        <v>0.02</v>
      </c>
      <c r="R75" s="466">
        <f t="shared" si="206"/>
        <v>0.02</v>
      </c>
      <c r="S75" s="466">
        <f t="shared" si="206"/>
        <v>0.02</v>
      </c>
      <c r="T75" s="466">
        <f t="shared" si="206"/>
        <v>0.02</v>
      </c>
      <c r="U75" s="466">
        <f t="shared" si="206"/>
        <v>0.02</v>
      </c>
      <c r="V75" s="466">
        <f t="shared" si="206"/>
        <v>0.02</v>
      </c>
      <c r="W75" s="466">
        <f t="shared" si="206"/>
        <v>0.02</v>
      </c>
      <c r="X75" s="466">
        <f t="shared" si="206"/>
        <v>0.02</v>
      </c>
      <c r="Y75" s="466">
        <f t="shared" si="206"/>
        <v>0.02</v>
      </c>
      <c r="Z75" s="466">
        <f t="shared" si="206"/>
        <v>0.02</v>
      </c>
      <c r="AA75" s="434">
        <f>SUMIF('3. PARTNER'!B$13:B$80,B75,'3. PARTNER'!E$13:E$80)</f>
        <v>0.5595</v>
      </c>
      <c r="AB75" s="435">
        <f>IF('2. START'!$C$20="UTB",(SUMIF('3. PARTNER'!B$13:B$80,B75,'3. PARTNER'!K$13:K$80))+(SUMIF('3. PARTNER'!B$13:B$80,B75,'3. PARTNER'!M$13:M$80)),(SUMIF('3. PARTNER'!B$13:B$80,B75,'3. PARTNER'!G$13:G$80))+(SUMIF('3. PARTNER'!B$13:B$80,B75,'3. PARTNER'!I$13:I$80)))</f>
        <v>0.16000843770704321</v>
      </c>
      <c r="AC75" s="435">
        <f>IF('2. START'!$C$20="UTB",(SUMIF('3. PARTNER'!B$13:B$80,B75,'3. PARTNER'!L$13:L$80))+(SUMIF('3. PARTNER'!B$13:B$80,B75,'3. PARTNER'!N$13:N$80)),(SUMIF('3. PARTNER'!B$13:B$80,B75,'3. PARTNER'!H$13:H$80))+(SUMIF('3. PARTNER'!B$13:B$80,B75,'3. PARTNER'!J$13:J$80)))</f>
        <v>0</v>
      </c>
      <c r="AD75" s="435">
        <f>IF('2. START'!C$11="NO",'2. START'!C$12,0)</f>
        <v>0</v>
      </c>
      <c r="AE75" s="436">
        <f t="shared" si="98"/>
        <v>0</v>
      </c>
      <c r="AF75" s="436">
        <f t="shared" si="99"/>
        <v>0</v>
      </c>
      <c r="AG75" s="437"/>
      <c r="AH75" s="438">
        <f t="shared" si="135"/>
        <v>0</v>
      </c>
      <c r="AI75" s="438">
        <f t="shared" si="136"/>
        <v>0</v>
      </c>
      <c r="AJ75" s="438">
        <f t="shared" si="137"/>
        <v>0</v>
      </c>
      <c r="AK75" s="438">
        <f t="shared" si="138"/>
        <v>0</v>
      </c>
      <c r="AL75" s="438">
        <f t="shared" si="139"/>
        <v>0</v>
      </c>
      <c r="AM75" s="438">
        <f t="shared" si="140"/>
        <v>0</v>
      </c>
      <c r="AN75" s="438">
        <f t="shared" si="141"/>
        <v>0</v>
      </c>
      <c r="AO75" s="438">
        <f t="shared" si="142"/>
        <v>0</v>
      </c>
      <c r="AP75" s="438">
        <f t="shared" si="143"/>
        <v>0</v>
      </c>
      <c r="AQ75" s="438">
        <f t="shared" si="144"/>
        <v>0</v>
      </c>
      <c r="AR75" s="439">
        <f t="shared" si="100"/>
        <v>0</v>
      </c>
      <c r="AS75" s="440"/>
      <c r="AT75" s="438">
        <f t="shared" si="145"/>
        <v>0</v>
      </c>
      <c r="AU75" s="438">
        <f t="shared" si="146"/>
        <v>0</v>
      </c>
      <c r="AV75" s="438">
        <f t="shared" si="147"/>
        <v>0</v>
      </c>
      <c r="AW75" s="438">
        <f t="shared" si="148"/>
        <v>0</v>
      </c>
      <c r="AX75" s="438">
        <f t="shared" si="149"/>
        <v>0</v>
      </c>
      <c r="AY75" s="438">
        <f t="shared" si="150"/>
        <v>0</v>
      </c>
      <c r="AZ75" s="438">
        <f t="shared" si="151"/>
        <v>0</v>
      </c>
      <c r="BA75" s="438">
        <f t="shared" si="152"/>
        <v>0</v>
      </c>
      <c r="BB75" s="438">
        <f t="shared" si="153"/>
        <v>0</v>
      </c>
      <c r="BC75" s="438">
        <f t="shared" si="154"/>
        <v>0</v>
      </c>
      <c r="BD75" s="439">
        <f t="shared" si="101"/>
        <v>0</v>
      </c>
      <c r="BE75" s="440"/>
      <c r="BF75" s="438">
        <f t="shared" si="155"/>
        <v>0</v>
      </c>
      <c r="BG75" s="438">
        <f t="shared" si="156"/>
        <v>0</v>
      </c>
      <c r="BH75" s="438">
        <f t="shared" si="157"/>
        <v>0</v>
      </c>
      <c r="BI75" s="438">
        <f t="shared" si="158"/>
        <v>0</v>
      </c>
      <c r="BJ75" s="438">
        <f t="shared" si="159"/>
        <v>0</v>
      </c>
      <c r="BK75" s="438">
        <f t="shared" si="160"/>
        <v>0</v>
      </c>
      <c r="BL75" s="438">
        <f t="shared" si="161"/>
        <v>0</v>
      </c>
      <c r="BM75" s="438">
        <f t="shared" si="162"/>
        <v>0</v>
      </c>
      <c r="BN75" s="438">
        <f t="shared" si="163"/>
        <v>0</v>
      </c>
      <c r="BO75" s="438">
        <f t="shared" si="164"/>
        <v>0</v>
      </c>
      <c r="BP75" s="439">
        <f t="shared" si="102"/>
        <v>0</v>
      </c>
      <c r="BR75" s="442">
        <f t="shared" si="165"/>
        <v>0</v>
      </c>
      <c r="BS75" s="442">
        <f t="shared" si="166"/>
        <v>0</v>
      </c>
      <c r="BT75" s="442">
        <f t="shared" si="167"/>
        <v>0</v>
      </c>
      <c r="BU75" s="442">
        <f t="shared" si="168"/>
        <v>0</v>
      </c>
      <c r="BV75" s="442">
        <f t="shared" si="169"/>
        <v>0</v>
      </c>
      <c r="BW75" s="442">
        <f t="shared" si="170"/>
        <v>0</v>
      </c>
      <c r="BX75" s="442">
        <f t="shared" si="171"/>
        <v>0</v>
      </c>
      <c r="BY75" s="442">
        <f t="shared" si="172"/>
        <v>0</v>
      </c>
      <c r="BZ75" s="442">
        <f t="shared" si="173"/>
        <v>0</v>
      </c>
      <c r="CA75" s="442">
        <f t="shared" si="174"/>
        <v>0</v>
      </c>
      <c r="CB75" s="443">
        <f t="shared" si="103"/>
        <v>0</v>
      </c>
      <c r="CD75" s="445">
        <f t="shared" si="175"/>
        <v>0</v>
      </c>
      <c r="CE75" s="445">
        <f t="shared" si="176"/>
        <v>0</v>
      </c>
      <c r="CF75" s="445">
        <f t="shared" si="177"/>
        <v>0</v>
      </c>
      <c r="CG75" s="445">
        <f t="shared" si="178"/>
        <v>0</v>
      </c>
      <c r="CH75" s="445">
        <f t="shared" si="179"/>
        <v>0</v>
      </c>
      <c r="CI75" s="445">
        <f t="shared" si="180"/>
        <v>0</v>
      </c>
      <c r="CJ75" s="445">
        <f t="shared" si="181"/>
        <v>0</v>
      </c>
      <c r="CK75" s="445">
        <f t="shared" si="182"/>
        <v>0</v>
      </c>
      <c r="CL75" s="445">
        <f t="shared" si="183"/>
        <v>0</v>
      </c>
      <c r="CM75" s="445">
        <f t="shared" si="184"/>
        <v>0</v>
      </c>
      <c r="CN75" s="443">
        <f t="shared" si="104"/>
        <v>0</v>
      </c>
      <c r="CP75" s="442">
        <f t="shared" si="185"/>
        <v>0</v>
      </c>
      <c r="CQ75" s="442">
        <f t="shared" si="186"/>
        <v>0</v>
      </c>
      <c r="CR75" s="442">
        <f t="shared" si="187"/>
        <v>0</v>
      </c>
      <c r="CS75" s="442">
        <f t="shared" si="188"/>
        <v>0</v>
      </c>
      <c r="CT75" s="442">
        <f t="shared" si="189"/>
        <v>0</v>
      </c>
      <c r="CU75" s="442">
        <f t="shared" si="190"/>
        <v>0</v>
      </c>
      <c r="CV75" s="442">
        <f t="shared" si="191"/>
        <v>0</v>
      </c>
      <c r="CW75" s="442">
        <f t="shared" si="192"/>
        <v>0</v>
      </c>
      <c r="CX75" s="442">
        <f t="shared" si="193"/>
        <v>0</v>
      </c>
      <c r="CY75" s="442">
        <f t="shared" si="194"/>
        <v>0</v>
      </c>
      <c r="CZ75" s="443">
        <f t="shared" si="105"/>
        <v>0</v>
      </c>
      <c r="DB75" s="442">
        <f t="shared" si="195"/>
        <v>0</v>
      </c>
      <c r="DC75" s="442">
        <f t="shared" si="196"/>
        <v>0</v>
      </c>
      <c r="DD75" s="442">
        <f t="shared" si="197"/>
        <v>0</v>
      </c>
      <c r="DE75" s="442">
        <f t="shared" si="198"/>
        <v>0</v>
      </c>
      <c r="DF75" s="442">
        <f t="shared" si="199"/>
        <v>0</v>
      </c>
      <c r="DG75" s="442">
        <f t="shared" si="200"/>
        <v>0</v>
      </c>
      <c r="DH75" s="442">
        <f t="shared" si="201"/>
        <v>0</v>
      </c>
      <c r="DI75" s="442">
        <f t="shared" si="202"/>
        <v>0</v>
      </c>
      <c r="DJ75" s="442">
        <f t="shared" si="203"/>
        <v>0</v>
      </c>
      <c r="DK75" s="442">
        <f t="shared" si="204"/>
        <v>0</v>
      </c>
      <c r="DL75" s="443">
        <f t="shared" si="106"/>
        <v>0</v>
      </c>
      <c r="DN75" s="442">
        <f>IF('2. START'!$C$14&gt;0,(AT75/(1+$AA75))*(1+'2. START'!$C$14),AT75)</f>
        <v>0</v>
      </c>
      <c r="DO75" s="442">
        <f>IF('2. START'!$C$14&gt;0,(AU75/(1+$AA75))*(1+'2. START'!$C$14),AU75)</f>
        <v>0</v>
      </c>
      <c r="DP75" s="442">
        <f>IF('2. START'!$C$14&gt;0,(AV75/(1+$AA75))*(1+'2. START'!$C$14),AV75)</f>
        <v>0</v>
      </c>
      <c r="DQ75" s="442">
        <f>IF('2. START'!$C$14&gt;0,(AW75/(1+$AA75))*(1+'2. START'!$C$14),AW75)</f>
        <v>0</v>
      </c>
      <c r="DR75" s="442">
        <f>IF('2. START'!$C$14&gt;0,(AX75/(1+$AA75))*(1+'2. START'!$C$14),AX75)</f>
        <v>0</v>
      </c>
      <c r="DS75" s="442">
        <f>IF('2. START'!$C$14&gt;0,(AY75/(1+$AA75))*(1+'2. START'!$C$14),AY75)</f>
        <v>0</v>
      </c>
      <c r="DT75" s="442">
        <f>IF('2. START'!$C$14&gt;0,(AZ75/(1+$AA75))*(1+'2. START'!$C$14),AZ75)</f>
        <v>0</v>
      </c>
      <c r="DU75" s="442">
        <f>IF('2. START'!$C$14&gt;0,(BA75/(1+$AA75))*(1+'2. START'!$C$14),BA75)</f>
        <v>0</v>
      </c>
      <c r="DV75" s="442">
        <f>IF('2. START'!$C$14&gt;0,(BB75/(1+$AA75))*(1+'2. START'!$C$14),BB75)</f>
        <v>0</v>
      </c>
      <c r="DW75" s="442">
        <f>IF('2. START'!$C$14&gt;0,(BC75/(1+$AA75))*(1+'2. START'!$C$14),BC75)</f>
        <v>0</v>
      </c>
      <c r="DX75" s="443">
        <f t="shared" si="107"/>
        <v>0</v>
      </c>
      <c r="DZ75" s="442">
        <f>IF('2. START'!$C$11="NO",(IF('2. START'!$C$14&gt;0,(DN75*$AD75),(AT75*$AD75))),(BR75+CP75))</f>
        <v>0</v>
      </c>
      <c r="EA75" s="442">
        <f>IF('2. START'!$C$11="NO",(IF('2. START'!$C$14&gt;0,(DO75*$AD75),(AU75*$AD75))),(BS75+CQ75))</f>
        <v>0</v>
      </c>
      <c r="EB75" s="442">
        <f>IF('2. START'!$C$11="NO",(IF('2. START'!$C$14&gt;0,(DP75*$AD75),(AV75*$AD75))),(BT75+CR75))</f>
        <v>0</v>
      </c>
      <c r="EC75" s="442">
        <f>IF('2. START'!$C$11="NO",(IF('2. START'!$C$14&gt;0,(DQ75*$AD75),(AW75*$AD75))),(BU75+CS75))</f>
        <v>0</v>
      </c>
      <c r="ED75" s="442">
        <f>IF('2. START'!$C$11="NO",(IF('2. START'!$C$14&gt;0,(DR75*$AD75),(AX75*$AD75))),(BV75+CT75))</f>
        <v>0</v>
      </c>
      <c r="EE75" s="442">
        <f>IF('2. START'!$C$11="NO",(IF('2. START'!$C$14&gt;0,(DS75*$AD75),(AY75*$AD75))),(BW75+CU75))</f>
        <v>0</v>
      </c>
      <c r="EF75" s="442">
        <f>IF('2. START'!$C$11="NO",(IF('2. START'!$C$14&gt;0,(DT75*$AD75),(AZ75*$AD75))),(BX75+CV75))</f>
        <v>0</v>
      </c>
      <c r="EG75" s="442">
        <f>IF('2. START'!$C$11="NO",(IF('2. START'!$C$14&gt;0,(DU75*$AD75),(BA75*$AD75))),(BY75+CW75))</f>
        <v>0</v>
      </c>
      <c r="EH75" s="442">
        <f>IF('2. START'!$C$11="NO",(IF('2. START'!$C$14&gt;0,(DV75*$AD75),(BB75*$AD75))),(BZ75+CX75))</f>
        <v>0</v>
      </c>
      <c r="EI75" s="442">
        <f>IF('2. START'!$C$11="NO",(IF('2. START'!$C$14&gt;0,(DW75*$AD75),(BC75*$AD75))),(CA75+CY75))</f>
        <v>0</v>
      </c>
      <c r="EJ75" s="443">
        <f t="shared" si="108"/>
        <v>0</v>
      </c>
      <c r="EL75" s="442">
        <f>(BR75+CP75-DZ75)+IF('2. START'!$C$14&gt;0,AT75-DN75,0)</f>
        <v>0</v>
      </c>
      <c r="EM75" s="442">
        <f>(BS75+CQ75-EA75)+IF('2. START'!$C$14&gt;0,AU75-DO75,0)</f>
        <v>0</v>
      </c>
      <c r="EN75" s="442">
        <f>(BT75+CR75-EB75)+IF('2. START'!$C$14&gt;0,AV75-DP75,0)</f>
        <v>0</v>
      </c>
      <c r="EO75" s="442">
        <f>(BU75+CS75-EC75)+IF('2. START'!$C$14&gt;0,AW75-DQ75,0)</f>
        <v>0</v>
      </c>
      <c r="EP75" s="442">
        <f>(BV75+CT75-ED75)+IF('2. START'!$C$14&gt;0,AX75-DR75,0)</f>
        <v>0</v>
      </c>
      <c r="EQ75" s="442">
        <f>(BW75+CU75-EE75)+IF('2. START'!$C$14&gt;0,AY75-DS75,0)</f>
        <v>0</v>
      </c>
      <c r="ER75" s="442">
        <f>(BX75+CV75-EF75)+IF('2. START'!$C$14&gt;0,AZ75-DT75,0)</f>
        <v>0</v>
      </c>
      <c r="ES75" s="442">
        <f>(BY75+CW75-EG75)+IF('2. START'!$C$14&gt;0,BA75-DU75,0)</f>
        <v>0</v>
      </c>
      <c r="ET75" s="442">
        <f>(BZ75+CX75-EH75)+IF('2. START'!$C$14&gt;0,BB75-DV75,0)</f>
        <v>0</v>
      </c>
      <c r="EU75" s="442">
        <f>(CA75+CY75-EI75)+IF('2. START'!$C$14&gt;0,BC75-DW75,0)</f>
        <v>0</v>
      </c>
      <c r="EV75" s="443">
        <f t="shared" si="109"/>
        <v>0</v>
      </c>
      <c r="EX75" s="442">
        <f t="shared" si="110"/>
        <v>0</v>
      </c>
      <c r="EY75" s="442">
        <f t="shared" si="111"/>
        <v>0</v>
      </c>
      <c r="EZ75" s="442">
        <f t="shared" si="112"/>
        <v>0</v>
      </c>
      <c r="FA75" s="442">
        <f t="shared" si="113"/>
        <v>0</v>
      </c>
      <c r="FB75" s="442">
        <f t="shared" si="114"/>
        <v>0</v>
      </c>
      <c r="FC75" s="442">
        <f t="shared" si="115"/>
        <v>0</v>
      </c>
      <c r="FD75" s="442">
        <f t="shared" si="116"/>
        <v>0</v>
      </c>
      <c r="FE75" s="442">
        <f t="shared" si="117"/>
        <v>0</v>
      </c>
      <c r="FF75" s="442">
        <f t="shared" si="118"/>
        <v>0</v>
      </c>
      <c r="FG75" s="442">
        <f t="shared" si="119"/>
        <v>0</v>
      </c>
      <c r="FH75" s="443">
        <f t="shared" si="120"/>
        <v>0</v>
      </c>
      <c r="FJ75" s="442">
        <f t="shared" si="121"/>
        <v>0</v>
      </c>
      <c r="FK75" s="442">
        <f t="shared" si="122"/>
        <v>0</v>
      </c>
      <c r="FL75" s="442">
        <f t="shared" si="123"/>
        <v>0</v>
      </c>
      <c r="FM75" s="442">
        <f t="shared" si="124"/>
        <v>0</v>
      </c>
      <c r="FN75" s="442">
        <f t="shared" si="125"/>
        <v>0</v>
      </c>
      <c r="FO75" s="442">
        <f t="shared" si="126"/>
        <v>0</v>
      </c>
      <c r="FP75" s="442">
        <f t="shared" si="127"/>
        <v>0</v>
      </c>
      <c r="FQ75" s="442">
        <f t="shared" si="128"/>
        <v>0</v>
      </c>
      <c r="FR75" s="442">
        <f t="shared" si="129"/>
        <v>0</v>
      </c>
      <c r="FS75" s="442">
        <f t="shared" si="130"/>
        <v>0</v>
      </c>
      <c r="FT75" s="443">
        <f t="shared" si="131"/>
        <v>0</v>
      </c>
    </row>
    <row r="76" spans="2:176" s="270" customFormat="1" ht="15" customHeight="1" x14ac:dyDescent="0.25">
      <c r="B76" s="446" t="str">
        <f>'2. START'!C$7</f>
        <v>100GEM</v>
      </c>
      <c r="C76" s="469"/>
      <c r="D76" s="589"/>
      <c r="E76" s="544">
        <v>0</v>
      </c>
      <c r="F76" s="448"/>
      <c r="G76" s="449"/>
      <c r="H76" s="449"/>
      <c r="I76" s="449"/>
      <c r="J76" s="449"/>
      <c r="K76" s="449"/>
      <c r="L76" s="449"/>
      <c r="M76" s="449"/>
      <c r="N76" s="449"/>
      <c r="O76" s="449"/>
      <c r="P76" s="449"/>
      <c r="Q76" s="546">
        <f>SUMIF('3. PARTNER'!$B$13:$B$80,$B76,'3. PARTNER'!$F$13:$F$80)</f>
        <v>0.02</v>
      </c>
      <c r="R76" s="450">
        <f t="shared" si="206"/>
        <v>0.02</v>
      </c>
      <c r="S76" s="450">
        <f t="shared" si="206"/>
        <v>0.02</v>
      </c>
      <c r="T76" s="450">
        <f t="shared" si="206"/>
        <v>0.02</v>
      </c>
      <c r="U76" s="450">
        <f t="shared" si="206"/>
        <v>0.02</v>
      </c>
      <c r="V76" s="450">
        <f t="shared" si="206"/>
        <v>0.02</v>
      </c>
      <c r="W76" s="450">
        <f t="shared" si="206"/>
        <v>0.02</v>
      </c>
      <c r="X76" s="450">
        <f t="shared" si="206"/>
        <v>0.02</v>
      </c>
      <c r="Y76" s="450">
        <f t="shared" si="206"/>
        <v>0.02</v>
      </c>
      <c r="Z76" s="450">
        <f t="shared" si="206"/>
        <v>0.02</v>
      </c>
      <c r="AA76" s="451">
        <f>SUMIF('3. PARTNER'!B$13:B$80,B76,'3. PARTNER'!E$13:E$80)</f>
        <v>0.5595</v>
      </c>
      <c r="AB76" s="452">
        <f>IF('2. START'!$C$20="UTB",(SUMIF('3. PARTNER'!B$13:B$80,B76,'3. PARTNER'!K$13:K$80))+(SUMIF('3. PARTNER'!B$13:B$80,B76,'3. PARTNER'!M$13:M$80)),(SUMIF('3. PARTNER'!B$13:B$80,B76,'3. PARTNER'!G$13:G$80))+(SUMIF('3. PARTNER'!B$13:B$80,B76,'3. PARTNER'!I$13:I$80)))</f>
        <v>0.16000843770704321</v>
      </c>
      <c r="AC76" s="452">
        <f>IF('2. START'!$C$20="UTB",(SUMIF('3. PARTNER'!B$13:B$80,B76,'3. PARTNER'!L$13:L$80))+(SUMIF('3. PARTNER'!B$13:B$80,B76,'3. PARTNER'!N$13:N$80)),(SUMIF('3. PARTNER'!B$13:B$80,B76,'3. PARTNER'!H$13:H$80))+(SUMIF('3. PARTNER'!B$13:B$80,B76,'3. PARTNER'!J$13:J$80)))</f>
        <v>0</v>
      </c>
      <c r="AD76" s="452">
        <f>IF('2. START'!C$11="NO",'2. START'!C$12,0)</f>
        <v>0</v>
      </c>
      <c r="AE76" s="453">
        <f t="shared" si="98"/>
        <v>0</v>
      </c>
      <c r="AF76" s="453">
        <f t="shared" si="99"/>
        <v>0</v>
      </c>
      <c r="AG76" s="454"/>
      <c r="AH76" s="455">
        <f t="shared" si="135"/>
        <v>0</v>
      </c>
      <c r="AI76" s="455">
        <f t="shared" si="136"/>
        <v>0</v>
      </c>
      <c r="AJ76" s="455">
        <f t="shared" si="137"/>
        <v>0</v>
      </c>
      <c r="AK76" s="455">
        <f t="shared" si="138"/>
        <v>0</v>
      </c>
      <c r="AL76" s="455">
        <f t="shared" si="139"/>
        <v>0</v>
      </c>
      <c r="AM76" s="455">
        <f t="shared" si="140"/>
        <v>0</v>
      </c>
      <c r="AN76" s="455">
        <f t="shared" si="141"/>
        <v>0</v>
      </c>
      <c r="AO76" s="455">
        <f t="shared" si="142"/>
        <v>0</v>
      </c>
      <c r="AP76" s="455">
        <f t="shared" si="143"/>
        <v>0</v>
      </c>
      <c r="AQ76" s="455">
        <f t="shared" si="144"/>
        <v>0</v>
      </c>
      <c r="AR76" s="456">
        <f t="shared" si="100"/>
        <v>0</v>
      </c>
      <c r="AS76" s="457"/>
      <c r="AT76" s="455">
        <f t="shared" si="145"/>
        <v>0</v>
      </c>
      <c r="AU76" s="455">
        <f t="shared" si="146"/>
        <v>0</v>
      </c>
      <c r="AV76" s="455">
        <f t="shared" si="147"/>
        <v>0</v>
      </c>
      <c r="AW76" s="455">
        <f t="shared" si="148"/>
        <v>0</v>
      </c>
      <c r="AX76" s="455">
        <f t="shared" si="149"/>
        <v>0</v>
      </c>
      <c r="AY76" s="455">
        <f t="shared" si="150"/>
        <v>0</v>
      </c>
      <c r="AZ76" s="455">
        <f t="shared" si="151"/>
        <v>0</v>
      </c>
      <c r="BA76" s="455">
        <f t="shared" si="152"/>
        <v>0</v>
      </c>
      <c r="BB76" s="455">
        <f t="shared" si="153"/>
        <v>0</v>
      </c>
      <c r="BC76" s="455">
        <f t="shared" si="154"/>
        <v>0</v>
      </c>
      <c r="BD76" s="456">
        <f t="shared" si="101"/>
        <v>0</v>
      </c>
      <c r="BE76" s="457"/>
      <c r="BF76" s="455">
        <f t="shared" si="155"/>
        <v>0</v>
      </c>
      <c r="BG76" s="455">
        <f t="shared" si="156"/>
        <v>0</v>
      </c>
      <c r="BH76" s="455">
        <f t="shared" si="157"/>
        <v>0</v>
      </c>
      <c r="BI76" s="455">
        <f t="shared" si="158"/>
        <v>0</v>
      </c>
      <c r="BJ76" s="455">
        <f t="shared" si="159"/>
        <v>0</v>
      </c>
      <c r="BK76" s="455">
        <f t="shared" si="160"/>
        <v>0</v>
      </c>
      <c r="BL76" s="455">
        <f t="shared" si="161"/>
        <v>0</v>
      </c>
      <c r="BM76" s="455">
        <f t="shared" si="162"/>
        <v>0</v>
      </c>
      <c r="BN76" s="455">
        <f t="shared" si="163"/>
        <v>0</v>
      </c>
      <c r="BO76" s="455">
        <f t="shared" si="164"/>
        <v>0</v>
      </c>
      <c r="BP76" s="456">
        <f t="shared" si="102"/>
        <v>0</v>
      </c>
      <c r="BQ76" s="463"/>
      <c r="BR76" s="459">
        <f t="shared" si="165"/>
        <v>0</v>
      </c>
      <c r="BS76" s="459">
        <f t="shared" si="166"/>
        <v>0</v>
      </c>
      <c r="BT76" s="459">
        <f t="shared" si="167"/>
        <v>0</v>
      </c>
      <c r="BU76" s="459">
        <f t="shared" si="168"/>
        <v>0</v>
      </c>
      <c r="BV76" s="459">
        <f t="shared" si="169"/>
        <v>0</v>
      </c>
      <c r="BW76" s="459">
        <f t="shared" si="170"/>
        <v>0</v>
      </c>
      <c r="BX76" s="459">
        <f t="shared" si="171"/>
        <v>0</v>
      </c>
      <c r="BY76" s="459">
        <f t="shared" si="172"/>
        <v>0</v>
      </c>
      <c r="BZ76" s="459">
        <f t="shared" si="173"/>
        <v>0</v>
      </c>
      <c r="CA76" s="459">
        <f t="shared" si="174"/>
        <v>0</v>
      </c>
      <c r="CB76" s="460">
        <f t="shared" si="103"/>
        <v>0</v>
      </c>
      <c r="CC76" s="463"/>
      <c r="CD76" s="462">
        <f t="shared" si="175"/>
        <v>0</v>
      </c>
      <c r="CE76" s="462">
        <f t="shared" si="176"/>
        <v>0</v>
      </c>
      <c r="CF76" s="462">
        <f t="shared" si="177"/>
        <v>0</v>
      </c>
      <c r="CG76" s="462">
        <f t="shared" si="178"/>
        <v>0</v>
      </c>
      <c r="CH76" s="462">
        <f t="shared" si="179"/>
        <v>0</v>
      </c>
      <c r="CI76" s="462">
        <f t="shared" si="180"/>
        <v>0</v>
      </c>
      <c r="CJ76" s="462">
        <f t="shared" si="181"/>
        <v>0</v>
      </c>
      <c r="CK76" s="462">
        <f t="shared" si="182"/>
        <v>0</v>
      </c>
      <c r="CL76" s="462">
        <f t="shared" si="183"/>
        <v>0</v>
      </c>
      <c r="CM76" s="462">
        <f t="shared" si="184"/>
        <v>0</v>
      </c>
      <c r="CN76" s="460">
        <f t="shared" si="104"/>
        <v>0</v>
      </c>
      <c r="CO76" s="463"/>
      <c r="CP76" s="459">
        <f t="shared" si="185"/>
        <v>0</v>
      </c>
      <c r="CQ76" s="459">
        <f t="shared" si="186"/>
        <v>0</v>
      </c>
      <c r="CR76" s="459">
        <f t="shared" si="187"/>
        <v>0</v>
      </c>
      <c r="CS76" s="459">
        <f t="shared" si="188"/>
        <v>0</v>
      </c>
      <c r="CT76" s="459">
        <f t="shared" si="189"/>
        <v>0</v>
      </c>
      <c r="CU76" s="459">
        <f t="shared" si="190"/>
        <v>0</v>
      </c>
      <c r="CV76" s="459">
        <f t="shared" si="191"/>
        <v>0</v>
      </c>
      <c r="CW76" s="459">
        <f t="shared" si="192"/>
        <v>0</v>
      </c>
      <c r="CX76" s="459">
        <f t="shared" si="193"/>
        <v>0</v>
      </c>
      <c r="CY76" s="459">
        <f t="shared" si="194"/>
        <v>0</v>
      </c>
      <c r="CZ76" s="460">
        <f t="shared" si="105"/>
        <v>0</v>
      </c>
      <c r="DA76" s="463"/>
      <c r="DB76" s="459">
        <f t="shared" si="195"/>
        <v>0</v>
      </c>
      <c r="DC76" s="459">
        <f t="shared" si="196"/>
        <v>0</v>
      </c>
      <c r="DD76" s="459">
        <f t="shared" si="197"/>
        <v>0</v>
      </c>
      <c r="DE76" s="459">
        <f t="shared" si="198"/>
        <v>0</v>
      </c>
      <c r="DF76" s="459">
        <f t="shared" si="199"/>
        <v>0</v>
      </c>
      <c r="DG76" s="459">
        <f t="shared" si="200"/>
        <v>0</v>
      </c>
      <c r="DH76" s="459">
        <f t="shared" si="201"/>
        <v>0</v>
      </c>
      <c r="DI76" s="459">
        <f t="shared" si="202"/>
        <v>0</v>
      </c>
      <c r="DJ76" s="459">
        <f t="shared" si="203"/>
        <v>0</v>
      </c>
      <c r="DK76" s="459">
        <f t="shared" si="204"/>
        <v>0</v>
      </c>
      <c r="DL76" s="460">
        <f t="shared" si="106"/>
        <v>0</v>
      </c>
      <c r="DM76" s="463"/>
      <c r="DN76" s="442">
        <f>IF('2. START'!$C$14&gt;0,(AT76/(1+$AA76))*(1+'2. START'!$C$14),AT76)</f>
        <v>0</v>
      </c>
      <c r="DO76" s="442">
        <f>IF('2. START'!$C$14&gt;0,(AU76/(1+$AA76))*(1+'2. START'!$C$14),AU76)</f>
        <v>0</v>
      </c>
      <c r="DP76" s="442">
        <f>IF('2. START'!$C$14&gt;0,(AV76/(1+$AA76))*(1+'2. START'!$C$14),AV76)</f>
        <v>0</v>
      </c>
      <c r="DQ76" s="442">
        <f>IF('2. START'!$C$14&gt;0,(AW76/(1+$AA76))*(1+'2. START'!$C$14),AW76)</f>
        <v>0</v>
      </c>
      <c r="DR76" s="442">
        <f>IF('2. START'!$C$14&gt;0,(AX76/(1+$AA76))*(1+'2. START'!$C$14),AX76)</f>
        <v>0</v>
      </c>
      <c r="DS76" s="442">
        <f>IF('2. START'!$C$14&gt;0,(AY76/(1+$AA76))*(1+'2. START'!$C$14),AY76)</f>
        <v>0</v>
      </c>
      <c r="DT76" s="442">
        <f>IF('2. START'!$C$14&gt;0,(AZ76/(1+$AA76))*(1+'2. START'!$C$14),AZ76)</f>
        <v>0</v>
      </c>
      <c r="DU76" s="442">
        <f>IF('2. START'!$C$14&gt;0,(BA76/(1+$AA76))*(1+'2. START'!$C$14),BA76)</f>
        <v>0</v>
      </c>
      <c r="DV76" s="442">
        <f>IF('2. START'!$C$14&gt;0,(BB76/(1+$AA76))*(1+'2. START'!$C$14),BB76)</f>
        <v>0</v>
      </c>
      <c r="DW76" s="442">
        <f>IF('2. START'!$C$14&gt;0,(BC76/(1+$AA76))*(1+'2. START'!$C$14),BC76)</f>
        <v>0</v>
      </c>
      <c r="DX76" s="460">
        <f t="shared" si="107"/>
        <v>0</v>
      </c>
      <c r="DY76" s="463"/>
      <c r="DZ76" s="459">
        <f>IF('2. START'!$C$11="NO",(IF('2. START'!$C$14&gt;0,(DN76*$AD76),(AT76*$AD76))),(BR76+CP76))</f>
        <v>0</v>
      </c>
      <c r="EA76" s="459">
        <f>IF('2. START'!$C$11="NO",(IF('2. START'!$C$14&gt;0,(DO76*$AD76),(AU76*$AD76))),(BS76+CQ76))</f>
        <v>0</v>
      </c>
      <c r="EB76" s="459">
        <f>IF('2. START'!$C$11="NO",(IF('2. START'!$C$14&gt;0,(DP76*$AD76),(AV76*$AD76))),(BT76+CR76))</f>
        <v>0</v>
      </c>
      <c r="EC76" s="459">
        <f>IF('2. START'!$C$11="NO",(IF('2. START'!$C$14&gt;0,(DQ76*$AD76),(AW76*$AD76))),(BU76+CS76))</f>
        <v>0</v>
      </c>
      <c r="ED76" s="459">
        <f>IF('2. START'!$C$11="NO",(IF('2. START'!$C$14&gt;0,(DR76*$AD76),(AX76*$AD76))),(BV76+CT76))</f>
        <v>0</v>
      </c>
      <c r="EE76" s="459">
        <f>IF('2. START'!$C$11="NO",(IF('2. START'!$C$14&gt;0,(DS76*$AD76),(AY76*$AD76))),(BW76+CU76))</f>
        <v>0</v>
      </c>
      <c r="EF76" s="459">
        <f>IF('2. START'!$C$11="NO",(IF('2. START'!$C$14&gt;0,(DT76*$AD76),(AZ76*$AD76))),(BX76+CV76))</f>
        <v>0</v>
      </c>
      <c r="EG76" s="459">
        <f>IF('2. START'!$C$11="NO",(IF('2. START'!$C$14&gt;0,(DU76*$AD76),(BA76*$AD76))),(BY76+CW76))</f>
        <v>0</v>
      </c>
      <c r="EH76" s="459">
        <f>IF('2. START'!$C$11="NO",(IF('2. START'!$C$14&gt;0,(DV76*$AD76),(BB76*$AD76))),(BZ76+CX76))</f>
        <v>0</v>
      </c>
      <c r="EI76" s="459">
        <f>IF('2. START'!$C$11="NO",(IF('2. START'!$C$14&gt;0,(DW76*$AD76),(BC76*$AD76))),(CA76+CY76))</f>
        <v>0</v>
      </c>
      <c r="EJ76" s="460">
        <f t="shared" si="108"/>
        <v>0</v>
      </c>
      <c r="EK76" s="463"/>
      <c r="EL76" s="459">
        <f>(BR76+CP76-DZ76)+IF('2. START'!$C$14&gt;0,AT76-DN76,0)</f>
        <v>0</v>
      </c>
      <c r="EM76" s="459">
        <f>(BS76+CQ76-EA76)+IF('2. START'!$C$14&gt;0,AU76-DO76,0)</f>
        <v>0</v>
      </c>
      <c r="EN76" s="459">
        <f>(BT76+CR76-EB76)+IF('2. START'!$C$14&gt;0,AV76-DP76,0)</f>
        <v>0</v>
      </c>
      <c r="EO76" s="459">
        <f>(BU76+CS76-EC76)+IF('2. START'!$C$14&gt;0,AW76-DQ76,0)</f>
        <v>0</v>
      </c>
      <c r="EP76" s="459">
        <f>(BV76+CT76-ED76)+IF('2. START'!$C$14&gt;0,AX76-DR76,0)</f>
        <v>0</v>
      </c>
      <c r="EQ76" s="459">
        <f>(BW76+CU76-EE76)+IF('2. START'!$C$14&gt;0,AY76-DS76,0)</f>
        <v>0</v>
      </c>
      <c r="ER76" s="459">
        <f>(BX76+CV76-EF76)+IF('2. START'!$C$14&gt;0,AZ76-DT76,0)</f>
        <v>0</v>
      </c>
      <c r="ES76" s="459">
        <f>(BY76+CW76-EG76)+IF('2. START'!$C$14&gt;0,BA76-DU76,0)</f>
        <v>0</v>
      </c>
      <c r="ET76" s="459">
        <f>(BZ76+CX76-EH76)+IF('2. START'!$C$14&gt;0,BB76-DV76,0)</f>
        <v>0</v>
      </c>
      <c r="EU76" s="459">
        <f>(CA76+CY76-EI76)+IF('2. START'!$C$14&gt;0,BC76-DW76,0)</f>
        <v>0</v>
      </c>
      <c r="EV76" s="460">
        <f t="shared" si="109"/>
        <v>0</v>
      </c>
      <c r="EW76" s="463"/>
      <c r="EX76" s="459">
        <f t="shared" si="110"/>
        <v>0</v>
      </c>
      <c r="EY76" s="459">
        <f t="shared" si="111"/>
        <v>0</v>
      </c>
      <c r="EZ76" s="459">
        <f t="shared" si="112"/>
        <v>0</v>
      </c>
      <c r="FA76" s="459">
        <f t="shared" si="113"/>
        <v>0</v>
      </c>
      <c r="FB76" s="459">
        <f t="shared" si="114"/>
        <v>0</v>
      </c>
      <c r="FC76" s="459">
        <f t="shared" si="115"/>
        <v>0</v>
      </c>
      <c r="FD76" s="459">
        <f t="shared" si="116"/>
        <v>0</v>
      </c>
      <c r="FE76" s="459">
        <f t="shared" si="117"/>
        <v>0</v>
      </c>
      <c r="FF76" s="459">
        <f t="shared" si="118"/>
        <v>0</v>
      </c>
      <c r="FG76" s="459">
        <f t="shared" si="119"/>
        <v>0</v>
      </c>
      <c r="FH76" s="460">
        <f t="shared" si="120"/>
        <v>0</v>
      </c>
      <c r="FI76" s="463"/>
      <c r="FJ76" s="459">
        <f t="shared" si="121"/>
        <v>0</v>
      </c>
      <c r="FK76" s="459">
        <f t="shared" si="122"/>
        <v>0</v>
      </c>
      <c r="FL76" s="459">
        <f t="shared" si="123"/>
        <v>0</v>
      </c>
      <c r="FM76" s="459">
        <f t="shared" si="124"/>
        <v>0</v>
      </c>
      <c r="FN76" s="459">
        <f t="shared" si="125"/>
        <v>0</v>
      </c>
      <c r="FO76" s="459">
        <f t="shared" si="126"/>
        <v>0</v>
      </c>
      <c r="FP76" s="459">
        <f t="shared" si="127"/>
        <v>0</v>
      </c>
      <c r="FQ76" s="459">
        <f t="shared" si="128"/>
        <v>0</v>
      </c>
      <c r="FR76" s="459">
        <f t="shared" si="129"/>
        <v>0</v>
      </c>
      <c r="FS76" s="459">
        <f t="shared" si="130"/>
        <v>0</v>
      </c>
      <c r="FT76" s="460">
        <f t="shared" si="131"/>
        <v>0</v>
      </c>
    </row>
    <row r="77" spans="2:176" s="270" customFormat="1" ht="15" customHeight="1" x14ac:dyDescent="0.25">
      <c r="B77" s="464" t="str">
        <f>'2. START'!C$7</f>
        <v>100GEM</v>
      </c>
      <c r="C77" s="470"/>
      <c r="D77" s="590"/>
      <c r="E77" s="514">
        <v>0</v>
      </c>
      <c r="F77" s="467"/>
      <c r="G77" s="432"/>
      <c r="H77" s="432"/>
      <c r="I77" s="432"/>
      <c r="J77" s="432"/>
      <c r="K77" s="432"/>
      <c r="L77" s="432"/>
      <c r="M77" s="432"/>
      <c r="N77" s="432"/>
      <c r="O77" s="432"/>
      <c r="P77" s="432"/>
      <c r="Q77" s="545">
        <f>SUMIF('3. PARTNER'!$B$13:$B$80,$B77,'3. PARTNER'!$F$13:$F$80)</f>
        <v>0.02</v>
      </c>
      <c r="R77" s="466">
        <f t="shared" ref="R77:Z86" si="207">$Q77</f>
        <v>0.02</v>
      </c>
      <c r="S77" s="466">
        <f t="shared" si="207"/>
        <v>0.02</v>
      </c>
      <c r="T77" s="466">
        <f t="shared" si="207"/>
        <v>0.02</v>
      </c>
      <c r="U77" s="466">
        <f t="shared" si="207"/>
        <v>0.02</v>
      </c>
      <c r="V77" s="466">
        <f t="shared" si="207"/>
        <v>0.02</v>
      </c>
      <c r="W77" s="466">
        <f t="shared" si="207"/>
        <v>0.02</v>
      </c>
      <c r="X77" s="466">
        <f t="shared" si="207"/>
        <v>0.02</v>
      </c>
      <c r="Y77" s="466">
        <f t="shared" si="207"/>
        <v>0.02</v>
      </c>
      <c r="Z77" s="466">
        <f t="shared" si="207"/>
        <v>0.02</v>
      </c>
      <c r="AA77" s="434">
        <f>SUMIF('3. PARTNER'!B$13:B$80,B77,'3. PARTNER'!E$13:E$80)</f>
        <v>0.5595</v>
      </c>
      <c r="AB77" s="435">
        <f>IF('2. START'!$C$20="UTB",(SUMIF('3. PARTNER'!B$13:B$80,B77,'3. PARTNER'!K$13:K$80))+(SUMIF('3. PARTNER'!B$13:B$80,B77,'3. PARTNER'!M$13:M$80)),(SUMIF('3. PARTNER'!B$13:B$80,B77,'3. PARTNER'!G$13:G$80))+(SUMIF('3. PARTNER'!B$13:B$80,B77,'3. PARTNER'!I$13:I$80)))</f>
        <v>0.16000843770704321</v>
      </c>
      <c r="AC77" s="435">
        <f>IF('2. START'!$C$20="UTB",(SUMIF('3. PARTNER'!B$13:B$80,B77,'3. PARTNER'!L$13:L$80))+(SUMIF('3. PARTNER'!B$13:B$80,B77,'3. PARTNER'!N$13:N$80)),(SUMIF('3. PARTNER'!B$13:B$80,B77,'3. PARTNER'!H$13:H$80))+(SUMIF('3. PARTNER'!B$13:B$80,B77,'3. PARTNER'!J$13:J$80)))</f>
        <v>0</v>
      </c>
      <c r="AD77" s="435">
        <f>IF('2. START'!C$11="NO",'2. START'!C$12,0)</f>
        <v>0</v>
      </c>
      <c r="AE77" s="436">
        <f t="shared" si="98"/>
        <v>0</v>
      </c>
      <c r="AF77" s="436">
        <f t="shared" si="99"/>
        <v>0</v>
      </c>
      <c r="AG77" s="437"/>
      <c r="AH77" s="438">
        <f t="shared" si="135"/>
        <v>0</v>
      </c>
      <c r="AI77" s="438">
        <f t="shared" si="136"/>
        <v>0</v>
      </c>
      <c r="AJ77" s="438">
        <f t="shared" si="137"/>
        <v>0</v>
      </c>
      <c r="AK77" s="438">
        <f t="shared" si="138"/>
        <v>0</v>
      </c>
      <c r="AL77" s="438">
        <f t="shared" si="139"/>
        <v>0</v>
      </c>
      <c r="AM77" s="438">
        <f t="shared" si="140"/>
        <v>0</v>
      </c>
      <c r="AN77" s="438">
        <f t="shared" si="141"/>
        <v>0</v>
      </c>
      <c r="AO77" s="438">
        <f t="shared" si="142"/>
        <v>0</v>
      </c>
      <c r="AP77" s="438">
        <f t="shared" si="143"/>
        <v>0</v>
      </c>
      <c r="AQ77" s="438">
        <f t="shared" si="144"/>
        <v>0</v>
      </c>
      <c r="AR77" s="439">
        <f t="shared" si="100"/>
        <v>0</v>
      </c>
      <c r="AS77" s="440"/>
      <c r="AT77" s="438">
        <f t="shared" si="145"/>
        <v>0</v>
      </c>
      <c r="AU77" s="438">
        <f t="shared" si="146"/>
        <v>0</v>
      </c>
      <c r="AV77" s="438">
        <f t="shared" si="147"/>
        <v>0</v>
      </c>
      <c r="AW77" s="438">
        <f t="shared" si="148"/>
        <v>0</v>
      </c>
      <c r="AX77" s="438">
        <f t="shared" si="149"/>
        <v>0</v>
      </c>
      <c r="AY77" s="438">
        <f t="shared" si="150"/>
        <v>0</v>
      </c>
      <c r="AZ77" s="438">
        <f t="shared" si="151"/>
        <v>0</v>
      </c>
      <c r="BA77" s="438">
        <f t="shared" si="152"/>
        <v>0</v>
      </c>
      <c r="BB77" s="438">
        <f t="shared" si="153"/>
        <v>0</v>
      </c>
      <c r="BC77" s="438">
        <f t="shared" si="154"/>
        <v>0</v>
      </c>
      <c r="BD77" s="439">
        <f t="shared" si="101"/>
        <v>0</v>
      </c>
      <c r="BE77" s="440"/>
      <c r="BF77" s="438">
        <f t="shared" si="155"/>
        <v>0</v>
      </c>
      <c r="BG77" s="438">
        <f t="shared" si="156"/>
        <v>0</v>
      </c>
      <c r="BH77" s="438">
        <f t="shared" si="157"/>
        <v>0</v>
      </c>
      <c r="BI77" s="438">
        <f t="shared" si="158"/>
        <v>0</v>
      </c>
      <c r="BJ77" s="438">
        <f t="shared" si="159"/>
        <v>0</v>
      </c>
      <c r="BK77" s="438">
        <f t="shared" si="160"/>
        <v>0</v>
      </c>
      <c r="BL77" s="438">
        <f t="shared" si="161"/>
        <v>0</v>
      </c>
      <c r="BM77" s="438">
        <f t="shared" si="162"/>
        <v>0</v>
      </c>
      <c r="BN77" s="438">
        <f t="shared" si="163"/>
        <v>0</v>
      </c>
      <c r="BO77" s="438">
        <f t="shared" si="164"/>
        <v>0</v>
      </c>
      <c r="BP77" s="439">
        <f t="shared" si="102"/>
        <v>0</v>
      </c>
      <c r="BR77" s="442">
        <f t="shared" si="165"/>
        <v>0</v>
      </c>
      <c r="BS77" s="442">
        <f t="shared" si="166"/>
        <v>0</v>
      </c>
      <c r="BT77" s="442">
        <f t="shared" si="167"/>
        <v>0</v>
      </c>
      <c r="BU77" s="442">
        <f t="shared" si="168"/>
        <v>0</v>
      </c>
      <c r="BV77" s="442">
        <f t="shared" si="169"/>
        <v>0</v>
      </c>
      <c r="BW77" s="442">
        <f t="shared" si="170"/>
        <v>0</v>
      </c>
      <c r="BX77" s="442">
        <f t="shared" si="171"/>
        <v>0</v>
      </c>
      <c r="BY77" s="442">
        <f t="shared" si="172"/>
        <v>0</v>
      </c>
      <c r="BZ77" s="442">
        <f t="shared" si="173"/>
        <v>0</v>
      </c>
      <c r="CA77" s="442">
        <f t="shared" si="174"/>
        <v>0</v>
      </c>
      <c r="CB77" s="443">
        <f t="shared" si="103"/>
        <v>0</v>
      </c>
      <c r="CD77" s="445">
        <f t="shared" si="175"/>
        <v>0</v>
      </c>
      <c r="CE77" s="445">
        <f t="shared" si="176"/>
        <v>0</v>
      </c>
      <c r="CF77" s="445">
        <f t="shared" si="177"/>
        <v>0</v>
      </c>
      <c r="CG77" s="445">
        <f t="shared" si="178"/>
        <v>0</v>
      </c>
      <c r="CH77" s="445">
        <f t="shared" si="179"/>
        <v>0</v>
      </c>
      <c r="CI77" s="445">
        <f t="shared" si="180"/>
        <v>0</v>
      </c>
      <c r="CJ77" s="445">
        <f t="shared" si="181"/>
        <v>0</v>
      </c>
      <c r="CK77" s="445">
        <f t="shared" si="182"/>
        <v>0</v>
      </c>
      <c r="CL77" s="445">
        <f t="shared" si="183"/>
        <v>0</v>
      </c>
      <c r="CM77" s="445">
        <f t="shared" si="184"/>
        <v>0</v>
      </c>
      <c r="CN77" s="443">
        <f t="shared" si="104"/>
        <v>0</v>
      </c>
      <c r="CP77" s="442">
        <f t="shared" si="185"/>
        <v>0</v>
      </c>
      <c r="CQ77" s="442">
        <f t="shared" si="186"/>
        <v>0</v>
      </c>
      <c r="CR77" s="442">
        <f t="shared" si="187"/>
        <v>0</v>
      </c>
      <c r="CS77" s="442">
        <f t="shared" si="188"/>
        <v>0</v>
      </c>
      <c r="CT77" s="442">
        <f t="shared" si="189"/>
        <v>0</v>
      </c>
      <c r="CU77" s="442">
        <f t="shared" si="190"/>
        <v>0</v>
      </c>
      <c r="CV77" s="442">
        <f t="shared" si="191"/>
        <v>0</v>
      </c>
      <c r="CW77" s="442">
        <f t="shared" si="192"/>
        <v>0</v>
      </c>
      <c r="CX77" s="442">
        <f t="shared" si="193"/>
        <v>0</v>
      </c>
      <c r="CY77" s="442">
        <f t="shared" si="194"/>
        <v>0</v>
      </c>
      <c r="CZ77" s="443">
        <f t="shared" si="105"/>
        <v>0</v>
      </c>
      <c r="DB77" s="442">
        <f t="shared" si="195"/>
        <v>0</v>
      </c>
      <c r="DC77" s="442">
        <f t="shared" si="196"/>
        <v>0</v>
      </c>
      <c r="DD77" s="442">
        <f t="shared" si="197"/>
        <v>0</v>
      </c>
      <c r="DE77" s="442">
        <f t="shared" si="198"/>
        <v>0</v>
      </c>
      <c r="DF77" s="442">
        <f t="shared" si="199"/>
        <v>0</v>
      </c>
      <c r="DG77" s="442">
        <f t="shared" si="200"/>
        <v>0</v>
      </c>
      <c r="DH77" s="442">
        <f t="shared" si="201"/>
        <v>0</v>
      </c>
      <c r="DI77" s="442">
        <f t="shared" si="202"/>
        <v>0</v>
      </c>
      <c r="DJ77" s="442">
        <f t="shared" si="203"/>
        <v>0</v>
      </c>
      <c r="DK77" s="442">
        <f t="shared" si="204"/>
        <v>0</v>
      </c>
      <c r="DL77" s="443">
        <f t="shared" si="106"/>
        <v>0</v>
      </c>
      <c r="DN77" s="442">
        <f>IF('2. START'!$C$14&gt;0,(AT77/(1+$AA77))*(1+'2. START'!$C$14),AT77)</f>
        <v>0</v>
      </c>
      <c r="DO77" s="442">
        <f>IF('2. START'!$C$14&gt;0,(AU77/(1+$AA77))*(1+'2. START'!$C$14),AU77)</f>
        <v>0</v>
      </c>
      <c r="DP77" s="442">
        <f>IF('2. START'!$C$14&gt;0,(AV77/(1+$AA77))*(1+'2. START'!$C$14),AV77)</f>
        <v>0</v>
      </c>
      <c r="DQ77" s="442">
        <f>IF('2. START'!$C$14&gt;0,(AW77/(1+$AA77))*(1+'2. START'!$C$14),AW77)</f>
        <v>0</v>
      </c>
      <c r="DR77" s="442">
        <f>IF('2. START'!$C$14&gt;0,(AX77/(1+$AA77))*(1+'2. START'!$C$14),AX77)</f>
        <v>0</v>
      </c>
      <c r="DS77" s="442">
        <f>IF('2. START'!$C$14&gt;0,(AY77/(1+$AA77))*(1+'2. START'!$C$14),AY77)</f>
        <v>0</v>
      </c>
      <c r="DT77" s="442">
        <f>IF('2. START'!$C$14&gt;0,(AZ77/(1+$AA77))*(1+'2. START'!$C$14),AZ77)</f>
        <v>0</v>
      </c>
      <c r="DU77" s="442">
        <f>IF('2. START'!$C$14&gt;0,(BA77/(1+$AA77))*(1+'2. START'!$C$14),BA77)</f>
        <v>0</v>
      </c>
      <c r="DV77" s="442">
        <f>IF('2. START'!$C$14&gt;0,(BB77/(1+$AA77))*(1+'2. START'!$C$14),BB77)</f>
        <v>0</v>
      </c>
      <c r="DW77" s="442">
        <f>IF('2. START'!$C$14&gt;0,(BC77/(1+$AA77))*(1+'2. START'!$C$14),BC77)</f>
        <v>0</v>
      </c>
      <c r="DX77" s="443">
        <f t="shared" si="107"/>
        <v>0</v>
      </c>
      <c r="DZ77" s="442">
        <f>IF('2. START'!$C$11="NO",(IF('2. START'!$C$14&gt;0,(DN77*$AD77),(AT77*$AD77))),(BR77+CP77))</f>
        <v>0</v>
      </c>
      <c r="EA77" s="442">
        <f>IF('2. START'!$C$11="NO",(IF('2. START'!$C$14&gt;0,(DO77*$AD77),(AU77*$AD77))),(BS77+CQ77))</f>
        <v>0</v>
      </c>
      <c r="EB77" s="442">
        <f>IF('2. START'!$C$11="NO",(IF('2. START'!$C$14&gt;0,(DP77*$AD77),(AV77*$AD77))),(BT77+CR77))</f>
        <v>0</v>
      </c>
      <c r="EC77" s="442">
        <f>IF('2. START'!$C$11="NO",(IF('2. START'!$C$14&gt;0,(DQ77*$AD77),(AW77*$AD77))),(BU77+CS77))</f>
        <v>0</v>
      </c>
      <c r="ED77" s="442">
        <f>IF('2. START'!$C$11="NO",(IF('2. START'!$C$14&gt;0,(DR77*$AD77),(AX77*$AD77))),(BV77+CT77))</f>
        <v>0</v>
      </c>
      <c r="EE77" s="442">
        <f>IF('2. START'!$C$11="NO",(IF('2. START'!$C$14&gt;0,(DS77*$AD77),(AY77*$AD77))),(BW77+CU77))</f>
        <v>0</v>
      </c>
      <c r="EF77" s="442">
        <f>IF('2. START'!$C$11="NO",(IF('2. START'!$C$14&gt;0,(DT77*$AD77),(AZ77*$AD77))),(BX77+CV77))</f>
        <v>0</v>
      </c>
      <c r="EG77" s="442">
        <f>IF('2. START'!$C$11="NO",(IF('2. START'!$C$14&gt;0,(DU77*$AD77),(BA77*$AD77))),(BY77+CW77))</f>
        <v>0</v>
      </c>
      <c r="EH77" s="442">
        <f>IF('2. START'!$C$11="NO",(IF('2. START'!$C$14&gt;0,(DV77*$AD77),(BB77*$AD77))),(BZ77+CX77))</f>
        <v>0</v>
      </c>
      <c r="EI77" s="442">
        <f>IF('2. START'!$C$11="NO",(IF('2. START'!$C$14&gt;0,(DW77*$AD77),(BC77*$AD77))),(CA77+CY77))</f>
        <v>0</v>
      </c>
      <c r="EJ77" s="443">
        <f t="shared" si="108"/>
        <v>0</v>
      </c>
      <c r="EL77" s="442">
        <f>(BR77+CP77-DZ77)+IF('2. START'!$C$14&gt;0,AT77-DN77,0)</f>
        <v>0</v>
      </c>
      <c r="EM77" s="442">
        <f>(BS77+CQ77-EA77)+IF('2. START'!$C$14&gt;0,AU77-DO77,0)</f>
        <v>0</v>
      </c>
      <c r="EN77" s="442">
        <f>(BT77+CR77-EB77)+IF('2. START'!$C$14&gt;0,AV77-DP77,0)</f>
        <v>0</v>
      </c>
      <c r="EO77" s="442">
        <f>(BU77+CS77-EC77)+IF('2. START'!$C$14&gt;0,AW77-DQ77,0)</f>
        <v>0</v>
      </c>
      <c r="EP77" s="442">
        <f>(BV77+CT77-ED77)+IF('2. START'!$C$14&gt;0,AX77-DR77,0)</f>
        <v>0</v>
      </c>
      <c r="EQ77" s="442">
        <f>(BW77+CU77-EE77)+IF('2. START'!$C$14&gt;0,AY77-DS77,0)</f>
        <v>0</v>
      </c>
      <c r="ER77" s="442">
        <f>(BX77+CV77-EF77)+IF('2. START'!$C$14&gt;0,AZ77-DT77,0)</f>
        <v>0</v>
      </c>
      <c r="ES77" s="442">
        <f>(BY77+CW77-EG77)+IF('2. START'!$C$14&gt;0,BA77-DU77,0)</f>
        <v>0</v>
      </c>
      <c r="ET77" s="442">
        <f>(BZ77+CX77-EH77)+IF('2. START'!$C$14&gt;0,BB77-DV77,0)</f>
        <v>0</v>
      </c>
      <c r="EU77" s="442">
        <f>(CA77+CY77-EI77)+IF('2. START'!$C$14&gt;0,BC77-DW77,0)</f>
        <v>0</v>
      </c>
      <c r="EV77" s="443">
        <f t="shared" si="109"/>
        <v>0</v>
      </c>
      <c r="EX77" s="442">
        <f t="shared" si="110"/>
        <v>0</v>
      </c>
      <c r="EY77" s="442">
        <f t="shared" si="111"/>
        <v>0</v>
      </c>
      <c r="EZ77" s="442">
        <f t="shared" si="112"/>
        <v>0</v>
      </c>
      <c r="FA77" s="442">
        <f t="shared" si="113"/>
        <v>0</v>
      </c>
      <c r="FB77" s="442">
        <f t="shared" si="114"/>
        <v>0</v>
      </c>
      <c r="FC77" s="442">
        <f t="shared" si="115"/>
        <v>0</v>
      </c>
      <c r="FD77" s="442">
        <f t="shared" si="116"/>
        <v>0</v>
      </c>
      <c r="FE77" s="442">
        <f t="shared" si="117"/>
        <v>0</v>
      </c>
      <c r="FF77" s="442">
        <f t="shared" si="118"/>
        <v>0</v>
      </c>
      <c r="FG77" s="442">
        <f t="shared" si="119"/>
        <v>0</v>
      </c>
      <c r="FH77" s="443">
        <f t="shared" si="120"/>
        <v>0</v>
      </c>
      <c r="FJ77" s="442">
        <f t="shared" si="121"/>
        <v>0</v>
      </c>
      <c r="FK77" s="442">
        <f t="shared" si="122"/>
        <v>0</v>
      </c>
      <c r="FL77" s="442">
        <f t="shared" si="123"/>
        <v>0</v>
      </c>
      <c r="FM77" s="442">
        <f t="shared" si="124"/>
        <v>0</v>
      </c>
      <c r="FN77" s="442">
        <f t="shared" si="125"/>
        <v>0</v>
      </c>
      <c r="FO77" s="442">
        <f t="shared" si="126"/>
        <v>0</v>
      </c>
      <c r="FP77" s="442">
        <f t="shared" si="127"/>
        <v>0</v>
      </c>
      <c r="FQ77" s="442">
        <f t="shared" si="128"/>
        <v>0</v>
      </c>
      <c r="FR77" s="442">
        <f t="shared" si="129"/>
        <v>0</v>
      </c>
      <c r="FS77" s="442">
        <f t="shared" si="130"/>
        <v>0</v>
      </c>
      <c r="FT77" s="443">
        <f t="shared" si="131"/>
        <v>0</v>
      </c>
    </row>
    <row r="78" spans="2:176" s="270" customFormat="1" ht="15" customHeight="1" x14ac:dyDescent="0.25">
      <c r="B78" s="446" t="str">
        <f>'2. START'!C$7</f>
        <v>100GEM</v>
      </c>
      <c r="C78" s="469"/>
      <c r="D78" s="589"/>
      <c r="E78" s="544">
        <v>0</v>
      </c>
      <c r="F78" s="448"/>
      <c r="G78" s="449"/>
      <c r="H78" s="449"/>
      <c r="I78" s="449"/>
      <c r="J78" s="449"/>
      <c r="K78" s="449"/>
      <c r="L78" s="449"/>
      <c r="M78" s="449"/>
      <c r="N78" s="449"/>
      <c r="O78" s="449"/>
      <c r="P78" s="449"/>
      <c r="Q78" s="546">
        <f>SUMIF('3. PARTNER'!$B$13:$B$80,$B78,'3. PARTNER'!$F$13:$F$80)</f>
        <v>0.02</v>
      </c>
      <c r="R78" s="450">
        <f t="shared" si="207"/>
        <v>0.02</v>
      </c>
      <c r="S78" s="450">
        <f t="shared" si="207"/>
        <v>0.02</v>
      </c>
      <c r="T78" s="450">
        <f t="shared" si="207"/>
        <v>0.02</v>
      </c>
      <c r="U78" s="450">
        <f t="shared" si="207"/>
        <v>0.02</v>
      </c>
      <c r="V78" s="450">
        <f t="shared" si="207"/>
        <v>0.02</v>
      </c>
      <c r="W78" s="450">
        <f t="shared" si="207"/>
        <v>0.02</v>
      </c>
      <c r="X78" s="450">
        <f t="shared" si="207"/>
        <v>0.02</v>
      </c>
      <c r="Y78" s="450">
        <f t="shared" si="207"/>
        <v>0.02</v>
      </c>
      <c r="Z78" s="450">
        <f t="shared" si="207"/>
        <v>0.02</v>
      </c>
      <c r="AA78" s="451">
        <f>SUMIF('3. PARTNER'!B$13:B$80,B78,'3. PARTNER'!E$13:E$80)</f>
        <v>0.5595</v>
      </c>
      <c r="AB78" s="452">
        <f>IF('2. START'!$C$20="UTB",(SUMIF('3. PARTNER'!B$13:B$80,B78,'3. PARTNER'!K$13:K$80))+(SUMIF('3. PARTNER'!B$13:B$80,B78,'3. PARTNER'!M$13:M$80)),(SUMIF('3. PARTNER'!B$13:B$80,B78,'3. PARTNER'!G$13:G$80))+(SUMIF('3. PARTNER'!B$13:B$80,B78,'3. PARTNER'!I$13:I$80)))</f>
        <v>0.16000843770704321</v>
      </c>
      <c r="AC78" s="452">
        <f>IF('2. START'!$C$20="UTB",(SUMIF('3. PARTNER'!B$13:B$80,B78,'3. PARTNER'!L$13:L$80))+(SUMIF('3. PARTNER'!B$13:B$80,B78,'3. PARTNER'!N$13:N$80)),(SUMIF('3. PARTNER'!B$13:B$80,B78,'3. PARTNER'!H$13:H$80))+(SUMIF('3. PARTNER'!B$13:B$80,B78,'3. PARTNER'!J$13:J$80)))</f>
        <v>0</v>
      </c>
      <c r="AD78" s="452">
        <f>IF('2. START'!C$11="NO",'2. START'!C$12,0)</f>
        <v>0</v>
      </c>
      <c r="AE78" s="453">
        <f t="shared" si="98"/>
        <v>0</v>
      </c>
      <c r="AF78" s="453">
        <f t="shared" si="99"/>
        <v>0</v>
      </c>
      <c r="AG78" s="454"/>
      <c r="AH78" s="455">
        <f t="shared" si="135"/>
        <v>0</v>
      </c>
      <c r="AI78" s="455">
        <f t="shared" si="136"/>
        <v>0</v>
      </c>
      <c r="AJ78" s="455">
        <f t="shared" si="137"/>
        <v>0</v>
      </c>
      <c r="AK78" s="455">
        <f t="shared" si="138"/>
        <v>0</v>
      </c>
      <c r="AL78" s="455">
        <f t="shared" si="139"/>
        <v>0</v>
      </c>
      <c r="AM78" s="455">
        <f t="shared" si="140"/>
        <v>0</v>
      </c>
      <c r="AN78" s="455">
        <f t="shared" si="141"/>
        <v>0</v>
      </c>
      <c r="AO78" s="455">
        <f t="shared" si="142"/>
        <v>0</v>
      </c>
      <c r="AP78" s="455">
        <f t="shared" si="143"/>
        <v>0</v>
      </c>
      <c r="AQ78" s="455">
        <f t="shared" si="144"/>
        <v>0</v>
      </c>
      <c r="AR78" s="456">
        <f t="shared" si="100"/>
        <v>0</v>
      </c>
      <c r="AS78" s="457"/>
      <c r="AT78" s="455">
        <f t="shared" si="145"/>
        <v>0</v>
      </c>
      <c r="AU78" s="455">
        <f t="shared" si="146"/>
        <v>0</v>
      </c>
      <c r="AV78" s="455">
        <f t="shared" si="147"/>
        <v>0</v>
      </c>
      <c r="AW78" s="455">
        <f t="shared" si="148"/>
        <v>0</v>
      </c>
      <c r="AX78" s="455">
        <f t="shared" si="149"/>
        <v>0</v>
      </c>
      <c r="AY78" s="455">
        <f t="shared" si="150"/>
        <v>0</v>
      </c>
      <c r="AZ78" s="455">
        <f t="shared" si="151"/>
        <v>0</v>
      </c>
      <c r="BA78" s="455">
        <f t="shared" si="152"/>
        <v>0</v>
      </c>
      <c r="BB78" s="455">
        <f t="shared" si="153"/>
        <v>0</v>
      </c>
      <c r="BC78" s="455">
        <f t="shared" si="154"/>
        <v>0</v>
      </c>
      <c r="BD78" s="456">
        <f t="shared" si="101"/>
        <v>0</v>
      </c>
      <c r="BE78" s="457"/>
      <c r="BF78" s="455">
        <f t="shared" si="155"/>
        <v>0</v>
      </c>
      <c r="BG78" s="455">
        <f t="shared" si="156"/>
        <v>0</v>
      </c>
      <c r="BH78" s="455">
        <f t="shared" si="157"/>
        <v>0</v>
      </c>
      <c r="BI78" s="455">
        <f t="shared" si="158"/>
        <v>0</v>
      </c>
      <c r="BJ78" s="455">
        <f t="shared" si="159"/>
        <v>0</v>
      </c>
      <c r="BK78" s="455">
        <f t="shared" si="160"/>
        <v>0</v>
      </c>
      <c r="BL78" s="455">
        <f t="shared" si="161"/>
        <v>0</v>
      </c>
      <c r="BM78" s="455">
        <f t="shared" si="162"/>
        <v>0</v>
      </c>
      <c r="BN78" s="455">
        <f t="shared" si="163"/>
        <v>0</v>
      </c>
      <c r="BO78" s="455">
        <f t="shared" si="164"/>
        <v>0</v>
      </c>
      <c r="BP78" s="456">
        <f t="shared" si="102"/>
        <v>0</v>
      </c>
      <c r="BQ78" s="463"/>
      <c r="BR78" s="459">
        <f t="shared" si="165"/>
        <v>0</v>
      </c>
      <c r="BS78" s="459">
        <f t="shared" si="166"/>
        <v>0</v>
      </c>
      <c r="BT78" s="459">
        <f t="shared" si="167"/>
        <v>0</v>
      </c>
      <c r="BU78" s="459">
        <f t="shared" si="168"/>
        <v>0</v>
      </c>
      <c r="BV78" s="459">
        <f t="shared" si="169"/>
        <v>0</v>
      </c>
      <c r="BW78" s="459">
        <f t="shared" si="170"/>
        <v>0</v>
      </c>
      <c r="BX78" s="459">
        <f t="shared" si="171"/>
        <v>0</v>
      </c>
      <c r="BY78" s="459">
        <f t="shared" si="172"/>
        <v>0</v>
      </c>
      <c r="BZ78" s="459">
        <f t="shared" si="173"/>
        <v>0</v>
      </c>
      <c r="CA78" s="459">
        <f t="shared" si="174"/>
        <v>0</v>
      </c>
      <c r="CB78" s="460">
        <f t="shared" si="103"/>
        <v>0</v>
      </c>
      <c r="CC78" s="463"/>
      <c r="CD78" s="462">
        <f t="shared" si="175"/>
        <v>0</v>
      </c>
      <c r="CE78" s="462">
        <f t="shared" si="176"/>
        <v>0</v>
      </c>
      <c r="CF78" s="462">
        <f t="shared" si="177"/>
        <v>0</v>
      </c>
      <c r="CG78" s="462">
        <f t="shared" si="178"/>
        <v>0</v>
      </c>
      <c r="CH78" s="462">
        <f t="shared" si="179"/>
        <v>0</v>
      </c>
      <c r="CI78" s="462">
        <f t="shared" si="180"/>
        <v>0</v>
      </c>
      <c r="CJ78" s="462">
        <f t="shared" si="181"/>
        <v>0</v>
      </c>
      <c r="CK78" s="462">
        <f t="shared" si="182"/>
        <v>0</v>
      </c>
      <c r="CL78" s="462">
        <f t="shared" si="183"/>
        <v>0</v>
      </c>
      <c r="CM78" s="462">
        <f t="shared" si="184"/>
        <v>0</v>
      </c>
      <c r="CN78" s="460">
        <f t="shared" si="104"/>
        <v>0</v>
      </c>
      <c r="CO78" s="463"/>
      <c r="CP78" s="459">
        <f t="shared" si="185"/>
        <v>0</v>
      </c>
      <c r="CQ78" s="459">
        <f t="shared" si="186"/>
        <v>0</v>
      </c>
      <c r="CR78" s="459">
        <f t="shared" si="187"/>
        <v>0</v>
      </c>
      <c r="CS78" s="459">
        <f t="shared" si="188"/>
        <v>0</v>
      </c>
      <c r="CT78" s="459">
        <f t="shared" si="189"/>
        <v>0</v>
      </c>
      <c r="CU78" s="459">
        <f t="shared" si="190"/>
        <v>0</v>
      </c>
      <c r="CV78" s="459">
        <f t="shared" si="191"/>
        <v>0</v>
      </c>
      <c r="CW78" s="459">
        <f t="shared" si="192"/>
        <v>0</v>
      </c>
      <c r="CX78" s="459">
        <f t="shared" si="193"/>
        <v>0</v>
      </c>
      <c r="CY78" s="459">
        <f t="shared" si="194"/>
        <v>0</v>
      </c>
      <c r="CZ78" s="460">
        <f t="shared" si="105"/>
        <v>0</v>
      </c>
      <c r="DA78" s="463"/>
      <c r="DB78" s="459">
        <f t="shared" si="195"/>
        <v>0</v>
      </c>
      <c r="DC78" s="459">
        <f t="shared" si="196"/>
        <v>0</v>
      </c>
      <c r="DD78" s="459">
        <f t="shared" si="197"/>
        <v>0</v>
      </c>
      <c r="DE78" s="459">
        <f t="shared" si="198"/>
        <v>0</v>
      </c>
      <c r="DF78" s="459">
        <f t="shared" si="199"/>
        <v>0</v>
      </c>
      <c r="DG78" s="459">
        <f t="shared" si="200"/>
        <v>0</v>
      </c>
      <c r="DH78" s="459">
        <f t="shared" si="201"/>
        <v>0</v>
      </c>
      <c r="DI78" s="459">
        <f t="shared" si="202"/>
        <v>0</v>
      </c>
      <c r="DJ78" s="459">
        <f t="shared" si="203"/>
        <v>0</v>
      </c>
      <c r="DK78" s="459">
        <f t="shared" si="204"/>
        <v>0</v>
      </c>
      <c r="DL78" s="460">
        <f t="shared" si="106"/>
        <v>0</v>
      </c>
      <c r="DM78" s="463"/>
      <c r="DN78" s="442">
        <f>IF('2. START'!$C$14&gt;0,(AT78/(1+$AA78))*(1+'2. START'!$C$14),AT78)</f>
        <v>0</v>
      </c>
      <c r="DO78" s="442">
        <f>IF('2. START'!$C$14&gt;0,(AU78/(1+$AA78))*(1+'2. START'!$C$14),AU78)</f>
        <v>0</v>
      </c>
      <c r="DP78" s="442">
        <f>IF('2. START'!$C$14&gt;0,(AV78/(1+$AA78))*(1+'2. START'!$C$14),AV78)</f>
        <v>0</v>
      </c>
      <c r="DQ78" s="442">
        <f>IF('2. START'!$C$14&gt;0,(AW78/(1+$AA78))*(1+'2. START'!$C$14),AW78)</f>
        <v>0</v>
      </c>
      <c r="DR78" s="442">
        <f>IF('2. START'!$C$14&gt;0,(AX78/(1+$AA78))*(1+'2. START'!$C$14),AX78)</f>
        <v>0</v>
      </c>
      <c r="DS78" s="442">
        <f>IF('2. START'!$C$14&gt;0,(AY78/(1+$AA78))*(1+'2. START'!$C$14),AY78)</f>
        <v>0</v>
      </c>
      <c r="DT78" s="442">
        <f>IF('2. START'!$C$14&gt;0,(AZ78/(1+$AA78))*(1+'2. START'!$C$14),AZ78)</f>
        <v>0</v>
      </c>
      <c r="DU78" s="442">
        <f>IF('2. START'!$C$14&gt;0,(BA78/(1+$AA78))*(1+'2. START'!$C$14),BA78)</f>
        <v>0</v>
      </c>
      <c r="DV78" s="442">
        <f>IF('2. START'!$C$14&gt;0,(BB78/(1+$AA78))*(1+'2. START'!$C$14),BB78)</f>
        <v>0</v>
      </c>
      <c r="DW78" s="442">
        <f>IF('2. START'!$C$14&gt;0,(BC78/(1+$AA78))*(1+'2. START'!$C$14),BC78)</f>
        <v>0</v>
      </c>
      <c r="DX78" s="460">
        <f t="shared" si="107"/>
        <v>0</v>
      </c>
      <c r="DY78" s="463"/>
      <c r="DZ78" s="459">
        <f>IF('2. START'!$C$11="NO",(IF('2. START'!$C$14&gt;0,(DN78*$AD78),(AT78*$AD78))),(BR78+CP78))</f>
        <v>0</v>
      </c>
      <c r="EA78" s="459">
        <f>IF('2. START'!$C$11="NO",(IF('2. START'!$C$14&gt;0,(DO78*$AD78),(AU78*$AD78))),(BS78+CQ78))</f>
        <v>0</v>
      </c>
      <c r="EB78" s="459">
        <f>IF('2. START'!$C$11="NO",(IF('2. START'!$C$14&gt;0,(DP78*$AD78),(AV78*$AD78))),(BT78+CR78))</f>
        <v>0</v>
      </c>
      <c r="EC78" s="459">
        <f>IF('2. START'!$C$11="NO",(IF('2. START'!$C$14&gt;0,(DQ78*$AD78),(AW78*$AD78))),(BU78+CS78))</f>
        <v>0</v>
      </c>
      <c r="ED78" s="459">
        <f>IF('2. START'!$C$11="NO",(IF('2. START'!$C$14&gt;0,(DR78*$AD78),(AX78*$AD78))),(BV78+CT78))</f>
        <v>0</v>
      </c>
      <c r="EE78" s="459">
        <f>IF('2. START'!$C$11="NO",(IF('2. START'!$C$14&gt;0,(DS78*$AD78),(AY78*$AD78))),(BW78+CU78))</f>
        <v>0</v>
      </c>
      <c r="EF78" s="459">
        <f>IF('2. START'!$C$11="NO",(IF('2. START'!$C$14&gt;0,(DT78*$AD78),(AZ78*$AD78))),(BX78+CV78))</f>
        <v>0</v>
      </c>
      <c r="EG78" s="459">
        <f>IF('2. START'!$C$11="NO",(IF('2. START'!$C$14&gt;0,(DU78*$AD78),(BA78*$AD78))),(BY78+CW78))</f>
        <v>0</v>
      </c>
      <c r="EH78" s="459">
        <f>IF('2. START'!$C$11="NO",(IF('2. START'!$C$14&gt;0,(DV78*$AD78),(BB78*$AD78))),(BZ78+CX78))</f>
        <v>0</v>
      </c>
      <c r="EI78" s="459">
        <f>IF('2. START'!$C$11="NO",(IF('2. START'!$C$14&gt;0,(DW78*$AD78),(BC78*$AD78))),(CA78+CY78))</f>
        <v>0</v>
      </c>
      <c r="EJ78" s="460">
        <f t="shared" si="108"/>
        <v>0</v>
      </c>
      <c r="EK78" s="463"/>
      <c r="EL78" s="459">
        <f>(BR78+CP78-DZ78)+IF('2. START'!$C$14&gt;0,AT78-DN78,0)</f>
        <v>0</v>
      </c>
      <c r="EM78" s="459">
        <f>(BS78+CQ78-EA78)+IF('2. START'!$C$14&gt;0,AU78-DO78,0)</f>
        <v>0</v>
      </c>
      <c r="EN78" s="459">
        <f>(BT78+CR78-EB78)+IF('2. START'!$C$14&gt;0,AV78-DP78,0)</f>
        <v>0</v>
      </c>
      <c r="EO78" s="459">
        <f>(BU78+CS78-EC78)+IF('2. START'!$C$14&gt;0,AW78-DQ78,0)</f>
        <v>0</v>
      </c>
      <c r="EP78" s="459">
        <f>(BV78+CT78-ED78)+IF('2. START'!$C$14&gt;0,AX78-DR78,0)</f>
        <v>0</v>
      </c>
      <c r="EQ78" s="459">
        <f>(BW78+CU78-EE78)+IF('2. START'!$C$14&gt;0,AY78-DS78,0)</f>
        <v>0</v>
      </c>
      <c r="ER78" s="459">
        <f>(BX78+CV78-EF78)+IF('2. START'!$C$14&gt;0,AZ78-DT78,0)</f>
        <v>0</v>
      </c>
      <c r="ES78" s="459">
        <f>(BY78+CW78-EG78)+IF('2. START'!$C$14&gt;0,BA78-DU78,0)</f>
        <v>0</v>
      </c>
      <c r="ET78" s="459">
        <f>(BZ78+CX78-EH78)+IF('2. START'!$C$14&gt;0,BB78-DV78,0)</f>
        <v>0</v>
      </c>
      <c r="EU78" s="459">
        <f>(CA78+CY78-EI78)+IF('2. START'!$C$14&gt;0,BC78-DW78,0)</f>
        <v>0</v>
      </c>
      <c r="EV78" s="460">
        <f t="shared" si="109"/>
        <v>0</v>
      </c>
      <c r="EW78" s="463"/>
      <c r="EX78" s="459">
        <f t="shared" si="110"/>
        <v>0</v>
      </c>
      <c r="EY78" s="459">
        <f t="shared" si="111"/>
        <v>0</v>
      </c>
      <c r="EZ78" s="459">
        <f t="shared" si="112"/>
        <v>0</v>
      </c>
      <c r="FA78" s="459">
        <f t="shared" si="113"/>
        <v>0</v>
      </c>
      <c r="FB78" s="459">
        <f t="shared" si="114"/>
        <v>0</v>
      </c>
      <c r="FC78" s="459">
        <f t="shared" si="115"/>
        <v>0</v>
      </c>
      <c r="FD78" s="459">
        <f t="shared" si="116"/>
        <v>0</v>
      </c>
      <c r="FE78" s="459">
        <f t="shared" si="117"/>
        <v>0</v>
      </c>
      <c r="FF78" s="459">
        <f t="shared" si="118"/>
        <v>0</v>
      </c>
      <c r="FG78" s="459">
        <f t="shared" si="119"/>
        <v>0</v>
      </c>
      <c r="FH78" s="460">
        <f t="shared" si="120"/>
        <v>0</v>
      </c>
      <c r="FI78" s="463"/>
      <c r="FJ78" s="459">
        <f t="shared" si="121"/>
        <v>0</v>
      </c>
      <c r="FK78" s="459">
        <f t="shared" si="122"/>
        <v>0</v>
      </c>
      <c r="FL78" s="459">
        <f t="shared" si="123"/>
        <v>0</v>
      </c>
      <c r="FM78" s="459">
        <f t="shared" si="124"/>
        <v>0</v>
      </c>
      <c r="FN78" s="459">
        <f t="shared" si="125"/>
        <v>0</v>
      </c>
      <c r="FO78" s="459">
        <f t="shared" si="126"/>
        <v>0</v>
      </c>
      <c r="FP78" s="459">
        <f t="shared" si="127"/>
        <v>0</v>
      </c>
      <c r="FQ78" s="459">
        <f t="shared" si="128"/>
        <v>0</v>
      </c>
      <c r="FR78" s="459">
        <f t="shared" si="129"/>
        <v>0</v>
      </c>
      <c r="FS78" s="459">
        <f t="shared" si="130"/>
        <v>0</v>
      </c>
      <c r="FT78" s="460">
        <f t="shared" si="131"/>
        <v>0</v>
      </c>
    </row>
    <row r="79" spans="2:176" s="270" customFormat="1" ht="15" customHeight="1" x14ac:dyDescent="0.25">
      <c r="B79" s="464" t="str">
        <f>'2. START'!C$7</f>
        <v>100GEM</v>
      </c>
      <c r="C79" s="470"/>
      <c r="D79" s="590"/>
      <c r="E79" s="514">
        <v>0</v>
      </c>
      <c r="F79" s="467"/>
      <c r="G79" s="432"/>
      <c r="H79" s="432"/>
      <c r="I79" s="432"/>
      <c r="J79" s="432"/>
      <c r="K79" s="432"/>
      <c r="L79" s="432"/>
      <c r="M79" s="432"/>
      <c r="N79" s="432"/>
      <c r="O79" s="432"/>
      <c r="P79" s="432"/>
      <c r="Q79" s="545">
        <f>SUMIF('3. PARTNER'!$B$13:$B$80,$B79,'3. PARTNER'!$F$13:$F$80)</f>
        <v>0.02</v>
      </c>
      <c r="R79" s="466">
        <f t="shared" si="207"/>
        <v>0.02</v>
      </c>
      <c r="S79" s="466">
        <f t="shared" si="207"/>
        <v>0.02</v>
      </c>
      <c r="T79" s="466">
        <f t="shared" si="207"/>
        <v>0.02</v>
      </c>
      <c r="U79" s="466">
        <f t="shared" si="207"/>
        <v>0.02</v>
      </c>
      <c r="V79" s="466">
        <f t="shared" si="207"/>
        <v>0.02</v>
      </c>
      <c r="W79" s="466">
        <f t="shared" si="207"/>
        <v>0.02</v>
      </c>
      <c r="X79" s="466">
        <f t="shared" si="207"/>
        <v>0.02</v>
      </c>
      <c r="Y79" s="466">
        <f t="shared" si="207"/>
        <v>0.02</v>
      </c>
      <c r="Z79" s="466">
        <f t="shared" si="207"/>
        <v>0.02</v>
      </c>
      <c r="AA79" s="434">
        <f>SUMIF('3. PARTNER'!B$13:B$80,B79,'3. PARTNER'!E$13:E$80)</f>
        <v>0.5595</v>
      </c>
      <c r="AB79" s="435">
        <f>IF('2. START'!$C$20="UTB",(SUMIF('3. PARTNER'!B$13:B$80,B79,'3. PARTNER'!K$13:K$80))+(SUMIF('3. PARTNER'!B$13:B$80,B79,'3. PARTNER'!M$13:M$80)),(SUMIF('3. PARTNER'!B$13:B$80,B79,'3. PARTNER'!G$13:G$80))+(SUMIF('3. PARTNER'!B$13:B$80,B79,'3. PARTNER'!I$13:I$80)))</f>
        <v>0.16000843770704321</v>
      </c>
      <c r="AC79" s="435">
        <f>IF('2. START'!$C$20="UTB",(SUMIF('3. PARTNER'!B$13:B$80,B79,'3. PARTNER'!L$13:L$80))+(SUMIF('3. PARTNER'!B$13:B$80,B79,'3. PARTNER'!N$13:N$80)),(SUMIF('3. PARTNER'!B$13:B$80,B79,'3. PARTNER'!H$13:H$80))+(SUMIF('3. PARTNER'!B$13:B$80,B79,'3. PARTNER'!J$13:J$80)))</f>
        <v>0</v>
      </c>
      <c r="AD79" s="435">
        <f>IF('2. START'!C$11="NO",'2. START'!C$12,0)</f>
        <v>0</v>
      </c>
      <c r="AE79" s="436">
        <f t="shared" si="98"/>
        <v>0</v>
      </c>
      <c r="AF79" s="436">
        <f t="shared" si="99"/>
        <v>0</v>
      </c>
      <c r="AG79" s="437"/>
      <c r="AH79" s="438">
        <f t="shared" si="135"/>
        <v>0</v>
      </c>
      <c r="AI79" s="438">
        <f t="shared" si="136"/>
        <v>0</v>
      </c>
      <c r="AJ79" s="438">
        <f t="shared" si="137"/>
        <v>0</v>
      </c>
      <c r="AK79" s="438">
        <f t="shared" si="138"/>
        <v>0</v>
      </c>
      <c r="AL79" s="438">
        <f t="shared" si="139"/>
        <v>0</v>
      </c>
      <c r="AM79" s="438">
        <f t="shared" si="140"/>
        <v>0</v>
      </c>
      <c r="AN79" s="438">
        <f t="shared" si="141"/>
        <v>0</v>
      </c>
      <c r="AO79" s="438">
        <f t="shared" si="142"/>
        <v>0</v>
      </c>
      <c r="AP79" s="438">
        <f t="shared" si="143"/>
        <v>0</v>
      </c>
      <c r="AQ79" s="438">
        <f t="shared" si="144"/>
        <v>0</v>
      </c>
      <c r="AR79" s="439">
        <f t="shared" si="100"/>
        <v>0</v>
      </c>
      <c r="AS79" s="440"/>
      <c r="AT79" s="438">
        <f t="shared" si="145"/>
        <v>0</v>
      </c>
      <c r="AU79" s="438">
        <f t="shared" si="146"/>
        <v>0</v>
      </c>
      <c r="AV79" s="438">
        <f t="shared" si="147"/>
        <v>0</v>
      </c>
      <c r="AW79" s="438">
        <f t="shared" si="148"/>
        <v>0</v>
      </c>
      <c r="AX79" s="438">
        <f t="shared" si="149"/>
        <v>0</v>
      </c>
      <c r="AY79" s="438">
        <f t="shared" si="150"/>
        <v>0</v>
      </c>
      <c r="AZ79" s="438">
        <f t="shared" si="151"/>
        <v>0</v>
      </c>
      <c r="BA79" s="438">
        <f t="shared" si="152"/>
        <v>0</v>
      </c>
      <c r="BB79" s="438">
        <f t="shared" si="153"/>
        <v>0</v>
      </c>
      <c r="BC79" s="438">
        <f t="shared" si="154"/>
        <v>0</v>
      </c>
      <c r="BD79" s="439">
        <f t="shared" si="101"/>
        <v>0</v>
      </c>
      <c r="BE79" s="440"/>
      <c r="BF79" s="438">
        <f t="shared" si="155"/>
        <v>0</v>
      </c>
      <c r="BG79" s="438">
        <f t="shared" si="156"/>
        <v>0</v>
      </c>
      <c r="BH79" s="438">
        <f t="shared" si="157"/>
        <v>0</v>
      </c>
      <c r="BI79" s="438">
        <f t="shared" si="158"/>
        <v>0</v>
      </c>
      <c r="BJ79" s="438">
        <f t="shared" si="159"/>
        <v>0</v>
      </c>
      <c r="BK79" s="438">
        <f t="shared" si="160"/>
        <v>0</v>
      </c>
      <c r="BL79" s="438">
        <f t="shared" si="161"/>
        <v>0</v>
      </c>
      <c r="BM79" s="438">
        <f t="shared" si="162"/>
        <v>0</v>
      </c>
      <c r="BN79" s="438">
        <f t="shared" si="163"/>
        <v>0</v>
      </c>
      <c r="BO79" s="438">
        <f t="shared" si="164"/>
        <v>0</v>
      </c>
      <c r="BP79" s="439">
        <f t="shared" si="102"/>
        <v>0</v>
      </c>
      <c r="BR79" s="442">
        <f t="shared" si="165"/>
        <v>0</v>
      </c>
      <c r="BS79" s="442">
        <f t="shared" si="166"/>
        <v>0</v>
      </c>
      <c r="BT79" s="442">
        <f t="shared" si="167"/>
        <v>0</v>
      </c>
      <c r="BU79" s="442">
        <f t="shared" si="168"/>
        <v>0</v>
      </c>
      <c r="BV79" s="442">
        <f t="shared" si="169"/>
        <v>0</v>
      </c>
      <c r="BW79" s="442">
        <f t="shared" si="170"/>
        <v>0</v>
      </c>
      <c r="BX79" s="442">
        <f t="shared" si="171"/>
        <v>0</v>
      </c>
      <c r="BY79" s="442">
        <f t="shared" si="172"/>
        <v>0</v>
      </c>
      <c r="BZ79" s="442">
        <f t="shared" si="173"/>
        <v>0</v>
      </c>
      <c r="CA79" s="442">
        <f t="shared" si="174"/>
        <v>0</v>
      </c>
      <c r="CB79" s="443">
        <f t="shared" si="103"/>
        <v>0</v>
      </c>
      <c r="CD79" s="445">
        <f t="shared" si="175"/>
        <v>0</v>
      </c>
      <c r="CE79" s="445">
        <f t="shared" si="176"/>
        <v>0</v>
      </c>
      <c r="CF79" s="445">
        <f t="shared" si="177"/>
        <v>0</v>
      </c>
      <c r="CG79" s="445">
        <f t="shared" si="178"/>
        <v>0</v>
      </c>
      <c r="CH79" s="445">
        <f t="shared" si="179"/>
        <v>0</v>
      </c>
      <c r="CI79" s="445">
        <f t="shared" si="180"/>
        <v>0</v>
      </c>
      <c r="CJ79" s="445">
        <f t="shared" si="181"/>
        <v>0</v>
      </c>
      <c r="CK79" s="445">
        <f t="shared" si="182"/>
        <v>0</v>
      </c>
      <c r="CL79" s="445">
        <f t="shared" si="183"/>
        <v>0</v>
      </c>
      <c r="CM79" s="445">
        <f t="shared" si="184"/>
        <v>0</v>
      </c>
      <c r="CN79" s="443">
        <f t="shared" si="104"/>
        <v>0</v>
      </c>
      <c r="CP79" s="442">
        <f t="shared" si="185"/>
        <v>0</v>
      </c>
      <c r="CQ79" s="442">
        <f t="shared" si="186"/>
        <v>0</v>
      </c>
      <c r="CR79" s="442">
        <f t="shared" si="187"/>
        <v>0</v>
      </c>
      <c r="CS79" s="442">
        <f t="shared" si="188"/>
        <v>0</v>
      </c>
      <c r="CT79" s="442">
        <f t="shared" si="189"/>
        <v>0</v>
      </c>
      <c r="CU79" s="442">
        <f t="shared" si="190"/>
        <v>0</v>
      </c>
      <c r="CV79" s="442">
        <f t="shared" si="191"/>
        <v>0</v>
      </c>
      <c r="CW79" s="442">
        <f t="shared" si="192"/>
        <v>0</v>
      </c>
      <c r="CX79" s="442">
        <f t="shared" si="193"/>
        <v>0</v>
      </c>
      <c r="CY79" s="442">
        <f t="shared" si="194"/>
        <v>0</v>
      </c>
      <c r="CZ79" s="443">
        <f t="shared" si="105"/>
        <v>0</v>
      </c>
      <c r="DB79" s="442">
        <f t="shared" si="195"/>
        <v>0</v>
      </c>
      <c r="DC79" s="442">
        <f t="shared" si="196"/>
        <v>0</v>
      </c>
      <c r="DD79" s="442">
        <f t="shared" si="197"/>
        <v>0</v>
      </c>
      <c r="DE79" s="442">
        <f t="shared" si="198"/>
        <v>0</v>
      </c>
      <c r="DF79" s="442">
        <f t="shared" si="199"/>
        <v>0</v>
      </c>
      <c r="DG79" s="442">
        <f t="shared" si="200"/>
        <v>0</v>
      </c>
      <c r="DH79" s="442">
        <f t="shared" si="201"/>
        <v>0</v>
      </c>
      <c r="DI79" s="442">
        <f t="shared" si="202"/>
        <v>0</v>
      </c>
      <c r="DJ79" s="442">
        <f t="shared" si="203"/>
        <v>0</v>
      </c>
      <c r="DK79" s="442">
        <f t="shared" si="204"/>
        <v>0</v>
      </c>
      <c r="DL79" s="443">
        <f t="shared" si="106"/>
        <v>0</v>
      </c>
      <c r="DN79" s="442">
        <f>IF('2. START'!$C$14&gt;0,(AT79/(1+$AA79))*(1+'2. START'!$C$14),AT79)</f>
        <v>0</v>
      </c>
      <c r="DO79" s="442">
        <f>IF('2. START'!$C$14&gt;0,(AU79/(1+$AA79))*(1+'2. START'!$C$14),AU79)</f>
        <v>0</v>
      </c>
      <c r="DP79" s="442">
        <f>IF('2. START'!$C$14&gt;0,(AV79/(1+$AA79))*(1+'2. START'!$C$14),AV79)</f>
        <v>0</v>
      </c>
      <c r="DQ79" s="442">
        <f>IF('2. START'!$C$14&gt;0,(AW79/(1+$AA79))*(1+'2. START'!$C$14),AW79)</f>
        <v>0</v>
      </c>
      <c r="DR79" s="442">
        <f>IF('2. START'!$C$14&gt;0,(AX79/(1+$AA79))*(1+'2. START'!$C$14),AX79)</f>
        <v>0</v>
      </c>
      <c r="DS79" s="442">
        <f>IF('2. START'!$C$14&gt;0,(AY79/(1+$AA79))*(1+'2. START'!$C$14),AY79)</f>
        <v>0</v>
      </c>
      <c r="DT79" s="442">
        <f>IF('2. START'!$C$14&gt;0,(AZ79/(1+$AA79))*(1+'2. START'!$C$14),AZ79)</f>
        <v>0</v>
      </c>
      <c r="DU79" s="442">
        <f>IF('2. START'!$C$14&gt;0,(BA79/(1+$AA79))*(1+'2. START'!$C$14),BA79)</f>
        <v>0</v>
      </c>
      <c r="DV79" s="442">
        <f>IF('2. START'!$C$14&gt;0,(BB79/(1+$AA79))*(1+'2. START'!$C$14),BB79)</f>
        <v>0</v>
      </c>
      <c r="DW79" s="442">
        <f>IF('2. START'!$C$14&gt;0,(BC79/(1+$AA79))*(1+'2. START'!$C$14),BC79)</f>
        <v>0</v>
      </c>
      <c r="DX79" s="443">
        <f t="shared" si="107"/>
        <v>0</v>
      </c>
      <c r="DZ79" s="442">
        <f>IF('2. START'!$C$11="NO",(IF('2. START'!$C$14&gt;0,(DN79*$AD79),(AT79*$AD79))),(BR79+CP79))</f>
        <v>0</v>
      </c>
      <c r="EA79" s="442">
        <f>IF('2. START'!$C$11="NO",(IF('2. START'!$C$14&gt;0,(DO79*$AD79),(AU79*$AD79))),(BS79+CQ79))</f>
        <v>0</v>
      </c>
      <c r="EB79" s="442">
        <f>IF('2. START'!$C$11="NO",(IF('2. START'!$C$14&gt;0,(DP79*$AD79),(AV79*$AD79))),(BT79+CR79))</f>
        <v>0</v>
      </c>
      <c r="EC79" s="442">
        <f>IF('2. START'!$C$11="NO",(IF('2. START'!$C$14&gt;0,(DQ79*$AD79),(AW79*$AD79))),(BU79+CS79))</f>
        <v>0</v>
      </c>
      <c r="ED79" s="442">
        <f>IF('2. START'!$C$11="NO",(IF('2. START'!$C$14&gt;0,(DR79*$AD79),(AX79*$AD79))),(BV79+CT79))</f>
        <v>0</v>
      </c>
      <c r="EE79" s="442">
        <f>IF('2. START'!$C$11="NO",(IF('2. START'!$C$14&gt;0,(DS79*$AD79),(AY79*$AD79))),(BW79+CU79))</f>
        <v>0</v>
      </c>
      <c r="EF79" s="442">
        <f>IF('2. START'!$C$11="NO",(IF('2. START'!$C$14&gt;0,(DT79*$AD79),(AZ79*$AD79))),(BX79+CV79))</f>
        <v>0</v>
      </c>
      <c r="EG79" s="442">
        <f>IF('2. START'!$C$11="NO",(IF('2. START'!$C$14&gt;0,(DU79*$AD79),(BA79*$AD79))),(BY79+CW79))</f>
        <v>0</v>
      </c>
      <c r="EH79" s="442">
        <f>IF('2. START'!$C$11="NO",(IF('2. START'!$C$14&gt;0,(DV79*$AD79),(BB79*$AD79))),(BZ79+CX79))</f>
        <v>0</v>
      </c>
      <c r="EI79" s="442">
        <f>IF('2. START'!$C$11="NO",(IF('2. START'!$C$14&gt;0,(DW79*$AD79),(BC79*$AD79))),(CA79+CY79))</f>
        <v>0</v>
      </c>
      <c r="EJ79" s="443">
        <f t="shared" si="108"/>
        <v>0</v>
      </c>
      <c r="EL79" s="442">
        <f>(BR79+CP79-DZ79)+IF('2. START'!$C$14&gt;0,AT79-DN79,0)</f>
        <v>0</v>
      </c>
      <c r="EM79" s="442">
        <f>(BS79+CQ79-EA79)+IF('2. START'!$C$14&gt;0,AU79-DO79,0)</f>
        <v>0</v>
      </c>
      <c r="EN79" s="442">
        <f>(BT79+CR79-EB79)+IF('2. START'!$C$14&gt;0,AV79-DP79,0)</f>
        <v>0</v>
      </c>
      <c r="EO79" s="442">
        <f>(BU79+CS79-EC79)+IF('2. START'!$C$14&gt;0,AW79-DQ79,0)</f>
        <v>0</v>
      </c>
      <c r="EP79" s="442">
        <f>(BV79+CT79-ED79)+IF('2. START'!$C$14&gt;0,AX79-DR79,0)</f>
        <v>0</v>
      </c>
      <c r="EQ79" s="442">
        <f>(BW79+CU79-EE79)+IF('2. START'!$C$14&gt;0,AY79-DS79,0)</f>
        <v>0</v>
      </c>
      <c r="ER79" s="442">
        <f>(BX79+CV79-EF79)+IF('2. START'!$C$14&gt;0,AZ79-DT79,0)</f>
        <v>0</v>
      </c>
      <c r="ES79" s="442">
        <f>(BY79+CW79-EG79)+IF('2. START'!$C$14&gt;0,BA79-DU79,0)</f>
        <v>0</v>
      </c>
      <c r="ET79" s="442">
        <f>(BZ79+CX79-EH79)+IF('2. START'!$C$14&gt;0,BB79-DV79,0)</f>
        <v>0</v>
      </c>
      <c r="EU79" s="442">
        <f>(CA79+CY79-EI79)+IF('2. START'!$C$14&gt;0,BC79-DW79,0)</f>
        <v>0</v>
      </c>
      <c r="EV79" s="443">
        <f t="shared" si="109"/>
        <v>0</v>
      </c>
      <c r="EX79" s="442">
        <f t="shared" si="110"/>
        <v>0</v>
      </c>
      <c r="EY79" s="442">
        <f t="shared" si="111"/>
        <v>0</v>
      </c>
      <c r="EZ79" s="442">
        <f t="shared" si="112"/>
        <v>0</v>
      </c>
      <c r="FA79" s="442">
        <f t="shared" si="113"/>
        <v>0</v>
      </c>
      <c r="FB79" s="442">
        <f t="shared" si="114"/>
        <v>0</v>
      </c>
      <c r="FC79" s="442">
        <f t="shared" si="115"/>
        <v>0</v>
      </c>
      <c r="FD79" s="442">
        <f t="shared" si="116"/>
        <v>0</v>
      </c>
      <c r="FE79" s="442">
        <f t="shared" si="117"/>
        <v>0</v>
      </c>
      <c r="FF79" s="442">
        <f t="shared" si="118"/>
        <v>0</v>
      </c>
      <c r="FG79" s="442">
        <f t="shared" si="119"/>
        <v>0</v>
      </c>
      <c r="FH79" s="443">
        <f t="shared" si="120"/>
        <v>0</v>
      </c>
      <c r="FJ79" s="442">
        <f t="shared" si="121"/>
        <v>0</v>
      </c>
      <c r="FK79" s="442">
        <f t="shared" si="122"/>
        <v>0</v>
      </c>
      <c r="FL79" s="442">
        <f t="shared" si="123"/>
        <v>0</v>
      </c>
      <c r="FM79" s="442">
        <f t="shared" si="124"/>
        <v>0</v>
      </c>
      <c r="FN79" s="442">
        <f t="shared" si="125"/>
        <v>0</v>
      </c>
      <c r="FO79" s="442">
        <f t="shared" si="126"/>
        <v>0</v>
      </c>
      <c r="FP79" s="442">
        <f t="shared" si="127"/>
        <v>0</v>
      </c>
      <c r="FQ79" s="442">
        <f t="shared" si="128"/>
        <v>0</v>
      </c>
      <c r="FR79" s="442">
        <f t="shared" si="129"/>
        <v>0</v>
      </c>
      <c r="FS79" s="442">
        <f t="shared" si="130"/>
        <v>0</v>
      </c>
      <c r="FT79" s="443">
        <f t="shared" si="131"/>
        <v>0</v>
      </c>
    </row>
    <row r="80" spans="2:176" s="270" customFormat="1" ht="15" customHeight="1" x14ac:dyDescent="0.25">
      <c r="B80" s="446" t="str">
        <f>'2. START'!C$7</f>
        <v>100GEM</v>
      </c>
      <c r="C80" s="469"/>
      <c r="D80" s="589"/>
      <c r="E80" s="544">
        <v>0</v>
      </c>
      <c r="F80" s="448"/>
      <c r="G80" s="449"/>
      <c r="H80" s="449"/>
      <c r="I80" s="449"/>
      <c r="J80" s="449"/>
      <c r="K80" s="449"/>
      <c r="L80" s="449"/>
      <c r="M80" s="449"/>
      <c r="N80" s="449"/>
      <c r="O80" s="449"/>
      <c r="P80" s="449"/>
      <c r="Q80" s="546">
        <f>SUMIF('3. PARTNER'!$B$13:$B$80,$B80,'3. PARTNER'!$F$13:$F$80)</f>
        <v>0.02</v>
      </c>
      <c r="R80" s="450">
        <f t="shared" si="207"/>
        <v>0.02</v>
      </c>
      <c r="S80" s="450">
        <f t="shared" si="207"/>
        <v>0.02</v>
      </c>
      <c r="T80" s="450">
        <f t="shared" si="207"/>
        <v>0.02</v>
      </c>
      <c r="U80" s="450">
        <f t="shared" si="207"/>
        <v>0.02</v>
      </c>
      <c r="V80" s="450">
        <f t="shared" si="207"/>
        <v>0.02</v>
      </c>
      <c r="W80" s="450">
        <f t="shared" si="207"/>
        <v>0.02</v>
      </c>
      <c r="X80" s="450">
        <f t="shared" si="207"/>
        <v>0.02</v>
      </c>
      <c r="Y80" s="450">
        <f t="shared" si="207"/>
        <v>0.02</v>
      </c>
      <c r="Z80" s="450">
        <f t="shared" si="207"/>
        <v>0.02</v>
      </c>
      <c r="AA80" s="451">
        <f>SUMIF('3. PARTNER'!B$13:B$80,B80,'3. PARTNER'!E$13:E$80)</f>
        <v>0.5595</v>
      </c>
      <c r="AB80" s="452">
        <f>IF('2. START'!$C$20="UTB",(SUMIF('3. PARTNER'!B$13:B$80,B80,'3. PARTNER'!K$13:K$80))+(SUMIF('3. PARTNER'!B$13:B$80,B80,'3. PARTNER'!M$13:M$80)),(SUMIF('3. PARTNER'!B$13:B$80,B80,'3. PARTNER'!G$13:G$80))+(SUMIF('3. PARTNER'!B$13:B$80,B80,'3. PARTNER'!I$13:I$80)))</f>
        <v>0.16000843770704321</v>
      </c>
      <c r="AC80" s="452">
        <f>IF('2. START'!$C$20="UTB",(SUMIF('3. PARTNER'!B$13:B$80,B80,'3. PARTNER'!L$13:L$80))+(SUMIF('3. PARTNER'!B$13:B$80,B80,'3. PARTNER'!N$13:N$80)),(SUMIF('3. PARTNER'!B$13:B$80,B80,'3. PARTNER'!H$13:H$80))+(SUMIF('3. PARTNER'!B$13:B$80,B80,'3. PARTNER'!J$13:J$80)))</f>
        <v>0</v>
      </c>
      <c r="AD80" s="452">
        <f>IF('2. START'!C$11="NO",'2. START'!C$12,0)</f>
        <v>0</v>
      </c>
      <c r="AE80" s="453">
        <f t="shared" si="98"/>
        <v>0</v>
      </c>
      <c r="AF80" s="453">
        <f t="shared" si="99"/>
        <v>0</v>
      </c>
      <c r="AG80" s="454"/>
      <c r="AH80" s="455">
        <f t="shared" si="135"/>
        <v>0</v>
      </c>
      <c r="AI80" s="455">
        <f t="shared" si="136"/>
        <v>0</v>
      </c>
      <c r="AJ80" s="455">
        <f t="shared" si="137"/>
        <v>0</v>
      </c>
      <c r="AK80" s="455">
        <f t="shared" si="138"/>
        <v>0</v>
      </c>
      <c r="AL80" s="455">
        <f t="shared" si="139"/>
        <v>0</v>
      </c>
      <c r="AM80" s="455">
        <f t="shared" si="140"/>
        <v>0</v>
      </c>
      <c r="AN80" s="455">
        <f t="shared" si="141"/>
        <v>0</v>
      </c>
      <c r="AO80" s="455">
        <f t="shared" si="142"/>
        <v>0</v>
      </c>
      <c r="AP80" s="455">
        <f t="shared" si="143"/>
        <v>0</v>
      </c>
      <c r="AQ80" s="455">
        <f t="shared" si="144"/>
        <v>0</v>
      </c>
      <c r="AR80" s="456">
        <f t="shared" si="100"/>
        <v>0</v>
      </c>
      <c r="AS80" s="457"/>
      <c r="AT80" s="455">
        <f t="shared" si="145"/>
        <v>0</v>
      </c>
      <c r="AU80" s="455">
        <f t="shared" si="146"/>
        <v>0</v>
      </c>
      <c r="AV80" s="455">
        <f t="shared" si="147"/>
        <v>0</v>
      </c>
      <c r="AW80" s="455">
        <f t="shared" si="148"/>
        <v>0</v>
      </c>
      <c r="AX80" s="455">
        <f t="shared" si="149"/>
        <v>0</v>
      </c>
      <c r="AY80" s="455">
        <f t="shared" si="150"/>
        <v>0</v>
      </c>
      <c r="AZ80" s="455">
        <f t="shared" si="151"/>
        <v>0</v>
      </c>
      <c r="BA80" s="455">
        <f t="shared" si="152"/>
        <v>0</v>
      </c>
      <c r="BB80" s="455">
        <f t="shared" si="153"/>
        <v>0</v>
      </c>
      <c r="BC80" s="455">
        <f t="shared" si="154"/>
        <v>0</v>
      </c>
      <c r="BD80" s="456">
        <f t="shared" si="101"/>
        <v>0</v>
      </c>
      <c r="BE80" s="457"/>
      <c r="BF80" s="455">
        <f t="shared" si="155"/>
        <v>0</v>
      </c>
      <c r="BG80" s="455">
        <f t="shared" si="156"/>
        <v>0</v>
      </c>
      <c r="BH80" s="455">
        <f t="shared" si="157"/>
        <v>0</v>
      </c>
      <c r="BI80" s="455">
        <f t="shared" si="158"/>
        <v>0</v>
      </c>
      <c r="BJ80" s="455">
        <f t="shared" si="159"/>
        <v>0</v>
      </c>
      <c r="BK80" s="455">
        <f t="shared" si="160"/>
        <v>0</v>
      </c>
      <c r="BL80" s="455">
        <f t="shared" si="161"/>
        <v>0</v>
      </c>
      <c r="BM80" s="455">
        <f t="shared" si="162"/>
        <v>0</v>
      </c>
      <c r="BN80" s="455">
        <f t="shared" si="163"/>
        <v>0</v>
      </c>
      <c r="BO80" s="455">
        <f t="shared" si="164"/>
        <v>0</v>
      </c>
      <c r="BP80" s="456">
        <f t="shared" si="102"/>
        <v>0</v>
      </c>
      <c r="BQ80" s="463"/>
      <c r="BR80" s="459">
        <f t="shared" si="165"/>
        <v>0</v>
      </c>
      <c r="BS80" s="459">
        <f t="shared" si="166"/>
        <v>0</v>
      </c>
      <c r="BT80" s="459">
        <f t="shared" si="167"/>
        <v>0</v>
      </c>
      <c r="BU80" s="459">
        <f t="shared" si="168"/>
        <v>0</v>
      </c>
      <c r="BV80" s="459">
        <f t="shared" si="169"/>
        <v>0</v>
      </c>
      <c r="BW80" s="459">
        <f t="shared" si="170"/>
        <v>0</v>
      </c>
      <c r="BX80" s="459">
        <f t="shared" si="171"/>
        <v>0</v>
      </c>
      <c r="BY80" s="459">
        <f t="shared" si="172"/>
        <v>0</v>
      </c>
      <c r="BZ80" s="459">
        <f t="shared" si="173"/>
        <v>0</v>
      </c>
      <c r="CA80" s="459">
        <f t="shared" si="174"/>
        <v>0</v>
      </c>
      <c r="CB80" s="460">
        <f t="shared" si="103"/>
        <v>0</v>
      </c>
      <c r="CC80" s="463"/>
      <c r="CD80" s="462">
        <f t="shared" si="175"/>
        <v>0</v>
      </c>
      <c r="CE80" s="462">
        <f t="shared" si="176"/>
        <v>0</v>
      </c>
      <c r="CF80" s="462">
        <f t="shared" si="177"/>
        <v>0</v>
      </c>
      <c r="CG80" s="462">
        <f t="shared" si="178"/>
        <v>0</v>
      </c>
      <c r="CH80" s="462">
        <f t="shared" si="179"/>
        <v>0</v>
      </c>
      <c r="CI80" s="462">
        <f t="shared" si="180"/>
        <v>0</v>
      </c>
      <c r="CJ80" s="462">
        <f t="shared" si="181"/>
        <v>0</v>
      </c>
      <c r="CK80" s="462">
        <f t="shared" si="182"/>
        <v>0</v>
      </c>
      <c r="CL80" s="462">
        <f t="shared" si="183"/>
        <v>0</v>
      </c>
      <c r="CM80" s="462">
        <f t="shared" si="184"/>
        <v>0</v>
      </c>
      <c r="CN80" s="460">
        <f t="shared" si="104"/>
        <v>0</v>
      </c>
      <c r="CO80" s="463"/>
      <c r="CP80" s="459">
        <f t="shared" si="185"/>
        <v>0</v>
      </c>
      <c r="CQ80" s="459">
        <f t="shared" si="186"/>
        <v>0</v>
      </c>
      <c r="CR80" s="459">
        <f t="shared" si="187"/>
        <v>0</v>
      </c>
      <c r="CS80" s="459">
        <f t="shared" si="188"/>
        <v>0</v>
      </c>
      <c r="CT80" s="459">
        <f t="shared" si="189"/>
        <v>0</v>
      </c>
      <c r="CU80" s="459">
        <f t="shared" si="190"/>
        <v>0</v>
      </c>
      <c r="CV80" s="459">
        <f t="shared" si="191"/>
        <v>0</v>
      </c>
      <c r="CW80" s="459">
        <f t="shared" si="192"/>
        <v>0</v>
      </c>
      <c r="CX80" s="459">
        <f t="shared" si="193"/>
        <v>0</v>
      </c>
      <c r="CY80" s="459">
        <f t="shared" si="194"/>
        <v>0</v>
      </c>
      <c r="CZ80" s="460">
        <f t="shared" si="105"/>
        <v>0</v>
      </c>
      <c r="DA80" s="463"/>
      <c r="DB80" s="459">
        <f t="shared" si="195"/>
        <v>0</v>
      </c>
      <c r="DC80" s="459">
        <f t="shared" si="196"/>
        <v>0</v>
      </c>
      <c r="DD80" s="459">
        <f t="shared" si="197"/>
        <v>0</v>
      </c>
      <c r="DE80" s="459">
        <f t="shared" si="198"/>
        <v>0</v>
      </c>
      <c r="DF80" s="459">
        <f t="shared" si="199"/>
        <v>0</v>
      </c>
      <c r="DG80" s="459">
        <f t="shared" si="200"/>
        <v>0</v>
      </c>
      <c r="DH80" s="459">
        <f t="shared" si="201"/>
        <v>0</v>
      </c>
      <c r="DI80" s="459">
        <f t="shared" si="202"/>
        <v>0</v>
      </c>
      <c r="DJ80" s="459">
        <f t="shared" si="203"/>
        <v>0</v>
      </c>
      <c r="DK80" s="459">
        <f t="shared" si="204"/>
        <v>0</v>
      </c>
      <c r="DL80" s="460">
        <f t="shared" si="106"/>
        <v>0</v>
      </c>
      <c r="DM80" s="463"/>
      <c r="DN80" s="442">
        <f>IF('2. START'!$C$14&gt;0,(AT80/(1+$AA80))*(1+'2. START'!$C$14),AT80)</f>
        <v>0</v>
      </c>
      <c r="DO80" s="442">
        <f>IF('2. START'!$C$14&gt;0,(AU80/(1+$AA80))*(1+'2. START'!$C$14),AU80)</f>
        <v>0</v>
      </c>
      <c r="DP80" s="442">
        <f>IF('2. START'!$C$14&gt;0,(AV80/(1+$AA80))*(1+'2. START'!$C$14),AV80)</f>
        <v>0</v>
      </c>
      <c r="DQ80" s="442">
        <f>IF('2. START'!$C$14&gt;0,(AW80/(1+$AA80))*(1+'2. START'!$C$14),AW80)</f>
        <v>0</v>
      </c>
      <c r="DR80" s="442">
        <f>IF('2. START'!$C$14&gt;0,(AX80/(1+$AA80))*(1+'2. START'!$C$14),AX80)</f>
        <v>0</v>
      </c>
      <c r="DS80" s="442">
        <f>IF('2. START'!$C$14&gt;0,(AY80/(1+$AA80))*(1+'2. START'!$C$14),AY80)</f>
        <v>0</v>
      </c>
      <c r="DT80" s="442">
        <f>IF('2. START'!$C$14&gt;0,(AZ80/(1+$AA80))*(1+'2. START'!$C$14),AZ80)</f>
        <v>0</v>
      </c>
      <c r="DU80" s="442">
        <f>IF('2. START'!$C$14&gt;0,(BA80/(1+$AA80))*(1+'2. START'!$C$14),BA80)</f>
        <v>0</v>
      </c>
      <c r="DV80" s="442">
        <f>IF('2. START'!$C$14&gt;0,(BB80/(1+$AA80))*(1+'2. START'!$C$14),BB80)</f>
        <v>0</v>
      </c>
      <c r="DW80" s="442">
        <f>IF('2. START'!$C$14&gt;0,(BC80/(1+$AA80))*(1+'2. START'!$C$14),BC80)</f>
        <v>0</v>
      </c>
      <c r="DX80" s="460">
        <f t="shared" si="107"/>
        <v>0</v>
      </c>
      <c r="DY80" s="463"/>
      <c r="DZ80" s="459">
        <f>IF('2. START'!$C$11="NO",(IF('2. START'!$C$14&gt;0,(DN80*$AD80),(AT80*$AD80))),(BR80+CP80))</f>
        <v>0</v>
      </c>
      <c r="EA80" s="459">
        <f>IF('2. START'!$C$11="NO",(IF('2. START'!$C$14&gt;0,(DO80*$AD80),(AU80*$AD80))),(BS80+CQ80))</f>
        <v>0</v>
      </c>
      <c r="EB80" s="459">
        <f>IF('2. START'!$C$11="NO",(IF('2. START'!$C$14&gt;0,(DP80*$AD80),(AV80*$AD80))),(BT80+CR80))</f>
        <v>0</v>
      </c>
      <c r="EC80" s="459">
        <f>IF('2. START'!$C$11="NO",(IF('2. START'!$C$14&gt;0,(DQ80*$AD80),(AW80*$AD80))),(BU80+CS80))</f>
        <v>0</v>
      </c>
      <c r="ED80" s="459">
        <f>IF('2. START'!$C$11="NO",(IF('2. START'!$C$14&gt;0,(DR80*$AD80),(AX80*$AD80))),(BV80+CT80))</f>
        <v>0</v>
      </c>
      <c r="EE80" s="459">
        <f>IF('2. START'!$C$11="NO",(IF('2. START'!$C$14&gt;0,(DS80*$AD80),(AY80*$AD80))),(BW80+CU80))</f>
        <v>0</v>
      </c>
      <c r="EF80" s="459">
        <f>IF('2. START'!$C$11="NO",(IF('2. START'!$C$14&gt;0,(DT80*$AD80),(AZ80*$AD80))),(BX80+CV80))</f>
        <v>0</v>
      </c>
      <c r="EG80" s="459">
        <f>IF('2. START'!$C$11="NO",(IF('2. START'!$C$14&gt;0,(DU80*$AD80),(BA80*$AD80))),(BY80+CW80))</f>
        <v>0</v>
      </c>
      <c r="EH80" s="459">
        <f>IF('2. START'!$C$11="NO",(IF('2. START'!$C$14&gt;0,(DV80*$AD80),(BB80*$AD80))),(BZ80+CX80))</f>
        <v>0</v>
      </c>
      <c r="EI80" s="459">
        <f>IF('2. START'!$C$11="NO",(IF('2. START'!$C$14&gt;0,(DW80*$AD80),(BC80*$AD80))),(CA80+CY80))</f>
        <v>0</v>
      </c>
      <c r="EJ80" s="460">
        <f t="shared" si="108"/>
        <v>0</v>
      </c>
      <c r="EK80" s="463"/>
      <c r="EL80" s="459">
        <f>(BR80+CP80-DZ80)+IF('2. START'!$C$14&gt;0,AT80-DN80,0)</f>
        <v>0</v>
      </c>
      <c r="EM80" s="459">
        <f>(BS80+CQ80-EA80)+IF('2. START'!$C$14&gt;0,AU80-DO80,0)</f>
        <v>0</v>
      </c>
      <c r="EN80" s="459">
        <f>(BT80+CR80-EB80)+IF('2. START'!$C$14&gt;0,AV80-DP80,0)</f>
        <v>0</v>
      </c>
      <c r="EO80" s="459">
        <f>(BU80+CS80-EC80)+IF('2. START'!$C$14&gt;0,AW80-DQ80,0)</f>
        <v>0</v>
      </c>
      <c r="EP80" s="459">
        <f>(BV80+CT80-ED80)+IF('2. START'!$C$14&gt;0,AX80-DR80,0)</f>
        <v>0</v>
      </c>
      <c r="EQ80" s="459">
        <f>(BW80+CU80-EE80)+IF('2. START'!$C$14&gt;0,AY80-DS80,0)</f>
        <v>0</v>
      </c>
      <c r="ER80" s="459">
        <f>(BX80+CV80-EF80)+IF('2. START'!$C$14&gt;0,AZ80-DT80,0)</f>
        <v>0</v>
      </c>
      <c r="ES80" s="459">
        <f>(BY80+CW80-EG80)+IF('2. START'!$C$14&gt;0,BA80-DU80,0)</f>
        <v>0</v>
      </c>
      <c r="ET80" s="459">
        <f>(BZ80+CX80-EH80)+IF('2. START'!$C$14&gt;0,BB80-DV80,0)</f>
        <v>0</v>
      </c>
      <c r="EU80" s="459">
        <f>(CA80+CY80-EI80)+IF('2. START'!$C$14&gt;0,BC80-DW80,0)</f>
        <v>0</v>
      </c>
      <c r="EV80" s="460">
        <f t="shared" si="109"/>
        <v>0</v>
      </c>
      <c r="EW80" s="463"/>
      <c r="EX80" s="459">
        <f t="shared" si="110"/>
        <v>0</v>
      </c>
      <c r="EY80" s="459">
        <f t="shared" si="111"/>
        <v>0</v>
      </c>
      <c r="EZ80" s="459">
        <f t="shared" si="112"/>
        <v>0</v>
      </c>
      <c r="FA80" s="459">
        <f t="shared" si="113"/>
        <v>0</v>
      </c>
      <c r="FB80" s="459">
        <f t="shared" si="114"/>
        <v>0</v>
      </c>
      <c r="FC80" s="459">
        <f t="shared" si="115"/>
        <v>0</v>
      </c>
      <c r="FD80" s="459">
        <f t="shared" si="116"/>
        <v>0</v>
      </c>
      <c r="FE80" s="459">
        <f t="shared" si="117"/>
        <v>0</v>
      </c>
      <c r="FF80" s="459">
        <f t="shared" si="118"/>
        <v>0</v>
      </c>
      <c r="FG80" s="459">
        <f t="shared" si="119"/>
        <v>0</v>
      </c>
      <c r="FH80" s="460">
        <f t="shared" si="120"/>
        <v>0</v>
      </c>
      <c r="FI80" s="463"/>
      <c r="FJ80" s="459">
        <f t="shared" si="121"/>
        <v>0</v>
      </c>
      <c r="FK80" s="459">
        <f t="shared" si="122"/>
        <v>0</v>
      </c>
      <c r="FL80" s="459">
        <f t="shared" si="123"/>
        <v>0</v>
      </c>
      <c r="FM80" s="459">
        <f t="shared" si="124"/>
        <v>0</v>
      </c>
      <c r="FN80" s="459">
        <f t="shared" si="125"/>
        <v>0</v>
      </c>
      <c r="FO80" s="459">
        <f t="shared" si="126"/>
        <v>0</v>
      </c>
      <c r="FP80" s="459">
        <f t="shared" si="127"/>
        <v>0</v>
      </c>
      <c r="FQ80" s="459">
        <f t="shared" si="128"/>
        <v>0</v>
      </c>
      <c r="FR80" s="459">
        <f t="shared" si="129"/>
        <v>0</v>
      </c>
      <c r="FS80" s="459">
        <f t="shared" si="130"/>
        <v>0</v>
      </c>
      <c r="FT80" s="460">
        <f t="shared" si="131"/>
        <v>0</v>
      </c>
    </row>
    <row r="81" spans="2:176" s="270" customFormat="1" ht="15" customHeight="1" x14ac:dyDescent="0.25">
      <c r="B81" s="464" t="str">
        <f>'2. START'!C$7</f>
        <v>100GEM</v>
      </c>
      <c r="C81" s="470"/>
      <c r="D81" s="590"/>
      <c r="E81" s="514">
        <v>0</v>
      </c>
      <c r="F81" s="467"/>
      <c r="G81" s="432"/>
      <c r="H81" s="432"/>
      <c r="I81" s="432"/>
      <c r="J81" s="432"/>
      <c r="K81" s="432"/>
      <c r="L81" s="432"/>
      <c r="M81" s="432"/>
      <c r="N81" s="432"/>
      <c r="O81" s="432"/>
      <c r="P81" s="432"/>
      <c r="Q81" s="545">
        <f>SUMIF('3. PARTNER'!$B$13:$B$80,$B81,'3. PARTNER'!$F$13:$F$80)</f>
        <v>0.02</v>
      </c>
      <c r="R81" s="466">
        <f t="shared" si="207"/>
        <v>0.02</v>
      </c>
      <c r="S81" s="466">
        <f t="shared" si="207"/>
        <v>0.02</v>
      </c>
      <c r="T81" s="466">
        <f t="shared" si="207"/>
        <v>0.02</v>
      </c>
      <c r="U81" s="466">
        <f t="shared" si="207"/>
        <v>0.02</v>
      </c>
      <c r="V81" s="466">
        <f t="shared" si="207"/>
        <v>0.02</v>
      </c>
      <c r="W81" s="466">
        <f t="shared" si="207"/>
        <v>0.02</v>
      </c>
      <c r="X81" s="466">
        <f t="shared" si="207"/>
        <v>0.02</v>
      </c>
      <c r="Y81" s="466">
        <f t="shared" si="207"/>
        <v>0.02</v>
      </c>
      <c r="Z81" s="466">
        <f t="shared" si="207"/>
        <v>0.02</v>
      </c>
      <c r="AA81" s="434">
        <f>SUMIF('3. PARTNER'!B$13:B$80,B81,'3. PARTNER'!E$13:E$80)</f>
        <v>0.5595</v>
      </c>
      <c r="AB81" s="435">
        <f>IF('2. START'!$C$20="UTB",(SUMIF('3. PARTNER'!B$13:B$80,B81,'3. PARTNER'!K$13:K$80))+(SUMIF('3. PARTNER'!B$13:B$80,B81,'3. PARTNER'!M$13:M$80)),(SUMIF('3. PARTNER'!B$13:B$80,B81,'3. PARTNER'!G$13:G$80))+(SUMIF('3. PARTNER'!B$13:B$80,B81,'3. PARTNER'!I$13:I$80)))</f>
        <v>0.16000843770704321</v>
      </c>
      <c r="AC81" s="435">
        <f>IF('2. START'!$C$20="UTB",(SUMIF('3. PARTNER'!B$13:B$80,B81,'3. PARTNER'!L$13:L$80))+(SUMIF('3. PARTNER'!B$13:B$80,B81,'3. PARTNER'!N$13:N$80)),(SUMIF('3. PARTNER'!B$13:B$80,B81,'3. PARTNER'!H$13:H$80))+(SUMIF('3. PARTNER'!B$13:B$80,B81,'3. PARTNER'!J$13:J$80)))</f>
        <v>0</v>
      </c>
      <c r="AD81" s="435">
        <f>IF('2. START'!C$11="NO",'2. START'!C$12,0)</f>
        <v>0</v>
      </c>
      <c r="AE81" s="436">
        <f t="shared" si="98"/>
        <v>0</v>
      </c>
      <c r="AF81" s="436">
        <f t="shared" si="99"/>
        <v>0</v>
      </c>
      <c r="AG81" s="437"/>
      <c r="AH81" s="438">
        <f t="shared" ref="AH81:AH112" si="208">$F81*G81*(1+$AA81)*(1+$Q81)</f>
        <v>0</v>
      </c>
      <c r="AI81" s="438">
        <f t="shared" ref="AI81:AI112" si="209">$F81*H81*(1+$AA81)*(1+$Q81)*(1+$R81)</f>
        <v>0</v>
      </c>
      <c r="AJ81" s="438">
        <f t="shared" ref="AJ81:AJ112" si="210">$F81*I81*(1+$AA81)*(1+$Q81)*(1+$R81)*(1+$S81)</f>
        <v>0</v>
      </c>
      <c r="AK81" s="438">
        <f t="shared" ref="AK81:AK112" si="211">$F81*J81*(1+$AA81)*(1+$Q81)*(1+$R81)*(1+$S81)*(1+$T81)</f>
        <v>0</v>
      </c>
      <c r="AL81" s="438">
        <f t="shared" ref="AL81:AL112" si="212">$F81*K81*(1+$AA81)*(1+$Q81)*(1+$R81)*(1+$S81)*(1+$T81)*(1+$U81)</f>
        <v>0</v>
      </c>
      <c r="AM81" s="438">
        <f t="shared" ref="AM81:AM112" si="213">$F81*L81*(1+$AA81)*(1+$Q81)*(1+$R81)*(1+$S81)*(1+$T81)*(1+$U81)*(1+$V81)</f>
        <v>0</v>
      </c>
      <c r="AN81" s="438">
        <f t="shared" ref="AN81:AN112" si="214">$F81*M81*(1+$AA81)*(1+$Q81)*(1+$R81)*(1+$S81)*(1+$T81)*(1+$U81)*(1+$V81)*(1+$W81)</f>
        <v>0</v>
      </c>
      <c r="AO81" s="438">
        <f t="shared" ref="AO81:AO112" si="215">$F81*N81*(1+$AA81)*(1+$Q81)*(1+$R81)*(1+$S81)*(1+$T81)*(1+$U81)*(1+$V81)*(1+$W81)*(1+$X81)</f>
        <v>0</v>
      </c>
      <c r="AP81" s="438">
        <f t="shared" ref="AP81:AP112" si="216">$F81*O81*(1+$AA81)*(1+$Q81)*(1+$R81)*(1+$S81)*(1+$T81)*(1+$U81)*(1+$V81)*(1+$W81)*(1+$X81)*(1+$Y81)</f>
        <v>0</v>
      </c>
      <c r="AQ81" s="438">
        <f t="shared" ref="AQ81:AQ112" si="217">$F81*P81*(1+$AA81)*(1+$Q81)*(1+$R81)*(1+$S81)*(1+$T81)*(1+$U81)*(1+$V81)*(1+$W81)*(1+$X81)*(1+$Y81)*(1+$Z81)</f>
        <v>0</v>
      </c>
      <c r="AR81" s="439">
        <f t="shared" si="100"/>
        <v>0</v>
      </c>
      <c r="AS81" s="440"/>
      <c r="AT81" s="438">
        <f t="shared" ref="AT81:AT112" si="218">$F81*G81*(1+$AA81)*(1+$Q81)*(1-$E81)</f>
        <v>0</v>
      </c>
      <c r="AU81" s="438">
        <f t="shared" ref="AU81:AU112" si="219">$F81*H81*(1+$AA81)*(1+$Q81)*(1+$R81)*(1-E81)</f>
        <v>0</v>
      </c>
      <c r="AV81" s="438">
        <f t="shared" ref="AV81:AV112" si="220">$F81*I81*(1+$AA81)*(1+$Q81)*(1+$R81)*(1+$S81)*(1-E81)</f>
        <v>0</v>
      </c>
      <c r="AW81" s="438">
        <f t="shared" ref="AW81:AW112" si="221">$F81*J81*(1+$AA81)*(1+$Q81)*(1+$R81)*(1+$S81)*(1+$T81)*(1-E81)</f>
        <v>0</v>
      </c>
      <c r="AX81" s="438">
        <f t="shared" ref="AX81:AX112" si="222">$F81*K81*(1+$AA81)*(1+$Q81)*(1+$R81)*(1+$S81)*(1+$T81)*(1+$U81)*(1-E81)</f>
        <v>0</v>
      </c>
      <c r="AY81" s="438">
        <f t="shared" ref="AY81:AY112" si="223">$F81*L81*(1+$AA81)*(1+$Q81)*(1+$R81)*(1+$S81)*(1+$T81)*(1+$U81)*(1+$V81)*(1-E81)</f>
        <v>0</v>
      </c>
      <c r="AZ81" s="438">
        <f t="shared" ref="AZ81:AZ112" si="224">$F81*M81*(1+$AA81)*(1+$Q81)*(1+$R81)*(1+$S81)*(1+$T81)*(1+$U81)*(1+$V81)*(1+$W81)*(1-E81)</f>
        <v>0</v>
      </c>
      <c r="BA81" s="438">
        <f t="shared" ref="BA81:BA112" si="225">$F81*N81*(1+$AA81)*(1+$Q81)*(1+$R81)*(1+$S81)*(1+$T81)*(1+$U81)*(1+$V81)*(1+$W81)*(1+$X81)*(1-E81)</f>
        <v>0</v>
      </c>
      <c r="BB81" s="438">
        <f t="shared" ref="BB81:BB112" si="226">$F81*O81*(1+$AA81)*(1+$Q81)*(1+$R81)*(1+$S81)*(1+$T81)*(1+$U81)*(1+$V81)*(1+$W81)*(1+$X81)*(1+$Y81)*(1-E81)</f>
        <v>0</v>
      </c>
      <c r="BC81" s="438">
        <f t="shared" ref="BC81:BC112" si="227">$F81*P81*(1+$AA81)*(1+$Q81)*(1+$R81)*(1+$S81)*(1+$T81)*(1+$U81)*(1+$V81)*(1+$W81)*(1+$X81)*(1+$Y81)*(1+$Z81)*(1-E81)</f>
        <v>0</v>
      </c>
      <c r="BD81" s="439">
        <f t="shared" si="101"/>
        <v>0</v>
      </c>
      <c r="BE81" s="440"/>
      <c r="BF81" s="438">
        <f t="shared" ref="BF81:BF112" si="228">$F81*G81*(1+$AA81)*(1+$Q81)*($E81)</f>
        <v>0</v>
      </c>
      <c r="BG81" s="438">
        <f t="shared" ref="BG81:BG112" si="229">$F81*H81*(1+$AA81)*(1+$Q81)*(1+$R81)*($E81)</f>
        <v>0</v>
      </c>
      <c r="BH81" s="438">
        <f t="shared" ref="BH81:BH112" si="230">$F81*I81*(1+$AA81)*(1+$Q81)*(1+$R81)*(1+$S81)*($E81)</f>
        <v>0</v>
      </c>
      <c r="BI81" s="438">
        <f t="shared" ref="BI81:BI112" si="231">$F81*J81*(1+$AA81)*(1+$Q81)*(1+$R81)*(1+$S81)*(1+$T81)*($E81)</f>
        <v>0</v>
      </c>
      <c r="BJ81" s="438">
        <f t="shared" ref="BJ81:BJ112" si="232">$F81*K81*(1+$AA81)*(1+$Q81)*(1+$R81)*(1+$S81)*(1+$T81)*(1+$U81)*($E81)</f>
        <v>0</v>
      </c>
      <c r="BK81" s="438">
        <f t="shared" ref="BK81:BK112" si="233">$F81*L81*(1+$AA81)*(1+$Q81)*(1+$R81)*(1+$S81)*(1+$T81)*(1+$U81)*(1+$V81)*($E81)</f>
        <v>0</v>
      </c>
      <c r="BL81" s="438">
        <f t="shared" ref="BL81:BL112" si="234">$F81*M81*(1+$AA81)*(1+$Q81)*(1+$R81)*(1+$S81)*(1+$T81)*(1+$U81)*(1+$V81)*(1+$W81)*($E81)</f>
        <v>0</v>
      </c>
      <c r="BM81" s="438">
        <f t="shared" ref="BM81:BM112" si="235">$F81*N81*(1+$AA81)*(1+$Q81)*(1+$R81)*(1+$S81)*(1+$T81)*(1+$U81)*(1+$V81)*(1+$W81)*(1+$X81)*($E81)</f>
        <v>0</v>
      </c>
      <c r="BN81" s="438">
        <f t="shared" ref="BN81:BN112" si="236">$F81*O81*(1+$AA81)*(1+$Q81)*(1+$R81)*(1+$S81)*(1+$T81)*(1+$U81)*(1+$V81)*(1+$W81)*(1+$X81)*(1+$Y81)*($E81)</f>
        <v>0</v>
      </c>
      <c r="BO81" s="438">
        <f t="shared" ref="BO81:BO112" si="237">$F81*P81*(1+$AA81)*(1+$Q81)*(1+$R81)*(1+$S81)*(1+$T81)*(1+$U81)*(1+$V81)*(1+$W81)*(1+$X81)*(1+$Y81)*(1+$Z81)*($E81)</f>
        <v>0</v>
      </c>
      <c r="BP81" s="439">
        <f t="shared" si="102"/>
        <v>0</v>
      </c>
      <c r="BR81" s="442">
        <f t="shared" ref="BR81:BR112" si="238">$AB81*AT81</f>
        <v>0</v>
      </c>
      <c r="BS81" s="442">
        <f t="shared" ref="BS81:BS112" si="239">$AB81*AU81</f>
        <v>0</v>
      </c>
      <c r="BT81" s="442">
        <f t="shared" ref="BT81:BT112" si="240">$AB81*AV81</f>
        <v>0</v>
      </c>
      <c r="BU81" s="442">
        <f t="shared" ref="BU81:BU112" si="241">$AB81*AW81</f>
        <v>0</v>
      </c>
      <c r="BV81" s="442">
        <f t="shared" ref="BV81:BV112" si="242">$AB81*AX81</f>
        <v>0</v>
      </c>
      <c r="BW81" s="442">
        <f t="shared" ref="BW81:BW112" si="243">$AB81*AY81</f>
        <v>0</v>
      </c>
      <c r="BX81" s="442">
        <f t="shared" ref="BX81:BX112" si="244">$AB81*AZ81</f>
        <v>0</v>
      </c>
      <c r="BY81" s="442">
        <f t="shared" ref="BY81:BY112" si="245">$AB81*BA81</f>
        <v>0</v>
      </c>
      <c r="BZ81" s="442">
        <f t="shared" ref="BZ81:BZ112" si="246">$AB81*BB81</f>
        <v>0</v>
      </c>
      <c r="CA81" s="442">
        <f t="shared" ref="CA81:CA112" si="247">$AB81*BC81</f>
        <v>0</v>
      </c>
      <c r="CB81" s="443">
        <f t="shared" si="103"/>
        <v>0</v>
      </c>
      <c r="CD81" s="445">
        <f t="shared" ref="CD81:CD112" si="248">$AB81*BF81</f>
        <v>0</v>
      </c>
      <c r="CE81" s="445">
        <f t="shared" ref="CE81:CE112" si="249">$AB81*BG81</f>
        <v>0</v>
      </c>
      <c r="CF81" s="445">
        <f t="shared" ref="CF81:CF112" si="250">$AB81*BH81</f>
        <v>0</v>
      </c>
      <c r="CG81" s="445">
        <f t="shared" ref="CG81:CG112" si="251">$AB81*BI81</f>
        <v>0</v>
      </c>
      <c r="CH81" s="445">
        <f t="shared" ref="CH81:CH112" si="252">$AB81*BJ81</f>
        <v>0</v>
      </c>
      <c r="CI81" s="445">
        <f t="shared" ref="CI81:CI112" si="253">$AB81*BK81</f>
        <v>0</v>
      </c>
      <c r="CJ81" s="445">
        <f t="shared" ref="CJ81:CJ112" si="254">$AB81*BL81</f>
        <v>0</v>
      </c>
      <c r="CK81" s="445">
        <f t="shared" ref="CK81:CK112" si="255">$AB81*BM81</f>
        <v>0</v>
      </c>
      <c r="CL81" s="445">
        <f t="shared" ref="CL81:CL112" si="256">$AB81*BN81</f>
        <v>0</v>
      </c>
      <c r="CM81" s="445">
        <f t="shared" ref="CM81:CM112" si="257">$AB81*BO81</f>
        <v>0</v>
      </c>
      <c r="CN81" s="443">
        <f t="shared" si="104"/>
        <v>0</v>
      </c>
      <c r="CP81" s="442">
        <f t="shared" ref="CP81:CP112" si="258">$AC81*AT81</f>
        <v>0</v>
      </c>
      <c r="CQ81" s="442">
        <f t="shared" ref="CQ81:CQ112" si="259">$AC81*AU81</f>
        <v>0</v>
      </c>
      <c r="CR81" s="442">
        <f t="shared" ref="CR81:CR112" si="260">$AC81*AV81</f>
        <v>0</v>
      </c>
      <c r="CS81" s="442">
        <f t="shared" ref="CS81:CS112" si="261">$AC81*AW81</f>
        <v>0</v>
      </c>
      <c r="CT81" s="442">
        <f t="shared" ref="CT81:CT112" si="262">$AC81*AX81</f>
        <v>0</v>
      </c>
      <c r="CU81" s="442">
        <f t="shared" ref="CU81:CU112" si="263">$AC81*AY81</f>
        <v>0</v>
      </c>
      <c r="CV81" s="442">
        <f t="shared" ref="CV81:CV112" si="264">$AC81*AZ81</f>
        <v>0</v>
      </c>
      <c r="CW81" s="442">
        <f t="shared" ref="CW81:CW112" si="265">$AC81*BA81</f>
        <v>0</v>
      </c>
      <c r="CX81" s="442">
        <f t="shared" ref="CX81:CX112" si="266">$AC81*BB81</f>
        <v>0</v>
      </c>
      <c r="CY81" s="442">
        <f t="shared" ref="CY81:CY112" si="267">$AC81*BC81</f>
        <v>0</v>
      </c>
      <c r="CZ81" s="443">
        <f t="shared" si="105"/>
        <v>0</v>
      </c>
      <c r="DB81" s="442">
        <f t="shared" ref="DB81:DB112" si="268">$AC81*BF81</f>
        <v>0</v>
      </c>
      <c r="DC81" s="442">
        <f t="shared" ref="DC81:DC112" si="269">$AC81*BG81</f>
        <v>0</v>
      </c>
      <c r="DD81" s="442">
        <f t="shared" ref="DD81:DD112" si="270">$AC81*BH81</f>
        <v>0</v>
      </c>
      <c r="DE81" s="442">
        <f t="shared" ref="DE81:DE112" si="271">$AC81*BI81</f>
        <v>0</v>
      </c>
      <c r="DF81" s="442">
        <f t="shared" ref="DF81:DF112" si="272">$AC81*BJ81</f>
        <v>0</v>
      </c>
      <c r="DG81" s="442">
        <f t="shared" ref="DG81:DG112" si="273">$AC81*BK81</f>
        <v>0</v>
      </c>
      <c r="DH81" s="442">
        <f t="shared" ref="DH81:DH112" si="274">$AC81*BL81</f>
        <v>0</v>
      </c>
      <c r="DI81" s="442">
        <f t="shared" ref="DI81:DI112" si="275">$AC81*BM81</f>
        <v>0</v>
      </c>
      <c r="DJ81" s="442">
        <f t="shared" ref="DJ81:DJ112" si="276">$AC81*BN81</f>
        <v>0</v>
      </c>
      <c r="DK81" s="442">
        <f t="shared" ref="DK81:DK112" si="277">$AC81*BO81</f>
        <v>0</v>
      </c>
      <c r="DL81" s="443">
        <f t="shared" si="106"/>
        <v>0</v>
      </c>
      <c r="DN81" s="442">
        <f>IF('2. START'!$C$14&gt;0,(AT81/(1+$AA81))*(1+'2. START'!$C$14),AT81)</f>
        <v>0</v>
      </c>
      <c r="DO81" s="442">
        <f>IF('2. START'!$C$14&gt;0,(AU81/(1+$AA81))*(1+'2. START'!$C$14),AU81)</f>
        <v>0</v>
      </c>
      <c r="DP81" s="442">
        <f>IF('2. START'!$C$14&gt;0,(AV81/(1+$AA81))*(1+'2. START'!$C$14),AV81)</f>
        <v>0</v>
      </c>
      <c r="DQ81" s="442">
        <f>IF('2. START'!$C$14&gt;0,(AW81/(1+$AA81))*(1+'2. START'!$C$14),AW81)</f>
        <v>0</v>
      </c>
      <c r="DR81" s="442">
        <f>IF('2. START'!$C$14&gt;0,(AX81/(1+$AA81))*(1+'2. START'!$C$14),AX81)</f>
        <v>0</v>
      </c>
      <c r="DS81" s="442">
        <f>IF('2. START'!$C$14&gt;0,(AY81/(1+$AA81))*(1+'2. START'!$C$14),AY81)</f>
        <v>0</v>
      </c>
      <c r="DT81" s="442">
        <f>IF('2. START'!$C$14&gt;0,(AZ81/(1+$AA81))*(1+'2. START'!$C$14),AZ81)</f>
        <v>0</v>
      </c>
      <c r="DU81" s="442">
        <f>IF('2. START'!$C$14&gt;0,(BA81/(1+$AA81))*(1+'2. START'!$C$14),BA81)</f>
        <v>0</v>
      </c>
      <c r="DV81" s="442">
        <f>IF('2. START'!$C$14&gt;0,(BB81/(1+$AA81))*(1+'2. START'!$C$14),BB81)</f>
        <v>0</v>
      </c>
      <c r="DW81" s="442">
        <f>IF('2. START'!$C$14&gt;0,(BC81/(1+$AA81))*(1+'2. START'!$C$14),BC81)</f>
        <v>0</v>
      </c>
      <c r="DX81" s="443">
        <f t="shared" si="107"/>
        <v>0</v>
      </c>
      <c r="DZ81" s="442">
        <f>IF('2. START'!$C$11="NO",(IF('2. START'!$C$14&gt;0,(DN81*$AD81),(AT81*$AD81))),(BR81+CP81))</f>
        <v>0</v>
      </c>
      <c r="EA81" s="442">
        <f>IF('2. START'!$C$11="NO",(IF('2. START'!$C$14&gt;0,(DO81*$AD81),(AU81*$AD81))),(BS81+CQ81))</f>
        <v>0</v>
      </c>
      <c r="EB81" s="442">
        <f>IF('2. START'!$C$11="NO",(IF('2. START'!$C$14&gt;0,(DP81*$AD81),(AV81*$AD81))),(BT81+CR81))</f>
        <v>0</v>
      </c>
      <c r="EC81" s="442">
        <f>IF('2. START'!$C$11="NO",(IF('2. START'!$C$14&gt;0,(DQ81*$AD81),(AW81*$AD81))),(BU81+CS81))</f>
        <v>0</v>
      </c>
      <c r="ED81" s="442">
        <f>IF('2. START'!$C$11="NO",(IF('2. START'!$C$14&gt;0,(DR81*$AD81),(AX81*$AD81))),(BV81+CT81))</f>
        <v>0</v>
      </c>
      <c r="EE81" s="442">
        <f>IF('2. START'!$C$11="NO",(IF('2. START'!$C$14&gt;0,(DS81*$AD81),(AY81*$AD81))),(BW81+CU81))</f>
        <v>0</v>
      </c>
      <c r="EF81" s="442">
        <f>IF('2. START'!$C$11="NO",(IF('2. START'!$C$14&gt;0,(DT81*$AD81),(AZ81*$AD81))),(BX81+CV81))</f>
        <v>0</v>
      </c>
      <c r="EG81" s="442">
        <f>IF('2. START'!$C$11="NO",(IF('2. START'!$C$14&gt;0,(DU81*$AD81),(BA81*$AD81))),(BY81+CW81))</f>
        <v>0</v>
      </c>
      <c r="EH81" s="442">
        <f>IF('2. START'!$C$11="NO",(IF('2. START'!$C$14&gt;0,(DV81*$AD81),(BB81*$AD81))),(BZ81+CX81))</f>
        <v>0</v>
      </c>
      <c r="EI81" s="442">
        <f>IF('2. START'!$C$11="NO",(IF('2. START'!$C$14&gt;0,(DW81*$AD81),(BC81*$AD81))),(CA81+CY81))</f>
        <v>0</v>
      </c>
      <c r="EJ81" s="443">
        <f t="shared" si="108"/>
        <v>0</v>
      </c>
      <c r="EL81" s="442">
        <f>(BR81+CP81-DZ81)+IF('2. START'!$C$14&gt;0,AT81-DN81,0)</f>
        <v>0</v>
      </c>
      <c r="EM81" s="442">
        <f>(BS81+CQ81-EA81)+IF('2. START'!$C$14&gt;0,AU81-DO81,0)</f>
        <v>0</v>
      </c>
      <c r="EN81" s="442">
        <f>(BT81+CR81-EB81)+IF('2. START'!$C$14&gt;0,AV81-DP81,0)</f>
        <v>0</v>
      </c>
      <c r="EO81" s="442">
        <f>(BU81+CS81-EC81)+IF('2. START'!$C$14&gt;0,AW81-DQ81,0)</f>
        <v>0</v>
      </c>
      <c r="EP81" s="442">
        <f>(BV81+CT81-ED81)+IF('2. START'!$C$14&gt;0,AX81-DR81,0)</f>
        <v>0</v>
      </c>
      <c r="EQ81" s="442">
        <f>(BW81+CU81-EE81)+IF('2. START'!$C$14&gt;0,AY81-DS81,0)</f>
        <v>0</v>
      </c>
      <c r="ER81" s="442">
        <f>(BX81+CV81-EF81)+IF('2. START'!$C$14&gt;0,AZ81-DT81,0)</f>
        <v>0</v>
      </c>
      <c r="ES81" s="442">
        <f>(BY81+CW81-EG81)+IF('2. START'!$C$14&gt;0,BA81-DU81,0)</f>
        <v>0</v>
      </c>
      <c r="ET81" s="442">
        <f>(BZ81+CX81-EH81)+IF('2. START'!$C$14&gt;0,BB81-DV81,0)</f>
        <v>0</v>
      </c>
      <c r="EU81" s="442">
        <f>(CA81+CY81-EI81)+IF('2. START'!$C$14&gt;0,BC81-DW81,0)</f>
        <v>0</v>
      </c>
      <c r="EV81" s="443">
        <f t="shared" si="109"/>
        <v>0</v>
      </c>
      <c r="EX81" s="442">
        <f t="shared" si="110"/>
        <v>0</v>
      </c>
      <c r="EY81" s="442">
        <f t="shared" si="111"/>
        <v>0</v>
      </c>
      <c r="EZ81" s="442">
        <f t="shared" si="112"/>
        <v>0</v>
      </c>
      <c r="FA81" s="442">
        <f t="shared" si="113"/>
        <v>0</v>
      </c>
      <c r="FB81" s="442">
        <f t="shared" si="114"/>
        <v>0</v>
      </c>
      <c r="FC81" s="442">
        <f t="shared" si="115"/>
        <v>0</v>
      </c>
      <c r="FD81" s="442">
        <f t="shared" si="116"/>
        <v>0</v>
      </c>
      <c r="FE81" s="442">
        <f t="shared" si="117"/>
        <v>0</v>
      </c>
      <c r="FF81" s="442">
        <f t="shared" si="118"/>
        <v>0</v>
      </c>
      <c r="FG81" s="442">
        <f t="shared" si="119"/>
        <v>0</v>
      </c>
      <c r="FH81" s="443">
        <f t="shared" si="120"/>
        <v>0</v>
      </c>
      <c r="FJ81" s="442">
        <f t="shared" si="121"/>
        <v>0</v>
      </c>
      <c r="FK81" s="442">
        <f t="shared" si="122"/>
        <v>0</v>
      </c>
      <c r="FL81" s="442">
        <f t="shared" si="123"/>
        <v>0</v>
      </c>
      <c r="FM81" s="442">
        <f t="shared" si="124"/>
        <v>0</v>
      </c>
      <c r="FN81" s="442">
        <f t="shared" si="125"/>
        <v>0</v>
      </c>
      <c r="FO81" s="442">
        <f t="shared" si="126"/>
        <v>0</v>
      </c>
      <c r="FP81" s="442">
        <f t="shared" si="127"/>
        <v>0</v>
      </c>
      <c r="FQ81" s="442">
        <f t="shared" si="128"/>
        <v>0</v>
      </c>
      <c r="FR81" s="442">
        <f t="shared" si="129"/>
        <v>0</v>
      </c>
      <c r="FS81" s="442">
        <f t="shared" si="130"/>
        <v>0</v>
      </c>
      <c r="FT81" s="443">
        <f t="shared" si="131"/>
        <v>0</v>
      </c>
    </row>
    <row r="82" spans="2:176" s="270" customFormat="1" ht="15" customHeight="1" x14ac:dyDescent="0.25">
      <c r="B82" s="446" t="str">
        <f>'2. START'!C$7</f>
        <v>100GEM</v>
      </c>
      <c r="C82" s="469"/>
      <c r="D82" s="589"/>
      <c r="E82" s="544">
        <v>0</v>
      </c>
      <c r="F82" s="448"/>
      <c r="G82" s="449"/>
      <c r="H82" s="449"/>
      <c r="I82" s="449"/>
      <c r="J82" s="449"/>
      <c r="K82" s="449"/>
      <c r="L82" s="449"/>
      <c r="M82" s="449"/>
      <c r="N82" s="449"/>
      <c r="O82" s="449"/>
      <c r="P82" s="449"/>
      <c r="Q82" s="546">
        <f>SUMIF('3. PARTNER'!$B$13:$B$80,$B82,'3. PARTNER'!$F$13:$F$80)</f>
        <v>0.02</v>
      </c>
      <c r="R82" s="450">
        <f t="shared" si="207"/>
        <v>0.02</v>
      </c>
      <c r="S82" s="450">
        <f t="shared" si="207"/>
        <v>0.02</v>
      </c>
      <c r="T82" s="450">
        <f t="shared" si="207"/>
        <v>0.02</v>
      </c>
      <c r="U82" s="450">
        <f t="shared" si="207"/>
        <v>0.02</v>
      </c>
      <c r="V82" s="450">
        <f t="shared" si="207"/>
        <v>0.02</v>
      </c>
      <c r="W82" s="450">
        <f t="shared" si="207"/>
        <v>0.02</v>
      </c>
      <c r="X82" s="450">
        <f t="shared" si="207"/>
        <v>0.02</v>
      </c>
      <c r="Y82" s="450">
        <f t="shared" si="207"/>
        <v>0.02</v>
      </c>
      <c r="Z82" s="450">
        <f t="shared" si="207"/>
        <v>0.02</v>
      </c>
      <c r="AA82" s="451">
        <f>SUMIF('3. PARTNER'!B$13:B$80,B82,'3. PARTNER'!E$13:E$80)</f>
        <v>0.5595</v>
      </c>
      <c r="AB82" s="452">
        <f>IF('2. START'!$C$20="UTB",(SUMIF('3. PARTNER'!B$13:B$80,B82,'3. PARTNER'!K$13:K$80))+(SUMIF('3. PARTNER'!B$13:B$80,B82,'3. PARTNER'!M$13:M$80)),(SUMIF('3. PARTNER'!B$13:B$80,B82,'3. PARTNER'!G$13:G$80))+(SUMIF('3. PARTNER'!B$13:B$80,B82,'3. PARTNER'!I$13:I$80)))</f>
        <v>0.16000843770704321</v>
      </c>
      <c r="AC82" s="452">
        <f>IF('2. START'!$C$20="UTB",(SUMIF('3. PARTNER'!B$13:B$80,B82,'3. PARTNER'!L$13:L$80))+(SUMIF('3. PARTNER'!B$13:B$80,B82,'3. PARTNER'!N$13:N$80)),(SUMIF('3. PARTNER'!B$13:B$80,B82,'3. PARTNER'!H$13:H$80))+(SUMIF('3. PARTNER'!B$13:B$80,B82,'3. PARTNER'!J$13:J$80)))</f>
        <v>0</v>
      </c>
      <c r="AD82" s="452">
        <f>IF('2. START'!C$11="NO",'2. START'!C$12,0)</f>
        <v>0</v>
      </c>
      <c r="AE82" s="453">
        <f t="shared" ref="AE82:AE192" si="278">SUM(G82:P82)</f>
        <v>0</v>
      </c>
      <c r="AF82" s="453">
        <f t="shared" ref="AF82:AF192" si="279">IF(E82=0,0,E82*AE82)</f>
        <v>0</v>
      </c>
      <c r="AG82" s="454"/>
      <c r="AH82" s="455">
        <f t="shared" si="208"/>
        <v>0</v>
      </c>
      <c r="AI82" s="455">
        <f t="shared" si="209"/>
        <v>0</v>
      </c>
      <c r="AJ82" s="455">
        <f t="shared" si="210"/>
        <v>0</v>
      </c>
      <c r="AK82" s="455">
        <f t="shared" si="211"/>
        <v>0</v>
      </c>
      <c r="AL82" s="455">
        <f t="shared" si="212"/>
        <v>0</v>
      </c>
      <c r="AM82" s="455">
        <f t="shared" si="213"/>
        <v>0</v>
      </c>
      <c r="AN82" s="455">
        <f t="shared" si="214"/>
        <v>0</v>
      </c>
      <c r="AO82" s="455">
        <f t="shared" si="215"/>
        <v>0</v>
      </c>
      <c r="AP82" s="455">
        <f t="shared" si="216"/>
        <v>0</v>
      </c>
      <c r="AQ82" s="455">
        <f t="shared" si="217"/>
        <v>0</v>
      </c>
      <c r="AR82" s="456">
        <f t="shared" ref="AR82:AR192" si="280">SUM(AH82:AQ82)</f>
        <v>0</v>
      </c>
      <c r="AS82" s="457"/>
      <c r="AT82" s="455">
        <f t="shared" si="218"/>
        <v>0</v>
      </c>
      <c r="AU82" s="455">
        <f t="shared" si="219"/>
        <v>0</v>
      </c>
      <c r="AV82" s="455">
        <f t="shared" si="220"/>
        <v>0</v>
      </c>
      <c r="AW82" s="455">
        <f t="shared" si="221"/>
        <v>0</v>
      </c>
      <c r="AX82" s="455">
        <f t="shared" si="222"/>
        <v>0</v>
      </c>
      <c r="AY82" s="455">
        <f t="shared" si="223"/>
        <v>0</v>
      </c>
      <c r="AZ82" s="455">
        <f t="shared" si="224"/>
        <v>0</v>
      </c>
      <c r="BA82" s="455">
        <f t="shared" si="225"/>
        <v>0</v>
      </c>
      <c r="BB82" s="455">
        <f t="shared" si="226"/>
        <v>0</v>
      </c>
      <c r="BC82" s="455">
        <f t="shared" si="227"/>
        <v>0</v>
      </c>
      <c r="BD82" s="456">
        <f t="shared" ref="BD82:BD192" si="281">SUM(AT82:BC82)</f>
        <v>0</v>
      </c>
      <c r="BE82" s="457"/>
      <c r="BF82" s="455">
        <f t="shared" si="228"/>
        <v>0</v>
      </c>
      <c r="BG82" s="455">
        <f t="shared" si="229"/>
        <v>0</v>
      </c>
      <c r="BH82" s="455">
        <f t="shared" si="230"/>
        <v>0</v>
      </c>
      <c r="BI82" s="455">
        <f t="shared" si="231"/>
        <v>0</v>
      </c>
      <c r="BJ82" s="455">
        <f t="shared" si="232"/>
        <v>0</v>
      </c>
      <c r="BK82" s="455">
        <f t="shared" si="233"/>
        <v>0</v>
      </c>
      <c r="BL82" s="455">
        <f t="shared" si="234"/>
        <v>0</v>
      </c>
      <c r="BM82" s="455">
        <f t="shared" si="235"/>
        <v>0</v>
      </c>
      <c r="BN82" s="455">
        <f t="shared" si="236"/>
        <v>0</v>
      </c>
      <c r="BO82" s="455">
        <f t="shared" si="237"/>
        <v>0</v>
      </c>
      <c r="BP82" s="456">
        <f t="shared" ref="BP82:BP192" si="282">SUM(BF82:BO82)</f>
        <v>0</v>
      </c>
      <c r="BQ82" s="463"/>
      <c r="BR82" s="459">
        <f t="shared" si="238"/>
        <v>0</v>
      </c>
      <c r="BS82" s="459">
        <f t="shared" si="239"/>
        <v>0</v>
      </c>
      <c r="BT82" s="459">
        <f t="shared" si="240"/>
        <v>0</v>
      </c>
      <c r="BU82" s="459">
        <f t="shared" si="241"/>
        <v>0</v>
      </c>
      <c r="BV82" s="459">
        <f t="shared" si="242"/>
        <v>0</v>
      </c>
      <c r="BW82" s="459">
        <f t="shared" si="243"/>
        <v>0</v>
      </c>
      <c r="BX82" s="459">
        <f t="shared" si="244"/>
        <v>0</v>
      </c>
      <c r="BY82" s="459">
        <f t="shared" si="245"/>
        <v>0</v>
      </c>
      <c r="BZ82" s="459">
        <f t="shared" si="246"/>
        <v>0</v>
      </c>
      <c r="CA82" s="459">
        <f t="shared" si="247"/>
        <v>0</v>
      </c>
      <c r="CB82" s="460">
        <f t="shared" ref="CB82:CB192" si="283">SUM(BR82:CA82)</f>
        <v>0</v>
      </c>
      <c r="CC82" s="463"/>
      <c r="CD82" s="462">
        <f t="shared" si="248"/>
        <v>0</v>
      </c>
      <c r="CE82" s="462">
        <f t="shared" si="249"/>
        <v>0</v>
      </c>
      <c r="CF82" s="462">
        <f t="shared" si="250"/>
        <v>0</v>
      </c>
      <c r="CG82" s="462">
        <f t="shared" si="251"/>
        <v>0</v>
      </c>
      <c r="CH82" s="462">
        <f t="shared" si="252"/>
        <v>0</v>
      </c>
      <c r="CI82" s="462">
        <f t="shared" si="253"/>
        <v>0</v>
      </c>
      <c r="CJ82" s="462">
        <f t="shared" si="254"/>
        <v>0</v>
      </c>
      <c r="CK82" s="462">
        <f t="shared" si="255"/>
        <v>0</v>
      </c>
      <c r="CL82" s="462">
        <f t="shared" si="256"/>
        <v>0</v>
      </c>
      <c r="CM82" s="462">
        <f t="shared" si="257"/>
        <v>0</v>
      </c>
      <c r="CN82" s="460">
        <f t="shared" ref="CN82:CN192" si="284">SUM(CD82:CM82)</f>
        <v>0</v>
      </c>
      <c r="CO82" s="463"/>
      <c r="CP82" s="459">
        <f t="shared" si="258"/>
        <v>0</v>
      </c>
      <c r="CQ82" s="459">
        <f t="shared" si="259"/>
        <v>0</v>
      </c>
      <c r="CR82" s="459">
        <f t="shared" si="260"/>
        <v>0</v>
      </c>
      <c r="CS82" s="459">
        <f t="shared" si="261"/>
        <v>0</v>
      </c>
      <c r="CT82" s="459">
        <f t="shared" si="262"/>
        <v>0</v>
      </c>
      <c r="CU82" s="459">
        <f t="shared" si="263"/>
        <v>0</v>
      </c>
      <c r="CV82" s="459">
        <f t="shared" si="264"/>
        <v>0</v>
      </c>
      <c r="CW82" s="459">
        <f t="shared" si="265"/>
        <v>0</v>
      </c>
      <c r="CX82" s="459">
        <f t="shared" si="266"/>
        <v>0</v>
      </c>
      <c r="CY82" s="459">
        <f t="shared" si="267"/>
        <v>0</v>
      </c>
      <c r="CZ82" s="460">
        <f t="shared" ref="CZ82:CZ192" si="285">SUM(CP82:CY82)</f>
        <v>0</v>
      </c>
      <c r="DA82" s="463"/>
      <c r="DB82" s="459">
        <f t="shared" si="268"/>
        <v>0</v>
      </c>
      <c r="DC82" s="459">
        <f t="shared" si="269"/>
        <v>0</v>
      </c>
      <c r="DD82" s="459">
        <f t="shared" si="270"/>
        <v>0</v>
      </c>
      <c r="DE82" s="459">
        <f t="shared" si="271"/>
        <v>0</v>
      </c>
      <c r="DF82" s="459">
        <f t="shared" si="272"/>
        <v>0</v>
      </c>
      <c r="DG82" s="459">
        <f t="shared" si="273"/>
        <v>0</v>
      </c>
      <c r="DH82" s="459">
        <f t="shared" si="274"/>
        <v>0</v>
      </c>
      <c r="DI82" s="459">
        <f t="shared" si="275"/>
        <v>0</v>
      </c>
      <c r="DJ82" s="459">
        <f t="shared" si="276"/>
        <v>0</v>
      </c>
      <c r="DK82" s="459">
        <f t="shared" si="277"/>
        <v>0</v>
      </c>
      <c r="DL82" s="460">
        <f t="shared" ref="DL82:DL192" si="286">SUM(DB82:DK82)</f>
        <v>0</v>
      </c>
      <c r="DM82" s="463"/>
      <c r="DN82" s="442">
        <f>IF('2. START'!$C$14&gt;0,(AT82/(1+$AA82))*(1+'2. START'!$C$14),AT82)</f>
        <v>0</v>
      </c>
      <c r="DO82" s="442">
        <f>IF('2. START'!$C$14&gt;0,(AU82/(1+$AA82))*(1+'2. START'!$C$14),AU82)</f>
        <v>0</v>
      </c>
      <c r="DP82" s="442">
        <f>IF('2. START'!$C$14&gt;0,(AV82/(1+$AA82))*(1+'2. START'!$C$14),AV82)</f>
        <v>0</v>
      </c>
      <c r="DQ82" s="442">
        <f>IF('2. START'!$C$14&gt;0,(AW82/(1+$AA82))*(1+'2. START'!$C$14),AW82)</f>
        <v>0</v>
      </c>
      <c r="DR82" s="442">
        <f>IF('2. START'!$C$14&gt;0,(AX82/(1+$AA82))*(1+'2. START'!$C$14),AX82)</f>
        <v>0</v>
      </c>
      <c r="DS82" s="442">
        <f>IF('2. START'!$C$14&gt;0,(AY82/(1+$AA82))*(1+'2. START'!$C$14),AY82)</f>
        <v>0</v>
      </c>
      <c r="DT82" s="442">
        <f>IF('2. START'!$C$14&gt;0,(AZ82/(1+$AA82))*(1+'2. START'!$C$14),AZ82)</f>
        <v>0</v>
      </c>
      <c r="DU82" s="442">
        <f>IF('2. START'!$C$14&gt;0,(BA82/(1+$AA82))*(1+'2. START'!$C$14),BA82)</f>
        <v>0</v>
      </c>
      <c r="DV82" s="442">
        <f>IF('2. START'!$C$14&gt;0,(BB82/(1+$AA82))*(1+'2. START'!$C$14),BB82)</f>
        <v>0</v>
      </c>
      <c r="DW82" s="442">
        <f>IF('2. START'!$C$14&gt;0,(BC82/(1+$AA82))*(1+'2. START'!$C$14),BC82)</f>
        <v>0</v>
      </c>
      <c r="DX82" s="460">
        <f t="shared" ref="DX82:DX192" si="287">SUM(DN82:DW82)</f>
        <v>0</v>
      </c>
      <c r="DY82" s="463"/>
      <c r="DZ82" s="459">
        <f>IF('2. START'!$C$11="NO",(IF('2. START'!$C$14&gt;0,(DN82*$AD82),(AT82*$AD82))),(BR82+CP82))</f>
        <v>0</v>
      </c>
      <c r="EA82" s="459">
        <f>IF('2. START'!$C$11="NO",(IF('2. START'!$C$14&gt;0,(DO82*$AD82),(AU82*$AD82))),(BS82+CQ82))</f>
        <v>0</v>
      </c>
      <c r="EB82" s="459">
        <f>IF('2. START'!$C$11="NO",(IF('2. START'!$C$14&gt;0,(DP82*$AD82),(AV82*$AD82))),(BT82+CR82))</f>
        <v>0</v>
      </c>
      <c r="EC82" s="459">
        <f>IF('2. START'!$C$11="NO",(IF('2. START'!$C$14&gt;0,(DQ82*$AD82),(AW82*$AD82))),(BU82+CS82))</f>
        <v>0</v>
      </c>
      <c r="ED82" s="459">
        <f>IF('2. START'!$C$11="NO",(IF('2. START'!$C$14&gt;0,(DR82*$AD82),(AX82*$AD82))),(BV82+CT82))</f>
        <v>0</v>
      </c>
      <c r="EE82" s="459">
        <f>IF('2. START'!$C$11="NO",(IF('2. START'!$C$14&gt;0,(DS82*$AD82),(AY82*$AD82))),(BW82+CU82))</f>
        <v>0</v>
      </c>
      <c r="EF82" s="459">
        <f>IF('2. START'!$C$11="NO",(IF('2. START'!$C$14&gt;0,(DT82*$AD82),(AZ82*$AD82))),(BX82+CV82))</f>
        <v>0</v>
      </c>
      <c r="EG82" s="459">
        <f>IF('2. START'!$C$11="NO",(IF('2. START'!$C$14&gt;0,(DU82*$AD82),(BA82*$AD82))),(BY82+CW82))</f>
        <v>0</v>
      </c>
      <c r="EH82" s="459">
        <f>IF('2. START'!$C$11="NO",(IF('2. START'!$C$14&gt;0,(DV82*$AD82),(BB82*$AD82))),(BZ82+CX82))</f>
        <v>0</v>
      </c>
      <c r="EI82" s="459">
        <f>IF('2. START'!$C$11="NO",(IF('2. START'!$C$14&gt;0,(DW82*$AD82),(BC82*$AD82))),(CA82+CY82))</f>
        <v>0</v>
      </c>
      <c r="EJ82" s="460">
        <f t="shared" ref="EJ82:EJ192" si="288">SUM(DZ82:EI82)</f>
        <v>0</v>
      </c>
      <c r="EK82" s="463"/>
      <c r="EL82" s="459">
        <f>(BR82+CP82-DZ82)+IF('2. START'!$C$14&gt;0,AT82-DN82,0)</f>
        <v>0</v>
      </c>
      <c r="EM82" s="459">
        <f>(BS82+CQ82-EA82)+IF('2. START'!$C$14&gt;0,AU82-DO82,0)</f>
        <v>0</v>
      </c>
      <c r="EN82" s="459">
        <f>(BT82+CR82-EB82)+IF('2. START'!$C$14&gt;0,AV82-DP82,0)</f>
        <v>0</v>
      </c>
      <c r="EO82" s="459">
        <f>(BU82+CS82-EC82)+IF('2. START'!$C$14&gt;0,AW82-DQ82,0)</f>
        <v>0</v>
      </c>
      <c r="EP82" s="459">
        <f>(BV82+CT82-ED82)+IF('2. START'!$C$14&gt;0,AX82-DR82,0)</f>
        <v>0</v>
      </c>
      <c r="EQ82" s="459">
        <f>(BW82+CU82-EE82)+IF('2. START'!$C$14&gt;0,AY82-DS82,0)</f>
        <v>0</v>
      </c>
      <c r="ER82" s="459">
        <f>(BX82+CV82-EF82)+IF('2. START'!$C$14&gt;0,AZ82-DT82,0)</f>
        <v>0</v>
      </c>
      <c r="ES82" s="459">
        <f>(BY82+CW82-EG82)+IF('2. START'!$C$14&gt;0,BA82-DU82,0)</f>
        <v>0</v>
      </c>
      <c r="ET82" s="459">
        <f>(BZ82+CX82-EH82)+IF('2. START'!$C$14&gt;0,BB82-DV82,0)</f>
        <v>0</v>
      </c>
      <c r="EU82" s="459">
        <f>(CA82+CY82-EI82)+IF('2. START'!$C$14&gt;0,BC82-DW82,0)</f>
        <v>0</v>
      </c>
      <c r="EV82" s="460">
        <f t="shared" ref="EV82:EV192" si="289">SUM(EL82:EU82)</f>
        <v>0</v>
      </c>
      <c r="EW82" s="463"/>
      <c r="EX82" s="459">
        <f t="shared" ref="EX82:EX192" si="290">AT82+BR82+CP82</f>
        <v>0</v>
      </c>
      <c r="EY82" s="459">
        <f t="shared" ref="EY82:EY192" si="291">AU82+BS82+CQ82</f>
        <v>0</v>
      </c>
      <c r="EZ82" s="459">
        <f t="shared" ref="EZ82:EZ192" si="292">AV82+BT82+CR82</f>
        <v>0</v>
      </c>
      <c r="FA82" s="459">
        <f t="shared" ref="FA82:FA192" si="293">AW82+BU82+CS82</f>
        <v>0</v>
      </c>
      <c r="FB82" s="459">
        <f t="shared" ref="FB82:FB192" si="294">AX82+BV82+CT82</f>
        <v>0</v>
      </c>
      <c r="FC82" s="459">
        <f t="shared" ref="FC82:FC192" si="295">AY82+BW82+CU82</f>
        <v>0</v>
      </c>
      <c r="FD82" s="459">
        <f t="shared" ref="FD82:FD192" si="296">AZ82+BX82+CV82</f>
        <v>0</v>
      </c>
      <c r="FE82" s="459">
        <f t="shared" ref="FE82:FE192" si="297">BA82+BY82+CW82</f>
        <v>0</v>
      </c>
      <c r="FF82" s="459">
        <f t="shared" ref="FF82:FF192" si="298">BB82+BZ82+CX82</f>
        <v>0</v>
      </c>
      <c r="FG82" s="459">
        <f t="shared" ref="FG82:FG192" si="299">BC82+CA82+CY82</f>
        <v>0</v>
      </c>
      <c r="FH82" s="460">
        <f t="shared" ref="FH82:FH192" si="300">SUM(EX82:FG82)</f>
        <v>0</v>
      </c>
      <c r="FI82" s="463"/>
      <c r="FJ82" s="459">
        <f t="shared" ref="FJ82:FJ192" si="301">BF82+CD82+DB82</f>
        <v>0</v>
      </c>
      <c r="FK82" s="459">
        <f t="shared" ref="FK82:FK192" si="302">BG82+CE82+DC82</f>
        <v>0</v>
      </c>
      <c r="FL82" s="459">
        <f t="shared" ref="FL82:FL192" si="303">BH82+CF82+DD82</f>
        <v>0</v>
      </c>
      <c r="FM82" s="459">
        <f t="shared" ref="FM82:FM192" si="304">BI82+CG82+DE82</f>
        <v>0</v>
      </c>
      <c r="FN82" s="459">
        <f t="shared" ref="FN82:FN192" si="305">BJ82+CH82+DF82</f>
        <v>0</v>
      </c>
      <c r="FO82" s="459">
        <f t="shared" ref="FO82:FO192" si="306">BK82+CI82+DG82</f>
        <v>0</v>
      </c>
      <c r="FP82" s="459">
        <f t="shared" ref="FP82:FP192" si="307">BL82+CJ82+DH82</f>
        <v>0</v>
      </c>
      <c r="FQ82" s="459">
        <f t="shared" ref="FQ82:FQ192" si="308">BM82+CK82+DI82</f>
        <v>0</v>
      </c>
      <c r="FR82" s="459">
        <f t="shared" ref="FR82:FR192" si="309">BN82+CL82+DJ82</f>
        <v>0</v>
      </c>
      <c r="FS82" s="459">
        <f t="shared" ref="FS82:FS192" si="310">BO82+CM82+DK82</f>
        <v>0</v>
      </c>
      <c r="FT82" s="460">
        <f t="shared" ref="FT82:FT192" si="311">SUM(FJ82:FS82)</f>
        <v>0</v>
      </c>
    </row>
    <row r="83" spans="2:176" s="270" customFormat="1" ht="15" customHeight="1" x14ac:dyDescent="0.25">
      <c r="B83" s="464" t="str">
        <f>'2. START'!C$7</f>
        <v>100GEM</v>
      </c>
      <c r="C83" s="470"/>
      <c r="D83" s="590"/>
      <c r="E83" s="514">
        <v>0</v>
      </c>
      <c r="F83" s="467"/>
      <c r="G83" s="432"/>
      <c r="H83" s="432"/>
      <c r="I83" s="432"/>
      <c r="J83" s="432"/>
      <c r="K83" s="432"/>
      <c r="L83" s="432"/>
      <c r="M83" s="432"/>
      <c r="N83" s="432"/>
      <c r="O83" s="432"/>
      <c r="P83" s="432"/>
      <c r="Q83" s="545">
        <f>SUMIF('3. PARTNER'!$B$13:$B$80,$B83,'3. PARTNER'!$F$13:$F$80)</f>
        <v>0.02</v>
      </c>
      <c r="R83" s="466">
        <f t="shared" si="207"/>
        <v>0.02</v>
      </c>
      <c r="S83" s="466">
        <f t="shared" si="207"/>
        <v>0.02</v>
      </c>
      <c r="T83" s="466">
        <f t="shared" si="207"/>
        <v>0.02</v>
      </c>
      <c r="U83" s="466">
        <f t="shared" si="207"/>
        <v>0.02</v>
      </c>
      <c r="V83" s="466">
        <f t="shared" si="207"/>
        <v>0.02</v>
      </c>
      <c r="W83" s="466">
        <f t="shared" si="207"/>
        <v>0.02</v>
      </c>
      <c r="X83" s="466">
        <f t="shared" si="207"/>
        <v>0.02</v>
      </c>
      <c r="Y83" s="466">
        <f t="shared" si="207"/>
        <v>0.02</v>
      </c>
      <c r="Z83" s="466">
        <f t="shared" si="207"/>
        <v>0.02</v>
      </c>
      <c r="AA83" s="434">
        <f>SUMIF('3. PARTNER'!B$13:B$80,B83,'3. PARTNER'!E$13:E$80)</f>
        <v>0.5595</v>
      </c>
      <c r="AB83" s="435">
        <f>IF('2. START'!$C$20="UTB",(SUMIF('3. PARTNER'!B$13:B$80,B83,'3. PARTNER'!K$13:K$80))+(SUMIF('3. PARTNER'!B$13:B$80,B83,'3. PARTNER'!M$13:M$80)),(SUMIF('3. PARTNER'!B$13:B$80,B83,'3. PARTNER'!G$13:G$80))+(SUMIF('3. PARTNER'!B$13:B$80,B83,'3. PARTNER'!I$13:I$80)))</f>
        <v>0.16000843770704321</v>
      </c>
      <c r="AC83" s="435">
        <f>IF('2. START'!$C$20="UTB",(SUMIF('3. PARTNER'!B$13:B$80,B83,'3. PARTNER'!L$13:L$80))+(SUMIF('3. PARTNER'!B$13:B$80,B83,'3. PARTNER'!N$13:N$80)),(SUMIF('3. PARTNER'!B$13:B$80,B83,'3. PARTNER'!H$13:H$80))+(SUMIF('3. PARTNER'!B$13:B$80,B83,'3. PARTNER'!J$13:J$80)))</f>
        <v>0</v>
      </c>
      <c r="AD83" s="435">
        <f>IF('2. START'!C$11="NO",'2. START'!C$12,0)</f>
        <v>0</v>
      </c>
      <c r="AE83" s="436">
        <f t="shared" si="278"/>
        <v>0</v>
      </c>
      <c r="AF83" s="436">
        <f t="shared" si="279"/>
        <v>0</v>
      </c>
      <c r="AG83" s="437"/>
      <c r="AH83" s="438">
        <f t="shared" si="208"/>
        <v>0</v>
      </c>
      <c r="AI83" s="438">
        <f t="shared" si="209"/>
        <v>0</v>
      </c>
      <c r="AJ83" s="438">
        <f t="shared" si="210"/>
        <v>0</v>
      </c>
      <c r="AK83" s="438">
        <f t="shared" si="211"/>
        <v>0</v>
      </c>
      <c r="AL83" s="438">
        <f t="shared" si="212"/>
        <v>0</v>
      </c>
      <c r="AM83" s="438">
        <f t="shared" si="213"/>
        <v>0</v>
      </c>
      <c r="AN83" s="438">
        <f t="shared" si="214"/>
        <v>0</v>
      </c>
      <c r="AO83" s="438">
        <f t="shared" si="215"/>
        <v>0</v>
      </c>
      <c r="AP83" s="438">
        <f t="shared" si="216"/>
        <v>0</v>
      </c>
      <c r="AQ83" s="438">
        <f t="shared" si="217"/>
        <v>0</v>
      </c>
      <c r="AR83" s="439">
        <f t="shared" si="280"/>
        <v>0</v>
      </c>
      <c r="AS83" s="440"/>
      <c r="AT83" s="438">
        <f t="shared" si="218"/>
        <v>0</v>
      </c>
      <c r="AU83" s="438">
        <f t="shared" si="219"/>
        <v>0</v>
      </c>
      <c r="AV83" s="438">
        <f t="shared" si="220"/>
        <v>0</v>
      </c>
      <c r="AW83" s="438">
        <f t="shared" si="221"/>
        <v>0</v>
      </c>
      <c r="AX83" s="438">
        <f t="shared" si="222"/>
        <v>0</v>
      </c>
      <c r="AY83" s="438">
        <f t="shared" si="223"/>
        <v>0</v>
      </c>
      <c r="AZ83" s="438">
        <f t="shared" si="224"/>
        <v>0</v>
      </c>
      <c r="BA83" s="438">
        <f t="shared" si="225"/>
        <v>0</v>
      </c>
      <c r="BB83" s="438">
        <f t="shared" si="226"/>
        <v>0</v>
      </c>
      <c r="BC83" s="438">
        <f t="shared" si="227"/>
        <v>0</v>
      </c>
      <c r="BD83" s="439">
        <f t="shared" si="281"/>
        <v>0</v>
      </c>
      <c r="BE83" s="440"/>
      <c r="BF83" s="438">
        <f t="shared" si="228"/>
        <v>0</v>
      </c>
      <c r="BG83" s="438">
        <f t="shared" si="229"/>
        <v>0</v>
      </c>
      <c r="BH83" s="438">
        <f t="shared" si="230"/>
        <v>0</v>
      </c>
      <c r="BI83" s="438">
        <f t="shared" si="231"/>
        <v>0</v>
      </c>
      <c r="BJ83" s="438">
        <f t="shared" si="232"/>
        <v>0</v>
      </c>
      <c r="BK83" s="438">
        <f t="shared" si="233"/>
        <v>0</v>
      </c>
      <c r="BL83" s="438">
        <f t="shared" si="234"/>
        <v>0</v>
      </c>
      <c r="BM83" s="438">
        <f t="shared" si="235"/>
        <v>0</v>
      </c>
      <c r="BN83" s="438">
        <f t="shared" si="236"/>
        <v>0</v>
      </c>
      <c r="BO83" s="438">
        <f t="shared" si="237"/>
        <v>0</v>
      </c>
      <c r="BP83" s="439">
        <f t="shared" si="282"/>
        <v>0</v>
      </c>
      <c r="BR83" s="442">
        <f t="shared" si="238"/>
        <v>0</v>
      </c>
      <c r="BS83" s="442">
        <f t="shared" si="239"/>
        <v>0</v>
      </c>
      <c r="BT83" s="442">
        <f t="shared" si="240"/>
        <v>0</v>
      </c>
      <c r="BU83" s="442">
        <f t="shared" si="241"/>
        <v>0</v>
      </c>
      <c r="BV83" s="442">
        <f t="shared" si="242"/>
        <v>0</v>
      </c>
      <c r="BW83" s="442">
        <f t="shared" si="243"/>
        <v>0</v>
      </c>
      <c r="BX83" s="442">
        <f t="shared" si="244"/>
        <v>0</v>
      </c>
      <c r="BY83" s="442">
        <f t="shared" si="245"/>
        <v>0</v>
      </c>
      <c r="BZ83" s="442">
        <f t="shared" si="246"/>
        <v>0</v>
      </c>
      <c r="CA83" s="442">
        <f t="shared" si="247"/>
        <v>0</v>
      </c>
      <c r="CB83" s="443">
        <f t="shared" si="283"/>
        <v>0</v>
      </c>
      <c r="CD83" s="445">
        <f t="shared" si="248"/>
        <v>0</v>
      </c>
      <c r="CE83" s="445">
        <f t="shared" si="249"/>
        <v>0</v>
      </c>
      <c r="CF83" s="445">
        <f t="shared" si="250"/>
        <v>0</v>
      </c>
      <c r="CG83" s="445">
        <f t="shared" si="251"/>
        <v>0</v>
      </c>
      <c r="CH83" s="445">
        <f t="shared" si="252"/>
        <v>0</v>
      </c>
      <c r="CI83" s="445">
        <f t="shared" si="253"/>
        <v>0</v>
      </c>
      <c r="CJ83" s="445">
        <f t="shared" si="254"/>
        <v>0</v>
      </c>
      <c r="CK83" s="445">
        <f t="shared" si="255"/>
        <v>0</v>
      </c>
      <c r="CL83" s="445">
        <f t="shared" si="256"/>
        <v>0</v>
      </c>
      <c r="CM83" s="445">
        <f t="shared" si="257"/>
        <v>0</v>
      </c>
      <c r="CN83" s="443">
        <f t="shared" si="284"/>
        <v>0</v>
      </c>
      <c r="CP83" s="442">
        <f t="shared" si="258"/>
        <v>0</v>
      </c>
      <c r="CQ83" s="442">
        <f t="shared" si="259"/>
        <v>0</v>
      </c>
      <c r="CR83" s="442">
        <f t="shared" si="260"/>
        <v>0</v>
      </c>
      <c r="CS83" s="442">
        <f t="shared" si="261"/>
        <v>0</v>
      </c>
      <c r="CT83" s="442">
        <f t="shared" si="262"/>
        <v>0</v>
      </c>
      <c r="CU83" s="442">
        <f t="shared" si="263"/>
        <v>0</v>
      </c>
      <c r="CV83" s="442">
        <f t="shared" si="264"/>
        <v>0</v>
      </c>
      <c r="CW83" s="442">
        <f t="shared" si="265"/>
        <v>0</v>
      </c>
      <c r="CX83" s="442">
        <f t="shared" si="266"/>
        <v>0</v>
      </c>
      <c r="CY83" s="442">
        <f t="shared" si="267"/>
        <v>0</v>
      </c>
      <c r="CZ83" s="443">
        <f t="shared" si="285"/>
        <v>0</v>
      </c>
      <c r="DB83" s="442">
        <f t="shared" si="268"/>
        <v>0</v>
      </c>
      <c r="DC83" s="442">
        <f t="shared" si="269"/>
        <v>0</v>
      </c>
      <c r="DD83" s="442">
        <f t="shared" si="270"/>
        <v>0</v>
      </c>
      <c r="DE83" s="442">
        <f t="shared" si="271"/>
        <v>0</v>
      </c>
      <c r="DF83" s="442">
        <f t="shared" si="272"/>
        <v>0</v>
      </c>
      <c r="DG83" s="442">
        <f t="shared" si="273"/>
        <v>0</v>
      </c>
      <c r="DH83" s="442">
        <f t="shared" si="274"/>
        <v>0</v>
      </c>
      <c r="DI83" s="442">
        <f t="shared" si="275"/>
        <v>0</v>
      </c>
      <c r="DJ83" s="442">
        <f t="shared" si="276"/>
        <v>0</v>
      </c>
      <c r="DK83" s="442">
        <f t="shared" si="277"/>
        <v>0</v>
      </c>
      <c r="DL83" s="443">
        <f t="shared" si="286"/>
        <v>0</v>
      </c>
      <c r="DN83" s="442">
        <f>IF('2. START'!$C$14&gt;0,(AT83/(1+$AA83))*(1+'2. START'!$C$14),AT83)</f>
        <v>0</v>
      </c>
      <c r="DO83" s="442">
        <f>IF('2. START'!$C$14&gt;0,(AU83/(1+$AA83))*(1+'2. START'!$C$14),AU83)</f>
        <v>0</v>
      </c>
      <c r="DP83" s="442">
        <f>IF('2. START'!$C$14&gt;0,(AV83/(1+$AA83))*(1+'2. START'!$C$14),AV83)</f>
        <v>0</v>
      </c>
      <c r="DQ83" s="442">
        <f>IF('2. START'!$C$14&gt;0,(AW83/(1+$AA83))*(1+'2. START'!$C$14),AW83)</f>
        <v>0</v>
      </c>
      <c r="DR83" s="442">
        <f>IF('2. START'!$C$14&gt;0,(AX83/(1+$AA83))*(1+'2. START'!$C$14),AX83)</f>
        <v>0</v>
      </c>
      <c r="DS83" s="442">
        <f>IF('2. START'!$C$14&gt;0,(AY83/(1+$AA83))*(1+'2. START'!$C$14),AY83)</f>
        <v>0</v>
      </c>
      <c r="DT83" s="442">
        <f>IF('2. START'!$C$14&gt;0,(AZ83/(1+$AA83))*(1+'2. START'!$C$14),AZ83)</f>
        <v>0</v>
      </c>
      <c r="DU83" s="442">
        <f>IF('2. START'!$C$14&gt;0,(BA83/(1+$AA83))*(1+'2. START'!$C$14),BA83)</f>
        <v>0</v>
      </c>
      <c r="DV83" s="442">
        <f>IF('2. START'!$C$14&gt;0,(BB83/(1+$AA83))*(1+'2. START'!$C$14),BB83)</f>
        <v>0</v>
      </c>
      <c r="DW83" s="442">
        <f>IF('2. START'!$C$14&gt;0,(BC83/(1+$AA83))*(1+'2. START'!$C$14),BC83)</f>
        <v>0</v>
      </c>
      <c r="DX83" s="443">
        <f t="shared" si="287"/>
        <v>0</v>
      </c>
      <c r="DZ83" s="442">
        <f>IF('2. START'!$C$11="NO",(IF('2. START'!$C$14&gt;0,(DN83*$AD83),(AT83*$AD83))),(BR83+CP83))</f>
        <v>0</v>
      </c>
      <c r="EA83" s="442">
        <f>IF('2. START'!$C$11="NO",(IF('2. START'!$C$14&gt;0,(DO83*$AD83),(AU83*$AD83))),(BS83+CQ83))</f>
        <v>0</v>
      </c>
      <c r="EB83" s="442">
        <f>IF('2. START'!$C$11="NO",(IF('2. START'!$C$14&gt;0,(DP83*$AD83),(AV83*$AD83))),(BT83+CR83))</f>
        <v>0</v>
      </c>
      <c r="EC83" s="442">
        <f>IF('2. START'!$C$11="NO",(IF('2. START'!$C$14&gt;0,(DQ83*$AD83),(AW83*$AD83))),(BU83+CS83))</f>
        <v>0</v>
      </c>
      <c r="ED83" s="442">
        <f>IF('2. START'!$C$11="NO",(IF('2. START'!$C$14&gt;0,(DR83*$AD83),(AX83*$AD83))),(BV83+CT83))</f>
        <v>0</v>
      </c>
      <c r="EE83" s="442">
        <f>IF('2. START'!$C$11="NO",(IF('2. START'!$C$14&gt;0,(DS83*$AD83),(AY83*$AD83))),(BW83+CU83))</f>
        <v>0</v>
      </c>
      <c r="EF83" s="442">
        <f>IF('2. START'!$C$11="NO",(IF('2. START'!$C$14&gt;0,(DT83*$AD83),(AZ83*$AD83))),(BX83+CV83))</f>
        <v>0</v>
      </c>
      <c r="EG83" s="442">
        <f>IF('2. START'!$C$11="NO",(IF('2. START'!$C$14&gt;0,(DU83*$AD83),(BA83*$AD83))),(BY83+CW83))</f>
        <v>0</v>
      </c>
      <c r="EH83" s="442">
        <f>IF('2. START'!$C$11="NO",(IF('2. START'!$C$14&gt;0,(DV83*$AD83),(BB83*$AD83))),(BZ83+CX83))</f>
        <v>0</v>
      </c>
      <c r="EI83" s="442">
        <f>IF('2. START'!$C$11="NO",(IF('2. START'!$C$14&gt;0,(DW83*$AD83),(BC83*$AD83))),(CA83+CY83))</f>
        <v>0</v>
      </c>
      <c r="EJ83" s="443">
        <f t="shared" si="288"/>
        <v>0</v>
      </c>
      <c r="EL83" s="442">
        <f>(BR83+CP83-DZ83)+IF('2. START'!$C$14&gt;0,AT83-DN83,0)</f>
        <v>0</v>
      </c>
      <c r="EM83" s="442">
        <f>(BS83+CQ83-EA83)+IF('2. START'!$C$14&gt;0,AU83-DO83,0)</f>
        <v>0</v>
      </c>
      <c r="EN83" s="442">
        <f>(BT83+CR83-EB83)+IF('2. START'!$C$14&gt;0,AV83-DP83,0)</f>
        <v>0</v>
      </c>
      <c r="EO83" s="442">
        <f>(BU83+CS83-EC83)+IF('2. START'!$C$14&gt;0,AW83-DQ83,0)</f>
        <v>0</v>
      </c>
      <c r="EP83" s="442">
        <f>(BV83+CT83-ED83)+IF('2. START'!$C$14&gt;0,AX83-DR83,0)</f>
        <v>0</v>
      </c>
      <c r="EQ83" s="442">
        <f>(BW83+CU83-EE83)+IF('2. START'!$C$14&gt;0,AY83-DS83,0)</f>
        <v>0</v>
      </c>
      <c r="ER83" s="442">
        <f>(BX83+CV83-EF83)+IF('2. START'!$C$14&gt;0,AZ83-DT83,0)</f>
        <v>0</v>
      </c>
      <c r="ES83" s="442">
        <f>(BY83+CW83-EG83)+IF('2. START'!$C$14&gt;0,BA83-DU83,0)</f>
        <v>0</v>
      </c>
      <c r="ET83" s="442">
        <f>(BZ83+CX83-EH83)+IF('2. START'!$C$14&gt;0,BB83-DV83,0)</f>
        <v>0</v>
      </c>
      <c r="EU83" s="442">
        <f>(CA83+CY83-EI83)+IF('2. START'!$C$14&gt;0,BC83-DW83,0)</f>
        <v>0</v>
      </c>
      <c r="EV83" s="443">
        <f t="shared" si="289"/>
        <v>0</v>
      </c>
      <c r="EX83" s="442">
        <f t="shared" si="290"/>
        <v>0</v>
      </c>
      <c r="EY83" s="442">
        <f t="shared" si="291"/>
        <v>0</v>
      </c>
      <c r="EZ83" s="442">
        <f t="shared" si="292"/>
        <v>0</v>
      </c>
      <c r="FA83" s="442">
        <f t="shared" si="293"/>
        <v>0</v>
      </c>
      <c r="FB83" s="442">
        <f t="shared" si="294"/>
        <v>0</v>
      </c>
      <c r="FC83" s="442">
        <f t="shared" si="295"/>
        <v>0</v>
      </c>
      <c r="FD83" s="442">
        <f t="shared" si="296"/>
        <v>0</v>
      </c>
      <c r="FE83" s="442">
        <f t="shared" si="297"/>
        <v>0</v>
      </c>
      <c r="FF83" s="442">
        <f t="shared" si="298"/>
        <v>0</v>
      </c>
      <c r="FG83" s="442">
        <f t="shared" si="299"/>
        <v>0</v>
      </c>
      <c r="FH83" s="443">
        <f t="shared" si="300"/>
        <v>0</v>
      </c>
      <c r="FJ83" s="442">
        <f t="shared" si="301"/>
        <v>0</v>
      </c>
      <c r="FK83" s="442">
        <f t="shared" si="302"/>
        <v>0</v>
      </c>
      <c r="FL83" s="442">
        <f t="shared" si="303"/>
        <v>0</v>
      </c>
      <c r="FM83" s="442">
        <f t="shared" si="304"/>
        <v>0</v>
      </c>
      <c r="FN83" s="442">
        <f t="shared" si="305"/>
        <v>0</v>
      </c>
      <c r="FO83" s="442">
        <f t="shared" si="306"/>
        <v>0</v>
      </c>
      <c r="FP83" s="442">
        <f t="shared" si="307"/>
        <v>0</v>
      </c>
      <c r="FQ83" s="442">
        <f t="shared" si="308"/>
        <v>0</v>
      </c>
      <c r="FR83" s="442">
        <f t="shared" si="309"/>
        <v>0</v>
      </c>
      <c r="FS83" s="442">
        <f t="shared" si="310"/>
        <v>0</v>
      </c>
      <c r="FT83" s="443">
        <f t="shared" si="311"/>
        <v>0</v>
      </c>
    </row>
    <row r="84" spans="2:176" s="270" customFormat="1" ht="15" customHeight="1" x14ac:dyDescent="0.25">
      <c r="B84" s="446" t="str">
        <f>'2. START'!C$7</f>
        <v>100GEM</v>
      </c>
      <c r="C84" s="469"/>
      <c r="D84" s="589"/>
      <c r="E84" s="544">
        <v>0</v>
      </c>
      <c r="F84" s="448"/>
      <c r="G84" s="449"/>
      <c r="H84" s="449"/>
      <c r="I84" s="449"/>
      <c r="J84" s="449"/>
      <c r="K84" s="449"/>
      <c r="L84" s="449"/>
      <c r="M84" s="449"/>
      <c r="N84" s="449"/>
      <c r="O84" s="449"/>
      <c r="P84" s="449"/>
      <c r="Q84" s="546">
        <f>SUMIF('3. PARTNER'!$B$13:$B$80,$B84,'3. PARTNER'!$F$13:$F$80)</f>
        <v>0.02</v>
      </c>
      <c r="R84" s="450">
        <f t="shared" si="207"/>
        <v>0.02</v>
      </c>
      <c r="S84" s="450">
        <f t="shared" si="207"/>
        <v>0.02</v>
      </c>
      <c r="T84" s="450">
        <f t="shared" si="207"/>
        <v>0.02</v>
      </c>
      <c r="U84" s="450">
        <f t="shared" si="207"/>
        <v>0.02</v>
      </c>
      <c r="V84" s="450">
        <f t="shared" si="207"/>
        <v>0.02</v>
      </c>
      <c r="W84" s="450">
        <f t="shared" si="207"/>
        <v>0.02</v>
      </c>
      <c r="X84" s="450">
        <f t="shared" si="207"/>
        <v>0.02</v>
      </c>
      <c r="Y84" s="450">
        <f t="shared" si="207"/>
        <v>0.02</v>
      </c>
      <c r="Z84" s="450">
        <f t="shared" si="207"/>
        <v>0.02</v>
      </c>
      <c r="AA84" s="451">
        <f>SUMIF('3. PARTNER'!B$13:B$80,B84,'3. PARTNER'!E$13:E$80)</f>
        <v>0.5595</v>
      </c>
      <c r="AB84" s="452">
        <f>IF('2. START'!$C$20="UTB",(SUMIF('3. PARTNER'!B$13:B$80,B84,'3. PARTNER'!K$13:K$80))+(SUMIF('3. PARTNER'!B$13:B$80,B84,'3. PARTNER'!M$13:M$80)),(SUMIF('3. PARTNER'!B$13:B$80,B84,'3. PARTNER'!G$13:G$80))+(SUMIF('3. PARTNER'!B$13:B$80,B84,'3. PARTNER'!I$13:I$80)))</f>
        <v>0.16000843770704321</v>
      </c>
      <c r="AC84" s="452">
        <f>IF('2. START'!$C$20="UTB",(SUMIF('3. PARTNER'!B$13:B$80,B84,'3. PARTNER'!L$13:L$80))+(SUMIF('3. PARTNER'!B$13:B$80,B84,'3. PARTNER'!N$13:N$80)),(SUMIF('3. PARTNER'!B$13:B$80,B84,'3. PARTNER'!H$13:H$80))+(SUMIF('3. PARTNER'!B$13:B$80,B84,'3. PARTNER'!J$13:J$80)))</f>
        <v>0</v>
      </c>
      <c r="AD84" s="452">
        <f>IF('2. START'!C$11="NO",'2. START'!C$12,0)</f>
        <v>0</v>
      </c>
      <c r="AE84" s="453">
        <f t="shared" si="278"/>
        <v>0</v>
      </c>
      <c r="AF84" s="453">
        <f t="shared" si="279"/>
        <v>0</v>
      </c>
      <c r="AG84" s="454"/>
      <c r="AH84" s="455">
        <f t="shared" si="208"/>
        <v>0</v>
      </c>
      <c r="AI84" s="455">
        <f t="shared" si="209"/>
        <v>0</v>
      </c>
      <c r="AJ84" s="455">
        <f t="shared" si="210"/>
        <v>0</v>
      </c>
      <c r="AK84" s="455">
        <f t="shared" si="211"/>
        <v>0</v>
      </c>
      <c r="AL84" s="455">
        <f t="shared" si="212"/>
        <v>0</v>
      </c>
      <c r="AM84" s="455">
        <f t="shared" si="213"/>
        <v>0</v>
      </c>
      <c r="AN84" s="455">
        <f t="shared" si="214"/>
        <v>0</v>
      </c>
      <c r="AO84" s="455">
        <f t="shared" si="215"/>
        <v>0</v>
      </c>
      <c r="AP84" s="455">
        <f t="shared" si="216"/>
        <v>0</v>
      </c>
      <c r="AQ84" s="455">
        <f t="shared" si="217"/>
        <v>0</v>
      </c>
      <c r="AR84" s="456">
        <f t="shared" si="280"/>
        <v>0</v>
      </c>
      <c r="AS84" s="457"/>
      <c r="AT84" s="455">
        <f t="shared" si="218"/>
        <v>0</v>
      </c>
      <c r="AU84" s="455">
        <f t="shared" si="219"/>
        <v>0</v>
      </c>
      <c r="AV84" s="455">
        <f t="shared" si="220"/>
        <v>0</v>
      </c>
      <c r="AW84" s="455">
        <f t="shared" si="221"/>
        <v>0</v>
      </c>
      <c r="AX84" s="455">
        <f t="shared" si="222"/>
        <v>0</v>
      </c>
      <c r="AY84" s="455">
        <f t="shared" si="223"/>
        <v>0</v>
      </c>
      <c r="AZ84" s="455">
        <f t="shared" si="224"/>
        <v>0</v>
      </c>
      <c r="BA84" s="455">
        <f t="shared" si="225"/>
        <v>0</v>
      </c>
      <c r="BB84" s="455">
        <f t="shared" si="226"/>
        <v>0</v>
      </c>
      <c r="BC84" s="455">
        <f t="shared" si="227"/>
        <v>0</v>
      </c>
      <c r="BD84" s="456">
        <f t="shared" si="281"/>
        <v>0</v>
      </c>
      <c r="BE84" s="457"/>
      <c r="BF84" s="455">
        <f t="shared" si="228"/>
        <v>0</v>
      </c>
      <c r="BG84" s="455">
        <f t="shared" si="229"/>
        <v>0</v>
      </c>
      <c r="BH84" s="455">
        <f t="shared" si="230"/>
        <v>0</v>
      </c>
      <c r="BI84" s="455">
        <f t="shared" si="231"/>
        <v>0</v>
      </c>
      <c r="BJ84" s="455">
        <f t="shared" si="232"/>
        <v>0</v>
      </c>
      <c r="BK84" s="455">
        <f t="shared" si="233"/>
        <v>0</v>
      </c>
      <c r="BL84" s="455">
        <f t="shared" si="234"/>
        <v>0</v>
      </c>
      <c r="BM84" s="455">
        <f t="shared" si="235"/>
        <v>0</v>
      </c>
      <c r="BN84" s="455">
        <f t="shared" si="236"/>
        <v>0</v>
      </c>
      <c r="BO84" s="455">
        <f t="shared" si="237"/>
        <v>0</v>
      </c>
      <c r="BP84" s="456">
        <f t="shared" si="282"/>
        <v>0</v>
      </c>
      <c r="BQ84" s="463"/>
      <c r="BR84" s="459">
        <f t="shared" si="238"/>
        <v>0</v>
      </c>
      <c r="BS84" s="459">
        <f t="shared" si="239"/>
        <v>0</v>
      </c>
      <c r="BT84" s="459">
        <f t="shared" si="240"/>
        <v>0</v>
      </c>
      <c r="BU84" s="459">
        <f t="shared" si="241"/>
        <v>0</v>
      </c>
      <c r="BV84" s="459">
        <f t="shared" si="242"/>
        <v>0</v>
      </c>
      <c r="BW84" s="459">
        <f t="shared" si="243"/>
        <v>0</v>
      </c>
      <c r="BX84" s="459">
        <f t="shared" si="244"/>
        <v>0</v>
      </c>
      <c r="BY84" s="459">
        <f t="shared" si="245"/>
        <v>0</v>
      </c>
      <c r="BZ84" s="459">
        <f t="shared" si="246"/>
        <v>0</v>
      </c>
      <c r="CA84" s="459">
        <f t="shared" si="247"/>
        <v>0</v>
      </c>
      <c r="CB84" s="460">
        <f t="shared" si="283"/>
        <v>0</v>
      </c>
      <c r="CC84" s="463"/>
      <c r="CD84" s="462">
        <f t="shared" si="248"/>
        <v>0</v>
      </c>
      <c r="CE84" s="462">
        <f t="shared" si="249"/>
        <v>0</v>
      </c>
      <c r="CF84" s="462">
        <f t="shared" si="250"/>
        <v>0</v>
      </c>
      <c r="CG84" s="462">
        <f t="shared" si="251"/>
        <v>0</v>
      </c>
      <c r="CH84" s="462">
        <f t="shared" si="252"/>
        <v>0</v>
      </c>
      <c r="CI84" s="462">
        <f t="shared" si="253"/>
        <v>0</v>
      </c>
      <c r="CJ84" s="462">
        <f t="shared" si="254"/>
        <v>0</v>
      </c>
      <c r="CK84" s="462">
        <f t="shared" si="255"/>
        <v>0</v>
      </c>
      <c r="CL84" s="462">
        <f t="shared" si="256"/>
        <v>0</v>
      </c>
      <c r="CM84" s="462">
        <f t="shared" si="257"/>
        <v>0</v>
      </c>
      <c r="CN84" s="460">
        <f t="shared" si="284"/>
        <v>0</v>
      </c>
      <c r="CO84" s="463"/>
      <c r="CP84" s="459">
        <f t="shared" si="258"/>
        <v>0</v>
      </c>
      <c r="CQ84" s="459">
        <f t="shared" si="259"/>
        <v>0</v>
      </c>
      <c r="CR84" s="459">
        <f t="shared" si="260"/>
        <v>0</v>
      </c>
      <c r="CS84" s="459">
        <f t="shared" si="261"/>
        <v>0</v>
      </c>
      <c r="CT84" s="459">
        <f t="shared" si="262"/>
        <v>0</v>
      </c>
      <c r="CU84" s="459">
        <f t="shared" si="263"/>
        <v>0</v>
      </c>
      <c r="CV84" s="459">
        <f t="shared" si="264"/>
        <v>0</v>
      </c>
      <c r="CW84" s="459">
        <f t="shared" si="265"/>
        <v>0</v>
      </c>
      <c r="CX84" s="459">
        <f t="shared" si="266"/>
        <v>0</v>
      </c>
      <c r="CY84" s="459">
        <f t="shared" si="267"/>
        <v>0</v>
      </c>
      <c r="CZ84" s="460">
        <f t="shared" si="285"/>
        <v>0</v>
      </c>
      <c r="DA84" s="463"/>
      <c r="DB84" s="459">
        <f t="shared" si="268"/>
        <v>0</v>
      </c>
      <c r="DC84" s="459">
        <f t="shared" si="269"/>
        <v>0</v>
      </c>
      <c r="DD84" s="459">
        <f t="shared" si="270"/>
        <v>0</v>
      </c>
      <c r="DE84" s="459">
        <f t="shared" si="271"/>
        <v>0</v>
      </c>
      <c r="DF84" s="459">
        <f t="shared" si="272"/>
        <v>0</v>
      </c>
      <c r="DG84" s="459">
        <f t="shared" si="273"/>
        <v>0</v>
      </c>
      <c r="DH84" s="459">
        <f t="shared" si="274"/>
        <v>0</v>
      </c>
      <c r="DI84" s="459">
        <f t="shared" si="275"/>
        <v>0</v>
      </c>
      <c r="DJ84" s="459">
        <f t="shared" si="276"/>
        <v>0</v>
      </c>
      <c r="DK84" s="459">
        <f t="shared" si="277"/>
        <v>0</v>
      </c>
      <c r="DL84" s="460">
        <f t="shared" si="286"/>
        <v>0</v>
      </c>
      <c r="DM84" s="463"/>
      <c r="DN84" s="442">
        <f>IF('2. START'!$C$14&gt;0,(AT84/(1+$AA84))*(1+'2. START'!$C$14),AT84)</f>
        <v>0</v>
      </c>
      <c r="DO84" s="442">
        <f>IF('2. START'!$C$14&gt;0,(AU84/(1+$AA84))*(1+'2. START'!$C$14),AU84)</f>
        <v>0</v>
      </c>
      <c r="DP84" s="442">
        <f>IF('2. START'!$C$14&gt;0,(AV84/(1+$AA84))*(1+'2. START'!$C$14),AV84)</f>
        <v>0</v>
      </c>
      <c r="DQ84" s="442">
        <f>IF('2. START'!$C$14&gt;0,(AW84/(1+$AA84))*(1+'2. START'!$C$14),AW84)</f>
        <v>0</v>
      </c>
      <c r="DR84" s="442">
        <f>IF('2. START'!$C$14&gt;0,(AX84/(1+$AA84))*(1+'2. START'!$C$14),AX84)</f>
        <v>0</v>
      </c>
      <c r="DS84" s="442">
        <f>IF('2. START'!$C$14&gt;0,(AY84/(1+$AA84))*(1+'2. START'!$C$14),AY84)</f>
        <v>0</v>
      </c>
      <c r="DT84" s="442">
        <f>IF('2. START'!$C$14&gt;0,(AZ84/(1+$AA84))*(1+'2. START'!$C$14),AZ84)</f>
        <v>0</v>
      </c>
      <c r="DU84" s="442">
        <f>IF('2. START'!$C$14&gt;0,(BA84/(1+$AA84))*(1+'2. START'!$C$14),BA84)</f>
        <v>0</v>
      </c>
      <c r="DV84" s="442">
        <f>IF('2. START'!$C$14&gt;0,(BB84/(1+$AA84))*(1+'2. START'!$C$14),BB84)</f>
        <v>0</v>
      </c>
      <c r="DW84" s="442">
        <f>IF('2. START'!$C$14&gt;0,(BC84/(1+$AA84))*(1+'2. START'!$C$14),BC84)</f>
        <v>0</v>
      </c>
      <c r="DX84" s="460">
        <f t="shared" si="287"/>
        <v>0</v>
      </c>
      <c r="DY84" s="463"/>
      <c r="DZ84" s="459">
        <f>IF('2. START'!$C$11="NO",(IF('2. START'!$C$14&gt;0,(DN84*$AD84),(AT84*$AD84))),(BR84+CP84))</f>
        <v>0</v>
      </c>
      <c r="EA84" s="459">
        <f>IF('2. START'!$C$11="NO",(IF('2. START'!$C$14&gt;0,(DO84*$AD84),(AU84*$AD84))),(BS84+CQ84))</f>
        <v>0</v>
      </c>
      <c r="EB84" s="459">
        <f>IF('2. START'!$C$11="NO",(IF('2. START'!$C$14&gt;0,(DP84*$AD84),(AV84*$AD84))),(BT84+CR84))</f>
        <v>0</v>
      </c>
      <c r="EC84" s="459">
        <f>IF('2. START'!$C$11="NO",(IF('2. START'!$C$14&gt;0,(DQ84*$AD84),(AW84*$AD84))),(BU84+CS84))</f>
        <v>0</v>
      </c>
      <c r="ED84" s="459">
        <f>IF('2. START'!$C$11="NO",(IF('2. START'!$C$14&gt;0,(DR84*$AD84),(AX84*$AD84))),(BV84+CT84))</f>
        <v>0</v>
      </c>
      <c r="EE84" s="459">
        <f>IF('2. START'!$C$11="NO",(IF('2. START'!$C$14&gt;0,(DS84*$AD84),(AY84*$AD84))),(BW84+CU84))</f>
        <v>0</v>
      </c>
      <c r="EF84" s="459">
        <f>IF('2. START'!$C$11="NO",(IF('2. START'!$C$14&gt;0,(DT84*$AD84),(AZ84*$AD84))),(BX84+CV84))</f>
        <v>0</v>
      </c>
      <c r="EG84" s="459">
        <f>IF('2. START'!$C$11="NO",(IF('2. START'!$C$14&gt;0,(DU84*$AD84),(BA84*$AD84))),(BY84+CW84))</f>
        <v>0</v>
      </c>
      <c r="EH84" s="459">
        <f>IF('2. START'!$C$11="NO",(IF('2. START'!$C$14&gt;0,(DV84*$AD84),(BB84*$AD84))),(BZ84+CX84))</f>
        <v>0</v>
      </c>
      <c r="EI84" s="459">
        <f>IF('2. START'!$C$11="NO",(IF('2. START'!$C$14&gt;0,(DW84*$AD84),(BC84*$AD84))),(CA84+CY84))</f>
        <v>0</v>
      </c>
      <c r="EJ84" s="460">
        <f t="shared" si="288"/>
        <v>0</v>
      </c>
      <c r="EK84" s="463"/>
      <c r="EL84" s="459">
        <f>(BR84+CP84-DZ84)+IF('2. START'!$C$14&gt;0,AT84-DN84,0)</f>
        <v>0</v>
      </c>
      <c r="EM84" s="459">
        <f>(BS84+CQ84-EA84)+IF('2. START'!$C$14&gt;0,AU84-DO84,0)</f>
        <v>0</v>
      </c>
      <c r="EN84" s="459">
        <f>(BT84+CR84-EB84)+IF('2. START'!$C$14&gt;0,AV84-DP84,0)</f>
        <v>0</v>
      </c>
      <c r="EO84" s="459">
        <f>(BU84+CS84-EC84)+IF('2. START'!$C$14&gt;0,AW84-DQ84,0)</f>
        <v>0</v>
      </c>
      <c r="EP84" s="459">
        <f>(BV84+CT84-ED84)+IF('2. START'!$C$14&gt;0,AX84-DR84,0)</f>
        <v>0</v>
      </c>
      <c r="EQ84" s="459">
        <f>(BW84+CU84-EE84)+IF('2. START'!$C$14&gt;0,AY84-DS84,0)</f>
        <v>0</v>
      </c>
      <c r="ER84" s="459">
        <f>(BX84+CV84-EF84)+IF('2. START'!$C$14&gt;0,AZ84-DT84,0)</f>
        <v>0</v>
      </c>
      <c r="ES84" s="459">
        <f>(BY84+CW84-EG84)+IF('2. START'!$C$14&gt;0,BA84-DU84,0)</f>
        <v>0</v>
      </c>
      <c r="ET84" s="459">
        <f>(BZ84+CX84-EH84)+IF('2. START'!$C$14&gt;0,BB84-DV84,0)</f>
        <v>0</v>
      </c>
      <c r="EU84" s="459">
        <f>(CA84+CY84-EI84)+IF('2. START'!$C$14&gt;0,BC84-DW84,0)</f>
        <v>0</v>
      </c>
      <c r="EV84" s="460">
        <f t="shared" si="289"/>
        <v>0</v>
      </c>
      <c r="EW84" s="463"/>
      <c r="EX84" s="459">
        <f t="shared" si="290"/>
        <v>0</v>
      </c>
      <c r="EY84" s="459">
        <f t="shared" si="291"/>
        <v>0</v>
      </c>
      <c r="EZ84" s="459">
        <f t="shared" si="292"/>
        <v>0</v>
      </c>
      <c r="FA84" s="459">
        <f t="shared" si="293"/>
        <v>0</v>
      </c>
      <c r="FB84" s="459">
        <f t="shared" si="294"/>
        <v>0</v>
      </c>
      <c r="FC84" s="459">
        <f t="shared" si="295"/>
        <v>0</v>
      </c>
      <c r="FD84" s="459">
        <f t="shared" si="296"/>
        <v>0</v>
      </c>
      <c r="FE84" s="459">
        <f t="shared" si="297"/>
        <v>0</v>
      </c>
      <c r="FF84" s="459">
        <f t="shared" si="298"/>
        <v>0</v>
      </c>
      <c r="FG84" s="459">
        <f t="shared" si="299"/>
        <v>0</v>
      </c>
      <c r="FH84" s="460">
        <f t="shared" si="300"/>
        <v>0</v>
      </c>
      <c r="FI84" s="463"/>
      <c r="FJ84" s="459">
        <f t="shared" si="301"/>
        <v>0</v>
      </c>
      <c r="FK84" s="459">
        <f t="shared" si="302"/>
        <v>0</v>
      </c>
      <c r="FL84" s="459">
        <f t="shared" si="303"/>
        <v>0</v>
      </c>
      <c r="FM84" s="459">
        <f t="shared" si="304"/>
        <v>0</v>
      </c>
      <c r="FN84" s="459">
        <f t="shared" si="305"/>
        <v>0</v>
      </c>
      <c r="FO84" s="459">
        <f t="shared" si="306"/>
        <v>0</v>
      </c>
      <c r="FP84" s="459">
        <f t="shared" si="307"/>
        <v>0</v>
      </c>
      <c r="FQ84" s="459">
        <f t="shared" si="308"/>
        <v>0</v>
      </c>
      <c r="FR84" s="459">
        <f t="shared" si="309"/>
        <v>0</v>
      </c>
      <c r="FS84" s="459">
        <f t="shared" si="310"/>
        <v>0</v>
      </c>
      <c r="FT84" s="460">
        <f t="shared" si="311"/>
        <v>0</v>
      </c>
    </row>
    <row r="85" spans="2:176" s="270" customFormat="1" ht="15" customHeight="1" x14ac:dyDescent="0.25">
      <c r="B85" s="464" t="str">
        <f>'2. START'!C$7</f>
        <v>100GEM</v>
      </c>
      <c r="C85" s="470"/>
      <c r="D85" s="590"/>
      <c r="E85" s="514">
        <v>0</v>
      </c>
      <c r="F85" s="467"/>
      <c r="G85" s="432"/>
      <c r="H85" s="432"/>
      <c r="I85" s="432"/>
      <c r="J85" s="432"/>
      <c r="K85" s="432"/>
      <c r="L85" s="432"/>
      <c r="M85" s="432"/>
      <c r="N85" s="432"/>
      <c r="O85" s="432"/>
      <c r="P85" s="432"/>
      <c r="Q85" s="545">
        <f>SUMIF('3. PARTNER'!$B$13:$B$80,$B85,'3. PARTNER'!$F$13:$F$80)</f>
        <v>0.02</v>
      </c>
      <c r="R85" s="466">
        <f t="shared" si="207"/>
        <v>0.02</v>
      </c>
      <c r="S85" s="466">
        <f t="shared" si="207"/>
        <v>0.02</v>
      </c>
      <c r="T85" s="466">
        <f t="shared" si="207"/>
        <v>0.02</v>
      </c>
      <c r="U85" s="466">
        <f t="shared" si="207"/>
        <v>0.02</v>
      </c>
      <c r="V85" s="466">
        <f t="shared" si="207"/>
        <v>0.02</v>
      </c>
      <c r="W85" s="466">
        <f t="shared" si="207"/>
        <v>0.02</v>
      </c>
      <c r="X85" s="466">
        <f t="shared" si="207"/>
        <v>0.02</v>
      </c>
      <c r="Y85" s="466">
        <f t="shared" si="207"/>
        <v>0.02</v>
      </c>
      <c r="Z85" s="466">
        <f t="shared" si="207"/>
        <v>0.02</v>
      </c>
      <c r="AA85" s="434">
        <f>SUMIF('3. PARTNER'!B$13:B$80,B85,'3. PARTNER'!E$13:E$80)</f>
        <v>0.5595</v>
      </c>
      <c r="AB85" s="435">
        <f>IF('2. START'!$C$20="UTB",(SUMIF('3. PARTNER'!B$13:B$80,B85,'3. PARTNER'!K$13:K$80))+(SUMIF('3. PARTNER'!B$13:B$80,B85,'3. PARTNER'!M$13:M$80)),(SUMIF('3. PARTNER'!B$13:B$80,B85,'3. PARTNER'!G$13:G$80))+(SUMIF('3. PARTNER'!B$13:B$80,B85,'3. PARTNER'!I$13:I$80)))</f>
        <v>0.16000843770704321</v>
      </c>
      <c r="AC85" s="435">
        <f>IF('2. START'!$C$20="UTB",(SUMIF('3. PARTNER'!B$13:B$80,B85,'3. PARTNER'!L$13:L$80))+(SUMIF('3. PARTNER'!B$13:B$80,B85,'3. PARTNER'!N$13:N$80)),(SUMIF('3. PARTNER'!B$13:B$80,B85,'3. PARTNER'!H$13:H$80))+(SUMIF('3. PARTNER'!B$13:B$80,B85,'3. PARTNER'!J$13:J$80)))</f>
        <v>0</v>
      </c>
      <c r="AD85" s="435">
        <f>IF('2. START'!C$11="NO",'2. START'!C$12,0)</f>
        <v>0</v>
      </c>
      <c r="AE85" s="436">
        <f t="shared" si="278"/>
        <v>0</v>
      </c>
      <c r="AF85" s="436">
        <f t="shared" si="279"/>
        <v>0</v>
      </c>
      <c r="AG85" s="437"/>
      <c r="AH85" s="438">
        <f t="shared" si="208"/>
        <v>0</v>
      </c>
      <c r="AI85" s="438">
        <f t="shared" si="209"/>
        <v>0</v>
      </c>
      <c r="AJ85" s="438">
        <f t="shared" si="210"/>
        <v>0</v>
      </c>
      <c r="AK85" s="438">
        <f t="shared" si="211"/>
        <v>0</v>
      </c>
      <c r="AL85" s="438">
        <f t="shared" si="212"/>
        <v>0</v>
      </c>
      <c r="AM85" s="438">
        <f t="shared" si="213"/>
        <v>0</v>
      </c>
      <c r="AN85" s="438">
        <f t="shared" si="214"/>
        <v>0</v>
      </c>
      <c r="AO85" s="438">
        <f t="shared" si="215"/>
        <v>0</v>
      </c>
      <c r="AP85" s="438">
        <f t="shared" si="216"/>
        <v>0</v>
      </c>
      <c r="AQ85" s="438">
        <f t="shared" si="217"/>
        <v>0</v>
      </c>
      <c r="AR85" s="439">
        <f t="shared" si="280"/>
        <v>0</v>
      </c>
      <c r="AS85" s="440"/>
      <c r="AT85" s="438">
        <f t="shared" si="218"/>
        <v>0</v>
      </c>
      <c r="AU85" s="438">
        <f t="shared" si="219"/>
        <v>0</v>
      </c>
      <c r="AV85" s="438">
        <f t="shared" si="220"/>
        <v>0</v>
      </c>
      <c r="AW85" s="438">
        <f t="shared" si="221"/>
        <v>0</v>
      </c>
      <c r="AX85" s="438">
        <f t="shared" si="222"/>
        <v>0</v>
      </c>
      <c r="AY85" s="438">
        <f t="shared" si="223"/>
        <v>0</v>
      </c>
      <c r="AZ85" s="438">
        <f t="shared" si="224"/>
        <v>0</v>
      </c>
      <c r="BA85" s="438">
        <f t="shared" si="225"/>
        <v>0</v>
      </c>
      <c r="BB85" s="438">
        <f t="shared" si="226"/>
        <v>0</v>
      </c>
      <c r="BC85" s="438">
        <f t="shared" si="227"/>
        <v>0</v>
      </c>
      <c r="BD85" s="439">
        <f t="shared" si="281"/>
        <v>0</v>
      </c>
      <c r="BE85" s="440"/>
      <c r="BF85" s="438">
        <f t="shared" si="228"/>
        <v>0</v>
      </c>
      <c r="BG85" s="438">
        <f t="shared" si="229"/>
        <v>0</v>
      </c>
      <c r="BH85" s="438">
        <f t="shared" si="230"/>
        <v>0</v>
      </c>
      <c r="BI85" s="438">
        <f t="shared" si="231"/>
        <v>0</v>
      </c>
      <c r="BJ85" s="438">
        <f t="shared" si="232"/>
        <v>0</v>
      </c>
      <c r="BK85" s="438">
        <f t="shared" si="233"/>
        <v>0</v>
      </c>
      <c r="BL85" s="438">
        <f t="shared" si="234"/>
        <v>0</v>
      </c>
      <c r="BM85" s="438">
        <f t="shared" si="235"/>
        <v>0</v>
      </c>
      <c r="BN85" s="438">
        <f t="shared" si="236"/>
        <v>0</v>
      </c>
      <c r="BO85" s="438">
        <f t="shared" si="237"/>
        <v>0</v>
      </c>
      <c r="BP85" s="439">
        <f t="shared" si="282"/>
        <v>0</v>
      </c>
      <c r="BR85" s="442">
        <f t="shared" si="238"/>
        <v>0</v>
      </c>
      <c r="BS85" s="442">
        <f t="shared" si="239"/>
        <v>0</v>
      </c>
      <c r="BT85" s="442">
        <f t="shared" si="240"/>
        <v>0</v>
      </c>
      <c r="BU85" s="442">
        <f t="shared" si="241"/>
        <v>0</v>
      </c>
      <c r="BV85" s="442">
        <f t="shared" si="242"/>
        <v>0</v>
      </c>
      <c r="BW85" s="442">
        <f t="shared" si="243"/>
        <v>0</v>
      </c>
      <c r="BX85" s="442">
        <f t="shared" si="244"/>
        <v>0</v>
      </c>
      <c r="BY85" s="442">
        <f t="shared" si="245"/>
        <v>0</v>
      </c>
      <c r="BZ85" s="442">
        <f t="shared" si="246"/>
        <v>0</v>
      </c>
      <c r="CA85" s="442">
        <f t="shared" si="247"/>
        <v>0</v>
      </c>
      <c r="CB85" s="443">
        <f t="shared" si="283"/>
        <v>0</v>
      </c>
      <c r="CD85" s="445">
        <f t="shared" si="248"/>
        <v>0</v>
      </c>
      <c r="CE85" s="445">
        <f t="shared" si="249"/>
        <v>0</v>
      </c>
      <c r="CF85" s="445">
        <f t="shared" si="250"/>
        <v>0</v>
      </c>
      <c r="CG85" s="445">
        <f t="shared" si="251"/>
        <v>0</v>
      </c>
      <c r="CH85" s="445">
        <f t="shared" si="252"/>
        <v>0</v>
      </c>
      <c r="CI85" s="445">
        <f t="shared" si="253"/>
        <v>0</v>
      </c>
      <c r="CJ85" s="445">
        <f t="shared" si="254"/>
        <v>0</v>
      </c>
      <c r="CK85" s="445">
        <f t="shared" si="255"/>
        <v>0</v>
      </c>
      <c r="CL85" s="445">
        <f t="shared" si="256"/>
        <v>0</v>
      </c>
      <c r="CM85" s="445">
        <f t="shared" si="257"/>
        <v>0</v>
      </c>
      <c r="CN85" s="443">
        <f t="shared" si="284"/>
        <v>0</v>
      </c>
      <c r="CP85" s="442">
        <f t="shared" si="258"/>
        <v>0</v>
      </c>
      <c r="CQ85" s="442">
        <f t="shared" si="259"/>
        <v>0</v>
      </c>
      <c r="CR85" s="442">
        <f t="shared" si="260"/>
        <v>0</v>
      </c>
      <c r="CS85" s="442">
        <f t="shared" si="261"/>
        <v>0</v>
      </c>
      <c r="CT85" s="442">
        <f t="shared" si="262"/>
        <v>0</v>
      </c>
      <c r="CU85" s="442">
        <f t="shared" si="263"/>
        <v>0</v>
      </c>
      <c r="CV85" s="442">
        <f t="shared" si="264"/>
        <v>0</v>
      </c>
      <c r="CW85" s="442">
        <f t="shared" si="265"/>
        <v>0</v>
      </c>
      <c r="CX85" s="442">
        <f t="shared" si="266"/>
        <v>0</v>
      </c>
      <c r="CY85" s="442">
        <f t="shared" si="267"/>
        <v>0</v>
      </c>
      <c r="CZ85" s="443">
        <f t="shared" si="285"/>
        <v>0</v>
      </c>
      <c r="DB85" s="442">
        <f t="shared" si="268"/>
        <v>0</v>
      </c>
      <c r="DC85" s="442">
        <f t="shared" si="269"/>
        <v>0</v>
      </c>
      <c r="DD85" s="442">
        <f t="shared" si="270"/>
        <v>0</v>
      </c>
      <c r="DE85" s="442">
        <f t="shared" si="271"/>
        <v>0</v>
      </c>
      <c r="DF85" s="442">
        <f t="shared" si="272"/>
        <v>0</v>
      </c>
      <c r="DG85" s="442">
        <f t="shared" si="273"/>
        <v>0</v>
      </c>
      <c r="DH85" s="442">
        <f t="shared" si="274"/>
        <v>0</v>
      </c>
      <c r="DI85" s="442">
        <f t="shared" si="275"/>
        <v>0</v>
      </c>
      <c r="DJ85" s="442">
        <f t="shared" si="276"/>
        <v>0</v>
      </c>
      <c r="DK85" s="442">
        <f t="shared" si="277"/>
        <v>0</v>
      </c>
      <c r="DL85" s="443">
        <f t="shared" si="286"/>
        <v>0</v>
      </c>
      <c r="DN85" s="442">
        <f>IF('2. START'!$C$14&gt;0,(AT85/(1+$AA85))*(1+'2. START'!$C$14),AT85)</f>
        <v>0</v>
      </c>
      <c r="DO85" s="442">
        <f>IF('2. START'!$C$14&gt;0,(AU85/(1+$AA85))*(1+'2. START'!$C$14),AU85)</f>
        <v>0</v>
      </c>
      <c r="DP85" s="442">
        <f>IF('2. START'!$C$14&gt;0,(AV85/(1+$AA85))*(1+'2. START'!$C$14),AV85)</f>
        <v>0</v>
      </c>
      <c r="DQ85" s="442">
        <f>IF('2. START'!$C$14&gt;0,(AW85/(1+$AA85))*(1+'2. START'!$C$14),AW85)</f>
        <v>0</v>
      </c>
      <c r="DR85" s="442">
        <f>IF('2. START'!$C$14&gt;0,(AX85/(1+$AA85))*(1+'2. START'!$C$14),AX85)</f>
        <v>0</v>
      </c>
      <c r="DS85" s="442">
        <f>IF('2. START'!$C$14&gt;0,(AY85/(1+$AA85))*(1+'2. START'!$C$14),AY85)</f>
        <v>0</v>
      </c>
      <c r="DT85" s="442">
        <f>IF('2. START'!$C$14&gt;0,(AZ85/(1+$AA85))*(1+'2. START'!$C$14),AZ85)</f>
        <v>0</v>
      </c>
      <c r="DU85" s="442">
        <f>IF('2. START'!$C$14&gt;0,(BA85/(1+$AA85))*(1+'2. START'!$C$14),BA85)</f>
        <v>0</v>
      </c>
      <c r="DV85" s="442">
        <f>IF('2. START'!$C$14&gt;0,(BB85/(1+$AA85))*(1+'2. START'!$C$14),BB85)</f>
        <v>0</v>
      </c>
      <c r="DW85" s="442">
        <f>IF('2. START'!$C$14&gt;0,(BC85/(1+$AA85))*(1+'2. START'!$C$14),BC85)</f>
        <v>0</v>
      </c>
      <c r="DX85" s="443">
        <f t="shared" si="287"/>
        <v>0</v>
      </c>
      <c r="DZ85" s="442">
        <f>IF('2. START'!$C$11="NO",(IF('2. START'!$C$14&gt;0,(DN85*$AD85),(AT85*$AD85))),(BR85+CP85))</f>
        <v>0</v>
      </c>
      <c r="EA85" s="442">
        <f>IF('2. START'!$C$11="NO",(IF('2. START'!$C$14&gt;0,(DO85*$AD85),(AU85*$AD85))),(BS85+CQ85))</f>
        <v>0</v>
      </c>
      <c r="EB85" s="442">
        <f>IF('2. START'!$C$11="NO",(IF('2. START'!$C$14&gt;0,(DP85*$AD85),(AV85*$AD85))),(BT85+CR85))</f>
        <v>0</v>
      </c>
      <c r="EC85" s="442">
        <f>IF('2. START'!$C$11="NO",(IF('2. START'!$C$14&gt;0,(DQ85*$AD85),(AW85*$AD85))),(BU85+CS85))</f>
        <v>0</v>
      </c>
      <c r="ED85" s="442">
        <f>IF('2. START'!$C$11="NO",(IF('2. START'!$C$14&gt;0,(DR85*$AD85),(AX85*$AD85))),(BV85+CT85))</f>
        <v>0</v>
      </c>
      <c r="EE85" s="442">
        <f>IF('2. START'!$C$11="NO",(IF('2. START'!$C$14&gt;0,(DS85*$AD85),(AY85*$AD85))),(BW85+CU85))</f>
        <v>0</v>
      </c>
      <c r="EF85" s="442">
        <f>IF('2. START'!$C$11="NO",(IF('2. START'!$C$14&gt;0,(DT85*$AD85),(AZ85*$AD85))),(BX85+CV85))</f>
        <v>0</v>
      </c>
      <c r="EG85" s="442">
        <f>IF('2. START'!$C$11="NO",(IF('2. START'!$C$14&gt;0,(DU85*$AD85),(BA85*$AD85))),(BY85+CW85))</f>
        <v>0</v>
      </c>
      <c r="EH85" s="442">
        <f>IF('2. START'!$C$11="NO",(IF('2. START'!$C$14&gt;0,(DV85*$AD85),(BB85*$AD85))),(BZ85+CX85))</f>
        <v>0</v>
      </c>
      <c r="EI85" s="442">
        <f>IF('2. START'!$C$11="NO",(IF('2. START'!$C$14&gt;0,(DW85*$AD85),(BC85*$AD85))),(CA85+CY85))</f>
        <v>0</v>
      </c>
      <c r="EJ85" s="443">
        <f t="shared" si="288"/>
        <v>0</v>
      </c>
      <c r="EL85" s="442">
        <f>(BR85+CP85-DZ85)+IF('2. START'!$C$14&gt;0,AT85-DN85,0)</f>
        <v>0</v>
      </c>
      <c r="EM85" s="442">
        <f>(BS85+CQ85-EA85)+IF('2. START'!$C$14&gt;0,AU85-DO85,0)</f>
        <v>0</v>
      </c>
      <c r="EN85" s="442">
        <f>(BT85+CR85-EB85)+IF('2. START'!$C$14&gt;0,AV85-DP85,0)</f>
        <v>0</v>
      </c>
      <c r="EO85" s="442">
        <f>(BU85+CS85-EC85)+IF('2. START'!$C$14&gt;0,AW85-DQ85,0)</f>
        <v>0</v>
      </c>
      <c r="EP85" s="442">
        <f>(BV85+CT85-ED85)+IF('2. START'!$C$14&gt;0,AX85-DR85,0)</f>
        <v>0</v>
      </c>
      <c r="EQ85" s="442">
        <f>(BW85+CU85-EE85)+IF('2. START'!$C$14&gt;0,AY85-DS85,0)</f>
        <v>0</v>
      </c>
      <c r="ER85" s="442">
        <f>(BX85+CV85-EF85)+IF('2. START'!$C$14&gt;0,AZ85-DT85,0)</f>
        <v>0</v>
      </c>
      <c r="ES85" s="442">
        <f>(BY85+CW85-EG85)+IF('2. START'!$C$14&gt;0,BA85-DU85,0)</f>
        <v>0</v>
      </c>
      <c r="ET85" s="442">
        <f>(BZ85+CX85-EH85)+IF('2. START'!$C$14&gt;0,BB85-DV85,0)</f>
        <v>0</v>
      </c>
      <c r="EU85" s="442">
        <f>(CA85+CY85-EI85)+IF('2. START'!$C$14&gt;0,BC85-DW85,0)</f>
        <v>0</v>
      </c>
      <c r="EV85" s="443">
        <f t="shared" si="289"/>
        <v>0</v>
      </c>
      <c r="EX85" s="442">
        <f t="shared" si="290"/>
        <v>0</v>
      </c>
      <c r="EY85" s="442">
        <f t="shared" si="291"/>
        <v>0</v>
      </c>
      <c r="EZ85" s="442">
        <f t="shared" si="292"/>
        <v>0</v>
      </c>
      <c r="FA85" s="442">
        <f t="shared" si="293"/>
        <v>0</v>
      </c>
      <c r="FB85" s="442">
        <f t="shared" si="294"/>
        <v>0</v>
      </c>
      <c r="FC85" s="442">
        <f t="shared" si="295"/>
        <v>0</v>
      </c>
      <c r="FD85" s="442">
        <f t="shared" si="296"/>
        <v>0</v>
      </c>
      <c r="FE85" s="442">
        <f t="shared" si="297"/>
        <v>0</v>
      </c>
      <c r="FF85" s="442">
        <f t="shared" si="298"/>
        <v>0</v>
      </c>
      <c r="FG85" s="442">
        <f t="shared" si="299"/>
        <v>0</v>
      </c>
      <c r="FH85" s="443">
        <f t="shared" si="300"/>
        <v>0</v>
      </c>
      <c r="FJ85" s="442">
        <f t="shared" si="301"/>
        <v>0</v>
      </c>
      <c r="FK85" s="442">
        <f t="shared" si="302"/>
        <v>0</v>
      </c>
      <c r="FL85" s="442">
        <f t="shared" si="303"/>
        <v>0</v>
      </c>
      <c r="FM85" s="442">
        <f t="shared" si="304"/>
        <v>0</v>
      </c>
      <c r="FN85" s="442">
        <f t="shared" si="305"/>
        <v>0</v>
      </c>
      <c r="FO85" s="442">
        <f t="shared" si="306"/>
        <v>0</v>
      </c>
      <c r="FP85" s="442">
        <f t="shared" si="307"/>
        <v>0</v>
      </c>
      <c r="FQ85" s="442">
        <f t="shared" si="308"/>
        <v>0</v>
      </c>
      <c r="FR85" s="442">
        <f t="shared" si="309"/>
        <v>0</v>
      </c>
      <c r="FS85" s="442">
        <f t="shared" si="310"/>
        <v>0</v>
      </c>
      <c r="FT85" s="443">
        <f t="shared" si="311"/>
        <v>0</v>
      </c>
    </row>
    <row r="86" spans="2:176" s="270" customFormat="1" ht="15" customHeight="1" x14ac:dyDescent="0.25">
      <c r="B86" s="446" t="str">
        <f>'2. START'!C$7</f>
        <v>100GEM</v>
      </c>
      <c r="C86" s="469"/>
      <c r="D86" s="589"/>
      <c r="E86" s="544">
        <v>0</v>
      </c>
      <c r="F86" s="448"/>
      <c r="G86" s="449"/>
      <c r="H86" s="449"/>
      <c r="I86" s="449"/>
      <c r="J86" s="449"/>
      <c r="K86" s="449"/>
      <c r="L86" s="449"/>
      <c r="M86" s="449"/>
      <c r="N86" s="449"/>
      <c r="O86" s="449"/>
      <c r="P86" s="449"/>
      <c r="Q86" s="546">
        <f>SUMIF('3. PARTNER'!$B$13:$B$80,$B86,'3. PARTNER'!$F$13:$F$80)</f>
        <v>0.02</v>
      </c>
      <c r="R86" s="450">
        <f t="shared" si="207"/>
        <v>0.02</v>
      </c>
      <c r="S86" s="450">
        <f t="shared" si="207"/>
        <v>0.02</v>
      </c>
      <c r="T86" s="450">
        <f t="shared" si="207"/>
        <v>0.02</v>
      </c>
      <c r="U86" s="450">
        <f t="shared" si="207"/>
        <v>0.02</v>
      </c>
      <c r="V86" s="450">
        <f t="shared" si="207"/>
        <v>0.02</v>
      </c>
      <c r="W86" s="450">
        <f t="shared" si="207"/>
        <v>0.02</v>
      </c>
      <c r="X86" s="450">
        <f t="shared" si="207"/>
        <v>0.02</v>
      </c>
      <c r="Y86" s="450">
        <f t="shared" si="207"/>
        <v>0.02</v>
      </c>
      <c r="Z86" s="450">
        <f t="shared" si="207"/>
        <v>0.02</v>
      </c>
      <c r="AA86" s="451">
        <f>SUMIF('3. PARTNER'!B$13:B$80,B86,'3. PARTNER'!E$13:E$80)</f>
        <v>0.5595</v>
      </c>
      <c r="AB86" s="452">
        <f>IF('2. START'!$C$20="UTB",(SUMIF('3. PARTNER'!B$13:B$80,B86,'3. PARTNER'!K$13:K$80))+(SUMIF('3. PARTNER'!B$13:B$80,B86,'3. PARTNER'!M$13:M$80)),(SUMIF('3. PARTNER'!B$13:B$80,B86,'3. PARTNER'!G$13:G$80))+(SUMIF('3. PARTNER'!B$13:B$80,B86,'3. PARTNER'!I$13:I$80)))</f>
        <v>0.16000843770704321</v>
      </c>
      <c r="AC86" s="452">
        <f>IF('2. START'!$C$20="UTB",(SUMIF('3. PARTNER'!B$13:B$80,B86,'3. PARTNER'!L$13:L$80))+(SUMIF('3. PARTNER'!B$13:B$80,B86,'3. PARTNER'!N$13:N$80)),(SUMIF('3. PARTNER'!B$13:B$80,B86,'3. PARTNER'!H$13:H$80))+(SUMIF('3. PARTNER'!B$13:B$80,B86,'3. PARTNER'!J$13:J$80)))</f>
        <v>0</v>
      </c>
      <c r="AD86" s="452">
        <f>IF('2. START'!C$11="NO",'2. START'!C$12,0)</f>
        <v>0</v>
      </c>
      <c r="AE86" s="453">
        <f t="shared" si="278"/>
        <v>0</v>
      </c>
      <c r="AF86" s="453">
        <f t="shared" si="279"/>
        <v>0</v>
      </c>
      <c r="AG86" s="454"/>
      <c r="AH86" s="455">
        <f t="shared" si="208"/>
        <v>0</v>
      </c>
      <c r="AI86" s="455">
        <f t="shared" si="209"/>
        <v>0</v>
      </c>
      <c r="AJ86" s="455">
        <f t="shared" si="210"/>
        <v>0</v>
      </c>
      <c r="AK86" s="455">
        <f t="shared" si="211"/>
        <v>0</v>
      </c>
      <c r="AL86" s="455">
        <f t="shared" si="212"/>
        <v>0</v>
      </c>
      <c r="AM86" s="455">
        <f t="shared" si="213"/>
        <v>0</v>
      </c>
      <c r="AN86" s="455">
        <f t="shared" si="214"/>
        <v>0</v>
      </c>
      <c r="AO86" s="455">
        <f t="shared" si="215"/>
        <v>0</v>
      </c>
      <c r="AP86" s="455">
        <f t="shared" si="216"/>
        <v>0</v>
      </c>
      <c r="AQ86" s="455">
        <f t="shared" si="217"/>
        <v>0</v>
      </c>
      <c r="AR86" s="456">
        <f t="shared" si="280"/>
        <v>0</v>
      </c>
      <c r="AS86" s="457"/>
      <c r="AT86" s="455">
        <f t="shared" si="218"/>
        <v>0</v>
      </c>
      <c r="AU86" s="455">
        <f t="shared" si="219"/>
        <v>0</v>
      </c>
      <c r="AV86" s="455">
        <f t="shared" si="220"/>
        <v>0</v>
      </c>
      <c r="AW86" s="455">
        <f t="shared" si="221"/>
        <v>0</v>
      </c>
      <c r="AX86" s="455">
        <f t="shared" si="222"/>
        <v>0</v>
      </c>
      <c r="AY86" s="455">
        <f t="shared" si="223"/>
        <v>0</v>
      </c>
      <c r="AZ86" s="455">
        <f t="shared" si="224"/>
        <v>0</v>
      </c>
      <c r="BA86" s="455">
        <f t="shared" si="225"/>
        <v>0</v>
      </c>
      <c r="BB86" s="455">
        <f t="shared" si="226"/>
        <v>0</v>
      </c>
      <c r="BC86" s="455">
        <f t="shared" si="227"/>
        <v>0</v>
      </c>
      <c r="BD86" s="456">
        <f t="shared" si="281"/>
        <v>0</v>
      </c>
      <c r="BE86" s="457"/>
      <c r="BF86" s="455">
        <f t="shared" si="228"/>
        <v>0</v>
      </c>
      <c r="BG86" s="455">
        <f t="shared" si="229"/>
        <v>0</v>
      </c>
      <c r="BH86" s="455">
        <f t="shared" si="230"/>
        <v>0</v>
      </c>
      <c r="BI86" s="455">
        <f t="shared" si="231"/>
        <v>0</v>
      </c>
      <c r="BJ86" s="455">
        <f t="shared" si="232"/>
        <v>0</v>
      </c>
      <c r="BK86" s="455">
        <f t="shared" si="233"/>
        <v>0</v>
      </c>
      <c r="BL86" s="455">
        <f t="shared" si="234"/>
        <v>0</v>
      </c>
      <c r="BM86" s="455">
        <f t="shared" si="235"/>
        <v>0</v>
      </c>
      <c r="BN86" s="455">
        <f t="shared" si="236"/>
        <v>0</v>
      </c>
      <c r="BO86" s="455">
        <f t="shared" si="237"/>
        <v>0</v>
      </c>
      <c r="BP86" s="456">
        <f t="shared" si="282"/>
        <v>0</v>
      </c>
      <c r="BQ86" s="463"/>
      <c r="BR86" s="459">
        <f t="shared" si="238"/>
        <v>0</v>
      </c>
      <c r="BS86" s="459">
        <f t="shared" si="239"/>
        <v>0</v>
      </c>
      <c r="BT86" s="459">
        <f t="shared" si="240"/>
        <v>0</v>
      </c>
      <c r="BU86" s="459">
        <f t="shared" si="241"/>
        <v>0</v>
      </c>
      <c r="BV86" s="459">
        <f t="shared" si="242"/>
        <v>0</v>
      </c>
      <c r="BW86" s="459">
        <f t="shared" si="243"/>
        <v>0</v>
      </c>
      <c r="BX86" s="459">
        <f t="shared" si="244"/>
        <v>0</v>
      </c>
      <c r="BY86" s="459">
        <f t="shared" si="245"/>
        <v>0</v>
      </c>
      <c r="BZ86" s="459">
        <f t="shared" si="246"/>
        <v>0</v>
      </c>
      <c r="CA86" s="459">
        <f t="shared" si="247"/>
        <v>0</v>
      </c>
      <c r="CB86" s="460">
        <f t="shared" si="283"/>
        <v>0</v>
      </c>
      <c r="CC86" s="463"/>
      <c r="CD86" s="462">
        <f t="shared" si="248"/>
        <v>0</v>
      </c>
      <c r="CE86" s="462">
        <f t="shared" si="249"/>
        <v>0</v>
      </c>
      <c r="CF86" s="462">
        <f t="shared" si="250"/>
        <v>0</v>
      </c>
      <c r="CG86" s="462">
        <f t="shared" si="251"/>
        <v>0</v>
      </c>
      <c r="CH86" s="462">
        <f t="shared" si="252"/>
        <v>0</v>
      </c>
      <c r="CI86" s="462">
        <f t="shared" si="253"/>
        <v>0</v>
      </c>
      <c r="CJ86" s="462">
        <f t="shared" si="254"/>
        <v>0</v>
      </c>
      <c r="CK86" s="462">
        <f t="shared" si="255"/>
        <v>0</v>
      </c>
      <c r="CL86" s="462">
        <f t="shared" si="256"/>
        <v>0</v>
      </c>
      <c r="CM86" s="462">
        <f t="shared" si="257"/>
        <v>0</v>
      </c>
      <c r="CN86" s="460">
        <f t="shared" si="284"/>
        <v>0</v>
      </c>
      <c r="CO86" s="463"/>
      <c r="CP86" s="459">
        <f t="shared" si="258"/>
        <v>0</v>
      </c>
      <c r="CQ86" s="459">
        <f t="shared" si="259"/>
        <v>0</v>
      </c>
      <c r="CR86" s="459">
        <f t="shared" si="260"/>
        <v>0</v>
      </c>
      <c r="CS86" s="459">
        <f t="shared" si="261"/>
        <v>0</v>
      </c>
      <c r="CT86" s="459">
        <f t="shared" si="262"/>
        <v>0</v>
      </c>
      <c r="CU86" s="459">
        <f t="shared" si="263"/>
        <v>0</v>
      </c>
      <c r="CV86" s="459">
        <f t="shared" si="264"/>
        <v>0</v>
      </c>
      <c r="CW86" s="459">
        <f t="shared" si="265"/>
        <v>0</v>
      </c>
      <c r="CX86" s="459">
        <f t="shared" si="266"/>
        <v>0</v>
      </c>
      <c r="CY86" s="459">
        <f t="shared" si="267"/>
        <v>0</v>
      </c>
      <c r="CZ86" s="460">
        <f t="shared" si="285"/>
        <v>0</v>
      </c>
      <c r="DA86" s="463"/>
      <c r="DB86" s="459">
        <f t="shared" si="268"/>
        <v>0</v>
      </c>
      <c r="DC86" s="459">
        <f t="shared" si="269"/>
        <v>0</v>
      </c>
      <c r="DD86" s="459">
        <f t="shared" si="270"/>
        <v>0</v>
      </c>
      <c r="DE86" s="459">
        <f t="shared" si="271"/>
        <v>0</v>
      </c>
      <c r="DF86" s="459">
        <f t="shared" si="272"/>
        <v>0</v>
      </c>
      <c r="DG86" s="459">
        <f t="shared" si="273"/>
        <v>0</v>
      </c>
      <c r="DH86" s="459">
        <f t="shared" si="274"/>
        <v>0</v>
      </c>
      <c r="DI86" s="459">
        <f t="shared" si="275"/>
        <v>0</v>
      </c>
      <c r="DJ86" s="459">
        <f t="shared" si="276"/>
        <v>0</v>
      </c>
      <c r="DK86" s="459">
        <f t="shared" si="277"/>
        <v>0</v>
      </c>
      <c r="DL86" s="460">
        <f t="shared" si="286"/>
        <v>0</v>
      </c>
      <c r="DM86" s="463"/>
      <c r="DN86" s="442">
        <f>IF('2. START'!$C$14&gt;0,(AT86/(1+$AA86))*(1+'2. START'!$C$14),AT86)</f>
        <v>0</v>
      </c>
      <c r="DO86" s="442">
        <f>IF('2. START'!$C$14&gt;0,(AU86/(1+$AA86))*(1+'2. START'!$C$14),AU86)</f>
        <v>0</v>
      </c>
      <c r="DP86" s="442">
        <f>IF('2. START'!$C$14&gt;0,(AV86/(1+$AA86))*(1+'2. START'!$C$14),AV86)</f>
        <v>0</v>
      </c>
      <c r="DQ86" s="442">
        <f>IF('2. START'!$C$14&gt;0,(AW86/(1+$AA86))*(1+'2. START'!$C$14),AW86)</f>
        <v>0</v>
      </c>
      <c r="DR86" s="442">
        <f>IF('2. START'!$C$14&gt;0,(AX86/(1+$AA86))*(1+'2. START'!$C$14),AX86)</f>
        <v>0</v>
      </c>
      <c r="DS86" s="442">
        <f>IF('2. START'!$C$14&gt;0,(AY86/(1+$AA86))*(1+'2. START'!$C$14),AY86)</f>
        <v>0</v>
      </c>
      <c r="DT86" s="442">
        <f>IF('2. START'!$C$14&gt;0,(AZ86/(1+$AA86))*(1+'2. START'!$C$14),AZ86)</f>
        <v>0</v>
      </c>
      <c r="DU86" s="442">
        <f>IF('2. START'!$C$14&gt;0,(BA86/(1+$AA86))*(1+'2. START'!$C$14),BA86)</f>
        <v>0</v>
      </c>
      <c r="DV86" s="442">
        <f>IF('2. START'!$C$14&gt;0,(BB86/(1+$AA86))*(1+'2. START'!$C$14),BB86)</f>
        <v>0</v>
      </c>
      <c r="DW86" s="442">
        <f>IF('2. START'!$C$14&gt;0,(BC86/(1+$AA86))*(1+'2. START'!$C$14),BC86)</f>
        <v>0</v>
      </c>
      <c r="DX86" s="460">
        <f t="shared" si="287"/>
        <v>0</v>
      </c>
      <c r="DY86" s="463"/>
      <c r="DZ86" s="459">
        <f>IF('2. START'!$C$11="NO",(IF('2. START'!$C$14&gt;0,(DN86*$AD86),(AT86*$AD86))),(BR86+CP86))</f>
        <v>0</v>
      </c>
      <c r="EA86" s="459">
        <f>IF('2. START'!$C$11="NO",(IF('2. START'!$C$14&gt;0,(DO86*$AD86),(AU86*$AD86))),(BS86+CQ86))</f>
        <v>0</v>
      </c>
      <c r="EB86" s="459">
        <f>IF('2. START'!$C$11="NO",(IF('2. START'!$C$14&gt;0,(DP86*$AD86),(AV86*$AD86))),(BT86+CR86))</f>
        <v>0</v>
      </c>
      <c r="EC86" s="459">
        <f>IF('2. START'!$C$11="NO",(IF('2. START'!$C$14&gt;0,(DQ86*$AD86),(AW86*$AD86))),(BU86+CS86))</f>
        <v>0</v>
      </c>
      <c r="ED86" s="459">
        <f>IF('2. START'!$C$11="NO",(IF('2. START'!$C$14&gt;0,(DR86*$AD86),(AX86*$AD86))),(BV86+CT86))</f>
        <v>0</v>
      </c>
      <c r="EE86" s="459">
        <f>IF('2. START'!$C$11="NO",(IF('2. START'!$C$14&gt;0,(DS86*$AD86),(AY86*$AD86))),(BW86+CU86))</f>
        <v>0</v>
      </c>
      <c r="EF86" s="459">
        <f>IF('2. START'!$C$11="NO",(IF('2. START'!$C$14&gt;0,(DT86*$AD86),(AZ86*$AD86))),(BX86+CV86))</f>
        <v>0</v>
      </c>
      <c r="EG86" s="459">
        <f>IF('2. START'!$C$11="NO",(IF('2. START'!$C$14&gt;0,(DU86*$AD86),(BA86*$AD86))),(BY86+CW86))</f>
        <v>0</v>
      </c>
      <c r="EH86" s="459">
        <f>IF('2. START'!$C$11="NO",(IF('2. START'!$C$14&gt;0,(DV86*$AD86),(BB86*$AD86))),(BZ86+CX86))</f>
        <v>0</v>
      </c>
      <c r="EI86" s="459">
        <f>IF('2. START'!$C$11="NO",(IF('2. START'!$C$14&gt;0,(DW86*$AD86),(BC86*$AD86))),(CA86+CY86))</f>
        <v>0</v>
      </c>
      <c r="EJ86" s="460">
        <f t="shared" si="288"/>
        <v>0</v>
      </c>
      <c r="EK86" s="463"/>
      <c r="EL86" s="459">
        <f>(BR86+CP86-DZ86)+IF('2. START'!$C$14&gt;0,AT86-DN86,0)</f>
        <v>0</v>
      </c>
      <c r="EM86" s="459">
        <f>(BS86+CQ86-EA86)+IF('2. START'!$C$14&gt;0,AU86-DO86,0)</f>
        <v>0</v>
      </c>
      <c r="EN86" s="459">
        <f>(BT86+CR86-EB86)+IF('2. START'!$C$14&gt;0,AV86-DP86,0)</f>
        <v>0</v>
      </c>
      <c r="EO86" s="459">
        <f>(BU86+CS86-EC86)+IF('2. START'!$C$14&gt;0,AW86-DQ86,0)</f>
        <v>0</v>
      </c>
      <c r="EP86" s="459">
        <f>(BV86+CT86-ED86)+IF('2. START'!$C$14&gt;0,AX86-DR86,0)</f>
        <v>0</v>
      </c>
      <c r="EQ86" s="459">
        <f>(BW86+CU86-EE86)+IF('2. START'!$C$14&gt;0,AY86-DS86,0)</f>
        <v>0</v>
      </c>
      <c r="ER86" s="459">
        <f>(BX86+CV86-EF86)+IF('2. START'!$C$14&gt;0,AZ86-DT86,0)</f>
        <v>0</v>
      </c>
      <c r="ES86" s="459">
        <f>(BY86+CW86-EG86)+IF('2. START'!$C$14&gt;0,BA86-DU86,0)</f>
        <v>0</v>
      </c>
      <c r="ET86" s="459">
        <f>(BZ86+CX86-EH86)+IF('2. START'!$C$14&gt;0,BB86-DV86,0)</f>
        <v>0</v>
      </c>
      <c r="EU86" s="459">
        <f>(CA86+CY86-EI86)+IF('2. START'!$C$14&gt;0,BC86-DW86,0)</f>
        <v>0</v>
      </c>
      <c r="EV86" s="460">
        <f t="shared" si="289"/>
        <v>0</v>
      </c>
      <c r="EW86" s="463"/>
      <c r="EX86" s="459">
        <f t="shared" si="290"/>
        <v>0</v>
      </c>
      <c r="EY86" s="459">
        <f t="shared" si="291"/>
        <v>0</v>
      </c>
      <c r="EZ86" s="459">
        <f t="shared" si="292"/>
        <v>0</v>
      </c>
      <c r="FA86" s="459">
        <f t="shared" si="293"/>
        <v>0</v>
      </c>
      <c r="FB86" s="459">
        <f t="shared" si="294"/>
        <v>0</v>
      </c>
      <c r="FC86" s="459">
        <f t="shared" si="295"/>
        <v>0</v>
      </c>
      <c r="FD86" s="459">
        <f t="shared" si="296"/>
        <v>0</v>
      </c>
      <c r="FE86" s="459">
        <f t="shared" si="297"/>
        <v>0</v>
      </c>
      <c r="FF86" s="459">
        <f t="shared" si="298"/>
        <v>0</v>
      </c>
      <c r="FG86" s="459">
        <f t="shared" si="299"/>
        <v>0</v>
      </c>
      <c r="FH86" s="460">
        <f t="shared" si="300"/>
        <v>0</v>
      </c>
      <c r="FI86" s="463"/>
      <c r="FJ86" s="459">
        <f t="shared" si="301"/>
        <v>0</v>
      </c>
      <c r="FK86" s="459">
        <f t="shared" si="302"/>
        <v>0</v>
      </c>
      <c r="FL86" s="459">
        <f t="shared" si="303"/>
        <v>0</v>
      </c>
      <c r="FM86" s="459">
        <f t="shared" si="304"/>
        <v>0</v>
      </c>
      <c r="FN86" s="459">
        <f t="shared" si="305"/>
        <v>0</v>
      </c>
      <c r="FO86" s="459">
        <f t="shared" si="306"/>
        <v>0</v>
      </c>
      <c r="FP86" s="459">
        <f t="shared" si="307"/>
        <v>0</v>
      </c>
      <c r="FQ86" s="459">
        <f t="shared" si="308"/>
        <v>0</v>
      </c>
      <c r="FR86" s="459">
        <f t="shared" si="309"/>
        <v>0</v>
      </c>
      <c r="FS86" s="459">
        <f t="shared" si="310"/>
        <v>0</v>
      </c>
      <c r="FT86" s="460">
        <f t="shared" si="311"/>
        <v>0</v>
      </c>
    </row>
    <row r="87" spans="2:176" s="270" customFormat="1" ht="15" customHeight="1" x14ac:dyDescent="0.25">
      <c r="B87" s="464" t="str">
        <f>'2. START'!C$7</f>
        <v>100GEM</v>
      </c>
      <c r="C87" s="470"/>
      <c r="D87" s="590"/>
      <c r="E87" s="514">
        <v>0</v>
      </c>
      <c r="F87" s="467"/>
      <c r="G87" s="432"/>
      <c r="H87" s="432"/>
      <c r="I87" s="432"/>
      <c r="J87" s="432"/>
      <c r="K87" s="432"/>
      <c r="L87" s="432"/>
      <c r="M87" s="432"/>
      <c r="N87" s="432"/>
      <c r="O87" s="432"/>
      <c r="P87" s="432"/>
      <c r="Q87" s="545">
        <f>SUMIF('3. PARTNER'!$B$13:$B$80,$B87,'3. PARTNER'!$F$13:$F$80)</f>
        <v>0.02</v>
      </c>
      <c r="R87" s="466">
        <f t="shared" ref="R87:Z96" si="312">$Q87</f>
        <v>0.02</v>
      </c>
      <c r="S87" s="466">
        <f t="shared" si="312"/>
        <v>0.02</v>
      </c>
      <c r="T87" s="466">
        <f t="shared" si="312"/>
        <v>0.02</v>
      </c>
      <c r="U87" s="466">
        <f t="shared" si="312"/>
        <v>0.02</v>
      </c>
      <c r="V87" s="466">
        <f t="shared" si="312"/>
        <v>0.02</v>
      </c>
      <c r="W87" s="466">
        <f t="shared" si="312"/>
        <v>0.02</v>
      </c>
      <c r="X87" s="466">
        <f t="shared" si="312"/>
        <v>0.02</v>
      </c>
      <c r="Y87" s="466">
        <f t="shared" si="312"/>
        <v>0.02</v>
      </c>
      <c r="Z87" s="466">
        <f t="shared" si="312"/>
        <v>0.02</v>
      </c>
      <c r="AA87" s="434">
        <f>SUMIF('3. PARTNER'!B$13:B$80,B87,'3. PARTNER'!E$13:E$80)</f>
        <v>0.5595</v>
      </c>
      <c r="AB87" s="435">
        <f>IF('2. START'!$C$20="UTB",(SUMIF('3. PARTNER'!B$13:B$80,B87,'3. PARTNER'!K$13:K$80))+(SUMIF('3. PARTNER'!B$13:B$80,B87,'3. PARTNER'!M$13:M$80)),(SUMIF('3. PARTNER'!B$13:B$80,B87,'3. PARTNER'!G$13:G$80))+(SUMIF('3. PARTNER'!B$13:B$80,B87,'3. PARTNER'!I$13:I$80)))</f>
        <v>0.16000843770704321</v>
      </c>
      <c r="AC87" s="435">
        <f>IF('2. START'!$C$20="UTB",(SUMIF('3. PARTNER'!B$13:B$80,B87,'3. PARTNER'!L$13:L$80))+(SUMIF('3. PARTNER'!B$13:B$80,B87,'3. PARTNER'!N$13:N$80)),(SUMIF('3. PARTNER'!B$13:B$80,B87,'3. PARTNER'!H$13:H$80))+(SUMIF('3. PARTNER'!B$13:B$80,B87,'3. PARTNER'!J$13:J$80)))</f>
        <v>0</v>
      </c>
      <c r="AD87" s="435">
        <f>IF('2. START'!C$11="NO",'2. START'!C$12,0)</f>
        <v>0</v>
      </c>
      <c r="AE87" s="436">
        <f t="shared" si="278"/>
        <v>0</v>
      </c>
      <c r="AF87" s="436">
        <f t="shared" si="279"/>
        <v>0</v>
      </c>
      <c r="AG87" s="437"/>
      <c r="AH87" s="438">
        <f t="shared" si="208"/>
        <v>0</v>
      </c>
      <c r="AI87" s="438">
        <f t="shared" si="209"/>
        <v>0</v>
      </c>
      <c r="AJ87" s="438">
        <f t="shared" si="210"/>
        <v>0</v>
      </c>
      <c r="AK87" s="438">
        <f t="shared" si="211"/>
        <v>0</v>
      </c>
      <c r="AL87" s="438">
        <f t="shared" si="212"/>
        <v>0</v>
      </c>
      <c r="AM87" s="438">
        <f t="shared" si="213"/>
        <v>0</v>
      </c>
      <c r="AN87" s="438">
        <f t="shared" si="214"/>
        <v>0</v>
      </c>
      <c r="AO87" s="438">
        <f t="shared" si="215"/>
        <v>0</v>
      </c>
      <c r="AP87" s="438">
        <f t="shared" si="216"/>
        <v>0</v>
      </c>
      <c r="AQ87" s="438">
        <f t="shared" si="217"/>
        <v>0</v>
      </c>
      <c r="AR87" s="439">
        <f t="shared" si="280"/>
        <v>0</v>
      </c>
      <c r="AS87" s="440"/>
      <c r="AT87" s="438">
        <f t="shared" si="218"/>
        <v>0</v>
      </c>
      <c r="AU87" s="438">
        <f t="shared" si="219"/>
        <v>0</v>
      </c>
      <c r="AV87" s="438">
        <f t="shared" si="220"/>
        <v>0</v>
      </c>
      <c r="AW87" s="438">
        <f t="shared" si="221"/>
        <v>0</v>
      </c>
      <c r="AX87" s="438">
        <f t="shared" si="222"/>
        <v>0</v>
      </c>
      <c r="AY87" s="438">
        <f t="shared" si="223"/>
        <v>0</v>
      </c>
      <c r="AZ87" s="438">
        <f t="shared" si="224"/>
        <v>0</v>
      </c>
      <c r="BA87" s="438">
        <f t="shared" si="225"/>
        <v>0</v>
      </c>
      <c r="BB87" s="438">
        <f t="shared" si="226"/>
        <v>0</v>
      </c>
      <c r="BC87" s="438">
        <f t="shared" si="227"/>
        <v>0</v>
      </c>
      <c r="BD87" s="439">
        <f t="shared" si="281"/>
        <v>0</v>
      </c>
      <c r="BE87" s="440"/>
      <c r="BF87" s="438">
        <f t="shared" si="228"/>
        <v>0</v>
      </c>
      <c r="BG87" s="438">
        <f t="shared" si="229"/>
        <v>0</v>
      </c>
      <c r="BH87" s="438">
        <f t="shared" si="230"/>
        <v>0</v>
      </c>
      <c r="BI87" s="438">
        <f t="shared" si="231"/>
        <v>0</v>
      </c>
      <c r="BJ87" s="438">
        <f t="shared" si="232"/>
        <v>0</v>
      </c>
      <c r="BK87" s="438">
        <f t="shared" si="233"/>
        <v>0</v>
      </c>
      <c r="BL87" s="438">
        <f t="shared" si="234"/>
        <v>0</v>
      </c>
      <c r="BM87" s="438">
        <f t="shared" si="235"/>
        <v>0</v>
      </c>
      <c r="BN87" s="438">
        <f t="shared" si="236"/>
        <v>0</v>
      </c>
      <c r="BO87" s="438">
        <f t="shared" si="237"/>
        <v>0</v>
      </c>
      <c r="BP87" s="439">
        <f t="shared" si="282"/>
        <v>0</v>
      </c>
      <c r="BR87" s="442">
        <f t="shared" si="238"/>
        <v>0</v>
      </c>
      <c r="BS87" s="442">
        <f t="shared" si="239"/>
        <v>0</v>
      </c>
      <c r="BT87" s="442">
        <f t="shared" si="240"/>
        <v>0</v>
      </c>
      <c r="BU87" s="442">
        <f t="shared" si="241"/>
        <v>0</v>
      </c>
      <c r="BV87" s="442">
        <f t="shared" si="242"/>
        <v>0</v>
      </c>
      <c r="BW87" s="442">
        <f t="shared" si="243"/>
        <v>0</v>
      </c>
      <c r="BX87" s="442">
        <f t="shared" si="244"/>
        <v>0</v>
      </c>
      <c r="BY87" s="442">
        <f t="shared" si="245"/>
        <v>0</v>
      </c>
      <c r="BZ87" s="442">
        <f t="shared" si="246"/>
        <v>0</v>
      </c>
      <c r="CA87" s="442">
        <f t="shared" si="247"/>
        <v>0</v>
      </c>
      <c r="CB87" s="443">
        <f t="shared" si="283"/>
        <v>0</v>
      </c>
      <c r="CD87" s="445">
        <f t="shared" si="248"/>
        <v>0</v>
      </c>
      <c r="CE87" s="445">
        <f t="shared" si="249"/>
        <v>0</v>
      </c>
      <c r="CF87" s="445">
        <f t="shared" si="250"/>
        <v>0</v>
      </c>
      <c r="CG87" s="445">
        <f t="shared" si="251"/>
        <v>0</v>
      </c>
      <c r="CH87" s="445">
        <f t="shared" si="252"/>
        <v>0</v>
      </c>
      <c r="CI87" s="445">
        <f t="shared" si="253"/>
        <v>0</v>
      </c>
      <c r="CJ87" s="445">
        <f t="shared" si="254"/>
        <v>0</v>
      </c>
      <c r="CK87" s="445">
        <f t="shared" si="255"/>
        <v>0</v>
      </c>
      <c r="CL87" s="445">
        <f t="shared" si="256"/>
        <v>0</v>
      </c>
      <c r="CM87" s="445">
        <f t="shared" si="257"/>
        <v>0</v>
      </c>
      <c r="CN87" s="443">
        <f t="shared" si="284"/>
        <v>0</v>
      </c>
      <c r="CP87" s="442">
        <f t="shared" si="258"/>
        <v>0</v>
      </c>
      <c r="CQ87" s="442">
        <f t="shared" si="259"/>
        <v>0</v>
      </c>
      <c r="CR87" s="442">
        <f t="shared" si="260"/>
        <v>0</v>
      </c>
      <c r="CS87" s="442">
        <f t="shared" si="261"/>
        <v>0</v>
      </c>
      <c r="CT87" s="442">
        <f t="shared" si="262"/>
        <v>0</v>
      </c>
      <c r="CU87" s="442">
        <f t="shared" si="263"/>
        <v>0</v>
      </c>
      <c r="CV87" s="442">
        <f t="shared" si="264"/>
        <v>0</v>
      </c>
      <c r="CW87" s="442">
        <f t="shared" si="265"/>
        <v>0</v>
      </c>
      <c r="CX87" s="442">
        <f t="shared" si="266"/>
        <v>0</v>
      </c>
      <c r="CY87" s="442">
        <f t="shared" si="267"/>
        <v>0</v>
      </c>
      <c r="CZ87" s="443">
        <f t="shared" si="285"/>
        <v>0</v>
      </c>
      <c r="DB87" s="442">
        <f t="shared" si="268"/>
        <v>0</v>
      </c>
      <c r="DC87" s="442">
        <f t="shared" si="269"/>
        <v>0</v>
      </c>
      <c r="DD87" s="442">
        <f t="shared" si="270"/>
        <v>0</v>
      </c>
      <c r="DE87" s="442">
        <f t="shared" si="271"/>
        <v>0</v>
      </c>
      <c r="DF87" s="442">
        <f t="shared" si="272"/>
        <v>0</v>
      </c>
      <c r="DG87" s="442">
        <f t="shared" si="273"/>
        <v>0</v>
      </c>
      <c r="DH87" s="442">
        <f t="shared" si="274"/>
        <v>0</v>
      </c>
      <c r="DI87" s="442">
        <f t="shared" si="275"/>
        <v>0</v>
      </c>
      <c r="DJ87" s="442">
        <f t="shared" si="276"/>
        <v>0</v>
      </c>
      <c r="DK87" s="442">
        <f t="shared" si="277"/>
        <v>0</v>
      </c>
      <c r="DL87" s="443">
        <f t="shared" si="286"/>
        <v>0</v>
      </c>
      <c r="DN87" s="442">
        <f>IF('2. START'!$C$14&gt;0,(AT87/(1+$AA87))*(1+'2. START'!$C$14),AT87)</f>
        <v>0</v>
      </c>
      <c r="DO87" s="442">
        <f>IF('2. START'!$C$14&gt;0,(AU87/(1+$AA87))*(1+'2. START'!$C$14),AU87)</f>
        <v>0</v>
      </c>
      <c r="DP87" s="442">
        <f>IF('2. START'!$C$14&gt;0,(AV87/(1+$AA87))*(1+'2. START'!$C$14),AV87)</f>
        <v>0</v>
      </c>
      <c r="DQ87" s="442">
        <f>IF('2. START'!$C$14&gt;0,(AW87/(1+$AA87))*(1+'2. START'!$C$14),AW87)</f>
        <v>0</v>
      </c>
      <c r="DR87" s="442">
        <f>IF('2. START'!$C$14&gt;0,(AX87/(1+$AA87))*(1+'2. START'!$C$14),AX87)</f>
        <v>0</v>
      </c>
      <c r="DS87" s="442">
        <f>IF('2. START'!$C$14&gt;0,(AY87/(1+$AA87))*(1+'2. START'!$C$14),AY87)</f>
        <v>0</v>
      </c>
      <c r="DT87" s="442">
        <f>IF('2. START'!$C$14&gt;0,(AZ87/(1+$AA87))*(1+'2. START'!$C$14),AZ87)</f>
        <v>0</v>
      </c>
      <c r="DU87" s="442">
        <f>IF('2. START'!$C$14&gt;0,(BA87/(1+$AA87))*(1+'2. START'!$C$14),BA87)</f>
        <v>0</v>
      </c>
      <c r="DV87" s="442">
        <f>IF('2. START'!$C$14&gt;0,(BB87/(1+$AA87))*(1+'2. START'!$C$14),BB87)</f>
        <v>0</v>
      </c>
      <c r="DW87" s="442">
        <f>IF('2. START'!$C$14&gt;0,(BC87/(1+$AA87))*(1+'2. START'!$C$14),BC87)</f>
        <v>0</v>
      </c>
      <c r="DX87" s="443">
        <f t="shared" si="287"/>
        <v>0</v>
      </c>
      <c r="DZ87" s="442">
        <f>IF('2. START'!$C$11="NO",(IF('2. START'!$C$14&gt;0,(DN87*$AD87),(AT87*$AD87))),(BR87+CP87))</f>
        <v>0</v>
      </c>
      <c r="EA87" s="442">
        <f>IF('2. START'!$C$11="NO",(IF('2. START'!$C$14&gt;0,(DO87*$AD87),(AU87*$AD87))),(BS87+CQ87))</f>
        <v>0</v>
      </c>
      <c r="EB87" s="442">
        <f>IF('2. START'!$C$11="NO",(IF('2. START'!$C$14&gt;0,(DP87*$AD87),(AV87*$AD87))),(BT87+CR87))</f>
        <v>0</v>
      </c>
      <c r="EC87" s="442">
        <f>IF('2. START'!$C$11="NO",(IF('2. START'!$C$14&gt;0,(DQ87*$AD87),(AW87*$AD87))),(BU87+CS87))</f>
        <v>0</v>
      </c>
      <c r="ED87" s="442">
        <f>IF('2. START'!$C$11="NO",(IF('2. START'!$C$14&gt;0,(DR87*$AD87),(AX87*$AD87))),(BV87+CT87))</f>
        <v>0</v>
      </c>
      <c r="EE87" s="442">
        <f>IF('2. START'!$C$11="NO",(IF('2. START'!$C$14&gt;0,(DS87*$AD87),(AY87*$AD87))),(BW87+CU87))</f>
        <v>0</v>
      </c>
      <c r="EF87" s="442">
        <f>IF('2. START'!$C$11="NO",(IF('2. START'!$C$14&gt;0,(DT87*$AD87),(AZ87*$AD87))),(BX87+CV87))</f>
        <v>0</v>
      </c>
      <c r="EG87" s="442">
        <f>IF('2. START'!$C$11="NO",(IF('2. START'!$C$14&gt;0,(DU87*$AD87),(BA87*$AD87))),(BY87+CW87))</f>
        <v>0</v>
      </c>
      <c r="EH87" s="442">
        <f>IF('2. START'!$C$11="NO",(IF('2. START'!$C$14&gt;0,(DV87*$AD87),(BB87*$AD87))),(BZ87+CX87))</f>
        <v>0</v>
      </c>
      <c r="EI87" s="442">
        <f>IF('2. START'!$C$11="NO",(IF('2. START'!$C$14&gt;0,(DW87*$AD87),(BC87*$AD87))),(CA87+CY87))</f>
        <v>0</v>
      </c>
      <c r="EJ87" s="443">
        <f t="shared" si="288"/>
        <v>0</v>
      </c>
      <c r="EL87" s="442">
        <f>(BR87+CP87-DZ87)+IF('2. START'!$C$14&gt;0,AT87-DN87,0)</f>
        <v>0</v>
      </c>
      <c r="EM87" s="442">
        <f>(BS87+CQ87-EA87)+IF('2. START'!$C$14&gt;0,AU87-DO87,0)</f>
        <v>0</v>
      </c>
      <c r="EN87" s="442">
        <f>(BT87+CR87-EB87)+IF('2. START'!$C$14&gt;0,AV87-DP87,0)</f>
        <v>0</v>
      </c>
      <c r="EO87" s="442">
        <f>(BU87+CS87-EC87)+IF('2. START'!$C$14&gt;0,AW87-DQ87,0)</f>
        <v>0</v>
      </c>
      <c r="EP87" s="442">
        <f>(BV87+CT87-ED87)+IF('2. START'!$C$14&gt;0,AX87-DR87,0)</f>
        <v>0</v>
      </c>
      <c r="EQ87" s="442">
        <f>(BW87+CU87-EE87)+IF('2. START'!$C$14&gt;0,AY87-DS87,0)</f>
        <v>0</v>
      </c>
      <c r="ER87" s="442">
        <f>(BX87+CV87-EF87)+IF('2. START'!$C$14&gt;0,AZ87-DT87,0)</f>
        <v>0</v>
      </c>
      <c r="ES87" s="442">
        <f>(BY87+CW87-EG87)+IF('2. START'!$C$14&gt;0,BA87-DU87,0)</f>
        <v>0</v>
      </c>
      <c r="ET87" s="442">
        <f>(BZ87+CX87-EH87)+IF('2. START'!$C$14&gt;0,BB87-DV87,0)</f>
        <v>0</v>
      </c>
      <c r="EU87" s="442">
        <f>(CA87+CY87-EI87)+IF('2. START'!$C$14&gt;0,BC87-DW87,0)</f>
        <v>0</v>
      </c>
      <c r="EV87" s="443">
        <f t="shared" si="289"/>
        <v>0</v>
      </c>
      <c r="EX87" s="442">
        <f t="shared" si="290"/>
        <v>0</v>
      </c>
      <c r="EY87" s="442">
        <f t="shared" si="291"/>
        <v>0</v>
      </c>
      <c r="EZ87" s="442">
        <f t="shared" si="292"/>
        <v>0</v>
      </c>
      <c r="FA87" s="442">
        <f t="shared" si="293"/>
        <v>0</v>
      </c>
      <c r="FB87" s="442">
        <f t="shared" si="294"/>
        <v>0</v>
      </c>
      <c r="FC87" s="442">
        <f t="shared" si="295"/>
        <v>0</v>
      </c>
      <c r="FD87" s="442">
        <f t="shared" si="296"/>
        <v>0</v>
      </c>
      <c r="FE87" s="442">
        <f t="shared" si="297"/>
        <v>0</v>
      </c>
      <c r="FF87" s="442">
        <f t="shared" si="298"/>
        <v>0</v>
      </c>
      <c r="FG87" s="442">
        <f t="shared" si="299"/>
        <v>0</v>
      </c>
      <c r="FH87" s="443">
        <f t="shared" si="300"/>
        <v>0</v>
      </c>
      <c r="FJ87" s="442">
        <f t="shared" si="301"/>
        <v>0</v>
      </c>
      <c r="FK87" s="442">
        <f t="shared" si="302"/>
        <v>0</v>
      </c>
      <c r="FL87" s="442">
        <f t="shared" si="303"/>
        <v>0</v>
      </c>
      <c r="FM87" s="442">
        <f t="shared" si="304"/>
        <v>0</v>
      </c>
      <c r="FN87" s="442">
        <f t="shared" si="305"/>
        <v>0</v>
      </c>
      <c r="FO87" s="442">
        <f t="shared" si="306"/>
        <v>0</v>
      </c>
      <c r="FP87" s="442">
        <f t="shared" si="307"/>
        <v>0</v>
      </c>
      <c r="FQ87" s="442">
        <f t="shared" si="308"/>
        <v>0</v>
      </c>
      <c r="FR87" s="442">
        <f t="shared" si="309"/>
        <v>0</v>
      </c>
      <c r="FS87" s="442">
        <f t="shared" si="310"/>
        <v>0</v>
      </c>
      <c r="FT87" s="443">
        <f t="shared" si="311"/>
        <v>0</v>
      </c>
    </row>
    <row r="88" spans="2:176" s="270" customFormat="1" ht="15" customHeight="1" x14ac:dyDescent="0.25">
      <c r="B88" s="446" t="str">
        <f>'2. START'!C$7</f>
        <v>100GEM</v>
      </c>
      <c r="C88" s="469"/>
      <c r="D88" s="589"/>
      <c r="E88" s="544">
        <v>0</v>
      </c>
      <c r="F88" s="448"/>
      <c r="G88" s="449"/>
      <c r="H88" s="449"/>
      <c r="I88" s="449"/>
      <c r="J88" s="449"/>
      <c r="K88" s="449"/>
      <c r="L88" s="449"/>
      <c r="M88" s="449"/>
      <c r="N88" s="449"/>
      <c r="O88" s="449"/>
      <c r="P88" s="449"/>
      <c r="Q88" s="546">
        <f>SUMIF('3. PARTNER'!$B$13:$B$80,$B88,'3. PARTNER'!$F$13:$F$80)</f>
        <v>0.02</v>
      </c>
      <c r="R88" s="450">
        <f t="shared" si="312"/>
        <v>0.02</v>
      </c>
      <c r="S88" s="450">
        <f t="shared" si="312"/>
        <v>0.02</v>
      </c>
      <c r="T88" s="450">
        <f t="shared" si="312"/>
        <v>0.02</v>
      </c>
      <c r="U88" s="450">
        <f t="shared" si="312"/>
        <v>0.02</v>
      </c>
      <c r="V88" s="450">
        <f t="shared" si="312"/>
        <v>0.02</v>
      </c>
      <c r="W88" s="450">
        <f t="shared" si="312"/>
        <v>0.02</v>
      </c>
      <c r="X88" s="450">
        <f t="shared" si="312"/>
        <v>0.02</v>
      </c>
      <c r="Y88" s="450">
        <f t="shared" si="312"/>
        <v>0.02</v>
      </c>
      <c r="Z88" s="450">
        <f t="shared" si="312"/>
        <v>0.02</v>
      </c>
      <c r="AA88" s="451">
        <f>SUMIF('3. PARTNER'!B$13:B$80,B88,'3. PARTNER'!E$13:E$80)</f>
        <v>0.5595</v>
      </c>
      <c r="AB88" s="452">
        <f>IF('2. START'!$C$20="UTB",(SUMIF('3. PARTNER'!B$13:B$80,B88,'3. PARTNER'!K$13:K$80))+(SUMIF('3. PARTNER'!B$13:B$80,B88,'3. PARTNER'!M$13:M$80)),(SUMIF('3. PARTNER'!B$13:B$80,B88,'3. PARTNER'!G$13:G$80))+(SUMIF('3. PARTNER'!B$13:B$80,B88,'3. PARTNER'!I$13:I$80)))</f>
        <v>0.16000843770704321</v>
      </c>
      <c r="AC88" s="452">
        <f>IF('2. START'!$C$20="UTB",(SUMIF('3. PARTNER'!B$13:B$80,B88,'3. PARTNER'!L$13:L$80))+(SUMIF('3. PARTNER'!B$13:B$80,B88,'3. PARTNER'!N$13:N$80)),(SUMIF('3. PARTNER'!B$13:B$80,B88,'3. PARTNER'!H$13:H$80))+(SUMIF('3. PARTNER'!B$13:B$80,B88,'3. PARTNER'!J$13:J$80)))</f>
        <v>0</v>
      </c>
      <c r="AD88" s="452">
        <f>IF('2. START'!C$11="NO",'2. START'!C$12,0)</f>
        <v>0</v>
      </c>
      <c r="AE88" s="453">
        <f t="shared" si="278"/>
        <v>0</v>
      </c>
      <c r="AF88" s="453">
        <f t="shared" si="279"/>
        <v>0</v>
      </c>
      <c r="AG88" s="454"/>
      <c r="AH88" s="455">
        <f t="shared" si="208"/>
        <v>0</v>
      </c>
      <c r="AI88" s="455">
        <f t="shared" si="209"/>
        <v>0</v>
      </c>
      <c r="AJ88" s="455">
        <f t="shared" si="210"/>
        <v>0</v>
      </c>
      <c r="AK88" s="455">
        <f t="shared" si="211"/>
        <v>0</v>
      </c>
      <c r="AL88" s="455">
        <f t="shared" si="212"/>
        <v>0</v>
      </c>
      <c r="AM88" s="455">
        <f t="shared" si="213"/>
        <v>0</v>
      </c>
      <c r="AN88" s="455">
        <f t="shared" si="214"/>
        <v>0</v>
      </c>
      <c r="AO88" s="455">
        <f t="shared" si="215"/>
        <v>0</v>
      </c>
      <c r="AP88" s="455">
        <f t="shared" si="216"/>
        <v>0</v>
      </c>
      <c r="AQ88" s="455">
        <f t="shared" si="217"/>
        <v>0</v>
      </c>
      <c r="AR88" s="456">
        <f t="shared" si="280"/>
        <v>0</v>
      </c>
      <c r="AS88" s="457"/>
      <c r="AT88" s="455">
        <f t="shared" si="218"/>
        <v>0</v>
      </c>
      <c r="AU88" s="455">
        <f t="shared" si="219"/>
        <v>0</v>
      </c>
      <c r="AV88" s="455">
        <f t="shared" si="220"/>
        <v>0</v>
      </c>
      <c r="AW88" s="455">
        <f t="shared" si="221"/>
        <v>0</v>
      </c>
      <c r="AX88" s="455">
        <f t="shared" si="222"/>
        <v>0</v>
      </c>
      <c r="AY88" s="455">
        <f t="shared" si="223"/>
        <v>0</v>
      </c>
      <c r="AZ88" s="455">
        <f t="shared" si="224"/>
        <v>0</v>
      </c>
      <c r="BA88" s="455">
        <f t="shared" si="225"/>
        <v>0</v>
      </c>
      <c r="BB88" s="455">
        <f t="shared" si="226"/>
        <v>0</v>
      </c>
      <c r="BC88" s="455">
        <f t="shared" si="227"/>
        <v>0</v>
      </c>
      <c r="BD88" s="456">
        <f t="shared" si="281"/>
        <v>0</v>
      </c>
      <c r="BE88" s="457"/>
      <c r="BF88" s="455">
        <f t="shared" si="228"/>
        <v>0</v>
      </c>
      <c r="BG88" s="455">
        <f t="shared" si="229"/>
        <v>0</v>
      </c>
      <c r="BH88" s="455">
        <f t="shared" si="230"/>
        <v>0</v>
      </c>
      <c r="BI88" s="455">
        <f t="shared" si="231"/>
        <v>0</v>
      </c>
      <c r="BJ88" s="455">
        <f t="shared" si="232"/>
        <v>0</v>
      </c>
      <c r="BK88" s="455">
        <f t="shared" si="233"/>
        <v>0</v>
      </c>
      <c r="BL88" s="455">
        <f t="shared" si="234"/>
        <v>0</v>
      </c>
      <c r="BM88" s="455">
        <f t="shared" si="235"/>
        <v>0</v>
      </c>
      <c r="BN88" s="455">
        <f t="shared" si="236"/>
        <v>0</v>
      </c>
      <c r="BO88" s="455">
        <f t="shared" si="237"/>
        <v>0</v>
      </c>
      <c r="BP88" s="456">
        <f t="shared" si="282"/>
        <v>0</v>
      </c>
      <c r="BQ88" s="463"/>
      <c r="BR88" s="459">
        <f t="shared" si="238"/>
        <v>0</v>
      </c>
      <c r="BS88" s="459">
        <f t="shared" si="239"/>
        <v>0</v>
      </c>
      <c r="BT88" s="459">
        <f t="shared" si="240"/>
        <v>0</v>
      </c>
      <c r="BU88" s="459">
        <f t="shared" si="241"/>
        <v>0</v>
      </c>
      <c r="BV88" s="459">
        <f t="shared" si="242"/>
        <v>0</v>
      </c>
      <c r="BW88" s="459">
        <f t="shared" si="243"/>
        <v>0</v>
      </c>
      <c r="BX88" s="459">
        <f t="shared" si="244"/>
        <v>0</v>
      </c>
      <c r="BY88" s="459">
        <f t="shared" si="245"/>
        <v>0</v>
      </c>
      <c r="BZ88" s="459">
        <f t="shared" si="246"/>
        <v>0</v>
      </c>
      <c r="CA88" s="459">
        <f t="shared" si="247"/>
        <v>0</v>
      </c>
      <c r="CB88" s="460">
        <f t="shared" si="283"/>
        <v>0</v>
      </c>
      <c r="CC88" s="463"/>
      <c r="CD88" s="462">
        <f t="shared" si="248"/>
        <v>0</v>
      </c>
      <c r="CE88" s="462">
        <f t="shared" si="249"/>
        <v>0</v>
      </c>
      <c r="CF88" s="462">
        <f t="shared" si="250"/>
        <v>0</v>
      </c>
      <c r="CG88" s="462">
        <f t="shared" si="251"/>
        <v>0</v>
      </c>
      <c r="CH88" s="462">
        <f t="shared" si="252"/>
        <v>0</v>
      </c>
      <c r="CI88" s="462">
        <f t="shared" si="253"/>
        <v>0</v>
      </c>
      <c r="CJ88" s="462">
        <f t="shared" si="254"/>
        <v>0</v>
      </c>
      <c r="CK88" s="462">
        <f t="shared" si="255"/>
        <v>0</v>
      </c>
      <c r="CL88" s="462">
        <f t="shared" si="256"/>
        <v>0</v>
      </c>
      <c r="CM88" s="462">
        <f t="shared" si="257"/>
        <v>0</v>
      </c>
      <c r="CN88" s="460">
        <f t="shared" si="284"/>
        <v>0</v>
      </c>
      <c r="CO88" s="463"/>
      <c r="CP88" s="459">
        <f t="shared" si="258"/>
        <v>0</v>
      </c>
      <c r="CQ88" s="459">
        <f t="shared" si="259"/>
        <v>0</v>
      </c>
      <c r="CR88" s="459">
        <f t="shared" si="260"/>
        <v>0</v>
      </c>
      <c r="CS88" s="459">
        <f t="shared" si="261"/>
        <v>0</v>
      </c>
      <c r="CT88" s="459">
        <f t="shared" si="262"/>
        <v>0</v>
      </c>
      <c r="CU88" s="459">
        <f t="shared" si="263"/>
        <v>0</v>
      </c>
      <c r="CV88" s="459">
        <f t="shared" si="264"/>
        <v>0</v>
      </c>
      <c r="CW88" s="459">
        <f t="shared" si="265"/>
        <v>0</v>
      </c>
      <c r="CX88" s="459">
        <f t="shared" si="266"/>
        <v>0</v>
      </c>
      <c r="CY88" s="459">
        <f t="shared" si="267"/>
        <v>0</v>
      </c>
      <c r="CZ88" s="460">
        <f t="shared" si="285"/>
        <v>0</v>
      </c>
      <c r="DA88" s="463"/>
      <c r="DB88" s="459">
        <f t="shared" si="268"/>
        <v>0</v>
      </c>
      <c r="DC88" s="459">
        <f t="shared" si="269"/>
        <v>0</v>
      </c>
      <c r="DD88" s="459">
        <f t="shared" si="270"/>
        <v>0</v>
      </c>
      <c r="DE88" s="459">
        <f t="shared" si="271"/>
        <v>0</v>
      </c>
      <c r="DF88" s="459">
        <f t="shared" si="272"/>
        <v>0</v>
      </c>
      <c r="DG88" s="459">
        <f t="shared" si="273"/>
        <v>0</v>
      </c>
      <c r="DH88" s="459">
        <f t="shared" si="274"/>
        <v>0</v>
      </c>
      <c r="DI88" s="459">
        <f t="shared" si="275"/>
        <v>0</v>
      </c>
      <c r="DJ88" s="459">
        <f t="shared" si="276"/>
        <v>0</v>
      </c>
      <c r="DK88" s="459">
        <f t="shared" si="277"/>
        <v>0</v>
      </c>
      <c r="DL88" s="460">
        <f t="shared" si="286"/>
        <v>0</v>
      </c>
      <c r="DM88" s="463"/>
      <c r="DN88" s="442">
        <f>IF('2. START'!$C$14&gt;0,(AT88/(1+$AA88))*(1+'2. START'!$C$14),AT88)</f>
        <v>0</v>
      </c>
      <c r="DO88" s="442">
        <f>IF('2. START'!$C$14&gt;0,(AU88/(1+$AA88))*(1+'2. START'!$C$14),AU88)</f>
        <v>0</v>
      </c>
      <c r="DP88" s="442">
        <f>IF('2. START'!$C$14&gt;0,(AV88/(1+$AA88))*(1+'2. START'!$C$14),AV88)</f>
        <v>0</v>
      </c>
      <c r="DQ88" s="442">
        <f>IF('2. START'!$C$14&gt;0,(AW88/(1+$AA88))*(1+'2. START'!$C$14),AW88)</f>
        <v>0</v>
      </c>
      <c r="DR88" s="442">
        <f>IF('2. START'!$C$14&gt;0,(AX88/(1+$AA88))*(1+'2. START'!$C$14),AX88)</f>
        <v>0</v>
      </c>
      <c r="DS88" s="442">
        <f>IF('2. START'!$C$14&gt;0,(AY88/(1+$AA88))*(1+'2. START'!$C$14),AY88)</f>
        <v>0</v>
      </c>
      <c r="DT88" s="442">
        <f>IF('2. START'!$C$14&gt;0,(AZ88/(1+$AA88))*(1+'2. START'!$C$14),AZ88)</f>
        <v>0</v>
      </c>
      <c r="DU88" s="442">
        <f>IF('2. START'!$C$14&gt;0,(BA88/(1+$AA88))*(1+'2. START'!$C$14),BA88)</f>
        <v>0</v>
      </c>
      <c r="DV88" s="442">
        <f>IF('2. START'!$C$14&gt;0,(BB88/(1+$AA88))*(1+'2. START'!$C$14),BB88)</f>
        <v>0</v>
      </c>
      <c r="DW88" s="442">
        <f>IF('2. START'!$C$14&gt;0,(BC88/(1+$AA88))*(1+'2. START'!$C$14),BC88)</f>
        <v>0</v>
      </c>
      <c r="DX88" s="460">
        <f t="shared" si="287"/>
        <v>0</v>
      </c>
      <c r="DY88" s="463"/>
      <c r="DZ88" s="459">
        <f>IF('2. START'!$C$11="NO",(IF('2. START'!$C$14&gt;0,(DN88*$AD88),(AT88*$AD88))),(BR88+CP88))</f>
        <v>0</v>
      </c>
      <c r="EA88" s="459">
        <f>IF('2. START'!$C$11="NO",(IF('2. START'!$C$14&gt;0,(DO88*$AD88),(AU88*$AD88))),(BS88+CQ88))</f>
        <v>0</v>
      </c>
      <c r="EB88" s="459">
        <f>IF('2. START'!$C$11="NO",(IF('2. START'!$C$14&gt;0,(DP88*$AD88),(AV88*$AD88))),(BT88+CR88))</f>
        <v>0</v>
      </c>
      <c r="EC88" s="459">
        <f>IF('2. START'!$C$11="NO",(IF('2. START'!$C$14&gt;0,(DQ88*$AD88),(AW88*$AD88))),(BU88+CS88))</f>
        <v>0</v>
      </c>
      <c r="ED88" s="459">
        <f>IF('2. START'!$C$11="NO",(IF('2. START'!$C$14&gt;0,(DR88*$AD88),(AX88*$AD88))),(BV88+CT88))</f>
        <v>0</v>
      </c>
      <c r="EE88" s="459">
        <f>IF('2. START'!$C$11="NO",(IF('2. START'!$C$14&gt;0,(DS88*$AD88),(AY88*$AD88))),(BW88+CU88))</f>
        <v>0</v>
      </c>
      <c r="EF88" s="459">
        <f>IF('2. START'!$C$11="NO",(IF('2. START'!$C$14&gt;0,(DT88*$AD88),(AZ88*$AD88))),(BX88+CV88))</f>
        <v>0</v>
      </c>
      <c r="EG88" s="459">
        <f>IF('2. START'!$C$11="NO",(IF('2. START'!$C$14&gt;0,(DU88*$AD88),(BA88*$AD88))),(BY88+CW88))</f>
        <v>0</v>
      </c>
      <c r="EH88" s="459">
        <f>IF('2. START'!$C$11="NO",(IF('2. START'!$C$14&gt;0,(DV88*$AD88),(BB88*$AD88))),(BZ88+CX88))</f>
        <v>0</v>
      </c>
      <c r="EI88" s="459">
        <f>IF('2. START'!$C$11="NO",(IF('2. START'!$C$14&gt;0,(DW88*$AD88),(BC88*$AD88))),(CA88+CY88))</f>
        <v>0</v>
      </c>
      <c r="EJ88" s="460">
        <f t="shared" si="288"/>
        <v>0</v>
      </c>
      <c r="EK88" s="463"/>
      <c r="EL88" s="459">
        <f>(BR88+CP88-DZ88)+IF('2. START'!$C$14&gt;0,AT88-DN88,0)</f>
        <v>0</v>
      </c>
      <c r="EM88" s="459">
        <f>(BS88+CQ88-EA88)+IF('2. START'!$C$14&gt;0,AU88-DO88,0)</f>
        <v>0</v>
      </c>
      <c r="EN88" s="459">
        <f>(BT88+CR88-EB88)+IF('2. START'!$C$14&gt;0,AV88-DP88,0)</f>
        <v>0</v>
      </c>
      <c r="EO88" s="459">
        <f>(BU88+CS88-EC88)+IF('2. START'!$C$14&gt;0,AW88-DQ88,0)</f>
        <v>0</v>
      </c>
      <c r="EP88" s="459">
        <f>(BV88+CT88-ED88)+IF('2. START'!$C$14&gt;0,AX88-DR88,0)</f>
        <v>0</v>
      </c>
      <c r="EQ88" s="459">
        <f>(BW88+CU88-EE88)+IF('2. START'!$C$14&gt;0,AY88-DS88,0)</f>
        <v>0</v>
      </c>
      <c r="ER88" s="459">
        <f>(BX88+CV88-EF88)+IF('2. START'!$C$14&gt;0,AZ88-DT88,0)</f>
        <v>0</v>
      </c>
      <c r="ES88" s="459">
        <f>(BY88+CW88-EG88)+IF('2. START'!$C$14&gt;0,BA88-DU88,0)</f>
        <v>0</v>
      </c>
      <c r="ET88" s="459">
        <f>(BZ88+CX88-EH88)+IF('2. START'!$C$14&gt;0,BB88-DV88,0)</f>
        <v>0</v>
      </c>
      <c r="EU88" s="459">
        <f>(CA88+CY88-EI88)+IF('2. START'!$C$14&gt;0,BC88-DW88,0)</f>
        <v>0</v>
      </c>
      <c r="EV88" s="460">
        <f t="shared" si="289"/>
        <v>0</v>
      </c>
      <c r="EW88" s="463"/>
      <c r="EX88" s="459">
        <f t="shared" si="290"/>
        <v>0</v>
      </c>
      <c r="EY88" s="459">
        <f t="shared" si="291"/>
        <v>0</v>
      </c>
      <c r="EZ88" s="459">
        <f t="shared" si="292"/>
        <v>0</v>
      </c>
      <c r="FA88" s="459">
        <f t="shared" si="293"/>
        <v>0</v>
      </c>
      <c r="FB88" s="459">
        <f t="shared" si="294"/>
        <v>0</v>
      </c>
      <c r="FC88" s="459">
        <f t="shared" si="295"/>
        <v>0</v>
      </c>
      <c r="FD88" s="459">
        <f t="shared" si="296"/>
        <v>0</v>
      </c>
      <c r="FE88" s="459">
        <f t="shared" si="297"/>
        <v>0</v>
      </c>
      <c r="FF88" s="459">
        <f t="shared" si="298"/>
        <v>0</v>
      </c>
      <c r="FG88" s="459">
        <f t="shared" si="299"/>
        <v>0</v>
      </c>
      <c r="FH88" s="460">
        <f t="shared" si="300"/>
        <v>0</v>
      </c>
      <c r="FI88" s="463"/>
      <c r="FJ88" s="459">
        <f t="shared" si="301"/>
        <v>0</v>
      </c>
      <c r="FK88" s="459">
        <f t="shared" si="302"/>
        <v>0</v>
      </c>
      <c r="FL88" s="459">
        <f t="shared" si="303"/>
        <v>0</v>
      </c>
      <c r="FM88" s="459">
        <f t="shared" si="304"/>
        <v>0</v>
      </c>
      <c r="FN88" s="459">
        <f t="shared" si="305"/>
        <v>0</v>
      </c>
      <c r="FO88" s="459">
        <f t="shared" si="306"/>
        <v>0</v>
      </c>
      <c r="FP88" s="459">
        <f t="shared" si="307"/>
        <v>0</v>
      </c>
      <c r="FQ88" s="459">
        <f t="shared" si="308"/>
        <v>0</v>
      </c>
      <c r="FR88" s="459">
        <f t="shared" si="309"/>
        <v>0</v>
      </c>
      <c r="FS88" s="459">
        <f t="shared" si="310"/>
        <v>0</v>
      </c>
      <c r="FT88" s="460">
        <f t="shared" si="311"/>
        <v>0</v>
      </c>
    </row>
    <row r="89" spans="2:176" s="270" customFormat="1" ht="15" customHeight="1" x14ac:dyDescent="0.25">
      <c r="B89" s="464" t="str">
        <f>'2. START'!C$7</f>
        <v>100GEM</v>
      </c>
      <c r="C89" s="470"/>
      <c r="D89" s="590"/>
      <c r="E89" s="514">
        <v>0</v>
      </c>
      <c r="F89" s="467"/>
      <c r="G89" s="432"/>
      <c r="H89" s="432"/>
      <c r="I89" s="432"/>
      <c r="J89" s="432"/>
      <c r="K89" s="432"/>
      <c r="L89" s="432"/>
      <c r="M89" s="432"/>
      <c r="N89" s="432"/>
      <c r="O89" s="432"/>
      <c r="P89" s="432"/>
      <c r="Q89" s="545">
        <f>SUMIF('3. PARTNER'!$B$13:$B$80,$B89,'3. PARTNER'!$F$13:$F$80)</f>
        <v>0.02</v>
      </c>
      <c r="R89" s="466">
        <f t="shared" si="312"/>
        <v>0.02</v>
      </c>
      <c r="S89" s="466">
        <f t="shared" si="312"/>
        <v>0.02</v>
      </c>
      <c r="T89" s="466">
        <f t="shared" si="312"/>
        <v>0.02</v>
      </c>
      <c r="U89" s="466">
        <f t="shared" si="312"/>
        <v>0.02</v>
      </c>
      <c r="V89" s="466">
        <f t="shared" si="312"/>
        <v>0.02</v>
      </c>
      <c r="W89" s="466">
        <f t="shared" si="312"/>
        <v>0.02</v>
      </c>
      <c r="X89" s="466">
        <f t="shared" si="312"/>
        <v>0.02</v>
      </c>
      <c r="Y89" s="466">
        <f t="shared" si="312"/>
        <v>0.02</v>
      </c>
      <c r="Z89" s="466">
        <f t="shared" si="312"/>
        <v>0.02</v>
      </c>
      <c r="AA89" s="434">
        <f>SUMIF('3. PARTNER'!B$13:B$80,B89,'3. PARTNER'!E$13:E$80)</f>
        <v>0.5595</v>
      </c>
      <c r="AB89" s="435">
        <f>IF('2. START'!$C$20="UTB",(SUMIF('3. PARTNER'!B$13:B$80,B89,'3. PARTNER'!K$13:K$80))+(SUMIF('3. PARTNER'!B$13:B$80,B89,'3. PARTNER'!M$13:M$80)),(SUMIF('3. PARTNER'!B$13:B$80,B89,'3. PARTNER'!G$13:G$80))+(SUMIF('3. PARTNER'!B$13:B$80,B89,'3. PARTNER'!I$13:I$80)))</f>
        <v>0.16000843770704321</v>
      </c>
      <c r="AC89" s="435">
        <f>IF('2. START'!$C$20="UTB",(SUMIF('3. PARTNER'!B$13:B$80,B89,'3. PARTNER'!L$13:L$80))+(SUMIF('3. PARTNER'!B$13:B$80,B89,'3. PARTNER'!N$13:N$80)),(SUMIF('3. PARTNER'!B$13:B$80,B89,'3. PARTNER'!H$13:H$80))+(SUMIF('3. PARTNER'!B$13:B$80,B89,'3. PARTNER'!J$13:J$80)))</f>
        <v>0</v>
      </c>
      <c r="AD89" s="435">
        <f>IF('2. START'!C$11="NO",'2. START'!C$12,0)</f>
        <v>0</v>
      </c>
      <c r="AE89" s="436">
        <f t="shared" si="278"/>
        <v>0</v>
      </c>
      <c r="AF89" s="436">
        <f t="shared" si="279"/>
        <v>0</v>
      </c>
      <c r="AG89" s="437"/>
      <c r="AH89" s="438">
        <f t="shared" si="208"/>
        <v>0</v>
      </c>
      <c r="AI89" s="438">
        <f t="shared" si="209"/>
        <v>0</v>
      </c>
      <c r="AJ89" s="438">
        <f t="shared" si="210"/>
        <v>0</v>
      </c>
      <c r="AK89" s="438">
        <f t="shared" si="211"/>
        <v>0</v>
      </c>
      <c r="AL89" s="438">
        <f t="shared" si="212"/>
        <v>0</v>
      </c>
      <c r="AM89" s="438">
        <f t="shared" si="213"/>
        <v>0</v>
      </c>
      <c r="AN89" s="438">
        <f t="shared" si="214"/>
        <v>0</v>
      </c>
      <c r="AO89" s="438">
        <f t="shared" si="215"/>
        <v>0</v>
      </c>
      <c r="AP89" s="438">
        <f t="shared" si="216"/>
        <v>0</v>
      </c>
      <c r="AQ89" s="438">
        <f t="shared" si="217"/>
        <v>0</v>
      </c>
      <c r="AR89" s="439">
        <f t="shared" si="280"/>
        <v>0</v>
      </c>
      <c r="AS89" s="440"/>
      <c r="AT89" s="438">
        <f t="shared" si="218"/>
        <v>0</v>
      </c>
      <c r="AU89" s="438">
        <f t="shared" si="219"/>
        <v>0</v>
      </c>
      <c r="AV89" s="438">
        <f t="shared" si="220"/>
        <v>0</v>
      </c>
      <c r="AW89" s="438">
        <f t="shared" si="221"/>
        <v>0</v>
      </c>
      <c r="AX89" s="438">
        <f t="shared" si="222"/>
        <v>0</v>
      </c>
      <c r="AY89" s="438">
        <f t="shared" si="223"/>
        <v>0</v>
      </c>
      <c r="AZ89" s="438">
        <f t="shared" si="224"/>
        <v>0</v>
      </c>
      <c r="BA89" s="438">
        <f t="shared" si="225"/>
        <v>0</v>
      </c>
      <c r="BB89" s="438">
        <f t="shared" si="226"/>
        <v>0</v>
      </c>
      <c r="BC89" s="438">
        <f t="shared" si="227"/>
        <v>0</v>
      </c>
      <c r="BD89" s="439">
        <f t="shared" si="281"/>
        <v>0</v>
      </c>
      <c r="BE89" s="440"/>
      <c r="BF89" s="438">
        <f t="shared" si="228"/>
        <v>0</v>
      </c>
      <c r="BG89" s="438">
        <f t="shared" si="229"/>
        <v>0</v>
      </c>
      <c r="BH89" s="438">
        <f t="shared" si="230"/>
        <v>0</v>
      </c>
      <c r="BI89" s="438">
        <f t="shared" si="231"/>
        <v>0</v>
      </c>
      <c r="BJ89" s="438">
        <f t="shared" si="232"/>
        <v>0</v>
      </c>
      <c r="BK89" s="438">
        <f t="shared" si="233"/>
        <v>0</v>
      </c>
      <c r="BL89" s="438">
        <f t="shared" si="234"/>
        <v>0</v>
      </c>
      <c r="BM89" s="438">
        <f t="shared" si="235"/>
        <v>0</v>
      </c>
      <c r="BN89" s="438">
        <f t="shared" si="236"/>
        <v>0</v>
      </c>
      <c r="BO89" s="438">
        <f t="shared" si="237"/>
        <v>0</v>
      </c>
      <c r="BP89" s="439">
        <f t="shared" si="282"/>
        <v>0</v>
      </c>
      <c r="BR89" s="442">
        <f t="shared" si="238"/>
        <v>0</v>
      </c>
      <c r="BS89" s="442">
        <f t="shared" si="239"/>
        <v>0</v>
      </c>
      <c r="BT89" s="442">
        <f t="shared" si="240"/>
        <v>0</v>
      </c>
      <c r="BU89" s="442">
        <f t="shared" si="241"/>
        <v>0</v>
      </c>
      <c r="BV89" s="442">
        <f t="shared" si="242"/>
        <v>0</v>
      </c>
      <c r="BW89" s="442">
        <f t="shared" si="243"/>
        <v>0</v>
      </c>
      <c r="BX89" s="442">
        <f t="shared" si="244"/>
        <v>0</v>
      </c>
      <c r="BY89" s="442">
        <f t="shared" si="245"/>
        <v>0</v>
      </c>
      <c r="BZ89" s="442">
        <f t="shared" si="246"/>
        <v>0</v>
      </c>
      <c r="CA89" s="442">
        <f t="shared" si="247"/>
        <v>0</v>
      </c>
      <c r="CB89" s="443">
        <f t="shared" si="283"/>
        <v>0</v>
      </c>
      <c r="CD89" s="445">
        <f t="shared" si="248"/>
        <v>0</v>
      </c>
      <c r="CE89" s="445">
        <f t="shared" si="249"/>
        <v>0</v>
      </c>
      <c r="CF89" s="445">
        <f t="shared" si="250"/>
        <v>0</v>
      </c>
      <c r="CG89" s="445">
        <f t="shared" si="251"/>
        <v>0</v>
      </c>
      <c r="CH89" s="445">
        <f t="shared" si="252"/>
        <v>0</v>
      </c>
      <c r="CI89" s="445">
        <f t="shared" si="253"/>
        <v>0</v>
      </c>
      <c r="CJ89" s="445">
        <f t="shared" si="254"/>
        <v>0</v>
      </c>
      <c r="CK89" s="445">
        <f t="shared" si="255"/>
        <v>0</v>
      </c>
      <c r="CL89" s="445">
        <f t="shared" si="256"/>
        <v>0</v>
      </c>
      <c r="CM89" s="445">
        <f t="shared" si="257"/>
        <v>0</v>
      </c>
      <c r="CN89" s="443">
        <f t="shared" si="284"/>
        <v>0</v>
      </c>
      <c r="CP89" s="442">
        <f t="shared" si="258"/>
        <v>0</v>
      </c>
      <c r="CQ89" s="442">
        <f t="shared" si="259"/>
        <v>0</v>
      </c>
      <c r="CR89" s="442">
        <f t="shared" si="260"/>
        <v>0</v>
      </c>
      <c r="CS89" s="442">
        <f t="shared" si="261"/>
        <v>0</v>
      </c>
      <c r="CT89" s="442">
        <f t="shared" si="262"/>
        <v>0</v>
      </c>
      <c r="CU89" s="442">
        <f t="shared" si="263"/>
        <v>0</v>
      </c>
      <c r="CV89" s="442">
        <f t="shared" si="264"/>
        <v>0</v>
      </c>
      <c r="CW89" s="442">
        <f t="shared" si="265"/>
        <v>0</v>
      </c>
      <c r="CX89" s="442">
        <f t="shared" si="266"/>
        <v>0</v>
      </c>
      <c r="CY89" s="442">
        <f t="shared" si="267"/>
        <v>0</v>
      </c>
      <c r="CZ89" s="443">
        <f t="shared" si="285"/>
        <v>0</v>
      </c>
      <c r="DB89" s="442">
        <f t="shared" si="268"/>
        <v>0</v>
      </c>
      <c r="DC89" s="442">
        <f t="shared" si="269"/>
        <v>0</v>
      </c>
      <c r="DD89" s="442">
        <f t="shared" si="270"/>
        <v>0</v>
      </c>
      <c r="DE89" s="442">
        <f t="shared" si="271"/>
        <v>0</v>
      </c>
      <c r="DF89" s="442">
        <f t="shared" si="272"/>
        <v>0</v>
      </c>
      <c r="DG89" s="442">
        <f t="shared" si="273"/>
        <v>0</v>
      </c>
      <c r="DH89" s="442">
        <f t="shared" si="274"/>
        <v>0</v>
      </c>
      <c r="DI89" s="442">
        <f t="shared" si="275"/>
        <v>0</v>
      </c>
      <c r="DJ89" s="442">
        <f t="shared" si="276"/>
        <v>0</v>
      </c>
      <c r="DK89" s="442">
        <f t="shared" si="277"/>
        <v>0</v>
      </c>
      <c r="DL89" s="443">
        <f t="shared" si="286"/>
        <v>0</v>
      </c>
      <c r="DN89" s="442">
        <f>IF('2. START'!$C$14&gt;0,(AT89/(1+$AA89))*(1+'2. START'!$C$14),AT89)</f>
        <v>0</v>
      </c>
      <c r="DO89" s="442">
        <f>IF('2. START'!$C$14&gt;0,(AU89/(1+$AA89))*(1+'2. START'!$C$14),AU89)</f>
        <v>0</v>
      </c>
      <c r="DP89" s="442">
        <f>IF('2. START'!$C$14&gt;0,(AV89/(1+$AA89))*(1+'2. START'!$C$14),AV89)</f>
        <v>0</v>
      </c>
      <c r="DQ89" s="442">
        <f>IF('2. START'!$C$14&gt;0,(AW89/(1+$AA89))*(1+'2. START'!$C$14),AW89)</f>
        <v>0</v>
      </c>
      <c r="DR89" s="442">
        <f>IF('2. START'!$C$14&gt;0,(AX89/(1+$AA89))*(1+'2. START'!$C$14),AX89)</f>
        <v>0</v>
      </c>
      <c r="DS89" s="442">
        <f>IF('2. START'!$C$14&gt;0,(AY89/(1+$AA89))*(1+'2. START'!$C$14),AY89)</f>
        <v>0</v>
      </c>
      <c r="DT89" s="442">
        <f>IF('2. START'!$C$14&gt;0,(AZ89/(1+$AA89))*(1+'2. START'!$C$14),AZ89)</f>
        <v>0</v>
      </c>
      <c r="DU89" s="442">
        <f>IF('2. START'!$C$14&gt;0,(BA89/(1+$AA89))*(1+'2. START'!$C$14),BA89)</f>
        <v>0</v>
      </c>
      <c r="DV89" s="442">
        <f>IF('2. START'!$C$14&gt;0,(BB89/(1+$AA89))*(1+'2. START'!$C$14),BB89)</f>
        <v>0</v>
      </c>
      <c r="DW89" s="442">
        <f>IF('2. START'!$C$14&gt;0,(BC89/(1+$AA89))*(1+'2. START'!$C$14),BC89)</f>
        <v>0</v>
      </c>
      <c r="DX89" s="443">
        <f t="shared" si="287"/>
        <v>0</v>
      </c>
      <c r="DZ89" s="442">
        <f>IF('2. START'!$C$11="NO",(IF('2. START'!$C$14&gt;0,(DN89*$AD89),(AT89*$AD89))),(BR89+CP89))</f>
        <v>0</v>
      </c>
      <c r="EA89" s="442">
        <f>IF('2. START'!$C$11="NO",(IF('2. START'!$C$14&gt;0,(DO89*$AD89),(AU89*$AD89))),(BS89+CQ89))</f>
        <v>0</v>
      </c>
      <c r="EB89" s="442">
        <f>IF('2. START'!$C$11="NO",(IF('2. START'!$C$14&gt;0,(DP89*$AD89),(AV89*$AD89))),(BT89+CR89))</f>
        <v>0</v>
      </c>
      <c r="EC89" s="442">
        <f>IF('2. START'!$C$11="NO",(IF('2. START'!$C$14&gt;0,(DQ89*$AD89),(AW89*$AD89))),(BU89+CS89))</f>
        <v>0</v>
      </c>
      <c r="ED89" s="442">
        <f>IF('2. START'!$C$11="NO",(IF('2. START'!$C$14&gt;0,(DR89*$AD89),(AX89*$AD89))),(BV89+CT89))</f>
        <v>0</v>
      </c>
      <c r="EE89" s="442">
        <f>IF('2. START'!$C$11="NO",(IF('2. START'!$C$14&gt;0,(DS89*$AD89),(AY89*$AD89))),(BW89+CU89))</f>
        <v>0</v>
      </c>
      <c r="EF89" s="442">
        <f>IF('2. START'!$C$11="NO",(IF('2. START'!$C$14&gt;0,(DT89*$AD89),(AZ89*$AD89))),(BX89+CV89))</f>
        <v>0</v>
      </c>
      <c r="EG89" s="442">
        <f>IF('2. START'!$C$11="NO",(IF('2. START'!$C$14&gt;0,(DU89*$AD89),(BA89*$AD89))),(BY89+CW89))</f>
        <v>0</v>
      </c>
      <c r="EH89" s="442">
        <f>IF('2. START'!$C$11="NO",(IF('2. START'!$C$14&gt;0,(DV89*$AD89),(BB89*$AD89))),(BZ89+CX89))</f>
        <v>0</v>
      </c>
      <c r="EI89" s="442">
        <f>IF('2. START'!$C$11="NO",(IF('2. START'!$C$14&gt;0,(DW89*$AD89),(BC89*$AD89))),(CA89+CY89))</f>
        <v>0</v>
      </c>
      <c r="EJ89" s="443">
        <f t="shared" si="288"/>
        <v>0</v>
      </c>
      <c r="EL89" s="442">
        <f>(BR89+CP89-DZ89)+IF('2. START'!$C$14&gt;0,AT89-DN89,0)</f>
        <v>0</v>
      </c>
      <c r="EM89" s="442">
        <f>(BS89+CQ89-EA89)+IF('2. START'!$C$14&gt;0,AU89-DO89,0)</f>
        <v>0</v>
      </c>
      <c r="EN89" s="442">
        <f>(BT89+CR89-EB89)+IF('2. START'!$C$14&gt;0,AV89-DP89,0)</f>
        <v>0</v>
      </c>
      <c r="EO89" s="442">
        <f>(BU89+CS89-EC89)+IF('2. START'!$C$14&gt;0,AW89-DQ89,0)</f>
        <v>0</v>
      </c>
      <c r="EP89" s="442">
        <f>(BV89+CT89-ED89)+IF('2. START'!$C$14&gt;0,AX89-DR89,0)</f>
        <v>0</v>
      </c>
      <c r="EQ89" s="442">
        <f>(BW89+CU89-EE89)+IF('2. START'!$C$14&gt;0,AY89-DS89,0)</f>
        <v>0</v>
      </c>
      <c r="ER89" s="442">
        <f>(BX89+CV89-EF89)+IF('2. START'!$C$14&gt;0,AZ89-DT89,0)</f>
        <v>0</v>
      </c>
      <c r="ES89" s="442">
        <f>(BY89+CW89-EG89)+IF('2. START'!$C$14&gt;0,BA89-DU89,0)</f>
        <v>0</v>
      </c>
      <c r="ET89" s="442">
        <f>(BZ89+CX89-EH89)+IF('2. START'!$C$14&gt;0,BB89-DV89,0)</f>
        <v>0</v>
      </c>
      <c r="EU89" s="442">
        <f>(CA89+CY89-EI89)+IF('2. START'!$C$14&gt;0,BC89-DW89,0)</f>
        <v>0</v>
      </c>
      <c r="EV89" s="443">
        <f t="shared" si="289"/>
        <v>0</v>
      </c>
      <c r="EX89" s="442">
        <f t="shared" si="290"/>
        <v>0</v>
      </c>
      <c r="EY89" s="442">
        <f t="shared" si="291"/>
        <v>0</v>
      </c>
      <c r="EZ89" s="442">
        <f t="shared" si="292"/>
        <v>0</v>
      </c>
      <c r="FA89" s="442">
        <f t="shared" si="293"/>
        <v>0</v>
      </c>
      <c r="FB89" s="442">
        <f t="shared" si="294"/>
        <v>0</v>
      </c>
      <c r="FC89" s="442">
        <f t="shared" si="295"/>
        <v>0</v>
      </c>
      <c r="FD89" s="442">
        <f t="shared" si="296"/>
        <v>0</v>
      </c>
      <c r="FE89" s="442">
        <f t="shared" si="297"/>
        <v>0</v>
      </c>
      <c r="FF89" s="442">
        <f t="shared" si="298"/>
        <v>0</v>
      </c>
      <c r="FG89" s="442">
        <f t="shared" si="299"/>
        <v>0</v>
      </c>
      <c r="FH89" s="443">
        <f t="shared" si="300"/>
        <v>0</v>
      </c>
      <c r="FJ89" s="442">
        <f t="shared" si="301"/>
        <v>0</v>
      </c>
      <c r="FK89" s="442">
        <f t="shared" si="302"/>
        <v>0</v>
      </c>
      <c r="FL89" s="442">
        <f t="shared" si="303"/>
        <v>0</v>
      </c>
      <c r="FM89" s="442">
        <f t="shared" si="304"/>
        <v>0</v>
      </c>
      <c r="FN89" s="442">
        <f t="shared" si="305"/>
        <v>0</v>
      </c>
      <c r="FO89" s="442">
        <f t="shared" si="306"/>
        <v>0</v>
      </c>
      <c r="FP89" s="442">
        <f t="shared" si="307"/>
        <v>0</v>
      </c>
      <c r="FQ89" s="442">
        <f t="shared" si="308"/>
        <v>0</v>
      </c>
      <c r="FR89" s="442">
        <f t="shared" si="309"/>
        <v>0</v>
      </c>
      <c r="FS89" s="442">
        <f t="shared" si="310"/>
        <v>0</v>
      </c>
      <c r="FT89" s="443">
        <f t="shared" si="311"/>
        <v>0</v>
      </c>
    </row>
    <row r="90" spans="2:176" s="270" customFormat="1" ht="15" customHeight="1" x14ac:dyDescent="0.25">
      <c r="B90" s="446" t="str">
        <f>'2. START'!C$7</f>
        <v>100GEM</v>
      </c>
      <c r="C90" s="469"/>
      <c r="D90" s="589"/>
      <c r="E90" s="544">
        <v>0</v>
      </c>
      <c r="F90" s="448"/>
      <c r="G90" s="449"/>
      <c r="H90" s="449"/>
      <c r="I90" s="449"/>
      <c r="J90" s="449"/>
      <c r="K90" s="449"/>
      <c r="L90" s="449"/>
      <c r="M90" s="449"/>
      <c r="N90" s="449"/>
      <c r="O90" s="449"/>
      <c r="P90" s="449"/>
      <c r="Q90" s="546">
        <f>SUMIF('3. PARTNER'!$B$13:$B$80,$B90,'3. PARTNER'!$F$13:$F$80)</f>
        <v>0.02</v>
      </c>
      <c r="R90" s="450">
        <f t="shared" si="312"/>
        <v>0.02</v>
      </c>
      <c r="S90" s="450">
        <f t="shared" si="312"/>
        <v>0.02</v>
      </c>
      <c r="T90" s="450">
        <f t="shared" si="312"/>
        <v>0.02</v>
      </c>
      <c r="U90" s="450">
        <f t="shared" si="312"/>
        <v>0.02</v>
      </c>
      <c r="V90" s="450">
        <f t="shared" si="312"/>
        <v>0.02</v>
      </c>
      <c r="W90" s="450">
        <f t="shared" si="312"/>
        <v>0.02</v>
      </c>
      <c r="X90" s="450">
        <f t="shared" si="312"/>
        <v>0.02</v>
      </c>
      <c r="Y90" s="450">
        <f t="shared" si="312"/>
        <v>0.02</v>
      </c>
      <c r="Z90" s="450">
        <f t="shared" si="312"/>
        <v>0.02</v>
      </c>
      <c r="AA90" s="451">
        <f>SUMIF('3. PARTNER'!B$13:B$80,B90,'3. PARTNER'!E$13:E$80)</f>
        <v>0.5595</v>
      </c>
      <c r="AB90" s="452">
        <f>IF('2. START'!$C$20="UTB",(SUMIF('3. PARTNER'!B$13:B$80,B90,'3. PARTNER'!K$13:K$80))+(SUMIF('3. PARTNER'!B$13:B$80,B90,'3. PARTNER'!M$13:M$80)),(SUMIF('3. PARTNER'!B$13:B$80,B90,'3. PARTNER'!G$13:G$80))+(SUMIF('3. PARTNER'!B$13:B$80,B90,'3. PARTNER'!I$13:I$80)))</f>
        <v>0.16000843770704321</v>
      </c>
      <c r="AC90" s="452">
        <f>IF('2. START'!$C$20="UTB",(SUMIF('3. PARTNER'!B$13:B$80,B90,'3. PARTNER'!L$13:L$80))+(SUMIF('3. PARTNER'!B$13:B$80,B90,'3. PARTNER'!N$13:N$80)),(SUMIF('3. PARTNER'!B$13:B$80,B90,'3. PARTNER'!H$13:H$80))+(SUMIF('3. PARTNER'!B$13:B$80,B90,'3. PARTNER'!J$13:J$80)))</f>
        <v>0</v>
      </c>
      <c r="AD90" s="452">
        <f>IF('2. START'!C$11="NO",'2. START'!C$12,0)</f>
        <v>0</v>
      </c>
      <c r="AE90" s="453">
        <f t="shared" si="278"/>
        <v>0</v>
      </c>
      <c r="AF90" s="453">
        <f t="shared" si="279"/>
        <v>0</v>
      </c>
      <c r="AG90" s="454"/>
      <c r="AH90" s="455">
        <f t="shared" si="208"/>
        <v>0</v>
      </c>
      <c r="AI90" s="455">
        <f t="shared" si="209"/>
        <v>0</v>
      </c>
      <c r="AJ90" s="455">
        <f t="shared" si="210"/>
        <v>0</v>
      </c>
      <c r="AK90" s="455">
        <f t="shared" si="211"/>
        <v>0</v>
      </c>
      <c r="AL90" s="455">
        <f t="shared" si="212"/>
        <v>0</v>
      </c>
      <c r="AM90" s="455">
        <f t="shared" si="213"/>
        <v>0</v>
      </c>
      <c r="AN90" s="455">
        <f t="shared" si="214"/>
        <v>0</v>
      </c>
      <c r="AO90" s="455">
        <f t="shared" si="215"/>
        <v>0</v>
      </c>
      <c r="AP90" s="455">
        <f t="shared" si="216"/>
        <v>0</v>
      </c>
      <c r="AQ90" s="455">
        <f t="shared" si="217"/>
        <v>0</v>
      </c>
      <c r="AR90" s="456">
        <f t="shared" si="280"/>
        <v>0</v>
      </c>
      <c r="AS90" s="457"/>
      <c r="AT90" s="455">
        <f t="shared" si="218"/>
        <v>0</v>
      </c>
      <c r="AU90" s="455">
        <f t="shared" si="219"/>
        <v>0</v>
      </c>
      <c r="AV90" s="455">
        <f t="shared" si="220"/>
        <v>0</v>
      </c>
      <c r="AW90" s="455">
        <f t="shared" si="221"/>
        <v>0</v>
      </c>
      <c r="AX90" s="455">
        <f t="shared" si="222"/>
        <v>0</v>
      </c>
      <c r="AY90" s="455">
        <f t="shared" si="223"/>
        <v>0</v>
      </c>
      <c r="AZ90" s="455">
        <f t="shared" si="224"/>
        <v>0</v>
      </c>
      <c r="BA90" s="455">
        <f t="shared" si="225"/>
        <v>0</v>
      </c>
      <c r="BB90" s="455">
        <f t="shared" si="226"/>
        <v>0</v>
      </c>
      <c r="BC90" s="455">
        <f t="shared" si="227"/>
        <v>0</v>
      </c>
      <c r="BD90" s="456">
        <f t="shared" si="281"/>
        <v>0</v>
      </c>
      <c r="BE90" s="457"/>
      <c r="BF90" s="455">
        <f t="shared" si="228"/>
        <v>0</v>
      </c>
      <c r="BG90" s="455">
        <f t="shared" si="229"/>
        <v>0</v>
      </c>
      <c r="BH90" s="455">
        <f t="shared" si="230"/>
        <v>0</v>
      </c>
      <c r="BI90" s="455">
        <f t="shared" si="231"/>
        <v>0</v>
      </c>
      <c r="BJ90" s="455">
        <f t="shared" si="232"/>
        <v>0</v>
      </c>
      <c r="BK90" s="455">
        <f t="shared" si="233"/>
        <v>0</v>
      </c>
      <c r="BL90" s="455">
        <f t="shared" si="234"/>
        <v>0</v>
      </c>
      <c r="BM90" s="455">
        <f t="shared" si="235"/>
        <v>0</v>
      </c>
      <c r="BN90" s="455">
        <f t="shared" si="236"/>
        <v>0</v>
      </c>
      <c r="BO90" s="455">
        <f t="shared" si="237"/>
        <v>0</v>
      </c>
      <c r="BP90" s="456">
        <f t="shared" si="282"/>
        <v>0</v>
      </c>
      <c r="BQ90" s="463"/>
      <c r="BR90" s="459">
        <f t="shared" si="238"/>
        <v>0</v>
      </c>
      <c r="BS90" s="459">
        <f t="shared" si="239"/>
        <v>0</v>
      </c>
      <c r="BT90" s="459">
        <f t="shared" si="240"/>
        <v>0</v>
      </c>
      <c r="BU90" s="459">
        <f t="shared" si="241"/>
        <v>0</v>
      </c>
      <c r="BV90" s="459">
        <f t="shared" si="242"/>
        <v>0</v>
      </c>
      <c r="BW90" s="459">
        <f t="shared" si="243"/>
        <v>0</v>
      </c>
      <c r="BX90" s="459">
        <f t="shared" si="244"/>
        <v>0</v>
      </c>
      <c r="BY90" s="459">
        <f t="shared" si="245"/>
        <v>0</v>
      </c>
      <c r="BZ90" s="459">
        <f t="shared" si="246"/>
        <v>0</v>
      </c>
      <c r="CA90" s="459">
        <f t="shared" si="247"/>
        <v>0</v>
      </c>
      <c r="CB90" s="460">
        <f t="shared" si="283"/>
        <v>0</v>
      </c>
      <c r="CC90" s="463"/>
      <c r="CD90" s="462">
        <f t="shared" si="248"/>
        <v>0</v>
      </c>
      <c r="CE90" s="462">
        <f t="shared" si="249"/>
        <v>0</v>
      </c>
      <c r="CF90" s="462">
        <f t="shared" si="250"/>
        <v>0</v>
      </c>
      <c r="CG90" s="462">
        <f t="shared" si="251"/>
        <v>0</v>
      </c>
      <c r="CH90" s="462">
        <f t="shared" si="252"/>
        <v>0</v>
      </c>
      <c r="CI90" s="462">
        <f t="shared" si="253"/>
        <v>0</v>
      </c>
      <c r="CJ90" s="462">
        <f t="shared" si="254"/>
        <v>0</v>
      </c>
      <c r="CK90" s="462">
        <f t="shared" si="255"/>
        <v>0</v>
      </c>
      <c r="CL90" s="462">
        <f t="shared" si="256"/>
        <v>0</v>
      </c>
      <c r="CM90" s="462">
        <f t="shared" si="257"/>
        <v>0</v>
      </c>
      <c r="CN90" s="460">
        <f t="shared" si="284"/>
        <v>0</v>
      </c>
      <c r="CO90" s="463"/>
      <c r="CP90" s="459">
        <f t="shared" si="258"/>
        <v>0</v>
      </c>
      <c r="CQ90" s="459">
        <f t="shared" si="259"/>
        <v>0</v>
      </c>
      <c r="CR90" s="459">
        <f t="shared" si="260"/>
        <v>0</v>
      </c>
      <c r="CS90" s="459">
        <f t="shared" si="261"/>
        <v>0</v>
      </c>
      <c r="CT90" s="459">
        <f t="shared" si="262"/>
        <v>0</v>
      </c>
      <c r="CU90" s="459">
        <f t="shared" si="263"/>
        <v>0</v>
      </c>
      <c r="CV90" s="459">
        <f t="shared" si="264"/>
        <v>0</v>
      </c>
      <c r="CW90" s="459">
        <f t="shared" si="265"/>
        <v>0</v>
      </c>
      <c r="CX90" s="459">
        <f t="shared" si="266"/>
        <v>0</v>
      </c>
      <c r="CY90" s="459">
        <f t="shared" si="267"/>
        <v>0</v>
      </c>
      <c r="CZ90" s="460">
        <f t="shared" si="285"/>
        <v>0</v>
      </c>
      <c r="DA90" s="463"/>
      <c r="DB90" s="459">
        <f t="shared" si="268"/>
        <v>0</v>
      </c>
      <c r="DC90" s="459">
        <f t="shared" si="269"/>
        <v>0</v>
      </c>
      <c r="DD90" s="459">
        <f t="shared" si="270"/>
        <v>0</v>
      </c>
      <c r="DE90" s="459">
        <f t="shared" si="271"/>
        <v>0</v>
      </c>
      <c r="DF90" s="459">
        <f t="shared" si="272"/>
        <v>0</v>
      </c>
      <c r="DG90" s="459">
        <f t="shared" si="273"/>
        <v>0</v>
      </c>
      <c r="DH90" s="459">
        <f t="shared" si="274"/>
        <v>0</v>
      </c>
      <c r="DI90" s="459">
        <f t="shared" si="275"/>
        <v>0</v>
      </c>
      <c r="DJ90" s="459">
        <f t="shared" si="276"/>
        <v>0</v>
      </c>
      <c r="DK90" s="459">
        <f t="shared" si="277"/>
        <v>0</v>
      </c>
      <c r="DL90" s="460">
        <f t="shared" si="286"/>
        <v>0</v>
      </c>
      <c r="DM90" s="463"/>
      <c r="DN90" s="442">
        <f>IF('2. START'!$C$14&gt;0,(AT90/(1+$AA90))*(1+'2. START'!$C$14),AT90)</f>
        <v>0</v>
      </c>
      <c r="DO90" s="442">
        <f>IF('2. START'!$C$14&gt;0,(AU90/(1+$AA90))*(1+'2. START'!$C$14),AU90)</f>
        <v>0</v>
      </c>
      <c r="DP90" s="442">
        <f>IF('2. START'!$C$14&gt;0,(AV90/(1+$AA90))*(1+'2. START'!$C$14),AV90)</f>
        <v>0</v>
      </c>
      <c r="DQ90" s="442">
        <f>IF('2. START'!$C$14&gt;0,(AW90/(1+$AA90))*(1+'2. START'!$C$14),AW90)</f>
        <v>0</v>
      </c>
      <c r="DR90" s="442">
        <f>IF('2. START'!$C$14&gt;0,(AX90/(1+$AA90))*(1+'2. START'!$C$14),AX90)</f>
        <v>0</v>
      </c>
      <c r="DS90" s="442">
        <f>IF('2. START'!$C$14&gt;0,(AY90/(1+$AA90))*(1+'2. START'!$C$14),AY90)</f>
        <v>0</v>
      </c>
      <c r="DT90" s="442">
        <f>IF('2. START'!$C$14&gt;0,(AZ90/(1+$AA90))*(1+'2. START'!$C$14),AZ90)</f>
        <v>0</v>
      </c>
      <c r="DU90" s="442">
        <f>IF('2. START'!$C$14&gt;0,(BA90/(1+$AA90))*(1+'2. START'!$C$14),BA90)</f>
        <v>0</v>
      </c>
      <c r="DV90" s="442">
        <f>IF('2. START'!$C$14&gt;0,(BB90/(1+$AA90))*(1+'2. START'!$C$14),BB90)</f>
        <v>0</v>
      </c>
      <c r="DW90" s="442">
        <f>IF('2. START'!$C$14&gt;0,(BC90/(1+$AA90))*(1+'2. START'!$C$14),BC90)</f>
        <v>0</v>
      </c>
      <c r="DX90" s="460">
        <f t="shared" si="287"/>
        <v>0</v>
      </c>
      <c r="DY90" s="463"/>
      <c r="DZ90" s="459">
        <f>IF('2. START'!$C$11="NO",(IF('2. START'!$C$14&gt;0,(DN90*$AD90),(AT90*$AD90))),(BR90+CP90))</f>
        <v>0</v>
      </c>
      <c r="EA90" s="459">
        <f>IF('2. START'!$C$11="NO",(IF('2. START'!$C$14&gt;0,(DO90*$AD90),(AU90*$AD90))),(BS90+CQ90))</f>
        <v>0</v>
      </c>
      <c r="EB90" s="459">
        <f>IF('2. START'!$C$11="NO",(IF('2. START'!$C$14&gt;0,(DP90*$AD90),(AV90*$AD90))),(BT90+CR90))</f>
        <v>0</v>
      </c>
      <c r="EC90" s="459">
        <f>IF('2. START'!$C$11="NO",(IF('2. START'!$C$14&gt;0,(DQ90*$AD90),(AW90*$AD90))),(BU90+CS90))</f>
        <v>0</v>
      </c>
      <c r="ED90" s="459">
        <f>IF('2. START'!$C$11="NO",(IF('2. START'!$C$14&gt;0,(DR90*$AD90),(AX90*$AD90))),(BV90+CT90))</f>
        <v>0</v>
      </c>
      <c r="EE90" s="459">
        <f>IF('2. START'!$C$11="NO",(IF('2. START'!$C$14&gt;0,(DS90*$AD90),(AY90*$AD90))),(BW90+CU90))</f>
        <v>0</v>
      </c>
      <c r="EF90" s="459">
        <f>IF('2. START'!$C$11="NO",(IF('2. START'!$C$14&gt;0,(DT90*$AD90),(AZ90*$AD90))),(BX90+CV90))</f>
        <v>0</v>
      </c>
      <c r="EG90" s="459">
        <f>IF('2. START'!$C$11="NO",(IF('2. START'!$C$14&gt;0,(DU90*$AD90),(BA90*$AD90))),(BY90+CW90))</f>
        <v>0</v>
      </c>
      <c r="EH90" s="459">
        <f>IF('2. START'!$C$11="NO",(IF('2. START'!$C$14&gt;0,(DV90*$AD90),(BB90*$AD90))),(BZ90+CX90))</f>
        <v>0</v>
      </c>
      <c r="EI90" s="459">
        <f>IF('2. START'!$C$11="NO",(IF('2. START'!$C$14&gt;0,(DW90*$AD90),(BC90*$AD90))),(CA90+CY90))</f>
        <v>0</v>
      </c>
      <c r="EJ90" s="460">
        <f t="shared" si="288"/>
        <v>0</v>
      </c>
      <c r="EK90" s="463"/>
      <c r="EL90" s="459">
        <f>(BR90+CP90-DZ90)+IF('2. START'!$C$14&gt;0,AT90-DN90,0)</f>
        <v>0</v>
      </c>
      <c r="EM90" s="459">
        <f>(BS90+CQ90-EA90)+IF('2. START'!$C$14&gt;0,AU90-DO90,0)</f>
        <v>0</v>
      </c>
      <c r="EN90" s="459">
        <f>(BT90+CR90-EB90)+IF('2. START'!$C$14&gt;0,AV90-DP90,0)</f>
        <v>0</v>
      </c>
      <c r="EO90" s="459">
        <f>(BU90+CS90-EC90)+IF('2. START'!$C$14&gt;0,AW90-DQ90,0)</f>
        <v>0</v>
      </c>
      <c r="EP90" s="459">
        <f>(BV90+CT90-ED90)+IF('2. START'!$C$14&gt;0,AX90-DR90,0)</f>
        <v>0</v>
      </c>
      <c r="EQ90" s="459">
        <f>(BW90+CU90-EE90)+IF('2. START'!$C$14&gt;0,AY90-DS90,0)</f>
        <v>0</v>
      </c>
      <c r="ER90" s="459">
        <f>(BX90+CV90-EF90)+IF('2. START'!$C$14&gt;0,AZ90-DT90,0)</f>
        <v>0</v>
      </c>
      <c r="ES90" s="459">
        <f>(BY90+CW90-EG90)+IF('2. START'!$C$14&gt;0,BA90-DU90,0)</f>
        <v>0</v>
      </c>
      <c r="ET90" s="459">
        <f>(BZ90+CX90-EH90)+IF('2. START'!$C$14&gt;0,BB90-DV90,0)</f>
        <v>0</v>
      </c>
      <c r="EU90" s="459">
        <f>(CA90+CY90-EI90)+IF('2. START'!$C$14&gt;0,BC90-DW90,0)</f>
        <v>0</v>
      </c>
      <c r="EV90" s="460">
        <f t="shared" si="289"/>
        <v>0</v>
      </c>
      <c r="EW90" s="463"/>
      <c r="EX90" s="459">
        <f t="shared" si="290"/>
        <v>0</v>
      </c>
      <c r="EY90" s="459">
        <f t="shared" si="291"/>
        <v>0</v>
      </c>
      <c r="EZ90" s="459">
        <f t="shared" si="292"/>
        <v>0</v>
      </c>
      <c r="FA90" s="459">
        <f t="shared" si="293"/>
        <v>0</v>
      </c>
      <c r="FB90" s="459">
        <f t="shared" si="294"/>
        <v>0</v>
      </c>
      <c r="FC90" s="459">
        <f t="shared" si="295"/>
        <v>0</v>
      </c>
      <c r="FD90" s="459">
        <f t="shared" si="296"/>
        <v>0</v>
      </c>
      <c r="FE90" s="459">
        <f t="shared" si="297"/>
        <v>0</v>
      </c>
      <c r="FF90" s="459">
        <f t="shared" si="298"/>
        <v>0</v>
      </c>
      <c r="FG90" s="459">
        <f t="shared" si="299"/>
        <v>0</v>
      </c>
      <c r="FH90" s="460">
        <f t="shared" si="300"/>
        <v>0</v>
      </c>
      <c r="FI90" s="463"/>
      <c r="FJ90" s="459">
        <f t="shared" si="301"/>
        <v>0</v>
      </c>
      <c r="FK90" s="459">
        <f t="shared" si="302"/>
        <v>0</v>
      </c>
      <c r="FL90" s="459">
        <f t="shared" si="303"/>
        <v>0</v>
      </c>
      <c r="FM90" s="459">
        <f t="shared" si="304"/>
        <v>0</v>
      </c>
      <c r="FN90" s="459">
        <f t="shared" si="305"/>
        <v>0</v>
      </c>
      <c r="FO90" s="459">
        <f t="shared" si="306"/>
        <v>0</v>
      </c>
      <c r="FP90" s="459">
        <f t="shared" si="307"/>
        <v>0</v>
      </c>
      <c r="FQ90" s="459">
        <f t="shared" si="308"/>
        <v>0</v>
      </c>
      <c r="FR90" s="459">
        <f t="shared" si="309"/>
        <v>0</v>
      </c>
      <c r="FS90" s="459">
        <f t="shared" si="310"/>
        <v>0</v>
      </c>
      <c r="FT90" s="460">
        <f t="shared" si="311"/>
        <v>0</v>
      </c>
    </row>
    <row r="91" spans="2:176" s="270" customFormat="1" ht="15" customHeight="1" x14ac:dyDescent="0.25">
      <c r="B91" s="464" t="str">
        <f>'2. START'!C$7</f>
        <v>100GEM</v>
      </c>
      <c r="C91" s="470"/>
      <c r="D91" s="590"/>
      <c r="E91" s="514">
        <v>0</v>
      </c>
      <c r="F91" s="467"/>
      <c r="G91" s="432"/>
      <c r="H91" s="432"/>
      <c r="I91" s="432"/>
      <c r="J91" s="432"/>
      <c r="K91" s="432"/>
      <c r="L91" s="432"/>
      <c r="M91" s="432"/>
      <c r="N91" s="432"/>
      <c r="O91" s="432"/>
      <c r="P91" s="432"/>
      <c r="Q91" s="545">
        <f>SUMIF('3. PARTNER'!$B$13:$B$80,$B91,'3. PARTNER'!$F$13:$F$80)</f>
        <v>0.02</v>
      </c>
      <c r="R91" s="466">
        <f t="shared" si="312"/>
        <v>0.02</v>
      </c>
      <c r="S91" s="466">
        <f t="shared" si="312"/>
        <v>0.02</v>
      </c>
      <c r="T91" s="466">
        <f t="shared" si="312"/>
        <v>0.02</v>
      </c>
      <c r="U91" s="466">
        <f t="shared" si="312"/>
        <v>0.02</v>
      </c>
      <c r="V91" s="466">
        <f t="shared" si="312"/>
        <v>0.02</v>
      </c>
      <c r="W91" s="466">
        <f t="shared" si="312"/>
        <v>0.02</v>
      </c>
      <c r="X91" s="466">
        <f t="shared" si="312"/>
        <v>0.02</v>
      </c>
      <c r="Y91" s="466">
        <f t="shared" si="312"/>
        <v>0.02</v>
      </c>
      <c r="Z91" s="466">
        <f t="shared" si="312"/>
        <v>0.02</v>
      </c>
      <c r="AA91" s="434">
        <f>SUMIF('3. PARTNER'!B$13:B$80,B91,'3. PARTNER'!E$13:E$80)</f>
        <v>0.5595</v>
      </c>
      <c r="AB91" s="435">
        <f>IF('2. START'!$C$20="UTB",(SUMIF('3. PARTNER'!B$13:B$80,B91,'3. PARTNER'!K$13:K$80))+(SUMIF('3. PARTNER'!B$13:B$80,B91,'3. PARTNER'!M$13:M$80)),(SUMIF('3. PARTNER'!B$13:B$80,B91,'3. PARTNER'!G$13:G$80))+(SUMIF('3. PARTNER'!B$13:B$80,B91,'3. PARTNER'!I$13:I$80)))</f>
        <v>0.16000843770704321</v>
      </c>
      <c r="AC91" s="435">
        <f>IF('2. START'!$C$20="UTB",(SUMIF('3. PARTNER'!B$13:B$80,B91,'3. PARTNER'!L$13:L$80))+(SUMIF('3. PARTNER'!B$13:B$80,B91,'3. PARTNER'!N$13:N$80)),(SUMIF('3. PARTNER'!B$13:B$80,B91,'3. PARTNER'!H$13:H$80))+(SUMIF('3. PARTNER'!B$13:B$80,B91,'3. PARTNER'!J$13:J$80)))</f>
        <v>0</v>
      </c>
      <c r="AD91" s="435">
        <f>IF('2. START'!C$11="NO",'2. START'!C$12,0)</f>
        <v>0</v>
      </c>
      <c r="AE91" s="436">
        <f t="shared" si="278"/>
        <v>0</v>
      </c>
      <c r="AF91" s="436">
        <f t="shared" si="279"/>
        <v>0</v>
      </c>
      <c r="AG91" s="437"/>
      <c r="AH91" s="438">
        <f t="shared" si="208"/>
        <v>0</v>
      </c>
      <c r="AI91" s="438">
        <f t="shared" si="209"/>
        <v>0</v>
      </c>
      <c r="AJ91" s="438">
        <f t="shared" si="210"/>
        <v>0</v>
      </c>
      <c r="AK91" s="438">
        <f t="shared" si="211"/>
        <v>0</v>
      </c>
      <c r="AL91" s="438">
        <f t="shared" si="212"/>
        <v>0</v>
      </c>
      <c r="AM91" s="438">
        <f t="shared" si="213"/>
        <v>0</v>
      </c>
      <c r="AN91" s="438">
        <f t="shared" si="214"/>
        <v>0</v>
      </c>
      <c r="AO91" s="438">
        <f t="shared" si="215"/>
        <v>0</v>
      </c>
      <c r="AP91" s="438">
        <f t="shared" si="216"/>
        <v>0</v>
      </c>
      <c r="AQ91" s="438">
        <f t="shared" si="217"/>
        <v>0</v>
      </c>
      <c r="AR91" s="439">
        <f t="shared" si="280"/>
        <v>0</v>
      </c>
      <c r="AS91" s="440"/>
      <c r="AT91" s="438">
        <f t="shared" si="218"/>
        <v>0</v>
      </c>
      <c r="AU91" s="438">
        <f t="shared" si="219"/>
        <v>0</v>
      </c>
      <c r="AV91" s="438">
        <f t="shared" si="220"/>
        <v>0</v>
      </c>
      <c r="AW91" s="438">
        <f t="shared" si="221"/>
        <v>0</v>
      </c>
      <c r="AX91" s="438">
        <f t="shared" si="222"/>
        <v>0</v>
      </c>
      <c r="AY91" s="438">
        <f t="shared" si="223"/>
        <v>0</v>
      </c>
      <c r="AZ91" s="438">
        <f t="shared" si="224"/>
        <v>0</v>
      </c>
      <c r="BA91" s="438">
        <f t="shared" si="225"/>
        <v>0</v>
      </c>
      <c r="BB91" s="438">
        <f t="shared" si="226"/>
        <v>0</v>
      </c>
      <c r="BC91" s="438">
        <f t="shared" si="227"/>
        <v>0</v>
      </c>
      <c r="BD91" s="439">
        <f t="shared" si="281"/>
        <v>0</v>
      </c>
      <c r="BE91" s="440"/>
      <c r="BF91" s="438">
        <f t="shared" si="228"/>
        <v>0</v>
      </c>
      <c r="BG91" s="438">
        <f t="shared" si="229"/>
        <v>0</v>
      </c>
      <c r="BH91" s="438">
        <f t="shared" si="230"/>
        <v>0</v>
      </c>
      <c r="BI91" s="438">
        <f t="shared" si="231"/>
        <v>0</v>
      </c>
      <c r="BJ91" s="438">
        <f t="shared" si="232"/>
        <v>0</v>
      </c>
      <c r="BK91" s="438">
        <f t="shared" si="233"/>
        <v>0</v>
      </c>
      <c r="BL91" s="438">
        <f t="shared" si="234"/>
        <v>0</v>
      </c>
      <c r="BM91" s="438">
        <f t="shared" si="235"/>
        <v>0</v>
      </c>
      <c r="BN91" s="438">
        <f t="shared" si="236"/>
        <v>0</v>
      </c>
      <c r="BO91" s="438">
        <f t="shared" si="237"/>
        <v>0</v>
      </c>
      <c r="BP91" s="439">
        <f t="shared" si="282"/>
        <v>0</v>
      </c>
      <c r="BR91" s="442">
        <f t="shared" si="238"/>
        <v>0</v>
      </c>
      <c r="BS91" s="442">
        <f t="shared" si="239"/>
        <v>0</v>
      </c>
      <c r="BT91" s="442">
        <f t="shared" si="240"/>
        <v>0</v>
      </c>
      <c r="BU91" s="442">
        <f t="shared" si="241"/>
        <v>0</v>
      </c>
      <c r="BV91" s="442">
        <f t="shared" si="242"/>
        <v>0</v>
      </c>
      <c r="BW91" s="442">
        <f t="shared" si="243"/>
        <v>0</v>
      </c>
      <c r="BX91" s="442">
        <f t="shared" si="244"/>
        <v>0</v>
      </c>
      <c r="BY91" s="442">
        <f t="shared" si="245"/>
        <v>0</v>
      </c>
      <c r="BZ91" s="442">
        <f t="shared" si="246"/>
        <v>0</v>
      </c>
      <c r="CA91" s="442">
        <f t="shared" si="247"/>
        <v>0</v>
      </c>
      <c r="CB91" s="443">
        <f t="shared" si="283"/>
        <v>0</v>
      </c>
      <c r="CD91" s="445">
        <f t="shared" si="248"/>
        <v>0</v>
      </c>
      <c r="CE91" s="445">
        <f t="shared" si="249"/>
        <v>0</v>
      </c>
      <c r="CF91" s="445">
        <f t="shared" si="250"/>
        <v>0</v>
      </c>
      <c r="CG91" s="445">
        <f t="shared" si="251"/>
        <v>0</v>
      </c>
      <c r="CH91" s="445">
        <f t="shared" si="252"/>
        <v>0</v>
      </c>
      <c r="CI91" s="445">
        <f t="shared" si="253"/>
        <v>0</v>
      </c>
      <c r="CJ91" s="445">
        <f t="shared" si="254"/>
        <v>0</v>
      </c>
      <c r="CK91" s="445">
        <f t="shared" si="255"/>
        <v>0</v>
      </c>
      <c r="CL91" s="445">
        <f t="shared" si="256"/>
        <v>0</v>
      </c>
      <c r="CM91" s="445">
        <f t="shared" si="257"/>
        <v>0</v>
      </c>
      <c r="CN91" s="443">
        <f t="shared" si="284"/>
        <v>0</v>
      </c>
      <c r="CP91" s="442">
        <f t="shared" si="258"/>
        <v>0</v>
      </c>
      <c r="CQ91" s="442">
        <f t="shared" si="259"/>
        <v>0</v>
      </c>
      <c r="CR91" s="442">
        <f t="shared" si="260"/>
        <v>0</v>
      </c>
      <c r="CS91" s="442">
        <f t="shared" si="261"/>
        <v>0</v>
      </c>
      <c r="CT91" s="442">
        <f t="shared" si="262"/>
        <v>0</v>
      </c>
      <c r="CU91" s="442">
        <f t="shared" si="263"/>
        <v>0</v>
      </c>
      <c r="CV91" s="442">
        <f t="shared" si="264"/>
        <v>0</v>
      </c>
      <c r="CW91" s="442">
        <f t="shared" si="265"/>
        <v>0</v>
      </c>
      <c r="CX91" s="442">
        <f t="shared" si="266"/>
        <v>0</v>
      </c>
      <c r="CY91" s="442">
        <f t="shared" si="267"/>
        <v>0</v>
      </c>
      <c r="CZ91" s="443">
        <f t="shared" si="285"/>
        <v>0</v>
      </c>
      <c r="DB91" s="442">
        <f t="shared" si="268"/>
        <v>0</v>
      </c>
      <c r="DC91" s="442">
        <f t="shared" si="269"/>
        <v>0</v>
      </c>
      <c r="DD91" s="442">
        <f t="shared" si="270"/>
        <v>0</v>
      </c>
      <c r="DE91" s="442">
        <f t="shared" si="271"/>
        <v>0</v>
      </c>
      <c r="DF91" s="442">
        <f t="shared" si="272"/>
        <v>0</v>
      </c>
      <c r="DG91" s="442">
        <f t="shared" si="273"/>
        <v>0</v>
      </c>
      <c r="DH91" s="442">
        <f t="shared" si="274"/>
        <v>0</v>
      </c>
      <c r="DI91" s="442">
        <f t="shared" si="275"/>
        <v>0</v>
      </c>
      <c r="DJ91" s="442">
        <f t="shared" si="276"/>
        <v>0</v>
      </c>
      <c r="DK91" s="442">
        <f t="shared" si="277"/>
        <v>0</v>
      </c>
      <c r="DL91" s="443">
        <f t="shared" si="286"/>
        <v>0</v>
      </c>
      <c r="DN91" s="442">
        <f>IF('2. START'!$C$14&gt;0,(AT91/(1+$AA91))*(1+'2. START'!$C$14),AT91)</f>
        <v>0</v>
      </c>
      <c r="DO91" s="442">
        <f>IF('2. START'!$C$14&gt;0,(AU91/(1+$AA91))*(1+'2. START'!$C$14),AU91)</f>
        <v>0</v>
      </c>
      <c r="DP91" s="442">
        <f>IF('2. START'!$C$14&gt;0,(AV91/(1+$AA91))*(1+'2. START'!$C$14),AV91)</f>
        <v>0</v>
      </c>
      <c r="DQ91" s="442">
        <f>IF('2. START'!$C$14&gt;0,(AW91/(1+$AA91))*(1+'2. START'!$C$14),AW91)</f>
        <v>0</v>
      </c>
      <c r="DR91" s="442">
        <f>IF('2. START'!$C$14&gt;0,(AX91/(1+$AA91))*(1+'2. START'!$C$14),AX91)</f>
        <v>0</v>
      </c>
      <c r="DS91" s="442">
        <f>IF('2. START'!$C$14&gt;0,(AY91/(1+$AA91))*(1+'2. START'!$C$14),AY91)</f>
        <v>0</v>
      </c>
      <c r="DT91" s="442">
        <f>IF('2. START'!$C$14&gt;0,(AZ91/(1+$AA91))*(1+'2. START'!$C$14),AZ91)</f>
        <v>0</v>
      </c>
      <c r="DU91" s="442">
        <f>IF('2. START'!$C$14&gt;0,(BA91/(1+$AA91))*(1+'2. START'!$C$14),BA91)</f>
        <v>0</v>
      </c>
      <c r="DV91" s="442">
        <f>IF('2. START'!$C$14&gt;0,(BB91/(1+$AA91))*(1+'2. START'!$C$14),BB91)</f>
        <v>0</v>
      </c>
      <c r="DW91" s="442">
        <f>IF('2. START'!$C$14&gt;0,(BC91/(1+$AA91))*(1+'2. START'!$C$14),BC91)</f>
        <v>0</v>
      </c>
      <c r="DX91" s="443">
        <f t="shared" si="287"/>
        <v>0</v>
      </c>
      <c r="DZ91" s="442">
        <f>IF('2. START'!$C$11="NO",(IF('2. START'!$C$14&gt;0,(DN91*$AD91),(AT91*$AD91))),(BR91+CP91))</f>
        <v>0</v>
      </c>
      <c r="EA91" s="442">
        <f>IF('2. START'!$C$11="NO",(IF('2. START'!$C$14&gt;0,(DO91*$AD91),(AU91*$AD91))),(BS91+CQ91))</f>
        <v>0</v>
      </c>
      <c r="EB91" s="442">
        <f>IF('2. START'!$C$11="NO",(IF('2. START'!$C$14&gt;0,(DP91*$AD91),(AV91*$AD91))),(BT91+CR91))</f>
        <v>0</v>
      </c>
      <c r="EC91" s="442">
        <f>IF('2. START'!$C$11="NO",(IF('2. START'!$C$14&gt;0,(DQ91*$AD91),(AW91*$AD91))),(BU91+CS91))</f>
        <v>0</v>
      </c>
      <c r="ED91" s="442">
        <f>IF('2. START'!$C$11="NO",(IF('2. START'!$C$14&gt;0,(DR91*$AD91),(AX91*$AD91))),(BV91+CT91))</f>
        <v>0</v>
      </c>
      <c r="EE91" s="442">
        <f>IF('2. START'!$C$11="NO",(IF('2. START'!$C$14&gt;0,(DS91*$AD91),(AY91*$AD91))),(BW91+CU91))</f>
        <v>0</v>
      </c>
      <c r="EF91" s="442">
        <f>IF('2. START'!$C$11="NO",(IF('2. START'!$C$14&gt;0,(DT91*$AD91),(AZ91*$AD91))),(BX91+CV91))</f>
        <v>0</v>
      </c>
      <c r="EG91" s="442">
        <f>IF('2. START'!$C$11="NO",(IF('2. START'!$C$14&gt;0,(DU91*$AD91),(BA91*$AD91))),(BY91+CW91))</f>
        <v>0</v>
      </c>
      <c r="EH91" s="442">
        <f>IF('2. START'!$C$11="NO",(IF('2. START'!$C$14&gt;0,(DV91*$AD91),(BB91*$AD91))),(BZ91+CX91))</f>
        <v>0</v>
      </c>
      <c r="EI91" s="442">
        <f>IF('2. START'!$C$11="NO",(IF('2. START'!$C$14&gt;0,(DW91*$AD91),(BC91*$AD91))),(CA91+CY91))</f>
        <v>0</v>
      </c>
      <c r="EJ91" s="443">
        <f t="shared" si="288"/>
        <v>0</v>
      </c>
      <c r="EL91" s="442">
        <f>(BR91+CP91-DZ91)+IF('2. START'!$C$14&gt;0,AT91-DN91,0)</f>
        <v>0</v>
      </c>
      <c r="EM91" s="442">
        <f>(BS91+CQ91-EA91)+IF('2. START'!$C$14&gt;0,AU91-DO91,0)</f>
        <v>0</v>
      </c>
      <c r="EN91" s="442">
        <f>(BT91+CR91-EB91)+IF('2. START'!$C$14&gt;0,AV91-DP91,0)</f>
        <v>0</v>
      </c>
      <c r="EO91" s="442">
        <f>(BU91+CS91-EC91)+IF('2. START'!$C$14&gt;0,AW91-DQ91,0)</f>
        <v>0</v>
      </c>
      <c r="EP91" s="442">
        <f>(BV91+CT91-ED91)+IF('2. START'!$C$14&gt;0,AX91-DR91,0)</f>
        <v>0</v>
      </c>
      <c r="EQ91" s="442">
        <f>(BW91+CU91-EE91)+IF('2. START'!$C$14&gt;0,AY91-DS91,0)</f>
        <v>0</v>
      </c>
      <c r="ER91" s="442">
        <f>(BX91+CV91-EF91)+IF('2. START'!$C$14&gt;0,AZ91-DT91,0)</f>
        <v>0</v>
      </c>
      <c r="ES91" s="442">
        <f>(BY91+CW91-EG91)+IF('2. START'!$C$14&gt;0,BA91-DU91,0)</f>
        <v>0</v>
      </c>
      <c r="ET91" s="442">
        <f>(BZ91+CX91-EH91)+IF('2. START'!$C$14&gt;0,BB91-DV91,0)</f>
        <v>0</v>
      </c>
      <c r="EU91" s="442">
        <f>(CA91+CY91-EI91)+IF('2. START'!$C$14&gt;0,BC91-DW91,0)</f>
        <v>0</v>
      </c>
      <c r="EV91" s="443">
        <f t="shared" si="289"/>
        <v>0</v>
      </c>
      <c r="EX91" s="442">
        <f t="shared" si="290"/>
        <v>0</v>
      </c>
      <c r="EY91" s="442">
        <f t="shared" si="291"/>
        <v>0</v>
      </c>
      <c r="EZ91" s="442">
        <f t="shared" si="292"/>
        <v>0</v>
      </c>
      <c r="FA91" s="442">
        <f t="shared" si="293"/>
        <v>0</v>
      </c>
      <c r="FB91" s="442">
        <f t="shared" si="294"/>
        <v>0</v>
      </c>
      <c r="FC91" s="442">
        <f t="shared" si="295"/>
        <v>0</v>
      </c>
      <c r="FD91" s="442">
        <f t="shared" si="296"/>
        <v>0</v>
      </c>
      <c r="FE91" s="442">
        <f t="shared" si="297"/>
        <v>0</v>
      </c>
      <c r="FF91" s="442">
        <f t="shared" si="298"/>
        <v>0</v>
      </c>
      <c r="FG91" s="442">
        <f t="shared" si="299"/>
        <v>0</v>
      </c>
      <c r="FH91" s="443">
        <f t="shared" si="300"/>
        <v>0</v>
      </c>
      <c r="FJ91" s="442">
        <f t="shared" si="301"/>
        <v>0</v>
      </c>
      <c r="FK91" s="442">
        <f t="shared" si="302"/>
        <v>0</v>
      </c>
      <c r="FL91" s="442">
        <f t="shared" si="303"/>
        <v>0</v>
      </c>
      <c r="FM91" s="442">
        <f t="shared" si="304"/>
        <v>0</v>
      </c>
      <c r="FN91" s="442">
        <f t="shared" si="305"/>
        <v>0</v>
      </c>
      <c r="FO91" s="442">
        <f t="shared" si="306"/>
        <v>0</v>
      </c>
      <c r="FP91" s="442">
        <f t="shared" si="307"/>
        <v>0</v>
      </c>
      <c r="FQ91" s="442">
        <f t="shared" si="308"/>
        <v>0</v>
      </c>
      <c r="FR91" s="442">
        <f t="shared" si="309"/>
        <v>0</v>
      </c>
      <c r="FS91" s="442">
        <f t="shared" si="310"/>
        <v>0</v>
      </c>
      <c r="FT91" s="443">
        <f t="shared" si="311"/>
        <v>0</v>
      </c>
    </row>
    <row r="92" spans="2:176" s="270" customFormat="1" ht="15" customHeight="1" x14ac:dyDescent="0.25">
      <c r="B92" s="446" t="str">
        <f>'2. START'!C$7</f>
        <v>100GEM</v>
      </c>
      <c r="C92" s="469"/>
      <c r="D92" s="589"/>
      <c r="E92" s="544">
        <v>0</v>
      </c>
      <c r="F92" s="448"/>
      <c r="G92" s="449"/>
      <c r="H92" s="449"/>
      <c r="I92" s="449"/>
      <c r="J92" s="449"/>
      <c r="K92" s="449"/>
      <c r="L92" s="449"/>
      <c r="M92" s="449"/>
      <c r="N92" s="449"/>
      <c r="O92" s="449"/>
      <c r="P92" s="449"/>
      <c r="Q92" s="546">
        <f>SUMIF('3. PARTNER'!$B$13:$B$80,$B92,'3. PARTNER'!$F$13:$F$80)</f>
        <v>0.02</v>
      </c>
      <c r="R92" s="450">
        <f t="shared" si="312"/>
        <v>0.02</v>
      </c>
      <c r="S92" s="450">
        <f t="shared" si="312"/>
        <v>0.02</v>
      </c>
      <c r="T92" s="450">
        <f t="shared" si="312"/>
        <v>0.02</v>
      </c>
      <c r="U92" s="450">
        <f t="shared" si="312"/>
        <v>0.02</v>
      </c>
      <c r="V92" s="450">
        <f t="shared" si="312"/>
        <v>0.02</v>
      </c>
      <c r="W92" s="450">
        <f t="shared" si="312"/>
        <v>0.02</v>
      </c>
      <c r="X92" s="450">
        <f t="shared" si="312"/>
        <v>0.02</v>
      </c>
      <c r="Y92" s="450">
        <f t="shared" si="312"/>
        <v>0.02</v>
      </c>
      <c r="Z92" s="450">
        <f t="shared" si="312"/>
        <v>0.02</v>
      </c>
      <c r="AA92" s="451">
        <f>SUMIF('3. PARTNER'!B$13:B$80,B92,'3. PARTNER'!E$13:E$80)</f>
        <v>0.5595</v>
      </c>
      <c r="AB92" s="452">
        <f>IF('2. START'!$C$20="UTB",(SUMIF('3. PARTNER'!B$13:B$80,B92,'3. PARTNER'!K$13:K$80))+(SUMIF('3. PARTNER'!B$13:B$80,B92,'3. PARTNER'!M$13:M$80)),(SUMIF('3. PARTNER'!B$13:B$80,B92,'3. PARTNER'!G$13:G$80))+(SUMIF('3. PARTNER'!B$13:B$80,B92,'3. PARTNER'!I$13:I$80)))</f>
        <v>0.16000843770704321</v>
      </c>
      <c r="AC92" s="452">
        <f>IF('2. START'!$C$20="UTB",(SUMIF('3. PARTNER'!B$13:B$80,B92,'3. PARTNER'!L$13:L$80))+(SUMIF('3. PARTNER'!B$13:B$80,B92,'3. PARTNER'!N$13:N$80)),(SUMIF('3. PARTNER'!B$13:B$80,B92,'3. PARTNER'!H$13:H$80))+(SUMIF('3. PARTNER'!B$13:B$80,B92,'3. PARTNER'!J$13:J$80)))</f>
        <v>0</v>
      </c>
      <c r="AD92" s="452">
        <f>IF('2. START'!C$11="NO",'2. START'!C$12,0)</f>
        <v>0</v>
      </c>
      <c r="AE92" s="453">
        <f t="shared" si="278"/>
        <v>0</v>
      </c>
      <c r="AF92" s="453">
        <f t="shared" si="279"/>
        <v>0</v>
      </c>
      <c r="AG92" s="454"/>
      <c r="AH92" s="455">
        <f t="shared" si="208"/>
        <v>0</v>
      </c>
      <c r="AI92" s="455">
        <f t="shared" si="209"/>
        <v>0</v>
      </c>
      <c r="AJ92" s="455">
        <f t="shared" si="210"/>
        <v>0</v>
      </c>
      <c r="AK92" s="455">
        <f t="shared" si="211"/>
        <v>0</v>
      </c>
      <c r="AL92" s="455">
        <f t="shared" si="212"/>
        <v>0</v>
      </c>
      <c r="AM92" s="455">
        <f t="shared" si="213"/>
        <v>0</v>
      </c>
      <c r="AN92" s="455">
        <f t="shared" si="214"/>
        <v>0</v>
      </c>
      <c r="AO92" s="455">
        <f t="shared" si="215"/>
        <v>0</v>
      </c>
      <c r="AP92" s="455">
        <f t="shared" si="216"/>
        <v>0</v>
      </c>
      <c r="AQ92" s="455">
        <f t="shared" si="217"/>
        <v>0</v>
      </c>
      <c r="AR92" s="456">
        <f t="shared" si="280"/>
        <v>0</v>
      </c>
      <c r="AS92" s="457"/>
      <c r="AT92" s="455">
        <f t="shared" si="218"/>
        <v>0</v>
      </c>
      <c r="AU92" s="455">
        <f t="shared" si="219"/>
        <v>0</v>
      </c>
      <c r="AV92" s="455">
        <f t="shared" si="220"/>
        <v>0</v>
      </c>
      <c r="AW92" s="455">
        <f t="shared" si="221"/>
        <v>0</v>
      </c>
      <c r="AX92" s="455">
        <f t="shared" si="222"/>
        <v>0</v>
      </c>
      <c r="AY92" s="455">
        <f t="shared" si="223"/>
        <v>0</v>
      </c>
      <c r="AZ92" s="455">
        <f t="shared" si="224"/>
        <v>0</v>
      </c>
      <c r="BA92" s="455">
        <f t="shared" si="225"/>
        <v>0</v>
      </c>
      <c r="BB92" s="455">
        <f t="shared" si="226"/>
        <v>0</v>
      </c>
      <c r="BC92" s="455">
        <f t="shared" si="227"/>
        <v>0</v>
      </c>
      <c r="BD92" s="456">
        <f t="shared" si="281"/>
        <v>0</v>
      </c>
      <c r="BE92" s="457"/>
      <c r="BF92" s="455">
        <f t="shared" si="228"/>
        <v>0</v>
      </c>
      <c r="BG92" s="455">
        <f t="shared" si="229"/>
        <v>0</v>
      </c>
      <c r="BH92" s="455">
        <f t="shared" si="230"/>
        <v>0</v>
      </c>
      <c r="BI92" s="455">
        <f t="shared" si="231"/>
        <v>0</v>
      </c>
      <c r="BJ92" s="455">
        <f t="shared" si="232"/>
        <v>0</v>
      </c>
      <c r="BK92" s="455">
        <f t="shared" si="233"/>
        <v>0</v>
      </c>
      <c r="BL92" s="455">
        <f t="shared" si="234"/>
        <v>0</v>
      </c>
      <c r="BM92" s="455">
        <f t="shared" si="235"/>
        <v>0</v>
      </c>
      <c r="BN92" s="455">
        <f t="shared" si="236"/>
        <v>0</v>
      </c>
      <c r="BO92" s="455">
        <f t="shared" si="237"/>
        <v>0</v>
      </c>
      <c r="BP92" s="456">
        <f t="shared" si="282"/>
        <v>0</v>
      </c>
      <c r="BQ92" s="463"/>
      <c r="BR92" s="459">
        <f t="shared" si="238"/>
        <v>0</v>
      </c>
      <c r="BS92" s="459">
        <f t="shared" si="239"/>
        <v>0</v>
      </c>
      <c r="BT92" s="459">
        <f t="shared" si="240"/>
        <v>0</v>
      </c>
      <c r="BU92" s="459">
        <f t="shared" si="241"/>
        <v>0</v>
      </c>
      <c r="BV92" s="459">
        <f t="shared" si="242"/>
        <v>0</v>
      </c>
      <c r="BW92" s="459">
        <f t="shared" si="243"/>
        <v>0</v>
      </c>
      <c r="BX92" s="459">
        <f t="shared" si="244"/>
        <v>0</v>
      </c>
      <c r="BY92" s="459">
        <f t="shared" si="245"/>
        <v>0</v>
      </c>
      <c r="BZ92" s="459">
        <f t="shared" si="246"/>
        <v>0</v>
      </c>
      <c r="CA92" s="459">
        <f t="shared" si="247"/>
        <v>0</v>
      </c>
      <c r="CB92" s="460">
        <f t="shared" si="283"/>
        <v>0</v>
      </c>
      <c r="CC92" s="463"/>
      <c r="CD92" s="462">
        <f t="shared" si="248"/>
        <v>0</v>
      </c>
      <c r="CE92" s="462">
        <f t="shared" si="249"/>
        <v>0</v>
      </c>
      <c r="CF92" s="462">
        <f t="shared" si="250"/>
        <v>0</v>
      </c>
      <c r="CG92" s="462">
        <f t="shared" si="251"/>
        <v>0</v>
      </c>
      <c r="CH92" s="462">
        <f t="shared" si="252"/>
        <v>0</v>
      </c>
      <c r="CI92" s="462">
        <f t="shared" si="253"/>
        <v>0</v>
      </c>
      <c r="CJ92" s="462">
        <f t="shared" si="254"/>
        <v>0</v>
      </c>
      <c r="CK92" s="462">
        <f t="shared" si="255"/>
        <v>0</v>
      </c>
      <c r="CL92" s="462">
        <f t="shared" si="256"/>
        <v>0</v>
      </c>
      <c r="CM92" s="462">
        <f t="shared" si="257"/>
        <v>0</v>
      </c>
      <c r="CN92" s="460">
        <f t="shared" si="284"/>
        <v>0</v>
      </c>
      <c r="CO92" s="463"/>
      <c r="CP92" s="459">
        <f t="shared" si="258"/>
        <v>0</v>
      </c>
      <c r="CQ92" s="459">
        <f t="shared" si="259"/>
        <v>0</v>
      </c>
      <c r="CR92" s="459">
        <f t="shared" si="260"/>
        <v>0</v>
      </c>
      <c r="CS92" s="459">
        <f t="shared" si="261"/>
        <v>0</v>
      </c>
      <c r="CT92" s="459">
        <f t="shared" si="262"/>
        <v>0</v>
      </c>
      <c r="CU92" s="459">
        <f t="shared" si="263"/>
        <v>0</v>
      </c>
      <c r="CV92" s="459">
        <f t="shared" si="264"/>
        <v>0</v>
      </c>
      <c r="CW92" s="459">
        <f t="shared" si="265"/>
        <v>0</v>
      </c>
      <c r="CX92" s="459">
        <f t="shared" si="266"/>
        <v>0</v>
      </c>
      <c r="CY92" s="459">
        <f t="shared" si="267"/>
        <v>0</v>
      </c>
      <c r="CZ92" s="460">
        <f t="shared" si="285"/>
        <v>0</v>
      </c>
      <c r="DA92" s="463"/>
      <c r="DB92" s="459">
        <f t="shared" si="268"/>
        <v>0</v>
      </c>
      <c r="DC92" s="459">
        <f t="shared" si="269"/>
        <v>0</v>
      </c>
      <c r="DD92" s="459">
        <f t="shared" si="270"/>
        <v>0</v>
      </c>
      <c r="DE92" s="459">
        <f t="shared" si="271"/>
        <v>0</v>
      </c>
      <c r="DF92" s="459">
        <f t="shared" si="272"/>
        <v>0</v>
      </c>
      <c r="DG92" s="459">
        <f t="shared" si="273"/>
        <v>0</v>
      </c>
      <c r="DH92" s="459">
        <f t="shared" si="274"/>
        <v>0</v>
      </c>
      <c r="DI92" s="459">
        <f t="shared" si="275"/>
        <v>0</v>
      </c>
      <c r="DJ92" s="459">
        <f t="shared" si="276"/>
        <v>0</v>
      </c>
      <c r="DK92" s="459">
        <f t="shared" si="277"/>
        <v>0</v>
      </c>
      <c r="DL92" s="460">
        <f t="shared" si="286"/>
        <v>0</v>
      </c>
      <c r="DM92" s="463"/>
      <c r="DN92" s="442">
        <f>IF('2. START'!$C$14&gt;0,(AT92/(1+$AA92))*(1+'2. START'!$C$14),AT92)</f>
        <v>0</v>
      </c>
      <c r="DO92" s="442">
        <f>IF('2. START'!$C$14&gt;0,(AU92/(1+$AA92))*(1+'2. START'!$C$14),AU92)</f>
        <v>0</v>
      </c>
      <c r="DP92" s="442">
        <f>IF('2. START'!$C$14&gt;0,(AV92/(1+$AA92))*(1+'2. START'!$C$14),AV92)</f>
        <v>0</v>
      </c>
      <c r="DQ92" s="442">
        <f>IF('2. START'!$C$14&gt;0,(AW92/(1+$AA92))*(1+'2. START'!$C$14),AW92)</f>
        <v>0</v>
      </c>
      <c r="DR92" s="442">
        <f>IF('2. START'!$C$14&gt;0,(AX92/(1+$AA92))*(1+'2. START'!$C$14),AX92)</f>
        <v>0</v>
      </c>
      <c r="DS92" s="442">
        <f>IF('2. START'!$C$14&gt;0,(AY92/(1+$AA92))*(1+'2. START'!$C$14),AY92)</f>
        <v>0</v>
      </c>
      <c r="DT92" s="442">
        <f>IF('2. START'!$C$14&gt;0,(AZ92/(1+$AA92))*(1+'2. START'!$C$14),AZ92)</f>
        <v>0</v>
      </c>
      <c r="DU92" s="442">
        <f>IF('2. START'!$C$14&gt;0,(BA92/(1+$AA92))*(1+'2. START'!$C$14),BA92)</f>
        <v>0</v>
      </c>
      <c r="DV92" s="442">
        <f>IF('2. START'!$C$14&gt;0,(BB92/(1+$AA92))*(1+'2. START'!$C$14),BB92)</f>
        <v>0</v>
      </c>
      <c r="DW92" s="442">
        <f>IF('2. START'!$C$14&gt;0,(BC92/(1+$AA92))*(1+'2. START'!$C$14),BC92)</f>
        <v>0</v>
      </c>
      <c r="DX92" s="460">
        <f t="shared" si="287"/>
        <v>0</v>
      </c>
      <c r="DY92" s="463"/>
      <c r="DZ92" s="459">
        <f>IF('2. START'!$C$11="NO",(IF('2. START'!$C$14&gt;0,(DN92*$AD92),(AT92*$AD92))),(BR92+CP92))</f>
        <v>0</v>
      </c>
      <c r="EA92" s="459">
        <f>IF('2. START'!$C$11="NO",(IF('2. START'!$C$14&gt;0,(DO92*$AD92),(AU92*$AD92))),(BS92+CQ92))</f>
        <v>0</v>
      </c>
      <c r="EB92" s="459">
        <f>IF('2. START'!$C$11="NO",(IF('2. START'!$C$14&gt;0,(DP92*$AD92),(AV92*$AD92))),(BT92+CR92))</f>
        <v>0</v>
      </c>
      <c r="EC92" s="459">
        <f>IF('2. START'!$C$11="NO",(IF('2. START'!$C$14&gt;0,(DQ92*$AD92),(AW92*$AD92))),(BU92+CS92))</f>
        <v>0</v>
      </c>
      <c r="ED92" s="459">
        <f>IF('2. START'!$C$11="NO",(IF('2. START'!$C$14&gt;0,(DR92*$AD92),(AX92*$AD92))),(BV92+CT92))</f>
        <v>0</v>
      </c>
      <c r="EE92" s="459">
        <f>IF('2. START'!$C$11="NO",(IF('2. START'!$C$14&gt;0,(DS92*$AD92),(AY92*$AD92))),(BW92+CU92))</f>
        <v>0</v>
      </c>
      <c r="EF92" s="459">
        <f>IF('2. START'!$C$11="NO",(IF('2. START'!$C$14&gt;0,(DT92*$AD92),(AZ92*$AD92))),(BX92+CV92))</f>
        <v>0</v>
      </c>
      <c r="EG92" s="459">
        <f>IF('2. START'!$C$11="NO",(IF('2. START'!$C$14&gt;0,(DU92*$AD92),(BA92*$AD92))),(BY92+CW92))</f>
        <v>0</v>
      </c>
      <c r="EH92" s="459">
        <f>IF('2. START'!$C$11="NO",(IF('2. START'!$C$14&gt;0,(DV92*$AD92),(BB92*$AD92))),(BZ92+CX92))</f>
        <v>0</v>
      </c>
      <c r="EI92" s="459">
        <f>IF('2. START'!$C$11="NO",(IF('2. START'!$C$14&gt;0,(DW92*$AD92),(BC92*$AD92))),(CA92+CY92))</f>
        <v>0</v>
      </c>
      <c r="EJ92" s="460">
        <f t="shared" si="288"/>
        <v>0</v>
      </c>
      <c r="EK92" s="463"/>
      <c r="EL92" s="459">
        <f>(BR92+CP92-DZ92)+IF('2. START'!$C$14&gt;0,AT92-DN92,0)</f>
        <v>0</v>
      </c>
      <c r="EM92" s="459">
        <f>(BS92+CQ92-EA92)+IF('2. START'!$C$14&gt;0,AU92-DO92,0)</f>
        <v>0</v>
      </c>
      <c r="EN92" s="459">
        <f>(BT92+CR92-EB92)+IF('2. START'!$C$14&gt;0,AV92-DP92,0)</f>
        <v>0</v>
      </c>
      <c r="EO92" s="459">
        <f>(BU92+CS92-EC92)+IF('2. START'!$C$14&gt;0,AW92-DQ92,0)</f>
        <v>0</v>
      </c>
      <c r="EP92" s="459">
        <f>(BV92+CT92-ED92)+IF('2. START'!$C$14&gt;0,AX92-DR92,0)</f>
        <v>0</v>
      </c>
      <c r="EQ92" s="459">
        <f>(BW92+CU92-EE92)+IF('2. START'!$C$14&gt;0,AY92-DS92,0)</f>
        <v>0</v>
      </c>
      <c r="ER92" s="459">
        <f>(BX92+CV92-EF92)+IF('2. START'!$C$14&gt;0,AZ92-DT92,0)</f>
        <v>0</v>
      </c>
      <c r="ES92" s="459">
        <f>(BY92+CW92-EG92)+IF('2. START'!$C$14&gt;0,BA92-DU92,0)</f>
        <v>0</v>
      </c>
      <c r="ET92" s="459">
        <f>(BZ92+CX92-EH92)+IF('2. START'!$C$14&gt;0,BB92-DV92,0)</f>
        <v>0</v>
      </c>
      <c r="EU92" s="459">
        <f>(CA92+CY92-EI92)+IF('2. START'!$C$14&gt;0,BC92-DW92,0)</f>
        <v>0</v>
      </c>
      <c r="EV92" s="460">
        <f t="shared" si="289"/>
        <v>0</v>
      </c>
      <c r="EW92" s="463"/>
      <c r="EX92" s="459">
        <f t="shared" si="290"/>
        <v>0</v>
      </c>
      <c r="EY92" s="459">
        <f t="shared" si="291"/>
        <v>0</v>
      </c>
      <c r="EZ92" s="459">
        <f t="shared" si="292"/>
        <v>0</v>
      </c>
      <c r="FA92" s="459">
        <f t="shared" si="293"/>
        <v>0</v>
      </c>
      <c r="FB92" s="459">
        <f t="shared" si="294"/>
        <v>0</v>
      </c>
      <c r="FC92" s="459">
        <f t="shared" si="295"/>
        <v>0</v>
      </c>
      <c r="FD92" s="459">
        <f t="shared" si="296"/>
        <v>0</v>
      </c>
      <c r="FE92" s="459">
        <f t="shared" si="297"/>
        <v>0</v>
      </c>
      <c r="FF92" s="459">
        <f t="shared" si="298"/>
        <v>0</v>
      </c>
      <c r="FG92" s="459">
        <f t="shared" si="299"/>
        <v>0</v>
      </c>
      <c r="FH92" s="460">
        <f t="shared" si="300"/>
        <v>0</v>
      </c>
      <c r="FI92" s="463"/>
      <c r="FJ92" s="459">
        <f t="shared" si="301"/>
        <v>0</v>
      </c>
      <c r="FK92" s="459">
        <f t="shared" si="302"/>
        <v>0</v>
      </c>
      <c r="FL92" s="459">
        <f t="shared" si="303"/>
        <v>0</v>
      </c>
      <c r="FM92" s="459">
        <f t="shared" si="304"/>
        <v>0</v>
      </c>
      <c r="FN92" s="459">
        <f t="shared" si="305"/>
        <v>0</v>
      </c>
      <c r="FO92" s="459">
        <f t="shared" si="306"/>
        <v>0</v>
      </c>
      <c r="FP92" s="459">
        <f t="shared" si="307"/>
        <v>0</v>
      </c>
      <c r="FQ92" s="459">
        <f t="shared" si="308"/>
        <v>0</v>
      </c>
      <c r="FR92" s="459">
        <f t="shared" si="309"/>
        <v>0</v>
      </c>
      <c r="FS92" s="459">
        <f t="shared" si="310"/>
        <v>0</v>
      </c>
      <c r="FT92" s="460">
        <f t="shared" si="311"/>
        <v>0</v>
      </c>
    </row>
    <row r="93" spans="2:176" s="270" customFormat="1" ht="15" customHeight="1" x14ac:dyDescent="0.25">
      <c r="B93" s="464" t="str">
        <f>'2. START'!C$7</f>
        <v>100GEM</v>
      </c>
      <c r="C93" s="470"/>
      <c r="D93" s="590"/>
      <c r="E93" s="514">
        <v>0</v>
      </c>
      <c r="F93" s="467"/>
      <c r="G93" s="432"/>
      <c r="H93" s="432"/>
      <c r="I93" s="432"/>
      <c r="J93" s="432"/>
      <c r="K93" s="432"/>
      <c r="L93" s="432"/>
      <c r="M93" s="432"/>
      <c r="N93" s="432"/>
      <c r="O93" s="432"/>
      <c r="P93" s="432"/>
      <c r="Q93" s="545">
        <f>SUMIF('3. PARTNER'!$B$13:$B$80,$B93,'3. PARTNER'!$F$13:$F$80)</f>
        <v>0.02</v>
      </c>
      <c r="R93" s="466">
        <f t="shared" si="312"/>
        <v>0.02</v>
      </c>
      <c r="S93" s="466">
        <f t="shared" si="312"/>
        <v>0.02</v>
      </c>
      <c r="T93" s="466">
        <f t="shared" si="312"/>
        <v>0.02</v>
      </c>
      <c r="U93" s="466">
        <f t="shared" si="312"/>
        <v>0.02</v>
      </c>
      <c r="V93" s="466">
        <f t="shared" si="312"/>
        <v>0.02</v>
      </c>
      <c r="W93" s="466">
        <f t="shared" si="312"/>
        <v>0.02</v>
      </c>
      <c r="X93" s="466">
        <f t="shared" si="312"/>
        <v>0.02</v>
      </c>
      <c r="Y93" s="466">
        <f t="shared" si="312"/>
        <v>0.02</v>
      </c>
      <c r="Z93" s="466">
        <f t="shared" si="312"/>
        <v>0.02</v>
      </c>
      <c r="AA93" s="434">
        <f>SUMIF('3. PARTNER'!B$13:B$80,B93,'3. PARTNER'!E$13:E$80)</f>
        <v>0.5595</v>
      </c>
      <c r="AB93" s="435">
        <f>IF('2. START'!$C$20="UTB",(SUMIF('3. PARTNER'!B$13:B$80,B93,'3. PARTNER'!K$13:K$80))+(SUMIF('3. PARTNER'!B$13:B$80,B93,'3. PARTNER'!M$13:M$80)),(SUMIF('3. PARTNER'!B$13:B$80,B93,'3. PARTNER'!G$13:G$80))+(SUMIF('3. PARTNER'!B$13:B$80,B93,'3. PARTNER'!I$13:I$80)))</f>
        <v>0.16000843770704321</v>
      </c>
      <c r="AC93" s="435">
        <f>IF('2. START'!$C$20="UTB",(SUMIF('3. PARTNER'!B$13:B$80,B93,'3. PARTNER'!L$13:L$80))+(SUMIF('3. PARTNER'!B$13:B$80,B93,'3. PARTNER'!N$13:N$80)),(SUMIF('3. PARTNER'!B$13:B$80,B93,'3. PARTNER'!H$13:H$80))+(SUMIF('3. PARTNER'!B$13:B$80,B93,'3. PARTNER'!J$13:J$80)))</f>
        <v>0</v>
      </c>
      <c r="AD93" s="435">
        <f>IF('2. START'!C$11="NO",'2. START'!C$12,0)</f>
        <v>0</v>
      </c>
      <c r="AE93" s="436">
        <f t="shared" si="278"/>
        <v>0</v>
      </c>
      <c r="AF93" s="436">
        <f t="shared" si="279"/>
        <v>0</v>
      </c>
      <c r="AG93" s="437"/>
      <c r="AH93" s="438">
        <f t="shared" si="208"/>
        <v>0</v>
      </c>
      <c r="AI93" s="438">
        <f t="shared" si="209"/>
        <v>0</v>
      </c>
      <c r="AJ93" s="438">
        <f t="shared" si="210"/>
        <v>0</v>
      </c>
      <c r="AK93" s="438">
        <f t="shared" si="211"/>
        <v>0</v>
      </c>
      <c r="AL93" s="438">
        <f t="shared" si="212"/>
        <v>0</v>
      </c>
      <c r="AM93" s="438">
        <f t="shared" si="213"/>
        <v>0</v>
      </c>
      <c r="AN93" s="438">
        <f t="shared" si="214"/>
        <v>0</v>
      </c>
      <c r="AO93" s="438">
        <f t="shared" si="215"/>
        <v>0</v>
      </c>
      <c r="AP93" s="438">
        <f t="shared" si="216"/>
        <v>0</v>
      </c>
      <c r="AQ93" s="438">
        <f t="shared" si="217"/>
        <v>0</v>
      </c>
      <c r="AR93" s="439">
        <f t="shared" si="280"/>
        <v>0</v>
      </c>
      <c r="AS93" s="440"/>
      <c r="AT93" s="438">
        <f t="shared" si="218"/>
        <v>0</v>
      </c>
      <c r="AU93" s="438">
        <f t="shared" si="219"/>
        <v>0</v>
      </c>
      <c r="AV93" s="438">
        <f t="shared" si="220"/>
        <v>0</v>
      </c>
      <c r="AW93" s="438">
        <f t="shared" si="221"/>
        <v>0</v>
      </c>
      <c r="AX93" s="438">
        <f t="shared" si="222"/>
        <v>0</v>
      </c>
      <c r="AY93" s="438">
        <f t="shared" si="223"/>
        <v>0</v>
      </c>
      <c r="AZ93" s="438">
        <f t="shared" si="224"/>
        <v>0</v>
      </c>
      <c r="BA93" s="438">
        <f t="shared" si="225"/>
        <v>0</v>
      </c>
      <c r="BB93" s="438">
        <f t="shared" si="226"/>
        <v>0</v>
      </c>
      <c r="BC93" s="438">
        <f t="shared" si="227"/>
        <v>0</v>
      </c>
      <c r="BD93" s="439">
        <f t="shared" si="281"/>
        <v>0</v>
      </c>
      <c r="BE93" s="440"/>
      <c r="BF93" s="438">
        <f t="shared" si="228"/>
        <v>0</v>
      </c>
      <c r="BG93" s="438">
        <f t="shared" si="229"/>
        <v>0</v>
      </c>
      <c r="BH93" s="438">
        <f t="shared" si="230"/>
        <v>0</v>
      </c>
      <c r="BI93" s="438">
        <f t="shared" si="231"/>
        <v>0</v>
      </c>
      <c r="BJ93" s="438">
        <f t="shared" si="232"/>
        <v>0</v>
      </c>
      <c r="BK93" s="438">
        <f t="shared" si="233"/>
        <v>0</v>
      </c>
      <c r="BL93" s="438">
        <f t="shared" si="234"/>
        <v>0</v>
      </c>
      <c r="BM93" s="438">
        <f t="shared" si="235"/>
        <v>0</v>
      </c>
      <c r="BN93" s="438">
        <f t="shared" si="236"/>
        <v>0</v>
      </c>
      <c r="BO93" s="438">
        <f t="shared" si="237"/>
        <v>0</v>
      </c>
      <c r="BP93" s="439">
        <f t="shared" si="282"/>
        <v>0</v>
      </c>
      <c r="BR93" s="442">
        <f t="shared" si="238"/>
        <v>0</v>
      </c>
      <c r="BS93" s="442">
        <f t="shared" si="239"/>
        <v>0</v>
      </c>
      <c r="BT93" s="442">
        <f t="shared" si="240"/>
        <v>0</v>
      </c>
      <c r="BU93" s="442">
        <f t="shared" si="241"/>
        <v>0</v>
      </c>
      <c r="BV93" s="442">
        <f t="shared" si="242"/>
        <v>0</v>
      </c>
      <c r="BW93" s="442">
        <f t="shared" si="243"/>
        <v>0</v>
      </c>
      <c r="BX93" s="442">
        <f t="shared" si="244"/>
        <v>0</v>
      </c>
      <c r="BY93" s="442">
        <f t="shared" si="245"/>
        <v>0</v>
      </c>
      <c r="BZ93" s="442">
        <f t="shared" si="246"/>
        <v>0</v>
      </c>
      <c r="CA93" s="442">
        <f t="shared" si="247"/>
        <v>0</v>
      </c>
      <c r="CB93" s="443">
        <f t="shared" si="283"/>
        <v>0</v>
      </c>
      <c r="CD93" s="445">
        <f t="shared" si="248"/>
        <v>0</v>
      </c>
      <c r="CE93" s="445">
        <f t="shared" si="249"/>
        <v>0</v>
      </c>
      <c r="CF93" s="445">
        <f t="shared" si="250"/>
        <v>0</v>
      </c>
      <c r="CG93" s="445">
        <f t="shared" si="251"/>
        <v>0</v>
      </c>
      <c r="CH93" s="445">
        <f t="shared" si="252"/>
        <v>0</v>
      </c>
      <c r="CI93" s="445">
        <f t="shared" si="253"/>
        <v>0</v>
      </c>
      <c r="CJ93" s="445">
        <f t="shared" si="254"/>
        <v>0</v>
      </c>
      <c r="CK93" s="445">
        <f t="shared" si="255"/>
        <v>0</v>
      </c>
      <c r="CL93" s="445">
        <f t="shared" si="256"/>
        <v>0</v>
      </c>
      <c r="CM93" s="445">
        <f t="shared" si="257"/>
        <v>0</v>
      </c>
      <c r="CN93" s="443">
        <f t="shared" si="284"/>
        <v>0</v>
      </c>
      <c r="CP93" s="442">
        <f t="shared" si="258"/>
        <v>0</v>
      </c>
      <c r="CQ93" s="442">
        <f t="shared" si="259"/>
        <v>0</v>
      </c>
      <c r="CR93" s="442">
        <f t="shared" si="260"/>
        <v>0</v>
      </c>
      <c r="CS93" s="442">
        <f t="shared" si="261"/>
        <v>0</v>
      </c>
      <c r="CT93" s="442">
        <f t="shared" si="262"/>
        <v>0</v>
      </c>
      <c r="CU93" s="442">
        <f t="shared" si="263"/>
        <v>0</v>
      </c>
      <c r="CV93" s="442">
        <f t="shared" si="264"/>
        <v>0</v>
      </c>
      <c r="CW93" s="442">
        <f t="shared" si="265"/>
        <v>0</v>
      </c>
      <c r="CX93" s="442">
        <f t="shared" si="266"/>
        <v>0</v>
      </c>
      <c r="CY93" s="442">
        <f t="shared" si="267"/>
        <v>0</v>
      </c>
      <c r="CZ93" s="443">
        <f t="shared" si="285"/>
        <v>0</v>
      </c>
      <c r="DB93" s="442">
        <f t="shared" si="268"/>
        <v>0</v>
      </c>
      <c r="DC93" s="442">
        <f t="shared" si="269"/>
        <v>0</v>
      </c>
      <c r="DD93" s="442">
        <f t="shared" si="270"/>
        <v>0</v>
      </c>
      <c r="DE93" s="442">
        <f t="shared" si="271"/>
        <v>0</v>
      </c>
      <c r="DF93" s="442">
        <f t="shared" si="272"/>
        <v>0</v>
      </c>
      <c r="DG93" s="442">
        <f t="shared" si="273"/>
        <v>0</v>
      </c>
      <c r="DH93" s="442">
        <f t="shared" si="274"/>
        <v>0</v>
      </c>
      <c r="DI93" s="442">
        <f t="shared" si="275"/>
        <v>0</v>
      </c>
      <c r="DJ93" s="442">
        <f t="shared" si="276"/>
        <v>0</v>
      </c>
      <c r="DK93" s="442">
        <f t="shared" si="277"/>
        <v>0</v>
      </c>
      <c r="DL93" s="443">
        <f t="shared" si="286"/>
        <v>0</v>
      </c>
      <c r="DN93" s="442">
        <f>IF('2. START'!$C$14&gt;0,(AT93/(1+$AA93))*(1+'2. START'!$C$14),AT93)</f>
        <v>0</v>
      </c>
      <c r="DO93" s="442">
        <f>IF('2. START'!$C$14&gt;0,(AU93/(1+$AA93))*(1+'2. START'!$C$14),AU93)</f>
        <v>0</v>
      </c>
      <c r="DP93" s="442">
        <f>IF('2. START'!$C$14&gt;0,(AV93/(1+$AA93))*(1+'2. START'!$C$14),AV93)</f>
        <v>0</v>
      </c>
      <c r="DQ93" s="442">
        <f>IF('2. START'!$C$14&gt;0,(AW93/(1+$AA93))*(1+'2. START'!$C$14),AW93)</f>
        <v>0</v>
      </c>
      <c r="DR93" s="442">
        <f>IF('2. START'!$C$14&gt;0,(AX93/(1+$AA93))*(1+'2. START'!$C$14),AX93)</f>
        <v>0</v>
      </c>
      <c r="DS93" s="442">
        <f>IF('2. START'!$C$14&gt;0,(AY93/(1+$AA93))*(1+'2. START'!$C$14),AY93)</f>
        <v>0</v>
      </c>
      <c r="DT93" s="442">
        <f>IF('2. START'!$C$14&gt;0,(AZ93/(1+$AA93))*(1+'2. START'!$C$14),AZ93)</f>
        <v>0</v>
      </c>
      <c r="DU93" s="442">
        <f>IF('2. START'!$C$14&gt;0,(BA93/(1+$AA93))*(1+'2. START'!$C$14),BA93)</f>
        <v>0</v>
      </c>
      <c r="DV93" s="442">
        <f>IF('2. START'!$C$14&gt;0,(BB93/(1+$AA93))*(1+'2. START'!$C$14),BB93)</f>
        <v>0</v>
      </c>
      <c r="DW93" s="442">
        <f>IF('2. START'!$C$14&gt;0,(BC93/(1+$AA93))*(1+'2. START'!$C$14),BC93)</f>
        <v>0</v>
      </c>
      <c r="DX93" s="443">
        <f t="shared" si="287"/>
        <v>0</v>
      </c>
      <c r="DZ93" s="442">
        <f>IF('2. START'!$C$11="NO",(IF('2. START'!$C$14&gt;0,(DN93*$AD93),(AT93*$AD93))),(BR93+CP93))</f>
        <v>0</v>
      </c>
      <c r="EA93" s="442">
        <f>IF('2. START'!$C$11="NO",(IF('2. START'!$C$14&gt;0,(DO93*$AD93),(AU93*$AD93))),(BS93+CQ93))</f>
        <v>0</v>
      </c>
      <c r="EB93" s="442">
        <f>IF('2. START'!$C$11="NO",(IF('2. START'!$C$14&gt;0,(DP93*$AD93),(AV93*$AD93))),(BT93+CR93))</f>
        <v>0</v>
      </c>
      <c r="EC93" s="442">
        <f>IF('2. START'!$C$11="NO",(IF('2. START'!$C$14&gt;0,(DQ93*$AD93),(AW93*$AD93))),(BU93+CS93))</f>
        <v>0</v>
      </c>
      <c r="ED93" s="442">
        <f>IF('2. START'!$C$11="NO",(IF('2. START'!$C$14&gt;0,(DR93*$AD93),(AX93*$AD93))),(BV93+CT93))</f>
        <v>0</v>
      </c>
      <c r="EE93" s="442">
        <f>IF('2. START'!$C$11="NO",(IF('2. START'!$C$14&gt;0,(DS93*$AD93),(AY93*$AD93))),(BW93+CU93))</f>
        <v>0</v>
      </c>
      <c r="EF93" s="442">
        <f>IF('2. START'!$C$11="NO",(IF('2. START'!$C$14&gt;0,(DT93*$AD93),(AZ93*$AD93))),(BX93+CV93))</f>
        <v>0</v>
      </c>
      <c r="EG93" s="442">
        <f>IF('2. START'!$C$11="NO",(IF('2. START'!$C$14&gt;0,(DU93*$AD93),(BA93*$AD93))),(BY93+CW93))</f>
        <v>0</v>
      </c>
      <c r="EH93" s="442">
        <f>IF('2. START'!$C$11="NO",(IF('2. START'!$C$14&gt;0,(DV93*$AD93),(BB93*$AD93))),(BZ93+CX93))</f>
        <v>0</v>
      </c>
      <c r="EI93" s="442">
        <f>IF('2. START'!$C$11="NO",(IF('2. START'!$C$14&gt;0,(DW93*$AD93),(BC93*$AD93))),(CA93+CY93))</f>
        <v>0</v>
      </c>
      <c r="EJ93" s="443">
        <f t="shared" si="288"/>
        <v>0</v>
      </c>
      <c r="EL93" s="442">
        <f>(BR93+CP93-DZ93)+IF('2. START'!$C$14&gt;0,AT93-DN93,0)</f>
        <v>0</v>
      </c>
      <c r="EM93" s="442">
        <f>(BS93+CQ93-EA93)+IF('2. START'!$C$14&gt;0,AU93-DO93,0)</f>
        <v>0</v>
      </c>
      <c r="EN93" s="442">
        <f>(BT93+CR93-EB93)+IF('2. START'!$C$14&gt;0,AV93-DP93,0)</f>
        <v>0</v>
      </c>
      <c r="EO93" s="442">
        <f>(BU93+CS93-EC93)+IF('2. START'!$C$14&gt;0,AW93-DQ93,0)</f>
        <v>0</v>
      </c>
      <c r="EP93" s="442">
        <f>(BV93+CT93-ED93)+IF('2. START'!$C$14&gt;0,AX93-DR93,0)</f>
        <v>0</v>
      </c>
      <c r="EQ93" s="442">
        <f>(BW93+CU93-EE93)+IF('2. START'!$C$14&gt;0,AY93-DS93,0)</f>
        <v>0</v>
      </c>
      <c r="ER93" s="442">
        <f>(BX93+CV93-EF93)+IF('2. START'!$C$14&gt;0,AZ93-DT93,0)</f>
        <v>0</v>
      </c>
      <c r="ES93" s="442">
        <f>(BY93+CW93-EG93)+IF('2. START'!$C$14&gt;0,BA93-DU93,0)</f>
        <v>0</v>
      </c>
      <c r="ET93" s="442">
        <f>(BZ93+CX93-EH93)+IF('2. START'!$C$14&gt;0,BB93-DV93,0)</f>
        <v>0</v>
      </c>
      <c r="EU93" s="442">
        <f>(CA93+CY93-EI93)+IF('2. START'!$C$14&gt;0,BC93-DW93,0)</f>
        <v>0</v>
      </c>
      <c r="EV93" s="443">
        <f t="shared" si="289"/>
        <v>0</v>
      </c>
      <c r="EX93" s="442">
        <f t="shared" si="290"/>
        <v>0</v>
      </c>
      <c r="EY93" s="442">
        <f t="shared" si="291"/>
        <v>0</v>
      </c>
      <c r="EZ93" s="442">
        <f t="shared" si="292"/>
        <v>0</v>
      </c>
      <c r="FA93" s="442">
        <f t="shared" si="293"/>
        <v>0</v>
      </c>
      <c r="FB93" s="442">
        <f t="shared" si="294"/>
        <v>0</v>
      </c>
      <c r="FC93" s="442">
        <f t="shared" si="295"/>
        <v>0</v>
      </c>
      <c r="FD93" s="442">
        <f t="shared" si="296"/>
        <v>0</v>
      </c>
      <c r="FE93" s="442">
        <f t="shared" si="297"/>
        <v>0</v>
      </c>
      <c r="FF93" s="442">
        <f t="shared" si="298"/>
        <v>0</v>
      </c>
      <c r="FG93" s="442">
        <f t="shared" si="299"/>
        <v>0</v>
      </c>
      <c r="FH93" s="443">
        <f t="shared" si="300"/>
        <v>0</v>
      </c>
      <c r="FJ93" s="442">
        <f t="shared" si="301"/>
        <v>0</v>
      </c>
      <c r="FK93" s="442">
        <f t="shared" si="302"/>
        <v>0</v>
      </c>
      <c r="FL93" s="442">
        <f t="shared" si="303"/>
        <v>0</v>
      </c>
      <c r="FM93" s="442">
        <f t="shared" si="304"/>
        <v>0</v>
      </c>
      <c r="FN93" s="442">
        <f t="shared" si="305"/>
        <v>0</v>
      </c>
      <c r="FO93" s="442">
        <f t="shared" si="306"/>
        <v>0</v>
      </c>
      <c r="FP93" s="442">
        <f t="shared" si="307"/>
        <v>0</v>
      </c>
      <c r="FQ93" s="442">
        <f t="shared" si="308"/>
        <v>0</v>
      </c>
      <c r="FR93" s="442">
        <f t="shared" si="309"/>
        <v>0</v>
      </c>
      <c r="FS93" s="442">
        <f t="shared" si="310"/>
        <v>0</v>
      </c>
      <c r="FT93" s="443">
        <f t="shared" si="311"/>
        <v>0</v>
      </c>
    </row>
    <row r="94" spans="2:176" s="270" customFormat="1" ht="15" customHeight="1" x14ac:dyDescent="0.25">
      <c r="B94" s="446" t="str">
        <f>'2. START'!C$7</f>
        <v>100GEM</v>
      </c>
      <c r="C94" s="469"/>
      <c r="D94" s="589"/>
      <c r="E94" s="544">
        <v>0</v>
      </c>
      <c r="F94" s="448"/>
      <c r="G94" s="449"/>
      <c r="H94" s="449"/>
      <c r="I94" s="449"/>
      <c r="J94" s="449"/>
      <c r="K94" s="449"/>
      <c r="L94" s="449"/>
      <c r="M94" s="449"/>
      <c r="N94" s="449"/>
      <c r="O94" s="449"/>
      <c r="P94" s="449"/>
      <c r="Q94" s="546">
        <f>SUMIF('3. PARTNER'!$B$13:$B$80,$B94,'3. PARTNER'!$F$13:$F$80)</f>
        <v>0.02</v>
      </c>
      <c r="R94" s="450">
        <f t="shared" si="312"/>
        <v>0.02</v>
      </c>
      <c r="S94" s="450">
        <f t="shared" si="312"/>
        <v>0.02</v>
      </c>
      <c r="T94" s="450">
        <f t="shared" si="312"/>
        <v>0.02</v>
      </c>
      <c r="U94" s="450">
        <f t="shared" si="312"/>
        <v>0.02</v>
      </c>
      <c r="V94" s="450">
        <f t="shared" si="312"/>
        <v>0.02</v>
      </c>
      <c r="W94" s="450">
        <f t="shared" si="312"/>
        <v>0.02</v>
      </c>
      <c r="X94" s="450">
        <f t="shared" si="312"/>
        <v>0.02</v>
      </c>
      <c r="Y94" s="450">
        <f t="shared" si="312"/>
        <v>0.02</v>
      </c>
      <c r="Z94" s="450">
        <f t="shared" si="312"/>
        <v>0.02</v>
      </c>
      <c r="AA94" s="451">
        <f>SUMIF('3. PARTNER'!B$13:B$80,B94,'3. PARTNER'!E$13:E$80)</f>
        <v>0.5595</v>
      </c>
      <c r="AB94" s="452">
        <f>IF('2. START'!$C$20="UTB",(SUMIF('3. PARTNER'!B$13:B$80,B94,'3. PARTNER'!K$13:K$80))+(SUMIF('3. PARTNER'!B$13:B$80,B94,'3. PARTNER'!M$13:M$80)),(SUMIF('3. PARTNER'!B$13:B$80,B94,'3. PARTNER'!G$13:G$80))+(SUMIF('3. PARTNER'!B$13:B$80,B94,'3. PARTNER'!I$13:I$80)))</f>
        <v>0.16000843770704321</v>
      </c>
      <c r="AC94" s="452">
        <f>IF('2. START'!$C$20="UTB",(SUMIF('3. PARTNER'!B$13:B$80,B94,'3. PARTNER'!L$13:L$80))+(SUMIF('3. PARTNER'!B$13:B$80,B94,'3. PARTNER'!N$13:N$80)),(SUMIF('3. PARTNER'!B$13:B$80,B94,'3. PARTNER'!H$13:H$80))+(SUMIF('3. PARTNER'!B$13:B$80,B94,'3. PARTNER'!J$13:J$80)))</f>
        <v>0</v>
      </c>
      <c r="AD94" s="452">
        <f>IF('2. START'!C$11="NO",'2. START'!C$12,0)</f>
        <v>0</v>
      </c>
      <c r="AE94" s="453">
        <f t="shared" si="278"/>
        <v>0</v>
      </c>
      <c r="AF94" s="453">
        <f t="shared" si="279"/>
        <v>0</v>
      </c>
      <c r="AG94" s="454"/>
      <c r="AH94" s="455">
        <f t="shared" si="208"/>
        <v>0</v>
      </c>
      <c r="AI94" s="455">
        <f t="shared" si="209"/>
        <v>0</v>
      </c>
      <c r="AJ94" s="455">
        <f t="shared" si="210"/>
        <v>0</v>
      </c>
      <c r="AK94" s="455">
        <f t="shared" si="211"/>
        <v>0</v>
      </c>
      <c r="AL94" s="455">
        <f t="shared" si="212"/>
        <v>0</v>
      </c>
      <c r="AM94" s="455">
        <f t="shared" si="213"/>
        <v>0</v>
      </c>
      <c r="AN94" s="455">
        <f t="shared" si="214"/>
        <v>0</v>
      </c>
      <c r="AO94" s="455">
        <f t="shared" si="215"/>
        <v>0</v>
      </c>
      <c r="AP94" s="455">
        <f t="shared" si="216"/>
        <v>0</v>
      </c>
      <c r="AQ94" s="455">
        <f t="shared" si="217"/>
        <v>0</v>
      </c>
      <c r="AR94" s="456">
        <f t="shared" si="280"/>
        <v>0</v>
      </c>
      <c r="AS94" s="457"/>
      <c r="AT94" s="455">
        <f t="shared" si="218"/>
        <v>0</v>
      </c>
      <c r="AU94" s="455">
        <f t="shared" si="219"/>
        <v>0</v>
      </c>
      <c r="AV94" s="455">
        <f t="shared" si="220"/>
        <v>0</v>
      </c>
      <c r="AW94" s="455">
        <f t="shared" si="221"/>
        <v>0</v>
      </c>
      <c r="AX94" s="455">
        <f t="shared" si="222"/>
        <v>0</v>
      </c>
      <c r="AY94" s="455">
        <f t="shared" si="223"/>
        <v>0</v>
      </c>
      <c r="AZ94" s="455">
        <f t="shared" si="224"/>
        <v>0</v>
      </c>
      <c r="BA94" s="455">
        <f t="shared" si="225"/>
        <v>0</v>
      </c>
      <c r="BB94" s="455">
        <f t="shared" si="226"/>
        <v>0</v>
      </c>
      <c r="BC94" s="455">
        <f t="shared" si="227"/>
        <v>0</v>
      </c>
      <c r="BD94" s="456">
        <f t="shared" si="281"/>
        <v>0</v>
      </c>
      <c r="BE94" s="457"/>
      <c r="BF94" s="455">
        <f t="shared" si="228"/>
        <v>0</v>
      </c>
      <c r="BG94" s="455">
        <f t="shared" si="229"/>
        <v>0</v>
      </c>
      <c r="BH94" s="455">
        <f t="shared" si="230"/>
        <v>0</v>
      </c>
      <c r="BI94" s="455">
        <f t="shared" si="231"/>
        <v>0</v>
      </c>
      <c r="BJ94" s="455">
        <f t="shared" si="232"/>
        <v>0</v>
      </c>
      <c r="BK94" s="455">
        <f t="shared" si="233"/>
        <v>0</v>
      </c>
      <c r="BL94" s="455">
        <f t="shared" si="234"/>
        <v>0</v>
      </c>
      <c r="BM94" s="455">
        <f t="shared" si="235"/>
        <v>0</v>
      </c>
      <c r="BN94" s="455">
        <f t="shared" si="236"/>
        <v>0</v>
      </c>
      <c r="BO94" s="455">
        <f t="shared" si="237"/>
        <v>0</v>
      </c>
      <c r="BP94" s="456">
        <f t="shared" si="282"/>
        <v>0</v>
      </c>
      <c r="BQ94" s="463"/>
      <c r="BR94" s="459">
        <f t="shared" si="238"/>
        <v>0</v>
      </c>
      <c r="BS94" s="459">
        <f t="shared" si="239"/>
        <v>0</v>
      </c>
      <c r="BT94" s="459">
        <f t="shared" si="240"/>
        <v>0</v>
      </c>
      <c r="BU94" s="459">
        <f t="shared" si="241"/>
        <v>0</v>
      </c>
      <c r="BV94" s="459">
        <f t="shared" si="242"/>
        <v>0</v>
      </c>
      <c r="BW94" s="459">
        <f t="shared" si="243"/>
        <v>0</v>
      </c>
      <c r="BX94" s="459">
        <f t="shared" si="244"/>
        <v>0</v>
      </c>
      <c r="BY94" s="459">
        <f t="shared" si="245"/>
        <v>0</v>
      </c>
      <c r="BZ94" s="459">
        <f t="shared" si="246"/>
        <v>0</v>
      </c>
      <c r="CA94" s="459">
        <f t="shared" si="247"/>
        <v>0</v>
      </c>
      <c r="CB94" s="460">
        <f t="shared" si="283"/>
        <v>0</v>
      </c>
      <c r="CC94" s="463"/>
      <c r="CD94" s="462">
        <f t="shared" si="248"/>
        <v>0</v>
      </c>
      <c r="CE94" s="462">
        <f t="shared" si="249"/>
        <v>0</v>
      </c>
      <c r="CF94" s="462">
        <f t="shared" si="250"/>
        <v>0</v>
      </c>
      <c r="CG94" s="462">
        <f t="shared" si="251"/>
        <v>0</v>
      </c>
      <c r="CH94" s="462">
        <f t="shared" si="252"/>
        <v>0</v>
      </c>
      <c r="CI94" s="462">
        <f t="shared" si="253"/>
        <v>0</v>
      </c>
      <c r="CJ94" s="462">
        <f t="shared" si="254"/>
        <v>0</v>
      </c>
      <c r="CK94" s="462">
        <f t="shared" si="255"/>
        <v>0</v>
      </c>
      <c r="CL94" s="462">
        <f t="shared" si="256"/>
        <v>0</v>
      </c>
      <c r="CM94" s="462">
        <f t="shared" si="257"/>
        <v>0</v>
      </c>
      <c r="CN94" s="460">
        <f t="shared" si="284"/>
        <v>0</v>
      </c>
      <c r="CO94" s="463"/>
      <c r="CP94" s="459">
        <f t="shared" si="258"/>
        <v>0</v>
      </c>
      <c r="CQ94" s="459">
        <f t="shared" si="259"/>
        <v>0</v>
      </c>
      <c r="CR94" s="459">
        <f t="shared" si="260"/>
        <v>0</v>
      </c>
      <c r="CS94" s="459">
        <f t="shared" si="261"/>
        <v>0</v>
      </c>
      <c r="CT94" s="459">
        <f t="shared" si="262"/>
        <v>0</v>
      </c>
      <c r="CU94" s="459">
        <f t="shared" si="263"/>
        <v>0</v>
      </c>
      <c r="CV94" s="459">
        <f t="shared" si="264"/>
        <v>0</v>
      </c>
      <c r="CW94" s="459">
        <f t="shared" si="265"/>
        <v>0</v>
      </c>
      <c r="CX94" s="459">
        <f t="shared" si="266"/>
        <v>0</v>
      </c>
      <c r="CY94" s="459">
        <f t="shared" si="267"/>
        <v>0</v>
      </c>
      <c r="CZ94" s="460">
        <f t="shared" si="285"/>
        <v>0</v>
      </c>
      <c r="DA94" s="463"/>
      <c r="DB94" s="459">
        <f t="shared" si="268"/>
        <v>0</v>
      </c>
      <c r="DC94" s="459">
        <f t="shared" si="269"/>
        <v>0</v>
      </c>
      <c r="DD94" s="459">
        <f t="shared" si="270"/>
        <v>0</v>
      </c>
      <c r="DE94" s="459">
        <f t="shared" si="271"/>
        <v>0</v>
      </c>
      <c r="DF94" s="459">
        <f t="shared" si="272"/>
        <v>0</v>
      </c>
      <c r="DG94" s="459">
        <f t="shared" si="273"/>
        <v>0</v>
      </c>
      <c r="DH94" s="459">
        <f t="shared" si="274"/>
        <v>0</v>
      </c>
      <c r="DI94" s="459">
        <f t="shared" si="275"/>
        <v>0</v>
      </c>
      <c r="DJ94" s="459">
        <f t="shared" si="276"/>
        <v>0</v>
      </c>
      <c r="DK94" s="459">
        <f t="shared" si="277"/>
        <v>0</v>
      </c>
      <c r="DL94" s="460">
        <f t="shared" si="286"/>
        <v>0</v>
      </c>
      <c r="DM94" s="463"/>
      <c r="DN94" s="442">
        <f>IF('2. START'!$C$14&gt;0,(AT94/(1+$AA94))*(1+'2. START'!$C$14),AT94)</f>
        <v>0</v>
      </c>
      <c r="DO94" s="442">
        <f>IF('2. START'!$C$14&gt;0,(AU94/(1+$AA94))*(1+'2. START'!$C$14),AU94)</f>
        <v>0</v>
      </c>
      <c r="DP94" s="442">
        <f>IF('2. START'!$C$14&gt;0,(AV94/(1+$AA94))*(1+'2. START'!$C$14),AV94)</f>
        <v>0</v>
      </c>
      <c r="DQ94" s="442">
        <f>IF('2. START'!$C$14&gt;0,(AW94/(1+$AA94))*(1+'2. START'!$C$14),AW94)</f>
        <v>0</v>
      </c>
      <c r="DR94" s="442">
        <f>IF('2. START'!$C$14&gt;0,(AX94/(1+$AA94))*(1+'2. START'!$C$14),AX94)</f>
        <v>0</v>
      </c>
      <c r="DS94" s="442">
        <f>IF('2. START'!$C$14&gt;0,(AY94/(1+$AA94))*(1+'2. START'!$C$14),AY94)</f>
        <v>0</v>
      </c>
      <c r="DT94" s="442">
        <f>IF('2. START'!$C$14&gt;0,(AZ94/(1+$AA94))*(1+'2. START'!$C$14),AZ94)</f>
        <v>0</v>
      </c>
      <c r="DU94" s="442">
        <f>IF('2. START'!$C$14&gt;0,(BA94/(1+$AA94))*(1+'2. START'!$C$14),BA94)</f>
        <v>0</v>
      </c>
      <c r="DV94" s="442">
        <f>IF('2. START'!$C$14&gt;0,(BB94/(1+$AA94))*(1+'2. START'!$C$14),BB94)</f>
        <v>0</v>
      </c>
      <c r="DW94" s="442">
        <f>IF('2. START'!$C$14&gt;0,(BC94/(1+$AA94))*(1+'2. START'!$C$14),BC94)</f>
        <v>0</v>
      </c>
      <c r="DX94" s="460">
        <f t="shared" si="287"/>
        <v>0</v>
      </c>
      <c r="DY94" s="463"/>
      <c r="DZ94" s="459">
        <f>IF('2. START'!$C$11="NO",(IF('2. START'!$C$14&gt;0,(DN94*$AD94),(AT94*$AD94))),(BR94+CP94))</f>
        <v>0</v>
      </c>
      <c r="EA94" s="459">
        <f>IF('2. START'!$C$11="NO",(IF('2. START'!$C$14&gt;0,(DO94*$AD94),(AU94*$AD94))),(BS94+CQ94))</f>
        <v>0</v>
      </c>
      <c r="EB94" s="459">
        <f>IF('2. START'!$C$11="NO",(IF('2. START'!$C$14&gt;0,(DP94*$AD94),(AV94*$AD94))),(BT94+CR94))</f>
        <v>0</v>
      </c>
      <c r="EC94" s="459">
        <f>IF('2. START'!$C$11="NO",(IF('2. START'!$C$14&gt;0,(DQ94*$AD94),(AW94*$AD94))),(BU94+CS94))</f>
        <v>0</v>
      </c>
      <c r="ED94" s="459">
        <f>IF('2. START'!$C$11="NO",(IF('2. START'!$C$14&gt;0,(DR94*$AD94),(AX94*$AD94))),(BV94+CT94))</f>
        <v>0</v>
      </c>
      <c r="EE94" s="459">
        <f>IF('2. START'!$C$11="NO",(IF('2. START'!$C$14&gt;0,(DS94*$AD94),(AY94*$AD94))),(BW94+CU94))</f>
        <v>0</v>
      </c>
      <c r="EF94" s="459">
        <f>IF('2. START'!$C$11="NO",(IF('2. START'!$C$14&gt;0,(DT94*$AD94),(AZ94*$AD94))),(BX94+CV94))</f>
        <v>0</v>
      </c>
      <c r="EG94" s="459">
        <f>IF('2. START'!$C$11="NO",(IF('2. START'!$C$14&gt;0,(DU94*$AD94),(BA94*$AD94))),(BY94+CW94))</f>
        <v>0</v>
      </c>
      <c r="EH94" s="459">
        <f>IF('2. START'!$C$11="NO",(IF('2. START'!$C$14&gt;0,(DV94*$AD94),(BB94*$AD94))),(BZ94+CX94))</f>
        <v>0</v>
      </c>
      <c r="EI94" s="459">
        <f>IF('2. START'!$C$11="NO",(IF('2. START'!$C$14&gt;0,(DW94*$AD94),(BC94*$AD94))),(CA94+CY94))</f>
        <v>0</v>
      </c>
      <c r="EJ94" s="460">
        <f t="shared" si="288"/>
        <v>0</v>
      </c>
      <c r="EK94" s="463"/>
      <c r="EL94" s="459">
        <f>(BR94+CP94-DZ94)+IF('2. START'!$C$14&gt;0,AT94-DN94,0)</f>
        <v>0</v>
      </c>
      <c r="EM94" s="459">
        <f>(BS94+CQ94-EA94)+IF('2. START'!$C$14&gt;0,AU94-DO94,0)</f>
        <v>0</v>
      </c>
      <c r="EN94" s="459">
        <f>(BT94+CR94-EB94)+IF('2. START'!$C$14&gt;0,AV94-DP94,0)</f>
        <v>0</v>
      </c>
      <c r="EO94" s="459">
        <f>(BU94+CS94-EC94)+IF('2. START'!$C$14&gt;0,AW94-DQ94,0)</f>
        <v>0</v>
      </c>
      <c r="EP94" s="459">
        <f>(BV94+CT94-ED94)+IF('2. START'!$C$14&gt;0,AX94-DR94,0)</f>
        <v>0</v>
      </c>
      <c r="EQ94" s="459">
        <f>(BW94+CU94-EE94)+IF('2. START'!$C$14&gt;0,AY94-DS94,0)</f>
        <v>0</v>
      </c>
      <c r="ER94" s="459">
        <f>(BX94+CV94-EF94)+IF('2. START'!$C$14&gt;0,AZ94-DT94,0)</f>
        <v>0</v>
      </c>
      <c r="ES94" s="459">
        <f>(BY94+CW94-EG94)+IF('2. START'!$C$14&gt;0,BA94-DU94,0)</f>
        <v>0</v>
      </c>
      <c r="ET94" s="459">
        <f>(BZ94+CX94-EH94)+IF('2. START'!$C$14&gt;0,BB94-DV94,0)</f>
        <v>0</v>
      </c>
      <c r="EU94" s="459">
        <f>(CA94+CY94-EI94)+IF('2. START'!$C$14&gt;0,BC94-DW94,0)</f>
        <v>0</v>
      </c>
      <c r="EV94" s="460">
        <f t="shared" si="289"/>
        <v>0</v>
      </c>
      <c r="EW94" s="463"/>
      <c r="EX94" s="459">
        <f t="shared" si="290"/>
        <v>0</v>
      </c>
      <c r="EY94" s="459">
        <f t="shared" si="291"/>
        <v>0</v>
      </c>
      <c r="EZ94" s="459">
        <f t="shared" si="292"/>
        <v>0</v>
      </c>
      <c r="FA94" s="459">
        <f t="shared" si="293"/>
        <v>0</v>
      </c>
      <c r="FB94" s="459">
        <f t="shared" si="294"/>
        <v>0</v>
      </c>
      <c r="FC94" s="459">
        <f t="shared" si="295"/>
        <v>0</v>
      </c>
      <c r="FD94" s="459">
        <f t="shared" si="296"/>
        <v>0</v>
      </c>
      <c r="FE94" s="459">
        <f t="shared" si="297"/>
        <v>0</v>
      </c>
      <c r="FF94" s="459">
        <f t="shared" si="298"/>
        <v>0</v>
      </c>
      <c r="FG94" s="459">
        <f t="shared" si="299"/>
        <v>0</v>
      </c>
      <c r="FH94" s="460">
        <f t="shared" si="300"/>
        <v>0</v>
      </c>
      <c r="FI94" s="463"/>
      <c r="FJ94" s="459">
        <f t="shared" si="301"/>
        <v>0</v>
      </c>
      <c r="FK94" s="459">
        <f t="shared" si="302"/>
        <v>0</v>
      </c>
      <c r="FL94" s="459">
        <f t="shared" si="303"/>
        <v>0</v>
      </c>
      <c r="FM94" s="459">
        <f t="shared" si="304"/>
        <v>0</v>
      </c>
      <c r="FN94" s="459">
        <f t="shared" si="305"/>
        <v>0</v>
      </c>
      <c r="FO94" s="459">
        <f t="shared" si="306"/>
        <v>0</v>
      </c>
      <c r="FP94" s="459">
        <f t="shared" si="307"/>
        <v>0</v>
      </c>
      <c r="FQ94" s="459">
        <f t="shared" si="308"/>
        <v>0</v>
      </c>
      <c r="FR94" s="459">
        <f t="shared" si="309"/>
        <v>0</v>
      </c>
      <c r="FS94" s="459">
        <f t="shared" si="310"/>
        <v>0</v>
      </c>
      <c r="FT94" s="460">
        <f t="shared" si="311"/>
        <v>0</v>
      </c>
    </row>
    <row r="95" spans="2:176" s="270" customFormat="1" ht="15" customHeight="1" x14ac:dyDescent="0.25">
      <c r="B95" s="464" t="str">
        <f>'2. START'!C$7</f>
        <v>100GEM</v>
      </c>
      <c r="C95" s="470"/>
      <c r="D95" s="590"/>
      <c r="E95" s="514">
        <v>0</v>
      </c>
      <c r="F95" s="467"/>
      <c r="G95" s="432"/>
      <c r="H95" s="432"/>
      <c r="I95" s="432"/>
      <c r="J95" s="432"/>
      <c r="K95" s="432"/>
      <c r="L95" s="432"/>
      <c r="M95" s="432"/>
      <c r="N95" s="432"/>
      <c r="O95" s="432"/>
      <c r="P95" s="432"/>
      <c r="Q95" s="545">
        <f>SUMIF('3. PARTNER'!$B$13:$B$80,$B95,'3. PARTNER'!$F$13:$F$80)</f>
        <v>0.02</v>
      </c>
      <c r="R95" s="466">
        <f t="shared" si="312"/>
        <v>0.02</v>
      </c>
      <c r="S95" s="466">
        <f t="shared" si="312"/>
        <v>0.02</v>
      </c>
      <c r="T95" s="466">
        <f t="shared" si="312"/>
        <v>0.02</v>
      </c>
      <c r="U95" s="466">
        <f t="shared" si="312"/>
        <v>0.02</v>
      </c>
      <c r="V95" s="466">
        <f t="shared" si="312"/>
        <v>0.02</v>
      </c>
      <c r="W95" s="466">
        <f t="shared" si="312"/>
        <v>0.02</v>
      </c>
      <c r="X95" s="466">
        <f t="shared" si="312"/>
        <v>0.02</v>
      </c>
      <c r="Y95" s="466">
        <f t="shared" si="312"/>
        <v>0.02</v>
      </c>
      <c r="Z95" s="466">
        <f t="shared" si="312"/>
        <v>0.02</v>
      </c>
      <c r="AA95" s="434">
        <f>SUMIF('3. PARTNER'!B$13:B$80,B95,'3. PARTNER'!E$13:E$80)</f>
        <v>0.5595</v>
      </c>
      <c r="AB95" s="435">
        <f>IF('2. START'!$C$20="UTB",(SUMIF('3. PARTNER'!B$13:B$80,B95,'3. PARTNER'!K$13:K$80))+(SUMIF('3. PARTNER'!B$13:B$80,B95,'3. PARTNER'!M$13:M$80)),(SUMIF('3. PARTNER'!B$13:B$80,B95,'3. PARTNER'!G$13:G$80))+(SUMIF('3. PARTNER'!B$13:B$80,B95,'3. PARTNER'!I$13:I$80)))</f>
        <v>0.16000843770704321</v>
      </c>
      <c r="AC95" s="435">
        <f>IF('2. START'!$C$20="UTB",(SUMIF('3. PARTNER'!B$13:B$80,B95,'3. PARTNER'!L$13:L$80))+(SUMIF('3. PARTNER'!B$13:B$80,B95,'3. PARTNER'!N$13:N$80)),(SUMIF('3. PARTNER'!B$13:B$80,B95,'3. PARTNER'!H$13:H$80))+(SUMIF('3. PARTNER'!B$13:B$80,B95,'3. PARTNER'!J$13:J$80)))</f>
        <v>0</v>
      </c>
      <c r="AD95" s="435">
        <f>IF('2. START'!C$11="NO",'2. START'!C$12,0)</f>
        <v>0</v>
      </c>
      <c r="AE95" s="436">
        <f t="shared" si="278"/>
        <v>0</v>
      </c>
      <c r="AF95" s="436">
        <f t="shared" si="279"/>
        <v>0</v>
      </c>
      <c r="AG95" s="437"/>
      <c r="AH95" s="438">
        <f t="shared" si="208"/>
        <v>0</v>
      </c>
      <c r="AI95" s="438">
        <f t="shared" si="209"/>
        <v>0</v>
      </c>
      <c r="AJ95" s="438">
        <f t="shared" si="210"/>
        <v>0</v>
      </c>
      <c r="AK95" s="438">
        <f t="shared" si="211"/>
        <v>0</v>
      </c>
      <c r="AL95" s="438">
        <f t="shared" si="212"/>
        <v>0</v>
      </c>
      <c r="AM95" s="438">
        <f t="shared" si="213"/>
        <v>0</v>
      </c>
      <c r="AN95" s="438">
        <f t="shared" si="214"/>
        <v>0</v>
      </c>
      <c r="AO95" s="438">
        <f t="shared" si="215"/>
        <v>0</v>
      </c>
      <c r="AP95" s="438">
        <f t="shared" si="216"/>
        <v>0</v>
      </c>
      <c r="AQ95" s="438">
        <f t="shared" si="217"/>
        <v>0</v>
      </c>
      <c r="AR95" s="439">
        <f t="shared" si="280"/>
        <v>0</v>
      </c>
      <c r="AS95" s="440"/>
      <c r="AT95" s="438">
        <f t="shared" si="218"/>
        <v>0</v>
      </c>
      <c r="AU95" s="438">
        <f t="shared" si="219"/>
        <v>0</v>
      </c>
      <c r="AV95" s="438">
        <f t="shared" si="220"/>
        <v>0</v>
      </c>
      <c r="AW95" s="438">
        <f t="shared" si="221"/>
        <v>0</v>
      </c>
      <c r="AX95" s="438">
        <f t="shared" si="222"/>
        <v>0</v>
      </c>
      <c r="AY95" s="438">
        <f t="shared" si="223"/>
        <v>0</v>
      </c>
      <c r="AZ95" s="438">
        <f t="shared" si="224"/>
        <v>0</v>
      </c>
      <c r="BA95" s="438">
        <f t="shared" si="225"/>
        <v>0</v>
      </c>
      <c r="BB95" s="438">
        <f t="shared" si="226"/>
        <v>0</v>
      </c>
      <c r="BC95" s="438">
        <f t="shared" si="227"/>
        <v>0</v>
      </c>
      <c r="BD95" s="439">
        <f t="shared" si="281"/>
        <v>0</v>
      </c>
      <c r="BE95" s="440"/>
      <c r="BF95" s="438">
        <f t="shared" si="228"/>
        <v>0</v>
      </c>
      <c r="BG95" s="438">
        <f t="shared" si="229"/>
        <v>0</v>
      </c>
      <c r="BH95" s="438">
        <f t="shared" si="230"/>
        <v>0</v>
      </c>
      <c r="BI95" s="438">
        <f t="shared" si="231"/>
        <v>0</v>
      </c>
      <c r="BJ95" s="438">
        <f t="shared" si="232"/>
        <v>0</v>
      </c>
      <c r="BK95" s="438">
        <f t="shared" si="233"/>
        <v>0</v>
      </c>
      <c r="BL95" s="438">
        <f t="shared" si="234"/>
        <v>0</v>
      </c>
      <c r="BM95" s="438">
        <f t="shared" si="235"/>
        <v>0</v>
      </c>
      <c r="BN95" s="438">
        <f t="shared" si="236"/>
        <v>0</v>
      </c>
      <c r="BO95" s="438">
        <f t="shared" si="237"/>
        <v>0</v>
      </c>
      <c r="BP95" s="439">
        <f t="shared" si="282"/>
        <v>0</v>
      </c>
      <c r="BR95" s="442">
        <f t="shared" si="238"/>
        <v>0</v>
      </c>
      <c r="BS95" s="442">
        <f t="shared" si="239"/>
        <v>0</v>
      </c>
      <c r="BT95" s="442">
        <f t="shared" si="240"/>
        <v>0</v>
      </c>
      <c r="BU95" s="442">
        <f t="shared" si="241"/>
        <v>0</v>
      </c>
      <c r="BV95" s="442">
        <f t="shared" si="242"/>
        <v>0</v>
      </c>
      <c r="BW95" s="442">
        <f t="shared" si="243"/>
        <v>0</v>
      </c>
      <c r="BX95" s="442">
        <f t="shared" si="244"/>
        <v>0</v>
      </c>
      <c r="BY95" s="442">
        <f t="shared" si="245"/>
        <v>0</v>
      </c>
      <c r="BZ95" s="442">
        <f t="shared" si="246"/>
        <v>0</v>
      </c>
      <c r="CA95" s="442">
        <f t="shared" si="247"/>
        <v>0</v>
      </c>
      <c r="CB95" s="443">
        <f t="shared" si="283"/>
        <v>0</v>
      </c>
      <c r="CD95" s="445">
        <f t="shared" si="248"/>
        <v>0</v>
      </c>
      <c r="CE95" s="445">
        <f t="shared" si="249"/>
        <v>0</v>
      </c>
      <c r="CF95" s="445">
        <f t="shared" si="250"/>
        <v>0</v>
      </c>
      <c r="CG95" s="445">
        <f t="shared" si="251"/>
        <v>0</v>
      </c>
      <c r="CH95" s="445">
        <f t="shared" si="252"/>
        <v>0</v>
      </c>
      <c r="CI95" s="445">
        <f t="shared" si="253"/>
        <v>0</v>
      </c>
      <c r="CJ95" s="445">
        <f t="shared" si="254"/>
        <v>0</v>
      </c>
      <c r="CK95" s="445">
        <f t="shared" si="255"/>
        <v>0</v>
      </c>
      <c r="CL95" s="445">
        <f t="shared" si="256"/>
        <v>0</v>
      </c>
      <c r="CM95" s="445">
        <f t="shared" si="257"/>
        <v>0</v>
      </c>
      <c r="CN95" s="443">
        <f t="shared" si="284"/>
        <v>0</v>
      </c>
      <c r="CP95" s="442">
        <f t="shared" si="258"/>
        <v>0</v>
      </c>
      <c r="CQ95" s="442">
        <f t="shared" si="259"/>
        <v>0</v>
      </c>
      <c r="CR95" s="442">
        <f t="shared" si="260"/>
        <v>0</v>
      </c>
      <c r="CS95" s="442">
        <f t="shared" si="261"/>
        <v>0</v>
      </c>
      <c r="CT95" s="442">
        <f t="shared" si="262"/>
        <v>0</v>
      </c>
      <c r="CU95" s="442">
        <f t="shared" si="263"/>
        <v>0</v>
      </c>
      <c r="CV95" s="442">
        <f t="shared" si="264"/>
        <v>0</v>
      </c>
      <c r="CW95" s="442">
        <f t="shared" si="265"/>
        <v>0</v>
      </c>
      <c r="CX95" s="442">
        <f t="shared" si="266"/>
        <v>0</v>
      </c>
      <c r="CY95" s="442">
        <f t="shared" si="267"/>
        <v>0</v>
      </c>
      <c r="CZ95" s="443">
        <f t="shared" si="285"/>
        <v>0</v>
      </c>
      <c r="DB95" s="442">
        <f t="shared" si="268"/>
        <v>0</v>
      </c>
      <c r="DC95" s="442">
        <f t="shared" si="269"/>
        <v>0</v>
      </c>
      <c r="DD95" s="442">
        <f t="shared" si="270"/>
        <v>0</v>
      </c>
      <c r="DE95" s="442">
        <f t="shared" si="271"/>
        <v>0</v>
      </c>
      <c r="DF95" s="442">
        <f t="shared" si="272"/>
        <v>0</v>
      </c>
      <c r="DG95" s="442">
        <f t="shared" si="273"/>
        <v>0</v>
      </c>
      <c r="DH95" s="442">
        <f t="shared" si="274"/>
        <v>0</v>
      </c>
      <c r="DI95" s="442">
        <f t="shared" si="275"/>
        <v>0</v>
      </c>
      <c r="DJ95" s="442">
        <f t="shared" si="276"/>
        <v>0</v>
      </c>
      <c r="DK95" s="442">
        <f t="shared" si="277"/>
        <v>0</v>
      </c>
      <c r="DL95" s="443">
        <f t="shared" si="286"/>
        <v>0</v>
      </c>
      <c r="DN95" s="442">
        <f>IF('2. START'!$C$14&gt;0,(AT95/(1+$AA95))*(1+'2. START'!$C$14),AT95)</f>
        <v>0</v>
      </c>
      <c r="DO95" s="442">
        <f>IF('2. START'!$C$14&gt;0,(AU95/(1+$AA95))*(1+'2. START'!$C$14),AU95)</f>
        <v>0</v>
      </c>
      <c r="DP95" s="442">
        <f>IF('2. START'!$C$14&gt;0,(AV95/(1+$AA95))*(1+'2. START'!$C$14),AV95)</f>
        <v>0</v>
      </c>
      <c r="DQ95" s="442">
        <f>IF('2. START'!$C$14&gt;0,(AW95/(1+$AA95))*(1+'2. START'!$C$14),AW95)</f>
        <v>0</v>
      </c>
      <c r="DR95" s="442">
        <f>IF('2. START'!$C$14&gt;0,(AX95/(1+$AA95))*(1+'2. START'!$C$14),AX95)</f>
        <v>0</v>
      </c>
      <c r="DS95" s="442">
        <f>IF('2. START'!$C$14&gt;0,(AY95/(1+$AA95))*(1+'2. START'!$C$14),AY95)</f>
        <v>0</v>
      </c>
      <c r="DT95" s="442">
        <f>IF('2. START'!$C$14&gt;0,(AZ95/(1+$AA95))*(1+'2. START'!$C$14),AZ95)</f>
        <v>0</v>
      </c>
      <c r="DU95" s="442">
        <f>IF('2. START'!$C$14&gt;0,(BA95/(1+$AA95))*(1+'2. START'!$C$14),BA95)</f>
        <v>0</v>
      </c>
      <c r="DV95" s="442">
        <f>IF('2. START'!$C$14&gt;0,(BB95/(1+$AA95))*(1+'2. START'!$C$14),BB95)</f>
        <v>0</v>
      </c>
      <c r="DW95" s="442">
        <f>IF('2. START'!$C$14&gt;0,(BC95/(1+$AA95))*(1+'2. START'!$C$14),BC95)</f>
        <v>0</v>
      </c>
      <c r="DX95" s="443">
        <f t="shared" si="287"/>
        <v>0</v>
      </c>
      <c r="DZ95" s="442">
        <f>IF('2. START'!$C$11="NO",(IF('2. START'!$C$14&gt;0,(DN95*$AD95),(AT95*$AD95))),(BR95+CP95))</f>
        <v>0</v>
      </c>
      <c r="EA95" s="442">
        <f>IF('2. START'!$C$11="NO",(IF('2. START'!$C$14&gt;0,(DO95*$AD95),(AU95*$AD95))),(BS95+CQ95))</f>
        <v>0</v>
      </c>
      <c r="EB95" s="442">
        <f>IF('2. START'!$C$11="NO",(IF('2. START'!$C$14&gt;0,(DP95*$AD95),(AV95*$AD95))),(BT95+CR95))</f>
        <v>0</v>
      </c>
      <c r="EC95" s="442">
        <f>IF('2. START'!$C$11="NO",(IF('2. START'!$C$14&gt;0,(DQ95*$AD95),(AW95*$AD95))),(BU95+CS95))</f>
        <v>0</v>
      </c>
      <c r="ED95" s="442">
        <f>IF('2. START'!$C$11="NO",(IF('2. START'!$C$14&gt;0,(DR95*$AD95),(AX95*$AD95))),(BV95+CT95))</f>
        <v>0</v>
      </c>
      <c r="EE95" s="442">
        <f>IF('2. START'!$C$11="NO",(IF('2. START'!$C$14&gt;0,(DS95*$AD95),(AY95*$AD95))),(BW95+CU95))</f>
        <v>0</v>
      </c>
      <c r="EF95" s="442">
        <f>IF('2. START'!$C$11="NO",(IF('2. START'!$C$14&gt;0,(DT95*$AD95),(AZ95*$AD95))),(BX95+CV95))</f>
        <v>0</v>
      </c>
      <c r="EG95" s="442">
        <f>IF('2. START'!$C$11="NO",(IF('2. START'!$C$14&gt;0,(DU95*$AD95),(BA95*$AD95))),(BY95+CW95))</f>
        <v>0</v>
      </c>
      <c r="EH95" s="442">
        <f>IF('2. START'!$C$11="NO",(IF('2. START'!$C$14&gt;0,(DV95*$AD95),(BB95*$AD95))),(BZ95+CX95))</f>
        <v>0</v>
      </c>
      <c r="EI95" s="442">
        <f>IF('2. START'!$C$11="NO",(IF('2. START'!$C$14&gt;0,(DW95*$AD95),(BC95*$AD95))),(CA95+CY95))</f>
        <v>0</v>
      </c>
      <c r="EJ95" s="443">
        <f t="shared" si="288"/>
        <v>0</v>
      </c>
      <c r="EL95" s="442">
        <f>(BR95+CP95-DZ95)+IF('2. START'!$C$14&gt;0,AT95-DN95,0)</f>
        <v>0</v>
      </c>
      <c r="EM95" s="442">
        <f>(BS95+CQ95-EA95)+IF('2. START'!$C$14&gt;0,AU95-DO95,0)</f>
        <v>0</v>
      </c>
      <c r="EN95" s="442">
        <f>(BT95+CR95-EB95)+IF('2. START'!$C$14&gt;0,AV95-DP95,0)</f>
        <v>0</v>
      </c>
      <c r="EO95" s="442">
        <f>(BU95+CS95-EC95)+IF('2. START'!$C$14&gt;0,AW95-DQ95,0)</f>
        <v>0</v>
      </c>
      <c r="EP95" s="442">
        <f>(BV95+CT95-ED95)+IF('2. START'!$C$14&gt;0,AX95-DR95,0)</f>
        <v>0</v>
      </c>
      <c r="EQ95" s="442">
        <f>(BW95+CU95-EE95)+IF('2. START'!$C$14&gt;0,AY95-DS95,0)</f>
        <v>0</v>
      </c>
      <c r="ER95" s="442">
        <f>(BX95+CV95-EF95)+IF('2. START'!$C$14&gt;0,AZ95-DT95,0)</f>
        <v>0</v>
      </c>
      <c r="ES95" s="442">
        <f>(BY95+CW95-EG95)+IF('2. START'!$C$14&gt;0,BA95-DU95,0)</f>
        <v>0</v>
      </c>
      <c r="ET95" s="442">
        <f>(BZ95+CX95-EH95)+IF('2. START'!$C$14&gt;0,BB95-DV95,0)</f>
        <v>0</v>
      </c>
      <c r="EU95" s="442">
        <f>(CA95+CY95-EI95)+IF('2. START'!$C$14&gt;0,BC95-DW95,0)</f>
        <v>0</v>
      </c>
      <c r="EV95" s="443">
        <f t="shared" si="289"/>
        <v>0</v>
      </c>
      <c r="EX95" s="442">
        <f t="shared" si="290"/>
        <v>0</v>
      </c>
      <c r="EY95" s="442">
        <f t="shared" si="291"/>
        <v>0</v>
      </c>
      <c r="EZ95" s="442">
        <f t="shared" si="292"/>
        <v>0</v>
      </c>
      <c r="FA95" s="442">
        <f t="shared" si="293"/>
        <v>0</v>
      </c>
      <c r="FB95" s="442">
        <f t="shared" si="294"/>
        <v>0</v>
      </c>
      <c r="FC95" s="442">
        <f t="shared" si="295"/>
        <v>0</v>
      </c>
      <c r="FD95" s="442">
        <f t="shared" si="296"/>
        <v>0</v>
      </c>
      <c r="FE95" s="442">
        <f t="shared" si="297"/>
        <v>0</v>
      </c>
      <c r="FF95" s="442">
        <f t="shared" si="298"/>
        <v>0</v>
      </c>
      <c r="FG95" s="442">
        <f t="shared" si="299"/>
        <v>0</v>
      </c>
      <c r="FH95" s="443">
        <f t="shared" si="300"/>
        <v>0</v>
      </c>
      <c r="FJ95" s="442">
        <f t="shared" si="301"/>
        <v>0</v>
      </c>
      <c r="FK95" s="442">
        <f t="shared" si="302"/>
        <v>0</v>
      </c>
      <c r="FL95" s="442">
        <f t="shared" si="303"/>
        <v>0</v>
      </c>
      <c r="FM95" s="442">
        <f t="shared" si="304"/>
        <v>0</v>
      </c>
      <c r="FN95" s="442">
        <f t="shared" si="305"/>
        <v>0</v>
      </c>
      <c r="FO95" s="442">
        <f t="shared" si="306"/>
        <v>0</v>
      </c>
      <c r="FP95" s="442">
        <f t="shared" si="307"/>
        <v>0</v>
      </c>
      <c r="FQ95" s="442">
        <f t="shared" si="308"/>
        <v>0</v>
      </c>
      <c r="FR95" s="442">
        <f t="shared" si="309"/>
        <v>0</v>
      </c>
      <c r="FS95" s="442">
        <f t="shared" si="310"/>
        <v>0</v>
      </c>
      <c r="FT95" s="443">
        <f t="shared" si="311"/>
        <v>0</v>
      </c>
    </row>
    <row r="96" spans="2:176" s="270" customFormat="1" ht="15" customHeight="1" x14ac:dyDescent="0.25">
      <c r="B96" s="446" t="str">
        <f>'2. START'!C$7</f>
        <v>100GEM</v>
      </c>
      <c r="C96" s="469"/>
      <c r="D96" s="589"/>
      <c r="E96" s="544">
        <v>0</v>
      </c>
      <c r="F96" s="448"/>
      <c r="G96" s="449"/>
      <c r="H96" s="449"/>
      <c r="I96" s="449"/>
      <c r="J96" s="449"/>
      <c r="K96" s="449"/>
      <c r="L96" s="449"/>
      <c r="M96" s="449"/>
      <c r="N96" s="449"/>
      <c r="O96" s="449"/>
      <c r="P96" s="449"/>
      <c r="Q96" s="546">
        <f>SUMIF('3. PARTNER'!$B$13:$B$80,$B96,'3. PARTNER'!$F$13:$F$80)</f>
        <v>0.02</v>
      </c>
      <c r="R96" s="450">
        <f t="shared" si="312"/>
        <v>0.02</v>
      </c>
      <c r="S96" s="450">
        <f t="shared" si="312"/>
        <v>0.02</v>
      </c>
      <c r="T96" s="450">
        <f t="shared" si="312"/>
        <v>0.02</v>
      </c>
      <c r="U96" s="450">
        <f t="shared" si="312"/>
        <v>0.02</v>
      </c>
      <c r="V96" s="450">
        <f t="shared" si="312"/>
        <v>0.02</v>
      </c>
      <c r="W96" s="450">
        <f t="shared" si="312"/>
        <v>0.02</v>
      </c>
      <c r="X96" s="450">
        <f t="shared" si="312"/>
        <v>0.02</v>
      </c>
      <c r="Y96" s="450">
        <f t="shared" si="312"/>
        <v>0.02</v>
      </c>
      <c r="Z96" s="450">
        <f t="shared" si="312"/>
        <v>0.02</v>
      </c>
      <c r="AA96" s="451">
        <f>SUMIF('3. PARTNER'!B$13:B$80,B96,'3. PARTNER'!E$13:E$80)</f>
        <v>0.5595</v>
      </c>
      <c r="AB96" s="452">
        <f>IF('2. START'!$C$20="UTB",(SUMIF('3. PARTNER'!B$13:B$80,B96,'3. PARTNER'!K$13:K$80))+(SUMIF('3. PARTNER'!B$13:B$80,B96,'3. PARTNER'!M$13:M$80)),(SUMIF('3. PARTNER'!B$13:B$80,B96,'3. PARTNER'!G$13:G$80))+(SUMIF('3. PARTNER'!B$13:B$80,B96,'3. PARTNER'!I$13:I$80)))</f>
        <v>0.16000843770704321</v>
      </c>
      <c r="AC96" s="452">
        <f>IF('2. START'!$C$20="UTB",(SUMIF('3. PARTNER'!B$13:B$80,B96,'3. PARTNER'!L$13:L$80))+(SUMIF('3. PARTNER'!B$13:B$80,B96,'3. PARTNER'!N$13:N$80)),(SUMIF('3. PARTNER'!B$13:B$80,B96,'3. PARTNER'!H$13:H$80))+(SUMIF('3. PARTNER'!B$13:B$80,B96,'3. PARTNER'!J$13:J$80)))</f>
        <v>0</v>
      </c>
      <c r="AD96" s="452">
        <f>IF('2. START'!C$11="NO",'2. START'!C$12,0)</f>
        <v>0</v>
      </c>
      <c r="AE96" s="453">
        <f t="shared" si="278"/>
        <v>0</v>
      </c>
      <c r="AF96" s="453">
        <f t="shared" si="279"/>
        <v>0</v>
      </c>
      <c r="AG96" s="454"/>
      <c r="AH96" s="455">
        <f t="shared" si="208"/>
        <v>0</v>
      </c>
      <c r="AI96" s="455">
        <f t="shared" si="209"/>
        <v>0</v>
      </c>
      <c r="AJ96" s="455">
        <f t="shared" si="210"/>
        <v>0</v>
      </c>
      <c r="AK96" s="455">
        <f t="shared" si="211"/>
        <v>0</v>
      </c>
      <c r="AL96" s="455">
        <f t="shared" si="212"/>
        <v>0</v>
      </c>
      <c r="AM96" s="455">
        <f t="shared" si="213"/>
        <v>0</v>
      </c>
      <c r="AN96" s="455">
        <f t="shared" si="214"/>
        <v>0</v>
      </c>
      <c r="AO96" s="455">
        <f t="shared" si="215"/>
        <v>0</v>
      </c>
      <c r="AP96" s="455">
        <f t="shared" si="216"/>
        <v>0</v>
      </c>
      <c r="AQ96" s="455">
        <f t="shared" si="217"/>
        <v>0</v>
      </c>
      <c r="AR96" s="456">
        <f t="shared" si="280"/>
        <v>0</v>
      </c>
      <c r="AS96" s="457"/>
      <c r="AT96" s="455">
        <f t="shared" si="218"/>
        <v>0</v>
      </c>
      <c r="AU96" s="455">
        <f t="shared" si="219"/>
        <v>0</v>
      </c>
      <c r="AV96" s="455">
        <f t="shared" si="220"/>
        <v>0</v>
      </c>
      <c r="AW96" s="455">
        <f t="shared" si="221"/>
        <v>0</v>
      </c>
      <c r="AX96" s="455">
        <f t="shared" si="222"/>
        <v>0</v>
      </c>
      <c r="AY96" s="455">
        <f t="shared" si="223"/>
        <v>0</v>
      </c>
      <c r="AZ96" s="455">
        <f t="shared" si="224"/>
        <v>0</v>
      </c>
      <c r="BA96" s="455">
        <f t="shared" si="225"/>
        <v>0</v>
      </c>
      <c r="BB96" s="455">
        <f t="shared" si="226"/>
        <v>0</v>
      </c>
      <c r="BC96" s="455">
        <f t="shared" si="227"/>
        <v>0</v>
      </c>
      <c r="BD96" s="456">
        <f t="shared" si="281"/>
        <v>0</v>
      </c>
      <c r="BE96" s="457"/>
      <c r="BF96" s="455">
        <f t="shared" si="228"/>
        <v>0</v>
      </c>
      <c r="BG96" s="455">
        <f t="shared" si="229"/>
        <v>0</v>
      </c>
      <c r="BH96" s="455">
        <f t="shared" si="230"/>
        <v>0</v>
      </c>
      <c r="BI96" s="455">
        <f t="shared" si="231"/>
        <v>0</v>
      </c>
      <c r="BJ96" s="455">
        <f t="shared" si="232"/>
        <v>0</v>
      </c>
      <c r="BK96" s="455">
        <f t="shared" si="233"/>
        <v>0</v>
      </c>
      <c r="BL96" s="455">
        <f t="shared" si="234"/>
        <v>0</v>
      </c>
      <c r="BM96" s="455">
        <f t="shared" si="235"/>
        <v>0</v>
      </c>
      <c r="BN96" s="455">
        <f t="shared" si="236"/>
        <v>0</v>
      </c>
      <c r="BO96" s="455">
        <f t="shared" si="237"/>
        <v>0</v>
      </c>
      <c r="BP96" s="456">
        <f t="shared" si="282"/>
        <v>0</v>
      </c>
      <c r="BQ96" s="463"/>
      <c r="BR96" s="459">
        <f t="shared" si="238"/>
        <v>0</v>
      </c>
      <c r="BS96" s="459">
        <f t="shared" si="239"/>
        <v>0</v>
      </c>
      <c r="BT96" s="459">
        <f t="shared" si="240"/>
        <v>0</v>
      </c>
      <c r="BU96" s="459">
        <f t="shared" si="241"/>
        <v>0</v>
      </c>
      <c r="BV96" s="459">
        <f t="shared" si="242"/>
        <v>0</v>
      </c>
      <c r="BW96" s="459">
        <f t="shared" si="243"/>
        <v>0</v>
      </c>
      <c r="BX96" s="459">
        <f t="shared" si="244"/>
        <v>0</v>
      </c>
      <c r="BY96" s="459">
        <f t="shared" si="245"/>
        <v>0</v>
      </c>
      <c r="BZ96" s="459">
        <f t="shared" si="246"/>
        <v>0</v>
      </c>
      <c r="CA96" s="459">
        <f t="shared" si="247"/>
        <v>0</v>
      </c>
      <c r="CB96" s="460">
        <f t="shared" si="283"/>
        <v>0</v>
      </c>
      <c r="CC96" s="463"/>
      <c r="CD96" s="462">
        <f t="shared" si="248"/>
        <v>0</v>
      </c>
      <c r="CE96" s="462">
        <f t="shared" si="249"/>
        <v>0</v>
      </c>
      <c r="CF96" s="462">
        <f t="shared" si="250"/>
        <v>0</v>
      </c>
      <c r="CG96" s="462">
        <f t="shared" si="251"/>
        <v>0</v>
      </c>
      <c r="CH96" s="462">
        <f t="shared" si="252"/>
        <v>0</v>
      </c>
      <c r="CI96" s="462">
        <f t="shared" si="253"/>
        <v>0</v>
      </c>
      <c r="CJ96" s="462">
        <f t="shared" si="254"/>
        <v>0</v>
      </c>
      <c r="CK96" s="462">
        <f t="shared" si="255"/>
        <v>0</v>
      </c>
      <c r="CL96" s="462">
        <f t="shared" si="256"/>
        <v>0</v>
      </c>
      <c r="CM96" s="462">
        <f t="shared" si="257"/>
        <v>0</v>
      </c>
      <c r="CN96" s="460">
        <f t="shared" si="284"/>
        <v>0</v>
      </c>
      <c r="CO96" s="463"/>
      <c r="CP96" s="459">
        <f t="shared" si="258"/>
        <v>0</v>
      </c>
      <c r="CQ96" s="459">
        <f t="shared" si="259"/>
        <v>0</v>
      </c>
      <c r="CR96" s="459">
        <f t="shared" si="260"/>
        <v>0</v>
      </c>
      <c r="CS96" s="459">
        <f t="shared" si="261"/>
        <v>0</v>
      </c>
      <c r="CT96" s="459">
        <f t="shared" si="262"/>
        <v>0</v>
      </c>
      <c r="CU96" s="459">
        <f t="shared" si="263"/>
        <v>0</v>
      </c>
      <c r="CV96" s="459">
        <f t="shared" si="264"/>
        <v>0</v>
      </c>
      <c r="CW96" s="459">
        <f t="shared" si="265"/>
        <v>0</v>
      </c>
      <c r="CX96" s="459">
        <f t="shared" si="266"/>
        <v>0</v>
      </c>
      <c r="CY96" s="459">
        <f t="shared" si="267"/>
        <v>0</v>
      </c>
      <c r="CZ96" s="460">
        <f t="shared" si="285"/>
        <v>0</v>
      </c>
      <c r="DA96" s="463"/>
      <c r="DB96" s="459">
        <f t="shared" si="268"/>
        <v>0</v>
      </c>
      <c r="DC96" s="459">
        <f t="shared" si="269"/>
        <v>0</v>
      </c>
      <c r="DD96" s="459">
        <f t="shared" si="270"/>
        <v>0</v>
      </c>
      <c r="DE96" s="459">
        <f t="shared" si="271"/>
        <v>0</v>
      </c>
      <c r="DF96" s="459">
        <f t="shared" si="272"/>
        <v>0</v>
      </c>
      <c r="DG96" s="459">
        <f t="shared" si="273"/>
        <v>0</v>
      </c>
      <c r="DH96" s="459">
        <f t="shared" si="274"/>
        <v>0</v>
      </c>
      <c r="DI96" s="459">
        <f t="shared" si="275"/>
        <v>0</v>
      </c>
      <c r="DJ96" s="459">
        <f t="shared" si="276"/>
        <v>0</v>
      </c>
      <c r="DK96" s="459">
        <f t="shared" si="277"/>
        <v>0</v>
      </c>
      <c r="DL96" s="460">
        <f t="shared" si="286"/>
        <v>0</v>
      </c>
      <c r="DM96" s="463"/>
      <c r="DN96" s="442">
        <f>IF('2. START'!$C$14&gt;0,(AT96/(1+$AA96))*(1+'2. START'!$C$14),AT96)</f>
        <v>0</v>
      </c>
      <c r="DO96" s="442">
        <f>IF('2. START'!$C$14&gt;0,(AU96/(1+$AA96))*(1+'2. START'!$C$14),AU96)</f>
        <v>0</v>
      </c>
      <c r="DP96" s="442">
        <f>IF('2. START'!$C$14&gt;0,(AV96/(1+$AA96))*(1+'2. START'!$C$14),AV96)</f>
        <v>0</v>
      </c>
      <c r="DQ96" s="442">
        <f>IF('2. START'!$C$14&gt;0,(AW96/(1+$AA96))*(1+'2. START'!$C$14),AW96)</f>
        <v>0</v>
      </c>
      <c r="DR96" s="442">
        <f>IF('2. START'!$C$14&gt;0,(AX96/(1+$AA96))*(1+'2. START'!$C$14),AX96)</f>
        <v>0</v>
      </c>
      <c r="DS96" s="442">
        <f>IF('2. START'!$C$14&gt;0,(AY96/(1+$AA96))*(1+'2. START'!$C$14),AY96)</f>
        <v>0</v>
      </c>
      <c r="DT96" s="442">
        <f>IF('2. START'!$C$14&gt;0,(AZ96/(1+$AA96))*(1+'2. START'!$C$14),AZ96)</f>
        <v>0</v>
      </c>
      <c r="DU96" s="442">
        <f>IF('2. START'!$C$14&gt;0,(BA96/(1+$AA96))*(1+'2. START'!$C$14),BA96)</f>
        <v>0</v>
      </c>
      <c r="DV96" s="442">
        <f>IF('2. START'!$C$14&gt;0,(BB96/(1+$AA96))*(1+'2. START'!$C$14),BB96)</f>
        <v>0</v>
      </c>
      <c r="DW96" s="442">
        <f>IF('2. START'!$C$14&gt;0,(BC96/(1+$AA96))*(1+'2. START'!$C$14),BC96)</f>
        <v>0</v>
      </c>
      <c r="DX96" s="460">
        <f t="shared" si="287"/>
        <v>0</v>
      </c>
      <c r="DY96" s="463"/>
      <c r="DZ96" s="459">
        <f>IF('2. START'!$C$11="NO",(IF('2. START'!$C$14&gt;0,(DN96*$AD96),(AT96*$AD96))),(BR96+CP96))</f>
        <v>0</v>
      </c>
      <c r="EA96" s="459">
        <f>IF('2. START'!$C$11="NO",(IF('2. START'!$C$14&gt;0,(DO96*$AD96),(AU96*$AD96))),(BS96+CQ96))</f>
        <v>0</v>
      </c>
      <c r="EB96" s="459">
        <f>IF('2. START'!$C$11="NO",(IF('2. START'!$C$14&gt;0,(DP96*$AD96),(AV96*$AD96))),(BT96+CR96))</f>
        <v>0</v>
      </c>
      <c r="EC96" s="459">
        <f>IF('2. START'!$C$11="NO",(IF('2. START'!$C$14&gt;0,(DQ96*$AD96),(AW96*$AD96))),(BU96+CS96))</f>
        <v>0</v>
      </c>
      <c r="ED96" s="459">
        <f>IF('2. START'!$C$11="NO",(IF('2. START'!$C$14&gt;0,(DR96*$AD96),(AX96*$AD96))),(BV96+CT96))</f>
        <v>0</v>
      </c>
      <c r="EE96" s="459">
        <f>IF('2. START'!$C$11="NO",(IF('2. START'!$C$14&gt;0,(DS96*$AD96),(AY96*$AD96))),(BW96+CU96))</f>
        <v>0</v>
      </c>
      <c r="EF96" s="459">
        <f>IF('2. START'!$C$11="NO",(IF('2. START'!$C$14&gt;0,(DT96*$AD96),(AZ96*$AD96))),(BX96+CV96))</f>
        <v>0</v>
      </c>
      <c r="EG96" s="459">
        <f>IF('2. START'!$C$11="NO",(IF('2. START'!$C$14&gt;0,(DU96*$AD96),(BA96*$AD96))),(BY96+CW96))</f>
        <v>0</v>
      </c>
      <c r="EH96" s="459">
        <f>IF('2. START'!$C$11="NO",(IF('2. START'!$C$14&gt;0,(DV96*$AD96),(BB96*$AD96))),(BZ96+CX96))</f>
        <v>0</v>
      </c>
      <c r="EI96" s="459">
        <f>IF('2. START'!$C$11="NO",(IF('2. START'!$C$14&gt;0,(DW96*$AD96),(BC96*$AD96))),(CA96+CY96))</f>
        <v>0</v>
      </c>
      <c r="EJ96" s="460">
        <f t="shared" si="288"/>
        <v>0</v>
      </c>
      <c r="EK96" s="463"/>
      <c r="EL96" s="459">
        <f>(BR96+CP96-DZ96)+IF('2. START'!$C$14&gt;0,AT96-DN96,0)</f>
        <v>0</v>
      </c>
      <c r="EM96" s="459">
        <f>(BS96+CQ96-EA96)+IF('2. START'!$C$14&gt;0,AU96-DO96,0)</f>
        <v>0</v>
      </c>
      <c r="EN96" s="459">
        <f>(BT96+CR96-EB96)+IF('2. START'!$C$14&gt;0,AV96-DP96,0)</f>
        <v>0</v>
      </c>
      <c r="EO96" s="459">
        <f>(BU96+CS96-EC96)+IF('2. START'!$C$14&gt;0,AW96-DQ96,0)</f>
        <v>0</v>
      </c>
      <c r="EP96" s="459">
        <f>(BV96+CT96-ED96)+IF('2. START'!$C$14&gt;0,AX96-DR96,0)</f>
        <v>0</v>
      </c>
      <c r="EQ96" s="459">
        <f>(BW96+CU96-EE96)+IF('2. START'!$C$14&gt;0,AY96-DS96,0)</f>
        <v>0</v>
      </c>
      <c r="ER96" s="459">
        <f>(BX96+CV96-EF96)+IF('2. START'!$C$14&gt;0,AZ96-DT96,0)</f>
        <v>0</v>
      </c>
      <c r="ES96" s="459">
        <f>(BY96+CW96-EG96)+IF('2. START'!$C$14&gt;0,BA96-DU96,0)</f>
        <v>0</v>
      </c>
      <c r="ET96" s="459">
        <f>(BZ96+CX96-EH96)+IF('2. START'!$C$14&gt;0,BB96-DV96,0)</f>
        <v>0</v>
      </c>
      <c r="EU96" s="459">
        <f>(CA96+CY96-EI96)+IF('2. START'!$C$14&gt;0,BC96-DW96,0)</f>
        <v>0</v>
      </c>
      <c r="EV96" s="460">
        <f t="shared" si="289"/>
        <v>0</v>
      </c>
      <c r="EW96" s="463"/>
      <c r="EX96" s="459">
        <f t="shared" si="290"/>
        <v>0</v>
      </c>
      <c r="EY96" s="459">
        <f t="shared" si="291"/>
        <v>0</v>
      </c>
      <c r="EZ96" s="459">
        <f t="shared" si="292"/>
        <v>0</v>
      </c>
      <c r="FA96" s="459">
        <f t="shared" si="293"/>
        <v>0</v>
      </c>
      <c r="FB96" s="459">
        <f t="shared" si="294"/>
        <v>0</v>
      </c>
      <c r="FC96" s="459">
        <f t="shared" si="295"/>
        <v>0</v>
      </c>
      <c r="FD96" s="459">
        <f t="shared" si="296"/>
        <v>0</v>
      </c>
      <c r="FE96" s="459">
        <f t="shared" si="297"/>
        <v>0</v>
      </c>
      <c r="FF96" s="459">
        <f t="shared" si="298"/>
        <v>0</v>
      </c>
      <c r="FG96" s="459">
        <f t="shared" si="299"/>
        <v>0</v>
      </c>
      <c r="FH96" s="460">
        <f t="shared" si="300"/>
        <v>0</v>
      </c>
      <c r="FI96" s="463"/>
      <c r="FJ96" s="459">
        <f t="shared" si="301"/>
        <v>0</v>
      </c>
      <c r="FK96" s="459">
        <f t="shared" si="302"/>
        <v>0</v>
      </c>
      <c r="FL96" s="459">
        <f t="shared" si="303"/>
        <v>0</v>
      </c>
      <c r="FM96" s="459">
        <f t="shared" si="304"/>
        <v>0</v>
      </c>
      <c r="FN96" s="459">
        <f t="shared" si="305"/>
        <v>0</v>
      </c>
      <c r="FO96" s="459">
        <f t="shared" si="306"/>
        <v>0</v>
      </c>
      <c r="FP96" s="459">
        <f t="shared" si="307"/>
        <v>0</v>
      </c>
      <c r="FQ96" s="459">
        <f t="shared" si="308"/>
        <v>0</v>
      </c>
      <c r="FR96" s="459">
        <f t="shared" si="309"/>
        <v>0</v>
      </c>
      <c r="FS96" s="459">
        <f t="shared" si="310"/>
        <v>0</v>
      </c>
      <c r="FT96" s="460">
        <f t="shared" si="311"/>
        <v>0</v>
      </c>
    </row>
    <row r="97" spans="2:176" s="270" customFormat="1" ht="15" customHeight="1" x14ac:dyDescent="0.25">
      <c r="B97" s="464" t="str">
        <f>'2. START'!C$7</f>
        <v>100GEM</v>
      </c>
      <c r="C97" s="470"/>
      <c r="D97" s="590"/>
      <c r="E97" s="514">
        <v>0</v>
      </c>
      <c r="F97" s="467"/>
      <c r="G97" s="432"/>
      <c r="H97" s="432"/>
      <c r="I97" s="432"/>
      <c r="J97" s="432"/>
      <c r="K97" s="432"/>
      <c r="L97" s="432"/>
      <c r="M97" s="432"/>
      <c r="N97" s="432"/>
      <c r="O97" s="432"/>
      <c r="P97" s="432"/>
      <c r="Q97" s="545">
        <f>SUMIF('3. PARTNER'!$B$13:$B$80,$B97,'3. PARTNER'!$F$13:$F$80)</f>
        <v>0.02</v>
      </c>
      <c r="R97" s="466">
        <f t="shared" ref="R97:Z106" si="313">$Q97</f>
        <v>0.02</v>
      </c>
      <c r="S97" s="466">
        <f t="shared" si="313"/>
        <v>0.02</v>
      </c>
      <c r="T97" s="466">
        <f t="shared" si="313"/>
        <v>0.02</v>
      </c>
      <c r="U97" s="466">
        <f t="shared" si="313"/>
        <v>0.02</v>
      </c>
      <c r="V97" s="466">
        <f t="shared" si="313"/>
        <v>0.02</v>
      </c>
      <c r="W97" s="466">
        <f t="shared" si="313"/>
        <v>0.02</v>
      </c>
      <c r="X97" s="466">
        <f t="shared" si="313"/>
        <v>0.02</v>
      </c>
      <c r="Y97" s="466">
        <f t="shared" si="313"/>
        <v>0.02</v>
      </c>
      <c r="Z97" s="466">
        <f t="shared" si="313"/>
        <v>0.02</v>
      </c>
      <c r="AA97" s="434">
        <f>SUMIF('3. PARTNER'!B$13:B$80,B97,'3. PARTNER'!E$13:E$80)</f>
        <v>0.5595</v>
      </c>
      <c r="AB97" s="435">
        <f>IF('2. START'!$C$20="UTB",(SUMIF('3. PARTNER'!B$13:B$80,B97,'3. PARTNER'!K$13:K$80))+(SUMIF('3. PARTNER'!B$13:B$80,B97,'3. PARTNER'!M$13:M$80)),(SUMIF('3. PARTNER'!B$13:B$80,B97,'3. PARTNER'!G$13:G$80))+(SUMIF('3. PARTNER'!B$13:B$80,B97,'3. PARTNER'!I$13:I$80)))</f>
        <v>0.16000843770704321</v>
      </c>
      <c r="AC97" s="435">
        <f>IF('2. START'!$C$20="UTB",(SUMIF('3. PARTNER'!B$13:B$80,B97,'3. PARTNER'!L$13:L$80))+(SUMIF('3. PARTNER'!B$13:B$80,B97,'3. PARTNER'!N$13:N$80)),(SUMIF('3. PARTNER'!B$13:B$80,B97,'3. PARTNER'!H$13:H$80))+(SUMIF('3. PARTNER'!B$13:B$80,B97,'3. PARTNER'!J$13:J$80)))</f>
        <v>0</v>
      </c>
      <c r="AD97" s="435">
        <f>IF('2. START'!C$11="NO",'2. START'!C$12,0)</f>
        <v>0</v>
      </c>
      <c r="AE97" s="436">
        <f t="shared" si="278"/>
        <v>0</v>
      </c>
      <c r="AF97" s="436">
        <f t="shared" si="279"/>
        <v>0</v>
      </c>
      <c r="AG97" s="437"/>
      <c r="AH97" s="438">
        <f t="shared" si="208"/>
        <v>0</v>
      </c>
      <c r="AI97" s="438">
        <f t="shared" si="209"/>
        <v>0</v>
      </c>
      <c r="AJ97" s="438">
        <f t="shared" si="210"/>
        <v>0</v>
      </c>
      <c r="AK97" s="438">
        <f t="shared" si="211"/>
        <v>0</v>
      </c>
      <c r="AL97" s="438">
        <f t="shared" si="212"/>
        <v>0</v>
      </c>
      <c r="AM97" s="438">
        <f t="shared" si="213"/>
        <v>0</v>
      </c>
      <c r="AN97" s="438">
        <f t="shared" si="214"/>
        <v>0</v>
      </c>
      <c r="AO97" s="438">
        <f t="shared" si="215"/>
        <v>0</v>
      </c>
      <c r="AP97" s="438">
        <f t="shared" si="216"/>
        <v>0</v>
      </c>
      <c r="AQ97" s="438">
        <f t="shared" si="217"/>
        <v>0</v>
      </c>
      <c r="AR97" s="439">
        <f t="shared" si="280"/>
        <v>0</v>
      </c>
      <c r="AS97" s="440"/>
      <c r="AT97" s="438">
        <f t="shared" si="218"/>
        <v>0</v>
      </c>
      <c r="AU97" s="438">
        <f t="shared" si="219"/>
        <v>0</v>
      </c>
      <c r="AV97" s="438">
        <f t="shared" si="220"/>
        <v>0</v>
      </c>
      <c r="AW97" s="438">
        <f t="shared" si="221"/>
        <v>0</v>
      </c>
      <c r="AX97" s="438">
        <f t="shared" si="222"/>
        <v>0</v>
      </c>
      <c r="AY97" s="438">
        <f t="shared" si="223"/>
        <v>0</v>
      </c>
      <c r="AZ97" s="438">
        <f t="shared" si="224"/>
        <v>0</v>
      </c>
      <c r="BA97" s="438">
        <f t="shared" si="225"/>
        <v>0</v>
      </c>
      <c r="BB97" s="438">
        <f t="shared" si="226"/>
        <v>0</v>
      </c>
      <c r="BC97" s="438">
        <f t="shared" si="227"/>
        <v>0</v>
      </c>
      <c r="BD97" s="439">
        <f t="shared" si="281"/>
        <v>0</v>
      </c>
      <c r="BE97" s="440"/>
      <c r="BF97" s="438">
        <f t="shared" si="228"/>
        <v>0</v>
      </c>
      <c r="BG97" s="438">
        <f t="shared" si="229"/>
        <v>0</v>
      </c>
      <c r="BH97" s="438">
        <f t="shared" si="230"/>
        <v>0</v>
      </c>
      <c r="BI97" s="438">
        <f t="shared" si="231"/>
        <v>0</v>
      </c>
      <c r="BJ97" s="438">
        <f t="shared" si="232"/>
        <v>0</v>
      </c>
      <c r="BK97" s="438">
        <f t="shared" si="233"/>
        <v>0</v>
      </c>
      <c r="BL97" s="438">
        <f t="shared" si="234"/>
        <v>0</v>
      </c>
      <c r="BM97" s="438">
        <f t="shared" si="235"/>
        <v>0</v>
      </c>
      <c r="BN97" s="438">
        <f t="shared" si="236"/>
        <v>0</v>
      </c>
      <c r="BO97" s="438">
        <f t="shared" si="237"/>
        <v>0</v>
      </c>
      <c r="BP97" s="439">
        <f t="shared" si="282"/>
        <v>0</v>
      </c>
      <c r="BR97" s="442">
        <f t="shared" si="238"/>
        <v>0</v>
      </c>
      <c r="BS97" s="442">
        <f t="shared" si="239"/>
        <v>0</v>
      </c>
      <c r="BT97" s="442">
        <f t="shared" si="240"/>
        <v>0</v>
      </c>
      <c r="BU97" s="442">
        <f t="shared" si="241"/>
        <v>0</v>
      </c>
      <c r="BV97" s="442">
        <f t="shared" si="242"/>
        <v>0</v>
      </c>
      <c r="BW97" s="442">
        <f t="shared" si="243"/>
        <v>0</v>
      </c>
      <c r="BX97" s="442">
        <f t="shared" si="244"/>
        <v>0</v>
      </c>
      <c r="BY97" s="442">
        <f t="shared" si="245"/>
        <v>0</v>
      </c>
      <c r="BZ97" s="442">
        <f t="shared" si="246"/>
        <v>0</v>
      </c>
      <c r="CA97" s="442">
        <f t="shared" si="247"/>
        <v>0</v>
      </c>
      <c r="CB97" s="443">
        <f t="shared" si="283"/>
        <v>0</v>
      </c>
      <c r="CD97" s="445">
        <f t="shared" si="248"/>
        <v>0</v>
      </c>
      <c r="CE97" s="445">
        <f t="shared" si="249"/>
        <v>0</v>
      </c>
      <c r="CF97" s="445">
        <f t="shared" si="250"/>
        <v>0</v>
      </c>
      <c r="CG97" s="445">
        <f t="shared" si="251"/>
        <v>0</v>
      </c>
      <c r="CH97" s="445">
        <f t="shared" si="252"/>
        <v>0</v>
      </c>
      <c r="CI97" s="445">
        <f t="shared" si="253"/>
        <v>0</v>
      </c>
      <c r="CJ97" s="445">
        <f t="shared" si="254"/>
        <v>0</v>
      </c>
      <c r="CK97" s="445">
        <f t="shared" si="255"/>
        <v>0</v>
      </c>
      <c r="CL97" s="445">
        <f t="shared" si="256"/>
        <v>0</v>
      </c>
      <c r="CM97" s="445">
        <f t="shared" si="257"/>
        <v>0</v>
      </c>
      <c r="CN97" s="443">
        <f t="shared" si="284"/>
        <v>0</v>
      </c>
      <c r="CP97" s="442">
        <f t="shared" si="258"/>
        <v>0</v>
      </c>
      <c r="CQ97" s="442">
        <f t="shared" si="259"/>
        <v>0</v>
      </c>
      <c r="CR97" s="442">
        <f t="shared" si="260"/>
        <v>0</v>
      </c>
      <c r="CS97" s="442">
        <f t="shared" si="261"/>
        <v>0</v>
      </c>
      <c r="CT97" s="442">
        <f t="shared" si="262"/>
        <v>0</v>
      </c>
      <c r="CU97" s="442">
        <f t="shared" si="263"/>
        <v>0</v>
      </c>
      <c r="CV97" s="442">
        <f t="shared" si="264"/>
        <v>0</v>
      </c>
      <c r="CW97" s="442">
        <f t="shared" si="265"/>
        <v>0</v>
      </c>
      <c r="CX97" s="442">
        <f t="shared" si="266"/>
        <v>0</v>
      </c>
      <c r="CY97" s="442">
        <f t="shared" si="267"/>
        <v>0</v>
      </c>
      <c r="CZ97" s="443">
        <f t="shared" si="285"/>
        <v>0</v>
      </c>
      <c r="DB97" s="442">
        <f t="shared" si="268"/>
        <v>0</v>
      </c>
      <c r="DC97" s="442">
        <f t="shared" si="269"/>
        <v>0</v>
      </c>
      <c r="DD97" s="442">
        <f t="shared" si="270"/>
        <v>0</v>
      </c>
      <c r="DE97" s="442">
        <f t="shared" si="271"/>
        <v>0</v>
      </c>
      <c r="DF97" s="442">
        <f t="shared" si="272"/>
        <v>0</v>
      </c>
      <c r="DG97" s="442">
        <f t="shared" si="273"/>
        <v>0</v>
      </c>
      <c r="DH97" s="442">
        <f t="shared" si="274"/>
        <v>0</v>
      </c>
      <c r="DI97" s="442">
        <f t="shared" si="275"/>
        <v>0</v>
      </c>
      <c r="DJ97" s="442">
        <f t="shared" si="276"/>
        <v>0</v>
      </c>
      <c r="DK97" s="442">
        <f t="shared" si="277"/>
        <v>0</v>
      </c>
      <c r="DL97" s="443">
        <f t="shared" si="286"/>
        <v>0</v>
      </c>
      <c r="DN97" s="442">
        <f>IF('2. START'!$C$14&gt;0,(AT97/(1+$AA97))*(1+'2. START'!$C$14),AT97)</f>
        <v>0</v>
      </c>
      <c r="DO97" s="442">
        <f>IF('2. START'!$C$14&gt;0,(AU97/(1+$AA97))*(1+'2. START'!$C$14),AU97)</f>
        <v>0</v>
      </c>
      <c r="DP97" s="442">
        <f>IF('2. START'!$C$14&gt;0,(AV97/(1+$AA97))*(1+'2. START'!$C$14),AV97)</f>
        <v>0</v>
      </c>
      <c r="DQ97" s="442">
        <f>IF('2. START'!$C$14&gt;0,(AW97/(1+$AA97))*(1+'2. START'!$C$14),AW97)</f>
        <v>0</v>
      </c>
      <c r="DR97" s="442">
        <f>IF('2. START'!$C$14&gt;0,(AX97/(1+$AA97))*(1+'2. START'!$C$14),AX97)</f>
        <v>0</v>
      </c>
      <c r="DS97" s="442">
        <f>IF('2. START'!$C$14&gt;0,(AY97/(1+$AA97))*(1+'2. START'!$C$14),AY97)</f>
        <v>0</v>
      </c>
      <c r="DT97" s="442">
        <f>IF('2. START'!$C$14&gt;0,(AZ97/(1+$AA97))*(1+'2. START'!$C$14),AZ97)</f>
        <v>0</v>
      </c>
      <c r="DU97" s="442">
        <f>IF('2. START'!$C$14&gt;0,(BA97/(1+$AA97))*(1+'2. START'!$C$14),BA97)</f>
        <v>0</v>
      </c>
      <c r="DV97" s="442">
        <f>IF('2. START'!$C$14&gt;0,(BB97/(1+$AA97))*(1+'2. START'!$C$14),BB97)</f>
        <v>0</v>
      </c>
      <c r="DW97" s="442">
        <f>IF('2. START'!$C$14&gt;0,(BC97/(1+$AA97))*(1+'2. START'!$C$14),BC97)</f>
        <v>0</v>
      </c>
      <c r="DX97" s="443">
        <f t="shared" si="287"/>
        <v>0</v>
      </c>
      <c r="DZ97" s="442">
        <f>IF('2. START'!$C$11="NO",(IF('2. START'!$C$14&gt;0,(DN97*$AD97),(AT97*$AD97))),(BR97+CP97))</f>
        <v>0</v>
      </c>
      <c r="EA97" s="442">
        <f>IF('2. START'!$C$11="NO",(IF('2. START'!$C$14&gt;0,(DO97*$AD97),(AU97*$AD97))),(BS97+CQ97))</f>
        <v>0</v>
      </c>
      <c r="EB97" s="442">
        <f>IF('2. START'!$C$11="NO",(IF('2. START'!$C$14&gt;0,(DP97*$AD97),(AV97*$AD97))),(BT97+CR97))</f>
        <v>0</v>
      </c>
      <c r="EC97" s="442">
        <f>IF('2. START'!$C$11="NO",(IF('2. START'!$C$14&gt;0,(DQ97*$AD97),(AW97*$AD97))),(BU97+CS97))</f>
        <v>0</v>
      </c>
      <c r="ED97" s="442">
        <f>IF('2. START'!$C$11="NO",(IF('2. START'!$C$14&gt;0,(DR97*$AD97),(AX97*$AD97))),(BV97+CT97))</f>
        <v>0</v>
      </c>
      <c r="EE97" s="442">
        <f>IF('2. START'!$C$11="NO",(IF('2. START'!$C$14&gt;0,(DS97*$AD97),(AY97*$AD97))),(BW97+CU97))</f>
        <v>0</v>
      </c>
      <c r="EF97" s="442">
        <f>IF('2. START'!$C$11="NO",(IF('2. START'!$C$14&gt;0,(DT97*$AD97),(AZ97*$AD97))),(BX97+CV97))</f>
        <v>0</v>
      </c>
      <c r="EG97" s="442">
        <f>IF('2. START'!$C$11="NO",(IF('2. START'!$C$14&gt;0,(DU97*$AD97),(BA97*$AD97))),(BY97+CW97))</f>
        <v>0</v>
      </c>
      <c r="EH97" s="442">
        <f>IF('2. START'!$C$11="NO",(IF('2. START'!$C$14&gt;0,(DV97*$AD97),(BB97*$AD97))),(BZ97+CX97))</f>
        <v>0</v>
      </c>
      <c r="EI97" s="442">
        <f>IF('2. START'!$C$11="NO",(IF('2. START'!$C$14&gt;0,(DW97*$AD97),(BC97*$AD97))),(CA97+CY97))</f>
        <v>0</v>
      </c>
      <c r="EJ97" s="443">
        <f t="shared" si="288"/>
        <v>0</v>
      </c>
      <c r="EL97" s="442">
        <f>(BR97+CP97-DZ97)+IF('2. START'!$C$14&gt;0,AT97-DN97,0)</f>
        <v>0</v>
      </c>
      <c r="EM97" s="442">
        <f>(BS97+CQ97-EA97)+IF('2. START'!$C$14&gt;0,AU97-DO97,0)</f>
        <v>0</v>
      </c>
      <c r="EN97" s="442">
        <f>(BT97+CR97-EB97)+IF('2. START'!$C$14&gt;0,AV97-DP97,0)</f>
        <v>0</v>
      </c>
      <c r="EO97" s="442">
        <f>(BU97+CS97-EC97)+IF('2. START'!$C$14&gt;0,AW97-DQ97,0)</f>
        <v>0</v>
      </c>
      <c r="EP97" s="442">
        <f>(BV97+CT97-ED97)+IF('2. START'!$C$14&gt;0,AX97-DR97,0)</f>
        <v>0</v>
      </c>
      <c r="EQ97" s="442">
        <f>(BW97+CU97-EE97)+IF('2. START'!$C$14&gt;0,AY97-DS97,0)</f>
        <v>0</v>
      </c>
      <c r="ER97" s="442">
        <f>(BX97+CV97-EF97)+IF('2. START'!$C$14&gt;0,AZ97-DT97,0)</f>
        <v>0</v>
      </c>
      <c r="ES97" s="442">
        <f>(BY97+CW97-EG97)+IF('2. START'!$C$14&gt;0,BA97-DU97,0)</f>
        <v>0</v>
      </c>
      <c r="ET97" s="442">
        <f>(BZ97+CX97-EH97)+IF('2. START'!$C$14&gt;0,BB97-DV97,0)</f>
        <v>0</v>
      </c>
      <c r="EU97" s="442">
        <f>(CA97+CY97-EI97)+IF('2. START'!$C$14&gt;0,BC97-DW97,0)</f>
        <v>0</v>
      </c>
      <c r="EV97" s="443">
        <f t="shared" si="289"/>
        <v>0</v>
      </c>
      <c r="EX97" s="442">
        <f t="shared" si="290"/>
        <v>0</v>
      </c>
      <c r="EY97" s="442">
        <f t="shared" si="291"/>
        <v>0</v>
      </c>
      <c r="EZ97" s="442">
        <f t="shared" si="292"/>
        <v>0</v>
      </c>
      <c r="FA97" s="442">
        <f t="shared" si="293"/>
        <v>0</v>
      </c>
      <c r="FB97" s="442">
        <f t="shared" si="294"/>
        <v>0</v>
      </c>
      <c r="FC97" s="442">
        <f t="shared" si="295"/>
        <v>0</v>
      </c>
      <c r="FD97" s="442">
        <f t="shared" si="296"/>
        <v>0</v>
      </c>
      <c r="FE97" s="442">
        <f t="shared" si="297"/>
        <v>0</v>
      </c>
      <c r="FF97" s="442">
        <f t="shared" si="298"/>
        <v>0</v>
      </c>
      <c r="FG97" s="442">
        <f t="shared" si="299"/>
        <v>0</v>
      </c>
      <c r="FH97" s="443">
        <f t="shared" si="300"/>
        <v>0</v>
      </c>
      <c r="FJ97" s="442">
        <f t="shared" si="301"/>
        <v>0</v>
      </c>
      <c r="FK97" s="442">
        <f t="shared" si="302"/>
        <v>0</v>
      </c>
      <c r="FL97" s="442">
        <f t="shared" si="303"/>
        <v>0</v>
      </c>
      <c r="FM97" s="442">
        <f t="shared" si="304"/>
        <v>0</v>
      </c>
      <c r="FN97" s="442">
        <f t="shared" si="305"/>
        <v>0</v>
      </c>
      <c r="FO97" s="442">
        <f t="shared" si="306"/>
        <v>0</v>
      </c>
      <c r="FP97" s="442">
        <f t="shared" si="307"/>
        <v>0</v>
      </c>
      <c r="FQ97" s="442">
        <f t="shared" si="308"/>
        <v>0</v>
      </c>
      <c r="FR97" s="442">
        <f t="shared" si="309"/>
        <v>0</v>
      </c>
      <c r="FS97" s="442">
        <f t="shared" si="310"/>
        <v>0</v>
      </c>
      <c r="FT97" s="443">
        <f t="shared" si="311"/>
        <v>0</v>
      </c>
    </row>
    <row r="98" spans="2:176" s="270" customFormat="1" ht="15" customHeight="1" x14ac:dyDescent="0.25">
      <c r="B98" s="446" t="str">
        <f>'2. START'!C$7</f>
        <v>100GEM</v>
      </c>
      <c r="C98" s="469"/>
      <c r="D98" s="589"/>
      <c r="E98" s="544">
        <v>0</v>
      </c>
      <c r="F98" s="448"/>
      <c r="G98" s="449"/>
      <c r="H98" s="449"/>
      <c r="I98" s="449"/>
      <c r="J98" s="449"/>
      <c r="K98" s="449"/>
      <c r="L98" s="449"/>
      <c r="M98" s="449"/>
      <c r="N98" s="449"/>
      <c r="O98" s="449"/>
      <c r="P98" s="449"/>
      <c r="Q98" s="546">
        <f>SUMIF('3. PARTNER'!$B$13:$B$80,$B98,'3. PARTNER'!$F$13:$F$80)</f>
        <v>0.02</v>
      </c>
      <c r="R98" s="450">
        <f t="shared" si="313"/>
        <v>0.02</v>
      </c>
      <c r="S98" s="450">
        <f t="shared" si="313"/>
        <v>0.02</v>
      </c>
      <c r="T98" s="450">
        <f t="shared" si="313"/>
        <v>0.02</v>
      </c>
      <c r="U98" s="450">
        <f t="shared" si="313"/>
        <v>0.02</v>
      </c>
      <c r="V98" s="450">
        <f t="shared" si="313"/>
        <v>0.02</v>
      </c>
      <c r="W98" s="450">
        <f t="shared" si="313"/>
        <v>0.02</v>
      </c>
      <c r="X98" s="450">
        <f t="shared" si="313"/>
        <v>0.02</v>
      </c>
      <c r="Y98" s="450">
        <f t="shared" si="313"/>
        <v>0.02</v>
      </c>
      <c r="Z98" s="450">
        <f t="shared" si="313"/>
        <v>0.02</v>
      </c>
      <c r="AA98" s="451">
        <f>SUMIF('3. PARTNER'!B$13:B$80,B98,'3. PARTNER'!E$13:E$80)</f>
        <v>0.5595</v>
      </c>
      <c r="AB98" s="452">
        <f>IF('2. START'!$C$20="UTB",(SUMIF('3. PARTNER'!B$13:B$80,B98,'3. PARTNER'!K$13:K$80))+(SUMIF('3. PARTNER'!B$13:B$80,B98,'3. PARTNER'!M$13:M$80)),(SUMIF('3. PARTNER'!B$13:B$80,B98,'3. PARTNER'!G$13:G$80))+(SUMIF('3. PARTNER'!B$13:B$80,B98,'3. PARTNER'!I$13:I$80)))</f>
        <v>0.16000843770704321</v>
      </c>
      <c r="AC98" s="452">
        <f>IF('2. START'!$C$20="UTB",(SUMIF('3. PARTNER'!B$13:B$80,B98,'3. PARTNER'!L$13:L$80))+(SUMIF('3. PARTNER'!B$13:B$80,B98,'3. PARTNER'!N$13:N$80)),(SUMIF('3. PARTNER'!B$13:B$80,B98,'3. PARTNER'!H$13:H$80))+(SUMIF('3. PARTNER'!B$13:B$80,B98,'3. PARTNER'!J$13:J$80)))</f>
        <v>0</v>
      </c>
      <c r="AD98" s="452">
        <f>IF('2. START'!C$11="NO",'2. START'!C$12,0)</f>
        <v>0</v>
      </c>
      <c r="AE98" s="453">
        <f t="shared" si="278"/>
        <v>0</v>
      </c>
      <c r="AF98" s="453">
        <f t="shared" si="279"/>
        <v>0</v>
      </c>
      <c r="AG98" s="454"/>
      <c r="AH98" s="455">
        <f t="shared" si="208"/>
        <v>0</v>
      </c>
      <c r="AI98" s="455">
        <f t="shared" si="209"/>
        <v>0</v>
      </c>
      <c r="AJ98" s="455">
        <f t="shared" si="210"/>
        <v>0</v>
      </c>
      <c r="AK98" s="455">
        <f t="shared" si="211"/>
        <v>0</v>
      </c>
      <c r="AL98" s="455">
        <f t="shared" si="212"/>
        <v>0</v>
      </c>
      <c r="AM98" s="455">
        <f t="shared" si="213"/>
        <v>0</v>
      </c>
      <c r="AN98" s="455">
        <f t="shared" si="214"/>
        <v>0</v>
      </c>
      <c r="AO98" s="455">
        <f t="shared" si="215"/>
        <v>0</v>
      </c>
      <c r="AP98" s="455">
        <f t="shared" si="216"/>
        <v>0</v>
      </c>
      <c r="AQ98" s="455">
        <f t="shared" si="217"/>
        <v>0</v>
      </c>
      <c r="AR98" s="456">
        <f t="shared" si="280"/>
        <v>0</v>
      </c>
      <c r="AS98" s="457"/>
      <c r="AT98" s="455">
        <f t="shared" si="218"/>
        <v>0</v>
      </c>
      <c r="AU98" s="455">
        <f t="shared" si="219"/>
        <v>0</v>
      </c>
      <c r="AV98" s="455">
        <f t="shared" si="220"/>
        <v>0</v>
      </c>
      <c r="AW98" s="455">
        <f t="shared" si="221"/>
        <v>0</v>
      </c>
      <c r="AX98" s="455">
        <f t="shared" si="222"/>
        <v>0</v>
      </c>
      <c r="AY98" s="455">
        <f t="shared" si="223"/>
        <v>0</v>
      </c>
      <c r="AZ98" s="455">
        <f t="shared" si="224"/>
        <v>0</v>
      </c>
      <c r="BA98" s="455">
        <f t="shared" si="225"/>
        <v>0</v>
      </c>
      <c r="BB98" s="455">
        <f t="shared" si="226"/>
        <v>0</v>
      </c>
      <c r="BC98" s="455">
        <f t="shared" si="227"/>
        <v>0</v>
      </c>
      <c r="BD98" s="456">
        <f t="shared" si="281"/>
        <v>0</v>
      </c>
      <c r="BE98" s="457"/>
      <c r="BF98" s="455">
        <f t="shared" si="228"/>
        <v>0</v>
      </c>
      <c r="BG98" s="455">
        <f t="shared" si="229"/>
        <v>0</v>
      </c>
      <c r="BH98" s="455">
        <f t="shared" si="230"/>
        <v>0</v>
      </c>
      <c r="BI98" s="455">
        <f t="shared" si="231"/>
        <v>0</v>
      </c>
      <c r="BJ98" s="455">
        <f t="shared" si="232"/>
        <v>0</v>
      </c>
      <c r="BK98" s="455">
        <f t="shared" si="233"/>
        <v>0</v>
      </c>
      <c r="BL98" s="455">
        <f t="shared" si="234"/>
        <v>0</v>
      </c>
      <c r="BM98" s="455">
        <f t="shared" si="235"/>
        <v>0</v>
      </c>
      <c r="BN98" s="455">
        <f t="shared" si="236"/>
        <v>0</v>
      </c>
      <c r="BO98" s="455">
        <f t="shared" si="237"/>
        <v>0</v>
      </c>
      <c r="BP98" s="456">
        <f t="shared" si="282"/>
        <v>0</v>
      </c>
      <c r="BQ98" s="463"/>
      <c r="BR98" s="459">
        <f t="shared" si="238"/>
        <v>0</v>
      </c>
      <c r="BS98" s="459">
        <f t="shared" si="239"/>
        <v>0</v>
      </c>
      <c r="BT98" s="459">
        <f t="shared" si="240"/>
        <v>0</v>
      </c>
      <c r="BU98" s="459">
        <f t="shared" si="241"/>
        <v>0</v>
      </c>
      <c r="BV98" s="459">
        <f t="shared" si="242"/>
        <v>0</v>
      </c>
      <c r="BW98" s="459">
        <f t="shared" si="243"/>
        <v>0</v>
      </c>
      <c r="BX98" s="459">
        <f t="shared" si="244"/>
        <v>0</v>
      </c>
      <c r="BY98" s="459">
        <f t="shared" si="245"/>
        <v>0</v>
      </c>
      <c r="BZ98" s="459">
        <f t="shared" si="246"/>
        <v>0</v>
      </c>
      <c r="CA98" s="459">
        <f t="shared" si="247"/>
        <v>0</v>
      </c>
      <c r="CB98" s="460">
        <f t="shared" si="283"/>
        <v>0</v>
      </c>
      <c r="CC98" s="463"/>
      <c r="CD98" s="462">
        <f t="shared" si="248"/>
        <v>0</v>
      </c>
      <c r="CE98" s="462">
        <f t="shared" si="249"/>
        <v>0</v>
      </c>
      <c r="CF98" s="462">
        <f t="shared" si="250"/>
        <v>0</v>
      </c>
      <c r="CG98" s="462">
        <f t="shared" si="251"/>
        <v>0</v>
      </c>
      <c r="CH98" s="462">
        <f t="shared" si="252"/>
        <v>0</v>
      </c>
      <c r="CI98" s="462">
        <f t="shared" si="253"/>
        <v>0</v>
      </c>
      <c r="CJ98" s="462">
        <f t="shared" si="254"/>
        <v>0</v>
      </c>
      <c r="CK98" s="462">
        <f t="shared" si="255"/>
        <v>0</v>
      </c>
      <c r="CL98" s="462">
        <f t="shared" si="256"/>
        <v>0</v>
      </c>
      <c r="CM98" s="462">
        <f t="shared" si="257"/>
        <v>0</v>
      </c>
      <c r="CN98" s="460">
        <f t="shared" si="284"/>
        <v>0</v>
      </c>
      <c r="CO98" s="463"/>
      <c r="CP98" s="459">
        <f t="shared" si="258"/>
        <v>0</v>
      </c>
      <c r="CQ98" s="459">
        <f t="shared" si="259"/>
        <v>0</v>
      </c>
      <c r="CR98" s="459">
        <f t="shared" si="260"/>
        <v>0</v>
      </c>
      <c r="CS98" s="459">
        <f t="shared" si="261"/>
        <v>0</v>
      </c>
      <c r="CT98" s="459">
        <f t="shared" si="262"/>
        <v>0</v>
      </c>
      <c r="CU98" s="459">
        <f t="shared" si="263"/>
        <v>0</v>
      </c>
      <c r="CV98" s="459">
        <f t="shared" si="264"/>
        <v>0</v>
      </c>
      <c r="CW98" s="459">
        <f t="shared" si="265"/>
        <v>0</v>
      </c>
      <c r="CX98" s="459">
        <f t="shared" si="266"/>
        <v>0</v>
      </c>
      <c r="CY98" s="459">
        <f t="shared" si="267"/>
        <v>0</v>
      </c>
      <c r="CZ98" s="460">
        <f t="shared" si="285"/>
        <v>0</v>
      </c>
      <c r="DA98" s="463"/>
      <c r="DB98" s="459">
        <f t="shared" si="268"/>
        <v>0</v>
      </c>
      <c r="DC98" s="459">
        <f t="shared" si="269"/>
        <v>0</v>
      </c>
      <c r="DD98" s="459">
        <f t="shared" si="270"/>
        <v>0</v>
      </c>
      <c r="DE98" s="459">
        <f t="shared" si="271"/>
        <v>0</v>
      </c>
      <c r="DF98" s="459">
        <f t="shared" si="272"/>
        <v>0</v>
      </c>
      <c r="DG98" s="459">
        <f t="shared" si="273"/>
        <v>0</v>
      </c>
      <c r="DH98" s="459">
        <f t="shared" si="274"/>
        <v>0</v>
      </c>
      <c r="DI98" s="459">
        <f t="shared" si="275"/>
        <v>0</v>
      </c>
      <c r="DJ98" s="459">
        <f t="shared" si="276"/>
        <v>0</v>
      </c>
      <c r="DK98" s="459">
        <f t="shared" si="277"/>
        <v>0</v>
      </c>
      <c r="DL98" s="460">
        <f t="shared" si="286"/>
        <v>0</v>
      </c>
      <c r="DM98" s="463"/>
      <c r="DN98" s="442">
        <f>IF('2. START'!$C$14&gt;0,(AT98/(1+$AA98))*(1+'2. START'!$C$14),AT98)</f>
        <v>0</v>
      </c>
      <c r="DO98" s="442">
        <f>IF('2. START'!$C$14&gt;0,(AU98/(1+$AA98))*(1+'2. START'!$C$14),AU98)</f>
        <v>0</v>
      </c>
      <c r="DP98" s="442">
        <f>IF('2. START'!$C$14&gt;0,(AV98/(1+$AA98))*(1+'2. START'!$C$14),AV98)</f>
        <v>0</v>
      </c>
      <c r="DQ98" s="442">
        <f>IF('2. START'!$C$14&gt;0,(AW98/(1+$AA98))*(1+'2. START'!$C$14),AW98)</f>
        <v>0</v>
      </c>
      <c r="DR98" s="442">
        <f>IF('2. START'!$C$14&gt;0,(AX98/(1+$AA98))*(1+'2. START'!$C$14),AX98)</f>
        <v>0</v>
      </c>
      <c r="DS98" s="442">
        <f>IF('2. START'!$C$14&gt;0,(AY98/(1+$AA98))*(1+'2. START'!$C$14),AY98)</f>
        <v>0</v>
      </c>
      <c r="DT98" s="442">
        <f>IF('2. START'!$C$14&gt;0,(AZ98/(1+$AA98))*(1+'2. START'!$C$14),AZ98)</f>
        <v>0</v>
      </c>
      <c r="DU98" s="442">
        <f>IF('2. START'!$C$14&gt;0,(BA98/(1+$AA98))*(1+'2. START'!$C$14),BA98)</f>
        <v>0</v>
      </c>
      <c r="DV98" s="442">
        <f>IF('2. START'!$C$14&gt;0,(BB98/(1+$AA98))*(1+'2. START'!$C$14),BB98)</f>
        <v>0</v>
      </c>
      <c r="DW98" s="442">
        <f>IF('2. START'!$C$14&gt;0,(BC98/(1+$AA98))*(1+'2. START'!$C$14),BC98)</f>
        <v>0</v>
      </c>
      <c r="DX98" s="460">
        <f t="shared" si="287"/>
        <v>0</v>
      </c>
      <c r="DY98" s="463"/>
      <c r="DZ98" s="459">
        <f>IF('2. START'!$C$11="NO",(IF('2. START'!$C$14&gt;0,(DN98*$AD98),(AT98*$AD98))),(BR98+CP98))</f>
        <v>0</v>
      </c>
      <c r="EA98" s="459">
        <f>IF('2. START'!$C$11="NO",(IF('2. START'!$C$14&gt;0,(DO98*$AD98),(AU98*$AD98))),(BS98+CQ98))</f>
        <v>0</v>
      </c>
      <c r="EB98" s="459">
        <f>IF('2. START'!$C$11="NO",(IF('2. START'!$C$14&gt;0,(DP98*$AD98),(AV98*$AD98))),(BT98+CR98))</f>
        <v>0</v>
      </c>
      <c r="EC98" s="459">
        <f>IF('2. START'!$C$11="NO",(IF('2. START'!$C$14&gt;0,(DQ98*$AD98),(AW98*$AD98))),(BU98+CS98))</f>
        <v>0</v>
      </c>
      <c r="ED98" s="459">
        <f>IF('2. START'!$C$11="NO",(IF('2. START'!$C$14&gt;0,(DR98*$AD98),(AX98*$AD98))),(BV98+CT98))</f>
        <v>0</v>
      </c>
      <c r="EE98" s="459">
        <f>IF('2. START'!$C$11="NO",(IF('2. START'!$C$14&gt;0,(DS98*$AD98),(AY98*$AD98))),(BW98+CU98))</f>
        <v>0</v>
      </c>
      <c r="EF98" s="459">
        <f>IF('2. START'!$C$11="NO",(IF('2. START'!$C$14&gt;0,(DT98*$AD98),(AZ98*$AD98))),(BX98+CV98))</f>
        <v>0</v>
      </c>
      <c r="EG98" s="459">
        <f>IF('2. START'!$C$11="NO",(IF('2. START'!$C$14&gt;0,(DU98*$AD98),(BA98*$AD98))),(BY98+CW98))</f>
        <v>0</v>
      </c>
      <c r="EH98" s="459">
        <f>IF('2. START'!$C$11="NO",(IF('2. START'!$C$14&gt;0,(DV98*$AD98),(BB98*$AD98))),(BZ98+CX98))</f>
        <v>0</v>
      </c>
      <c r="EI98" s="459">
        <f>IF('2. START'!$C$11="NO",(IF('2. START'!$C$14&gt;0,(DW98*$AD98),(BC98*$AD98))),(CA98+CY98))</f>
        <v>0</v>
      </c>
      <c r="EJ98" s="460">
        <f t="shared" si="288"/>
        <v>0</v>
      </c>
      <c r="EK98" s="463"/>
      <c r="EL98" s="459">
        <f>(BR98+CP98-DZ98)+IF('2. START'!$C$14&gt;0,AT98-DN98,0)</f>
        <v>0</v>
      </c>
      <c r="EM98" s="459">
        <f>(BS98+CQ98-EA98)+IF('2. START'!$C$14&gt;0,AU98-DO98,0)</f>
        <v>0</v>
      </c>
      <c r="EN98" s="459">
        <f>(BT98+CR98-EB98)+IF('2. START'!$C$14&gt;0,AV98-DP98,0)</f>
        <v>0</v>
      </c>
      <c r="EO98" s="459">
        <f>(BU98+CS98-EC98)+IF('2. START'!$C$14&gt;0,AW98-DQ98,0)</f>
        <v>0</v>
      </c>
      <c r="EP98" s="459">
        <f>(BV98+CT98-ED98)+IF('2. START'!$C$14&gt;0,AX98-DR98,0)</f>
        <v>0</v>
      </c>
      <c r="EQ98" s="459">
        <f>(BW98+CU98-EE98)+IF('2. START'!$C$14&gt;0,AY98-DS98,0)</f>
        <v>0</v>
      </c>
      <c r="ER98" s="459">
        <f>(BX98+CV98-EF98)+IF('2. START'!$C$14&gt;0,AZ98-DT98,0)</f>
        <v>0</v>
      </c>
      <c r="ES98" s="459">
        <f>(BY98+CW98-EG98)+IF('2. START'!$C$14&gt;0,BA98-DU98,0)</f>
        <v>0</v>
      </c>
      <c r="ET98" s="459">
        <f>(BZ98+CX98-EH98)+IF('2. START'!$C$14&gt;0,BB98-DV98,0)</f>
        <v>0</v>
      </c>
      <c r="EU98" s="459">
        <f>(CA98+CY98-EI98)+IF('2. START'!$C$14&gt;0,BC98-DW98,0)</f>
        <v>0</v>
      </c>
      <c r="EV98" s="460">
        <f t="shared" si="289"/>
        <v>0</v>
      </c>
      <c r="EW98" s="463"/>
      <c r="EX98" s="459">
        <f t="shared" si="290"/>
        <v>0</v>
      </c>
      <c r="EY98" s="459">
        <f t="shared" si="291"/>
        <v>0</v>
      </c>
      <c r="EZ98" s="459">
        <f t="shared" si="292"/>
        <v>0</v>
      </c>
      <c r="FA98" s="459">
        <f t="shared" si="293"/>
        <v>0</v>
      </c>
      <c r="FB98" s="459">
        <f t="shared" si="294"/>
        <v>0</v>
      </c>
      <c r="FC98" s="459">
        <f t="shared" si="295"/>
        <v>0</v>
      </c>
      <c r="FD98" s="459">
        <f t="shared" si="296"/>
        <v>0</v>
      </c>
      <c r="FE98" s="459">
        <f t="shared" si="297"/>
        <v>0</v>
      </c>
      <c r="FF98" s="459">
        <f t="shared" si="298"/>
        <v>0</v>
      </c>
      <c r="FG98" s="459">
        <f t="shared" si="299"/>
        <v>0</v>
      </c>
      <c r="FH98" s="460">
        <f t="shared" si="300"/>
        <v>0</v>
      </c>
      <c r="FI98" s="463"/>
      <c r="FJ98" s="459">
        <f t="shared" si="301"/>
        <v>0</v>
      </c>
      <c r="FK98" s="459">
        <f t="shared" si="302"/>
        <v>0</v>
      </c>
      <c r="FL98" s="459">
        <f t="shared" si="303"/>
        <v>0</v>
      </c>
      <c r="FM98" s="459">
        <f t="shared" si="304"/>
        <v>0</v>
      </c>
      <c r="FN98" s="459">
        <f t="shared" si="305"/>
        <v>0</v>
      </c>
      <c r="FO98" s="459">
        <f t="shared" si="306"/>
        <v>0</v>
      </c>
      <c r="FP98" s="459">
        <f t="shared" si="307"/>
        <v>0</v>
      </c>
      <c r="FQ98" s="459">
        <f t="shared" si="308"/>
        <v>0</v>
      </c>
      <c r="FR98" s="459">
        <f t="shared" si="309"/>
        <v>0</v>
      </c>
      <c r="FS98" s="459">
        <f t="shared" si="310"/>
        <v>0</v>
      </c>
      <c r="FT98" s="460">
        <f t="shared" si="311"/>
        <v>0</v>
      </c>
    </row>
    <row r="99" spans="2:176" s="270" customFormat="1" ht="15" customHeight="1" x14ac:dyDescent="0.25">
      <c r="B99" s="464" t="str">
        <f>'2. START'!C$7</f>
        <v>100GEM</v>
      </c>
      <c r="C99" s="470"/>
      <c r="D99" s="590"/>
      <c r="E99" s="514">
        <v>0</v>
      </c>
      <c r="F99" s="467"/>
      <c r="G99" s="432"/>
      <c r="H99" s="432"/>
      <c r="I99" s="432"/>
      <c r="J99" s="432"/>
      <c r="K99" s="432"/>
      <c r="L99" s="432"/>
      <c r="M99" s="432"/>
      <c r="N99" s="432"/>
      <c r="O99" s="432"/>
      <c r="P99" s="432"/>
      <c r="Q99" s="545">
        <f>SUMIF('3. PARTNER'!$B$13:$B$80,$B99,'3. PARTNER'!$F$13:$F$80)</f>
        <v>0.02</v>
      </c>
      <c r="R99" s="466">
        <f t="shared" si="313"/>
        <v>0.02</v>
      </c>
      <c r="S99" s="466">
        <f t="shared" si="313"/>
        <v>0.02</v>
      </c>
      <c r="T99" s="466">
        <f t="shared" si="313"/>
        <v>0.02</v>
      </c>
      <c r="U99" s="466">
        <f t="shared" si="313"/>
        <v>0.02</v>
      </c>
      <c r="V99" s="466">
        <f t="shared" si="313"/>
        <v>0.02</v>
      </c>
      <c r="W99" s="466">
        <f t="shared" si="313"/>
        <v>0.02</v>
      </c>
      <c r="X99" s="466">
        <f t="shared" si="313"/>
        <v>0.02</v>
      </c>
      <c r="Y99" s="466">
        <f t="shared" si="313"/>
        <v>0.02</v>
      </c>
      <c r="Z99" s="466">
        <f t="shared" si="313"/>
        <v>0.02</v>
      </c>
      <c r="AA99" s="434">
        <f>SUMIF('3. PARTNER'!B$13:B$80,B99,'3. PARTNER'!E$13:E$80)</f>
        <v>0.5595</v>
      </c>
      <c r="AB99" s="435">
        <f>IF('2. START'!$C$20="UTB",(SUMIF('3. PARTNER'!B$13:B$80,B99,'3. PARTNER'!K$13:K$80))+(SUMIF('3. PARTNER'!B$13:B$80,B99,'3. PARTNER'!M$13:M$80)),(SUMIF('3. PARTNER'!B$13:B$80,B99,'3. PARTNER'!G$13:G$80))+(SUMIF('3. PARTNER'!B$13:B$80,B99,'3. PARTNER'!I$13:I$80)))</f>
        <v>0.16000843770704321</v>
      </c>
      <c r="AC99" s="435">
        <f>IF('2. START'!$C$20="UTB",(SUMIF('3. PARTNER'!B$13:B$80,B99,'3. PARTNER'!L$13:L$80))+(SUMIF('3. PARTNER'!B$13:B$80,B99,'3. PARTNER'!N$13:N$80)),(SUMIF('3. PARTNER'!B$13:B$80,B99,'3. PARTNER'!H$13:H$80))+(SUMIF('3. PARTNER'!B$13:B$80,B99,'3. PARTNER'!J$13:J$80)))</f>
        <v>0</v>
      </c>
      <c r="AD99" s="435">
        <f>IF('2. START'!C$11="NO",'2. START'!C$12,0)</f>
        <v>0</v>
      </c>
      <c r="AE99" s="436">
        <f t="shared" si="278"/>
        <v>0</v>
      </c>
      <c r="AF99" s="436">
        <f t="shared" si="279"/>
        <v>0</v>
      </c>
      <c r="AG99" s="437"/>
      <c r="AH99" s="438">
        <f t="shared" si="208"/>
        <v>0</v>
      </c>
      <c r="AI99" s="438">
        <f t="shared" si="209"/>
        <v>0</v>
      </c>
      <c r="AJ99" s="438">
        <f t="shared" si="210"/>
        <v>0</v>
      </c>
      <c r="AK99" s="438">
        <f t="shared" si="211"/>
        <v>0</v>
      </c>
      <c r="AL99" s="438">
        <f t="shared" si="212"/>
        <v>0</v>
      </c>
      <c r="AM99" s="438">
        <f t="shared" si="213"/>
        <v>0</v>
      </c>
      <c r="AN99" s="438">
        <f t="shared" si="214"/>
        <v>0</v>
      </c>
      <c r="AO99" s="438">
        <f t="shared" si="215"/>
        <v>0</v>
      </c>
      <c r="AP99" s="438">
        <f t="shared" si="216"/>
        <v>0</v>
      </c>
      <c r="AQ99" s="438">
        <f t="shared" si="217"/>
        <v>0</v>
      </c>
      <c r="AR99" s="439">
        <f t="shared" si="280"/>
        <v>0</v>
      </c>
      <c r="AS99" s="440"/>
      <c r="AT99" s="438">
        <f t="shared" si="218"/>
        <v>0</v>
      </c>
      <c r="AU99" s="438">
        <f t="shared" si="219"/>
        <v>0</v>
      </c>
      <c r="AV99" s="438">
        <f t="shared" si="220"/>
        <v>0</v>
      </c>
      <c r="AW99" s="438">
        <f t="shared" si="221"/>
        <v>0</v>
      </c>
      <c r="AX99" s="438">
        <f t="shared" si="222"/>
        <v>0</v>
      </c>
      <c r="AY99" s="438">
        <f t="shared" si="223"/>
        <v>0</v>
      </c>
      <c r="AZ99" s="438">
        <f t="shared" si="224"/>
        <v>0</v>
      </c>
      <c r="BA99" s="438">
        <f t="shared" si="225"/>
        <v>0</v>
      </c>
      <c r="BB99" s="438">
        <f t="shared" si="226"/>
        <v>0</v>
      </c>
      <c r="BC99" s="438">
        <f t="shared" si="227"/>
        <v>0</v>
      </c>
      <c r="BD99" s="439">
        <f t="shared" si="281"/>
        <v>0</v>
      </c>
      <c r="BE99" s="440"/>
      <c r="BF99" s="438">
        <f t="shared" si="228"/>
        <v>0</v>
      </c>
      <c r="BG99" s="438">
        <f t="shared" si="229"/>
        <v>0</v>
      </c>
      <c r="BH99" s="438">
        <f t="shared" si="230"/>
        <v>0</v>
      </c>
      <c r="BI99" s="438">
        <f t="shared" si="231"/>
        <v>0</v>
      </c>
      <c r="BJ99" s="438">
        <f t="shared" si="232"/>
        <v>0</v>
      </c>
      <c r="BK99" s="438">
        <f t="shared" si="233"/>
        <v>0</v>
      </c>
      <c r="BL99" s="438">
        <f t="shared" si="234"/>
        <v>0</v>
      </c>
      <c r="BM99" s="438">
        <f t="shared" si="235"/>
        <v>0</v>
      </c>
      <c r="BN99" s="438">
        <f t="shared" si="236"/>
        <v>0</v>
      </c>
      <c r="BO99" s="438">
        <f t="shared" si="237"/>
        <v>0</v>
      </c>
      <c r="BP99" s="439">
        <f t="shared" si="282"/>
        <v>0</v>
      </c>
      <c r="BR99" s="442">
        <f t="shared" si="238"/>
        <v>0</v>
      </c>
      <c r="BS99" s="442">
        <f t="shared" si="239"/>
        <v>0</v>
      </c>
      <c r="BT99" s="442">
        <f t="shared" si="240"/>
        <v>0</v>
      </c>
      <c r="BU99" s="442">
        <f t="shared" si="241"/>
        <v>0</v>
      </c>
      <c r="BV99" s="442">
        <f t="shared" si="242"/>
        <v>0</v>
      </c>
      <c r="BW99" s="442">
        <f t="shared" si="243"/>
        <v>0</v>
      </c>
      <c r="BX99" s="442">
        <f t="shared" si="244"/>
        <v>0</v>
      </c>
      <c r="BY99" s="442">
        <f t="shared" si="245"/>
        <v>0</v>
      </c>
      <c r="BZ99" s="442">
        <f t="shared" si="246"/>
        <v>0</v>
      </c>
      <c r="CA99" s="442">
        <f t="shared" si="247"/>
        <v>0</v>
      </c>
      <c r="CB99" s="443">
        <f t="shared" si="283"/>
        <v>0</v>
      </c>
      <c r="CD99" s="445">
        <f t="shared" si="248"/>
        <v>0</v>
      </c>
      <c r="CE99" s="445">
        <f t="shared" si="249"/>
        <v>0</v>
      </c>
      <c r="CF99" s="445">
        <f t="shared" si="250"/>
        <v>0</v>
      </c>
      <c r="CG99" s="445">
        <f t="shared" si="251"/>
        <v>0</v>
      </c>
      <c r="CH99" s="445">
        <f t="shared" si="252"/>
        <v>0</v>
      </c>
      <c r="CI99" s="445">
        <f t="shared" si="253"/>
        <v>0</v>
      </c>
      <c r="CJ99" s="445">
        <f t="shared" si="254"/>
        <v>0</v>
      </c>
      <c r="CK99" s="445">
        <f t="shared" si="255"/>
        <v>0</v>
      </c>
      <c r="CL99" s="445">
        <f t="shared" si="256"/>
        <v>0</v>
      </c>
      <c r="CM99" s="445">
        <f t="shared" si="257"/>
        <v>0</v>
      </c>
      <c r="CN99" s="443">
        <f t="shared" si="284"/>
        <v>0</v>
      </c>
      <c r="CP99" s="442">
        <f t="shared" si="258"/>
        <v>0</v>
      </c>
      <c r="CQ99" s="442">
        <f t="shared" si="259"/>
        <v>0</v>
      </c>
      <c r="CR99" s="442">
        <f t="shared" si="260"/>
        <v>0</v>
      </c>
      <c r="CS99" s="442">
        <f t="shared" si="261"/>
        <v>0</v>
      </c>
      <c r="CT99" s="442">
        <f t="shared" si="262"/>
        <v>0</v>
      </c>
      <c r="CU99" s="442">
        <f t="shared" si="263"/>
        <v>0</v>
      </c>
      <c r="CV99" s="442">
        <f t="shared" si="264"/>
        <v>0</v>
      </c>
      <c r="CW99" s="442">
        <f t="shared" si="265"/>
        <v>0</v>
      </c>
      <c r="CX99" s="442">
        <f t="shared" si="266"/>
        <v>0</v>
      </c>
      <c r="CY99" s="442">
        <f t="shared" si="267"/>
        <v>0</v>
      </c>
      <c r="CZ99" s="443">
        <f t="shared" si="285"/>
        <v>0</v>
      </c>
      <c r="DB99" s="442">
        <f t="shared" si="268"/>
        <v>0</v>
      </c>
      <c r="DC99" s="442">
        <f t="shared" si="269"/>
        <v>0</v>
      </c>
      <c r="DD99" s="442">
        <f t="shared" si="270"/>
        <v>0</v>
      </c>
      <c r="DE99" s="442">
        <f t="shared" si="271"/>
        <v>0</v>
      </c>
      <c r="DF99" s="442">
        <f t="shared" si="272"/>
        <v>0</v>
      </c>
      <c r="DG99" s="442">
        <f t="shared" si="273"/>
        <v>0</v>
      </c>
      <c r="DH99" s="442">
        <f t="shared" si="274"/>
        <v>0</v>
      </c>
      <c r="DI99" s="442">
        <f t="shared" si="275"/>
        <v>0</v>
      </c>
      <c r="DJ99" s="442">
        <f t="shared" si="276"/>
        <v>0</v>
      </c>
      <c r="DK99" s="442">
        <f t="shared" si="277"/>
        <v>0</v>
      </c>
      <c r="DL99" s="443">
        <f t="shared" si="286"/>
        <v>0</v>
      </c>
      <c r="DN99" s="442">
        <f>IF('2. START'!$C$14&gt;0,(AT99/(1+$AA99))*(1+'2. START'!$C$14),AT99)</f>
        <v>0</v>
      </c>
      <c r="DO99" s="442">
        <f>IF('2. START'!$C$14&gt;0,(AU99/(1+$AA99))*(1+'2. START'!$C$14),AU99)</f>
        <v>0</v>
      </c>
      <c r="DP99" s="442">
        <f>IF('2. START'!$C$14&gt;0,(AV99/(1+$AA99))*(1+'2. START'!$C$14),AV99)</f>
        <v>0</v>
      </c>
      <c r="DQ99" s="442">
        <f>IF('2. START'!$C$14&gt;0,(AW99/(1+$AA99))*(1+'2. START'!$C$14),AW99)</f>
        <v>0</v>
      </c>
      <c r="DR99" s="442">
        <f>IF('2. START'!$C$14&gt;0,(AX99/(1+$AA99))*(1+'2. START'!$C$14),AX99)</f>
        <v>0</v>
      </c>
      <c r="DS99" s="442">
        <f>IF('2. START'!$C$14&gt;0,(AY99/(1+$AA99))*(1+'2. START'!$C$14),AY99)</f>
        <v>0</v>
      </c>
      <c r="DT99" s="442">
        <f>IF('2. START'!$C$14&gt;0,(AZ99/(1+$AA99))*(1+'2. START'!$C$14),AZ99)</f>
        <v>0</v>
      </c>
      <c r="DU99" s="442">
        <f>IF('2. START'!$C$14&gt;0,(BA99/(1+$AA99))*(1+'2. START'!$C$14),BA99)</f>
        <v>0</v>
      </c>
      <c r="DV99" s="442">
        <f>IF('2. START'!$C$14&gt;0,(BB99/(1+$AA99))*(1+'2. START'!$C$14),BB99)</f>
        <v>0</v>
      </c>
      <c r="DW99" s="442">
        <f>IF('2. START'!$C$14&gt;0,(BC99/(1+$AA99))*(1+'2. START'!$C$14),BC99)</f>
        <v>0</v>
      </c>
      <c r="DX99" s="443">
        <f t="shared" si="287"/>
        <v>0</v>
      </c>
      <c r="DZ99" s="442">
        <f>IF('2. START'!$C$11="NO",(IF('2. START'!$C$14&gt;0,(DN99*$AD99),(AT99*$AD99))),(BR99+CP99))</f>
        <v>0</v>
      </c>
      <c r="EA99" s="442">
        <f>IF('2. START'!$C$11="NO",(IF('2. START'!$C$14&gt;0,(DO99*$AD99),(AU99*$AD99))),(BS99+CQ99))</f>
        <v>0</v>
      </c>
      <c r="EB99" s="442">
        <f>IF('2. START'!$C$11="NO",(IF('2. START'!$C$14&gt;0,(DP99*$AD99),(AV99*$AD99))),(BT99+CR99))</f>
        <v>0</v>
      </c>
      <c r="EC99" s="442">
        <f>IF('2. START'!$C$11="NO",(IF('2. START'!$C$14&gt;0,(DQ99*$AD99),(AW99*$AD99))),(BU99+CS99))</f>
        <v>0</v>
      </c>
      <c r="ED99" s="442">
        <f>IF('2. START'!$C$11="NO",(IF('2. START'!$C$14&gt;0,(DR99*$AD99),(AX99*$AD99))),(BV99+CT99))</f>
        <v>0</v>
      </c>
      <c r="EE99" s="442">
        <f>IF('2. START'!$C$11="NO",(IF('2. START'!$C$14&gt;0,(DS99*$AD99),(AY99*$AD99))),(BW99+CU99))</f>
        <v>0</v>
      </c>
      <c r="EF99" s="442">
        <f>IF('2. START'!$C$11="NO",(IF('2. START'!$C$14&gt;0,(DT99*$AD99),(AZ99*$AD99))),(BX99+CV99))</f>
        <v>0</v>
      </c>
      <c r="EG99" s="442">
        <f>IF('2. START'!$C$11="NO",(IF('2. START'!$C$14&gt;0,(DU99*$AD99),(BA99*$AD99))),(BY99+CW99))</f>
        <v>0</v>
      </c>
      <c r="EH99" s="442">
        <f>IF('2. START'!$C$11="NO",(IF('2. START'!$C$14&gt;0,(DV99*$AD99),(BB99*$AD99))),(BZ99+CX99))</f>
        <v>0</v>
      </c>
      <c r="EI99" s="442">
        <f>IF('2. START'!$C$11="NO",(IF('2. START'!$C$14&gt;0,(DW99*$AD99),(BC99*$AD99))),(CA99+CY99))</f>
        <v>0</v>
      </c>
      <c r="EJ99" s="443">
        <f t="shared" si="288"/>
        <v>0</v>
      </c>
      <c r="EL99" s="442">
        <f>(BR99+CP99-DZ99)+IF('2. START'!$C$14&gt;0,AT99-DN99,0)</f>
        <v>0</v>
      </c>
      <c r="EM99" s="442">
        <f>(BS99+CQ99-EA99)+IF('2. START'!$C$14&gt;0,AU99-DO99,0)</f>
        <v>0</v>
      </c>
      <c r="EN99" s="442">
        <f>(BT99+CR99-EB99)+IF('2. START'!$C$14&gt;0,AV99-DP99,0)</f>
        <v>0</v>
      </c>
      <c r="EO99" s="442">
        <f>(BU99+CS99-EC99)+IF('2. START'!$C$14&gt;0,AW99-DQ99,0)</f>
        <v>0</v>
      </c>
      <c r="EP99" s="442">
        <f>(BV99+CT99-ED99)+IF('2. START'!$C$14&gt;0,AX99-DR99,0)</f>
        <v>0</v>
      </c>
      <c r="EQ99" s="442">
        <f>(BW99+CU99-EE99)+IF('2. START'!$C$14&gt;0,AY99-DS99,0)</f>
        <v>0</v>
      </c>
      <c r="ER99" s="442">
        <f>(BX99+CV99-EF99)+IF('2. START'!$C$14&gt;0,AZ99-DT99,0)</f>
        <v>0</v>
      </c>
      <c r="ES99" s="442">
        <f>(BY99+CW99-EG99)+IF('2. START'!$C$14&gt;0,BA99-DU99,0)</f>
        <v>0</v>
      </c>
      <c r="ET99" s="442">
        <f>(BZ99+CX99-EH99)+IF('2. START'!$C$14&gt;0,BB99-DV99,0)</f>
        <v>0</v>
      </c>
      <c r="EU99" s="442">
        <f>(CA99+CY99-EI99)+IF('2. START'!$C$14&gt;0,BC99-DW99,0)</f>
        <v>0</v>
      </c>
      <c r="EV99" s="443">
        <f t="shared" si="289"/>
        <v>0</v>
      </c>
      <c r="EX99" s="442">
        <f t="shared" si="290"/>
        <v>0</v>
      </c>
      <c r="EY99" s="442">
        <f t="shared" si="291"/>
        <v>0</v>
      </c>
      <c r="EZ99" s="442">
        <f t="shared" si="292"/>
        <v>0</v>
      </c>
      <c r="FA99" s="442">
        <f t="shared" si="293"/>
        <v>0</v>
      </c>
      <c r="FB99" s="442">
        <f t="shared" si="294"/>
        <v>0</v>
      </c>
      <c r="FC99" s="442">
        <f t="shared" si="295"/>
        <v>0</v>
      </c>
      <c r="FD99" s="442">
        <f t="shared" si="296"/>
        <v>0</v>
      </c>
      <c r="FE99" s="442">
        <f t="shared" si="297"/>
        <v>0</v>
      </c>
      <c r="FF99" s="442">
        <f t="shared" si="298"/>
        <v>0</v>
      </c>
      <c r="FG99" s="442">
        <f t="shared" si="299"/>
        <v>0</v>
      </c>
      <c r="FH99" s="443">
        <f t="shared" si="300"/>
        <v>0</v>
      </c>
      <c r="FJ99" s="442">
        <f t="shared" si="301"/>
        <v>0</v>
      </c>
      <c r="FK99" s="442">
        <f t="shared" si="302"/>
        <v>0</v>
      </c>
      <c r="FL99" s="442">
        <f t="shared" si="303"/>
        <v>0</v>
      </c>
      <c r="FM99" s="442">
        <f t="shared" si="304"/>
        <v>0</v>
      </c>
      <c r="FN99" s="442">
        <f t="shared" si="305"/>
        <v>0</v>
      </c>
      <c r="FO99" s="442">
        <f t="shared" si="306"/>
        <v>0</v>
      </c>
      <c r="FP99" s="442">
        <f t="shared" si="307"/>
        <v>0</v>
      </c>
      <c r="FQ99" s="442">
        <f t="shared" si="308"/>
        <v>0</v>
      </c>
      <c r="FR99" s="442">
        <f t="shared" si="309"/>
        <v>0</v>
      </c>
      <c r="FS99" s="442">
        <f t="shared" si="310"/>
        <v>0</v>
      </c>
      <c r="FT99" s="443">
        <f t="shared" si="311"/>
        <v>0</v>
      </c>
    </row>
    <row r="100" spans="2:176" s="270" customFormat="1" ht="15" customHeight="1" x14ac:dyDescent="0.25">
      <c r="B100" s="446" t="str">
        <f>'2. START'!C$7</f>
        <v>100GEM</v>
      </c>
      <c r="C100" s="469"/>
      <c r="D100" s="589"/>
      <c r="E100" s="544">
        <v>0</v>
      </c>
      <c r="F100" s="448"/>
      <c r="G100" s="449"/>
      <c r="H100" s="449"/>
      <c r="I100" s="449"/>
      <c r="J100" s="449"/>
      <c r="K100" s="449"/>
      <c r="L100" s="449"/>
      <c r="M100" s="449"/>
      <c r="N100" s="449"/>
      <c r="O100" s="449"/>
      <c r="P100" s="449"/>
      <c r="Q100" s="546">
        <f>SUMIF('3. PARTNER'!$B$13:$B$80,$B100,'3. PARTNER'!$F$13:$F$80)</f>
        <v>0.02</v>
      </c>
      <c r="R100" s="450">
        <f t="shared" si="313"/>
        <v>0.02</v>
      </c>
      <c r="S100" s="450">
        <f t="shared" si="313"/>
        <v>0.02</v>
      </c>
      <c r="T100" s="450">
        <f t="shared" si="313"/>
        <v>0.02</v>
      </c>
      <c r="U100" s="450">
        <f t="shared" si="313"/>
        <v>0.02</v>
      </c>
      <c r="V100" s="450">
        <f t="shared" si="313"/>
        <v>0.02</v>
      </c>
      <c r="W100" s="450">
        <f t="shared" si="313"/>
        <v>0.02</v>
      </c>
      <c r="X100" s="450">
        <f t="shared" si="313"/>
        <v>0.02</v>
      </c>
      <c r="Y100" s="450">
        <f t="shared" si="313"/>
        <v>0.02</v>
      </c>
      <c r="Z100" s="450">
        <f t="shared" si="313"/>
        <v>0.02</v>
      </c>
      <c r="AA100" s="451">
        <f>SUMIF('3. PARTNER'!B$13:B$80,B100,'3. PARTNER'!E$13:E$80)</f>
        <v>0.5595</v>
      </c>
      <c r="AB100" s="452">
        <f>IF('2. START'!$C$20="UTB",(SUMIF('3. PARTNER'!B$13:B$80,B100,'3. PARTNER'!K$13:K$80))+(SUMIF('3. PARTNER'!B$13:B$80,B100,'3. PARTNER'!M$13:M$80)),(SUMIF('3. PARTNER'!B$13:B$80,B100,'3. PARTNER'!G$13:G$80))+(SUMIF('3. PARTNER'!B$13:B$80,B100,'3. PARTNER'!I$13:I$80)))</f>
        <v>0.16000843770704321</v>
      </c>
      <c r="AC100" s="452">
        <f>IF('2. START'!$C$20="UTB",(SUMIF('3. PARTNER'!B$13:B$80,B100,'3. PARTNER'!L$13:L$80))+(SUMIF('3. PARTNER'!B$13:B$80,B100,'3. PARTNER'!N$13:N$80)),(SUMIF('3. PARTNER'!B$13:B$80,B100,'3. PARTNER'!H$13:H$80))+(SUMIF('3. PARTNER'!B$13:B$80,B100,'3. PARTNER'!J$13:J$80)))</f>
        <v>0</v>
      </c>
      <c r="AD100" s="452">
        <f>IF('2. START'!C$11="NO",'2. START'!C$12,0)</f>
        <v>0</v>
      </c>
      <c r="AE100" s="453">
        <f t="shared" si="278"/>
        <v>0</v>
      </c>
      <c r="AF100" s="453">
        <f t="shared" si="279"/>
        <v>0</v>
      </c>
      <c r="AG100" s="454"/>
      <c r="AH100" s="455">
        <f t="shared" si="208"/>
        <v>0</v>
      </c>
      <c r="AI100" s="455">
        <f t="shared" si="209"/>
        <v>0</v>
      </c>
      <c r="AJ100" s="455">
        <f t="shared" si="210"/>
        <v>0</v>
      </c>
      <c r="AK100" s="455">
        <f t="shared" si="211"/>
        <v>0</v>
      </c>
      <c r="AL100" s="455">
        <f t="shared" si="212"/>
        <v>0</v>
      </c>
      <c r="AM100" s="455">
        <f t="shared" si="213"/>
        <v>0</v>
      </c>
      <c r="AN100" s="455">
        <f t="shared" si="214"/>
        <v>0</v>
      </c>
      <c r="AO100" s="455">
        <f t="shared" si="215"/>
        <v>0</v>
      </c>
      <c r="AP100" s="455">
        <f t="shared" si="216"/>
        <v>0</v>
      </c>
      <c r="AQ100" s="455">
        <f t="shared" si="217"/>
        <v>0</v>
      </c>
      <c r="AR100" s="456">
        <f t="shared" si="280"/>
        <v>0</v>
      </c>
      <c r="AS100" s="457"/>
      <c r="AT100" s="455">
        <f t="shared" si="218"/>
        <v>0</v>
      </c>
      <c r="AU100" s="455">
        <f t="shared" si="219"/>
        <v>0</v>
      </c>
      <c r="AV100" s="455">
        <f t="shared" si="220"/>
        <v>0</v>
      </c>
      <c r="AW100" s="455">
        <f t="shared" si="221"/>
        <v>0</v>
      </c>
      <c r="AX100" s="455">
        <f t="shared" si="222"/>
        <v>0</v>
      </c>
      <c r="AY100" s="455">
        <f t="shared" si="223"/>
        <v>0</v>
      </c>
      <c r="AZ100" s="455">
        <f t="shared" si="224"/>
        <v>0</v>
      </c>
      <c r="BA100" s="455">
        <f t="shared" si="225"/>
        <v>0</v>
      </c>
      <c r="BB100" s="455">
        <f t="shared" si="226"/>
        <v>0</v>
      </c>
      <c r="BC100" s="455">
        <f t="shared" si="227"/>
        <v>0</v>
      </c>
      <c r="BD100" s="456">
        <f t="shared" si="281"/>
        <v>0</v>
      </c>
      <c r="BE100" s="457"/>
      <c r="BF100" s="455">
        <f t="shared" si="228"/>
        <v>0</v>
      </c>
      <c r="BG100" s="455">
        <f t="shared" si="229"/>
        <v>0</v>
      </c>
      <c r="BH100" s="455">
        <f t="shared" si="230"/>
        <v>0</v>
      </c>
      <c r="BI100" s="455">
        <f t="shared" si="231"/>
        <v>0</v>
      </c>
      <c r="BJ100" s="455">
        <f t="shared" si="232"/>
        <v>0</v>
      </c>
      <c r="BK100" s="455">
        <f t="shared" si="233"/>
        <v>0</v>
      </c>
      <c r="BL100" s="455">
        <f t="shared" si="234"/>
        <v>0</v>
      </c>
      <c r="BM100" s="455">
        <f t="shared" si="235"/>
        <v>0</v>
      </c>
      <c r="BN100" s="455">
        <f t="shared" si="236"/>
        <v>0</v>
      </c>
      <c r="BO100" s="455">
        <f t="shared" si="237"/>
        <v>0</v>
      </c>
      <c r="BP100" s="456">
        <f t="shared" si="282"/>
        <v>0</v>
      </c>
      <c r="BQ100" s="463"/>
      <c r="BR100" s="459">
        <f t="shared" si="238"/>
        <v>0</v>
      </c>
      <c r="BS100" s="459">
        <f t="shared" si="239"/>
        <v>0</v>
      </c>
      <c r="BT100" s="459">
        <f t="shared" si="240"/>
        <v>0</v>
      </c>
      <c r="BU100" s="459">
        <f t="shared" si="241"/>
        <v>0</v>
      </c>
      <c r="BV100" s="459">
        <f t="shared" si="242"/>
        <v>0</v>
      </c>
      <c r="BW100" s="459">
        <f t="shared" si="243"/>
        <v>0</v>
      </c>
      <c r="BX100" s="459">
        <f t="shared" si="244"/>
        <v>0</v>
      </c>
      <c r="BY100" s="459">
        <f t="shared" si="245"/>
        <v>0</v>
      </c>
      <c r="BZ100" s="459">
        <f t="shared" si="246"/>
        <v>0</v>
      </c>
      <c r="CA100" s="459">
        <f t="shared" si="247"/>
        <v>0</v>
      </c>
      <c r="CB100" s="460">
        <f t="shared" si="283"/>
        <v>0</v>
      </c>
      <c r="CC100" s="463"/>
      <c r="CD100" s="462">
        <f t="shared" si="248"/>
        <v>0</v>
      </c>
      <c r="CE100" s="462">
        <f t="shared" si="249"/>
        <v>0</v>
      </c>
      <c r="CF100" s="462">
        <f t="shared" si="250"/>
        <v>0</v>
      </c>
      <c r="CG100" s="462">
        <f t="shared" si="251"/>
        <v>0</v>
      </c>
      <c r="CH100" s="462">
        <f t="shared" si="252"/>
        <v>0</v>
      </c>
      <c r="CI100" s="462">
        <f t="shared" si="253"/>
        <v>0</v>
      </c>
      <c r="CJ100" s="462">
        <f t="shared" si="254"/>
        <v>0</v>
      </c>
      <c r="CK100" s="462">
        <f t="shared" si="255"/>
        <v>0</v>
      </c>
      <c r="CL100" s="462">
        <f t="shared" si="256"/>
        <v>0</v>
      </c>
      <c r="CM100" s="462">
        <f t="shared" si="257"/>
        <v>0</v>
      </c>
      <c r="CN100" s="460">
        <f t="shared" si="284"/>
        <v>0</v>
      </c>
      <c r="CO100" s="463"/>
      <c r="CP100" s="459">
        <f t="shared" si="258"/>
        <v>0</v>
      </c>
      <c r="CQ100" s="459">
        <f t="shared" si="259"/>
        <v>0</v>
      </c>
      <c r="CR100" s="459">
        <f t="shared" si="260"/>
        <v>0</v>
      </c>
      <c r="CS100" s="459">
        <f t="shared" si="261"/>
        <v>0</v>
      </c>
      <c r="CT100" s="459">
        <f t="shared" si="262"/>
        <v>0</v>
      </c>
      <c r="CU100" s="459">
        <f t="shared" si="263"/>
        <v>0</v>
      </c>
      <c r="CV100" s="459">
        <f t="shared" si="264"/>
        <v>0</v>
      </c>
      <c r="CW100" s="459">
        <f t="shared" si="265"/>
        <v>0</v>
      </c>
      <c r="CX100" s="459">
        <f t="shared" si="266"/>
        <v>0</v>
      </c>
      <c r="CY100" s="459">
        <f t="shared" si="267"/>
        <v>0</v>
      </c>
      <c r="CZ100" s="460">
        <f t="shared" si="285"/>
        <v>0</v>
      </c>
      <c r="DA100" s="463"/>
      <c r="DB100" s="459">
        <f t="shared" si="268"/>
        <v>0</v>
      </c>
      <c r="DC100" s="459">
        <f t="shared" si="269"/>
        <v>0</v>
      </c>
      <c r="DD100" s="459">
        <f t="shared" si="270"/>
        <v>0</v>
      </c>
      <c r="DE100" s="459">
        <f t="shared" si="271"/>
        <v>0</v>
      </c>
      <c r="DF100" s="459">
        <f t="shared" si="272"/>
        <v>0</v>
      </c>
      <c r="DG100" s="459">
        <f t="shared" si="273"/>
        <v>0</v>
      </c>
      <c r="DH100" s="459">
        <f t="shared" si="274"/>
        <v>0</v>
      </c>
      <c r="DI100" s="459">
        <f t="shared" si="275"/>
        <v>0</v>
      </c>
      <c r="DJ100" s="459">
        <f t="shared" si="276"/>
        <v>0</v>
      </c>
      <c r="DK100" s="459">
        <f t="shared" si="277"/>
        <v>0</v>
      </c>
      <c r="DL100" s="460">
        <f t="shared" si="286"/>
        <v>0</v>
      </c>
      <c r="DM100" s="463"/>
      <c r="DN100" s="442">
        <f>IF('2. START'!$C$14&gt;0,(AT100/(1+$AA100))*(1+'2. START'!$C$14),AT100)</f>
        <v>0</v>
      </c>
      <c r="DO100" s="442">
        <f>IF('2. START'!$C$14&gt;0,(AU100/(1+$AA100))*(1+'2. START'!$C$14),AU100)</f>
        <v>0</v>
      </c>
      <c r="DP100" s="442">
        <f>IF('2. START'!$C$14&gt;0,(AV100/(1+$AA100))*(1+'2. START'!$C$14),AV100)</f>
        <v>0</v>
      </c>
      <c r="DQ100" s="442">
        <f>IF('2. START'!$C$14&gt;0,(AW100/(1+$AA100))*(1+'2. START'!$C$14),AW100)</f>
        <v>0</v>
      </c>
      <c r="DR100" s="442">
        <f>IF('2. START'!$C$14&gt;0,(AX100/(1+$AA100))*(1+'2. START'!$C$14),AX100)</f>
        <v>0</v>
      </c>
      <c r="DS100" s="442">
        <f>IF('2. START'!$C$14&gt;0,(AY100/(1+$AA100))*(1+'2. START'!$C$14),AY100)</f>
        <v>0</v>
      </c>
      <c r="DT100" s="442">
        <f>IF('2. START'!$C$14&gt;0,(AZ100/(1+$AA100))*(1+'2. START'!$C$14),AZ100)</f>
        <v>0</v>
      </c>
      <c r="DU100" s="442">
        <f>IF('2. START'!$C$14&gt;0,(BA100/(1+$AA100))*(1+'2. START'!$C$14),BA100)</f>
        <v>0</v>
      </c>
      <c r="DV100" s="442">
        <f>IF('2. START'!$C$14&gt;0,(BB100/(1+$AA100))*(1+'2. START'!$C$14),BB100)</f>
        <v>0</v>
      </c>
      <c r="DW100" s="442">
        <f>IF('2. START'!$C$14&gt;0,(BC100/(1+$AA100))*(1+'2. START'!$C$14),BC100)</f>
        <v>0</v>
      </c>
      <c r="DX100" s="460">
        <f t="shared" si="287"/>
        <v>0</v>
      </c>
      <c r="DY100" s="463"/>
      <c r="DZ100" s="459">
        <f>IF('2. START'!$C$11="NO",(IF('2. START'!$C$14&gt;0,(DN100*$AD100),(AT100*$AD100))),(BR100+CP100))</f>
        <v>0</v>
      </c>
      <c r="EA100" s="459">
        <f>IF('2. START'!$C$11="NO",(IF('2. START'!$C$14&gt;0,(DO100*$AD100),(AU100*$AD100))),(BS100+CQ100))</f>
        <v>0</v>
      </c>
      <c r="EB100" s="459">
        <f>IF('2. START'!$C$11="NO",(IF('2. START'!$C$14&gt;0,(DP100*$AD100),(AV100*$AD100))),(BT100+CR100))</f>
        <v>0</v>
      </c>
      <c r="EC100" s="459">
        <f>IF('2. START'!$C$11="NO",(IF('2. START'!$C$14&gt;0,(DQ100*$AD100),(AW100*$AD100))),(BU100+CS100))</f>
        <v>0</v>
      </c>
      <c r="ED100" s="459">
        <f>IF('2. START'!$C$11="NO",(IF('2. START'!$C$14&gt;0,(DR100*$AD100),(AX100*$AD100))),(BV100+CT100))</f>
        <v>0</v>
      </c>
      <c r="EE100" s="459">
        <f>IF('2. START'!$C$11="NO",(IF('2. START'!$C$14&gt;0,(DS100*$AD100),(AY100*$AD100))),(BW100+CU100))</f>
        <v>0</v>
      </c>
      <c r="EF100" s="459">
        <f>IF('2. START'!$C$11="NO",(IF('2. START'!$C$14&gt;0,(DT100*$AD100),(AZ100*$AD100))),(BX100+CV100))</f>
        <v>0</v>
      </c>
      <c r="EG100" s="459">
        <f>IF('2. START'!$C$11="NO",(IF('2. START'!$C$14&gt;0,(DU100*$AD100),(BA100*$AD100))),(BY100+CW100))</f>
        <v>0</v>
      </c>
      <c r="EH100" s="459">
        <f>IF('2. START'!$C$11="NO",(IF('2. START'!$C$14&gt;0,(DV100*$AD100),(BB100*$AD100))),(BZ100+CX100))</f>
        <v>0</v>
      </c>
      <c r="EI100" s="459">
        <f>IF('2. START'!$C$11="NO",(IF('2. START'!$C$14&gt;0,(DW100*$AD100),(BC100*$AD100))),(CA100+CY100))</f>
        <v>0</v>
      </c>
      <c r="EJ100" s="460">
        <f t="shared" si="288"/>
        <v>0</v>
      </c>
      <c r="EK100" s="463"/>
      <c r="EL100" s="459">
        <f>(BR100+CP100-DZ100)+IF('2. START'!$C$14&gt;0,AT100-DN100,0)</f>
        <v>0</v>
      </c>
      <c r="EM100" s="459">
        <f>(BS100+CQ100-EA100)+IF('2. START'!$C$14&gt;0,AU100-DO100,0)</f>
        <v>0</v>
      </c>
      <c r="EN100" s="459">
        <f>(BT100+CR100-EB100)+IF('2. START'!$C$14&gt;0,AV100-DP100,0)</f>
        <v>0</v>
      </c>
      <c r="EO100" s="459">
        <f>(BU100+CS100-EC100)+IF('2. START'!$C$14&gt;0,AW100-DQ100,0)</f>
        <v>0</v>
      </c>
      <c r="EP100" s="459">
        <f>(BV100+CT100-ED100)+IF('2. START'!$C$14&gt;0,AX100-DR100,0)</f>
        <v>0</v>
      </c>
      <c r="EQ100" s="459">
        <f>(BW100+CU100-EE100)+IF('2. START'!$C$14&gt;0,AY100-DS100,0)</f>
        <v>0</v>
      </c>
      <c r="ER100" s="459">
        <f>(BX100+CV100-EF100)+IF('2. START'!$C$14&gt;0,AZ100-DT100,0)</f>
        <v>0</v>
      </c>
      <c r="ES100" s="459">
        <f>(BY100+CW100-EG100)+IF('2. START'!$C$14&gt;0,BA100-DU100,0)</f>
        <v>0</v>
      </c>
      <c r="ET100" s="459">
        <f>(BZ100+CX100-EH100)+IF('2. START'!$C$14&gt;0,BB100-DV100,0)</f>
        <v>0</v>
      </c>
      <c r="EU100" s="459">
        <f>(CA100+CY100-EI100)+IF('2. START'!$C$14&gt;0,BC100-DW100,0)</f>
        <v>0</v>
      </c>
      <c r="EV100" s="460">
        <f t="shared" si="289"/>
        <v>0</v>
      </c>
      <c r="EW100" s="463"/>
      <c r="EX100" s="459">
        <f t="shared" si="290"/>
        <v>0</v>
      </c>
      <c r="EY100" s="459">
        <f t="shared" si="291"/>
        <v>0</v>
      </c>
      <c r="EZ100" s="459">
        <f t="shared" si="292"/>
        <v>0</v>
      </c>
      <c r="FA100" s="459">
        <f t="shared" si="293"/>
        <v>0</v>
      </c>
      <c r="FB100" s="459">
        <f t="shared" si="294"/>
        <v>0</v>
      </c>
      <c r="FC100" s="459">
        <f t="shared" si="295"/>
        <v>0</v>
      </c>
      <c r="FD100" s="459">
        <f t="shared" si="296"/>
        <v>0</v>
      </c>
      <c r="FE100" s="459">
        <f t="shared" si="297"/>
        <v>0</v>
      </c>
      <c r="FF100" s="459">
        <f t="shared" si="298"/>
        <v>0</v>
      </c>
      <c r="FG100" s="459">
        <f t="shared" si="299"/>
        <v>0</v>
      </c>
      <c r="FH100" s="460">
        <f t="shared" si="300"/>
        <v>0</v>
      </c>
      <c r="FI100" s="463"/>
      <c r="FJ100" s="459">
        <f t="shared" si="301"/>
        <v>0</v>
      </c>
      <c r="FK100" s="459">
        <f t="shared" si="302"/>
        <v>0</v>
      </c>
      <c r="FL100" s="459">
        <f t="shared" si="303"/>
        <v>0</v>
      </c>
      <c r="FM100" s="459">
        <f t="shared" si="304"/>
        <v>0</v>
      </c>
      <c r="FN100" s="459">
        <f t="shared" si="305"/>
        <v>0</v>
      </c>
      <c r="FO100" s="459">
        <f t="shared" si="306"/>
        <v>0</v>
      </c>
      <c r="FP100" s="459">
        <f t="shared" si="307"/>
        <v>0</v>
      </c>
      <c r="FQ100" s="459">
        <f t="shared" si="308"/>
        <v>0</v>
      </c>
      <c r="FR100" s="459">
        <f t="shared" si="309"/>
        <v>0</v>
      </c>
      <c r="FS100" s="459">
        <f t="shared" si="310"/>
        <v>0</v>
      </c>
      <c r="FT100" s="460">
        <f t="shared" si="311"/>
        <v>0</v>
      </c>
    </row>
    <row r="101" spans="2:176" s="270" customFormat="1" ht="15" customHeight="1" x14ac:dyDescent="0.25">
      <c r="B101" s="464" t="str">
        <f>'2. START'!C$7</f>
        <v>100GEM</v>
      </c>
      <c r="C101" s="470"/>
      <c r="D101" s="590"/>
      <c r="E101" s="514">
        <v>0</v>
      </c>
      <c r="F101" s="467"/>
      <c r="G101" s="432"/>
      <c r="H101" s="432"/>
      <c r="I101" s="432"/>
      <c r="J101" s="432"/>
      <c r="K101" s="432"/>
      <c r="L101" s="432"/>
      <c r="M101" s="432"/>
      <c r="N101" s="432"/>
      <c r="O101" s="432"/>
      <c r="P101" s="432"/>
      <c r="Q101" s="545">
        <f>SUMIF('3. PARTNER'!$B$13:$B$80,$B101,'3. PARTNER'!$F$13:$F$80)</f>
        <v>0.02</v>
      </c>
      <c r="R101" s="466">
        <f t="shared" si="313"/>
        <v>0.02</v>
      </c>
      <c r="S101" s="466">
        <f t="shared" si="313"/>
        <v>0.02</v>
      </c>
      <c r="T101" s="466">
        <f t="shared" si="313"/>
        <v>0.02</v>
      </c>
      <c r="U101" s="466">
        <f t="shared" si="313"/>
        <v>0.02</v>
      </c>
      <c r="V101" s="466">
        <f t="shared" si="313"/>
        <v>0.02</v>
      </c>
      <c r="W101" s="466">
        <f t="shared" si="313"/>
        <v>0.02</v>
      </c>
      <c r="X101" s="466">
        <f t="shared" si="313"/>
        <v>0.02</v>
      </c>
      <c r="Y101" s="466">
        <f t="shared" si="313"/>
        <v>0.02</v>
      </c>
      <c r="Z101" s="466">
        <f t="shared" si="313"/>
        <v>0.02</v>
      </c>
      <c r="AA101" s="434">
        <f>SUMIF('3. PARTNER'!B$13:B$80,B101,'3. PARTNER'!E$13:E$80)</f>
        <v>0.5595</v>
      </c>
      <c r="AB101" s="435">
        <f>IF('2. START'!$C$20="UTB",(SUMIF('3. PARTNER'!B$13:B$80,B101,'3. PARTNER'!K$13:K$80))+(SUMIF('3. PARTNER'!B$13:B$80,B101,'3. PARTNER'!M$13:M$80)),(SUMIF('3. PARTNER'!B$13:B$80,B101,'3. PARTNER'!G$13:G$80))+(SUMIF('3. PARTNER'!B$13:B$80,B101,'3. PARTNER'!I$13:I$80)))</f>
        <v>0.16000843770704321</v>
      </c>
      <c r="AC101" s="435">
        <f>IF('2. START'!$C$20="UTB",(SUMIF('3. PARTNER'!B$13:B$80,B101,'3. PARTNER'!L$13:L$80))+(SUMIF('3. PARTNER'!B$13:B$80,B101,'3. PARTNER'!N$13:N$80)),(SUMIF('3. PARTNER'!B$13:B$80,B101,'3. PARTNER'!H$13:H$80))+(SUMIF('3. PARTNER'!B$13:B$80,B101,'3. PARTNER'!J$13:J$80)))</f>
        <v>0</v>
      </c>
      <c r="AD101" s="435">
        <f>IF('2. START'!C$11="NO",'2. START'!C$12,0)</f>
        <v>0</v>
      </c>
      <c r="AE101" s="436">
        <f t="shared" si="278"/>
        <v>0</v>
      </c>
      <c r="AF101" s="436">
        <f t="shared" si="279"/>
        <v>0</v>
      </c>
      <c r="AG101" s="437"/>
      <c r="AH101" s="438">
        <f t="shared" si="208"/>
        <v>0</v>
      </c>
      <c r="AI101" s="438">
        <f t="shared" si="209"/>
        <v>0</v>
      </c>
      <c r="AJ101" s="438">
        <f t="shared" si="210"/>
        <v>0</v>
      </c>
      <c r="AK101" s="438">
        <f t="shared" si="211"/>
        <v>0</v>
      </c>
      <c r="AL101" s="438">
        <f t="shared" si="212"/>
        <v>0</v>
      </c>
      <c r="AM101" s="438">
        <f t="shared" si="213"/>
        <v>0</v>
      </c>
      <c r="AN101" s="438">
        <f t="shared" si="214"/>
        <v>0</v>
      </c>
      <c r="AO101" s="438">
        <f t="shared" si="215"/>
        <v>0</v>
      </c>
      <c r="AP101" s="438">
        <f t="shared" si="216"/>
        <v>0</v>
      </c>
      <c r="AQ101" s="438">
        <f t="shared" si="217"/>
        <v>0</v>
      </c>
      <c r="AR101" s="439">
        <f t="shared" si="280"/>
        <v>0</v>
      </c>
      <c r="AS101" s="440"/>
      <c r="AT101" s="438">
        <f t="shared" si="218"/>
        <v>0</v>
      </c>
      <c r="AU101" s="438">
        <f t="shared" si="219"/>
        <v>0</v>
      </c>
      <c r="AV101" s="438">
        <f t="shared" si="220"/>
        <v>0</v>
      </c>
      <c r="AW101" s="438">
        <f t="shared" si="221"/>
        <v>0</v>
      </c>
      <c r="AX101" s="438">
        <f t="shared" si="222"/>
        <v>0</v>
      </c>
      <c r="AY101" s="438">
        <f t="shared" si="223"/>
        <v>0</v>
      </c>
      <c r="AZ101" s="438">
        <f t="shared" si="224"/>
        <v>0</v>
      </c>
      <c r="BA101" s="438">
        <f t="shared" si="225"/>
        <v>0</v>
      </c>
      <c r="BB101" s="438">
        <f t="shared" si="226"/>
        <v>0</v>
      </c>
      <c r="BC101" s="438">
        <f t="shared" si="227"/>
        <v>0</v>
      </c>
      <c r="BD101" s="439">
        <f t="shared" si="281"/>
        <v>0</v>
      </c>
      <c r="BE101" s="440"/>
      <c r="BF101" s="438">
        <f t="shared" si="228"/>
        <v>0</v>
      </c>
      <c r="BG101" s="438">
        <f t="shared" si="229"/>
        <v>0</v>
      </c>
      <c r="BH101" s="438">
        <f t="shared" si="230"/>
        <v>0</v>
      </c>
      <c r="BI101" s="438">
        <f t="shared" si="231"/>
        <v>0</v>
      </c>
      <c r="BJ101" s="438">
        <f t="shared" si="232"/>
        <v>0</v>
      </c>
      <c r="BK101" s="438">
        <f t="shared" si="233"/>
        <v>0</v>
      </c>
      <c r="BL101" s="438">
        <f t="shared" si="234"/>
        <v>0</v>
      </c>
      <c r="BM101" s="438">
        <f t="shared" si="235"/>
        <v>0</v>
      </c>
      <c r="BN101" s="438">
        <f t="shared" si="236"/>
        <v>0</v>
      </c>
      <c r="BO101" s="438">
        <f t="shared" si="237"/>
        <v>0</v>
      </c>
      <c r="BP101" s="439">
        <f t="shared" si="282"/>
        <v>0</v>
      </c>
      <c r="BR101" s="442">
        <f t="shared" si="238"/>
        <v>0</v>
      </c>
      <c r="BS101" s="442">
        <f t="shared" si="239"/>
        <v>0</v>
      </c>
      <c r="BT101" s="442">
        <f t="shared" si="240"/>
        <v>0</v>
      </c>
      <c r="BU101" s="442">
        <f t="shared" si="241"/>
        <v>0</v>
      </c>
      <c r="BV101" s="442">
        <f t="shared" si="242"/>
        <v>0</v>
      </c>
      <c r="BW101" s="442">
        <f t="shared" si="243"/>
        <v>0</v>
      </c>
      <c r="BX101" s="442">
        <f t="shared" si="244"/>
        <v>0</v>
      </c>
      <c r="BY101" s="442">
        <f t="shared" si="245"/>
        <v>0</v>
      </c>
      <c r="BZ101" s="442">
        <f t="shared" si="246"/>
        <v>0</v>
      </c>
      <c r="CA101" s="442">
        <f t="shared" si="247"/>
        <v>0</v>
      </c>
      <c r="CB101" s="443">
        <f t="shared" si="283"/>
        <v>0</v>
      </c>
      <c r="CD101" s="445">
        <f t="shared" si="248"/>
        <v>0</v>
      </c>
      <c r="CE101" s="445">
        <f t="shared" si="249"/>
        <v>0</v>
      </c>
      <c r="CF101" s="445">
        <f t="shared" si="250"/>
        <v>0</v>
      </c>
      <c r="CG101" s="445">
        <f t="shared" si="251"/>
        <v>0</v>
      </c>
      <c r="CH101" s="445">
        <f t="shared" si="252"/>
        <v>0</v>
      </c>
      <c r="CI101" s="445">
        <f t="shared" si="253"/>
        <v>0</v>
      </c>
      <c r="CJ101" s="445">
        <f t="shared" si="254"/>
        <v>0</v>
      </c>
      <c r="CK101" s="445">
        <f t="shared" si="255"/>
        <v>0</v>
      </c>
      <c r="CL101" s="445">
        <f t="shared" si="256"/>
        <v>0</v>
      </c>
      <c r="CM101" s="445">
        <f t="shared" si="257"/>
        <v>0</v>
      </c>
      <c r="CN101" s="443">
        <f t="shared" si="284"/>
        <v>0</v>
      </c>
      <c r="CP101" s="442">
        <f t="shared" si="258"/>
        <v>0</v>
      </c>
      <c r="CQ101" s="442">
        <f t="shared" si="259"/>
        <v>0</v>
      </c>
      <c r="CR101" s="442">
        <f t="shared" si="260"/>
        <v>0</v>
      </c>
      <c r="CS101" s="442">
        <f t="shared" si="261"/>
        <v>0</v>
      </c>
      <c r="CT101" s="442">
        <f t="shared" si="262"/>
        <v>0</v>
      </c>
      <c r="CU101" s="442">
        <f t="shared" si="263"/>
        <v>0</v>
      </c>
      <c r="CV101" s="442">
        <f t="shared" si="264"/>
        <v>0</v>
      </c>
      <c r="CW101" s="442">
        <f t="shared" si="265"/>
        <v>0</v>
      </c>
      <c r="CX101" s="442">
        <f t="shared" si="266"/>
        <v>0</v>
      </c>
      <c r="CY101" s="442">
        <f t="shared" si="267"/>
        <v>0</v>
      </c>
      <c r="CZ101" s="443">
        <f t="shared" si="285"/>
        <v>0</v>
      </c>
      <c r="DB101" s="442">
        <f t="shared" si="268"/>
        <v>0</v>
      </c>
      <c r="DC101" s="442">
        <f t="shared" si="269"/>
        <v>0</v>
      </c>
      <c r="DD101" s="442">
        <f t="shared" si="270"/>
        <v>0</v>
      </c>
      <c r="DE101" s="442">
        <f t="shared" si="271"/>
        <v>0</v>
      </c>
      <c r="DF101" s="442">
        <f t="shared" si="272"/>
        <v>0</v>
      </c>
      <c r="DG101" s="442">
        <f t="shared" si="273"/>
        <v>0</v>
      </c>
      <c r="DH101" s="442">
        <f t="shared" si="274"/>
        <v>0</v>
      </c>
      <c r="DI101" s="442">
        <f t="shared" si="275"/>
        <v>0</v>
      </c>
      <c r="DJ101" s="442">
        <f t="shared" si="276"/>
        <v>0</v>
      </c>
      <c r="DK101" s="442">
        <f t="shared" si="277"/>
        <v>0</v>
      </c>
      <c r="DL101" s="443">
        <f t="shared" si="286"/>
        <v>0</v>
      </c>
      <c r="DN101" s="442">
        <f>IF('2. START'!$C$14&gt;0,(AT101/(1+$AA101))*(1+'2. START'!$C$14),AT101)</f>
        <v>0</v>
      </c>
      <c r="DO101" s="442">
        <f>IF('2. START'!$C$14&gt;0,(AU101/(1+$AA101))*(1+'2. START'!$C$14),AU101)</f>
        <v>0</v>
      </c>
      <c r="DP101" s="442">
        <f>IF('2. START'!$C$14&gt;0,(AV101/(1+$AA101))*(1+'2. START'!$C$14),AV101)</f>
        <v>0</v>
      </c>
      <c r="DQ101" s="442">
        <f>IF('2. START'!$C$14&gt;0,(AW101/(1+$AA101))*(1+'2. START'!$C$14),AW101)</f>
        <v>0</v>
      </c>
      <c r="DR101" s="442">
        <f>IF('2. START'!$C$14&gt;0,(AX101/(1+$AA101))*(1+'2. START'!$C$14),AX101)</f>
        <v>0</v>
      </c>
      <c r="DS101" s="442">
        <f>IF('2. START'!$C$14&gt;0,(AY101/(1+$AA101))*(1+'2. START'!$C$14),AY101)</f>
        <v>0</v>
      </c>
      <c r="DT101" s="442">
        <f>IF('2. START'!$C$14&gt;0,(AZ101/(1+$AA101))*(1+'2. START'!$C$14),AZ101)</f>
        <v>0</v>
      </c>
      <c r="DU101" s="442">
        <f>IF('2. START'!$C$14&gt;0,(BA101/(1+$AA101))*(1+'2. START'!$C$14),BA101)</f>
        <v>0</v>
      </c>
      <c r="DV101" s="442">
        <f>IF('2. START'!$C$14&gt;0,(BB101/(1+$AA101))*(1+'2. START'!$C$14),BB101)</f>
        <v>0</v>
      </c>
      <c r="DW101" s="442">
        <f>IF('2. START'!$C$14&gt;0,(BC101/(1+$AA101))*(1+'2. START'!$C$14),BC101)</f>
        <v>0</v>
      </c>
      <c r="DX101" s="443">
        <f t="shared" si="287"/>
        <v>0</v>
      </c>
      <c r="DZ101" s="442">
        <f>IF('2. START'!$C$11="NO",(IF('2. START'!$C$14&gt;0,(DN101*$AD101),(AT101*$AD101))),(BR101+CP101))</f>
        <v>0</v>
      </c>
      <c r="EA101" s="442">
        <f>IF('2. START'!$C$11="NO",(IF('2. START'!$C$14&gt;0,(DO101*$AD101),(AU101*$AD101))),(BS101+CQ101))</f>
        <v>0</v>
      </c>
      <c r="EB101" s="442">
        <f>IF('2. START'!$C$11="NO",(IF('2. START'!$C$14&gt;0,(DP101*$AD101),(AV101*$AD101))),(BT101+CR101))</f>
        <v>0</v>
      </c>
      <c r="EC101" s="442">
        <f>IF('2. START'!$C$11="NO",(IF('2. START'!$C$14&gt;0,(DQ101*$AD101),(AW101*$AD101))),(BU101+CS101))</f>
        <v>0</v>
      </c>
      <c r="ED101" s="442">
        <f>IF('2. START'!$C$11="NO",(IF('2. START'!$C$14&gt;0,(DR101*$AD101),(AX101*$AD101))),(BV101+CT101))</f>
        <v>0</v>
      </c>
      <c r="EE101" s="442">
        <f>IF('2. START'!$C$11="NO",(IF('2. START'!$C$14&gt;0,(DS101*$AD101),(AY101*$AD101))),(BW101+CU101))</f>
        <v>0</v>
      </c>
      <c r="EF101" s="442">
        <f>IF('2. START'!$C$11="NO",(IF('2. START'!$C$14&gt;0,(DT101*$AD101),(AZ101*$AD101))),(BX101+CV101))</f>
        <v>0</v>
      </c>
      <c r="EG101" s="442">
        <f>IF('2. START'!$C$11="NO",(IF('2. START'!$C$14&gt;0,(DU101*$AD101),(BA101*$AD101))),(BY101+CW101))</f>
        <v>0</v>
      </c>
      <c r="EH101" s="442">
        <f>IF('2. START'!$C$11="NO",(IF('2. START'!$C$14&gt;0,(DV101*$AD101),(BB101*$AD101))),(BZ101+CX101))</f>
        <v>0</v>
      </c>
      <c r="EI101" s="442">
        <f>IF('2. START'!$C$11="NO",(IF('2. START'!$C$14&gt;0,(DW101*$AD101),(BC101*$AD101))),(CA101+CY101))</f>
        <v>0</v>
      </c>
      <c r="EJ101" s="443">
        <f t="shared" si="288"/>
        <v>0</v>
      </c>
      <c r="EL101" s="442">
        <f>(BR101+CP101-DZ101)+IF('2. START'!$C$14&gt;0,AT101-DN101,0)</f>
        <v>0</v>
      </c>
      <c r="EM101" s="442">
        <f>(BS101+CQ101-EA101)+IF('2. START'!$C$14&gt;0,AU101-DO101,0)</f>
        <v>0</v>
      </c>
      <c r="EN101" s="442">
        <f>(BT101+CR101-EB101)+IF('2. START'!$C$14&gt;0,AV101-DP101,0)</f>
        <v>0</v>
      </c>
      <c r="EO101" s="442">
        <f>(BU101+CS101-EC101)+IF('2. START'!$C$14&gt;0,AW101-DQ101,0)</f>
        <v>0</v>
      </c>
      <c r="EP101" s="442">
        <f>(BV101+CT101-ED101)+IF('2. START'!$C$14&gt;0,AX101-DR101,0)</f>
        <v>0</v>
      </c>
      <c r="EQ101" s="442">
        <f>(BW101+CU101-EE101)+IF('2. START'!$C$14&gt;0,AY101-DS101,0)</f>
        <v>0</v>
      </c>
      <c r="ER101" s="442">
        <f>(BX101+CV101-EF101)+IF('2. START'!$C$14&gt;0,AZ101-DT101,0)</f>
        <v>0</v>
      </c>
      <c r="ES101" s="442">
        <f>(BY101+CW101-EG101)+IF('2. START'!$C$14&gt;0,BA101-DU101,0)</f>
        <v>0</v>
      </c>
      <c r="ET101" s="442">
        <f>(BZ101+CX101-EH101)+IF('2. START'!$C$14&gt;0,BB101-DV101,0)</f>
        <v>0</v>
      </c>
      <c r="EU101" s="442">
        <f>(CA101+CY101-EI101)+IF('2. START'!$C$14&gt;0,BC101-DW101,0)</f>
        <v>0</v>
      </c>
      <c r="EV101" s="443">
        <f t="shared" si="289"/>
        <v>0</v>
      </c>
      <c r="EX101" s="442">
        <f t="shared" si="290"/>
        <v>0</v>
      </c>
      <c r="EY101" s="442">
        <f t="shared" si="291"/>
        <v>0</v>
      </c>
      <c r="EZ101" s="442">
        <f t="shared" si="292"/>
        <v>0</v>
      </c>
      <c r="FA101" s="442">
        <f t="shared" si="293"/>
        <v>0</v>
      </c>
      <c r="FB101" s="442">
        <f t="shared" si="294"/>
        <v>0</v>
      </c>
      <c r="FC101" s="442">
        <f t="shared" si="295"/>
        <v>0</v>
      </c>
      <c r="FD101" s="442">
        <f t="shared" si="296"/>
        <v>0</v>
      </c>
      <c r="FE101" s="442">
        <f t="shared" si="297"/>
        <v>0</v>
      </c>
      <c r="FF101" s="442">
        <f t="shared" si="298"/>
        <v>0</v>
      </c>
      <c r="FG101" s="442">
        <f t="shared" si="299"/>
        <v>0</v>
      </c>
      <c r="FH101" s="443">
        <f t="shared" si="300"/>
        <v>0</v>
      </c>
      <c r="FJ101" s="442">
        <f t="shared" si="301"/>
        <v>0</v>
      </c>
      <c r="FK101" s="442">
        <f t="shared" si="302"/>
        <v>0</v>
      </c>
      <c r="FL101" s="442">
        <f t="shared" si="303"/>
        <v>0</v>
      </c>
      <c r="FM101" s="442">
        <f t="shared" si="304"/>
        <v>0</v>
      </c>
      <c r="FN101" s="442">
        <f t="shared" si="305"/>
        <v>0</v>
      </c>
      <c r="FO101" s="442">
        <f t="shared" si="306"/>
        <v>0</v>
      </c>
      <c r="FP101" s="442">
        <f t="shared" si="307"/>
        <v>0</v>
      </c>
      <c r="FQ101" s="442">
        <f t="shared" si="308"/>
        <v>0</v>
      </c>
      <c r="FR101" s="442">
        <f t="shared" si="309"/>
        <v>0</v>
      </c>
      <c r="FS101" s="442">
        <f t="shared" si="310"/>
        <v>0</v>
      </c>
      <c r="FT101" s="443">
        <f t="shared" si="311"/>
        <v>0</v>
      </c>
    </row>
    <row r="102" spans="2:176" s="270" customFormat="1" ht="15" customHeight="1" x14ac:dyDescent="0.25">
      <c r="B102" s="446" t="str">
        <f>'2. START'!C$7</f>
        <v>100GEM</v>
      </c>
      <c r="C102" s="469"/>
      <c r="D102" s="589"/>
      <c r="E102" s="544">
        <v>0</v>
      </c>
      <c r="F102" s="448"/>
      <c r="G102" s="449"/>
      <c r="H102" s="449"/>
      <c r="I102" s="449"/>
      <c r="J102" s="449"/>
      <c r="K102" s="449"/>
      <c r="L102" s="449"/>
      <c r="M102" s="449"/>
      <c r="N102" s="449"/>
      <c r="O102" s="449"/>
      <c r="P102" s="449"/>
      <c r="Q102" s="546">
        <f>SUMIF('3. PARTNER'!$B$13:$B$80,$B102,'3. PARTNER'!$F$13:$F$80)</f>
        <v>0.02</v>
      </c>
      <c r="R102" s="450">
        <f t="shared" si="313"/>
        <v>0.02</v>
      </c>
      <c r="S102" s="450">
        <f t="shared" si="313"/>
        <v>0.02</v>
      </c>
      <c r="T102" s="450">
        <f t="shared" si="313"/>
        <v>0.02</v>
      </c>
      <c r="U102" s="450">
        <f t="shared" si="313"/>
        <v>0.02</v>
      </c>
      <c r="V102" s="450">
        <f t="shared" si="313"/>
        <v>0.02</v>
      </c>
      <c r="W102" s="450">
        <f t="shared" si="313"/>
        <v>0.02</v>
      </c>
      <c r="X102" s="450">
        <f t="shared" si="313"/>
        <v>0.02</v>
      </c>
      <c r="Y102" s="450">
        <f t="shared" si="313"/>
        <v>0.02</v>
      </c>
      <c r="Z102" s="450">
        <f t="shared" si="313"/>
        <v>0.02</v>
      </c>
      <c r="AA102" s="451">
        <f>SUMIF('3. PARTNER'!B$13:B$80,B102,'3. PARTNER'!E$13:E$80)</f>
        <v>0.5595</v>
      </c>
      <c r="AB102" s="452">
        <f>IF('2. START'!$C$20="UTB",(SUMIF('3. PARTNER'!B$13:B$80,B102,'3. PARTNER'!K$13:K$80))+(SUMIF('3. PARTNER'!B$13:B$80,B102,'3. PARTNER'!M$13:M$80)),(SUMIF('3. PARTNER'!B$13:B$80,B102,'3. PARTNER'!G$13:G$80))+(SUMIF('3. PARTNER'!B$13:B$80,B102,'3. PARTNER'!I$13:I$80)))</f>
        <v>0.16000843770704321</v>
      </c>
      <c r="AC102" s="452">
        <f>IF('2. START'!$C$20="UTB",(SUMIF('3. PARTNER'!B$13:B$80,B102,'3. PARTNER'!L$13:L$80))+(SUMIF('3. PARTNER'!B$13:B$80,B102,'3. PARTNER'!N$13:N$80)),(SUMIF('3. PARTNER'!B$13:B$80,B102,'3. PARTNER'!H$13:H$80))+(SUMIF('3. PARTNER'!B$13:B$80,B102,'3. PARTNER'!J$13:J$80)))</f>
        <v>0</v>
      </c>
      <c r="AD102" s="452">
        <f>IF('2. START'!C$11="NO",'2. START'!C$12,0)</f>
        <v>0</v>
      </c>
      <c r="AE102" s="453">
        <f t="shared" si="278"/>
        <v>0</v>
      </c>
      <c r="AF102" s="453">
        <f t="shared" si="279"/>
        <v>0</v>
      </c>
      <c r="AG102" s="454"/>
      <c r="AH102" s="455">
        <f t="shared" si="208"/>
        <v>0</v>
      </c>
      <c r="AI102" s="455">
        <f t="shared" si="209"/>
        <v>0</v>
      </c>
      <c r="AJ102" s="455">
        <f t="shared" si="210"/>
        <v>0</v>
      </c>
      <c r="AK102" s="455">
        <f t="shared" si="211"/>
        <v>0</v>
      </c>
      <c r="AL102" s="455">
        <f t="shared" si="212"/>
        <v>0</v>
      </c>
      <c r="AM102" s="455">
        <f t="shared" si="213"/>
        <v>0</v>
      </c>
      <c r="AN102" s="455">
        <f t="shared" si="214"/>
        <v>0</v>
      </c>
      <c r="AO102" s="455">
        <f t="shared" si="215"/>
        <v>0</v>
      </c>
      <c r="AP102" s="455">
        <f t="shared" si="216"/>
        <v>0</v>
      </c>
      <c r="AQ102" s="455">
        <f t="shared" si="217"/>
        <v>0</v>
      </c>
      <c r="AR102" s="456">
        <f t="shared" si="280"/>
        <v>0</v>
      </c>
      <c r="AS102" s="457"/>
      <c r="AT102" s="455">
        <f t="shared" si="218"/>
        <v>0</v>
      </c>
      <c r="AU102" s="455">
        <f t="shared" si="219"/>
        <v>0</v>
      </c>
      <c r="AV102" s="455">
        <f t="shared" si="220"/>
        <v>0</v>
      </c>
      <c r="AW102" s="455">
        <f t="shared" si="221"/>
        <v>0</v>
      </c>
      <c r="AX102" s="455">
        <f t="shared" si="222"/>
        <v>0</v>
      </c>
      <c r="AY102" s="455">
        <f t="shared" si="223"/>
        <v>0</v>
      </c>
      <c r="AZ102" s="455">
        <f t="shared" si="224"/>
        <v>0</v>
      </c>
      <c r="BA102" s="455">
        <f t="shared" si="225"/>
        <v>0</v>
      </c>
      <c r="BB102" s="455">
        <f t="shared" si="226"/>
        <v>0</v>
      </c>
      <c r="BC102" s="455">
        <f t="shared" si="227"/>
        <v>0</v>
      </c>
      <c r="BD102" s="456">
        <f t="shared" si="281"/>
        <v>0</v>
      </c>
      <c r="BE102" s="457"/>
      <c r="BF102" s="455">
        <f t="shared" si="228"/>
        <v>0</v>
      </c>
      <c r="BG102" s="455">
        <f t="shared" si="229"/>
        <v>0</v>
      </c>
      <c r="BH102" s="455">
        <f t="shared" si="230"/>
        <v>0</v>
      </c>
      <c r="BI102" s="455">
        <f t="shared" si="231"/>
        <v>0</v>
      </c>
      <c r="BJ102" s="455">
        <f t="shared" si="232"/>
        <v>0</v>
      </c>
      <c r="BK102" s="455">
        <f t="shared" si="233"/>
        <v>0</v>
      </c>
      <c r="BL102" s="455">
        <f t="shared" si="234"/>
        <v>0</v>
      </c>
      <c r="BM102" s="455">
        <f t="shared" si="235"/>
        <v>0</v>
      </c>
      <c r="BN102" s="455">
        <f t="shared" si="236"/>
        <v>0</v>
      </c>
      <c r="BO102" s="455">
        <f t="shared" si="237"/>
        <v>0</v>
      </c>
      <c r="BP102" s="456">
        <f t="shared" si="282"/>
        <v>0</v>
      </c>
      <c r="BQ102" s="463"/>
      <c r="BR102" s="459">
        <f t="shared" si="238"/>
        <v>0</v>
      </c>
      <c r="BS102" s="459">
        <f t="shared" si="239"/>
        <v>0</v>
      </c>
      <c r="BT102" s="459">
        <f t="shared" si="240"/>
        <v>0</v>
      </c>
      <c r="BU102" s="459">
        <f t="shared" si="241"/>
        <v>0</v>
      </c>
      <c r="BV102" s="459">
        <f t="shared" si="242"/>
        <v>0</v>
      </c>
      <c r="BW102" s="459">
        <f t="shared" si="243"/>
        <v>0</v>
      </c>
      <c r="BX102" s="459">
        <f t="shared" si="244"/>
        <v>0</v>
      </c>
      <c r="BY102" s="459">
        <f t="shared" si="245"/>
        <v>0</v>
      </c>
      <c r="BZ102" s="459">
        <f t="shared" si="246"/>
        <v>0</v>
      </c>
      <c r="CA102" s="459">
        <f t="shared" si="247"/>
        <v>0</v>
      </c>
      <c r="CB102" s="460">
        <f t="shared" si="283"/>
        <v>0</v>
      </c>
      <c r="CC102" s="463"/>
      <c r="CD102" s="462">
        <f t="shared" si="248"/>
        <v>0</v>
      </c>
      <c r="CE102" s="462">
        <f t="shared" si="249"/>
        <v>0</v>
      </c>
      <c r="CF102" s="462">
        <f t="shared" si="250"/>
        <v>0</v>
      </c>
      <c r="CG102" s="462">
        <f t="shared" si="251"/>
        <v>0</v>
      </c>
      <c r="CH102" s="462">
        <f t="shared" si="252"/>
        <v>0</v>
      </c>
      <c r="CI102" s="462">
        <f t="shared" si="253"/>
        <v>0</v>
      </c>
      <c r="CJ102" s="462">
        <f t="shared" si="254"/>
        <v>0</v>
      </c>
      <c r="CK102" s="462">
        <f t="shared" si="255"/>
        <v>0</v>
      </c>
      <c r="CL102" s="462">
        <f t="shared" si="256"/>
        <v>0</v>
      </c>
      <c r="CM102" s="462">
        <f t="shared" si="257"/>
        <v>0</v>
      </c>
      <c r="CN102" s="460">
        <f t="shared" si="284"/>
        <v>0</v>
      </c>
      <c r="CO102" s="463"/>
      <c r="CP102" s="459">
        <f t="shared" si="258"/>
        <v>0</v>
      </c>
      <c r="CQ102" s="459">
        <f t="shared" si="259"/>
        <v>0</v>
      </c>
      <c r="CR102" s="459">
        <f t="shared" si="260"/>
        <v>0</v>
      </c>
      <c r="CS102" s="459">
        <f t="shared" si="261"/>
        <v>0</v>
      </c>
      <c r="CT102" s="459">
        <f t="shared" si="262"/>
        <v>0</v>
      </c>
      <c r="CU102" s="459">
        <f t="shared" si="263"/>
        <v>0</v>
      </c>
      <c r="CV102" s="459">
        <f t="shared" si="264"/>
        <v>0</v>
      </c>
      <c r="CW102" s="459">
        <f t="shared" si="265"/>
        <v>0</v>
      </c>
      <c r="CX102" s="459">
        <f t="shared" si="266"/>
        <v>0</v>
      </c>
      <c r="CY102" s="459">
        <f t="shared" si="267"/>
        <v>0</v>
      </c>
      <c r="CZ102" s="460">
        <f t="shared" si="285"/>
        <v>0</v>
      </c>
      <c r="DA102" s="463"/>
      <c r="DB102" s="459">
        <f t="shared" si="268"/>
        <v>0</v>
      </c>
      <c r="DC102" s="459">
        <f t="shared" si="269"/>
        <v>0</v>
      </c>
      <c r="DD102" s="459">
        <f t="shared" si="270"/>
        <v>0</v>
      </c>
      <c r="DE102" s="459">
        <f t="shared" si="271"/>
        <v>0</v>
      </c>
      <c r="DF102" s="459">
        <f t="shared" si="272"/>
        <v>0</v>
      </c>
      <c r="DG102" s="459">
        <f t="shared" si="273"/>
        <v>0</v>
      </c>
      <c r="DH102" s="459">
        <f t="shared" si="274"/>
        <v>0</v>
      </c>
      <c r="DI102" s="459">
        <f t="shared" si="275"/>
        <v>0</v>
      </c>
      <c r="DJ102" s="459">
        <f t="shared" si="276"/>
        <v>0</v>
      </c>
      <c r="DK102" s="459">
        <f t="shared" si="277"/>
        <v>0</v>
      </c>
      <c r="DL102" s="460">
        <f t="shared" si="286"/>
        <v>0</v>
      </c>
      <c r="DM102" s="463"/>
      <c r="DN102" s="442">
        <f>IF('2. START'!$C$14&gt;0,(AT102/(1+$AA102))*(1+'2. START'!$C$14),AT102)</f>
        <v>0</v>
      </c>
      <c r="DO102" s="442">
        <f>IF('2. START'!$C$14&gt;0,(AU102/(1+$AA102))*(1+'2. START'!$C$14),AU102)</f>
        <v>0</v>
      </c>
      <c r="DP102" s="442">
        <f>IF('2. START'!$C$14&gt;0,(AV102/(1+$AA102))*(1+'2. START'!$C$14),AV102)</f>
        <v>0</v>
      </c>
      <c r="DQ102" s="442">
        <f>IF('2. START'!$C$14&gt;0,(AW102/(1+$AA102))*(1+'2. START'!$C$14),AW102)</f>
        <v>0</v>
      </c>
      <c r="DR102" s="442">
        <f>IF('2. START'!$C$14&gt;0,(AX102/(1+$AA102))*(1+'2. START'!$C$14),AX102)</f>
        <v>0</v>
      </c>
      <c r="DS102" s="442">
        <f>IF('2. START'!$C$14&gt;0,(AY102/(1+$AA102))*(1+'2. START'!$C$14),AY102)</f>
        <v>0</v>
      </c>
      <c r="DT102" s="442">
        <f>IF('2. START'!$C$14&gt;0,(AZ102/(1+$AA102))*(1+'2. START'!$C$14),AZ102)</f>
        <v>0</v>
      </c>
      <c r="DU102" s="442">
        <f>IF('2. START'!$C$14&gt;0,(BA102/(1+$AA102))*(1+'2. START'!$C$14),BA102)</f>
        <v>0</v>
      </c>
      <c r="DV102" s="442">
        <f>IF('2. START'!$C$14&gt;0,(BB102/(1+$AA102))*(1+'2. START'!$C$14),BB102)</f>
        <v>0</v>
      </c>
      <c r="DW102" s="442">
        <f>IF('2. START'!$C$14&gt;0,(BC102/(1+$AA102))*(1+'2. START'!$C$14),BC102)</f>
        <v>0</v>
      </c>
      <c r="DX102" s="460">
        <f t="shared" si="287"/>
        <v>0</v>
      </c>
      <c r="DY102" s="463"/>
      <c r="DZ102" s="459">
        <f>IF('2. START'!$C$11="NO",(IF('2. START'!$C$14&gt;0,(DN102*$AD102),(AT102*$AD102))),(BR102+CP102))</f>
        <v>0</v>
      </c>
      <c r="EA102" s="459">
        <f>IF('2. START'!$C$11="NO",(IF('2. START'!$C$14&gt;0,(DO102*$AD102),(AU102*$AD102))),(BS102+CQ102))</f>
        <v>0</v>
      </c>
      <c r="EB102" s="459">
        <f>IF('2. START'!$C$11="NO",(IF('2. START'!$C$14&gt;0,(DP102*$AD102),(AV102*$AD102))),(BT102+CR102))</f>
        <v>0</v>
      </c>
      <c r="EC102" s="459">
        <f>IF('2. START'!$C$11="NO",(IF('2. START'!$C$14&gt;0,(DQ102*$AD102),(AW102*$AD102))),(BU102+CS102))</f>
        <v>0</v>
      </c>
      <c r="ED102" s="459">
        <f>IF('2. START'!$C$11="NO",(IF('2. START'!$C$14&gt;0,(DR102*$AD102),(AX102*$AD102))),(BV102+CT102))</f>
        <v>0</v>
      </c>
      <c r="EE102" s="459">
        <f>IF('2. START'!$C$11="NO",(IF('2. START'!$C$14&gt;0,(DS102*$AD102),(AY102*$AD102))),(BW102+CU102))</f>
        <v>0</v>
      </c>
      <c r="EF102" s="459">
        <f>IF('2. START'!$C$11="NO",(IF('2. START'!$C$14&gt;0,(DT102*$AD102),(AZ102*$AD102))),(BX102+CV102))</f>
        <v>0</v>
      </c>
      <c r="EG102" s="459">
        <f>IF('2. START'!$C$11="NO",(IF('2. START'!$C$14&gt;0,(DU102*$AD102),(BA102*$AD102))),(BY102+CW102))</f>
        <v>0</v>
      </c>
      <c r="EH102" s="459">
        <f>IF('2. START'!$C$11="NO",(IF('2. START'!$C$14&gt;0,(DV102*$AD102),(BB102*$AD102))),(BZ102+CX102))</f>
        <v>0</v>
      </c>
      <c r="EI102" s="459">
        <f>IF('2. START'!$C$11="NO",(IF('2. START'!$C$14&gt;0,(DW102*$AD102),(BC102*$AD102))),(CA102+CY102))</f>
        <v>0</v>
      </c>
      <c r="EJ102" s="460">
        <f t="shared" si="288"/>
        <v>0</v>
      </c>
      <c r="EK102" s="463"/>
      <c r="EL102" s="459">
        <f>(BR102+CP102-DZ102)+IF('2. START'!$C$14&gt;0,AT102-DN102,0)</f>
        <v>0</v>
      </c>
      <c r="EM102" s="459">
        <f>(BS102+CQ102-EA102)+IF('2. START'!$C$14&gt;0,AU102-DO102,0)</f>
        <v>0</v>
      </c>
      <c r="EN102" s="459">
        <f>(BT102+CR102-EB102)+IF('2. START'!$C$14&gt;0,AV102-DP102,0)</f>
        <v>0</v>
      </c>
      <c r="EO102" s="459">
        <f>(BU102+CS102-EC102)+IF('2. START'!$C$14&gt;0,AW102-DQ102,0)</f>
        <v>0</v>
      </c>
      <c r="EP102" s="459">
        <f>(BV102+CT102-ED102)+IF('2. START'!$C$14&gt;0,AX102-DR102,0)</f>
        <v>0</v>
      </c>
      <c r="EQ102" s="459">
        <f>(BW102+CU102-EE102)+IF('2. START'!$C$14&gt;0,AY102-DS102,0)</f>
        <v>0</v>
      </c>
      <c r="ER102" s="459">
        <f>(BX102+CV102-EF102)+IF('2. START'!$C$14&gt;0,AZ102-DT102,0)</f>
        <v>0</v>
      </c>
      <c r="ES102" s="459">
        <f>(BY102+CW102-EG102)+IF('2. START'!$C$14&gt;0,BA102-DU102,0)</f>
        <v>0</v>
      </c>
      <c r="ET102" s="459">
        <f>(BZ102+CX102-EH102)+IF('2. START'!$C$14&gt;0,BB102-DV102,0)</f>
        <v>0</v>
      </c>
      <c r="EU102" s="459">
        <f>(CA102+CY102-EI102)+IF('2. START'!$C$14&gt;0,BC102-DW102,0)</f>
        <v>0</v>
      </c>
      <c r="EV102" s="460">
        <f t="shared" si="289"/>
        <v>0</v>
      </c>
      <c r="EW102" s="463"/>
      <c r="EX102" s="459">
        <f t="shared" si="290"/>
        <v>0</v>
      </c>
      <c r="EY102" s="459">
        <f t="shared" si="291"/>
        <v>0</v>
      </c>
      <c r="EZ102" s="459">
        <f t="shared" si="292"/>
        <v>0</v>
      </c>
      <c r="FA102" s="459">
        <f t="shared" si="293"/>
        <v>0</v>
      </c>
      <c r="FB102" s="459">
        <f t="shared" si="294"/>
        <v>0</v>
      </c>
      <c r="FC102" s="459">
        <f t="shared" si="295"/>
        <v>0</v>
      </c>
      <c r="FD102" s="459">
        <f t="shared" si="296"/>
        <v>0</v>
      </c>
      <c r="FE102" s="459">
        <f t="shared" si="297"/>
        <v>0</v>
      </c>
      <c r="FF102" s="459">
        <f t="shared" si="298"/>
        <v>0</v>
      </c>
      <c r="FG102" s="459">
        <f t="shared" si="299"/>
        <v>0</v>
      </c>
      <c r="FH102" s="460">
        <f t="shared" si="300"/>
        <v>0</v>
      </c>
      <c r="FI102" s="463"/>
      <c r="FJ102" s="459">
        <f t="shared" si="301"/>
        <v>0</v>
      </c>
      <c r="FK102" s="459">
        <f t="shared" si="302"/>
        <v>0</v>
      </c>
      <c r="FL102" s="459">
        <f t="shared" si="303"/>
        <v>0</v>
      </c>
      <c r="FM102" s="459">
        <f t="shared" si="304"/>
        <v>0</v>
      </c>
      <c r="FN102" s="459">
        <f t="shared" si="305"/>
        <v>0</v>
      </c>
      <c r="FO102" s="459">
        <f t="shared" si="306"/>
        <v>0</v>
      </c>
      <c r="FP102" s="459">
        <f t="shared" si="307"/>
        <v>0</v>
      </c>
      <c r="FQ102" s="459">
        <f t="shared" si="308"/>
        <v>0</v>
      </c>
      <c r="FR102" s="459">
        <f t="shared" si="309"/>
        <v>0</v>
      </c>
      <c r="FS102" s="459">
        <f t="shared" si="310"/>
        <v>0</v>
      </c>
      <c r="FT102" s="460">
        <f t="shared" si="311"/>
        <v>0</v>
      </c>
    </row>
    <row r="103" spans="2:176" s="270" customFormat="1" ht="15" customHeight="1" x14ac:dyDescent="0.25">
      <c r="B103" s="464" t="str">
        <f>'2. START'!C$7</f>
        <v>100GEM</v>
      </c>
      <c r="C103" s="470"/>
      <c r="D103" s="590"/>
      <c r="E103" s="514">
        <v>0</v>
      </c>
      <c r="F103" s="467"/>
      <c r="G103" s="432"/>
      <c r="H103" s="432"/>
      <c r="I103" s="432"/>
      <c r="J103" s="432"/>
      <c r="K103" s="432"/>
      <c r="L103" s="432"/>
      <c r="M103" s="432"/>
      <c r="N103" s="432"/>
      <c r="O103" s="432"/>
      <c r="P103" s="432"/>
      <c r="Q103" s="545">
        <f>SUMIF('3. PARTNER'!$B$13:$B$80,$B103,'3. PARTNER'!$F$13:$F$80)</f>
        <v>0.02</v>
      </c>
      <c r="R103" s="466">
        <f t="shared" si="313"/>
        <v>0.02</v>
      </c>
      <c r="S103" s="466">
        <f t="shared" si="313"/>
        <v>0.02</v>
      </c>
      <c r="T103" s="466">
        <f t="shared" si="313"/>
        <v>0.02</v>
      </c>
      <c r="U103" s="466">
        <f t="shared" si="313"/>
        <v>0.02</v>
      </c>
      <c r="V103" s="466">
        <f t="shared" si="313"/>
        <v>0.02</v>
      </c>
      <c r="W103" s="466">
        <f t="shared" si="313"/>
        <v>0.02</v>
      </c>
      <c r="X103" s="466">
        <f t="shared" si="313"/>
        <v>0.02</v>
      </c>
      <c r="Y103" s="466">
        <f t="shared" si="313"/>
        <v>0.02</v>
      </c>
      <c r="Z103" s="466">
        <f t="shared" si="313"/>
        <v>0.02</v>
      </c>
      <c r="AA103" s="434">
        <f>SUMIF('3. PARTNER'!B$13:B$80,B103,'3. PARTNER'!E$13:E$80)</f>
        <v>0.5595</v>
      </c>
      <c r="AB103" s="435">
        <f>IF('2. START'!$C$20="UTB",(SUMIF('3. PARTNER'!B$13:B$80,B103,'3. PARTNER'!K$13:K$80))+(SUMIF('3. PARTNER'!B$13:B$80,B103,'3. PARTNER'!M$13:M$80)),(SUMIF('3. PARTNER'!B$13:B$80,B103,'3. PARTNER'!G$13:G$80))+(SUMIF('3. PARTNER'!B$13:B$80,B103,'3. PARTNER'!I$13:I$80)))</f>
        <v>0.16000843770704321</v>
      </c>
      <c r="AC103" s="435">
        <f>IF('2. START'!$C$20="UTB",(SUMIF('3. PARTNER'!B$13:B$80,B103,'3. PARTNER'!L$13:L$80))+(SUMIF('3. PARTNER'!B$13:B$80,B103,'3. PARTNER'!N$13:N$80)),(SUMIF('3. PARTNER'!B$13:B$80,B103,'3. PARTNER'!H$13:H$80))+(SUMIF('3. PARTNER'!B$13:B$80,B103,'3. PARTNER'!J$13:J$80)))</f>
        <v>0</v>
      </c>
      <c r="AD103" s="435">
        <f>IF('2. START'!C$11="NO",'2. START'!C$12,0)</f>
        <v>0</v>
      </c>
      <c r="AE103" s="436">
        <f t="shared" si="278"/>
        <v>0</v>
      </c>
      <c r="AF103" s="436">
        <f t="shared" si="279"/>
        <v>0</v>
      </c>
      <c r="AG103" s="437"/>
      <c r="AH103" s="438">
        <f t="shared" si="208"/>
        <v>0</v>
      </c>
      <c r="AI103" s="438">
        <f t="shared" si="209"/>
        <v>0</v>
      </c>
      <c r="AJ103" s="438">
        <f t="shared" si="210"/>
        <v>0</v>
      </c>
      <c r="AK103" s="438">
        <f t="shared" si="211"/>
        <v>0</v>
      </c>
      <c r="AL103" s="438">
        <f t="shared" si="212"/>
        <v>0</v>
      </c>
      <c r="AM103" s="438">
        <f t="shared" si="213"/>
        <v>0</v>
      </c>
      <c r="AN103" s="438">
        <f t="shared" si="214"/>
        <v>0</v>
      </c>
      <c r="AO103" s="438">
        <f t="shared" si="215"/>
        <v>0</v>
      </c>
      <c r="AP103" s="438">
        <f t="shared" si="216"/>
        <v>0</v>
      </c>
      <c r="AQ103" s="438">
        <f t="shared" si="217"/>
        <v>0</v>
      </c>
      <c r="AR103" s="439">
        <f t="shared" si="280"/>
        <v>0</v>
      </c>
      <c r="AS103" s="440"/>
      <c r="AT103" s="438">
        <f t="shared" si="218"/>
        <v>0</v>
      </c>
      <c r="AU103" s="438">
        <f t="shared" si="219"/>
        <v>0</v>
      </c>
      <c r="AV103" s="438">
        <f t="shared" si="220"/>
        <v>0</v>
      </c>
      <c r="AW103" s="438">
        <f t="shared" si="221"/>
        <v>0</v>
      </c>
      <c r="AX103" s="438">
        <f t="shared" si="222"/>
        <v>0</v>
      </c>
      <c r="AY103" s="438">
        <f t="shared" si="223"/>
        <v>0</v>
      </c>
      <c r="AZ103" s="438">
        <f t="shared" si="224"/>
        <v>0</v>
      </c>
      <c r="BA103" s="438">
        <f t="shared" si="225"/>
        <v>0</v>
      </c>
      <c r="BB103" s="438">
        <f t="shared" si="226"/>
        <v>0</v>
      </c>
      <c r="BC103" s="438">
        <f t="shared" si="227"/>
        <v>0</v>
      </c>
      <c r="BD103" s="439">
        <f t="shared" si="281"/>
        <v>0</v>
      </c>
      <c r="BE103" s="440"/>
      <c r="BF103" s="438">
        <f t="shared" si="228"/>
        <v>0</v>
      </c>
      <c r="BG103" s="438">
        <f t="shared" si="229"/>
        <v>0</v>
      </c>
      <c r="BH103" s="438">
        <f t="shared" si="230"/>
        <v>0</v>
      </c>
      <c r="BI103" s="438">
        <f t="shared" si="231"/>
        <v>0</v>
      </c>
      <c r="BJ103" s="438">
        <f t="shared" si="232"/>
        <v>0</v>
      </c>
      <c r="BK103" s="438">
        <f t="shared" si="233"/>
        <v>0</v>
      </c>
      <c r="BL103" s="438">
        <f t="shared" si="234"/>
        <v>0</v>
      </c>
      <c r="BM103" s="438">
        <f t="shared" si="235"/>
        <v>0</v>
      </c>
      <c r="BN103" s="438">
        <f t="shared" si="236"/>
        <v>0</v>
      </c>
      <c r="BO103" s="438">
        <f t="shared" si="237"/>
        <v>0</v>
      </c>
      <c r="BP103" s="439">
        <f t="shared" si="282"/>
        <v>0</v>
      </c>
      <c r="BR103" s="442">
        <f t="shared" si="238"/>
        <v>0</v>
      </c>
      <c r="BS103" s="442">
        <f t="shared" si="239"/>
        <v>0</v>
      </c>
      <c r="BT103" s="442">
        <f t="shared" si="240"/>
        <v>0</v>
      </c>
      <c r="BU103" s="442">
        <f t="shared" si="241"/>
        <v>0</v>
      </c>
      <c r="BV103" s="442">
        <f t="shared" si="242"/>
        <v>0</v>
      </c>
      <c r="BW103" s="442">
        <f t="shared" si="243"/>
        <v>0</v>
      </c>
      <c r="BX103" s="442">
        <f t="shared" si="244"/>
        <v>0</v>
      </c>
      <c r="BY103" s="442">
        <f t="shared" si="245"/>
        <v>0</v>
      </c>
      <c r="BZ103" s="442">
        <f t="shared" si="246"/>
        <v>0</v>
      </c>
      <c r="CA103" s="442">
        <f t="shared" si="247"/>
        <v>0</v>
      </c>
      <c r="CB103" s="443">
        <f t="shared" si="283"/>
        <v>0</v>
      </c>
      <c r="CD103" s="445">
        <f t="shared" si="248"/>
        <v>0</v>
      </c>
      <c r="CE103" s="445">
        <f t="shared" si="249"/>
        <v>0</v>
      </c>
      <c r="CF103" s="445">
        <f t="shared" si="250"/>
        <v>0</v>
      </c>
      <c r="CG103" s="445">
        <f t="shared" si="251"/>
        <v>0</v>
      </c>
      <c r="CH103" s="445">
        <f t="shared" si="252"/>
        <v>0</v>
      </c>
      <c r="CI103" s="445">
        <f t="shared" si="253"/>
        <v>0</v>
      </c>
      <c r="CJ103" s="445">
        <f t="shared" si="254"/>
        <v>0</v>
      </c>
      <c r="CK103" s="445">
        <f t="shared" si="255"/>
        <v>0</v>
      </c>
      <c r="CL103" s="445">
        <f t="shared" si="256"/>
        <v>0</v>
      </c>
      <c r="CM103" s="445">
        <f t="shared" si="257"/>
        <v>0</v>
      </c>
      <c r="CN103" s="443">
        <f t="shared" si="284"/>
        <v>0</v>
      </c>
      <c r="CP103" s="442">
        <f t="shared" si="258"/>
        <v>0</v>
      </c>
      <c r="CQ103" s="442">
        <f t="shared" si="259"/>
        <v>0</v>
      </c>
      <c r="CR103" s="442">
        <f t="shared" si="260"/>
        <v>0</v>
      </c>
      <c r="CS103" s="442">
        <f t="shared" si="261"/>
        <v>0</v>
      </c>
      <c r="CT103" s="442">
        <f t="shared" si="262"/>
        <v>0</v>
      </c>
      <c r="CU103" s="442">
        <f t="shared" si="263"/>
        <v>0</v>
      </c>
      <c r="CV103" s="442">
        <f t="shared" si="264"/>
        <v>0</v>
      </c>
      <c r="CW103" s="442">
        <f t="shared" si="265"/>
        <v>0</v>
      </c>
      <c r="CX103" s="442">
        <f t="shared" si="266"/>
        <v>0</v>
      </c>
      <c r="CY103" s="442">
        <f t="shared" si="267"/>
        <v>0</v>
      </c>
      <c r="CZ103" s="443">
        <f t="shared" si="285"/>
        <v>0</v>
      </c>
      <c r="DB103" s="442">
        <f t="shared" si="268"/>
        <v>0</v>
      </c>
      <c r="DC103" s="442">
        <f t="shared" si="269"/>
        <v>0</v>
      </c>
      <c r="DD103" s="442">
        <f t="shared" si="270"/>
        <v>0</v>
      </c>
      <c r="DE103" s="442">
        <f t="shared" si="271"/>
        <v>0</v>
      </c>
      <c r="DF103" s="442">
        <f t="shared" si="272"/>
        <v>0</v>
      </c>
      <c r="DG103" s="442">
        <f t="shared" si="273"/>
        <v>0</v>
      </c>
      <c r="DH103" s="442">
        <f t="shared" si="274"/>
        <v>0</v>
      </c>
      <c r="DI103" s="442">
        <f t="shared" si="275"/>
        <v>0</v>
      </c>
      <c r="DJ103" s="442">
        <f t="shared" si="276"/>
        <v>0</v>
      </c>
      <c r="DK103" s="442">
        <f t="shared" si="277"/>
        <v>0</v>
      </c>
      <c r="DL103" s="443">
        <f t="shared" si="286"/>
        <v>0</v>
      </c>
      <c r="DN103" s="442">
        <f>IF('2. START'!$C$14&gt;0,(AT103/(1+$AA103))*(1+'2. START'!$C$14),AT103)</f>
        <v>0</v>
      </c>
      <c r="DO103" s="442">
        <f>IF('2. START'!$C$14&gt;0,(AU103/(1+$AA103))*(1+'2. START'!$C$14),AU103)</f>
        <v>0</v>
      </c>
      <c r="DP103" s="442">
        <f>IF('2. START'!$C$14&gt;0,(AV103/(1+$AA103))*(1+'2. START'!$C$14),AV103)</f>
        <v>0</v>
      </c>
      <c r="DQ103" s="442">
        <f>IF('2. START'!$C$14&gt;0,(AW103/(1+$AA103))*(1+'2. START'!$C$14),AW103)</f>
        <v>0</v>
      </c>
      <c r="DR103" s="442">
        <f>IF('2. START'!$C$14&gt;0,(AX103/(1+$AA103))*(1+'2. START'!$C$14),AX103)</f>
        <v>0</v>
      </c>
      <c r="DS103" s="442">
        <f>IF('2. START'!$C$14&gt;0,(AY103/(1+$AA103))*(1+'2. START'!$C$14),AY103)</f>
        <v>0</v>
      </c>
      <c r="DT103" s="442">
        <f>IF('2. START'!$C$14&gt;0,(AZ103/(1+$AA103))*(1+'2. START'!$C$14),AZ103)</f>
        <v>0</v>
      </c>
      <c r="DU103" s="442">
        <f>IF('2. START'!$C$14&gt;0,(BA103/(1+$AA103))*(1+'2. START'!$C$14),BA103)</f>
        <v>0</v>
      </c>
      <c r="DV103" s="442">
        <f>IF('2. START'!$C$14&gt;0,(BB103/(1+$AA103))*(1+'2. START'!$C$14),BB103)</f>
        <v>0</v>
      </c>
      <c r="DW103" s="442">
        <f>IF('2. START'!$C$14&gt;0,(BC103/(1+$AA103))*(1+'2. START'!$C$14),BC103)</f>
        <v>0</v>
      </c>
      <c r="DX103" s="443">
        <f t="shared" si="287"/>
        <v>0</v>
      </c>
      <c r="DZ103" s="442">
        <f>IF('2. START'!$C$11="NO",(IF('2. START'!$C$14&gt;0,(DN103*$AD103),(AT103*$AD103))),(BR103+CP103))</f>
        <v>0</v>
      </c>
      <c r="EA103" s="442">
        <f>IF('2. START'!$C$11="NO",(IF('2. START'!$C$14&gt;0,(DO103*$AD103),(AU103*$AD103))),(BS103+CQ103))</f>
        <v>0</v>
      </c>
      <c r="EB103" s="442">
        <f>IF('2. START'!$C$11="NO",(IF('2. START'!$C$14&gt;0,(DP103*$AD103),(AV103*$AD103))),(BT103+CR103))</f>
        <v>0</v>
      </c>
      <c r="EC103" s="442">
        <f>IF('2. START'!$C$11="NO",(IF('2. START'!$C$14&gt;0,(DQ103*$AD103),(AW103*$AD103))),(BU103+CS103))</f>
        <v>0</v>
      </c>
      <c r="ED103" s="442">
        <f>IF('2. START'!$C$11="NO",(IF('2. START'!$C$14&gt;0,(DR103*$AD103),(AX103*$AD103))),(BV103+CT103))</f>
        <v>0</v>
      </c>
      <c r="EE103" s="442">
        <f>IF('2. START'!$C$11="NO",(IF('2. START'!$C$14&gt;0,(DS103*$AD103),(AY103*$AD103))),(BW103+CU103))</f>
        <v>0</v>
      </c>
      <c r="EF103" s="442">
        <f>IF('2. START'!$C$11="NO",(IF('2. START'!$C$14&gt;0,(DT103*$AD103),(AZ103*$AD103))),(BX103+CV103))</f>
        <v>0</v>
      </c>
      <c r="EG103" s="442">
        <f>IF('2. START'!$C$11="NO",(IF('2. START'!$C$14&gt;0,(DU103*$AD103),(BA103*$AD103))),(BY103+CW103))</f>
        <v>0</v>
      </c>
      <c r="EH103" s="442">
        <f>IF('2. START'!$C$11="NO",(IF('2. START'!$C$14&gt;0,(DV103*$AD103),(BB103*$AD103))),(BZ103+CX103))</f>
        <v>0</v>
      </c>
      <c r="EI103" s="442">
        <f>IF('2. START'!$C$11="NO",(IF('2. START'!$C$14&gt;0,(DW103*$AD103),(BC103*$AD103))),(CA103+CY103))</f>
        <v>0</v>
      </c>
      <c r="EJ103" s="443">
        <f t="shared" si="288"/>
        <v>0</v>
      </c>
      <c r="EL103" s="442">
        <f>(BR103+CP103-DZ103)+IF('2. START'!$C$14&gt;0,AT103-DN103,0)</f>
        <v>0</v>
      </c>
      <c r="EM103" s="442">
        <f>(BS103+CQ103-EA103)+IF('2. START'!$C$14&gt;0,AU103-DO103,0)</f>
        <v>0</v>
      </c>
      <c r="EN103" s="442">
        <f>(BT103+CR103-EB103)+IF('2. START'!$C$14&gt;0,AV103-DP103,0)</f>
        <v>0</v>
      </c>
      <c r="EO103" s="442">
        <f>(BU103+CS103-EC103)+IF('2. START'!$C$14&gt;0,AW103-DQ103,0)</f>
        <v>0</v>
      </c>
      <c r="EP103" s="442">
        <f>(BV103+CT103-ED103)+IF('2. START'!$C$14&gt;0,AX103-DR103,0)</f>
        <v>0</v>
      </c>
      <c r="EQ103" s="442">
        <f>(BW103+CU103-EE103)+IF('2. START'!$C$14&gt;0,AY103-DS103,0)</f>
        <v>0</v>
      </c>
      <c r="ER103" s="442">
        <f>(BX103+CV103-EF103)+IF('2. START'!$C$14&gt;0,AZ103-DT103,0)</f>
        <v>0</v>
      </c>
      <c r="ES103" s="442">
        <f>(BY103+CW103-EG103)+IF('2. START'!$C$14&gt;0,BA103-DU103,0)</f>
        <v>0</v>
      </c>
      <c r="ET103" s="442">
        <f>(BZ103+CX103-EH103)+IF('2. START'!$C$14&gt;0,BB103-DV103,0)</f>
        <v>0</v>
      </c>
      <c r="EU103" s="442">
        <f>(CA103+CY103-EI103)+IF('2. START'!$C$14&gt;0,BC103-DW103,0)</f>
        <v>0</v>
      </c>
      <c r="EV103" s="443">
        <f t="shared" si="289"/>
        <v>0</v>
      </c>
      <c r="EX103" s="442">
        <f t="shared" si="290"/>
        <v>0</v>
      </c>
      <c r="EY103" s="442">
        <f t="shared" si="291"/>
        <v>0</v>
      </c>
      <c r="EZ103" s="442">
        <f t="shared" si="292"/>
        <v>0</v>
      </c>
      <c r="FA103" s="442">
        <f t="shared" si="293"/>
        <v>0</v>
      </c>
      <c r="FB103" s="442">
        <f t="shared" si="294"/>
        <v>0</v>
      </c>
      <c r="FC103" s="442">
        <f t="shared" si="295"/>
        <v>0</v>
      </c>
      <c r="FD103" s="442">
        <f t="shared" si="296"/>
        <v>0</v>
      </c>
      <c r="FE103" s="442">
        <f t="shared" si="297"/>
        <v>0</v>
      </c>
      <c r="FF103" s="442">
        <f t="shared" si="298"/>
        <v>0</v>
      </c>
      <c r="FG103" s="442">
        <f t="shared" si="299"/>
        <v>0</v>
      </c>
      <c r="FH103" s="443">
        <f t="shared" si="300"/>
        <v>0</v>
      </c>
      <c r="FJ103" s="442">
        <f t="shared" si="301"/>
        <v>0</v>
      </c>
      <c r="FK103" s="442">
        <f t="shared" si="302"/>
        <v>0</v>
      </c>
      <c r="FL103" s="442">
        <f t="shared" si="303"/>
        <v>0</v>
      </c>
      <c r="FM103" s="442">
        <f t="shared" si="304"/>
        <v>0</v>
      </c>
      <c r="FN103" s="442">
        <f t="shared" si="305"/>
        <v>0</v>
      </c>
      <c r="FO103" s="442">
        <f t="shared" si="306"/>
        <v>0</v>
      </c>
      <c r="FP103" s="442">
        <f t="shared" si="307"/>
        <v>0</v>
      </c>
      <c r="FQ103" s="442">
        <f t="shared" si="308"/>
        <v>0</v>
      </c>
      <c r="FR103" s="442">
        <f t="shared" si="309"/>
        <v>0</v>
      </c>
      <c r="FS103" s="442">
        <f t="shared" si="310"/>
        <v>0</v>
      </c>
      <c r="FT103" s="443">
        <f t="shared" si="311"/>
        <v>0</v>
      </c>
    </row>
    <row r="104" spans="2:176" s="270" customFormat="1" ht="15" customHeight="1" x14ac:dyDescent="0.25">
      <c r="B104" s="446" t="str">
        <f>'2. START'!C$7</f>
        <v>100GEM</v>
      </c>
      <c r="C104" s="469"/>
      <c r="D104" s="589"/>
      <c r="E104" s="544">
        <v>0</v>
      </c>
      <c r="F104" s="448"/>
      <c r="G104" s="449"/>
      <c r="H104" s="449"/>
      <c r="I104" s="449"/>
      <c r="J104" s="449"/>
      <c r="K104" s="449"/>
      <c r="L104" s="449"/>
      <c r="M104" s="449"/>
      <c r="N104" s="449"/>
      <c r="O104" s="449"/>
      <c r="P104" s="449"/>
      <c r="Q104" s="546">
        <f>SUMIF('3. PARTNER'!$B$13:$B$80,$B104,'3. PARTNER'!$F$13:$F$80)</f>
        <v>0.02</v>
      </c>
      <c r="R104" s="450">
        <f t="shared" si="313"/>
        <v>0.02</v>
      </c>
      <c r="S104" s="450">
        <f t="shared" si="313"/>
        <v>0.02</v>
      </c>
      <c r="T104" s="450">
        <f t="shared" si="313"/>
        <v>0.02</v>
      </c>
      <c r="U104" s="450">
        <f t="shared" si="313"/>
        <v>0.02</v>
      </c>
      <c r="V104" s="450">
        <f t="shared" si="313"/>
        <v>0.02</v>
      </c>
      <c r="W104" s="450">
        <f t="shared" si="313"/>
        <v>0.02</v>
      </c>
      <c r="X104" s="450">
        <f t="shared" si="313"/>
        <v>0.02</v>
      </c>
      <c r="Y104" s="450">
        <f t="shared" si="313"/>
        <v>0.02</v>
      </c>
      <c r="Z104" s="450">
        <f t="shared" si="313"/>
        <v>0.02</v>
      </c>
      <c r="AA104" s="451">
        <f>SUMIF('3. PARTNER'!B$13:B$80,B104,'3. PARTNER'!E$13:E$80)</f>
        <v>0.5595</v>
      </c>
      <c r="AB104" s="452">
        <f>IF('2. START'!$C$20="UTB",(SUMIF('3. PARTNER'!B$13:B$80,B104,'3. PARTNER'!K$13:K$80))+(SUMIF('3. PARTNER'!B$13:B$80,B104,'3. PARTNER'!M$13:M$80)),(SUMIF('3. PARTNER'!B$13:B$80,B104,'3. PARTNER'!G$13:G$80))+(SUMIF('3. PARTNER'!B$13:B$80,B104,'3. PARTNER'!I$13:I$80)))</f>
        <v>0.16000843770704321</v>
      </c>
      <c r="AC104" s="452">
        <f>IF('2. START'!$C$20="UTB",(SUMIF('3. PARTNER'!B$13:B$80,B104,'3. PARTNER'!L$13:L$80))+(SUMIF('3. PARTNER'!B$13:B$80,B104,'3. PARTNER'!N$13:N$80)),(SUMIF('3. PARTNER'!B$13:B$80,B104,'3. PARTNER'!H$13:H$80))+(SUMIF('3. PARTNER'!B$13:B$80,B104,'3. PARTNER'!J$13:J$80)))</f>
        <v>0</v>
      </c>
      <c r="AD104" s="452">
        <f>IF('2. START'!C$11="NO",'2. START'!C$12,0)</f>
        <v>0</v>
      </c>
      <c r="AE104" s="453">
        <f t="shared" si="278"/>
        <v>0</v>
      </c>
      <c r="AF104" s="453">
        <f t="shared" si="279"/>
        <v>0</v>
      </c>
      <c r="AG104" s="454"/>
      <c r="AH104" s="455">
        <f t="shared" si="208"/>
        <v>0</v>
      </c>
      <c r="AI104" s="455">
        <f t="shared" si="209"/>
        <v>0</v>
      </c>
      <c r="AJ104" s="455">
        <f t="shared" si="210"/>
        <v>0</v>
      </c>
      <c r="AK104" s="455">
        <f t="shared" si="211"/>
        <v>0</v>
      </c>
      <c r="AL104" s="455">
        <f t="shared" si="212"/>
        <v>0</v>
      </c>
      <c r="AM104" s="455">
        <f t="shared" si="213"/>
        <v>0</v>
      </c>
      <c r="AN104" s="455">
        <f t="shared" si="214"/>
        <v>0</v>
      </c>
      <c r="AO104" s="455">
        <f t="shared" si="215"/>
        <v>0</v>
      </c>
      <c r="AP104" s="455">
        <f t="shared" si="216"/>
        <v>0</v>
      </c>
      <c r="AQ104" s="455">
        <f t="shared" si="217"/>
        <v>0</v>
      </c>
      <c r="AR104" s="456">
        <f t="shared" si="280"/>
        <v>0</v>
      </c>
      <c r="AS104" s="457"/>
      <c r="AT104" s="455">
        <f t="shared" si="218"/>
        <v>0</v>
      </c>
      <c r="AU104" s="455">
        <f t="shared" si="219"/>
        <v>0</v>
      </c>
      <c r="AV104" s="455">
        <f t="shared" si="220"/>
        <v>0</v>
      </c>
      <c r="AW104" s="455">
        <f t="shared" si="221"/>
        <v>0</v>
      </c>
      <c r="AX104" s="455">
        <f t="shared" si="222"/>
        <v>0</v>
      </c>
      <c r="AY104" s="455">
        <f t="shared" si="223"/>
        <v>0</v>
      </c>
      <c r="AZ104" s="455">
        <f t="shared" si="224"/>
        <v>0</v>
      </c>
      <c r="BA104" s="455">
        <f t="shared" si="225"/>
        <v>0</v>
      </c>
      <c r="BB104" s="455">
        <f t="shared" si="226"/>
        <v>0</v>
      </c>
      <c r="BC104" s="455">
        <f t="shared" si="227"/>
        <v>0</v>
      </c>
      <c r="BD104" s="456">
        <f t="shared" si="281"/>
        <v>0</v>
      </c>
      <c r="BE104" s="457"/>
      <c r="BF104" s="455">
        <f t="shared" si="228"/>
        <v>0</v>
      </c>
      <c r="BG104" s="455">
        <f t="shared" si="229"/>
        <v>0</v>
      </c>
      <c r="BH104" s="455">
        <f t="shared" si="230"/>
        <v>0</v>
      </c>
      <c r="BI104" s="455">
        <f t="shared" si="231"/>
        <v>0</v>
      </c>
      <c r="BJ104" s="455">
        <f t="shared" si="232"/>
        <v>0</v>
      </c>
      <c r="BK104" s="455">
        <f t="shared" si="233"/>
        <v>0</v>
      </c>
      <c r="BL104" s="455">
        <f t="shared" si="234"/>
        <v>0</v>
      </c>
      <c r="BM104" s="455">
        <f t="shared" si="235"/>
        <v>0</v>
      </c>
      <c r="BN104" s="455">
        <f t="shared" si="236"/>
        <v>0</v>
      </c>
      <c r="BO104" s="455">
        <f t="shared" si="237"/>
        <v>0</v>
      </c>
      <c r="BP104" s="456">
        <f t="shared" si="282"/>
        <v>0</v>
      </c>
      <c r="BQ104" s="463"/>
      <c r="BR104" s="459">
        <f t="shared" si="238"/>
        <v>0</v>
      </c>
      <c r="BS104" s="459">
        <f t="shared" si="239"/>
        <v>0</v>
      </c>
      <c r="BT104" s="459">
        <f t="shared" si="240"/>
        <v>0</v>
      </c>
      <c r="BU104" s="459">
        <f t="shared" si="241"/>
        <v>0</v>
      </c>
      <c r="BV104" s="459">
        <f t="shared" si="242"/>
        <v>0</v>
      </c>
      <c r="BW104" s="459">
        <f t="shared" si="243"/>
        <v>0</v>
      </c>
      <c r="BX104" s="459">
        <f t="shared" si="244"/>
        <v>0</v>
      </c>
      <c r="BY104" s="459">
        <f t="shared" si="245"/>
        <v>0</v>
      </c>
      <c r="BZ104" s="459">
        <f t="shared" si="246"/>
        <v>0</v>
      </c>
      <c r="CA104" s="459">
        <f t="shared" si="247"/>
        <v>0</v>
      </c>
      <c r="CB104" s="460">
        <f t="shared" si="283"/>
        <v>0</v>
      </c>
      <c r="CC104" s="463"/>
      <c r="CD104" s="462">
        <f t="shared" si="248"/>
        <v>0</v>
      </c>
      <c r="CE104" s="462">
        <f t="shared" si="249"/>
        <v>0</v>
      </c>
      <c r="CF104" s="462">
        <f t="shared" si="250"/>
        <v>0</v>
      </c>
      <c r="CG104" s="462">
        <f t="shared" si="251"/>
        <v>0</v>
      </c>
      <c r="CH104" s="462">
        <f t="shared" si="252"/>
        <v>0</v>
      </c>
      <c r="CI104" s="462">
        <f t="shared" si="253"/>
        <v>0</v>
      </c>
      <c r="CJ104" s="462">
        <f t="shared" si="254"/>
        <v>0</v>
      </c>
      <c r="CK104" s="462">
        <f t="shared" si="255"/>
        <v>0</v>
      </c>
      <c r="CL104" s="462">
        <f t="shared" si="256"/>
        <v>0</v>
      </c>
      <c r="CM104" s="462">
        <f t="shared" si="257"/>
        <v>0</v>
      </c>
      <c r="CN104" s="460">
        <f t="shared" si="284"/>
        <v>0</v>
      </c>
      <c r="CO104" s="463"/>
      <c r="CP104" s="459">
        <f t="shared" si="258"/>
        <v>0</v>
      </c>
      <c r="CQ104" s="459">
        <f t="shared" si="259"/>
        <v>0</v>
      </c>
      <c r="CR104" s="459">
        <f t="shared" si="260"/>
        <v>0</v>
      </c>
      <c r="CS104" s="459">
        <f t="shared" si="261"/>
        <v>0</v>
      </c>
      <c r="CT104" s="459">
        <f t="shared" si="262"/>
        <v>0</v>
      </c>
      <c r="CU104" s="459">
        <f t="shared" si="263"/>
        <v>0</v>
      </c>
      <c r="CV104" s="459">
        <f t="shared" si="264"/>
        <v>0</v>
      </c>
      <c r="CW104" s="459">
        <f t="shared" si="265"/>
        <v>0</v>
      </c>
      <c r="CX104" s="459">
        <f t="shared" si="266"/>
        <v>0</v>
      </c>
      <c r="CY104" s="459">
        <f t="shared" si="267"/>
        <v>0</v>
      </c>
      <c r="CZ104" s="460">
        <f t="shared" si="285"/>
        <v>0</v>
      </c>
      <c r="DA104" s="463"/>
      <c r="DB104" s="459">
        <f t="shared" si="268"/>
        <v>0</v>
      </c>
      <c r="DC104" s="459">
        <f t="shared" si="269"/>
        <v>0</v>
      </c>
      <c r="DD104" s="459">
        <f t="shared" si="270"/>
        <v>0</v>
      </c>
      <c r="DE104" s="459">
        <f t="shared" si="271"/>
        <v>0</v>
      </c>
      <c r="DF104" s="459">
        <f t="shared" si="272"/>
        <v>0</v>
      </c>
      <c r="DG104" s="459">
        <f t="shared" si="273"/>
        <v>0</v>
      </c>
      <c r="DH104" s="459">
        <f t="shared" si="274"/>
        <v>0</v>
      </c>
      <c r="DI104" s="459">
        <f t="shared" si="275"/>
        <v>0</v>
      </c>
      <c r="DJ104" s="459">
        <f t="shared" si="276"/>
        <v>0</v>
      </c>
      <c r="DK104" s="459">
        <f t="shared" si="277"/>
        <v>0</v>
      </c>
      <c r="DL104" s="460">
        <f t="shared" si="286"/>
        <v>0</v>
      </c>
      <c r="DM104" s="463"/>
      <c r="DN104" s="442">
        <f>IF('2. START'!$C$14&gt;0,(AT104/(1+$AA104))*(1+'2. START'!$C$14),AT104)</f>
        <v>0</v>
      </c>
      <c r="DO104" s="442">
        <f>IF('2. START'!$C$14&gt;0,(AU104/(1+$AA104))*(1+'2. START'!$C$14),AU104)</f>
        <v>0</v>
      </c>
      <c r="DP104" s="442">
        <f>IF('2. START'!$C$14&gt;0,(AV104/(1+$AA104))*(1+'2. START'!$C$14),AV104)</f>
        <v>0</v>
      </c>
      <c r="DQ104" s="442">
        <f>IF('2. START'!$C$14&gt;0,(AW104/(1+$AA104))*(1+'2. START'!$C$14),AW104)</f>
        <v>0</v>
      </c>
      <c r="DR104" s="442">
        <f>IF('2. START'!$C$14&gt;0,(AX104/(1+$AA104))*(1+'2. START'!$C$14),AX104)</f>
        <v>0</v>
      </c>
      <c r="DS104" s="442">
        <f>IF('2. START'!$C$14&gt;0,(AY104/(1+$AA104))*(1+'2. START'!$C$14),AY104)</f>
        <v>0</v>
      </c>
      <c r="DT104" s="442">
        <f>IF('2. START'!$C$14&gt;0,(AZ104/(1+$AA104))*(1+'2. START'!$C$14),AZ104)</f>
        <v>0</v>
      </c>
      <c r="DU104" s="442">
        <f>IF('2. START'!$C$14&gt;0,(BA104/(1+$AA104))*(1+'2. START'!$C$14),BA104)</f>
        <v>0</v>
      </c>
      <c r="DV104" s="442">
        <f>IF('2. START'!$C$14&gt;0,(BB104/(1+$AA104))*(1+'2. START'!$C$14),BB104)</f>
        <v>0</v>
      </c>
      <c r="DW104" s="442">
        <f>IF('2. START'!$C$14&gt;0,(BC104/(1+$AA104))*(1+'2. START'!$C$14),BC104)</f>
        <v>0</v>
      </c>
      <c r="DX104" s="460">
        <f t="shared" si="287"/>
        <v>0</v>
      </c>
      <c r="DY104" s="463"/>
      <c r="DZ104" s="459">
        <f>IF('2. START'!$C$11="NO",(IF('2. START'!$C$14&gt;0,(DN104*$AD104),(AT104*$AD104))),(BR104+CP104))</f>
        <v>0</v>
      </c>
      <c r="EA104" s="459">
        <f>IF('2. START'!$C$11="NO",(IF('2. START'!$C$14&gt;0,(DO104*$AD104),(AU104*$AD104))),(BS104+CQ104))</f>
        <v>0</v>
      </c>
      <c r="EB104" s="459">
        <f>IF('2. START'!$C$11="NO",(IF('2. START'!$C$14&gt;0,(DP104*$AD104),(AV104*$AD104))),(BT104+CR104))</f>
        <v>0</v>
      </c>
      <c r="EC104" s="459">
        <f>IF('2. START'!$C$11="NO",(IF('2. START'!$C$14&gt;0,(DQ104*$AD104),(AW104*$AD104))),(BU104+CS104))</f>
        <v>0</v>
      </c>
      <c r="ED104" s="459">
        <f>IF('2. START'!$C$11="NO",(IF('2. START'!$C$14&gt;0,(DR104*$AD104),(AX104*$AD104))),(BV104+CT104))</f>
        <v>0</v>
      </c>
      <c r="EE104" s="459">
        <f>IF('2. START'!$C$11="NO",(IF('2. START'!$C$14&gt;0,(DS104*$AD104),(AY104*$AD104))),(BW104+CU104))</f>
        <v>0</v>
      </c>
      <c r="EF104" s="459">
        <f>IF('2. START'!$C$11="NO",(IF('2. START'!$C$14&gt;0,(DT104*$AD104),(AZ104*$AD104))),(BX104+CV104))</f>
        <v>0</v>
      </c>
      <c r="EG104" s="459">
        <f>IF('2. START'!$C$11="NO",(IF('2. START'!$C$14&gt;0,(DU104*$AD104),(BA104*$AD104))),(BY104+CW104))</f>
        <v>0</v>
      </c>
      <c r="EH104" s="459">
        <f>IF('2. START'!$C$11="NO",(IF('2. START'!$C$14&gt;0,(DV104*$AD104),(BB104*$AD104))),(BZ104+CX104))</f>
        <v>0</v>
      </c>
      <c r="EI104" s="459">
        <f>IF('2. START'!$C$11="NO",(IF('2. START'!$C$14&gt;0,(DW104*$AD104),(BC104*$AD104))),(CA104+CY104))</f>
        <v>0</v>
      </c>
      <c r="EJ104" s="460">
        <f t="shared" si="288"/>
        <v>0</v>
      </c>
      <c r="EK104" s="463"/>
      <c r="EL104" s="459">
        <f>(BR104+CP104-DZ104)+IF('2. START'!$C$14&gt;0,AT104-DN104,0)</f>
        <v>0</v>
      </c>
      <c r="EM104" s="459">
        <f>(BS104+CQ104-EA104)+IF('2. START'!$C$14&gt;0,AU104-DO104,0)</f>
        <v>0</v>
      </c>
      <c r="EN104" s="459">
        <f>(BT104+CR104-EB104)+IF('2. START'!$C$14&gt;0,AV104-DP104,0)</f>
        <v>0</v>
      </c>
      <c r="EO104" s="459">
        <f>(BU104+CS104-EC104)+IF('2. START'!$C$14&gt;0,AW104-DQ104,0)</f>
        <v>0</v>
      </c>
      <c r="EP104" s="459">
        <f>(BV104+CT104-ED104)+IF('2. START'!$C$14&gt;0,AX104-DR104,0)</f>
        <v>0</v>
      </c>
      <c r="EQ104" s="459">
        <f>(BW104+CU104-EE104)+IF('2. START'!$C$14&gt;0,AY104-DS104,0)</f>
        <v>0</v>
      </c>
      <c r="ER104" s="459">
        <f>(BX104+CV104-EF104)+IF('2. START'!$C$14&gt;0,AZ104-DT104,0)</f>
        <v>0</v>
      </c>
      <c r="ES104" s="459">
        <f>(BY104+CW104-EG104)+IF('2. START'!$C$14&gt;0,BA104-DU104,0)</f>
        <v>0</v>
      </c>
      <c r="ET104" s="459">
        <f>(BZ104+CX104-EH104)+IF('2. START'!$C$14&gt;0,BB104-DV104,0)</f>
        <v>0</v>
      </c>
      <c r="EU104" s="459">
        <f>(CA104+CY104-EI104)+IF('2. START'!$C$14&gt;0,BC104-DW104,0)</f>
        <v>0</v>
      </c>
      <c r="EV104" s="460">
        <f t="shared" si="289"/>
        <v>0</v>
      </c>
      <c r="EW104" s="463"/>
      <c r="EX104" s="459">
        <f t="shared" si="290"/>
        <v>0</v>
      </c>
      <c r="EY104" s="459">
        <f t="shared" si="291"/>
        <v>0</v>
      </c>
      <c r="EZ104" s="459">
        <f t="shared" si="292"/>
        <v>0</v>
      </c>
      <c r="FA104" s="459">
        <f t="shared" si="293"/>
        <v>0</v>
      </c>
      <c r="FB104" s="459">
        <f t="shared" si="294"/>
        <v>0</v>
      </c>
      <c r="FC104" s="459">
        <f t="shared" si="295"/>
        <v>0</v>
      </c>
      <c r="FD104" s="459">
        <f t="shared" si="296"/>
        <v>0</v>
      </c>
      <c r="FE104" s="459">
        <f t="shared" si="297"/>
        <v>0</v>
      </c>
      <c r="FF104" s="459">
        <f t="shared" si="298"/>
        <v>0</v>
      </c>
      <c r="FG104" s="459">
        <f t="shared" si="299"/>
        <v>0</v>
      </c>
      <c r="FH104" s="460">
        <f t="shared" si="300"/>
        <v>0</v>
      </c>
      <c r="FI104" s="463"/>
      <c r="FJ104" s="459">
        <f t="shared" si="301"/>
        <v>0</v>
      </c>
      <c r="FK104" s="459">
        <f t="shared" si="302"/>
        <v>0</v>
      </c>
      <c r="FL104" s="459">
        <f t="shared" si="303"/>
        <v>0</v>
      </c>
      <c r="FM104" s="459">
        <f t="shared" si="304"/>
        <v>0</v>
      </c>
      <c r="FN104" s="459">
        <f t="shared" si="305"/>
        <v>0</v>
      </c>
      <c r="FO104" s="459">
        <f t="shared" si="306"/>
        <v>0</v>
      </c>
      <c r="FP104" s="459">
        <f t="shared" si="307"/>
        <v>0</v>
      </c>
      <c r="FQ104" s="459">
        <f t="shared" si="308"/>
        <v>0</v>
      </c>
      <c r="FR104" s="459">
        <f t="shared" si="309"/>
        <v>0</v>
      </c>
      <c r="FS104" s="459">
        <f t="shared" si="310"/>
        <v>0</v>
      </c>
      <c r="FT104" s="460">
        <f t="shared" si="311"/>
        <v>0</v>
      </c>
    </row>
    <row r="105" spans="2:176" s="270" customFormat="1" ht="15" customHeight="1" x14ac:dyDescent="0.25">
      <c r="B105" s="464" t="str">
        <f>'2. START'!C$7</f>
        <v>100GEM</v>
      </c>
      <c r="C105" s="470"/>
      <c r="D105" s="590"/>
      <c r="E105" s="514">
        <v>0</v>
      </c>
      <c r="F105" s="467"/>
      <c r="G105" s="432"/>
      <c r="H105" s="432"/>
      <c r="I105" s="432"/>
      <c r="J105" s="432"/>
      <c r="K105" s="432"/>
      <c r="L105" s="432"/>
      <c r="M105" s="432"/>
      <c r="N105" s="432"/>
      <c r="O105" s="432"/>
      <c r="P105" s="432"/>
      <c r="Q105" s="545">
        <f>SUMIF('3. PARTNER'!$B$13:$B$80,$B105,'3. PARTNER'!$F$13:$F$80)</f>
        <v>0.02</v>
      </c>
      <c r="R105" s="466">
        <f t="shared" si="313"/>
        <v>0.02</v>
      </c>
      <c r="S105" s="466">
        <f t="shared" si="313"/>
        <v>0.02</v>
      </c>
      <c r="T105" s="466">
        <f t="shared" si="313"/>
        <v>0.02</v>
      </c>
      <c r="U105" s="466">
        <f t="shared" si="313"/>
        <v>0.02</v>
      </c>
      <c r="V105" s="466">
        <f t="shared" si="313"/>
        <v>0.02</v>
      </c>
      <c r="W105" s="466">
        <f t="shared" si="313"/>
        <v>0.02</v>
      </c>
      <c r="X105" s="466">
        <f t="shared" si="313"/>
        <v>0.02</v>
      </c>
      <c r="Y105" s="466">
        <f t="shared" si="313"/>
        <v>0.02</v>
      </c>
      <c r="Z105" s="466">
        <f t="shared" si="313"/>
        <v>0.02</v>
      </c>
      <c r="AA105" s="434">
        <f>SUMIF('3. PARTNER'!B$13:B$80,B105,'3. PARTNER'!E$13:E$80)</f>
        <v>0.5595</v>
      </c>
      <c r="AB105" s="435">
        <f>IF('2. START'!$C$20="UTB",(SUMIF('3. PARTNER'!B$13:B$80,B105,'3. PARTNER'!K$13:K$80))+(SUMIF('3. PARTNER'!B$13:B$80,B105,'3. PARTNER'!M$13:M$80)),(SUMIF('3. PARTNER'!B$13:B$80,B105,'3. PARTNER'!G$13:G$80))+(SUMIF('3. PARTNER'!B$13:B$80,B105,'3. PARTNER'!I$13:I$80)))</f>
        <v>0.16000843770704321</v>
      </c>
      <c r="AC105" s="435">
        <f>IF('2. START'!$C$20="UTB",(SUMIF('3. PARTNER'!B$13:B$80,B105,'3. PARTNER'!L$13:L$80))+(SUMIF('3. PARTNER'!B$13:B$80,B105,'3. PARTNER'!N$13:N$80)),(SUMIF('3. PARTNER'!B$13:B$80,B105,'3. PARTNER'!H$13:H$80))+(SUMIF('3. PARTNER'!B$13:B$80,B105,'3. PARTNER'!J$13:J$80)))</f>
        <v>0</v>
      </c>
      <c r="AD105" s="435">
        <f>IF('2. START'!C$11="NO",'2. START'!C$12,0)</f>
        <v>0</v>
      </c>
      <c r="AE105" s="436">
        <f t="shared" si="278"/>
        <v>0</v>
      </c>
      <c r="AF105" s="436">
        <f t="shared" si="279"/>
        <v>0</v>
      </c>
      <c r="AG105" s="437"/>
      <c r="AH105" s="438">
        <f t="shared" si="208"/>
        <v>0</v>
      </c>
      <c r="AI105" s="438">
        <f t="shared" si="209"/>
        <v>0</v>
      </c>
      <c r="AJ105" s="438">
        <f t="shared" si="210"/>
        <v>0</v>
      </c>
      <c r="AK105" s="438">
        <f t="shared" si="211"/>
        <v>0</v>
      </c>
      <c r="AL105" s="438">
        <f t="shared" si="212"/>
        <v>0</v>
      </c>
      <c r="AM105" s="438">
        <f t="shared" si="213"/>
        <v>0</v>
      </c>
      <c r="AN105" s="438">
        <f t="shared" si="214"/>
        <v>0</v>
      </c>
      <c r="AO105" s="438">
        <f t="shared" si="215"/>
        <v>0</v>
      </c>
      <c r="AP105" s="438">
        <f t="shared" si="216"/>
        <v>0</v>
      </c>
      <c r="AQ105" s="438">
        <f t="shared" si="217"/>
        <v>0</v>
      </c>
      <c r="AR105" s="439">
        <f t="shared" si="280"/>
        <v>0</v>
      </c>
      <c r="AS105" s="440"/>
      <c r="AT105" s="438">
        <f t="shared" si="218"/>
        <v>0</v>
      </c>
      <c r="AU105" s="438">
        <f t="shared" si="219"/>
        <v>0</v>
      </c>
      <c r="AV105" s="438">
        <f t="shared" si="220"/>
        <v>0</v>
      </c>
      <c r="AW105" s="438">
        <f t="shared" si="221"/>
        <v>0</v>
      </c>
      <c r="AX105" s="438">
        <f t="shared" si="222"/>
        <v>0</v>
      </c>
      <c r="AY105" s="438">
        <f t="shared" si="223"/>
        <v>0</v>
      </c>
      <c r="AZ105" s="438">
        <f t="shared" si="224"/>
        <v>0</v>
      </c>
      <c r="BA105" s="438">
        <f t="shared" si="225"/>
        <v>0</v>
      </c>
      <c r="BB105" s="438">
        <f t="shared" si="226"/>
        <v>0</v>
      </c>
      <c r="BC105" s="438">
        <f t="shared" si="227"/>
        <v>0</v>
      </c>
      <c r="BD105" s="439">
        <f t="shared" si="281"/>
        <v>0</v>
      </c>
      <c r="BE105" s="440"/>
      <c r="BF105" s="438">
        <f t="shared" si="228"/>
        <v>0</v>
      </c>
      <c r="BG105" s="438">
        <f t="shared" si="229"/>
        <v>0</v>
      </c>
      <c r="BH105" s="438">
        <f t="shared" si="230"/>
        <v>0</v>
      </c>
      <c r="BI105" s="438">
        <f t="shared" si="231"/>
        <v>0</v>
      </c>
      <c r="BJ105" s="438">
        <f t="shared" si="232"/>
        <v>0</v>
      </c>
      <c r="BK105" s="438">
        <f t="shared" si="233"/>
        <v>0</v>
      </c>
      <c r="BL105" s="438">
        <f t="shared" si="234"/>
        <v>0</v>
      </c>
      <c r="BM105" s="438">
        <f t="shared" si="235"/>
        <v>0</v>
      </c>
      <c r="BN105" s="438">
        <f t="shared" si="236"/>
        <v>0</v>
      </c>
      <c r="BO105" s="438">
        <f t="shared" si="237"/>
        <v>0</v>
      </c>
      <c r="BP105" s="439">
        <f t="shared" si="282"/>
        <v>0</v>
      </c>
      <c r="BR105" s="442">
        <f t="shared" si="238"/>
        <v>0</v>
      </c>
      <c r="BS105" s="442">
        <f t="shared" si="239"/>
        <v>0</v>
      </c>
      <c r="BT105" s="442">
        <f t="shared" si="240"/>
        <v>0</v>
      </c>
      <c r="BU105" s="442">
        <f t="shared" si="241"/>
        <v>0</v>
      </c>
      <c r="BV105" s="442">
        <f t="shared" si="242"/>
        <v>0</v>
      </c>
      <c r="BW105" s="442">
        <f t="shared" si="243"/>
        <v>0</v>
      </c>
      <c r="BX105" s="442">
        <f t="shared" si="244"/>
        <v>0</v>
      </c>
      <c r="BY105" s="442">
        <f t="shared" si="245"/>
        <v>0</v>
      </c>
      <c r="BZ105" s="442">
        <f t="shared" si="246"/>
        <v>0</v>
      </c>
      <c r="CA105" s="442">
        <f t="shared" si="247"/>
        <v>0</v>
      </c>
      <c r="CB105" s="443">
        <f t="shared" si="283"/>
        <v>0</v>
      </c>
      <c r="CD105" s="445">
        <f t="shared" si="248"/>
        <v>0</v>
      </c>
      <c r="CE105" s="445">
        <f t="shared" si="249"/>
        <v>0</v>
      </c>
      <c r="CF105" s="445">
        <f t="shared" si="250"/>
        <v>0</v>
      </c>
      <c r="CG105" s="445">
        <f t="shared" si="251"/>
        <v>0</v>
      </c>
      <c r="CH105" s="445">
        <f t="shared" si="252"/>
        <v>0</v>
      </c>
      <c r="CI105" s="445">
        <f t="shared" si="253"/>
        <v>0</v>
      </c>
      <c r="CJ105" s="445">
        <f t="shared" si="254"/>
        <v>0</v>
      </c>
      <c r="CK105" s="445">
        <f t="shared" si="255"/>
        <v>0</v>
      </c>
      <c r="CL105" s="445">
        <f t="shared" si="256"/>
        <v>0</v>
      </c>
      <c r="CM105" s="445">
        <f t="shared" si="257"/>
        <v>0</v>
      </c>
      <c r="CN105" s="443">
        <f t="shared" si="284"/>
        <v>0</v>
      </c>
      <c r="CP105" s="442">
        <f t="shared" si="258"/>
        <v>0</v>
      </c>
      <c r="CQ105" s="442">
        <f t="shared" si="259"/>
        <v>0</v>
      </c>
      <c r="CR105" s="442">
        <f t="shared" si="260"/>
        <v>0</v>
      </c>
      <c r="CS105" s="442">
        <f t="shared" si="261"/>
        <v>0</v>
      </c>
      <c r="CT105" s="442">
        <f t="shared" si="262"/>
        <v>0</v>
      </c>
      <c r="CU105" s="442">
        <f t="shared" si="263"/>
        <v>0</v>
      </c>
      <c r="CV105" s="442">
        <f t="shared" si="264"/>
        <v>0</v>
      </c>
      <c r="CW105" s="442">
        <f t="shared" si="265"/>
        <v>0</v>
      </c>
      <c r="CX105" s="442">
        <f t="shared" si="266"/>
        <v>0</v>
      </c>
      <c r="CY105" s="442">
        <f t="shared" si="267"/>
        <v>0</v>
      </c>
      <c r="CZ105" s="443">
        <f t="shared" si="285"/>
        <v>0</v>
      </c>
      <c r="DB105" s="442">
        <f t="shared" si="268"/>
        <v>0</v>
      </c>
      <c r="DC105" s="442">
        <f t="shared" si="269"/>
        <v>0</v>
      </c>
      <c r="DD105" s="442">
        <f t="shared" si="270"/>
        <v>0</v>
      </c>
      <c r="DE105" s="442">
        <f t="shared" si="271"/>
        <v>0</v>
      </c>
      <c r="DF105" s="442">
        <f t="shared" si="272"/>
        <v>0</v>
      </c>
      <c r="DG105" s="442">
        <f t="shared" si="273"/>
        <v>0</v>
      </c>
      <c r="DH105" s="442">
        <f t="shared" si="274"/>
        <v>0</v>
      </c>
      <c r="DI105" s="442">
        <f t="shared" si="275"/>
        <v>0</v>
      </c>
      <c r="DJ105" s="442">
        <f t="shared" si="276"/>
        <v>0</v>
      </c>
      <c r="DK105" s="442">
        <f t="shared" si="277"/>
        <v>0</v>
      </c>
      <c r="DL105" s="443">
        <f t="shared" si="286"/>
        <v>0</v>
      </c>
      <c r="DN105" s="442">
        <f>IF('2. START'!$C$14&gt;0,(AT105/(1+$AA105))*(1+'2. START'!$C$14),AT105)</f>
        <v>0</v>
      </c>
      <c r="DO105" s="442">
        <f>IF('2. START'!$C$14&gt;0,(AU105/(1+$AA105))*(1+'2. START'!$C$14),AU105)</f>
        <v>0</v>
      </c>
      <c r="DP105" s="442">
        <f>IF('2. START'!$C$14&gt;0,(AV105/(1+$AA105))*(1+'2. START'!$C$14),AV105)</f>
        <v>0</v>
      </c>
      <c r="DQ105" s="442">
        <f>IF('2. START'!$C$14&gt;0,(AW105/(1+$AA105))*(1+'2. START'!$C$14),AW105)</f>
        <v>0</v>
      </c>
      <c r="DR105" s="442">
        <f>IF('2. START'!$C$14&gt;0,(AX105/(1+$AA105))*(1+'2. START'!$C$14),AX105)</f>
        <v>0</v>
      </c>
      <c r="DS105" s="442">
        <f>IF('2. START'!$C$14&gt;0,(AY105/(1+$AA105))*(1+'2. START'!$C$14),AY105)</f>
        <v>0</v>
      </c>
      <c r="DT105" s="442">
        <f>IF('2. START'!$C$14&gt;0,(AZ105/(1+$AA105))*(1+'2. START'!$C$14),AZ105)</f>
        <v>0</v>
      </c>
      <c r="DU105" s="442">
        <f>IF('2. START'!$C$14&gt;0,(BA105/(1+$AA105))*(1+'2. START'!$C$14),BA105)</f>
        <v>0</v>
      </c>
      <c r="DV105" s="442">
        <f>IF('2. START'!$C$14&gt;0,(BB105/(1+$AA105))*(1+'2. START'!$C$14),BB105)</f>
        <v>0</v>
      </c>
      <c r="DW105" s="442">
        <f>IF('2. START'!$C$14&gt;0,(BC105/(1+$AA105))*(1+'2. START'!$C$14),BC105)</f>
        <v>0</v>
      </c>
      <c r="DX105" s="443">
        <f t="shared" si="287"/>
        <v>0</v>
      </c>
      <c r="DZ105" s="442">
        <f>IF('2. START'!$C$11="NO",(IF('2. START'!$C$14&gt;0,(DN105*$AD105),(AT105*$AD105))),(BR105+CP105))</f>
        <v>0</v>
      </c>
      <c r="EA105" s="442">
        <f>IF('2. START'!$C$11="NO",(IF('2. START'!$C$14&gt;0,(DO105*$AD105),(AU105*$AD105))),(BS105+CQ105))</f>
        <v>0</v>
      </c>
      <c r="EB105" s="442">
        <f>IF('2. START'!$C$11="NO",(IF('2. START'!$C$14&gt;0,(DP105*$AD105),(AV105*$AD105))),(BT105+CR105))</f>
        <v>0</v>
      </c>
      <c r="EC105" s="442">
        <f>IF('2. START'!$C$11="NO",(IF('2. START'!$C$14&gt;0,(DQ105*$AD105),(AW105*$AD105))),(BU105+CS105))</f>
        <v>0</v>
      </c>
      <c r="ED105" s="442">
        <f>IF('2. START'!$C$11="NO",(IF('2. START'!$C$14&gt;0,(DR105*$AD105),(AX105*$AD105))),(BV105+CT105))</f>
        <v>0</v>
      </c>
      <c r="EE105" s="442">
        <f>IF('2. START'!$C$11="NO",(IF('2. START'!$C$14&gt;0,(DS105*$AD105),(AY105*$AD105))),(BW105+CU105))</f>
        <v>0</v>
      </c>
      <c r="EF105" s="442">
        <f>IF('2. START'!$C$11="NO",(IF('2. START'!$C$14&gt;0,(DT105*$AD105),(AZ105*$AD105))),(BX105+CV105))</f>
        <v>0</v>
      </c>
      <c r="EG105" s="442">
        <f>IF('2. START'!$C$11="NO",(IF('2. START'!$C$14&gt;0,(DU105*$AD105),(BA105*$AD105))),(BY105+CW105))</f>
        <v>0</v>
      </c>
      <c r="EH105" s="442">
        <f>IF('2. START'!$C$11="NO",(IF('2. START'!$C$14&gt;0,(DV105*$AD105),(BB105*$AD105))),(BZ105+CX105))</f>
        <v>0</v>
      </c>
      <c r="EI105" s="442">
        <f>IF('2. START'!$C$11="NO",(IF('2. START'!$C$14&gt;0,(DW105*$AD105),(BC105*$AD105))),(CA105+CY105))</f>
        <v>0</v>
      </c>
      <c r="EJ105" s="443">
        <f t="shared" si="288"/>
        <v>0</v>
      </c>
      <c r="EL105" s="442">
        <f>(BR105+CP105-DZ105)+IF('2. START'!$C$14&gt;0,AT105-DN105,0)</f>
        <v>0</v>
      </c>
      <c r="EM105" s="442">
        <f>(BS105+CQ105-EA105)+IF('2. START'!$C$14&gt;0,AU105-DO105,0)</f>
        <v>0</v>
      </c>
      <c r="EN105" s="442">
        <f>(BT105+CR105-EB105)+IF('2. START'!$C$14&gt;0,AV105-DP105,0)</f>
        <v>0</v>
      </c>
      <c r="EO105" s="442">
        <f>(BU105+CS105-EC105)+IF('2. START'!$C$14&gt;0,AW105-DQ105,0)</f>
        <v>0</v>
      </c>
      <c r="EP105" s="442">
        <f>(BV105+CT105-ED105)+IF('2. START'!$C$14&gt;0,AX105-DR105,0)</f>
        <v>0</v>
      </c>
      <c r="EQ105" s="442">
        <f>(BW105+CU105-EE105)+IF('2. START'!$C$14&gt;0,AY105-DS105,0)</f>
        <v>0</v>
      </c>
      <c r="ER105" s="442">
        <f>(BX105+CV105-EF105)+IF('2. START'!$C$14&gt;0,AZ105-DT105,0)</f>
        <v>0</v>
      </c>
      <c r="ES105" s="442">
        <f>(BY105+CW105-EG105)+IF('2. START'!$C$14&gt;0,BA105-DU105,0)</f>
        <v>0</v>
      </c>
      <c r="ET105" s="442">
        <f>(BZ105+CX105-EH105)+IF('2. START'!$C$14&gt;0,BB105-DV105,0)</f>
        <v>0</v>
      </c>
      <c r="EU105" s="442">
        <f>(CA105+CY105-EI105)+IF('2. START'!$C$14&gt;0,BC105-DW105,0)</f>
        <v>0</v>
      </c>
      <c r="EV105" s="443">
        <f t="shared" si="289"/>
        <v>0</v>
      </c>
      <c r="EX105" s="442">
        <f t="shared" si="290"/>
        <v>0</v>
      </c>
      <c r="EY105" s="442">
        <f t="shared" si="291"/>
        <v>0</v>
      </c>
      <c r="EZ105" s="442">
        <f t="shared" si="292"/>
        <v>0</v>
      </c>
      <c r="FA105" s="442">
        <f t="shared" si="293"/>
        <v>0</v>
      </c>
      <c r="FB105" s="442">
        <f t="shared" si="294"/>
        <v>0</v>
      </c>
      <c r="FC105" s="442">
        <f t="shared" si="295"/>
        <v>0</v>
      </c>
      <c r="FD105" s="442">
        <f t="shared" si="296"/>
        <v>0</v>
      </c>
      <c r="FE105" s="442">
        <f t="shared" si="297"/>
        <v>0</v>
      </c>
      <c r="FF105" s="442">
        <f t="shared" si="298"/>
        <v>0</v>
      </c>
      <c r="FG105" s="442">
        <f t="shared" si="299"/>
        <v>0</v>
      </c>
      <c r="FH105" s="443">
        <f t="shared" si="300"/>
        <v>0</v>
      </c>
      <c r="FJ105" s="442">
        <f t="shared" si="301"/>
        <v>0</v>
      </c>
      <c r="FK105" s="442">
        <f t="shared" si="302"/>
        <v>0</v>
      </c>
      <c r="FL105" s="442">
        <f t="shared" si="303"/>
        <v>0</v>
      </c>
      <c r="FM105" s="442">
        <f t="shared" si="304"/>
        <v>0</v>
      </c>
      <c r="FN105" s="442">
        <f t="shared" si="305"/>
        <v>0</v>
      </c>
      <c r="FO105" s="442">
        <f t="shared" si="306"/>
        <v>0</v>
      </c>
      <c r="FP105" s="442">
        <f t="shared" si="307"/>
        <v>0</v>
      </c>
      <c r="FQ105" s="442">
        <f t="shared" si="308"/>
        <v>0</v>
      </c>
      <c r="FR105" s="442">
        <f t="shared" si="309"/>
        <v>0</v>
      </c>
      <c r="FS105" s="442">
        <f t="shared" si="310"/>
        <v>0</v>
      </c>
      <c r="FT105" s="443">
        <f t="shared" si="311"/>
        <v>0</v>
      </c>
    </row>
    <row r="106" spans="2:176" s="270" customFormat="1" ht="15" customHeight="1" x14ac:dyDescent="0.25">
      <c r="B106" s="446" t="str">
        <f>'2. START'!C$7</f>
        <v>100GEM</v>
      </c>
      <c r="C106" s="469"/>
      <c r="D106" s="589"/>
      <c r="E106" s="544">
        <v>0</v>
      </c>
      <c r="F106" s="448"/>
      <c r="G106" s="449"/>
      <c r="H106" s="449"/>
      <c r="I106" s="449"/>
      <c r="J106" s="449"/>
      <c r="K106" s="449"/>
      <c r="L106" s="449"/>
      <c r="M106" s="449"/>
      <c r="N106" s="449"/>
      <c r="O106" s="449"/>
      <c r="P106" s="449"/>
      <c r="Q106" s="546">
        <f>SUMIF('3. PARTNER'!$B$13:$B$80,$B106,'3. PARTNER'!$F$13:$F$80)</f>
        <v>0.02</v>
      </c>
      <c r="R106" s="450">
        <f t="shared" si="313"/>
        <v>0.02</v>
      </c>
      <c r="S106" s="450">
        <f t="shared" si="313"/>
        <v>0.02</v>
      </c>
      <c r="T106" s="450">
        <f t="shared" si="313"/>
        <v>0.02</v>
      </c>
      <c r="U106" s="450">
        <f t="shared" si="313"/>
        <v>0.02</v>
      </c>
      <c r="V106" s="450">
        <f t="shared" si="313"/>
        <v>0.02</v>
      </c>
      <c r="W106" s="450">
        <f t="shared" si="313"/>
        <v>0.02</v>
      </c>
      <c r="X106" s="450">
        <f t="shared" si="313"/>
        <v>0.02</v>
      </c>
      <c r="Y106" s="450">
        <f t="shared" si="313"/>
        <v>0.02</v>
      </c>
      <c r="Z106" s="450">
        <f t="shared" si="313"/>
        <v>0.02</v>
      </c>
      <c r="AA106" s="451">
        <f>SUMIF('3. PARTNER'!B$13:B$80,B106,'3. PARTNER'!E$13:E$80)</f>
        <v>0.5595</v>
      </c>
      <c r="AB106" s="452">
        <f>IF('2. START'!$C$20="UTB",(SUMIF('3. PARTNER'!B$13:B$80,B106,'3. PARTNER'!K$13:K$80))+(SUMIF('3. PARTNER'!B$13:B$80,B106,'3. PARTNER'!M$13:M$80)),(SUMIF('3. PARTNER'!B$13:B$80,B106,'3. PARTNER'!G$13:G$80))+(SUMIF('3. PARTNER'!B$13:B$80,B106,'3. PARTNER'!I$13:I$80)))</f>
        <v>0.16000843770704321</v>
      </c>
      <c r="AC106" s="452">
        <f>IF('2. START'!$C$20="UTB",(SUMIF('3. PARTNER'!B$13:B$80,B106,'3. PARTNER'!L$13:L$80))+(SUMIF('3. PARTNER'!B$13:B$80,B106,'3. PARTNER'!N$13:N$80)),(SUMIF('3. PARTNER'!B$13:B$80,B106,'3. PARTNER'!H$13:H$80))+(SUMIF('3. PARTNER'!B$13:B$80,B106,'3. PARTNER'!J$13:J$80)))</f>
        <v>0</v>
      </c>
      <c r="AD106" s="452">
        <f>IF('2. START'!C$11="NO",'2. START'!C$12,0)</f>
        <v>0</v>
      </c>
      <c r="AE106" s="453">
        <f t="shared" si="278"/>
        <v>0</v>
      </c>
      <c r="AF106" s="453">
        <f t="shared" si="279"/>
        <v>0</v>
      </c>
      <c r="AG106" s="454"/>
      <c r="AH106" s="455">
        <f t="shared" si="208"/>
        <v>0</v>
      </c>
      <c r="AI106" s="455">
        <f t="shared" si="209"/>
        <v>0</v>
      </c>
      <c r="AJ106" s="455">
        <f t="shared" si="210"/>
        <v>0</v>
      </c>
      <c r="AK106" s="455">
        <f t="shared" si="211"/>
        <v>0</v>
      </c>
      <c r="AL106" s="455">
        <f t="shared" si="212"/>
        <v>0</v>
      </c>
      <c r="AM106" s="455">
        <f t="shared" si="213"/>
        <v>0</v>
      </c>
      <c r="AN106" s="455">
        <f t="shared" si="214"/>
        <v>0</v>
      </c>
      <c r="AO106" s="455">
        <f t="shared" si="215"/>
        <v>0</v>
      </c>
      <c r="AP106" s="455">
        <f t="shared" si="216"/>
        <v>0</v>
      </c>
      <c r="AQ106" s="455">
        <f t="shared" si="217"/>
        <v>0</v>
      </c>
      <c r="AR106" s="456">
        <f t="shared" si="280"/>
        <v>0</v>
      </c>
      <c r="AS106" s="457"/>
      <c r="AT106" s="455">
        <f t="shared" si="218"/>
        <v>0</v>
      </c>
      <c r="AU106" s="455">
        <f t="shared" si="219"/>
        <v>0</v>
      </c>
      <c r="AV106" s="455">
        <f t="shared" si="220"/>
        <v>0</v>
      </c>
      <c r="AW106" s="455">
        <f t="shared" si="221"/>
        <v>0</v>
      </c>
      <c r="AX106" s="455">
        <f t="shared" si="222"/>
        <v>0</v>
      </c>
      <c r="AY106" s="455">
        <f t="shared" si="223"/>
        <v>0</v>
      </c>
      <c r="AZ106" s="455">
        <f t="shared" si="224"/>
        <v>0</v>
      </c>
      <c r="BA106" s="455">
        <f t="shared" si="225"/>
        <v>0</v>
      </c>
      <c r="BB106" s="455">
        <f t="shared" si="226"/>
        <v>0</v>
      </c>
      <c r="BC106" s="455">
        <f t="shared" si="227"/>
        <v>0</v>
      </c>
      <c r="BD106" s="456">
        <f t="shared" si="281"/>
        <v>0</v>
      </c>
      <c r="BE106" s="457"/>
      <c r="BF106" s="455">
        <f t="shared" si="228"/>
        <v>0</v>
      </c>
      <c r="BG106" s="455">
        <f t="shared" si="229"/>
        <v>0</v>
      </c>
      <c r="BH106" s="455">
        <f t="shared" si="230"/>
        <v>0</v>
      </c>
      <c r="BI106" s="455">
        <f t="shared" si="231"/>
        <v>0</v>
      </c>
      <c r="BJ106" s="455">
        <f t="shared" si="232"/>
        <v>0</v>
      </c>
      <c r="BK106" s="455">
        <f t="shared" si="233"/>
        <v>0</v>
      </c>
      <c r="BL106" s="455">
        <f t="shared" si="234"/>
        <v>0</v>
      </c>
      <c r="BM106" s="455">
        <f t="shared" si="235"/>
        <v>0</v>
      </c>
      <c r="BN106" s="455">
        <f t="shared" si="236"/>
        <v>0</v>
      </c>
      <c r="BO106" s="455">
        <f t="shared" si="237"/>
        <v>0</v>
      </c>
      <c r="BP106" s="456">
        <f t="shared" si="282"/>
        <v>0</v>
      </c>
      <c r="BQ106" s="463"/>
      <c r="BR106" s="459">
        <f t="shared" si="238"/>
        <v>0</v>
      </c>
      <c r="BS106" s="459">
        <f t="shared" si="239"/>
        <v>0</v>
      </c>
      <c r="BT106" s="459">
        <f t="shared" si="240"/>
        <v>0</v>
      </c>
      <c r="BU106" s="459">
        <f t="shared" si="241"/>
        <v>0</v>
      </c>
      <c r="BV106" s="459">
        <f t="shared" si="242"/>
        <v>0</v>
      </c>
      <c r="BW106" s="459">
        <f t="shared" si="243"/>
        <v>0</v>
      </c>
      <c r="BX106" s="459">
        <f t="shared" si="244"/>
        <v>0</v>
      </c>
      <c r="BY106" s="459">
        <f t="shared" si="245"/>
        <v>0</v>
      </c>
      <c r="BZ106" s="459">
        <f t="shared" si="246"/>
        <v>0</v>
      </c>
      <c r="CA106" s="459">
        <f t="shared" si="247"/>
        <v>0</v>
      </c>
      <c r="CB106" s="460">
        <f t="shared" si="283"/>
        <v>0</v>
      </c>
      <c r="CC106" s="463"/>
      <c r="CD106" s="462">
        <f t="shared" si="248"/>
        <v>0</v>
      </c>
      <c r="CE106" s="462">
        <f t="shared" si="249"/>
        <v>0</v>
      </c>
      <c r="CF106" s="462">
        <f t="shared" si="250"/>
        <v>0</v>
      </c>
      <c r="CG106" s="462">
        <f t="shared" si="251"/>
        <v>0</v>
      </c>
      <c r="CH106" s="462">
        <f t="shared" si="252"/>
        <v>0</v>
      </c>
      <c r="CI106" s="462">
        <f t="shared" si="253"/>
        <v>0</v>
      </c>
      <c r="CJ106" s="462">
        <f t="shared" si="254"/>
        <v>0</v>
      </c>
      <c r="CK106" s="462">
        <f t="shared" si="255"/>
        <v>0</v>
      </c>
      <c r="CL106" s="462">
        <f t="shared" si="256"/>
        <v>0</v>
      </c>
      <c r="CM106" s="462">
        <f t="shared" si="257"/>
        <v>0</v>
      </c>
      <c r="CN106" s="460">
        <f t="shared" si="284"/>
        <v>0</v>
      </c>
      <c r="CO106" s="463"/>
      <c r="CP106" s="459">
        <f t="shared" si="258"/>
        <v>0</v>
      </c>
      <c r="CQ106" s="459">
        <f t="shared" si="259"/>
        <v>0</v>
      </c>
      <c r="CR106" s="459">
        <f t="shared" si="260"/>
        <v>0</v>
      </c>
      <c r="CS106" s="459">
        <f t="shared" si="261"/>
        <v>0</v>
      </c>
      <c r="CT106" s="459">
        <f t="shared" si="262"/>
        <v>0</v>
      </c>
      <c r="CU106" s="459">
        <f t="shared" si="263"/>
        <v>0</v>
      </c>
      <c r="CV106" s="459">
        <f t="shared" si="264"/>
        <v>0</v>
      </c>
      <c r="CW106" s="459">
        <f t="shared" si="265"/>
        <v>0</v>
      </c>
      <c r="CX106" s="459">
        <f t="shared" si="266"/>
        <v>0</v>
      </c>
      <c r="CY106" s="459">
        <f t="shared" si="267"/>
        <v>0</v>
      </c>
      <c r="CZ106" s="460">
        <f t="shared" si="285"/>
        <v>0</v>
      </c>
      <c r="DA106" s="463"/>
      <c r="DB106" s="459">
        <f t="shared" si="268"/>
        <v>0</v>
      </c>
      <c r="DC106" s="459">
        <f t="shared" si="269"/>
        <v>0</v>
      </c>
      <c r="DD106" s="459">
        <f t="shared" si="270"/>
        <v>0</v>
      </c>
      <c r="DE106" s="459">
        <f t="shared" si="271"/>
        <v>0</v>
      </c>
      <c r="DF106" s="459">
        <f t="shared" si="272"/>
        <v>0</v>
      </c>
      <c r="DG106" s="459">
        <f t="shared" si="273"/>
        <v>0</v>
      </c>
      <c r="DH106" s="459">
        <f t="shared" si="274"/>
        <v>0</v>
      </c>
      <c r="DI106" s="459">
        <f t="shared" si="275"/>
        <v>0</v>
      </c>
      <c r="DJ106" s="459">
        <f t="shared" si="276"/>
        <v>0</v>
      </c>
      <c r="DK106" s="459">
        <f t="shared" si="277"/>
        <v>0</v>
      </c>
      <c r="DL106" s="460">
        <f t="shared" si="286"/>
        <v>0</v>
      </c>
      <c r="DM106" s="463"/>
      <c r="DN106" s="442">
        <f>IF('2. START'!$C$14&gt;0,(AT106/(1+$AA106))*(1+'2. START'!$C$14),AT106)</f>
        <v>0</v>
      </c>
      <c r="DO106" s="442">
        <f>IF('2. START'!$C$14&gt;0,(AU106/(1+$AA106))*(1+'2. START'!$C$14),AU106)</f>
        <v>0</v>
      </c>
      <c r="DP106" s="442">
        <f>IF('2. START'!$C$14&gt;0,(AV106/(1+$AA106))*(1+'2. START'!$C$14),AV106)</f>
        <v>0</v>
      </c>
      <c r="DQ106" s="442">
        <f>IF('2. START'!$C$14&gt;0,(AW106/(1+$AA106))*(1+'2. START'!$C$14),AW106)</f>
        <v>0</v>
      </c>
      <c r="DR106" s="442">
        <f>IF('2. START'!$C$14&gt;0,(AX106/(1+$AA106))*(1+'2. START'!$C$14),AX106)</f>
        <v>0</v>
      </c>
      <c r="DS106" s="442">
        <f>IF('2. START'!$C$14&gt;0,(AY106/(1+$AA106))*(1+'2. START'!$C$14),AY106)</f>
        <v>0</v>
      </c>
      <c r="DT106" s="442">
        <f>IF('2. START'!$C$14&gt;0,(AZ106/(1+$AA106))*(1+'2. START'!$C$14),AZ106)</f>
        <v>0</v>
      </c>
      <c r="DU106" s="442">
        <f>IF('2. START'!$C$14&gt;0,(BA106/(1+$AA106))*(1+'2. START'!$C$14),BA106)</f>
        <v>0</v>
      </c>
      <c r="DV106" s="442">
        <f>IF('2. START'!$C$14&gt;0,(BB106/(1+$AA106))*(1+'2. START'!$C$14),BB106)</f>
        <v>0</v>
      </c>
      <c r="DW106" s="442">
        <f>IF('2. START'!$C$14&gt;0,(BC106/(1+$AA106))*(1+'2. START'!$C$14),BC106)</f>
        <v>0</v>
      </c>
      <c r="DX106" s="460">
        <f t="shared" si="287"/>
        <v>0</v>
      </c>
      <c r="DY106" s="463"/>
      <c r="DZ106" s="459">
        <f>IF('2. START'!$C$11="NO",(IF('2. START'!$C$14&gt;0,(DN106*$AD106),(AT106*$AD106))),(BR106+CP106))</f>
        <v>0</v>
      </c>
      <c r="EA106" s="459">
        <f>IF('2. START'!$C$11="NO",(IF('2. START'!$C$14&gt;0,(DO106*$AD106),(AU106*$AD106))),(BS106+CQ106))</f>
        <v>0</v>
      </c>
      <c r="EB106" s="459">
        <f>IF('2. START'!$C$11="NO",(IF('2. START'!$C$14&gt;0,(DP106*$AD106),(AV106*$AD106))),(BT106+CR106))</f>
        <v>0</v>
      </c>
      <c r="EC106" s="459">
        <f>IF('2. START'!$C$11="NO",(IF('2. START'!$C$14&gt;0,(DQ106*$AD106),(AW106*$AD106))),(BU106+CS106))</f>
        <v>0</v>
      </c>
      <c r="ED106" s="459">
        <f>IF('2. START'!$C$11="NO",(IF('2. START'!$C$14&gt;0,(DR106*$AD106),(AX106*$AD106))),(BV106+CT106))</f>
        <v>0</v>
      </c>
      <c r="EE106" s="459">
        <f>IF('2. START'!$C$11="NO",(IF('2. START'!$C$14&gt;0,(DS106*$AD106),(AY106*$AD106))),(BW106+CU106))</f>
        <v>0</v>
      </c>
      <c r="EF106" s="459">
        <f>IF('2. START'!$C$11="NO",(IF('2. START'!$C$14&gt;0,(DT106*$AD106),(AZ106*$AD106))),(BX106+CV106))</f>
        <v>0</v>
      </c>
      <c r="EG106" s="459">
        <f>IF('2. START'!$C$11="NO",(IF('2. START'!$C$14&gt;0,(DU106*$AD106),(BA106*$AD106))),(BY106+CW106))</f>
        <v>0</v>
      </c>
      <c r="EH106" s="459">
        <f>IF('2. START'!$C$11="NO",(IF('2. START'!$C$14&gt;0,(DV106*$AD106),(BB106*$AD106))),(BZ106+CX106))</f>
        <v>0</v>
      </c>
      <c r="EI106" s="459">
        <f>IF('2. START'!$C$11="NO",(IF('2. START'!$C$14&gt;0,(DW106*$AD106),(BC106*$AD106))),(CA106+CY106))</f>
        <v>0</v>
      </c>
      <c r="EJ106" s="460">
        <f t="shared" si="288"/>
        <v>0</v>
      </c>
      <c r="EK106" s="463"/>
      <c r="EL106" s="459">
        <f>(BR106+CP106-DZ106)+IF('2. START'!$C$14&gt;0,AT106-DN106,0)</f>
        <v>0</v>
      </c>
      <c r="EM106" s="459">
        <f>(BS106+CQ106-EA106)+IF('2. START'!$C$14&gt;0,AU106-DO106,0)</f>
        <v>0</v>
      </c>
      <c r="EN106" s="459">
        <f>(BT106+CR106-EB106)+IF('2. START'!$C$14&gt;0,AV106-DP106,0)</f>
        <v>0</v>
      </c>
      <c r="EO106" s="459">
        <f>(BU106+CS106-EC106)+IF('2. START'!$C$14&gt;0,AW106-DQ106,0)</f>
        <v>0</v>
      </c>
      <c r="EP106" s="459">
        <f>(BV106+CT106-ED106)+IF('2. START'!$C$14&gt;0,AX106-DR106,0)</f>
        <v>0</v>
      </c>
      <c r="EQ106" s="459">
        <f>(BW106+CU106-EE106)+IF('2. START'!$C$14&gt;0,AY106-DS106,0)</f>
        <v>0</v>
      </c>
      <c r="ER106" s="459">
        <f>(BX106+CV106-EF106)+IF('2. START'!$C$14&gt;0,AZ106-DT106,0)</f>
        <v>0</v>
      </c>
      <c r="ES106" s="459">
        <f>(BY106+CW106-EG106)+IF('2. START'!$C$14&gt;0,BA106-DU106,0)</f>
        <v>0</v>
      </c>
      <c r="ET106" s="459">
        <f>(BZ106+CX106-EH106)+IF('2. START'!$C$14&gt;0,BB106-DV106,0)</f>
        <v>0</v>
      </c>
      <c r="EU106" s="459">
        <f>(CA106+CY106-EI106)+IF('2. START'!$C$14&gt;0,BC106-DW106,0)</f>
        <v>0</v>
      </c>
      <c r="EV106" s="460">
        <f t="shared" si="289"/>
        <v>0</v>
      </c>
      <c r="EW106" s="463"/>
      <c r="EX106" s="459">
        <f t="shared" si="290"/>
        <v>0</v>
      </c>
      <c r="EY106" s="459">
        <f t="shared" si="291"/>
        <v>0</v>
      </c>
      <c r="EZ106" s="459">
        <f t="shared" si="292"/>
        <v>0</v>
      </c>
      <c r="FA106" s="459">
        <f t="shared" si="293"/>
        <v>0</v>
      </c>
      <c r="FB106" s="459">
        <f t="shared" si="294"/>
        <v>0</v>
      </c>
      <c r="FC106" s="459">
        <f t="shared" si="295"/>
        <v>0</v>
      </c>
      <c r="FD106" s="459">
        <f t="shared" si="296"/>
        <v>0</v>
      </c>
      <c r="FE106" s="459">
        <f t="shared" si="297"/>
        <v>0</v>
      </c>
      <c r="FF106" s="459">
        <f t="shared" si="298"/>
        <v>0</v>
      </c>
      <c r="FG106" s="459">
        <f t="shared" si="299"/>
        <v>0</v>
      </c>
      <c r="FH106" s="460">
        <f t="shared" si="300"/>
        <v>0</v>
      </c>
      <c r="FI106" s="463"/>
      <c r="FJ106" s="459">
        <f t="shared" si="301"/>
        <v>0</v>
      </c>
      <c r="FK106" s="459">
        <f t="shared" si="302"/>
        <v>0</v>
      </c>
      <c r="FL106" s="459">
        <f t="shared" si="303"/>
        <v>0</v>
      </c>
      <c r="FM106" s="459">
        <f t="shared" si="304"/>
        <v>0</v>
      </c>
      <c r="FN106" s="459">
        <f t="shared" si="305"/>
        <v>0</v>
      </c>
      <c r="FO106" s="459">
        <f t="shared" si="306"/>
        <v>0</v>
      </c>
      <c r="FP106" s="459">
        <f t="shared" si="307"/>
        <v>0</v>
      </c>
      <c r="FQ106" s="459">
        <f t="shared" si="308"/>
        <v>0</v>
      </c>
      <c r="FR106" s="459">
        <f t="shared" si="309"/>
        <v>0</v>
      </c>
      <c r="FS106" s="459">
        <f t="shared" si="310"/>
        <v>0</v>
      </c>
      <c r="FT106" s="460">
        <f t="shared" si="311"/>
        <v>0</v>
      </c>
    </row>
    <row r="107" spans="2:176" s="270" customFormat="1" ht="15" customHeight="1" x14ac:dyDescent="0.25">
      <c r="B107" s="464" t="str">
        <f>'2. START'!C$7</f>
        <v>100GEM</v>
      </c>
      <c r="C107" s="470"/>
      <c r="D107" s="590"/>
      <c r="E107" s="514">
        <v>0</v>
      </c>
      <c r="F107" s="467"/>
      <c r="G107" s="432"/>
      <c r="H107" s="432"/>
      <c r="I107" s="432"/>
      <c r="J107" s="432"/>
      <c r="K107" s="432"/>
      <c r="L107" s="432"/>
      <c r="M107" s="432"/>
      <c r="N107" s="432"/>
      <c r="O107" s="432"/>
      <c r="P107" s="432"/>
      <c r="Q107" s="545">
        <f>SUMIF('3. PARTNER'!$B$13:$B$80,$B107,'3. PARTNER'!$F$13:$F$80)</f>
        <v>0.02</v>
      </c>
      <c r="R107" s="466">
        <f t="shared" ref="R107:Z116" si="314">$Q107</f>
        <v>0.02</v>
      </c>
      <c r="S107" s="466">
        <f t="shared" si="314"/>
        <v>0.02</v>
      </c>
      <c r="T107" s="466">
        <f t="shared" si="314"/>
        <v>0.02</v>
      </c>
      <c r="U107" s="466">
        <f t="shared" si="314"/>
        <v>0.02</v>
      </c>
      <c r="V107" s="466">
        <f t="shared" si="314"/>
        <v>0.02</v>
      </c>
      <c r="W107" s="466">
        <f t="shared" si="314"/>
        <v>0.02</v>
      </c>
      <c r="X107" s="466">
        <f t="shared" si="314"/>
        <v>0.02</v>
      </c>
      <c r="Y107" s="466">
        <f t="shared" si="314"/>
        <v>0.02</v>
      </c>
      <c r="Z107" s="466">
        <f t="shared" si="314"/>
        <v>0.02</v>
      </c>
      <c r="AA107" s="434">
        <f>SUMIF('3. PARTNER'!B$13:B$80,B107,'3. PARTNER'!E$13:E$80)</f>
        <v>0.5595</v>
      </c>
      <c r="AB107" s="435">
        <f>IF('2. START'!$C$20="UTB",(SUMIF('3. PARTNER'!B$13:B$80,B107,'3. PARTNER'!K$13:K$80))+(SUMIF('3. PARTNER'!B$13:B$80,B107,'3. PARTNER'!M$13:M$80)),(SUMIF('3. PARTNER'!B$13:B$80,B107,'3. PARTNER'!G$13:G$80))+(SUMIF('3. PARTNER'!B$13:B$80,B107,'3. PARTNER'!I$13:I$80)))</f>
        <v>0.16000843770704321</v>
      </c>
      <c r="AC107" s="435">
        <f>IF('2. START'!$C$20="UTB",(SUMIF('3. PARTNER'!B$13:B$80,B107,'3. PARTNER'!L$13:L$80))+(SUMIF('3. PARTNER'!B$13:B$80,B107,'3. PARTNER'!N$13:N$80)),(SUMIF('3. PARTNER'!B$13:B$80,B107,'3. PARTNER'!H$13:H$80))+(SUMIF('3. PARTNER'!B$13:B$80,B107,'3. PARTNER'!J$13:J$80)))</f>
        <v>0</v>
      </c>
      <c r="AD107" s="435">
        <f>IF('2. START'!C$11="NO",'2. START'!C$12,0)</f>
        <v>0</v>
      </c>
      <c r="AE107" s="436">
        <f t="shared" si="278"/>
        <v>0</v>
      </c>
      <c r="AF107" s="436">
        <f t="shared" si="279"/>
        <v>0</v>
      </c>
      <c r="AG107" s="437"/>
      <c r="AH107" s="438">
        <f t="shared" si="208"/>
        <v>0</v>
      </c>
      <c r="AI107" s="438">
        <f t="shared" si="209"/>
        <v>0</v>
      </c>
      <c r="AJ107" s="438">
        <f t="shared" si="210"/>
        <v>0</v>
      </c>
      <c r="AK107" s="438">
        <f t="shared" si="211"/>
        <v>0</v>
      </c>
      <c r="AL107" s="438">
        <f t="shared" si="212"/>
        <v>0</v>
      </c>
      <c r="AM107" s="438">
        <f t="shared" si="213"/>
        <v>0</v>
      </c>
      <c r="AN107" s="438">
        <f t="shared" si="214"/>
        <v>0</v>
      </c>
      <c r="AO107" s="438">
        <f t="shared" si="215"/>
        <v>0</v>
      </c>
      <c r="AP107" s="438">
        <f t="shared" si="216"/>
        <v>0</v>
      </c>
      <c r="AQ107" s="438">
        <f t="shared" si="217"/>
        <v>0</v>
      </c>
      <c r="AR107" s="439">
        <f t="shared" si="280"/>
        <v>0</v>
      </c>
      <c r="AS107" s="440"/>
      <c r="AT107" s="438">
        <f t="shared" si="218"/>
        <v>0</v>
      </c>
      <c r="AU107" s="438">
        <f t="shared" si="219"/>
        <v>0</v>
      </c>
      <c r="AV107" s="438">
        <f t="shared" si="220"/>
        <v>0</v>
      </c>
      <c r="AW107" s="438">
        <f t="shared" si="221"/>
        <v>0</v>
      </c>
      <c r="AX107" s="438">
        <f t="shared" si="222"/>
        <v>0</v>
      </c>
      <c r="AY107" s="438">
        <f t="shared" si="223"/>
        <v>0</v>
      </c>
      <c r="AZ107" s="438">
        <f t="shared" si="224"/>
        <v>0</v>
      </c>
      <c r="BA107" s="438">
        <f t="shared" si="225"/>
        <v>0</v>
      </c>
      <c r="BB107" s="438">
        <f t="shared" si="226"/>
        <v>0</v>
      </c>
      <c r="BC107" s="438">
        <f t="shared" si="227"/>
        <v>0</v>
      </c>
      <c r="BD107" s="439">
        <f t="shared" si="281"/>
        <v>0</v>
      </c>
      <c r="BE107" s="440"/>
      <c r="BF107" s="438">
        <f t="shared" si="228"/>
        <v>0</v>
      </c>
      <c r="BG107" s="438">
        <f t="shared" si="229"/>
        <v>0</v>
      </c>
      <c r="BH107" s="438">
        <f t="shared" si="230"/>
        <v>0</v>
      </c>
      <c r="BI107" s="438">
        <f t="shared" si="231"/>
        <v>0</v>
      </c>
      <c r="BJ107" s="438">
        <f t="shared" si="232"/>
        <v>0</v>
      </c>
      <c r="BK107" s="438">
        <f t="shared" si="233"/>
        <v>0</v>
      </c>
      <c r="BL107" s="438">
        <f t="shared" si="234"/>
        <v>0</v>
      </c>
      <c r="BM107" s="438">
        <f t="shared" si="235"/>
        <v>0</v>
      </c>
      <c r="BN107" s="438">
        <f t="shared" si="236"/>
        <v>0</v>
      </c>
      <c r="BO107" s="438">
        <f t="shared" si="237"/>
        <v>0</v>
      </c>
      <c r="BP107" s="439">
        <f t="shared" si="282"/>
        <v>0</v>
      </c>
      <c r="BR107" s="442">
        <f t="shared" si="238"/>
        <v>0</v>
      </c>
      <c r="BS107" s="442">
        <f t="shared" si="239"/>
        <v>0</v>
      </c>
      <c r="BT107" s="442">
        <f t="shared" si="240"/>
        <v>0</v>
      </c>
      <c r="BU107" s="442">
        <f t="shared" si="241"/>
        <v>0</v>
      </c>
      <c r="BV107" s="442">
        <f t="shared" si="242"/>
        <v>0</v>
      </c>
      <c r="BW107" s="442">
        <f t="shared" si="243"/>
        <v>0</v>
      </c>
      <c r="BX107" s="442">
        <f t="shared" si="244"/>
        <v>0</v>
      </c>
      <c r="BY107" s="442">
        <f t="shared" si="245"/>
        <v>0</v>
      </c>
      <c r="BZ107" s="442">
        <f t="shared" si="246"/>
        <v>0</v>
      </c>
      <c r="CA107" s="442">
        <f t="shared" si="247"/>
        <v>0</v>
      </c>
      <c r="CB107" s="443">
        <f t="shared" si="283"/>
        <v>0</v>
      </c>
      <c r="CD107" s="445">
        <f t="shared" si="248"/>
        <v>0</v>
      </c>
      <c r="CE107" s="445">
        <f t="shared" si="249"/>
        <v>0</v>
      </c>
      <c r="CF107" s="445">
        <f t="shared" si="250"/>
        <v>0</v>
      </c>
      <c r="CG107" s="445">
        <f t="shared" si="251"/>
        <v>0</v>
      </c>
      <c r="CH107" s="445">
        <f t="shared" si="252"/>
        <v>0</v>
      </c>
      <c r="CI107" s="445">
        <f t="shared" si="253"/>
        <v>0</v>
      </c>
      <c r="CJ107" s="445">
        <f t="shared" si="254"/>
        <v>0</v>
      </c>
      <c r="CK107" s="445">
        <f t="shared" si="255"/>
        <v>0</v>
      </c>
      <c r="CL107" s="445">
        <f t="shared" si="256"/>
        <v>0</v>
      </c>
      <c r="CM107" s="445">
        <f t="shared" si="257"/>
        <v>0</v>
      </c>
      <c r="CN107" s="443">
        <f t="shared" si="284"/>
        <v>0</v>
      </c>
      <c r="CP107" s="442">
        <f t="shared" si="258"/>
        <v>0</v>
      </c>
      <c r="CQ107" s="442">
        <f t="shared" si="259"/>
        <v>0</v>
      </c>
      <c r="CR107" s="442">
        <f t="shared" si="260"/>
        <v>0</v>
      </c>
      <c r="CS107" s="442">
        <f t="shared" si="261"/>
        <v>0</v>
      </c>
      <c r="CT107" s="442">
        <f t="shared" si="262"/>
        <v>0</v>
      </c>
      <c r="CU107" s="442">
        <f t="shared" si="263"/>
        <v>0</v>
      </c>
      <c r="CV107" s="442">
        <f t="shared" si="264"/>
        <v>0</v>
      </c>
      <c r="CW107" s="442">
        <f t="shared" si="265"/>
        <v>0</v>
      </c>
      <c r="CX107" s="442">
        <f t="shared" si="266"/>
        <v>0</v>
      </c>
      <c r="CY107" s="442">
        <f t="shared" si="267"/>
        <v>0</v>
      </c>
      <c r="CZ107" s="443">
        <f t="shared" si="285"/>
        <v>0</v>
      </c>
      <c r="DB107" s="442">
        <f t="shared" si="268"/>
        <v>0</v>
      </c>
      <c r="DC107" s="442">
        <f t="shared" si="269"/>
        <v>0</v>
      </c>
      <c r="DD107" s="442">
        <f t="shared" si="270"/>
        <v>0</v>
      </c>
      <c r="DE107" s="442">
        <f t="shared" si="271"/>
        <v>0</v>
      </c>
      <c r="DF107" s="442">
        <f t="shared" si="272"/>
        <v>0</v>
      </c>
      <c r="DG107" s="442">
        <f t="shared" si="273"/>
        <v>0</v>
      </c>
      <c r="DH107" s="442">
        <f t="shared" si="274"/>
        <v>0</v>
      </c>
      <c r="DI107" s="442">
        <f t="shared" si="275"/>
        <v>0</v>
      </c>
      <c r="DJ107" s="442">
        <f t="shared" si="276"/>
        <v>0</v>
      </c>
      <c r="DK107" s="442">
        <f t="shared" si="277"/>
        <v>0</v>
      </c>
      <c r="DL107" s="443">
        <f t="shared" si="286"/>
        <v>0</v>
      </c>
      <c r="DN107" s="442">
        <f>IF('2. START'!$C$14&gt;0,(AT107/(1+$AA107))*(1+'2. START'!$C$14),AT107)</f>
        <v>0</v>
      </c>
      <c r="DO107" s="442">
        <f>IF('2. START'!$C$14&gt;0,(AU107/(1+$AA107))*(1+'2. START'!$C$14),AU107)</f>
        <v>0</v>
      </c>
      <c r="DP107" s="442">
        <f>IF('2. START'!$C$14&gt;0,(AV107/(1+$AA107))*(1+'2. START'!$C$14),AV107)</f>
        <v>0</v>
      </c>
      <c r="DQ107" s="442">
        <f>IF('2. START'!$C$14&gt;0,(AW107/(1+$AA107))*(1+'2. START'!$C$14),AW107)</f>
        <v>0</v>
      </c>
      <c r="DR107" s="442">
        <f>IF('2. START'!$C$14&gt;0,(AX107/(1+$AA107))*(1+'2. START'!$C$14),AX107)</f>
        <v>0</v>
      </c>
      <c r="DS107" s="442">
        <f>IF('2. START'!$C$14&gt;0,(AY107/(1+$AA107))*(1+'2. START'!$C$14),AY107)</f>
        <v>0</v>
      </c>
      <c r="DT107" s="442">
        <f>IF('2. START'!$C$14&gt;0,(AZ107/(1+$AA107))*(1+'2. START'!$C$14),AZ107)</f>
        <v>0</v>
      </c>
      <c r="DU107" s="442">
        <f>IF('2. START'!$C$14&gt;0,(BA107/(1+$AA107))*(1+'2. START'!$C$14),BA107)</f>
        <v>0</v>
      </c>
      <c r="DV107" s="442">
        <f>IF('2. START'!$C$14&gt;0,(BB107/(1+$AA107))*(1+'2. START'!$C$14),BB107)</f>
        <v>0</v>
      </c>
      <c r="DW107" s="442">
        <f>IF('2. START'!$C$14&gt;0,(BC107/(1+$AA107))*(1+'2. START'!$C$14),BC107)</f>
        <v>0</v>
      </c>
      <c r="DX107" s="443">
        <f t="shared" si="287"/>
        <v>0</v>
      </c>
      <c r="DZ107" s="442">
        <f>IF('2. START'!$C$11="NO",(IF('2. START'!$C$14&gt;0,(DN107*$AD107),(AT107*$AD107))),(BR107+CP107))</f>
        <v>0</v>
      </c>
      <c r="EA107" s="442">
        <f>IF('2. START'!$C$11="NO",(IF('2. START'!$C$14&gt;0,(DO107*$AD107),(AU107*$AD107))),(BS107+CQ107))</f>
        <v>0</v>
      </c>
      <c r="EB107" s="442">
        <f>IF('2. START'!$C$11="NO",(IF('2. START'!$C$14&gt;0,(DP107*$AD107),(AV107*$AD107))),(BT107+CR107))</f>
        <v>0</v>
      </c>
      <c r="EC107" s="442">
        <f>IF('2. START'!$C$11="NO",(IF('2. START'!$C$14&gt;0,(DQ107*$AD107),(AW107*$AD107))),(BU107+CS107))</f>
        <v>0</v>
      </c>
      <c r="ED107" s="442">
        <f>IF('2. START'!$C$11="NO",(IF('2. START'!$C$14&gt;0,(DR107*$AD107),(AX107*$AD107))),(BV107+CT107))</f>
        <v>0</v>
      </c>
      <c r="EE107" s="442">
        <f>IF('2. START'!$C$11="NO",(IF('2. START'!$C$14&gt;0,(DS107*$AD107),(AY107*$AD107))),(BW107+CU107))</f>
        <v>0</v>
      </c>
      <c r="EF107" s="442">
        <f>IF('2. START'!$C$11="NO",(IF('2. START'!$C$14&gt;0,(DT107*$AD107),(AZ107*$AD107))),(BX107+CV107))</f>
        <v>0</v>
      </c>
      <c r="EG107" s="442">
        <f>IF('2. START'!$C$11="NO",(IF('2. START'!$C$14&gt;0,(DU107*$AD107),(BA107*$AD107))),(BY107+CW107))</f>
        <v>0</v>
      </c>
      <c r="EH107" s="442">
        <f>IF('2. START'!$C$11="NO",(IF('2. START'!$C$14&gt;0,(DV107*$AD107),(BB107*$AD107))),(BZ107+CX107))</f>
        <v>0</v>
      </c>
      <c r="EI107" s="442">
        <f>IF('2. START'!$C$11="NO",(IF('2. START'!$C$14&gt;0,(DW107*$AD107),(BC107*$AD107))),(CA107+CY107))</f>
        <v>0</v>
      </c>
      <c r="EJ107" s="443">
        <f t="shared" si="288"/>
        <v>0</v>
      </c>
      <c r="EL107" s="442">
        <f>(BR107+CP107-DZ107)+IF('2. START'!$C$14&gt;0,AT107-DN107,0)</f>
        <v>0</v>
      </c>
      <c r="EM107" s="442">
        <f>(BS107+CQ107-EA107)+IF('2. START'!$C$14&gt;0,AU107-DO107,0)</f>
        <v>0</v>
      </c>
      <c r="EN107" s="442">
        <f>(BT107+CR107-EB107)+IF('2. START'!$C$14&gt;0,AV107-DP107,0)</f>
        <v>0</v>
      </c>
      <c r="EO107" s="442">
        <f>(BU107+CS107-EC107)+IF('2. START'!$C$14&gt;0,AW107-DQ107,0)</f>
        <v>0</v>
      </c>
      <c r="EP107" s="442">
        <f>(BV107+CT107-ED107)+IF('2. START'!$C$14&gt;0,AX107-DR107,0)</f>
        <v>0</v>
      </c>
      <c r="EQ107" s="442">
        <f>(BW107+CU107-EE107)+IF('2. START'!$C$14&gt;0,AY107-DS107,0)</f>
        <v>0</v>
      </c>
      <c r="ER107" s="442">
        <f>(BX107+CV107-EF107)+IF('2. START'!$C$14&gt;0,AZ107-DT107,0)</f>
        <v>0</v>
      </c>
      <c r="ES107" s="442">
        <f>(BY107+CW107-EG107)+IF('2. START'!$C$14&gt;0,BA107-DU107,0)</f>
        <v>0</v>
      </c>
      <c r="ET107" s="442">
        <f>(BZ107+CX107-EH107)+IF('2. START'!$C$14&gt;0,BB107-DV107,0)</f>
        <v>0</v>
      </c>
      <c r="EU107" s="442">
        <f>(CA107+CY107-EI107)+IF('2. START'!$C$14&gt;0,BC107-DW107,0)</f>
        <v>0</v>
      </c>
      <c r="EV107" s="443">
        <f t="shared" si="289"/>
        <v>0</v>
      </c>
      <c r="EX107" s="442">
        <f t="shared" si="290"/>
        <v>0</v>
      </c>
      <c r="EY107" s="442">
        <f t="shared" si="291"/>
        <v>0</v>
      </c>
      <c r="EZ107" s="442">
        <f t="shared" si="292"/>
        <v>0</v>
      </c>
      <c r="FA107" s="442">
        <f t="shared" si="293"/>
        <v>0</v>
      </c>
      <c r="FB107" s="442">
        <f t="shared" si="294"/>
        <v>0</v>
      </c>
      <c r="FC107" s="442">
        <f t="shared" si="295"/>
        <v>0</v>
      </c>
      <c r="FD107" s="442">
        <f t="shared" si="296"/>
        <v>0</v>
      </c>
      <c r="FE107" s="442">
        <f t="shared" si="297"/>
        <v>0</v>
      </c>
      <c r="FF107" s="442">
        <f t="shared" si="298"/>
        <v>0</v>
      </c>
      <c r="FG107" s="442">
        <f t="shared" si="299"/>
        <v>0</v>
      </c>
      <c r="FH107" s="443">
        <f t="shared" si="300"/>
        <v>0</v>
      </c>
      <c r="FJ107" s="442">
        <f t="shared" si="301"/>
        <v>0</v>
      </c>
      <c r="FK107" s="442">
        <f t="shared" si="302"/>
        <v>0</v>
      </c>
      <c r="FL107" s="442">
        <f t="shared" si="303"/>
        <v>0</v>
      </c>
      <c r="FM107" s="442">
        <f t="shared" si="304"/>
        <v>0</v>
      </c>
      <c r="FN107" s="442">
        <f t="shared" si="305"/>
        <v>0</v>
      </c>
      <c r="FO107" s="442">
        <f t="shared" si="306"/>
        <v>0</v>
      </c>
      <c r="FP107" s="442">
        <f t="shared" si="307"/>
        <v>0</v>
      </c>
      <c r="FQ107" s="442">
        <f t="shared" si="308"/>
        <v>0</v>
      </c>
      <c r="FR107" s="442">
        <f t="shared" si="309"/>
        <v>0</v>
      </c>
      <c r="FS107" s="442">
        <f t="shared" si="310"/>
        <v>0</v>
      </c>
      <c r="FT107" s="443">
        <f t="shared" si="311"/>
        <v>0</v>
      </c>
    </row>
    <row r="108" spans="2:176" s="270" customFormat="1" ht="15" customHeight="1" x14ac:dyDescent="0.25">
      <c r="B108" s="446" t="str">
        <f>'2. START'!C$7</f>
        <v>100GEM</v>
      </c>
      <c r="C108" s="469"/>
      <c r="D108" s="589"/>
      <c r="E108" s="544">
        <v>0</v>
      </c>
      <c r="F108" s="448"/>
      <c r="G108" s="449"/>
      <c r="H108" s="449"/>
      <c r="I108" s="449"/>
      <c r="J108" s="449"/>
      <c r="K108" s="449"/>
      <c r="L108" s="449"/>
      <c r="M108" s="449"/>
      <c r="N108" s="449"/>
      <c r="O108" s="449"/>
      <c r="P108" s="449"/>
      <c r="Q108" s="546">
        <f>SUMIF('3. PARTNER'!$B$13:$B$80,$B108,'3. PARTNER'!$F$13:$F$80)</f>
        <v>0.02</v>
      </c>
      <c r="R108" s="450">
        <f t="shared" si="314"/>
        <v>0.02</v>
      </c>
      <c r="S108" s="450">
        <f t="shared" si="314"/>
        <v>0.02</v>
      </c>
      <c r="T108" s="450">
        <f t="shared" si="314"/>
        <v>0.02</v>
      </c>
      <c r="U108" s="450">
        <f t="shared" si="314"/>
        <v>0.02</v>
      </c>
      <c r="V108" s="450">
        <f t="shared" si="314"/>
        <v>0.02</v>
      </c>
      <c r="W108" s="450">
        <f t="shared" si="314"/>
        <v>0.02</v>
      </c>
      <c r="X108" s="450">
        <f t="shared" si="314"/>
        <v>0.02</v>
      </c>
      <c r="Y108" s="450">
        <f t="shared" si="314"/>
        <v>0.02</v>
      </c>
      <c r="Z108" s="450">
        <f t="shared" si="314"/>
        <v>0.02</v>
      </c>
      <c r="AA108" s="451">
        <f>SUMIF('3. PARTNER'!B$13:B$80,B108,'3. PARTNER'!E$13:E$80)</f>
        <v>0.5595</v>
      </c>
      <c r="AB108" s="452">
        <f>IF('2. START'!$C$20="UTB",(SUMIF('3. PARTNER'!B$13:B$80,B108,'3. PARTNER'!K$13:K$80))+(SUMIF('3. PARTNER'!B$13:B$80,B108,'3. PARTNER'!M$13:M$80)),(SUMIF('3. PARTNER'!B$13:B$80,B108,'3. PARTNER'!G$13:G$80))+(SUMIF('3. PARTNER'!B$13:B$80,B108,'3. PARTNER'!I$13:I$80)))</f>
        <v>0.16000843770704321</v>
      </c>
      <c r="AC108" s="452">
        <f>IF('2. START'!$C$20="UTB",(SUMIF('3. PARTNER'!B$13:B$80,B108,'3. PARTNER'!L$13:L$80))+(SUMIF('3. PARTNER'!B$13:B$80,B108,'3. PARTNER'!N$13:N$80)),(SUMIF('3. PARTNER'!B$13:B$80,B108,'3. PARTNER'!H$13:H$80))+(SUMIF('3. PARTNER'!B$13:B$80,B108,'3. PARTNER'!J$13:J$80)))</f>
        <v>0</v>
      </c>
      <c r="AD108" s="452">
        <f>IF('2. START'!C$11="NO",'2. START'!C$12,0)</f>
        <v>0</v>
      </c>
      <c r="AE108" s="453">
        <f t="shared" si="278"/>
        <v>0</v>
      </c>
      <c r="AF108" s="453">
        <f t="shared" si="279"/>
        <v>0</v>
      </c>
      <c r="AG108" s="454"/>
      <c r="AH108" s="455">
        <f t="shared" si="208"/>
        <v>0</v>
      </c>
      <c r="AI108" s="455">
        <f t="shared" si="209"/>
        <v>0</v>
      </c>
      <c r="AJ108" s="455">
        <f t="shared" si="210"/>
        <v>0</v>
      </c>
      <c r="AK108" s="455">
        <f t="shared" si="211"/>
        <v>0</v>
      </c>
      <c r="AL108" s="455">
        <f t="shared" si="212"/>
        <v>0</v>
      </c>
      <c r="AM108" s="455">
        <f t="shared" si="213"/>
        <v>0</v>
      </c>
      <c r="AN108" s="455">
        <f t="shared" si="214"/>
        <v>0</v>
      </c>
      <c r="AO108" s="455">
        <f t="shared" si="215"/>
        <v>0</v>
      </c>
      <c r="AP108" s="455">
        <f t="shared" si="216"/>
        <v>0</v>
      </c>
      <c r="AQ108" s="455">
        <f t="shared" si="217"/>
        <v>0</v>
      </c>
      <c r="AR108" s="456">
        <f t="shared" si="280"/>
        <v>0</v>
      </c>
      <c r="AS108" s="457"/>
      <c r="AT108" s="455">
        <f t="shared" si="218"/>
        <v>0</v>
      </c>
      <c r="AU108" s="455">
        <f t="shared" si="219"/>
        <v>0</v>
      </c>
      <c r="AV108" s="455">
        <f t="shared" si="220"/>
        <v>0</v>
      </c>
      <c r="AW108" s="455">
        <f t="shared" si="221"/>
        <v>0</v>
      </c>
      <c r="AX108" s="455">
        <f t="shared" si="222"/>
        <v>0</v>
      </c>
      <c r="AY108" s="455">
        <f t="shared" si="223"/>
        <v>0</v>
      </c>
      <c r="AZ108" s="455">
        <f t="shared" si="224"/>
        <v>0</v>
      </c>
      <c r="BA108" s="455">
        <f t="shared" si="225"/>
        <v>0</v>
      </c>
      <c r="BB108" s="455">
        <f t="shared" si="226"/>
        <v>0</v>
      </c>
      <c r="BC108" s="455">
        <f t="shared" si="227"/>
        <v>0</v>
      </c>
      <c r="BD108" s="456">
        <f t="shared" si="281"/>
        <v>0</v>
      </c>
      <c r="BE108" s="457"/>
      <c r="BF108" s="455">
        <f t="shared" si="228"/>
        <v>0</v>
      </c>
      <c r="BG108" s="455">
        <f t="shared" si="229"/>
        <v>0</v>
      </c>
      <c r="BH108" s="455">
        <f t="shared" si="230"/>
        <v>0</v>
      </c>
      <c r="BI108" s="455">
        <f t="shared" si="231"/>
        <v>0</v>
      </c>
      <c r="BJ108" s="455">
        <f t="shared" si="232"/>
        <v>0</v>
      </c>
      <c r="BK108" s="455">
        <f t="shared" si="233"/>
        <v>0</v>
      </c>
      <c r="BL108" s="455">
        <f t="shared" si="234"/>
        <v>0</v>
      </c>
      <c r="BM108" s="455">
        <f t="shared" si="235"/>
        <v>0</v>
      </c>
      <c r="BN108" s="455">
        <f t="shared" si="236"/>
        <v>0</v>
      </c>
      <c r="BO108" s="455">
        <f t="shared" si="237"/>
        <v>0</v>
      </c>
      <c r="BP108" s="456">
        <f t="shared" si="282"/>
        <v>0</v>
      </c>
      <c r="BQ108" s="463"/>
      <c r="BR108" s="459">
        <f t="shared" si="238"/>
        <v>0</v>
      </c>
      <c r="BS108" s="459">
        <f t="shared" si="239"/>
        <v>0</v>
      </c>
      <c r="BT108" s="459">
        <f t="shared" si="240"/>
        <v>0</v>
      </c>
      <c r="BU108" s="459">
        <f t="shared" si="241"/>
        <v>0</v>
      </c>
      <c r="BV108" s="459">
        <f t="shared" si="242"/>
        <v>0</v>
      </c>
      <c r="BW108" s="459">
        <f t="shared" si="243"/>
        <v>0</v>
      </c>
      <c r="BX108" s="459">
        <f t="shared" si="244"/>
        <v>0</v>
      </c>
      <c r="BY108" s="459">
        <f t="shared" si="245"/>
        <v>0</v>
      </c>
      <c r="BZ108" s="459">
        <f t="shared" si="246"/>
        <v>0</v>
      </c>
      <c r="CA108" s="459">
        <f t="shared" si="247"/>
        <v>0</v>
      </c>
      <c r="CB108" s="460">
        <f t="shared" si="283"/>
        <v>0</v>
      </c>
      <c r="CC108" s="463"/>
      <c r="CD108" s="462">
        <f t="shared" si="248"/>
        <v>0</v>
      </c>
      <c r="CE108" s="462">
        <f t="shared" si="249"/>
        <v>0</v>
      </c>
      <c r="CF108" s="462">
        <f t="shared" si="250"/>
        <v>0</v>
      </c>
      <c r="CG108" s="462">
        <f t="shared" si="251"/>
        <v>0</v>
      </c>
      <c r="CH108" s="462">
        <f t="shared" si="252"/>
        <v>0</v>
      </c>
      <c r="CI108" s="462">
        <f t="shared" si="253"/>
        <v>0</v>
      </c>
      <c r="CJ108" s="462">
        <f t="shared" si="254"/>
        <v>0</v>
      </c>
      <c r="CK108" s="462">
        <f t="shared" si="255"/>
        <v>0</v>
      </c>
      <c r="CL108" s="462">
        <f t="shared" si="256"/>
        <v>0</v>
      </c>
      <c r="CM108" s="462">
        <f t="shared" si="257"/>
        <v>0</v>
      </c>
      <c r="CN108" s="460">
        <f t="shared" si="284"/>
        <v>0</v>
      </c>
      <c r="CO108" s="463"/>
      <c r="CP108" s="459">
        <f t="shared" si="258"/>
        <v>0</v>
      </c>
      <c r="CQ108" s="459">
        <f t="shared" si="259"/>
        <v>0</v>
      </c>
      <c r="CR108" s="459">
        <f t="shared" si="260"/>
        <v>0</v>
      </c>
      <c r="CS108" s="459">
        <f t="shared" si="261"/>
        <v>0</v>
      </c>
      <c r="CT108" s="459">
        <f t="shared" si="262"/>
        <v>0</v>
      </c>
      <c r="CU108" s="459">
        <f t="shared" si="263"/>
        <v>0</v>
      </c>
      <c r="CV108" s="459">
        <f t="shared" si="264"/>
        <v>0</v>
      </c>
      <c r="CW108" s="459">
        <f t="shared" si="265"/>
        <v>0</v>
      </c>
      <c r="CX108" s="459">
        <f t="shared" si="266"/>
        <v>0</v>
      </c>
      <c r="CY108" s="459">
        <f t="shared" si="267"/>
        <v>0</v>
      </c>
      <c r="CZ108" s="460">
        <f t="shared" si="285"/>
        <v>0</v>
      </c>
      <c r="DA108" s="463"/>
      <c r="DB108" s="459">
        <f t="shared" si="268"/>
        <v>0</v>
      </c>
      <c r="DC108" s="459">
        <f t="shared" si="269"/>
        <v>0</v>
      </c>
      <c r="DD108" s="459">
        <f t="shared" si="270"/>
        <v>0</v>
      </c>
      <c r="DE108" s="459">
        <f t="shared" si="271"/>
        <v>0</v>
      </c>
      <c r="DF108" s="459">
        <f t="shared" si="272"/>
        <v>0</v>
      </c>
      <c r="DG108" s="459">
        <f t="shared" si="273"/>
        <v>0</v>
      </c>
      <c r="DH108" s="459">
        <f t="shared" si="274"/>
        <v>0</v>
      </c>
      <c r="DI108" s="459">
        <f t="shared" si="275"/>
        <v>0</v>
      </c>
      <c r="DJ108" s="459">
        <f t="shared" si="276"/>
        <v>0</v>
      </c>
      <c r="DK108" s="459">
        <f t="shared" si="277"/>
        <v>0</v>
      </c>
      <c r="DL108" s="460">
        <f t="shared" si="286"/>
        <v>0</v>
      </c>
      <c r="DM108" s="463"/>
      <c r="DN108" s="442">
        <f>IF('2. START'!$C$14&gt;0,(AT108/(1+$AA108))*(1+'2. START'!$C$14),AT108)</f>
        <v>0</v>
      </c>
      <c r="DO108" s="442">
        <f>IF('2. START'!$C$14&gt;0,(AU108/(1+$AA108))*(1+'2. START'!$C$14),AU108)</f>
        <v>0</v>
      </c>
      <c r="DP108" s="442">
        <f>IF('2. START'!$C$14&gt;0,(AV108/(1+$AA108))*(1+'2. START'!$C$14),AV108)</f>
        <v>0</v>
      </c>
      <c r="DQ108" s="442">
        <f>IF('2. START'!$C$14&gt;0,(AW108/(1+$AA108))*(1+'2. START'!$C$14),AW108)</f>
        <v>0</v>
      </c>
      <c r="DR108" s="442">
        <f>IF('2. START'!$C$14&gt;0,(AX108/(1+$AA108))*(1+'2. START'!$C$14),AX108)</f>
        <v>0</v>
      </c>
      <c r="DS108" s="442">
        <f>IF('2. START'!$C$14&gt;0,(AY108/(1+$AA108))*(1+'2. START'!$C$14),AY108)</f>
        <v>0</v>
      </c>
      <c r="DT108" s="442">
        <f>IF('2. START'!$C$14&gt;0,(AZ108/(1+$AA108))*(1+'2. START'!$C$14),AZ108)</f>
        <v>0</v>
      </c>
      <c r="DU108" s="442">
        <f>IF('2. START'!$C$14&gt;0,(BA108/(1+$AA108))*(1+'2. START'!$C$14),BA108)</f>
        <v>0</v>
      </c>
      <c r="DV108" s="442">
        <f>IF('2. START'!$C$14&gt;0,(BB108/(1+$AA108))*(1+'2. START'!$C$14),BB108)</f>
        <v>0</v>
      </c>
      <c r="DW108" s="442">
        <f>IF('2. START'!$C$14&gt;0,(BC108/(1+$AA108))*(1+'2. START'!$C$14),BC108)</f>
        <v>0</v>
      </c>
      <c r="DX108" s="460">
        <f t="shared" si="287"/>
        <v>0</v>
      </c>
      <c r="DY108" s="463"/>
      <c r="DZ108" s="459">
        <f>IF('2. START'!$C$11="NO",(IF('2. START'!$C$14&gt;0,(DN108*$AD108),(AT108*$AD108))),(BR108+CP108))</f>
        <v>0</v>
      </c>
      <c r="EA108" s="459">
        <f>IF('2. START'!$C$11="NO",(IF('2. START'!$C$14&gt;0,(DO108*$AD108),(AU108*$AD108))),(BS108+CQ108))</f>
        <v>0</v>
      </c>
      <c r="EB108" s="459">
        <f>IF('2. START'!$C$11="NO",(IF('2. START'!$C$14&gt;0,(DP108*$AD108),(AV108*$AD108))),(BT108+CR108))</f>
        <v>0</v>
      </c>
      <c r="EC108" s="459">
        <f>IF('2. START'!$C$11="NO",(IF('2. START'!$C$14&gt;0,(DQ108*$AD108),(AW108*$AD108))),(BU108+CS108))</f>
        <v>0</v>
      </c>
      <c r="ED108" s="459">
        <f>IF('2. START'!$C$11="NO",(IF('2. START'!$C$14&gt;0,(DR108*$AD108),(AX108*$AD108))),(BV108+CT108))</f>
        <v>0</v>
      </c>
      <c r="EE108" s="459">
        <f>IF('2. START'!$C$11="NO",(IF('2. START'!$C$14&gt;0,(DS108*$AD108),(AY108*$AD108))),(BW108+CU108))</f>
        <v>0</v>
      </c>
      <c r="EF108" s="459">
        <f>IF('2. START'!$C$11="NO",(IF('2. START'!$C$14&gt;0,(DT108*$AD108),(AZ108*$AD108))),(BX108+CV108))</f>
        <v>0</v>
      </c>
      <c r="EG108" s="459">
        <f>IF('2. START'!$C$11="NO",(IF('2. START'!$C$14&gt;0,(DU108*$AD108),(BA108*$AD108))),(BY108+CW108))</f>
        <v>0</v>
      </c>
      <c r="EH108" s="459">
        <f>IF('2. START'!$C$11="NO",(IF('2. START'!$C$14&gt;0,(DV108*$AD108),(BB108*$AD108))),(BZ108+CX108))</f>
        <v>0</v>
      </c>
      <c r="EI108" s="459">
        <f>IF('2. START'!$C$11="NO",(IF('2. START'!$C$14&gt;0,(DW108*$AD108),(BC108*$AD108))),(CA108+CY108))</f>
        <v>0</v>
      </c>
      <c r="EJ108" s="460">
        <f t="shared" si="288"/>
        <v>0</v>
      </c>
      <c r="EK108" s="463"/>
      <c r="EL108" s="459">
        <f>(BR108+CP108-DZ108)+IF('2. START'!$C$14&gt;0,AT108-DN108,0)</f>
        <v>0</v>
      </c>
      <c r="EM108" s="459">
        <f>(BS108+CQ108-EA108)+IF('2. START'!$C$14&gt;0,AU108-DO108,0)</f>
        <v>0</v>
      </c>
      <c r="EN108" s="459">
        <f>(BT108+CR108-EB108)+IF('2. START'!$C$14&gt;0,AV108-DP108,0)</f>
        <v>0</v>
      </c>
      <c r="EO108" s="459">
        <f>(BU108+CS108-EC108)+IF('2. START'!$C$14&gt;0,AW108-DQ108,0)</f>
        <v>0</v>
      </c>
      <c r="EP108" s="459">
        <f>(BV108+CT108-ED108)+IF('2. START'!$C$14&gt;0,AX108-DR108,0)</f>
        <v>0</v>
      </c>
      <c r="EQ108" s="459">
        <f>(BW108+CU108-EE108)+IF('2. START'!$C$14&gt;0,AY108-DS108,0)</f>
        <v>0</v>
      </c>
      <c r="ER108" s="459">
        <f>(BX108+CV108-EF108)+IF('2. START'!$C$14&gt;0,AZ108-DT108,0)</f>
        <v>0</v>
      </c>
      <c r="ES108" s="459">
        <f>(BY108+CW108-EG108)+IF('2. START'!$C$14&gt;0,BA108-DU108,0)</f>
        <v>0</v>
      </c>
      <c r="ET108" s="459">
        <f>(BZ108+CX108-EH108)+IF('2. START'!$C$14&gt;0,BB108-DV108,0)</f>
        <v>0</v>
      </c>
      <c r="EU108" s="459">
        <f>(CA108+CY108-EI108)+IF('2. START'!$C$14&gt;0,BC108-DW108,0)</f>
        <v>0</v>
      </c>
      <c r="EV108" s="460">
        <f t="shared" si="289"/>
        <v>0</v>
      </c>
      <c r="EW108" s="463"/>
      <c r="EX108" s="459">
        <f t="shared" si="290"/>
        <v>0</v>
      </c>
      <c r="EY108" s="459">
        <f t="shared" si="291"/>
        <v>0</v>
      </c>
      <c r="EZ108" s="459">
        <f t="shared" si="292"/>
        <v>0</v>
      </c>
      <c r="FA108" s="459">
        <f t="shared" si="293"/>
        <v>0</v>
      </c>
      <c r="FB108" s="459">
        <f t="shared" si="294"/>
        <v>0</v>
      </c>
      <c r="FC108" s="459">
        <f t="shared" si="295"/>
        <v>0</v>
      </c>
      <c r="FD108" s="459">
        <f t="shared" si="296"/>
        <v>0</v>
      </c>
      <c r="FE108" s="459">
        <f t="shared" si="297"/>
        <v>0</v>
      </c>
      <c r="FF108" s="459">
        <f t="shared" si="298"/>
        <v>0</v>
      </c>
      <c r="FG108" s="459">
        <f t="shared" si="299"/>
        <v>0</v>
      </c>
      <c r="FH108" s="460">
        <f t="shared" si="300"/>
        <v>0</v>
      </c>
      <c r="FI108" s="463"/>
      <c r="FJ108" s="459">
        <f t="shared" si="301"/>
        <v>0</v>
      </c>
      <c r="FK108" s="459">
        <f t="shared" si="302"/>
        <v>0</v>
      </c>
      <c r="FL108" s="459">
        <f t="shared" si="303"/>
        <v>0</v>
      </c>
      <c r="FM108" s="459">
        <f t="shared" si="304"/>
        <v>0</v>
      </c>
      <c r="FN108" s="459">
        <f t="shared" si="305"/>
        <v>0</v>
      </c>
      <c r="FO108" s="459">
        <f t="shared" si="306"/>
        <v>0</v>
      </c>
      <c r="FP108" s="459">
        <f t="shared" si="307"/>
        <v>0</v>
      </c>
      <c r="FQ108" s="459">
        <f t="shared" si="308"/>
        <v>0</v>
      </c>
      <c r="FR108" s="459">
        <f t="shared" si="309"/>
        <v>0</v>
      </c>
      <c r="FS108" s="459">
        <f t="shared" si="310"/>
        <v>0</v>
      </c>
      <c r="FT108" s="460">
        <f t="shared" si="311"/>
        <v>0</v>
      </c>
    </row>
    <row r="109" spans="2:176" s="270" customFormat="1" ht="15" customHeight="1" x14ac:dyDescent="0.25">
      <c r="B109" s="464" t="str">
        <f>'2. START'!C$7</f>
        <v>100GEM</v>
      </c>
      <c r="C109" s="470"/>
      <c r="D109" s="590"/>
      <c r="E109" s="514">
        <v>0</v>
      </c>
      <c r="F109" s="467"/>
      <c r="G109" s="432"/>
      <c r="H109" s="432"/>
      <c r="I109" s="432"/>
      <c r="J109" s="432"/>
      <c r="K109" s="432"/>
      <c r="L109" s="432"/>
      <c r="M109" s="432"/>
      <c r="N109" s="432"/>
      <c r="O109" s="432"/>
      <c r="P109" s="432"/>
      <c r="Q109" s="545">
        <f>SUMIF('3. PARTNER'!$B$13:$B$80,$B109,'3. PARTNER'!$F$13:$F$80)</f>
        <v>0.02</v>
      </c>
      <c r="R109" s="466">
        <f t="shared" si="314"/>
        <v>0.02</v>
      </c>
      <c r="S109" s="466">
        <f t="shared" si="314"/>
        <v>0.02</v>
      </c>
      <c r="T109" s="466">
        <f t="shared" si="314"/>
        <v>0.02</v>
      </c>
      <c r="U109" s="466">
        <f t="shared" si="314"/>
        <v>0.02</v>
      </c>
      <c r="V109" s="466">
        <f t="shared" si="314"/>
        <v>0.02</v>
      </c>
      <c r="W109" s="466">
        <f t="shared" si="314"/>
        <v>0.02</v>
      </c>
      <c r="X109" s="466">
        <f t="shared" si="314"/>
        <v>0.02</v>
      </c>
      <c r="Y109" s="466">
        <f t="shared" si="314"/>
        <v>0.02</v>
      </c>
      <c r="Z109" s="466">
        <f t="shared" si="314"/>
        <v>0.02</v>
      </c>
      <c r="AA109" s="434">
        <f>SUMIF('3. PARTNER'!B$13:B$80,B109,'3. PARTNER'!E$13:E$80)</f>
        <v>0.5595</v>
      </c>
      <c r="AB109" s="435">
        <f>IF('2. START'!$C$20="UTB",(SUMIF('3. PARTNER'!B$13:B$80,B109,'3. PARTNER'!K$13:K$80))+(SUMIF('3. PARTNER'!B$13:B$80,B109,'3. PARTNER'!M$13:M$80)),(SUMIF('3. PARTNER'!B$13:B$80,B109,'3. PARTNER'!G$13:G$80))+(SUMIF('3. PARTNER'!B$13:B$80,B109,'3. PARTNER'!I$13:I$80)))</f>
        <v>0.16000843770704321</v>
      </c>
      <c r="AC109" s="435">
        <f>IF('2. START'!$C$20="UTB",(SUMIF('3. PARTNER'!B$13:B$80,B109,'3. PARTNER'!L$13:L$80))+(SUMIF('3. PARTNER'!B$13:B$80,B109,'3. PARTNER'!N$13:N$80)),(SUMIF('3. PARTNER'!B$13:B$80,B109,'3. PARTNER'!H$13:H$80))+(SUMIF('3. PARTNER'!B$13:B$80,B109,'3. PARTNER'!J$13:J$80)))</f>
        <v>0</v>
      </c>
      <c r="AD109" s="435">
        <f>IF('2. START'!C$11="NO",'2. START'!C$12,0)</f>
        <v>0</v>
      </c>
      <c r="AE109" s="436">
        <f t="shared" si="278"/>
        <v>0</v>
      </c>
      <c r="AF109" s="436">
        <f t="shared" si="279"/>
        <v>0</v>
      </c>
      <c r="AG109" s="437"/>
      <c r="AH109" s="438">
        <f t="shared" si="208"/>
        <v>0</v>
      </c>
      <c r="AI109" s="438">
        <f t="shared" si="209"/>
        <v>0</v>
      </c>
      <c r="AJ109" s="438">
        <f t="shared" si="210"/>
        <v>0</v>
      </c>
      <c r="AK109" s="438">
        <f t="shared" si="211"/>
        <v>0</v>
      </c>
      <c r="AL109" s="438">
        <f t="shared" si="212"/>
        <v>0</v>
      </c>
      <c r="AM109" s="438">
        <f t="shared" si="213"/>
        <v>0</v>
      </c>
      <c r="AN109" s="438">
        <f t="shared" si="214"/>
        <v>0</v>
      </c>
      <c r="AO109" s="438">
        <f t="shared" si="215"/>
        <v>0</v>
      </c>
      <c r="AP109" s="438">
        <f t="shared" si="216"/>
        <v>0</v>
      </c>
      <c r="AQ109" s="438">
        <f t="shared" si="217"/>
        <v>0</v>
      </c>
      <c r="AR109" s="439">
        <f t="shared" si="280"/>
        <v>0</v>
      </c>
      <c r="AS109" s="440"/>
      <c r="AT109" s="438">
        <f t="shared" si="218"/>
        <v>0</v>
      </c>
      <c r="AU109" s="438">
        <f t="shared" si="219"/>
        <v>0</v>
      </c>
      <c r="AV109" s="438">
        <f t="shared" si="220"/>
        <v>0</v>
      </c>
      <c r="AW109" s="438">
        <f t="shared" si="221"/>
        <v>0</v>
      </c>
      <c r="AX109" s="438">
        <f t="shared" si="222"/>
        <v>0</v>
      </c>
      <c r="AY109" s="438">
        <f t="shared" si="223"/>
        <v>0</v>
      </c>
      <c r="AZ109" s="438">
        <f t="shared" si="224"/>
        <v>0</v>
      </c>
      <c r="BA109" s="438">
        <f t="shared" si="225"/>
        <v>0</v>
      </c>
      <c r="BB109" s="438">
        <f t="shared" si="226"/>
        <v>0</v>
      </c>
      <c r="BC109" s="438">
        <f t="shared" si="227"/>
        <v>0</v>
      </c>
      <c r="BD109" s="439">
        <f t="shared" si="281"/>
        <v>0</v>
      </c>
      <c r="BE109" s="440"/>
      <c r="BF109" s="438">
        <f t="shared" si="228"/>
        <v>0</v>
      </c>
      <c r="BG109" s="438">
        <f t="shared" si="229"/>
        <v>0</v>
      </c>
      <c r="BH109" s="438">
        <f t="shared" si="230"/>
        <v>0</v>
      </c>
      <c r="BI109" s="438">
        <f t="shared" si="231"/>
        <v>0</v>
      </c>
      <c r="BJ109" s="438">
        <f t="shared" si="232"/>
        <v>0</v>
      </c>
      <c r="BK109" s="438">
        <f t="shared" si="233"/>
        <v>0</v>
      </c>
      <c r="BL109" s="438">
        <f t="shared" si="234"/>
        <v>0</v>
      </c>
      <c r="BM109" s="438">
        <f t="shared" si="235"/>
        <v>0</v>
      </c>
      <c r="BN109" s="438">
        <f t="shared" si="236"/>
        <v>0</v>
      </c>
      <c r="BO109" s="438">
        <f t="shared" si="237"/>
        <v>0</v>
      </c>
      <c r="BP109" s="439">
        <f t="shared" si="282"/>
        <v>0</v>
      </c>
      <c r="BR109" s="442">
        <f t="shared" si="238"/>
        <v>0</v>
      </c>
      <c r="BS109" s="442">
        <f t="shared" si="239"/>
        <v>0</v>
      </c>
      <c r="BT109" s="442">
        <f t="shared" si="240"/>
        <v>0</v>
      </c>
      <c r="BU109" s="442">
        <f t="shared" si="241"/>
        <v>0</v>
      </c>
      <c r="BV109" s="442">
        <f t="shared" si="242"/>
        <v>0</v>
      </c>
      <c r="BW109" s="442">
        <f t="shared" si="243"/>
        <v>0</v>
      </c>
      <c r="BX109" s="442">
        <f t="shared" si="244"/>
        <v>0</v>
      </c>
      <c r="BY109" s="442">
        <f t="shared" si="245"/>
        <v>0</v>
      </c>
      <c r="BZ109" s="442">
        <f t="shared" si="246"/>
        <v>0</v>
      </c>
      <c r="CA109" s="442">
        <f t="shared" si="247"/>
        <v>0</v>
      </c>
      <c r="CB109" s="443">
        <f t="shared" si="283"/>
        <v>0</v>
      </c>
      <c r="CD109" s="445">
        <f t="shared" si="248"/>
        <v>0</v>
      </c>
      <c r="CE109" s="445">
        <f t="shared" si="249"/>
        <v>0</v>
      </c>
      <c r="CF109" s="445">
        <f t="shared" si="250"/>
        <v>0</v>
      </c>
      <c r="CG109" s="445">
        <f t="shared" si="251"/>
        <v>0</v>
      </c>
      <c r="CH109" s="445">
        <f t="shared" si="252"/>
        <v>0</v>
      </c>
      <c r="CI109" s="445">
        <f t="shared" si="253"/>
        <v>0</v>
      </c>
      <c r="CJ109" s="445">
        <f t="shared" si="254"/>
        <v>0</v>
      </c>
      <c r="CK109" s="445">
        <f t="shared" si="255"/>
        <v>0</v>
      </c>
      <c r="CL109" s="445">
        <f t="shared" si="256"/>
        <v>0</v>
      </c>
      <c r="CM109" s="445">
        <f t="shared" si="257"/>
        <v>0</v>
      </c>
      <c r="CN109" s="443">
        <f t="shared" si="284"/>
        <v>0</v>
      </c>
      <c r="CP109" s="442">
        <f t="shared" si="258"/>
        <v>0</v>
      </c>
      <c r="CQ109" s="442">
        <f t="shared" si="259"/>
        <v>0</v>
      </c>
      <c r="CR109" s="442">
        <f t="shared" si="260"/>
        <v>0</v>
      </c>
      <c r="CS109" s="442">
        <f t="shared" si="261"/>
        <v>0</v>
      </c>
      <c r="CT109" s="442">
        <f t="shared" si="262"/>
        <v>0</v>
      </c>
      <c r="CU109" s="442">
        <f t="shared" si="263"/>
        <v>0</v>
      </c>
      <c r="CV109" s="442">
        <f t="shared" si="264"/>
        <v>0</v>
      </c>
      <c r="CW109" s="442">
        <f t="shared" si="265"/>
        <v>0</v>
      </c>
      <c r="CX109" s="442">
        <f t="shared" si="266"/>
        <v>0</v>
      </c>
      <c r="CY109" s="442">
        <f t="shared" si="267"/>
        <v>0</v>
      </c>
      <c r="CZ109" s="443">
        <f t="shared" si="285"/>
        <v>0</v>
      </c>
      <c r="DB109" s="442">
        <f t="shared" si="268"/>
        <v>0</v>
      </c>
      <c r="DC109" s="442">
        <f t="shared" si="269"/>
        <v>0</v>
      </c>
      <c r="DD109" s="442">
        <f t="shared" si="270"/>
        <v>0</v>
      </c>
      <c r="DE109" s="442">
        <f t="shared" si="271"/>
        <v>0</v>
      </c>
      <c r="DF109" s="442">
        <f t="shared" si="272"/>
        <v>0</v>
      </c>
      <c r="DG109" s="442">
        <f t="shared" si="273"/>
        <v>0</v>
      </c>
      <c r="DH109" s="442">
        <f t="shared" si="274"/>
        <v>0</v>
      </c>
      <c r="DI109" s="442">
        <f t="shared" si="275"/>
        <v>0</v>
      </c>
      <c r="DJ109" s="442">
        <f t="shared" si="276"/>
        <v>0</v>
      </c>
      <c r="DK109" s="442">
        <f t="shared" si="277"/>
        <v>0</v>
      </c>
      <c r="DL109" s="443">
        <f t="shared" si="286"/>
        <v>0</v>
      </c>
      <c r="DN109" s="442">
        <f>IF('2. START'!$C$14&gt;0,(AT109/(1+$AA109))*(1+'2. START'!$C$14),AT109)</f>
        <v>0</v>
      </c>
      <c r="DO109" s="442">
        <f>IF('2. START'!$C$14&gt;0,(AU109/(1+$AA109))*(1+'2. START'!$C$14),AU109)</f>
        <v>0</v>
      </c>
      <c r="DP109" s="442">
        <f>IF('2. START'!$C$14&gt;0,(AV109/(1+$AA109))*(1+'2. START'!$C$14),AV109)</f>
        <v>0</v>
      </c>
      <c r="DQ109" s="442">
        <f>IF('2. START'!$C$14&gt;0,(AW109/(1+$AA109))*(1+'2. START'!$C$14),AW109)</f>
        <v>0</v>
      </c>
      <c r="DR109" s="442">
        <f>IF('2. START'!$C$14&gt;0,(AX109/(1+$AA109))*(1+'2. START'!$C$14),AX109)</f>
        <v>0</v>
      </c>
      <c r="DS109" s="442">
        <f>IF('2. START'!$C$14&gt;0,(AY109/(1+$AA109))*(1+'2. START'!$C$14),AY109)</f>
        <v>0</v>
      </c>
      <c r="DT109" s="442">
        <f>IF('2. START'!$C$14&gt;0,(AZ109/(1+$AA109))*(1+'2. START'!$C$14),AZ109)</f>
        <v>0</v>
      </c>
      <c r="DU109" s="442">
        <f>IF('2. START'!$C$14&gt;0,(BA109/(1+$AA109))*(1+'2. START'!$C$14),BA109)</f>
        <v>0</v>
      </c>
      <c r="DV109" s="442">
        <f>IF('2. START'!$C$14&gt;0,(BB109/(1+$AA109))*(1+'2. START'!$C$14),BB109)</f>
        <v>0</v>
      </c>
      <c r="DW109" s="442">
        <f>IF('2. START'!$C$14&gt;0,(BC109/(1+$AA109))*(1+'2. START'!$C$14),BC109)</f>
        <v>0</v>
      </c>
      <c r="DX109" s="443">
        <f t="shared" si="287"/>
        <v>0</v>
      </c>
      <c r="DZ109" s="442">
        <f>IF('2. START'!$C$11="NO",(IF('2. START'!$C$14&gt;0,(DN109*$AD109),(AT109*$AD109))),(BR109+CP109))</f>
        <v>0</v>
      </c>
      <c r="EA109" s="442">
        <f>IF('2. START'!$C$11="NO",(IF('2. START'!$C$14&gt;0,(DO109*$AD109),(AU109*$AD109))),(BS109+CQ109))</f>
        <v>0</v>
      </c>
      <c r="EB109" s="442">
        <f>IF('2. START'!$C$11="NO",(IF('2. START'!$C$14&gt;0,(DP109*$AD109),(AV109*$AD109))),(BT109+CR109))</f>
        <v>0</v>
      </c>
      <c r="EC109" s="442">
        <f>IF('2. START'!$C$11="NO",(IF('2. START'!$C$14&gt;0,(DQ109*$AD109),(AW109*$AD109))),(BU109+CS109))</f>
        <v>0</v>
      </c>
      <c r="ED109" s="442">
        <f>IF('2. START'!$C$11="NO",(IF('2. START'!$C$14&gt;0,(DR109*$AD109),(AX109*$AD109))),(BV109+CT109))</f>
        <v>0</v>
      </c>
      <c r="EE109" s="442">
        <f>IF('2. START'!$C$11="NO",(IF('2. START'!$C$14&gt;0,(DS109*$AD109),(AY109*$AD109))),(BW109+CU109))</f>
        <v>0</v>
      </c>
      <c r="EF109" s="442">
        <f>IF('2. START'!$C$11="NO",(IF('2. START'!$C$14&gt;0,(DT109*$AD109),(AZ109*$AD109))),(BX109+CV109))</f>
        <v>0</v>
      </c>
      <c r="EG109" s="442">
        <f>IF('2. START'!$C$11="NO",(IF('2. START'!$C$14&gt;0,(DU109*$AD109),(BA109*$AD109))),(BY109+CW109))</f>
        <v>0</v>
      </c>
      <c r="EH109" s="442">
        <f>IF('2. START'!$C$11="NO",(IF('2. START'!$C$14&gt;0,(DV109*$AD109),(BB109*$AD109))),(BZ109+CX109))</f>
        <v>0</v>
      </c>
      <c r="EI109" s="442">
        <f>IF('2. START'!$C$11="NO",(IF('2. START'!$C$14&gt;0,(DW109*$AD109),(BC109*$AD109))),(CA109+CY109))</f>
        <v>0</v>
      </c>
      <c r="EJ109" s="443">
        <f t="shared" si="288"/>
        <v>0</v>
      </c>
      <c r="EL109" s="442">
        <f>(BR109+CP109-DZ109)+IF('2. START'!$C$14&gt;0,AT109-DN109,0)</f>
        <v>0</v>
      </c>
      <c r="EM109" s="442">
        <f>(BS109+CQ109-EA109)+IF('2. START'!$C$14&gt;0,AU109-DO109,0)</f>
        <v>0</v>
      </c>
      <c r="EN109" s="442">
        <f>(BT109+CR109-EB109)+IF('2. START'!$C$14&gt;0,AV109-DP109,0)</f>
        <v>0</v>
      </c>
      <c r="EO109" s="442">
        <f>(BU109+CS109-EC109)+IF('2. START'!$C$14&gt;0,AW109-DQ109,0)</f>
        <v>0</v>
      </c>
      <c r="EP109" s="442">
        <f>(BV109+CT109-ED109)+IF('2. START'!$C$14&gt;0,AX109-DR109,0)</f>
        <v>0</v>
      </c>
      <c r="EQ109" s="442">
        <f>(BW109+CU109-EE109)+IF('2. START'!$C$14&gt;0,AY109-DS109,0)</f>
        <v>0</v>
      </c>
      <c r="ER109" s="442">
        <f>(BX109+CV109-EF109)+IF('2. START'!$C$14&gt;0,AZ109-DT109,0)</f>
        <v>0</v>
      </c>
      <c r="ES109" s="442">
        <f>(BY109+CW109-EG109)+IF('2. START'!$C$14&gt;0,BA109-DU109,0)</f>
        <v>0</v>
      </c>
      <c r="ET109" s="442">
        <f>(BZ109+CX109-EH109)+IF('2. START'!$C$14&gt;0,BB109-DV109,0)</f>
        <v>0</v>
      </c>
      <c r="EU109" s="442">
        <f>(CA109+CY109-EI109)+IF('2. START'!$C$14&gt;0,BC109-DW109,0)</f>
        <v>0</v>
      </c>
      <c r="EV109" s="443">
        <f t="shared" si="289"/>
        <v>0</v>
      </c>
      <c r="EX109" s="442">
        <f t="shared" si="290"/>
        <v>0</v>
      </c>
      <c r="EY109" s="442">
        <f t="shared" si="291"/>
        <v>0</v>
      </c>
      <c r="EZ109" s="442">
        <f t="shared" si="292"/>
        <v>0</v>
      </c>
      <c r="FA109" s="442">
        <f t="shared" si="293"/>
        <v>0</v>
      </c>
      <c r="FB109" s="442">
        <f t="shared" si="294"/>
        <v>0</v>
      </c>
      <c r="FC109" s="442">
        <f t="shared" si="295"/>
        <v>0</v>
      </c>
      <c r="FD109" s="442">
        <f t="shared" si="296"/>
        <v>0</v>
      </c>
      <c r="FE109" s="442">
        <f t="shared" si="297"/>
        <v>0</v>
      </c>
      <c r="FF109" s="442">
        <f t="shared" si="298"/>
        <v>0</v>
      </c>
      <c r="FG109" s="442">
        <f t="shared" si="299"/>
        <v>0</v>
      </c>
      <c r="FH109" s="443">
        <f t="shared" si="300"/>
        <v>0</v>
      </c>
      <c r="FJ109" s="442">
        <f t="shared" si="301"/>
        <v>0</v>
      </c>
      <c r="FK109" s="442">
        <f t="shared" si="302"/>
        <v>0</v>
      </c>
      <c r="FL109" s="442">
        <f t="shared" si="303"/>
        <v>0</v>
      </c>
      <c r="FM109" s="442">
        <f t="shared" si="304"/>
        <v>0</v>
      </c>
      <c r="FN109" s="442">
        <f t="shared" si="305"/>
        <v>0</v>
      </c>
      <c r="FO109" s="442">
        <f t="shared" si="306"/>
        <v>0</v>
      </c>
      <c r="FP109" s="442">
        <f t="shared" si="307"/>
        <v>0</v>
      </c>
      <c r="FQ109" s="442">
        <f t="shared" si="308"/>
        <v>0</v>
      </c>
      <c r="FR109" s="442">
        <f t="shared" si="309"/>
        <v>0</v>
      </c>
      <c r="FS109" s="442">
        <f t="shared" si="310"/>
        <v>0</v>
      </c>
      <c r="FT109" s="443">
        <f t="shared" si="311"/>
        <v>0</v>
      </c>
    </row>
    <row r="110" spans="2:176" s="270" customFormat="1" ht="15" customHeight="1" x14ac:dyDescent="0.25">
      <c r="B110" s="446" t="str">
        <f>'2. START'!C$7</f>
        <v>100GEM</v>
      </c>
      <c r="C110" s="469"/>
      <c r="D110" s="589"/>
      <c r="E110" s="544">
        <v>0</v>
      </c>
      <c r="F110" s="448"/>
      <c r="G110" s="449"/>
      <c r="H110" s="449"/>
      <c r="I110" s="449"/>
      <c r="J110" s="449"/>
      <c r="K110" s="449"/>
      <c r="L110" s="449"/>
      <c r="M110" s="449"/>
      <c r="N110" s="449"/>
      <c r="O110" s="449"/>
      <c r="P110" s="449"/>
      <c r="Q110" s="546">
        <f>SUMIF('3. PARTNER'!$B$13:$B$80,$B110,'3. PARTNER'!$F$13:$F$80)</f>
        <v>0.02</v>
      </c>
      <c r="R110" s="450">
        <f t="shared" si="314"/>
        <v>0.02</v>
      </c>
      <c r="S110" s="450">
        <f t="shared" si="314"/>
        <v>0.02</v>
      </c>
      <c r="T110" s="450">
        <f t="shared" si="314"/>
        <v>0.02</v>
      </c>
      <c r="U110" s="450">
        <f t="shared" si="314"/>
        <v>0.02</v>
      </c>
      <c r="V110" s="450">
        <f t="shared" si="314"/>
        <v>0.02</v>
      </c>
      <c r="W110" s="450">
        <f t="shared" si="314"/>
        <v>0.02</v>
      </c>
      <c r="X110" s="450">
        <f t="shared" si="314"/>
        <v>0.02</v>
      </c>
      <c r="Y110" s="450">
        <f t="shared" si="314"/>
        <v>0.02</v>
      </c>
      <c r="Z110" s="450">
        <f t="shared" si="314"/>
        <v>0.02</v>
      </c>
      <c r="AA110" s="451">
        <f>SUMIF('3. PARTNER'!B$13:B$80,B110,'3. PARTNER'!E$13:E$80)</f>
        <v>0.5595</v>
      </c>
      <c r="AB110" s="452">
        <f>IF('2. START'!$C$20="UTB",(SUMIF('3. PARTNER'!B$13:B$80,B110,'3. PARTNER'!K$13:K$80))+(SUMIF('3. PARTNER'!B$13:B$80,B110,'3. PARTNER'!M$13:M$80)),(SUMIF('3. PARTNER'!B$13:B$80,B110,'3. PARTNER'!G$13:G$80))+(SUMIF('3. PARTNER'!B$13:B$80,B110,'3. PARTNER'!I$13:I$80)))</f>
        <v>0.16000843770704321</v>
      </c>
      <c r="AC110" s="452">
        <f>IF('2. START'!$C$20="UTB",(SUMIF('3. PARTNER'!B$13:B$80,B110,'3. PARTNER'!L$13:L$80))+(SUMIF('3. PARTNER'!B$13:B$80,B110,'3. PARTNER'!N$13:N$80)),(SUMIF('3. PARTNER'!B$13:B$80,B110,'3. PARTNER'!H$13:H$80))+(SUMIF('3. PARTNER'!B$13:B$80,B110,'3. PARTNER'!J$13:J$80)))</f>
        <v>0</v>
      </c>
      <c r="AD110" s="452">
        <f>IF('2. START'!C$11="NO",'2. START'!C$12,0)</f>
        <v>0</v>
      </c>
      <c r="AE110" s="453">
        <f t="shared" si="278"/>
        <v>0</v>
      </c>
      <c r="AF110" s="453">
        <f t="shared" si="279"/>
        <v>0</v>
      </c>
      <c r="AG110" s="454"/>
      <c r="AH110" s="455">
        <f t="shared" si="208"/>
        <v>0</v>
      </c>
      <c r="AI110" s="455">
        <f t="shared" si="209"/>
        <v>0</v>
      </c>
      <c r="AJ110" s="455">
        <f t="shared" si="210"/>
        <v>0</v>
      </c>
      <c r="AK110" s="455">
        <f t="shared" si="211"/>
        <v>0</v>
      </c>
      <c r="AL110" s="455">
        <f t="shared" si="212"/>
        <v>0</v>
      </c>
      <c r="AM110" s="455">
        <f t="shared" si="213"/>
        <v>0</v>
      </c>
      <c r="AN110" s="455">
        <f t="shared" si="214"/>
        <v>0</v>
      </c>
      <c r="AO110" s="455">
        <f t="shared" si="215"/>
        <v>0</v>
      </c>
      <c r="AP110" s="455">
        <f t="shared" si="216"/>
        <v>0</v>
      </c>
      <c r="AQ110" s="455">
        <f t="shared" si="217"/>
        <v>0</v>
      </c>
      <c r="AR110" s="456">
        <f t="shared" si="280"/>
        <v>0</v>
      </c>
      <c r="AS110" s="457"/>
      <c r="AT110" s="455">
        <f t="shared" si="218"/>
        <v>0</v>
      </c>
      <c r="AU110" s="455">
        <f t="shared" si="219"/>
        <v>0</v>
      </c>
      <c r="AV110" s="455">
        <f t="shared" si="220"/>
        <v>0</v>
      </c>
      <c r="AW110" s="455">
        <f t="shared" si="221"/>
        <v>0</v>
      </c>
      <c r="AX110" s="455">
        <f t="shared" si="222"/>
        <v>0</v>
      </c>
      <c r="AY110" s="455">
        <f t="shared" si="223"/>
        <v>0</v>
      </c>
      <c r="AZ110" s="455">
        <f t="shared" si="224"/>
        <v>0</v>
      </c>
      <c r="BA110" s="455">
        <f t="shared" si="225"/>
        <v>0</v>
      </c>
      <c r="BB110" s="455">
        <f t="shared" si="226"/>
        <v>0</v>
      </c>
      <c r="BC110" s="455">
        <f t="shared" si="227"/>
        <v>0</v>
      </c>
      <c r="BD110" s="456">
        <f t="shared" si="281"/>
        <v>0</v>
      </c>
      <c r="BE110" s="457"/>
      <c r="BF110" s="455">
        <f t="shared" si="228"/>
        <v>0</v>
      </c>
      <c r="BG110" s="455">
        <f t="shared" si="229"/>
        <v>0</v>
      </c>
      <c r="BH110" s="455">
        <f t="shared" si="230"/>
        <v>0</v>
      </c>
      <c r="BI110" s="455">
        <f t="shared" si="231"/>
        <v>0</v>
      </c>
      <c r="BJ110" s="455">
        <f t="shared" si="232"/>
        <v>0</v>
      </c>
      <c r="BK110" s="455">
        <f t="shared" si="233"/>
        <v>0</v>
      </c>
      <c r="BL110" s="455">
        <f t="shared" si="234"/>
        <v>0</v>
      </c>
      <c r="BM110" s="455">
        <f t="shared" si="235"/>
        <v>0</v>
      </c>
      <c r="BN110" s="455">
        <f t="shared" si="236"/>
        <v>0</v>
      </c>
      <c r="BO110" s="455">
        <f t="shared" si="237"/>
        <v>0</v>
      </c>
      <c r="BP110" s="456">
        <f t="shared" si="282"/>
        <v>0</v>
      </c>
      <c r="BQ110" s="463"/>
      <c r="BR110" s="459">
        <f t="shared" si="238"/>
        <v>0</v>
      </c>
      <c r="BS110" s="459">
        <f t="shared" si="239"/>
        <v>0</v>
      </c>
      <c r="BT110" s="459">
        <f t="shared" si="240"/>
        <v>0</v>
      </c>
      <c r="BU110" s="459">
        <f t="shared" si="241"/>
        <v>0</v>
      </c>
      <c r="BV110" s="459">
        <f t="shared" si="242"/>
        <v>0</v>
      </c>
      <c r="BW110" s="459">
        <f t="shared" si="243"/>
        <v>0</v>
      </c>
      <c r="BX110" s="459">
        <f t="shared" si="244"/>
        <v>0</v>
      </c>
      <c r="BY110" s="459">
        <f t="shared" si="245"/>
        <v>0</v>
      </c>
      <c r="BZ110" s="459">
        <f t="shared" si="246"/>
        <v>0</v>
      </c>
      <c r="CA110" s="459">
        <f t="shared" si="247"/>
        <v>0</v>
      </c>
      <c r="CB110" s="460">
        <f t="shared" si="283"/>
        <v>0</v>
      </c>
      <c r="CC110" s="463"/>
      <c r="CD110" s="462">
        <f t="shared" si="248"/>
        <v>0</v>
      </c>
      <c r="CE110" s="462">
        <f t="shared" si="249"/>
        <v>0</v>
      </c>
      <c r="CF110" s="462">
        <f t="shared" si="250"/>
        <v>0</v>
      </c>
      <c r="CG110" s="462">
        <f t="shared" si="251"/>
        <v>0</v>
      </c>
      <c r="CH110" s="462">
        <f t="shared" si="252"/>
        <v>0</v>
      </c>
      <c r="CI110" s="462">
        <f t="shared" si="253"/>
        <v>0</v>
      </c>
      <c r="CJ110" s="462">
        <f t="shared" si="254"/>
        <v>0</v>
      </c>
      <c r="CK110" s="462">
        <f t="shared" si="255"/>
        <v>0</v>
      </c>
      <c r="CL110" s="462">
        <f t="shared" si="256"/>
        <v>0</v>
      </c>
      <c r="CM110" s="462">
        <f t="shared" si="257"/>
        <v>0</v>
      </c>
      <c r="CN110" s="460">
        <f t="shared" si="284"/>
        <v>0</v>
      </c>
      <c r="CO110" s="463"/>
      <c r="CP110" s="459">
        <f t="shared" si="258"/>
        <v>0</v>
      </c>
      <c r="CQ110" s="459">
        <f t="shared" si="259"/>
        <v>0</v>
      </c>
      <c r="CR110" s="459">
        <f t="shared" si="260"/>
        <v>0</v>
      </c>
      <c r="CS110" s="459">
        <f t="shared" si="261"/>
        <v>0</v>
      </c>
      <c r="CT110" s="459">
        <f t="shared" si="262"/>
        <v>0</v>
      </c>
      <c r="CU110" s="459">
        <f t="shared" si="263"/>
        <v>0</v>
      </c>
      <c r="CV110" s="459">
        <f t="shared" si="264"/>
        <v>0</v>
      </c>
      <c r="CW110" s="459">
        <f t="shared" si="265"/>
        <v>0</v>
      </c>
      <c r="CX110" s="459">
        <f t="shared" si="266"/>
        <v>0</v>
      </c>
      <c r="CY110" s="459">
        <f t="shared" si="267"/>
        <v>0</v>
      </c>
      <c r="CZ110" s="460">
        <f t="shared" si="285"/>
        <v>0</v>
      </c>
      <c r="DA110" s="463"/>
      <c r="DB110" s="459">
        <f t="shared" si="268"/>
        <v>0</v>
      </c>
      <c r="DC110" s="459">
        <f t="shared" si="269"/>
        <v>0</v>
      </c>
      <c r="DD110" s="459">
        <f t="shared" si="270"/>
        <v>0</v>
      </c>
      <c r="DE110" s="459">
        <f t="shared" si="271"/>
        <v>0</v>
      </c>
      <c r="DF110" s="459">
        <f t="shared" si="272"/>
        <v>0</v>
      </c>
      <c r="DG110" s="459">
        <f t="shared" si="273"/>
        <v>0</v>
      </c>
      <c r="DH110" s="459">
        <f t="shared" si="274"/>
        <v>0</v>
      </c>
      <c r="DI110" s="459">
        <f t="shared" si="275"/>
        <v>0</v>
      </c>
      <c r="DJ110" s="459">
        <f t="shared" si="276"/>
        <v>0</v>
      </c>
      <c r="DK110" s="459">
        <f t="shared" si="277"/>
        <v>0</v>
      </c>
      <c r="DL110" s="460">
        <f t="shared" si="286"/>
        <v>0</v>
      </c>
      <c r="DM110" s="463"/>
      <c r="DN110" s="442">
        <f>IF('2. START'!$C$14&gt;0,(AT110/(1+$AA110))*(1+'2. START'!$C$14),AT110)</f>
        <v>0</v>
      </c>
      <c r="DO110" s="442">
        <f>IF('2. START'!$C$14&gt;0,(AU110/(1+$AA110))*(1+'2. START'!$C$14),AU110)</f>
        <v>0</v>
      </c>
      <c r="DP110" s="442">
        <f>IF('2. START'!$C$14&gt;0,(AV110/(1+$AA110))*(1+'2. START'!$C$14),AV110)</f>
        <v>0</v>
      </c>
      <c r="DQ110" s="442">
        <f>IF('2. START'!$C$14&gt;0,(AW110/(1+$AA110))*(1+'2. START'!$C$14),AW110)</f>
        <v>0</v>
      </c>
      <c r="DR110" s="442">
        <f>IF('2. START'!$C$14&gt;0,(AX110/(1+$AA110))*(1+'2. START'!$C$14),AX110)</f>
        <v>0</v>
      </c>
      <c r="DS110" s="442">
        <f>IF('2. START'!$C$14&gt;0,(AY110/(1+$AA110))*(1+'2. START'!$C$14),AY110)</f>
        <v>0</v>
      </c>
      <c r="DT110" s="442">
        <f>IF('2. START'!$C$14&gt;0,(AZ110/(1+$AA110))*(1+'2. START'!$C$14),AZ110)</f>
        <v>0</v>
      </c>
      <c r="DU110" s="442">
        <f>IF('2. START'!$C$14&gt;0,(BA110/(1+$AA110))*(1+'2. START'!$C$14),BA110)</f>
        <v>0</v>
      </c>
      <c r="DV110" s="442">
        <f>IF('2. START'!$C$14&gt;0,(BB110/(1+$AA110))*(1+'2. START'!$C$14),BB110)</f>
        <v>0</v>
      </c>
      <c r="DW110" s="442">
        <f>IF('2. START'!$C$14&gt;0,(BC110/(1+$AA110))*(1+'2. START'!$C$14),BC110)</f>
        <v>0</v>
      </c>
      <c r="DX110" s="460">
        <f t="shared" si="287"/>
        <v>0</v>
      </c>
      <c r="DY110" s="463"/>
      <c r="DZ110" s="459">
        <f>IF('2. START'!$C$11="NO",(IF('2. START'!$C$14&gt;0,(DN110*$AD110),(AT110*$AD110))),(BR110+CP110))</f>
        <v>0</v>
      </c>
      <c r="EA110" s="459">
        <f>IF('2. START'!$C$11="NO",(IF('2. START'!$C$14&gt;0,(DO110*$AD110),(AU110*$AD110))),(BS110+CQ110))</f>
        <v>0</v>
      </c>
      <c r="EB110" s="459">
        <f>IF('2. START'!$C$11="NO",(IF('2. START'!$C$14&gt;0,(DP110*$AD110),(AV110*$AD110))),(BT110+CR110))</f>
        <v>0</v>
      </c>
      <c r="EC110" s="459">
        <f>IF('2. START'!$C$11="NO",(IF('2. START'!$C$14&gt;0,(DQ110*$AD110),(AW110*$AD110))),(BU110+CS110))</f>
        <v>0</v>
      </c>
      <c r="ED110" s="459">
        <f>IF('2. START'!$C$11="NO",(IF('2. START'!$C$14&gt;0,(DR110*$AD110),(AX110*$AD110))),(BV110+CT110))</f>
        <v>0</v>
      </c>
      <c r="EE110" s="459">
        <f>IF('2. START'!$C$11="NO",(IF('2. START'!$C$14&gt;0,(DS110*$AD110),(AY110*$AD110))),(BW110+CU110))</f>
        <v>0</v>
      </c>
      <c r="EF110" s="459">
        <f>IF('2. START'!$C$11="NO",(IF('2. START'!$C$14&gt;0,(DT110*$AD110),(AZ110*$AD110))),(BX110+CV110))</f>
        <v>0</v>
      </c>
      <c r="EG110" s="459">
        <f>IF('2. START'!$C$11="NO",(IF('2. START'!$C$14&gt;0,(DU110*$AD110),(BA110*$AD110))),(BY110+CW110))</f>
        <v>0</v>
      </c>
      <c r="EH110" s="459">
        <f>IF('2. START'!$C$11="NO",(IF('2. START'!$C$14&gt;0,(DV110*$AD110),(BB110*$AD110))),(BZ110+CX110))</f>
        <v>0</v>
      </c>
      <c r="EI110" s="459">
        <f>IF('2. START'!$C$11="NO",(IF('2. START'!$C$14&gt;0,(DW110*$AD110),(BC110*$AD110))),(CA110+CY110))</f>
        <v>0</v>
      </c>
      <c r="EJ110" s="460">
        <f t="shared" si="288"/>
        <v>0</v>
      </c>
      <c r="EK110" s="463"/>
      <c r="EL110" s="459">
        <f>(BR110+CP110-DZ110)+IF('2. START'!$C$14&gt;0,AT110-DN110,0)</f>
        <v>0</v>
      </c>
      <c r="EM110" s="459">
        <f>(BS110+CQ110-EA110)+IF('2. START'!$C$14&gt;0,AU110-DO110,0)</f>
        <v>0</v>
      </c>
      <c r="EN110" s="459">
        <f>(BT110+CR110-EB110)+IF('2. START'!$C$14&gt;0,AV110-DP110,0)</f>
        <v>0</v>
      </c>
      <c r="EO110" s="459">
        <f>(BU110+CS110-EC110)+IF('2. START'!$C$14&gt;0,AW110-DQ110,0)</f>
        <v>0</v>
      </c>
      <c r="EP110" s="459">
        <f>(BV110+CT110-ED110)+IF('2. START'!$C$14&gt;0,AX110-DR110,0)</f>
        <v>0</v>
      </c>
      <c r="EQ110" s="459">
        <f>(BW110+CU110-EE110)+IF('2. START'!$C$14&gt;0,AY110-DS110,0)</f>
        <v>0</v>
      </c>
      <c r="ER110" s="459">
        <f>(BX110+CV110-EF110)+IF('2. START'!$C$14&gt;0,AZ110-DT110,0)</f>
        <v>0</v>
      </c>
      <c r="ES110" s="459">
        <f>(BY110+CW110-EG110)+IF('2. START'!$C$14&gt;0,BA110-DU110,0)</f>
        <v>0</v>
      </c>
      <c r="ET110" s="459">
        <f>(BZ110+CX110-EH110)+IF('2. START'!$C$14&gt;0,BB110-DV110,0)</f>
        <v>0</v>
      </c>
      <c r="EU110" s="459">
        <f>(CA110+CY110-EI110)+IF('2. START'!$C$14&gt;0,BC110-DW110,0)</f>
        <v>0</v>
      </c>
      <c r="EV110" s="460">
        <f t="shared" si="289"/>
        <v>0</v>
      </c>
      <c r="EW110" s="463"/>
      <c r="EX110" s="459">
        <f t="shared" si="290"/>
        <v>0</v>
      </c>
      <c r="EY110" s="459">
        <f t="shared" si="291"/>
        <v>0</v>
      </c>
      <c r="EZ110" s="459">
        <f t="shared" si="292"/>
        <v>0</v>
      </c>
      <c r="FA110" s="459">
        <f t="shared" si="293"/>
        <v>0</v>
      </c>
      <c r="FB110" s="459">
        <f t="shared" si="294"/>
        <v>0</v>
      </c>
      <c r="FC110" s="459">
        <f t="shared" si="295"/>
        <v>0</v>
      </c>
      <c r="FD110" s="459">
        <f t="shared" si="296"/>
        <v>0</v>
      </c>
      <c r="FE110" s="459">
        <f t="shared" si="297"/>
        <v>0</v>
      </c>
      <c r="FF110" s="459">
        <f t="shared" si="298"/>
        <v>0</v>
      </c>
      <c r="FG110" s="459">
        <f t="shared" si="299"/>
        <v>0</v>
      </c>
      <c r="FH110" s="460">
        <f t="shared" si="300"/>
        <v>0</v>
      </c>
      <c r="FI110" s="463"/>
      <c r="FJ110" s="459">
        <f t="shared" si="301"/>
        <v>0</v>
      </c>
      <c r="FK110" s="459">
        <f t="shared" si="302"/>
        <v>0</v>
      </c>
      <c r="FL110" s="459">
        <f t="shared" si="303"/>
        <v>0</v>
      </c>
      <c r="FM110" s="459">
        <f t="shared" si="304"/>
        <v>0</v>
      </c>
      <c r="FN110" s="459">
        <f t="shared" si="305"/>
        <v>0</v>
      </c>
      <c r="FO110" s="459">
        <f t="shared" si="306"/>
        <v>0</v>
      </c>
      <c r="FP110" s="459">
        <f t="shared" si="307"/>
        <v>0</v>
      </c>
      <c r="FQ110" s="459">
        <f t="shared" si="308"/>
        <v>0</v>
      </c>
      <c r="FR110" s="459">
        <f t="shared" si="309"/>
        <v>0</v>
      </c>
      <c r="FS110" s="459">
        <f t="shared" si="310"/>
        <v>0</v>
      </c>
      <c r="FT110" s="460">
        <f t="shared" si="311"/>
        <v>0</v>
      </c>
    </row>
    <row r="111" spans="2:176" s="270" customFormat="1" ht="15" customHeight="1" x14ac:dyDescent="0.25">
      <c r="B111" s="464" t="str">
        <f>'2. START'!C$7</f>
        <v>100GEM</v>
      </c>
      <c r="C111" s="470"/>
      <c r="D111" s="590"/>
      <c r="E111" s="514">
        <v>0</v>
      </c>
      <c r="F111" s="467"/>
      <c r="G111" s="432"/>
      <c r="H111" s="432"/>
      <c r="I111" s="432"/>
      <c r="J111" s="432"/>
      <c r="K111" s="432"/>
      <c r="L111" s="432"/>
      <c r="M111" s="432"/>
      <c r="N111" s="432"/>
      <c r="O111" s="432"/>
      <c r="P111" s="432"/>
      <c r="Q111" s="545">
        <f>SUMIF('3. PARTNER'!$B$13:$B$80,$B111,'3. PARTNER'!$F$13:$F$80)</f>
        <v>0.02</v>
      </c>
      <c r="R111" s="466">
        <f t="shared" si="314"/>
        <v>0.02</v>
      </c>
      <c r="S111" s="466">
        <f t="shared" si="314"/>
        <v>0.02</v>
      </c>
      <c r="T111" s="466">
        <f t="shared" si="314"/>
        <v>0.02</v>
      </c>
      <c r="U111" s="466">
        <f t="shared" si="314"/>
        <v>0.02</v>
      </c>
      <c r="V111" s="466">
        <f t="shared" si="314"/>
        <v>0.02</v>
      </c>
      <c r="W111" s="466">
        <f t="shared" si="314"/>
        <v>0.02</v>
      </c>
      <c r="X111" s="466">
        <f t="shared" si="314"/>
        <v>0.02</v>
      </c>
      <c r="Y111" s="466">
        <f t="shared" si="314"/>
        <v>0.02</v>
      </c>
      <c r="Z111" s="466">
        <f t="shared" si="314"/>
        <v>0.02</v>
      </c>
      <c r="AA111" s="434">
        <f>SUMIF('3. PARTNER'!B$13:B$80,B111,'3. PARTNER'!E$13:E$80)</f>
        <v>0.5595</v>
      </c>
      <c r="AB111" s="435">
        <f>IF('2. START'!$C$20="UTB",(SUMIF('3. PARTNER'!B$13:B$80,B111,'3. PARTNER'!K$13:K$80))+(SUMIF('3. PARTNER'!B$13:B$80,B111,'3. PARTNER'!M$13:M$80)),(SUMIF('3. PARTNER'!B$13:B$80,B111,'3. PARTNER'!G$13:G$80))+(SUMIF('3. PARTNER'!B$13:B$80,B111,'3. PARTNER'!I$13:I$80)))</f>
        <v>0.16000843770704321</v>
      </c>
      <c r="AC111" s="435">
        <f>IF('2. START'!$C$20="UTB",(SUMIF('3. PARTNER'!B$13:B$80,B111,'3. PARTNER'!L$13:L$80))+(SUMIF('3. PARTNER'!B$13:B$80,B111,'3. PARTNER'!N$13:N$80)),(SUMIF('3. PARTNER'!B$13:B$80,B111,'3. PARTNER'!H$13:H$80))+(SUMIF('3. PARTNER'!B$13:B$80,B111,'3. PARTNER'!J$13:J$80)))</f>
        <v>0</v>
      </c>
      <c r="AD111" s="435">
        <f>IF('2. START'!C$11="NO",'2. START'!C$12,0)</f>
        <v>0</v>
      </c>
      <c r="AE111" s="436">
        <f t="shared" si="278"/>
        <v>0</v>
      </c>
      <c r="AF111" s="436">
        <f t="shared" si="279"/>
        <v>0</v>
      </c>
      <c r="AG111" s="437"/>
      <c r="AH111" s="438">
        <f t="shared" si="208"/>
        <v>0</v>
      </c>
      <c r="AI111" s="438">
        <f t="shared" si="209"/>
        <v>0</v>
      </c>
      <c r="AJ111" s="438">
        <f t="shared" si="210"/>
        <v>0</v>
      </c>
      <c r="AK111" s="438">
        <f t="shared" si="211"/>
        <v>0</v>
      </c>
      <c r="AL111" s="438">
        <f t="shared" si="212"/>
        <v>0</v>
      </c>
      <c r="AM111" s="438">
        <f t="shared" si="213"/>
        <v>0</v>
      </c>
      <c r="AN111" s="438">
        <f t="shared" si="214"/>
        <v>0</v>
      </c>
      <c r="AO111" s="438">
        <f t="shared" si="215"/>
        <v>0</v>
      </c>
      <c r="AP111" s="438">
        <f t="shared" si="216"/>
        <v>0</v>
      </c>
      <c r="AQ111" s="438">
        <f t="shared" si="217"/>
        <v>0</v>
      </c>
      <c r="AR111" s="439">
        <f t="shared" si="280"/>
        <v>0</v>
      </c>
      <c r="AS111" s="440"/>
      <c r="AT111" s="438">
        <f t="shared" si="218"/>
        <v>0</v>
      </c>
      <c r="AU111" s="438">
        <f t="shared" si="219"/>
        <v>0</v>
      </c>
      <c r="AV111" s="438">
        <f t="shared" si="220"/>
        <v>0</v>
      </c>
      <c r="AW111" s="438">
        <f t="shared" si="221"/>
        <v>0</v>
      </c>
      <c r="AX111" s="438">
        <f t="shared" si="222"/>
        <v>0</v>
      </c>
      <c r="AY111" s="438">
        <f t="shared" si="223"/>
        <v>0</v>
      </c>
      <c r="AZ111" s="438">
        <f t="shared" si="224"/>
        <v>0</v>
      </c>
      <c r="BA111" s="438">
        <f t="shared" si="225"/>
        <v>0</v>
      </c>
      <c r="BB111" s="438">
        <f t="shared" si="226"/>
        <v>0</v>
      </c>
      <c r="BC111" s="438">
        <f t="shared" si="227"/>
        <v>0</v>
      </c>
      <c r="BD111" s="439">
        <f t="shared" si="281"/>
        <v>0</v>
      </c>
      <c r="BE111" s="440"/>
      <c r="BF111" s="438">
        <f t="shared" si="228"/>
        <v>0</v>
      </c>
      <c r="BG111" s="438">
        <f t="shared" si="229"/>
        <v>0</v>
      </c>
      <c r="BH111" s="438">
        <f t="shared" si="230"/>
        <v>0</v>
      </c>
      <c r="BI111" s="438">
        <f t="shared" si="231"/>
        <v>0</v>
      </c>
      <c r="BJ111" s="438">
        <f t="shared" si="232"/>
        <v>0</v>
      </c>
      <c r="BK111" s="438">
        <f t="shared" si="233"/>
        <v>0</v>
      </c>
      <c r="BL111" s="438">
        <f t="shared" si="234"/>
        <v>0</v>
      </c>
      <c r="BM111" s="438">
        <f t="shared" si="235"/>
        <v>0</v>
      </c>
      <c r="BN111" s="438">
        <f t="shared" si="236"/>
        <v>0</v>
      </c>
      <c r="BO111" s="438">
        <f t="shared" si="237"/>
        <v>0</v>
      </c>
      <c r="BP111" s="439">
        <f t="shared" si="282"/>
        <v>0</v>
      </c>
      <c r="BR111" s="442">
        <f t="shared" si="238"/>
        <v>0</v>
      </c>
      <c r="BS111" s="442">
        <f t="shared" si="239"/>
        <v>0</v>
      </c>
      <c r="BT111" s="442">
        <f t="shared" si="240"/>
        <v>0</v>
      </c>
      <c r="BU111" s="442">
        <f t="shared" si="241"/>
        <v>0</v>
      </c>
      <c r="BV111" s="442">
        <f t="shared" si="242"/>
        <v>0</v>
      </c>
      <c r="BW111" s="442">
        <f t="shared" si="243"/>
        <v>0</v>
      </c>
      <c r="BX111" s="442">
        <f t="shared" si="244"/>
        <v>0</v>
      </c>
      <c r="BY111" s="442">
        <f t="shared" si="245"/>
        <v>0</v>
      </c>
      <c r="BZ111" s="442">
        <f t="shared" si="246"/>
        <v>0</v>
      </c>
      <c r="CA111" s="442">
        <f t="shared" si="247"/>
        <v>0</v>
      </c>
      <c r="CB111" s="443">
        <f t="shared" si="283"/>
        <v>0</v>
      </c>
      <c r="CD111" s="445">
        <f t="shared" si="248"/>
        <v>0</v>
      </c>
      <c r="CE111" s="445">
        <f t="shared" si="249"/>
        <v>0</v>
      </c>
      <c r="CF111" s="445">
        <f t="shared" si="250"/>
        <v>0</v>
      </c>
      <c r="CG111" s="445">
        <f t="shared" si="251"/>
        <v>0</v>
      </c>
      <c r="CH111" s="445">
        <f t="shared" si="252"/>
        <v>0</v>
      </c>
      <c r="CI111" s="445">
        <f t="shared" si="253"/>
        <v>0</v>
      </c>
      <c r="CJ111" s="445">
        <f t="shared" si="254"/>
        <v>0</v>
      </c>
      <c r="CK111" s="445">
        <f t="shared" si="255"/>
        <v>0</v>
      </c>
      <c r="CL111" s="445">
        <f t="shared" si="256"/>
        <v>0</v>
      </c>
      <c r="CM111" s="445">
        <f t="shared" si="257"/>
        <v>0</v>
      </c>
      <c r="CN111" s="443">
        <f t="shared" si="284"/>
        <v>0</v>
      </c>
      <c r="CP111" s="442">
        <f t="shared" si="258"/>
        <v>0</v>
      </c>
      <c r="CQ111" s="442">
        <f t="shared" si="259"/>
        <v>0</v>
      </c>
      <c r="CR111" s="442">
        <f t="shared" si="260"/>
        <v>0</v>
      </c>
      <c r="CS111" s="442">
        <f t="shared" si="261"/>
        <v>0</v>
      </c>
      <c r="CT111" s="442">
        <f t="shared" si="262"/>
        <v>0</v>
      </c>
      <c r="CU111" s="442">
        <f t="shared" si="263"/>
        <v>0</v>
      </c>
      <c r="CV111" s="442">
        <f t="shared" si="264"/>
        <v>0</v>
      </c>
      <c r="CW111" s="442">
        <f t="shared" si="265"/>
        <v>0</v>
      </c>
      <c r="CX111" s="442">
        <f t="shared" si="266"/>
        <v>0</v>
      </c>
      <c r="CY111" s="442">
        <f t="shared" si="267"/>
        <v>0</v>
      </c>
      <c r="CZ111" s="443">
        <f t="shared" si="285"/>
        <v>0</v>
      </c>
      <c r="DB111" s="442">
        <f t="shared" si="268"/>
        <v>0</v>
      </c>
      <c r="DC111" s="442">
        <f t="shared" si="269"/>
        <v>0</v>
      </c>
      <c r="DD111" s="442">
        <f t="shared" si="270"/>
        <v>0</v>
      </c>
      <c r="DE111" s="442">
        <f t="shared" si="271"/>
        <v>0</v>
      </c>
      <c r="DF111" s="442">
        <f t="shared" si="272"/>
        <v>0</v>
      </c>
      <c r="DG111" s="442">
        <f t="shared" si="273"/>
        <v>0</v>
      </c>
      <c r="DH111" s="442">
        <f t="shared" si="274"/>
        <v>0</v>
      </c>
      <c r="DI111" s="442">
        <f t="shared" si="275"/>
        <v>0</v>
      </c>
      <c r="DJ111" s="442">
        <f t="shared" si="276"/>
        <v>0</v>
      </c>
      <c r="DK111" s="442">
        <f t="shared" si="277"/>
        <v>0</v>
      </c>
      <c r="DL111" s="443">
        <f t="shared" si="286"/>
        <v>0</v>
      </c>
      <c r="DN111" s="442">
        <f>IF('2. START'!$C$14&gt;0,(AT111/(1+$AA111))*(1+'2. START'!$C$14),AT111)</f>
        <v>0</v>
      </c>
      <c r="DO111" s="442">
        <f>IF('2. START'!$C$14&gt;0,(AU111/(1+$AA111))*(1+'2. START'!$C$14),AU111)</f>
        <v>0</v>
      </c>
      <c r="DP111" s="442">
        <f>IF('2. START'!$C$14&gt;0,(AV111/(1+$AA111))*(1+'2. START'!$C$14),AV111)</f>
        <v>0</v>
      </c>
      <c r="DQ111" s="442">
        <f>IF('2. START'!$C$14&gt;0,(AW111/(1+$AA111))*(1+'2. START'!$C$14),AW111)</f>
        <v>0</v>
      </c>
      <c r="DR111" s="442">
        <f>IF('2. START'!$C$14&gt;0,(AX111/(1+$AA111))*(1+'2. START'!$C$14),AX111)</f>
        <v>0</v>
      </c>
      <c r="DS111" s="442">
        <f>IF('2. START'!$C$14&gt;0,(AY111/(1+$AA111))*(1+'2. START'!$C$14),AY111)</f>
        <v>0</v>
      </c>
      <c r="DT111" s="442">
        <f>IF('2. START'!$C$14&gt;0,(AZ111/(1+$AA111))*(1+'2. START'!$C$14),AZ111)</f>
        <v>0</v>
      </c>
      <c r="DU111" s="442">
        <f>IF('2. START'!$C$14&gt;0,(BA111/(1+$AA111))*(1+'2. START'!$C$14),BA111)</f>
        <v>0</v>
      </c>
      <c r="DV111" s="442">
        <f>IF('2. START'!$C$14&gt;0,(BB111/(1+$AA111))*(1+'2. START'!$C$14),BB111)</f>
        <v>0</v>
      </c>
      <c r="DW111" s="442">
        <f>IF('2. START'!$C$14&gt;0,(BC111/(1+$AA111))*(1+'2. START'!$C$14),BC111)</f>
        <v>0</v>
      </c>
      <c r="DX111" s="443">
        <f t="shared" si="287"/>
        <v>0</v>
      </c>
      <c r="DZ111" s="442">
        <f>IF('2. START'!$C$11="NO",(IF('2. START'!$C$14&gt;0,(DN111*$AD111),(AT111*$AD111))),(BR111+CP111))</f>
        <v>0</v>
      </c>
      <c r="EA111" s="442">
        <f>IF('2. START'!$C$11="NO",(IF('2. START'!$C$14&gt;0,(DO111*$AD111),(AU111*$AD111))),(BS111+CQ111))</f>
        <v>0</v>
      </c>
      <c r="EB111" s="442">
        <f>IF('2. START'!$C$11="NO",(IF('2. START'!$C$14&gt;0,(DP111*$AD111),(AV111*$AD111))),(BT111+CR111))</f>
        <v>0</v>
      </c>
      <c r="EC111" s="442">
        <f>IF('2. START'!$C$11="NO",(IF('2. START'!$C$14&gt;0,(DQ111*$AD111),(AW111*$AD111))),(BU111+CS111))</f>
        <v>0</v>
      </c>
      <c r="ED111" s="442">
        <f>IF('2. START'!$C$11="NO",(IF('2. START'!$C$14&gt;0,(DR111*$AD111),(AX111*$AD111))),(BV111+CT111))</f>
        <v>0</v>
      </c>
      <c r="EE111" s="442">
        <f>IF('2. START'!$C$11="NO",(IF('2. START'!$C$14&gt;0,(DS111*$AD111),(AY111*$AD111))),(BW111+CU111))</f>
        <v>0</v>
      </c>
      <c r="EF111" s="442">
        <f>IF('2. START'!$C$11="NO",(IF('2. START'!$C$14&gt;0,(DT111*$AD111),(AZ111*$AD111))),(BX111+CV111))</f>
        <v>0</v>
      </c>
      <c r="EG111" s="442">
        <f>IF('2. START'!$C$11="NO",(IF('2. START'!$C$14&gt;0,(DU111*$AD111),(BA111*$AD111))),(BY111+CW111))</f>
        <v>0</v>
      </c>
      <c r="EH111" s="442">
        <f>IF('2. START'!$C$11="NO",(IF('2. START'!$C$14&gt;0,(DV111*$AD111),(BB111*$AD111))),(BZ111+CX111))</f>
        <v>0</v>
      </c>
      <c r="EI111" s="442">
        <f>IF('2. START'!$C$11="NO",(IF('2. START'!$C$14&gt;0,(DW111*$AD111),(BC111*$AD111))),(CA111+CY111))</f>
        <v>0</v>
      </c>
      <c r="EJ111" s="443">
        <f t="shared" si="288"/>
        <v>0</v>
      </c>
      <c r="EL111" s="442">
        <f>(BR111+CP111-DZ111)+IF('2. START'!$C$14&gt;0,AT111-DN111,0)</f>
        <v>0</v>
      </c>
      <c r="EM111" s="442">
        <f>(BS111+CQ111-EA111)+IF('2. START'!$C$14&gt;0,AU111-DO111,0)</f>
        <v>0</v>
      </c>
      <c r="EN111" s="442">
        <f>(BT111+CR111-EB111)+IF('2. START'!$C$14&gt;0,AV111-DP111,0)</f>
        <v>0</v>
      </c>
      <c r="EO111" s="442">
        <f>(BU111+CS111-EC111)+IF('2. START'!$C$14&gt;0,AW111-DQ111,0)</f>
        <v>0</v>
      </c>
      <c r="EP111" s="442">
        <f>(BV111+CT111-ED111)+IF('2. START'!$C$14&gt;0,AX111-DR111,0)</f>
        <v>0</v>
      </c>
      <c r="EQ111" s="442">
        <f>(BW111+CU111-EE111)+IF('2. START'!$C$14&gt;0,AY111-DS111,0)</f>
        <v>0</v>
      </c>
      <c r="ER111" s="442">
        <f>(BX111+CV111-EF111)+IF('2. START'!$C$14&gt;0,AZ111-DT111,0)</f>
        <v>0</v>
      </c>
      <c r="ES111" s="442">
        <f>(BY111+CW111-EG111)+IF('2. START'!$C$14&gt;0,BA111-DU111,0)</f>
        <v>0</v>
      </c>
      <c r="ET111" s="442">
        <f>(BZ111+CX111-EH111)+IF('2. START'!$C$14&gt;0,BB111-DV111,0)</f>
        <v>0</v>
      </c>
      <c r="EU111" s="442">
        <f>(CA111+CY111-EI111)+IF('2. START'!$C$14&gt;0,BC111-DW111,0)</f>
        <v>0</v>
      </c>
      <c r="EV111" s="443">
        <f t="shared" si="289"/>
        <v>0</v>
      </c>
      <c r="EX111" s="442">
        <f t="shared" si="290"/>
        <v>0</v>
      </c>
      <c r="EY111" s="442">
        <f t="shared" si="291"/>
        <v>0</v>
      </c>
      <c r="EZ111" s="442">
        <f t="shared" si="292"/>
        <v>0</v>
      </c>
      <c r="FA111" s="442">
        <f t="shared" si="293"/>
        <v>0</v>
      </c>
      <c r="FB111" s="442">
        <f t="shared" si="294"/>
        <v>0</v>
      </c>
      <c r="FC111" s="442">
        <f t="shared" si="295"/>
        <v>0</v>
      </c>
      <c r="FD111" s="442">
        <f t="shared" si="296"/>
        <v>0</v>
      </c>
      <c r="FE111" s="442">
        <f t="shared" si="297"/>
        <v>0</v>
      </c>
      <c r="FF111" s="442">
        <f t="shared" si="298"/>
        <v>0</v>
      </c>
      <c r="FG111" s="442">
        <f t="shared" si="299"/>
        <v>0</v>
      </c>
      <c r="FH111" s="443">
        <f t="shared" si="300"/>
        <v>0</v>
      </c>
      <c r="FJ111" s="442">
        <f t="shared" si="301"/>
        <v>0</v>
      </c>
      <c r="FK111" s="442">
        <f t="shared" si="302"/>
        <v>0</v>
      </c>
      <c r="FL111" s="442">
        <f t="shared" si="303"/>
        <v>0</v>
      </c>
      <c r="FM111" s="442">
        <f t="shared" si="304"/>
        <v>0</v>
      </c>
      <c r="FN111" s="442">
        <f t="shared" si="305"/>
        <v>0</v>
      </c>
      <c r="FO111" s="442">
        <f t="shared" si="306"/>
        <v>0</v>
      </c>
      <c r="FP111" s="442">
        <f t="shared" si="307"/>
        <v>0</v>
      </c>
      <c r="FQ111" s="442">
        <f t="shared" si="308"/>
        <v>0</v>
      </c>
      <c r="FR111" s="442">
        <f t="shared" si="309"/>
        <v>0</v>
      </c>
      <c r="FS111" s="442">
        <f t="shared" si="310"/>
        <v>0</v>
      </c>
      <c r="FT111" s="443">
        <f t="shared" si="311"/>
        <v>0</v>
      </c>
    </row>
    <row r="112" spans="2:176" s="270" customFormat="1" ht="15" customHeight="1" x14ac:dyDescent="0.25">
      <c r="B112" s="446" t="str">
        <f>'2. START'!C$7</f>
        <v>100GEM</v>
      </c>
      <c r="C112" s="469"/>
      <c r="D112" s="589"/>
      <c r="E112" s="544">
        <v>0</v>
      </c>
      <c r="F112" s="448"/>
      <c r="G112" s="449"/>
      <c r="H112" s="449"/>
      <c r="I112" s="449"/>
      <c r="J112" s="449"/>
      <c r="K112" s="449"/>
      <c r="L112" s="449"/>
      <c r="M112" s="449"/>
      <c r="N112" s="449"/>
      <c r="O112" s="449"/>
      <c r="P112" s="449"/>
      <c r="Q112" s="546">
        <f>SUMIF('3. PARTNER'!$B$13:$B$80,$B112,'3. PARTNER'!$F$13:$F$80)</f>
        <v>0.02</v>
      </c>
      <c r="R112" s="450">
        <f t="shared" si="314"/>
        <v>0.02</v>
      </c>
      <c r="S112" s="450">
        <f t="shared" si="314"/>
        <v>0.02</v>
      </c>
      <c r="T112" s="450">
        <f t="shared" si="314"/>
        <v>0.02</v>
      </c>
      <c r="U112" s="450">
        <f t="shared" si="314"/>
        <v>0.02</v>
      </c>
      <c r="V112" s="450">
        <f t="shared" si="314"/>
        <v>0.02</v>
      </c>
      <c r="W112" s="450">
        <f t="shared" si="314"/>
        <v>0.02</v>
      </c>
      <c r="X112" s="450">
        <f t="shared" si="314"/>
        <v>0.02</v>
      </c>
      <c r="Y112" s="450">
        <f t="shared" si="314"/>
        <v>0.02</v>
      </c>
      <c r="Z112" s="450">
        <f t="shared" si="314"/>
        <v>0.02</v>
      </c>
      <c r="AA112" s="451">
        <f>SUMIF('3. PARTNER'!B$13:B$80,B112,'3. PARTNER'!E$13:E$80)</f>
        <v>0.5595</v>
      </c>
      <c r="AB112" s="452">
        <f>IF('2. START'!$C$20="UTB",(SUMIF('3. PARTNER'!B$13:B$80,B112,'3. PARTNER'!K$13:K$80))+(SUMIF('3. PARTNER'!B$13:B$80,B112,'3. PARTNER'!M$13:M$80)),(SUMIF('3. PARTNER'!B$13:B$80,B112,'3. PARTNER'!G$13:G$80))+(SUMIF('3. PARTNER'!B$13:B$80,B112,'3. PARTNER'!I$13:I$80)))</f>
        <v>0.16000843770704321</v>
      </c>
      <c r="AC112" s="452">
        <f>IF('2. START'!$C$20="UTB",(SUMIF('3. PARTNER'!B$13:B$80,B112,'3. PARTNER'!L$13:L$80))+(SUMIF('3. PARTNER'!B$13:B$80,B112,'3. PARTNER'!N$13:N$80)),(SUMIF('3. PARTNER'!B$13:B$80,B112,'3. PARTNER'!H$13:H$80))+(SUMIF('3. PARTNER'!B$13:B$80,B112,'3. PARTNER'!J$13:J$80)))</f>
        <v>0</v>
      </c>
      <c r="AD112" s="452">
        <f>IF('2. START'!C$11="NO",'2. START'!C$12,0)</f>
        <v>0</v>
      </c>
      <c r="AE112" s="453">
        <f t="shared" si="278"/>
        <v>0</v>
      </c>
      <c r="AF112" s="453">
        <f t="shared" si="279"/>
        <v>0</v>
      </c>
      <c r="AG112" s="454"/>
      <c r="AH112" s="455">
        <f t="shared" si="208"/>
        <v>0</v>
      </c>
      <c r="AI112" s="455">
        <f t="shared" si="209"/>
        <v>0</v>
      </c>
      <c r="AJ112" s="455">
        <f t="shared" si="210"/>
        <v>0</v>
      </c>
      <c r="AK112" s="455">
        <f t="shared" si="211"/>
        <v>0</v>
      </c>
      <c r="AL112" s="455">
        <f t="shared" si="212"/>
        <v>0</v>
      </c>
      <c r="AM112" s="455">
        <f t="shared" si="213"/>
        <v>0</v>
      </c>
      <c r="AN112" s="455">
        <f t="shared" si="214"/>
        <v>0</v>
      </c>
      <c r="AO112" s="455">
        <f t="shared" si="215"/>
        <v>0</v>
      </c>
      <c r="AP112" s="455">
        <f t="shared" si="216"/>
        <v>0</v>
      </c>
      <c r="AQ112" s="455">
        <f t="shared" si="217"/>
        <v>0</v>
      </c>
      <c r="AR112" s="456">
        <f t="shared" si="280"/>
        <v>0</v>
      </c>
      <c r="AS112" s="457"/>
      <c r="AT112" s="455">
        <f t="shared" si="218"/>
        <v>0</v>
      </c>
      <c r="AU112" s="455">
        <f t="shared" si="219"/>
        <v>0</v>
      </c>
      <c r="AV112" s="455">
        <f t="shared" si="220"/>
        <v>0</v>
      </c>
      <c r="AW112" s="455">
        <f t="shared" si="221"/>
        <v>0</v>
      </c>
      <c r="AX112" s="455">
        <f t="shared" si="222"/>
        <v>0</v>
      </c>
      <c r="AY112" s="455">
        <f t="shared" si="223"/>
        <v>0</v>
      </c>
      <c r="AZ112" s="455">
        <f t="shared" si="224"/>
        <v>0</v>
      </c>
      <c r="BA112" s="455">
        <f t="shared" si="225"/>
        <v>0</v>
      </c>
      <c r="BB112" s="455">
        <f t="shared" si="226"/>
        <v>0</v>
      </c>
      <c r="BC112" s="455">
        <f t="shared" si="227"/>
        <v>0</v>
      </c>
      <c r="BD112" s="456">
        <f t="shared" si="281"/>
        <v>0</v>
      </c>
      <c r="BE112" s="457"/>
      <c r="BF112" s="455">
        <f t="shared" si="228"/>
        <v>0</v>
      </c>
      <c r="BG112" s="455">
        <f t="shared" si="229"/>
        <v>0</v>
      </c>
      <c r="BH112" s="455">
        <f t="shared" si="230"/>
        <v>0</v>
      </c>
      <c r="BI112" s="455">
        <f t="shared" si="231"/>
        <v>0</v>
      </c>
      <c r="BJ112" s="455">
        <f t="shared" si="232"/>
        <v>0</v>
      </c>
      <c r="BK112" s="455">
        <f t="shared" si="233"/>
        <v>0</v>
      </c>
      <c r="BL112" s="455">
        <f t="shared" si="234"/>
        <v>0</v>
      </c>
      <c r="BM112" s="455">
        <f t="shared" si="235"/>
        <v>0</v>
      </c>
      <c r="BN112" s="455">
        <f t="shared" si="236"/>
        <v>0</v>
      </c>
      <c r="BO112" s="455">
        <f t="shared" si="237"/>
        <v>0</v>
      </c>
      <c r="BP112" s="456">
        <f t="shared" si="282"/>
        <v>0</v>
      </c>
      <c r="BQ112" s="463"/>
      <c r="BR112" s="459">
        <f t="shared" si="238"/>
        <v>0</v>
      </c>
      <c r="BS112" s="459">
        <f t="shared" si="239"/>
        <v>0</v>
      </c>
      <c r="BT112" s="459">
        <f t="shared" si="240"/>
        <v>0</v>
      </c>
      <c r="BU112" s="459">
        <f t="shared" si="241"/>
        <v>0</v>
      </c>
      <c r="BV112" s="459">
        <f t="shared" si="242"/>
        <v>0</v>
      </c>
      <c r="BW112" s="459">
        <f t="shared" si="243"/>
        <v>0</v>
      </c>
      <c r="BX112" s="459">
        <f t="shared" si="244"/>
        <v>0</v>
      </c>
      <c r="BY112" s="459">
        <f t="shared" si="245"/>
        <v>0</v>
      </c>
      <c r="BZ112" s="459">
        <f t="shared" si="246"/>
        <v>0</v>
      </c>
      <c r="CA112" s="459">
        <f t="shared" si="247"/>
        <v>0</v>
      </c>
      <c r="CB112" s="460">
        <f t="shared" si="283"/>
        <v>0</v>
      </c>
      <c r="CC112" s="463"/>
      <c r="CD112" s="462">
        <f t="shared" si="248"/>
        <v>0</v>
      </c>
      <c r="CE112" s="462">
        <f t="shared" si="249"/>
        <v>0</v>
      </c>
      <c r="CF112" s="462">
        <f t="shared" si="250"/>
        <v>0</v>
      </c>
      <c r="CG112" s="462">
        <f t="shared" si="251"/>
        <v>0</v>
      </c>
      <c r="CH112" s="462">
        <f t="shared" si="252"/>
        <v>0</v>
      </c>
      <c r="CI112" s="462">
        <f t="shared" si="253"/>
        <v>0</v>
      </c>
      <c r="CJ112" s="462">
        <f t="shared" si="254"/>
        <v>0</v>
      </c>
      <c r="CK112" s="462">
        <f t="shared" si="255"/>
        <v>0</v>
      </c>
      <c r="CL112" s="462">
        <f t="shared" si="256"/>
        <v>0</v>
      </c>
      <c r="CM112" s="462">
        <f t="shared" si="257"/>
        <v>0</v>
      </c>
      <c r="CN112" s="460">
        <f t="shared" si="284"/>
        <v>0</v>
      </c>
      <c r="CO112" s="463"/>
      <c r="CP112" s="459">
        <f t="shared" si="258"/>
        <v>0</v>
      </c>
      <c r="CQ112" s="459">
        <f t="shared" si="259"/>
        <v>0</v>
      </c>
      <c r="CR112" s="459">
        <f t="shared" si="260"/>
        <v>0</v>
      </c>
      <c r="CS112" s="459">
        <f t="shared" si="261"/>
        <v>0</v>
      </c>
      <c r="CT112" s="459">
        <f t="shared" si="262"/>
        <v>0</v>
      </c>
      <c r="CU112" s="459">
        <f t="shared" si="263"/>
        <v>0</v>
      </c>
      <c r="CV112" s="459">
        <f t="shared" si="264"/>
        <v>0</v>
      </c>
      <c r="CW112" s="459">
        <f t="shared" si="265"/>
        <v>0</v>
      </c>
      <c r="CX112" s="459">
        <f t="shared" si="266"/>
        <v>0</v>
      </c>
      <c r="CY112" s="459">
        <f t="shared" si="267"/>
        <v>0</v>
      </c>
      <c r="CZ112" s="460">
        <f t="shared" si="285"/>
        <v>0</v>
      </c>
      <c r="DA112" s="463"/>
      <c r="DB112" s="459">
        <f t="shared" si="268"/>
        <v>0</v>
      </c>
      <c r="DC112" s="459">
        <f t="shared" si="269"/>
        <v>0</v>
      </c>
      <c r="DD112" s="459">
        <f t="shared" si="270"/>
        <v>0</v>
      </c>
      <c r="DE112" s="459">
        <f t="shared" si="271"/>
        <v>0</v>
      </c>
      <c r="DF112" s="459">
        <f t="shared" si="272"/>
        <v>0</v>
      </c>
      <c r="DG112" s="459">
        <f t="shared" si="273"/>
        <v>0</v>
      </c>
      <c r="DH112" s="459">
        <f t="shared" si="274"/>
        <v>0</v>
      </c>
      <c r="DI112" s="459">
        <f t="shared" si="275"/>
        <v>0</v>
      </c>
      <c r="DJ112" s="459">
        <f t="shared" si="276"/>
        <v>0</v>
      </c>
      <c r="DK112" s="459">
        <f t="shared" si="277"/>
        <v>0</v>
      </c>
      <c r="DL112" s="460">
        <f t="shared" si="286"/>
        <v>0</v>
      </c>
      <c r="DM112" s="463"/>
      <c r="DN112" s="442">
        <f>IF('2. START'!$C$14&gt;0,(AT112/(1+$AA112))*(1+'2. START'!$C$14),AT112)</f>
        <v>0</v>
      </c>
      <c r="DO112" s="442">
        <f>IF('2. START'!$C$14&gt;0,(AU112/(1+$AA112))*(1+'2. START'!$C$14),AU112)</f>
        <v>0</v>
      </c>
      <c r="DP112" s="442">
        <f>IF('2. START'!$C$14&gt;0,(AV112/(1+$AA112))*(1+'2. START'!$C$14),AV112)</f>
        <v>0</v>
      </c>
      <c r="DQ112" s="442">
        <f>IF('2. START'!$C$14&gt;0,(AW112/(1+$AA112))*(1+'2. START'!$C$14),AW112)</f>
        <v>0</v>
      </c>
      <c r="DR112" s="442">
        <f>IF('2. START'!$C$14&gt;0,(AX112/(1+$AA112))*(1+'2. START'!$C$14),AX112)</f>
        <v>0</v>
      </c>
      <c r="DS112" s="442">
        <f>IF('2. START'!$C$14&gt;0,(AY112/(1+$AA112))*(1+'2. START'!$C$14),AY112)</f>
        <v>0</v>
      </c>
      <c r="DT112" s="442">
        <f>IF('2. START'!$C$14&gt;0,(AZ112/(1+$AA112))*(1+'2. START'!$C$14),AZ112)</f>
        <v>0</v>
      </c>
      <c r="DU112" s="442">
        <f>IF('2. START'!$C$14&gt;0,(BA112/(1+$AA112))*(1+'2. START'!$C$14),BA112)</f>
        <v>0</v>
      </c>
      <c r="DV112" s="442">
        <f>IF('2. START'!$C$14&gt;0,(BB112/(1+$AA112))*(1+'2. START'!$C$14),BB112)</f>
        <v>0</v>
      </c>
      <c r="DW112" s="442">
        <f>IF('2. START'!$C$14&gt;0,(BC112/(1+$AA112))*(1+'2. START'!$C$14),BC112)</f>
        <v>0</v>
      </c>
      <c r="DX112" s="460">
        <f t="shared" si="287"/>
        <v>0</v>
      </c>
      <c r="DY112" s="463"/>
      <c r="DZ112" s="459">
        <f>IF('2. START'!$C$11="NO",(IF('2. START'!$C$14&gt;0,(DN112*$AD112),(AT112*$AD112))),(BR112+CP112))</f>
        <v>0</v>
      </c>
      <c r="EA112" s="459">
        <f>IF('2. START'!$C$11="NO",(IF('2. START'!$C$14&gt;0,(DO112*$AD112),(AU112*$AD112))),(BS112+CQ112))</f>
        <v>0</v>
      </c>
      <c r="EB112" s="459">
        <f>IF('2. START'!$C$11="NO",(IF('2. START'!$C$14&gt;0,(DP112*$AD112),(AV112*$AD112))),(BT112+CR112))</f>
        <v>0</v>
      </c>
      <c r="EC112" s="459">
        <f>IF('2. START'!$C$11="NO",(IF('2. START'!$C$14&gt;0,(DQ112*$AD112),(AW112*$AD112))),(BU112+CS112))</f>
        <v>0</v>
      </c>
      <c r="ED112" s="459">
        <f>IF('2. START'!$C$11="NO",(IF('2. START'!$C$14&gt;0,(DR112*$AD112),(AX112*$AD112))),(BV112+CT112))</f>
        <v>0</v>
      </c>
      <c r="EE112" s="459">
        <f>IF('2. START'!$C$11="NO",(IF('2. START'!$C$14&gt;0,(DS112*$AD112),(AY112*$AD112))),(BW112+CU112))</f>
        <v>0</v>
      </c>
      <c r="EF112" s="459">
        <f>IF('2. START'!$C$11="NO",(IF('2. START'!$C$14&gt;0,(DT112*$AD112),(AZ112*$AD112))),(BX112+CV112))</f>
        <v>0</v>
      </c>
      <c r="EG112" s="459">
        <f>IF('2. START'!$C$11="NO",(IF('2. START'!$C$14&gt;0,(DU112*$AD112),(BA112*$AD112))),(BY112+CW112))</f>
        <v>0</v>
      </c>
      <c r="EH112" s="459">
        <f>IF('2. START'!$C$11="NO",(IF('2. START'!$C$14&gt;0,(DV112*$AD112),(BB112*$AD112))),(BZ112+CX112))</f>
        <v>0</v>
      </c>
      <c r="EI112" s="459">
        <f>IF('2. START'!$C$11="NO",(IF('2. START'!$C$14&gt;0,(DW112*$AD112),(BC112*$AD112))),(CA112+CY112))</f>
        <v>0</v>
      </c>
      <c r="EJ112" s="460">
        <f t="shared" si="288"/>
        <v>0</v>
      </c>
      <c r="EK112" s="463"/>
      <c r="EL112" s="459">
        <f>(BR112+CP112-DZ112)+IF('2. START'!$C$14&gt;0,AT112-DN112,0)</f>
        <v>0</v>
      </c>
      <c r="EM112" s="459">
        <f>(BS112+CQ112-EA112)+IF('2. START'!$C$14&gt;0,AU112-DO112,0)</f>
        <v>0</v>
      </c>
      <c r="EN112" s="459">
        <f>(BT112+CR112-EB112)+IF('2. START'!$C$14&gt;0,AV112-DP112,0)</f>
        <v>0</v>
      </c>
      <c r="EO112" s="459">
        <f>(BU112+CS112-EC112)+IF('2. START'!$C$14&gt;0,AW112-DQ112,0)</f>
        <v>0</v>
      </c>
      <c r="EP112" s="459">
        <f>(BV112+CT112-ED112)+IF('2. START'!$C$14&gt;0,AX112-DR112,0)</f>
        <v>0</v>
      </c>
      <c r="EQ112" s="459">
        <f>(BW112+CU112-EE112)+IF('2. START'!$C$14&gt;0,AY112-DS112,0)</f>
        <v>0</v>
      </c>
      <c r="ER112" s="459">
        <f>(BX112+CV112-EF112)+IF('2. START'!$C$14&gt;0,AZ112-DT112,0)</f>
        <v>0</v>
      </c>
      <c r="ES112" s="459">
        <f>(BY112+CW112-EG112)+IF('2. START'!$C$14&gt;0,BA112-DU112,0)</f>
        <v>0</v>
      </c>
      <c r="ET112" s="459">
        <f>(BZ112+CX112-EH112)+IF('2. START'!$C$14&gt;0,BB112-DV112,0)</f>
        <v>0</v>
      </c>
      <c r="EU112" s="459">
        <f>(CA112+CY112-EI112)+IF('2. START'!$C$14&gt;0,BC112-DW112,0)</f>
        <v>0</v>
      </c>
      <c r="EV112" s="460">
        <f t="shared" si="289"/>
        <v>0</v>
      </c>
      <c r="EW112" s="463"/>
      <c r="EX112" s="459">
        <f t="shared" si="290"/>
        <v>0</v>
      </c>
      <c r="EY112" s="459">
        <f t="shared" si="291"/>
        <v>0</v>
      </c>
      <c r="EZ112" s="459">
        <f t="shared" si="292"/>
        <v>0</v>
      </c>
      <c r="FA112" s="459">
        <f t="shared" si="293"/>
        <v>0</v>
      </c>
      <c r="FB112" s="459">
        <f t="shared" si="294"/>
        <v>0</v>
      </c>
      <c r="FC112" s="459">
        <f t="shared" si="295"/>
        <v>0</v>
      </c>
      <c r="FD112" s="459">
        <f t="shared" si="296"/>
        <v>0</v>
      </c>
      <c r="FE112" s="459">
        <f t="shared" si="297"/>
        <v>0</v>
      </c>
      <c r="FF112" s="459">
        <f t="shared" si="298"/>
        <v>0</v>
      </c>
      <c r="FG112" s="459">
        <f t="shared" si="299"/>
        <v>0</v>
      </c>
      <c r="FH112" s="460">
        <f t="shared" si="300"/>
        <v>0</v>
      </c>
      <c r="FI112" s="463"/>
      <c r="FJ112" s="459">
        <f t="shared" si="301"/>
        <v>0</v>
      </c>
      <c r="FK112" s="459">
        <f t="shared" si="302"/>
        <v>0</v>
      </c>
      <c r="FL112" s="459">
        <f t="shared" si="303"/>
        <v>0</v>
      </c>
      <c r="FM112" s="459">
        <f t="shared" si="304"/>
        <v>0</v>
      </c>
      <c r="FN112" s="459">
        <f t="shared" si="305"/>
        <v>0</v>
      </c>
      <c r="FO112" s="459">
        <f t="shared" si="306"/>
        <v>0</v>
      </c>
      <c r="FP112" s="459">
        <f t="shared" si="307"/>
        <v>0</v>
      </c>
      <c r="FQ112" s="459">
        <f t="shared" si="308"/>
        <v>0</v>
      </c>
      <c r="FR112" s="459">
        <f t="shared" si="309"/>
        <v>0</v>
      </c>
      <c r="FS112" s="459">
        <f t="shared" si="310"/>
        <v>0</v>
      </c>
      <c r="FT112" s="460">
        <f t="shared" si="311"/>
        <v>0</v>
      </c>
    </row>
    <row r="113" spans="2:176" s="270" customFormat="1" ht="15" customHeight="1" x14ac:dyDescent="0.25">
      <c r="B113" s="464" t="str">
        <f>'2. START'!C$7</f>
        <v>100GEM</v>
      </c>
      <c r="C113" s="470"/>
      <c r="D113" s="590"/>
      <c r="E113" s="514">
        <v>0</v>
      </c>
      <c r="F113" s="467"/>
      <c r="G113" s="432"/>
      <c r="H113" s="432"/>
      <c r="I113" s="432"/>
      <c r="J113" s="432"/>
      <c r="K113" s="432"/>
      <c r="L113" s="432"/>
      <c r="M113" s="432"/>
      <c r="N113" s="432"/>
      <c r="O113" s="432"/>
      <c r="P113" s="432"/>
      <c r="Q113" s="545">
        <f>SUMIF('3. PARTNER'!$B$13:$B$80,$B113,'3. PARTNER'!$F$13:$F$80)</f>
        <v>0.02</v>
      </c>
      <c r="R113" s="466">
        <f t="shared" si="314"/>
        <v>0.02</v>
      </c>
      <c r="S113" s="466">
        <f t="shared" si="314"/>
        <v>0.02</v>
      </c>
      <c r="T113" s="466">
        <f t="shared" si="314"/>
        <v>0.02</v>
      </c>
      <c r="U113" s="466">
        <f t="shared" si="314"/>
        <v>0.02</v>
      </c>
      <c r="V113" s="466">
        <f t="shared" si="314"/>
        <v>0.02</v>
      </c>
      <c r="W113" s="466">
        <f t="shared" si="314"/>
        <v>0.02</v>
      </c>
      <c r="X113" s="466">
        <f t="shared" si="314"/>
        <v>0.02</v>
      </c>
      <c r="Y113" s="466">
        <f t="shared" si="314"/>
        <v>0.02</v>
      </c>
      <c r="Z113" s="466">
        <f t="shared" si="314"/>
        <v>0.02</v>
      </c>
      <c r="AA113" s="434">
        <f>SUMIF('3. PARTNER'!B$13:B$80,B113,'3. PARTNER'!E$13:E$80)</f>
        <v>0.5595</v>
      </c>
      <c r="AB113" s="435">
        <f>IF('2. START'!$C$20="UTB",(SUMIF('3. PARTNER'!B$13:B$80,B113,'3. PARTNER'!K$13:K$80))+(SUMIF('3. PARTNER'!B$13:B$80,B113,'3. PARTNER'!M$13:M$80)),(SUMIF('3. PARTNER'!B$13:B$80,B113,'3. PARTNER'!G$13:G$80))+(SUMIF('3. PARTNER'!B$13:B$80,B113,'3. PARTNER'!I$13:I$80)))</f>
        <v>0.16000843770704321</v>
      </c>
      <c r="AC113" s="435">
        <f>IF('2. START'!$C$20="UTB",(SUMIF('3. PARTNER'!B$13:B$80,B113,'3. PARTNER'!L$13:L$80))+(SUMIF('3. PARTNER'!B$13:B$80,B113,'3. PARTNER'!N$13:N$80)),(SUMIF('3. PARTNER'!B$13:B$80,B113,'3. PARTNER'!H$13:H$80))+(SUMIF('3. PARTNER'!B$13:B$80,B113,'3. PARTNER'!J$13:J$80)))</f>
        <v>0</v>
      </c>
      <c r="AD113" s="435">
        <f>IF('2. START'!C$11="NO",'2. START'!C$12,0)</f>
        <v>0</v>
      </c>
      <c r="AE113" s="436">
        <f t="shared" si="278"/>
        <v>0</v>
      </c>
      <c r="AF113" s="436">
        <f t="shared" si="279"/>
        <v>0</v>
      </c>
      <c r="AG113" s="437"/>
      <c r="AH113" s="438">
        <f t="shared" ref="AH113:AH192" si="315">$F113*G113*(1+$AA113)*(1+$Q113)</f>
        <v>0</v>
      </c>
      <c r="AI113" s="438">
        <f t="shared" ref="AI113:AI192" si="316">$F113*H113*(1+$AA113)*(1+$Q113)*(1+$R113)</f>
        <v>0</v>
      </c>
      <c r="AJ113" s="438">
        <f t="shared" ref="AJ113:AJ192" si="317">$F113*I113*(1+$AA113)*(1+$Q113)*(1+$R113)*(1+$S113)</f>
        <v>0</v>
      </c>
      <c r="AK113" s="438">
        <f t="shared" ref="AK113:AK192" si="318">$F113*J113*(1+$AA113)*(1+$Q113)*(1+$R113)*(1+$S113)*(1+$T113)</f>
        <v>0</v>
      </c>
      <c r="AL113" s="438">
        <f t="shared" ref="AL113:AL192" si="319">$F113*K113*(1+$AA113)*(1+$Q113)*(1+$R113)*(1+$S113)*(1+$T113)*(1+$U113)</f>
        <v>0</v>
      </c>
      <c r="AM113" s="438">
        <f t="shared" ref="AM113:AM192" si="320">$F113*L113*(1+$AA113)*(1+$Q113)*(1+$R113)*(1+$S113)*(1+$T113)*(1+$U113)*(1+$V113)</f>
        <v>0</v>
      </c>
      <c r="AN113" s="438">
        <f t="shared" ref="AN113:AN192" si="321">$F113*M113*(1+$AA113)*(1+$Q113)*(1+$R113)*(1+$S113)*(1+$T113)*(1+$U113)*(1+$V113)*(1+$W113)</f>
        <v>0</v>
      </c>
      <c r="AO113" s="438">
        <f t="shared" ref="AO113:AO192" si="322">$F113*N113*(1+$AA113)*(1+$Q113)*(1+$R113)*(1+$S113)*(1+$T113)*(1+$U113)*(1+$V113)*(1+$W113)*(1+$X113)</f>
        <v>0</v>
      </c>
      <c r="AP113" s="438">
        <f t="shared" ref="AP113:AP192" si="323">$F113*O113*(1+$AA113)*(1+$Q113)*(1+$R113)*(1+$S113)*(1+$T113)*(1+$U113)*(1+$V113)*(1+$W113)*(1+$X113)*(1+$Y113)</f>
        <v>0</v>
      </c>
      <c r="AQ113" s="438">
        <f t="shared" ref="AQ113:AQ192" si="324">$F113*P113*(1+$AA113)*(1+$Q113)*(1+$R113)*(1+$S113)*(1+$T113)*(1+$U113)*(1+$V113)*(1+$W113)*(1+$X113)*(1+$Y113)*(1+$Z113)</f>
        <v>0</v>
      </c>
      <c r="AR113" s="439">
        <f t="shared" si="280"/>
        <v>0</v>
      </c>
      <c r="AS113" s="440"/>
      <c r="AT113" s="438">
        <f t="shared" ref="AT113:AT192" si="325">$F113*G113*(1+$AA113)*(1+$Q113)*(1-$E113)</f>
        <v>0</v>
      </c>
      <c r="AU113" s="438">
        <f t="shared" ref="AU113:AU192" si="326">$F113*H113*(1+$AA113)*(1+$Q113)*(1+$R113)*(1-E113)</f>
        <v>0</v>
      </c>
      <c r="AV113" s="438">
        <f t="shared" ref="AV113:AV192" si="327">$F113*I113*(1+$AA113)*(1+$Q113)*(1+$R113)*(1+$S113)*(1-E113)</f>
        <v>0</v>
      </c>
      <c r="AW113" s="438">
        <f t="shared" ref="AW113:AW192" si="328">$F113*J113*(1+$AA113)*(1+$Q113)*(1+$R113)*(1+$S113)*(1+$T113)*(1-E113)</f>
        <v>0</v>
      </c>
      <c r="AX113" s="438">
        <f t="shared" ref="AX113:AX192" si="329">$F113*K113*(1+$AA113)*(1+$Q113)*(1+$R113)*(1+$S113)*(1+$T113)*(1+$U113)*(1-E113)</f>
        <v>0</v>
      </c>
      <c r="AY113" s="438">
        <f t="shared" ref="AY113:AY192" si="330">$F113*L113*(1+$AA113)*(1+$Q113)*(1+$R113)*(1+$S113)*(1+$T113)*(1+$U113)*(1+$V113)*(1-E113)</f>
        <v>0</v>
      </c>
      <c r="AZ113" s="438">
        <f t="shared" ref="AZ113:AZ192" si="331">$F113*M113*(1+$AA113)*(1+$Q113)*(1+$R113)*(1+$S113)*(1+$T113)*(1+$U113)*(1+$V113)*(1+$W113)*(1-E113)</f>
        <v>0</v>
      </c>
      <c r="BA113" s="438">
        <f t="shared" ref="BA113:BA192" si="332">$F113*N113*(1+$AA113)*(1+$Q113)*(1+$R113)*(1+$S113)*(1+$T113)*(1+$U113)*(1+$V113)*(1+$W113)*(1+$X113)*(1-E113)</f>
        <v>0</v>
      </c>
      <c r="BB113" s="438">
        <f t="shared" ref="BB113:BB192" si="333">$F113*O113*(1+$AA113)*(1+$Q113)*(1+$R113)*(1+$S113)*(1+$T113)*(1+$U113)*(1+$V113)*(1+$W113)*(1+$X113)*(1+$Y113)*(1-E113)</f>
        <v>0</v>
      </c>
      <c r="BC113" s="438">
        <f t="shared" ref="BC113:BC192" si="334">$F113*P113*(1+$AA113)*(1+$Q113)*(1+$R113)*(1+$S113)*(1+$T113)*(1+$U113)*(1+$V113)*(1+$W113)*(1+$X113)*(1+$Y113)*(1+$Z113)*(1-E113)</f>
        <v>0</v>
      </c>
      <c r="BD113" s="439">
        <f t="shared" si="281"/>
        <v>0</v>
      </c>
      <c r="BE113" s="440"/>
      <c r="BF113" s="438">
        <f t="shared" ref="BF113:BF192" si="335">$F113*G113*(1+$AA113)*(1+$Q113)*($E113)</f>
        <v>0</v>
      </c>
      <c r="BG113" s="438">
        <f t="shared" ref="BG113:BG192" si="336">$F113*H113*(1+$AA113)*(1+$Q113)*(1+$R113)*($E113)</f>
        <v>0</v>
      </c>
      <c r="BH113" s="438">
        <f t="shared" ref="BH113:BH192" si="337">$F113*I113*(1+$AA113)*(1+$Q113)*(1+$R113)*(1+$S113)*($E113)</f>
        <v>0</v>
      </c>
      <c r="BI113" s="438">
        <f t="shared" ref="BI113:BI192" si="338">$F113*J113*(1+$AA113)*(1+$Q113)*(1+$R113)*(1+$S113)*(1+$T113)*($E113)</f>
        <v>0</v>
      </c>
      <c r="BJ113" s="438">
        <f t="shared" ref="BJ113:BJ192" si="339">$F113*K113*(1+$AA113)*(1+$Q113)*(1+$R113)*(1+$S113)*(1+$T113)*(1+$U113)*($E113)</f>
        <v>0</v>
      </c>
      <c r="BK113" s="438">
        <f t="shared" ref="BK113:BK192" si="340">$F113*L113*(1+$AA113)*(1+$Q113)*(1+$R113)*(1+$S113)*(1+$T113)*(1+$U113)*(1+$V113)*($E113)</f>
        <v>0</v>
      </c>
      <c r="BL113" s="438">
        <f t="shared" ref="BL113:BL192" si="341">$F113*M113*(1+$AA113)*(1+$Q113)*(1+$R113)*(1+$S113)*(1+$T113)*(1+$U113)*(1+$V113)*(1+$W113)*($E113)</f>
        <v>0</v>
      </c>
      <c r="BM113" s="438">
        <f t="shared" ref="BM113:BM192" si="342">$F113*N113*(1+$AA113)*(1+$Q113)*(1+$R113)*(1+$S113)*(1+$T113)*(1+$U113)*(1+$V113)*(1+$W113)*(1+$X113)*($E113)</f>
        <v>0</v>
      </c>
      <c r="BN113" s="438">
        <f t="shared" ref="BN113:BN192" si="343">$F113*O113*(1+$AA113)*(1+$Q113)*(1+$R113)*(1+$S113)*(1+$T113)*(1+$U113)*(1+$V113)*(1+$W113)*(1+$X113)*(1+$Y113)*($E113)</f>
        <v>0</v>
      </c>
      <c r="BO113" s="438">
        <f t="shared" ref="BO113:BO192" si="344">$F113*P113*(1+$AA113)*(1+$Q113)*(1+$R113)*(1+$S113)*(1+$T113)*(1+$U113)*(1+$V113)*(1+$W113)*(1+$X113)*(1+$Y113)*(1+$Z113)*($E113)</f>
        <v>0</v>
      </c>
      <c r="BP113" s="439">
        <f t="shared" si="282"/>
        <v>0</v>
      </c>
      <c r="BR113" s="442">
        <f t="shared" ref="BR113:BR192" si="345">$AB113*AT113</f>
        <v>0</v>
      </c>
      <c r="BS113" s="442">
        <f t="shared" ref="BS113:BS192" si="346">$AB113*AU113</f>
        <v>0</v>
      </c>
      <c r="BT113" s="442">
        <f t="shared" ref="BT113:BT192" si="347">$AB113*AV113</f>
        <v>0</v>
      </c>
      <c r="BU113" s="442">
        <f t="shared" ref="BU113:BU192" si="348">$AB113*AW113</f>
        <v>0</v>
      </c>
      <c r="BV113" s="442">
        <f t="shared" ref="BV113:BV192" si="349">$AB113*AX113</f>
        <v>0</v>
      </c>
      <c r="BW113" s="442">
        <f t="shared" ref="BW113:BW192" si="350">$AB113*AY113</f>
        <v>0</v>
      </c>
      <c r="BX113" s="442">
        <f t="shared" ref="BX113:BX192" si="351">$AB113*AZ113</f>
        <v>0</v>
      </c>
      <c r="BY113" s="442">
        <f t="shared" ref="BY113:BY192" si="352">$AB113*BA113</f>
        <v>0</v>
      </c>
      <c r="BZ113" s="442">
        <f t="shared" ref="BZ113:BZ192" si="353">$AB113*BB113</f>
        <v>0</v>
      </c>
      <c r="CA113" s="442">
        <f t="shared" ref="CA113:CA192" si="354">$AB113*BC113</f>
        <v>0</v>
      </c>
      <c r="CB113" s="443">
        <f t="shared" si="283"/>
        <v>0</v>
      </c>
      <c r="CD113" s="445">
        <f t="shared" ref="CD113:CD192" si="355">$AB113*BF113</f>
        <v>0</v>
      </c>
      <c r="CE113" s="445">
        <f t="shared" ref="CE113:CE192" si="356">$AB113*BG113</f>
        <v>0</v>
      </c>
      <c r="CF113" s="445">
        <f t="shared" ref="CF113:CF192" si="357">$AB113*BH113</f>
        <v>0</v>
      </c>
      <c r="CG113" s="445">
        <f t="shared" ref="CG113:CG192" si="358">$AB113*BI113</f>
        <v>0</v>
      </c>
      <c r="CH113" s="445">
        <f t="shared" ref="CH113:CH192" si="359">$AB113*BJ113</f>
        <v>0</v>
      </c>
      <c r="CI113" s="445">
        <f t="shared" ref="CI113:CI192" si="360">$AB113*BK113</f>
        <v>0</v>
      </c>
      <c r="CJ113" s="445">
        <f t="shared" ref="CJ113:CJ192" si="361">$AB113*BL113</f>
        <v>0</v>
      </c>
      <c r="CK113" s="445">
        <f t="shared" ref="CK113:CK192" si="362">$AB113*BM113</f>
        <v>0</v>
      </c>
      <c r="CL113" s="445">
        <f t="shared" ref="CL113:CL192" si="363">$AB113*BN113</f>
        <v>0</v>
      </c>
      <c r="CM113" s="445">
        <f t="shared" ref="CM113:CM192" si="364">$AB113*BO113</f>
        <v>0</v>
      </c>
      <c r="CN113" s="443">
        <f t="shared" si="284"/>
        <v>0</v>
      </c>
      <c r="CP113" s="442">
        <f t="shared" ref="CP113:CP192" si="365">$AC113*AT113</f>
        <v>0</v>
      </c>
      <c r="CQ113" s="442">
        <f t="shared" ref="CQ113:CQ192" si="366">$AC113*AU113</f>
        <v>0</v>
      </c>
      <c r="CR113" s="442">
        <f t="shared" ref="CR113:CR192" si="367">$AC113*AV113</f>
        <v>0</v>
      </c>
      <c r="CS113" s="442">
        <f t="shared" ref="CS113:CS192" si="368">$AC113*AW113</f>
        <v>0</v>
      </c>
      <c r="CT113" s="442">
        <f t="shared" ref="CT113:CT192" si="369">$AC113*AX113</f>
        <v>0</v>
      </c>
      <c r="CU113" s="442">
        <f t="shared" ref="CU113:CU192" si="370">$AC113*AY113</f>
        <v>0</v>
      </c>
      <c r="CV113" s="442">
        <f t="shared" ref="CV113:CV192" si="371">$AC113*AZ113</f>
        <v>0</v>
      </c>
      <c r="CW113" s="442">
        <f t="shared" ref="CW113:CW192" si="372">$AC113*BA113</f>
        <v>0</v>
      </c>
      <c r="CX113" s="442">
        <f t="shared" ref="CX113:CX192" si="373">$AC113*BB113</f>
        <v>0</v>
      </c>
      <c r="CY113" s="442">
        <f t="shared" ref="CY113:CY192" si="374">$AC113*BC113</f>
        <v>0</v>
      </c>
      <c r="CZ113" s="443">
        <f t="shared" si="285"/>
        <v>0</v>
      </c>
      <c r="DB113" s="442">
        <f t="shared" ref="DB113:DB192" si="375">$AC113*BF113</f>
        <v>0</v>
      </c>
      <c r="DC113" s="442">
        <f t="shared" ref="DC113:DC192" si="376">$AC113*BG113</f>
        <v>0</v>
      </c>
      <c r="DD113" s="442">
        <f t="shared" ref="DD113:DD192" si="377">$AC113*BH113</f>
        <v>0</v>
      </c>
      <c r="DE113" s="442">
        <f t="shared" ref="DE113:DE192" si="378">$AC113*BI113</f>
        <v>0</v>
      </c>
      <c r="DF113" s="442">
        <f t="shared" ref="DF113:DF192" si="379">$AC113*BJ113</f>
        <v>0</v>
      </c>
      <c r="DG113" s="442">
        <f t="shared" ref="DG113:DG192" si="380">$AC113*BK113</f>
        <v>0</v>
      </c>
      <c r="DH113" s="442">
        <f t="shared" ref="DH113:DH192" si="381">$AC113*BL113</f>
        <v>0</v>
      </c>
      <c r="DI113" s="442">
        <f t="shared" ref="DI113:DI192" si="382">$AC113*BM113</f>
        <v>0</v>
      </c>
      <c r="DJ113" s="442">
        <f t="shared" ref="DJ113:DJ192" si="383">$AC113*BN113</f>
        <v>0</v>
      </c>
      <c r="DK113" s="442">
        <f t="shared" ref="DK113:DK192" si="384">$AC113*BO113</f>
        <v>0</v>
      </c>
      <c r="DL113" s="443">
        <f t="shared" si="286"/>
        <v>0</v>
      </c>
      <c r="DN113" s="442">
        <f>IF('2. START'!$C$14&gt;0,(AT113/(1+$AA113))*(1+'2. START'!$C$14),AT113)</f>
        <v>0</v>
      </c>
      <c r="DO113" s="442">
        <f>IF('2. START'!$C$14&gt;0,(AU113/(1+$AA113))*(1+'2. START'!$C$14),AU113)</f>
        <v>0</v>
      </c>
      <c r="DP113" s="442">
        <f>IF('2. START'!$C$14&gt;0,(AV113/(1+$AA113))*(1+'2. START'!$C$14),AV113)</f>
        <v>0</v>
      </c>
      <c r="DQ113" s="442">
        <f>IF('2. START'!$C$14&gt;0,(AW113/(1+$AA113))*(1+'2. START'!$C$14),AW113)</f>
        <v>0</v>
      </c>
      <c r="DR113" s="442">
        <f>IF('2. START'!$C$14&gt;0,(AX113/(1+$AA113))*(1+'2. START'!$C$14),AX113)</f>
        <v>0</v>
      </c>
      <c r="DS113" s="442">
        <f>IF('2. START'!$C$14&gt;0,(AY113/(1+$AA113))*(1+'2. START'!$C$14),AY113)</f>
        <v>0</v>
      </c>
      <c r="DT113" s="442">
        <f>IF('2. START'!$C$14&gt;0,(AZ113/(1+$AA113))*(1+'2. START'!$C$14),AZ113)</f>
        <v>0</v>
      </c>
      <c r="DU113" s="442">
        <f>IF('2. START'!$C$14&gt;0,(BA113/(1+$AA113))*(1+'2. START'!$C$14),BA113)</f>
        <v>0</v>
      </c>
      <c r="DV113" s="442">
        <f>IF('2. START'!$C$14&gt;0,(BB113/(1+$AA113))*(1+'2. START'!$C$14),BB113)</f>
        <v>0</v>
      </c>
      <c r="DW113" s="442">
        <f>IF('2. START'!$C$14&gt;0,(BC113/(1+$AA113))*(1+'2. START'!$C$14),BC113)</f>
        <v>0</v>
      </c>
      <c r="DX113" s="443">
        <f t="shared" si="287"/>
        <v>0</v>
      </c>
      <c r="DZ113" s="442">
        <f>IF('2. START'!$C$11="NO",(IF('2. START'!$C$14&gt;0,(DN113*$AD113),(AT113*$AD113))),(BR113+CP113))</f>
        <v>0</v>
      </c>
      <c r="EA113" s="442">
        <f>IF('2. START'!$C$11="NO",(IF('2. START'!$C$14&gt;0,(DO113*$AD113),(AU113*$AD113))),(BS113+CQ113))</f>
        <v>0</v>
      </c>
      <c r="EB113" s="442">
        <f>IF('2. START'!$C$11="NO",(IF('2. START'!$C$14&gt;0,(DP113*$AD113),(AV113*$AD113))),(BT113+CR113))</f>
        <v>0</v>
      </c>
      <c r="EC113" s="442">
        <f>IF('2. START'!$C$11="NO",(IF('2. START'!$C$14&gt;0,(DQ113*$AD113),(AW113*$AD113))),(BU113+CS113))</f>
        <v>0</v>
      </c>
      <c r="ED113" s="442">
        <f>IF('2. START'!$C$11="NO",(IF('2. START'!$C$14&gt;0,(DR113*$AD113),(AX113*$AD113))),(BV113+CT113))</f>
        <v>0</v>
      </c>
      <c r="EE113" s="442">
        <f>IF('2. START'!$C$11="NO",(IF('2. START'!$C$14&gt;0,(DS113*$AD113),(AY113*$AD113))),(BW113+CU113))</f>
        <v>0</v>
      </c>
      <c r="EF113" s="442">
        <f>IF('2. START'!$C$11="NO",(IF('2. START'!$C$14&gt;0,(DT113*$AD113),(AZ113*$AD113))),(BX113+CV113))</f>
        <v>0</v>
      </c>
      <c r="EG113" s="442">
        <f>IF('2. START'!$C$11="NO",(IF('2. START'!$C$14&gt;0,(DU113*$AD113),(BA113*$AD113))),(BY113+CW113))</f>
        <v>0</v>
      </c>
      <c r="EH113" s="442">
        <f>IF('2. START'!$C$11="NO",(IF('2. START'!$C$14&gt;0,(DV113*$AD113),(BB113*$AD113))),(BZ113+CX113))</f>
        <v>0</v>
      </c>
      <c r="EI113" s="442">
        <f>IF('2. START'!$C$11="NO",(IF('2. START'!$C$14&gt;0,(DW113*$AD113),(BC113*$AD113))),(CA113+CY113))</f>
        <v>0</v>
      </c>
      <c r="EJ113" s="443">
        <f t="shared" si="288"/>
        <v>0</v>
      </c>
      <c r="EL113" s="442">
        <f>(BR113+CP113-DZ113)+IF('2. START'!$C$14&gt;0,AT113-DN113,0)</f>
        <v>0</v>
      </c>
      <c r="EM113" s="442">
        <f>(BS113+CQ113-EA113)+IF('2. START'!$C$14&gt;0,AU113-DO113,0)</f>
        <v>0</v>
      </c>
      <c r="EN113" s="442">
        <f>(BT113+CR113-EB113)+IF('2. START'!$C$14&gt;0,AV113-DP113,0)</f>
        <v>0</v>
      </c>
      <c r="EO113" s="442">
        <f>(BU113+CS113-EC113)+IF('2. START'!$C$14&gt;0,AW113-DQ113,0)</f>
        <v>0</v>
      </c>
      <c r="EP113" s="442">
        <f>(BV113+CT113-ED113)+IF('2. START'!$C$14&gt;0,AX113-DR113,0)</f>
        <v>0</v>
      </c>
      <c r="EQ113" s="442">
        <f>(BW113+CU113-EE113)+IF('2. START'!$C$14&gt;0,AY113-DS113,0)</f>
        <v>0</v>
      </c>
      <c r="ER113" s="442">
        <f>(BX113+CV113-EF113)+IF('2. START'!$C$14&gt;0,AZ113-DT113,0)</f>
        <v>0</v>
      </c>
      <c r="ES113" s="442">
        <f>(BY113+CW113-EG113)+IF('2. START'!$C$14&gt;0,BA113-DU113,0)</f>
        <v>0</v>
      </c>
      <c r="ET113" s="442">
        <f>(BZ113+CX113-EH113)+IF('2. START'!$C$14&gt;0,BB113-DV113,0)</f>
        <v>0</v>
      </c>
      <c r="EU113" s="442">
        <f>(CA113+CY113-EI113)+IF('2. START'!$C$14&gt;0,BC113-DW113,0)</f>
        <v>0</v>
      </c>
      <c r="EV113" s="443">
        <f t="shared" si="289"/>
        <v>0</v>
      </c>
      <c r="EX113" s="442">
        <f t="shared" si="290"/>
        <v>0</v>
      </c>
      <c r="EY113" s="442">
        <f t="shared" si="291"/>
        <v>0</v>
      </c>
      <c r="EZ113" s="442">
        <f t="shared" si="292"/>
        <v>0</v>
      </c>
      <c r="FA113" s="442">
        <f t="shared" si="293"/>
        <v>0</v>
      </c>
      <c r="FB113" s="442">
        <f t="shared" si="294"/>
        <v>0</v>
      </c>
      <c r="FC113" s="442">
        <f t="shared" si="295"/>
        <v>0</v>
      </c>
      <c r="FD113" s="442">
        <f t="shared" si="296"/>
        <v>0</v>
      </c>
      <c r="FE113" s="442">
        <f t="shared" si="297"/>
        <v>0</v>
      </c>
      <c r="FF113" s="442">
        <f t="shared" si="298"/>
        <v>0</v>
      </c>
      <c r="FG113" s="442">
        <f t="shared" si="299"/>
        <v>0</v>
      </c>
      <c r="FH113" s="443">
        <f t="shared" si="300"/>
        <v>0</v>
      </c>
      <c r="FJ113" s="442">
        <f t="shared" si="301"/>
        <v>0</v>
      </c>
      <c r="FK113" s="442">
        <f t="shared" si="302"/>
        <v>0</v>
      </c>
      <c r="FL113" s="442">
        <f t="shared" si="303"/>
        <v>0</v>
      </c>
      <c r="FM113" s="442">
        <f t="shared" si="304"/>
        <v>0</v>
      </c>
      <c r="FN113" s="442">
        <f t="shared" si="305"/>
        <v>0</v>
      </c>
      <c r="FO113" s="442">
        <f t="shared" si="306"/>
        <v>0</v>
      </c>
      <c r="FP113" s="442">
        <f t="shared" si="307"/>
        <v>0</v>
      </c>
      <c r="FQ113" s="442">
        <f t="shared" si="308"/>
        <v>0</v>
      </c>
      <c r="FR113" s="442">
        <f t="shared" si="309"/>
        <v>0</v>
      </c>
      <c r="FS113" s="442">
        <f t="shared" si="310"/>
        <v>0</v>
      </c>
      <c r="FT113" s="443">
        <f t="shared" si="311"/>
        <v>0</v>
      </c>
    </row>
    <row r="114" spans="2:176" s="270" customFormat="1" ht="15" customHeight="1" x14ac:dyDescent="0.25">
      <c r="B114" s="446" t="str">
        <f>'2. START'!C$7</f>
        <v>100GEM</v>
      </c>
      <c r="C114" s="469"/>
      <c r="D114" s="589"/>
      <c r="E114" s="544">
        <v>0</v>
      </c>
      <c r="F114" s="448"/>
      <c r="G114" s="449"/>
      <c r="H114" s="449"/>
      <c r="I114" s="449"/>
      <c r="J114" s="449"/>
      <c r="K114" s="449"/>
      <c r="L114" s="449"/>
      <c r="M114" s="449"/>
      <c r="N114" s="449"/>
      <c r="O114" s="449"/>
      <c r="P114" s="449"/>
      <c r="Q114" s="546">
        <f>SUMIF('3. PARTNER'!$B$13:$B$80,$B114,'3. PARTNER'!$F$13:$F$80)</f>
        <v>0.02</v>
      </c>
      <c r="R114" s="450">
        <f t="shared" si="314"/>
        <v>0.02</v>
      </c>
      <c r="S114" s="450">
        <f t="shared" si="314"/>
        <v>0.02</v>
      </c>
      <c r="T114" s="450">
        <f t="shared" si="314"/>
        <v>0.02</v>
      </c>
      <c r="U114" s="450">
        <f t="shared" si="314"/>
        <v>0.02</v>
      </c>
      <c r="V114" s="450">
        <f t="shared" si="314"/>
        <v>0.02</v>
      </c>
      <c r="W114" s="450">
        <f t="shared" si="314"/>
        <v>0.02</v>
      </c>
      <c r="X114" s="450">
        <f t="shared" si="314"/>
        <v>0.02</v>
      </c>
      <c r="Y114" s="450">
        <f t="shared" si="314"/>
        <v>0.02</v>
      </c>
      <c r="Z114" s="450">
        <f t="shared" si="314"/>
        <v>0.02</v>
      </c>
      <c r="AA114" s="451">
        <f>SUMIF('3. PARTNER'!B$13:B$80,B114,'3. PARTNER'!E$13:E$80)</f>
        <v>0.5595</v>
      </c>
      <c r="AB114" s="452">
        <f>IF('2. START'!$C$20="UTB",(SUMIF('3. PARTNER'!B$13:B$80,B114,'3. PARTNER'!K$13:K$80))+(SUMIF('3. PARTNER'!B$13:B$80,B114,'3. PARTNER'!M$13:M$80)),(SUMIF('3. PARTNER'!B$13:B$80,B114,'3. PARTNER'!G$13:G$80))+(SUMIF('3. PARTNER'!B$13:B$80,B114,'3. PARTNER'!I$13:I$80)))</f>
        <v>0.16000843770704321</v>
      </c>
      <c r="AC114" s="452">
        <f>IF('2. START'!$C$20="UTB",(SUMIF('3. PARTNER'!B$13:B$80,B114,'3. PARTNER'!L$13:L$80))+(SUMIF('3. PARTNER'!B$13:B$80,B114,'3. PARTNER'!N$13:N$80)),(SUMIF('3. PARTNER'!B$13:B$80,B114,'3. PARTNER'!H$13:H$80))+(SUMIF('3. PARTNER'!B$13:B$80,B114,'3. PARTNER'!J$13:J$80)))</f>
        <v>0</v>
      </c>
      <c r="AD114" s="452">
        <f>IF('2. START'!C$11="NO",'2. START'!C$12,0)</f>
        <v>0</v>
      </c>
      <c r="AE114" s="453">
        <f t="shared" si="278"/>
        <v>0</v>
      </c>
      <c r="AF114" s="453">
        <f t="shared" si="279"/>
        <v>0</v>
      </c>
      <c r="AG114" s="454"/>
      <c r="AH114" s="455">
        <f t="shared" si="315"/>
        <v>0</v>
      </c>
      <c r="AI114" s="455">
        <f t="shared" si="316"/>
        <v>0</v>
      </c>
      <c r="AJ114" s="455">
        <f t="shared" si="317"/>
        <v>0</v>
      </c>
      <c r="AK114" s="455">
        <f t="shared" si="318"/>
        <v>0</v>
      </c>
      <c r="AL114" s="455">
        <f t="shared" si="319"/>
        <v>0</v>
      </c>
      <c r="AM114" s="455">
        <f t="shared" si="320"/>
        <v>0</v>
      </c>
      <c r="AN114" s="455">
        <f t="shared" si="321"/>
        <v>0</v>
      </c>
      <c r="AO114" s="455">
        <f t="shared" si="322"/>
        <v>0</v>
      </c>
      <c r="AP114" s="455">
        <f t="shared" si="323"/>
        <v>0</v>
      </c>
      <c r="AQ114" s="455">
        <f t="shared" si="324"/>
        <v>0</v>
      </c>
      <c r="AR114" s="456">
        <f t="shared" si="280"/>
        <v>0</v>
      </c>
      <c r="AS114" s="457"/>
      <c r="AT114" s="455">
        <f t="shared" si="325"/>
        <v>0</v>
      </c>
      <c r="AU114" s="455">
        <f t="shared" si="326"/>
        <v>0</v>
      </c>
      <c r="AV114" s="455">
        <f t="shared" si="327"/>
        <v>0</v>
      </c>
      <c r="AW114" s="455">
        <f t="shared" si="328"/>
        <v>0</v>
      </c>
      <c r="AX114" s="455">
        <f t="shared" si="329"/>
        <v>0</v>
      </c>
      <c r="AY114" s="455">
        <f t="shared" si="330"/>
        <v>0</v>
      </c>
      <c r="AZ114" s="455">
        <f t="shared" si="331"/>
        <v>0</v>
      </c>
      <c r="BA114" s="455">
        <f t="shared" si="332"/>
        <v>0</v>
      </c>
      <c r="BB114" s="455">
        <f t="shared" si="333"/>
        <v>0</v>
      </c>
      <c r="BC114" s="455">
        <f t="shared" si="334"/>
        <v>0</v>
      </c>
      <c r="BD114" s="456">
        <f t="shared" si="281"/>
        <v>0</v>
      </c>
      <c r="BE114" s="457"/>
      <c r="BF114" s="455">
        <f t="shared" si="335"/>
        <v>0</v>
      </c>
      <c r="BG114" s="455">
        <f t="shared" si="336"/>
        <v>0</v>
      </c>
      <c r="BH114" s="455">
        <f t="shared" si="337"/>
        <v>0</v>
      </c>
      <c r="BI114" s="455">
        <f t="shared" si="338"/>
        <v>0</v>
      </c>
      <c r="BJ114" s="455">
        <f t="shared" si="339"/>
        <v>0</v>
      </c>
      <c r="BK114" s="455">
        <f t="shared" si="340"/>
        <v>0</v>
      </c>
      <c r="BL114" s="455">
        <f t="shared" si="341"/>
        <v>0</v>
      </c>
      <c r="BM114" s="455">
        <f t="shared" si="342"/>
        <v>0</v>
      </c>
      <c r="BN114" s="455">
        <f t="shared" si="343"/>
        <v>0</v>
      </c>
      <c r="BO114" s="455">
        <f t="shared" si="344"/>
        <v>0</v>
      </c>
      <c r="BP114" s="456">
        <f t="shared" si="282"/>
        <v>0</v>
      </c>
      <c r="BQ114" s="463"/>
      <c r="BR114" s="459">
        <f t="shared" si="345"/>
        <v>0</v>
      </c>
      <c r="BS114" s="459">
        <f t="shared" si="346"/>
        <v>0</v>
      </c>
      <c r="BT114" s="459">
        <f t="shared" si="347"/>
        <v>0</v>
      </c>
      <c r="BU114" s="459">
        <f t="shared" si="348"/>
        <v>0</v>
      </c>
      <c r="BV114" s="459">
        <f t="shared" si="349"/>
        <v>0</v>
      </c>
      <c r="BW114" s="459">
        <f t="shared" si="350"/>
        <v>0</v>
      </c>
      <c r="BX114" s="459">
        <f t="shared" si="351"/>
        <v>0</v>
      </c>
      <c r="BY114" s="459">
        <f t="shared" si="352"/>
        <v>0</v>
      </c>
      <c r="BZ114" s="459">
        <f t="shared" si="353"/>
        <v>0</v>
      </c>
      <c r="CA114" s="459">
        <f t="shared" si="354"/>
        <v>0</v>
      </c>
      <c r="CB114" s="460">
        <f t="shared" si="283"/>
        <v>0</v>
      </c>
      <c r="CC114" s="463"/>
      <c r="CD114" s="462">
        <f t="shared" si="355"/>
        <v>0</v>
      </c>
      <c r="CE114" s="462">
        <f t="shared" si="356"/>
        <v>0</v>
      </c>
      <c r="CF114" s="462">
        <f t="shared" si="357"/>
        <v>0</v>
      </c>
      <c r="CG114" s="462">
        <f t="shared" si="358"/>
        <v>0</v>
      </c>
      <c r="CH114" s="462">
        <f t="shared" si="359"/>
        <v>0</v>
      </c>
      <c r="CI114" s="462">
        <f t="shared" si="360"/>
        <v>0</v>
      </c>
      <c r="CJ114" s="462">
        <f t="shared" si="361"/>
        <v>0</v>
      </c>
      <c r="CK114" s="462">
        <f t="shared" si="362"/>
        <v>0</v>
      </c>
      <c r="CL114" s="462">
        <f t="shared" si="363"/>
        <v>0</v>
      </c>
      <c r="CM114" s="462">
        <f t="shared" si="364"/>
        <v>0</v>
      </c>
      <c r="CN114" s="460">
        <f t="shared" si="284"/>
        <v>0</v>
      </c>
      <c r="CO114" s="463"/>
      <c r="CP114" s="459">
        <f t="shared" si="365"/>
        <v>0</v>
      </c>
      <c r="CQ114" s="459">
        <f t="shared" si="366"/>
        <v>0</v>
      </c>
      <c r="CR114" s="459">
        <f t="shared" si="367"/>
        <v>0</v>
      </c>
      <c r="CS114" s="459">
        <f t="shared" si="368"/>
        <v>0</v>
      </c>
      <c r="CT114" s="459">
        <f t="shared" si="369"/>
        <v>0</v>
      </c>
      <c r="CU114" s="459">
        <f t="shared" si="370"/>
        <v>0</v>
      </c>
      <c r="CV114" s="459">
        <f t="shared" si="371"/>
        <v>0</v>
      </c>
      <c r="CW114" s="459">
        <f t="shared" si="372"/>
        <v>0</v>
      </c>
      <c r="CX114" s="459">
        <f t="shared" si="373"/>
        <v>0</v>
      </c>
      <c r="CY114" s="459">
        <f t="shared" si="374"/>
        <v>0</v>
      </c>
      <c r="CZ114" s="460">
        <f t="shared" si="285"/>
        <v>0</v>
      </c>
      <c r="DA114" s="463"/>
      <c r="DB114" s="459">
        <f t="shared" si="375"/>
        <v>0</v>
      </c>
      <c r="DC114" s="459">
        <f t="shared" si="376"/>
        <v>0</v>
      </c>
      <c r="DD114" s="459">
        <f t="shared" si="377"/>
        <v>0</v>
      </c>
      <c r="DE114" s="459">
        <f t="shared" si="378"/>
        <v>0</v>
      </c>
      <c r="DF114" s="459">
        <f t="shared" si="379"/>
        <v>0</v>
      </c>
      <c r="DG114" s="459">
        <f t="shared" si="380"/>
        <v>0</v>
      </c>
      <c r="DH114" s="459">
        <f t="shared" si="381"/>
        <v>0</v>
      </c>
      <c r="DI114" s="459">
        <f t="shared" si="382"/>
        <v>0</v>
      </c>
      <c r="DJ114" s="459">
        <f t="shared" si="383"/>
        <v>0</v>
      </c>
      <c r="DK114" s="459">
        <f t="shared" si="384"/>
        <v>0</v>
      </c>
      <c r="DL114" s="460">
        <f t="shared" si="286"/>
        <v>0</v>
      </c>
      <c r="DM114" s="463"/>
      <c r="DN114" s="442">
        <f>IF('2. START'!$C$14&gt;0,(AT114/(1+$AA114))*(1+'2. START'!$C$14),AT114)</f>
        <v>0</v>
      </c>
      <c r="DO114" s="442">
        <f>IF('2. START'!$C$14&gt;0,(AU114/(1+$AA114))*(1+'2. START'!$C$14),AU114)</f>
        <v>0</v>
      </c>
      <c r="DP114" s="442">
        <f>IF('2. START'!$C$14&gt;0,(AV114/(1+$AA114))*(1+'2. START'!$C$14),AV114)</f>
        <v>0</v>
      </c>
      <c r="DQ114" s="442">
        <f>IF('2. START'!$C$14&gt;0,(AW114/(1+$AA114))*(1+'2. START'!$C$14),AW114)</f>
        <v>0</v>
      </c>
      <c r="DR114" s="442">
        <f>IF('2. START'!$C$14&gt;0,(AX114/(1+$AA114))*(1+'2. START'!$C$14),AX114)</f>
        <v>0</v>
      </c>
      <c r="DS114" s="442">
        <f>IF('2. START'!$C$14&gt;0,(AY114/(1+$AA114))*(1+'2. START'!$C$14),AY114)</f>
        <v>0</v>
      </c>
      <c r="DT114" s="442">
        <f>IF('2. START'!$C$14&gt;0,(AZ114/(1+$AA114))*(1+'2. START'!$C$14),AZ114)</f>
        <v>0</v>
      </c>
      <c r="DU114" s="442">
        <f>IF('2. START'!$C$14&gt;0,(BA114/(1+$AA114))*(1+'2. START'!$C$14),BA114)</f>
        <v>0</v>
      </c>
      <c r="DV114" s="442">
        <f>IF('2. START'!$C$14&gt;0,(BB114/(1+$AA114))*(1+'2. START'!$C$14),BB114)</f>
        <v>0</v>
      </c>
      <c r="DW114" s="442">
        <f>IF('2. START'!$C$14&gt;0,(BC114/(1+$AA114))*(1+'2. START'!$C$14),BC114)</f>
        <v>0</v>
      </c>
      <c r="DX114" s="460">
        <f t="shared" si="287"/>
        <v>0</v>
      </c>
      <c r="DY114" s="463"/>
      <c r="DZ114" s="459">
        <f>IF('2. START'!$C$11="NO",(IF('2. START'!$C$14&gt;0,(DN114*$AD114),(AT114*$AD114))),(BR114+CP114))</f>
        <v>0</v>
      </c>
      <c r="EA114" s="459">
        <f>IF('2. START'!$C$11="NO",(IF('2. START'!$C$14&gt;0,(DO114*$AD114),(AU114*$AD114))),(BS114+CQ114))</f>
        <v>0</v>
      </c>
      <c r="EB114" s="459">
        <f>IF('2. START'!$C$11="NO",(IF('2. START'!$C$14&gt;0,(DP114*$AD114),(AV114*$AD114))),(BT114+CR114))</f>
        <v>0</v>
      </c>
      <c r="EC114" s="459">
        <f>IF('2. START'!$C$11="NO",(IF('2. START'!$C$14&gt;0,(DQ114*$AD114),(AW114*$AD114))),(BU114+CS114))</f>
        <v>0</v>
      </c>
      <c r="ED114" s="459">
        <f>IF('2. START'!$C$11="NO",(IF('2. START'!$C$14&gt;0,(DR114*$AD114),(AX114*$AD114))),(BV114+CT114))</f>
        <v>0</v>
      </c>
      <c r="EE114" s="459">
        <f>IF('2. START'!$C$11="NO",(IF('2. START'!$C$14&gt;0,(DS114*$AD114),(AY114*$AD114))),(BW114+CU114))</f>
        <v>0</v>
      </c>
      <c r="EF114" s="459">
        <f>IF('2. START'!$C$11="NO",(IF('2. START'!$C$14&gt;0,(DT114*$AD114),(AZ114*$AD114))),(BX114+CV114))</f>
        <v>0</v>
      </c>
      <c r="EG114" s="459">
        <f>IF('2. START'!$C$11="NO",(IF('2. START'!$C$14&gt;0,(DU114*$AD114),(BA114*$AD114))),(BY114+CW114))</f>
        <v>0</v>
      </c>
      <c r="EH114" s="459">
        <f>IF('2. START'!$C$11="NO",(IF('2. START'!$C$14&gt;0,(DV114*$AD114),(BB114*$AD114))),(BZ114+CX114))</f>
        <v>0</v>
      </c>
      <c r="EI114" s="459">
        <f>IF('2. START'!$C$11="NO",(IF('2. START'!$C$14&gt;0,(DW114*$AD114),(BC114*$AD114))),(CA114+CY114))</f>
        <v>0</v>
      </c>
      <c r="EJ114" s="460">
        <f t="shared" si="288"/>
        <v>0</v>
      </c>
      <c r="EK114" s="463"/>
      <c r="EL114" s="459">
        <f>(BR114+CP114-DZ114)+IF('2. START'!$C$14&gt;0,AT114-DN114,0)</f>
        <v>0</v>
      </c>
      <c r="EM114" s="459">
        <f>(BS114+CQ114-EA114)+IF('2. START'!$C$14&gt;0,AU114-DO114,0)</f>
        <v>0</v>
      </c>
      <c r="EN114" s="459">
        <f>(BT114+CR114-EB114)+IF('2. START'!$C$14&gt;0,AV114-DP114,0)</f>
        <v>0</v>
      </c>
      <c r="EO114" s="459">
        <f>(BU114+CS114-EC114)+IF('2. START'!$C$14&gt;0,AW114-DQ114,0)</f>
        <v>0</v>
      </c>
      <c r="EP114" s="459">
        <f>(BV114+CT114-ED114)+IF('2. START'!$C$14&gt;0,AX114-DR114,0)</f>
        <v>0</v>
      </c>
      <c r="EQ114" s="459">
        <f>(BW114+CU114-EE114)+IF('2. START'!$C$14&gt;0,AY114-DS114,0)</f>
        <v>0</v>
      </c>
      <c r="ER114" s="459">
        <f>(BX114+CV114-EF114)+IF('2. START'!$C$14&gt;0,AZ114-DT114,0)</f>
        <v>0</v>
      </c>
      <c r="ES114" s="459">
        <f>(BY114+CW114-EG114)+IF('2. START'!$C$14&gt;0,BA114-DU114,0)</f>
        <v>0</v>
      </c>
      <c r="ET114" s="459">
        <f>(BZ114+CX114-EH114)+IF('2. START'!$C$14&gt;0,BB114-DV114,0)</f>
        <v>0</v>
      </c>
      <c r="EU114" s="459">
        <f>(CA114+CY114-EI114)+IF('2. START'!$C$14&gt;0,BC114-DW114,0)</f>
        <v>0</v>
      </c>
      <c r="EV114" s="460">
        <f t="shared" si="289"/>
        <v>0</v>
      </c>
      <c r="EW114" s="463"/>
      <c r="EX114" s="459">
        <f t="shared" si="290"/>
        <v>0</v>
      </c>
      <c r="EY114" s="459">
        <f t="shared" si="291"/>
        <v>0</v>
      </c>
      <c r="EZ114" s="459">
        <f t="shared" si="292"/>
        <v>0</v>
      </c>
      <c r="FA114" s="459">
        <f t="shared" si="293"/>
        <v>0</v>
      </c>
      <c r="FB114" s="459">
        <f t="shared" si="294"/>
        <v>0</v>
      </c>
      <c r="FC114" s="459">
        <f t="shared" si="295"/>
        <v>0</v>
      </c>
      <c r="FD114" s="459">
        <f t="shared" si="296"/>
        <v>0</v>
      </c>
      <c r="FE114" s="459">
        <f t="shared" si="297"/>
        <v>0</v>
      </c>
      <c r="FF114" s="459">
        <f t="shared" si="298"/>
        <v>0</v>
      </c>
      <c r="FG114" s="459">
        <f t="shared" si="299"/>
        <v>0</v>
      </c>
      <c r="FH114" s="460">
        <f t="shared" si="300"/>
        <v>0</v>
      </c>
      <c r="FI114" s="463"/>
      <c r="FJ114" s="459">
        <f t="shared" si="301"/>
        <v>0</v>
      </c>
      <c r="FK114" s="459">
        <f t="shared" si="302"/>
        <v>0</v>
      </c>
      <c r="FL114" s="459">
        <f t="shared" si="303"/>
        <v>0</v>
      </c>
      <c r="FM114" s="459">
        <f t="shared" si="304"/>
        <v>0</v>
      </c>
      <c r="FN114" s="459">
        <f t="shared" si="305"/>
        <v>0</v>
      </c>
      <c r="FO114" s="459">
        <f t="shared" si="306"/>
        <v>0</v>
      </c>
      <c r="FP114" s="459">
        <f t="shared" si="307"/>
        <v>0</v>
      </c>
      <c r="FQ114" s="459">
        <f t="shared" si="308"/>
        <v>0</v>
      </c>
      <c r="FR114" s="459">
        <f t="shared" si="309"/>
        <v>0</v>
      </c>
      <c r="FS114" s="459">
        <f t="shared" si="310"/>
        <v>0</v>
      </c>
      <c r="FT114" s="460">
        <f t="shared" si="311"/>
        <v>0</v>
      </c>
    </row>
    <row r="115" spans="2:176" s="270" customFormat="1" ht="15" customHeight="1" x14ac:dyDescent="0.25">
      <c r="B115" s="464" t="str">
        <f>'2. START'!C$7</f>
        <v>100GEM</v>
      </c>
      <c r="C115" s="470"/>
      <c r="D115" s="590"/>
      <c r="E115" s="514">
        <v>0</v>
      </c>
      <c r="F115" s="467"/>
      <c r="G115" s="432"/>
      <c r="H115" s="432"/>
      <c r="I115" s="432"/>
      <c r="J115" s="432"/>
      <c r="K115" s="432"/>
      <c r="L115" s="432"/>
      <c r="M115" s="432"/>
      <c r="N115" s="432"/>
      <c r="O115" s="432"/>
      <c r="P115" s="432"/>
      <c r="Q115" s="545">
        <f>SUMIF('3. PARTNER'!$B$13:$B$80,$B115,'3. PARTNER'!$F$13:$F$80)</f>
        <v>0.02</v>
      </c>
      <c r="R115" s="466">
        <f t="shared" si="314"/>
        <v>0.02</v>
      </c>
      <c r="S115" s="466">
        <f t="shared" si="314"/>
        <v>0.02</v>
      </c>
      <c r="T115" s="466">
        <f t="shared" si="314"/>
        <v>0.02</v>
      </c>
      <c r="U115" s="466">
        <f t="shared" si="314"/>
        <v>0.02</v>
      </c>
      <c r="V115" s="466">
        <f t="shared" si="314"/>
        <v>0.02</v>
      </c>
      <c r="W115" s="466">
        <f t="shared" si="314"/>
        <v>0.02</v>
      </c>
      <c r="X115" s="466">
        <f t="shared" si="314"/>
        <v>0.02</v>
      </c>
      <c r="Y115" s="466">
        <f t="shared" si="314"/>
        <v>0.02</v>
      </c>
      <c r="Z115" s="466">
        <f t="shared" si="314"/>
        <v>0.02</v>
      </c>
      <c r="AA115" s="434">
        <f>SUMIF('3. PARTNER'!B$13:B$80,B115,'3. PARTNER'!E$13:E$80)</f>
        <v>0.5595</v>
      </c>
      <c r="AB115" s="435">
        <f>IF('2. START'!$C$20="UTB",(SUMIF('3. PARTNER'!B$13:B$80,B115,'3. PARTNER'!K$13:K$80))+(SUMIF('3. PARTNER'!B$13:B$80,B115,'3. PARTNER'!M$13:M$80)),(SUMIF('3. PARTNER'!B$13:B$80,B115,'3. PARTNER'!G$13:G$80))+(SUMIF('3. PARTNER'!B$13:B$80,B115,'3. PARTNER'!I$13:I$80)))</f>
        <v>0.16000843770704321</v>
      </c>
      <c r="AC115" s="435">
        <f>IF('2. START'!$C$20="UTB",(SUMIF('3. PARTNER'!B$13:B$80,B115,'3. PARTNER'!L$13:L$80))+(SUMIF('3. PARTNER'!B$13:B$80,B115,'3. PARTNER'!N$13:N$80)),(SUMIF('3. PARTNER'!B$13:B$80,B115,'3. PARTNER'!H$13:H$80))+(SUMIF('3. PARTNER'!B$13:B$80,B115,'3. PARTNER'!J$13:J$80)))</f>
        <v>0</v>
      </c>
      <c r="AD115" s="435">
        <f>IF('2. START'!C$11="NO",'2. START'!C$12,0)</f>
        <v>0</v>
      </c>
      <c r="AE115" s="436">
        <f t="shared" si="278"/>
        <v>0</v>
      </c>
      <c r="AF115" s="436">
        <f t="shared" si="279"/>
        <v>0</v>
      </c>
      <c r="AG115" s="437"/>
      <c r="AH115" s="438">
        <f t="shared" si="315"/>
        <v>0</v>
      </c>
      <c r="AI115" s="438">
        <f t="shared" si="316"/>
        <v>0</v>
      </c>
      <c r="AJ115" s="438">
        <f t="shared" si="317"/>
        <v>0</v>
      </c>
      <c r="AK115" s="438">
        <f t="shared" si="318"/>
        <v>0</v>
      </c>
      <c r="AL115" s="438">
        <f t="shared" si="319"/>
        <v>0</v>
      </c>
      <c r="AM115" s="438">
        <f t="shared" si="320"/>
        <v>0</v>
      </c>
      <c r="AN115" s="438">
        <f t="shared" si="321"/>
        <v>0</v>
      </c>
      <c r="AO115" s="438">
        <f t="shared" si="322"/>
        <v>0</v>
      </c>
      <c r="AP115" s="438">
        <f t="shared" si="323"/>
        <v>0</v>
      </c>
      <c r="AQ115" s="438">
        <f t="shared" si="324"/>
        <v>0</v>
      </c>
      <c r="AR115" s="439">
        <f t="shared" si="280"/>
        <v>0</v>
      </c>
      <c r="AS115" s="440"/>
      <c r="AT115" s="438">
        <f t="shared" si="325"/>
        <v>0</v>
      </c>
      <c r="AU115" s="438">
        <f t="shared" si="326"/>
        <v>0</v>
      </c>
      <c r="AV115" s="438">
        <f t="shared" si="327"/>
        <v>0</v>
      </c>
      <c r="AW115" s="438">
        <f t="shared" si="328"/>
        <v>0</v>
      </c>
      <c r="AX115" s="438">
        <f t="shared" si="329"/>
        <v>0</v>
      </c>
      <c r="AY115" s="438">
        <f t="shared" si="330"/>
        <v>0</v>
      </c>
      <c r="AZ115" s="438">
        <f t="shared" si="331"/>
        <v>0</v>
      </c>
      <c r="BA115" s="438">
        <f t="shared" si="332"/>
        <v>0</v>
      </c>
      <c r="BB115" s="438">
        <f t="shared" si="333"/>
        <v>0</v>
      </c>
      <c r="BC115" s="438">
        <f t="shared" si="334"/>
        <v>0</v>
      </c>
      <c r="BD115" s="439">
        <f t="shared" si="281"/>
        <v>0</v>
      </c>
      <c r="BE115" s="440"/>
      <c r="BF115" s="438">
        <f t="shared" si="335"/>
        <v>0</v>
      </c>
      <c r="BG115" s="438">
        <f t="shared" si="336"/>
        <v>0</v>
      </c>
      <c r="BH115" s="438">
        <f t="shared" si="337"/>
        <v>0</v>
      </c>
      <c r="BI115" s="438">
        <f t="shared" si="338"/>
        <v>0</v>
      </c>
      <c r="BJ115" s="438">
        <f t="shared" si="339"/>
        <v>0</v>
      </c>
      <c r="BK115" s="438">
        <f t="shared" si="340"/>
        <v>0</v>
      </c>
      <c r="BL115" s="438">
        <f t="shared" si="341"/>
        <v>0</v>
      </c>
      <c r="BM115" s="438">
        <f t="shared" si="342"/>
        <v>0</v>
      </c>
      <c r="BN115" s="438">
        <f t="shared" si="343"/>
        <v>0</v>
      </c>
      <c r="BO115" s="438">
        <f t="shared" si="344"/>
        <v>0</v>
      </c>
      <c r="BP115" s="439">
        <f t="shared" si="282"/>
        <v>0</v>
      </c>
      <c r="BR115" s="442">
        <f t="shared" si="345"/>
        <v>0</v>
      </c>
      <c r="BS115" s="442">
        <f t="shared" si="346"/>
        <v>0</v>
      </c>
      <c r="BT115" s="442">
        <f t="shared" si="347"/>
        <v>0</v>
      </c>
      <c r="BU115" s="442">
        <f t="shared" si="348"/>
        <v>0</v>
      </c>
      <c r="BV115" s="442">
        <f t="shared" si="349"/>
        <v>0</v>
      </c>
      <c r="BW115" s="442">
        <f t="shared" si="350"/>
        <v>0</v>
      </c>
      <c r="BX115" s="442">
        <f t="shared" si="351"/>
        <v>0</v>
      </c>
      <c r="BY115" s="442">
        <f t="shared" si="352"/>
        <v>0</v>
      </c>
      <c r="BZ115" s="442">
        <f t="shared" si="353"/>
        <v>0</v>
      </c>
      <c r="CA115" s="442">
        <f t="shared" si="354"/>
        <v>0</v>
      </c>
      <c r="CB115" s="443">
        <f t="shared" si="283"/>
        <v>0</v>
      </c>
      <c r="CD115" s="445">
        <f t="shared" si="355"/>
        <v>0</v>
      </c>
      <c r="CE115" s="445">
        <f t="shared" si="356"/>
        <v>0</v>
      </c>
      <c r="CF115" s="445">
        <f t="shared" si="357"/>
        <v>0</v>
      </c>
      <c r="CG115" s="445">
        <f t="shared" si="358"/>
        <v>0</v>
      </c>
      <c r="CH115" s="445">
        <f t="shared" si="359"/>
        <v>0</v>
      </c>
      <c r="CI115" s="445">
        <f t="shared" si="360"/>
        <v>0</v>
      </c>
      <c r="CJ115" s="445">
        <f t="shared" si="361"/>
        <v>0</v>
      </c>
      <c r="CK115" s="445">
        <f t="shared" si="362"/>
        <v>0</v>
      </c>
      <c r="CL115" s="445">
        <f t="shared" si="363"/>
        <v>0</v>
      </c>
      <c r="CM115" s="445">
        <f t="shared" si="364"/>
        <v>0</v>
      </c>
      <c r="CN115" s="443">
        <f t="shared" si="284"/>
        <v>0</v>
      </c>
      <c r="CP115" s="442">
        <f t="shared" si="365"/>
        <v>0</v>
      </c>
      <c r="CQ115" s="442">
        <f t="shared" si="366"/>
        <v>0</v>
      </c>
      <c r="CR115" s="442">
        <f t="shared" si="367"/>
        <v>0</v>
      </c>
      <c r="CS115" s="442">
        <f t="shared" si="368"/>
        <v>0</v>
      </c>
      <c r="CT115" s="442">
        <f t="shared" si="369"/>
        <v>0</v>
      </c>
      <c r="CU115" s="442">
        <f t="shared" si="370"/>
        <v>0</v>
      </c>
      <c r="CV115" s="442">
        <f t="shared" si="371"/>
        <v>0</v>
      </c>
      <c r="CW115" s="442">
        <f t="shared" si="372"/>
        <v>0</v>
      </c>
      <c r="CX115" s="442">
        <f t="shared" si="373"/>
        <v>0</v>
      </c>
      <c r="CY115" s="442">
        <f t="shared" si="374"/>
        <v>0</v>
      </c>
      <c r="CZ115" s="443">
        <f t="shared" si="285"/>
        <v>0</v>
      </c>
      <c r="DB115" s="442">
        <f t="shared" si="375"/>
        <v>0</v>
      </c>
      <c r="DC115" s="442">
        <f t="shared" si="376"/>
        <v>0</v>
      </c>
      <c r="DD115" s="442">
        <f t="shared" si="377"/>
        <v>0</v>
      </c>
      <c r="DE115" s="442">
        <f t="shared" si="378"/>
        <v>0</v>
      </c>
      <c r="DF115" s="442">
        <f t="shared" si="379"/>
        <v>0</v>
      </c>
      <c r="DG115" s="442">
        <f t="shared" si="380"/>
        <v>0</v>
      </c>
      <c r="DH115" s="442">
        <f t="shared" si="381"/>
        <v>0</v>
      </c>
      <c r="DI115" s="442">
        <f t="shared" si="382"/>
        <v>0</v>
      </c>
      <c r="DJ115" s="442">
        <f t="shared" si="383"/>
        <v>0</v>
      </c>
      <c r="DK115" s="442">
        <f t="shared" si="384"/>
        <v>0</v>
      </c>
      <c r="DL115" s="443">
        <f t="shared" si="286"/>
        <v>0</v>
      </c>
      <c r="DN115" s="442">
        <f>IF('2. START'!$C$14&gt;0,(AT115/(1+$AA115))*(1+'2. START'!$C$14),AT115)</f>
        <v>0</v>
      </c>
      <c r="DO115" s="442">
        <f>IF('2. START'!$C$14&gt;0,(AU115/(1+$AA115))*(1+'2. START'!$C$14),AU115)</f>
        <v>0</v>
      </c>
      <c r="DP115" s="442">
        <f>IF('2. START'!$C$14&gt;0,(AV115/(1+$AA115))*(1+'2. START'!$C$14),AV115)</f>
        <v>0</v>
      </c>
      <c r="DQ115" s="442">
        <f>IF('2. START'!$C$14&gt;0,(AW115/(1+$AA115))*(1+'2. START'!$C$14),AW115)</f>
        <v>0</v>
      </c>
      <c r="DR115" s="442">
        <f>IF('2. START'!$C$14&gt;0,(AX115/(1+$AA115))*(1+'2. START'!$C$14),AX115)</f>
        <v>0</v>
      </c>
      <c r="DS115" s="442">
        <f>IF('2. START'!$C$14&gt;0,(AY115/(1+$AA115))*(1+'2. START'!$C$14),AY115)</f>
        <v>0</v>
      </c>
      <c r="DT115" s="442">
        <f>IF('2. START'!$C$14&gt;0,(AZ115/(1+$AA115))*(1+'2. START'!$C$14),AZ115)</f>
        <v>0</v>
      </c>
      <c r="DU115" s="442">
        <f>IF('2. START'!$C$14&gt;0,(BA115/(1+$AA115))*(1+'2. START'!$C$14),BA115)</f>
        <v>0</v>
      </c>
      <c r="DV115" s="442">
        <f>IF('2. START'!$C$14&gt;0,(BB115/(1+$AA115))*(1+'2. START'!$C$14),BB115)</f>
        <v>0</v>
      </c>
      <c r="DW115" s="442">
        <f>IF('2. START'!$C$14&gt;0,(BC115/(1+$AA115))*(1+'2. START'!$C$14),BC115)</f>
        <v>0</v>
      </c>
      <c r="DX115" s="443">
        <f t="shared" si="287"/>
        <v>0</v>
      </c>
      <c r="DZ115" s="442">
        <f>IF('2. START'!$C$11="NO",(IF('2. START'!$C$14&gt;0,(DN115*$AD115),(AT115*$AD115))),(BR115+CP115))</f>
        <v>0</v>
      </c>
      <c r="EA115" s="442">
        <f>IF('2. START'!$C$11="NO",(IF('2. START'!$C$14&gt;0,(DO115*$AD115),(AU115*$AD115))),(BS115+CQ115))</f>
        <v>0</v>
      </c>
      <c r="EB115" s="442">
        <f>IF('2. START'!$C$11="NO",(IF('2. START'!$C$14&gt;0,(DP115*$AD115),(AV115*$AD115))),(BT115+CR115))</f>
        <v>0</v>
      </c>
      <c r="EC115" s="442">
        <f>IF('2. START'!$C$11="NO",(IF('2. START'!$C$14&gt;0,(DQ115*$AD115),(AW115*$AD115))),(BU115+CS115))</f>
        <v>0</v>
      </c>
      <c r="ED115" s="442">
        <f>IF('2. START'!$C$11="NO",(IF('2. START'!$C$14&gt;0,(DR115*$AD115),(AX115*$AD115))),(BV115+CT115))</f>
        <v>0</v>
      </c>
      <c r="EE115" s="442">
        <f>IF('2. START'!$C$11="NO",(IF('2. START'!$C$14&gt;0,(DS115*$AD115),(AY115*$AD115))),(BW115+CU115))</f>
        <v>0</v>
      </c>
      <c r="EF115" s="442">
        <f>IF('2. START'!$C$11="NO",(IF('2. START'!$C$14&gt;0,(DT115*$AD115),(AZ115*$AD115))),(BX115+CV115))</f>
        <v>0</v>
      </c>
      <c r="EG115" s="442">
        <f>IF('2. START'!$C$11="NO",(IF('2. START'!$C$14&gt;0,(DU115*$AD115),(BA115*$AD115))),(BY115+CW115))</f>
        <v>0</v>
      </c>
      <c r="EH115" s="442">
        <f>IF('2. START'!$C$11="NO",(IF('2. START'!$C$14&gt;0,(DV115*$AD115),(BB115*$AD115))),(BZ115+CX115))</f>
        <v>0</v>
      </c>
      <c r="EI115" s="442">
        <f>IF('2. START'!$C$11="NO",(IF('2. START'!$C$14&gt;0,(DW115*$AD115),(BC115*$AD115))),(CA115+CY115))</f>
        <v>0</v>
      </c>
      <c r="EJ115" s="443">
        <f t="shared" si="288"/>
        <v>0</v>
      </c>
      <c r="EL115" s="442">
        <f>(BR115+CP115-DZ115)+IF('2. START'!$C$14&gt;0,AT115-DN115,0)</f>
        <v>0</v>
      </c>
      <c r="EM115" s="442">
        <f>(BS115+CQ115-EA115)+IF('2. START'!$C$14&gt;0,AU115-DO115,0)</f>
        <v>0</v>
      </c>
      <c r="EN115" s="442">
        <f>(BT115+CR115-EB115)+IF('2. START'!$C$14&gt;0,AV115-DP115,0)</f>
        <v>0</v>
      </c>
      <c r="EO115" s="442">
        <f>(BU115+CS115-EC115)+IF('2. START'!$C$14&gt;0,AW115-DQ115,0)</f>
        <v>0</v>
      </c>
      <c r="EP115" s="442">
        <f>(BV115+CT115-ED115)+IF('2. START'!$C$14&gt;0,AX115-DR115,0)</f>
        <v>0</v>
      </c>
      <c r="EQ115" s="442">
        <f>(BW115+CU115-EE115)+IF('2. START'!$C$14&gt;0,AY115-DS115,0)</f>
        <v>0</v>
      </c>
      <c r="ER115" s="442">
        <f>(BX115+CV115-EF115)+IF('2. START'!$C$14&gt;0,AZ115-DT115,0)</f>
        <v>0</v>
      </c>
      <c r="ES115" s="442">
        <f>(BY115+CW115-EG115)+IF('2. START'!$C$14&gt;0,BA115-DU115,0)</f>
        <v>0</v>
      </c>
      <c r="ET115" s="442">
        <f>(BZ115+CX115-EH115)+IF('2. START'!$C$14&gt;0,BB115-DV115,0)</f>
        <v>0</v>
      </c>
      <c r="EU115" s="442">
        <f>(CA115+CY115-EI115)+IF('2. START'!$C$14&gt;0,BC115-DW115,0)</f>
        <v>0</v>
      </c>
      <c r="EV115" s="443">
        <f t="shared" si="289"/>
        <v>0</v>
      </c>
      <c r="EX115" s="442">
        <f t="shared" si="290"/>
        <v>0</v>
      </c>
      <c r="EY115" s="442">
        <f t="shared" si="291"/>
        <v>0</v>
      </c>
      <c r="EZ115" s="442">
        <f t="shared" si="292"/>
        <v>0</v>
      </c>
      <c r="FA115" s="442">
        <f t="shared" si="293"/>
        <v>0</v>
      </c>
      <c r="FB115" s="442">
        <f t="shared" si="294"/>
        <v>0</v>
      </c>
      <c r="FC115" s="442">
        <f t="shared" si="295"/>
        <v>0</v>
      </c>
      <c r="FD115" s="442">
        <f t="shared" si="296"/>
        <v>0</v>
      </c>
      <c r="FE115" s="442">
        <f t="shared" si="297"/>
        <v>0</v>
      </c>
      <c r="FF115" s="442">
        <f t="shared" si="298"/>
        <v>0</v>
      </c>
      <c r="FG115" s="442">
        <f t="shared" si="299"/>
        <v>0</v>
      </c>
      <c r="FH115" s="443">
        <f t="shared" si="300"/>
        <v>0</v>
      </c>
      <c r="FJ115" s="442">
        <f t="shared" si="301"/>
        <v>0</v>
      </c>
      <c r="FK115" s="442">
        <f t="shared" si="302"/>
        <v>0</v>
      </c>
      <c r="FL115" s="442">
        <f t="shared" si="303"/>
        <v>0</v>
      </c>
      <c r="FM115" s="442">
        <f t="shared" si="304"/>
        <v>0</v>
      </c>
      <c r="FN115" s="442">
        <f t="shared" si="305"/>
        <v>0</v>
      </c>
      <c r="FO115" s="442">
        <f t="shared" si="306"/>
        <v>0</v>
      </c>
      <c r="FP115" s="442">
        <f t="shared" si="307"/>
        <v>0</v>
      </c>
      <c r="FQ115" s="442">
        <f t="shared" si="308"/>
        <v>0</v>
      </c>
      <c r="FR115" s="442">
        <f t="shared" si="309"/>
        <v>0</v>
      </c>
      <c r="FS115" s="442">
        <f t="shared" si="310"/>
        <v>0</v>
      </c>
      <c r="FT115" s="443">
        <f t="shared" si="311"/>
        <v>0</v>
      </c>
    </row>
    <row r="116" spans="2:176" s="270" customFormat="1" ht="15" customHeight="1" x14ac:dyDescent="0.25">
      <c r="B116" s="446" t="str">
        <f>'2. START'!C$7</f>
        <v>100GEM</v>
      </c>
      <c r="C116" s="469"/>
      <c r="D116" s="589"/>
      <c r="E116" s="544">
        <v>0</v>
      </c>
      <c r="F116" s="448"/>
      <c r="G116" s="449"/>
      <c r="H116" s="449"/>
      <c r="I116" s="449"/>
      <c r="J116" s="449"/>
      <c r="K116" s="449"/>
      <c r="L116" s="449"/>
      <c r="M116" s="449"/>
      <c r="N116" s="449"/>
      <c r="O116" s="449"/>
      <c r="P116" s="449"/>
      <c r="Q116" s="546">
        <f>SUMIF('3. PARTNER'!$B$13:$B$80,$B116,'3. PARTNER'!$F$13:$F$80)</f>
        <v>0.02</v>
      </c>
      <c r="R116" s="450">
        <f t="shared" si="314"/>
        <v>0.02</v>
      </c>
      <c r="S116" s="450">
        <f t="shared" si="314"/>
        <v>0.02</v>
      </c>
      <c r="T116" s="450">
        <f t="shared" si="314"/>
        <v>0.02</v>
      </c>
      <c r="U116" s="450">
        <f t="shared" si="314"/>
        <v>0.02</v>
      </c>
      <c r="V116" s="450">
        <f t="shared" si="314"/>
        <v>0.02</v>
      </c>
      <c r="W116" s="450">
        <f t="shared" si="314"/>
        <v>0.02</v>
      </c>
      <c r="X116" s="450">
        <f t="shared" si="314"/>
        <v>0.02</v>
      </c>
      <c r="Y116" s="450">
        <f t="shared" si="314"/>
        <v>0.02</v>
      </c>
      <c r="Z116" s="450">
        <f t="shared" si="314"/>
        <v>0.02</v>
      </c>
      <c r="AA116" s="451">
        <f>SUMIF('3. PARTNER'!B$13:B$80,B116,'3. PARTNER'!E$13:E$80)</f>
        <v>0.5595</v>
      </c>
      <c r="AB116" s="452">
        <f>IF('2. START'!$C$20="UTB",(SUMIF('3. PARTNER'!B$13:B$80,B116,'3. PARTNER'!K$13:K$80))+(SUMIF('3. PARTNER'!B$13:B$80,B116,'3. PARTNER'!M$13:M$80)),(SUMIF('3. PARTNER'!B$13:B$80,B116,'3. PARTNER'!G$13:G$80))+(SUMIF('3. PARTNER'!B$13:B$80,B116,'3. PARTNER'!I$13:I$80)))</f>
        <v>0.16000843770704321</v>
      </c>
      <c r="AC116" s="452">
        <f>IF('2. START'!$C$20="UTB",(SUMIF('3. PARTNER'!B$13:B$80,B116,'3. PARTNER'!L$13:L$80))+(SUMIF('3. PARTNER'!B$13:B$80,B116,'3. PARTNER'!N$13:N$80)),(SUMIF('3. PARTNER'!B$13:B$80,B116,'3. PARTNER'!H$13:H$80))+(SUMIF('3. PARTNER'!B$13:B$80,B116,'3. PARTNER'!J$13:J$80)))</f>
        <v>0</v>
      </c>
      <c r="AD116" s="452">
        <f>IF('2. START'!C$11="NO",'2. START'!C$12,0)</f>
        <v>0</v>
      </c>
      <c r="AE116" s="453">
        <f t="shared" si="278"/>
        <v>0</v>
      </c>
      <c r="AF116" s="453">
        <f t="shared" si="279"/>
        <v>0</v>
      </c>
      <c r="AG116" s="454"/>
      <c r="AH116" s="455">
        <f t="shared" si="315"/>
        <v>0</v>
      </c>
      <c r="AI116" s="455">
        <f t="shared" si="316"/>
        <v>0</v>
      </c>
      <c r="AJ116" s="455">
        <f t="shared" si="317"/>
        <v>0</v>
      </c>
      <c r="AK116" s="455">
        <f t="shared" si="318"/>
        <v>0</v>
      </c>
      <c r="AL116" s="455">
        <f t="shared" si="319"/>
        <v>0</v>
      </c>
      <c r="AM116" s="455">
        <f t="shared" si="320"/>
        <v>0</v>
      </c>
      <c r="AN116" s="455">
        <f t="shared" si="321"/>
        <v>0</v>
      </c>
      <c r="AO116" s="455">
        <f t="shared" si="322"/>
        <v>0</v>
      </c>
      <c r="AP116" s="455">
        <f t="shared" si="323"/>
        <v>0</v>
      </c>
      <c r="AQ116" s="455">
        <f t="shared" si="324"/>
        <v>0</v>
      </c>
      <c r="AR116" s="456">
        <f t="shared" si="280"/>
        <v>0</v>
      </c>
      <c r="AS116" s="457"/>
      <c r="AT116" s="455">
        <f t="shared" si="325"/>
        <v>0</v>
      </c>
      <c r="AU116" s="455">
        <f t="shared" si="326"/>
        <v>0</v>
      </c>
      <c r="AV116" s="455">
        <f t="shared" si="327"/>
        <v>0</v>
      </c>
      <c r="AW116" s="455">
        <f t="shared" si="328"/>
        <v>0</v>
      </c>
      <c r="AX116" s="455">
        <f t="shared" si="329"/>
        <v>0</v>
      </c>
      <c r="AY116" s="455">
        <f t="shared" si="330"/>
        <v>0</v>
      </c>
      <c r="AZ116" s="455">
        <f t="shared" si="331"/>
        <v>0</v>
      </c>
      <c r="BA116" s="455">
        <f t="shared" si="332"/>
        <v>0</v>
      </c>
      <c r="BB116" s="455">
        <f t="shared" si="333"/>
        <v>0</v>
      </c>
      <c r="BC116" s="455">
        <f t="shared" si="334"/>
        <v>0</v>
      </c>
      <c r="BD116" s="456">
        <f t="shared" si="281"/>
        <v>0</v>
      </c>
      <c r="BE116" s="457"/>
      <c r="BF116" s="455">
        <f t="shared" si="335"/>
        <v>0</v>
      </c>
      <c r="BG116" s="455">
        <f t="shared" si="336"/>
        <v>0</v>
      </c>
      <c r="BH116" s="455">
        <f t="shared" si="337"/>
        <v>0</v>
      </c>
      <c r="BI116" s="455">
        <f t="shared" si="338"/>
        <v>0</v>
      </c>
      <c r="BJ116" s="455">
        <f t="shared" si="339"/>
        <v>0</v>
      </c>
      <c r="BK116" s="455">
        <f t="shared" si="340"/>
        <v>0</v>
      </c>
      <c r="BL116" s="455">
        <f t="shared" si="341"/>
        <v>0</v>
      </c>
      <c r="BM116" s="455">
        <f t="shared" si="342"/>
        <v>0</v>
      </c>
      <c r="BN116" s="455">
        <f t="shared" si="343"/>
        <v>0</v>
      </c>
      <c r="BO116" s="455">
        <f t="shared" si="344"/>
        <v>0</v>
      </c>
      <c r="BP116" s="456">
        <f t="shared" si="282"/>
        <v>0</v>
      </c>
      <c r="BQ116" s="463"/>
      <c r="BR116" s="459">
        <f t="shared" si="345"/>
        <v>0</v>
      </c>
      <c r="BS116" s="459">
        <f t="shared" si="346"/>
        <v>0</v>
      </c>
      <c r="BT116" s="459">
        <f t="shared" si="347"/>
        <v>0</v>
      </c>
      <c r="BU116" s="459">
        <f t="shared" si="348"/>
        <v>0</v>
      </c>
      <c r="BV116" s="459">
        <f t="shared" si="349"/>
        <v>0</v>
      </c>
      <c r="BW116" s="459">
        <f t="shared" si="350"/>
        <v>0</v>
      </c>
      <c r="BX116" s="459">
        <f t="shared" si="351"/>
        <v>0</v>
      </c>
      <c r="BY116" s="459">
        <f t="shared" si="352"/>
        <v>0</v>
      </c>
      <c r="BZ116" s="459">
        <f t="shared" si="353"/>
        <v>0</v>
      </c>
      <c r="CA116" s="459">
        <f t="shared" si="354"/>
        <v>0</v>
      </c>
      <c r="CB116" s="460">
        <f t="shared" si="283"/>
        <v>0</v>
      </c>
      <c r="CC116" s="463"/>
      <c r="CD116" s="462">
        <f t="shared" si="355"/>
        <v>0</v>
      </c>
      <c r="CE116" s="462">
        <f t="shared" si="356"/>
        <v>0</v>
      </c>
      <c r="CF116" s="462">
        <f t="shared" si="357"/>
        <v>0</v>
      </c>
      <c r="CG116" s="462">
        <f t="shared" si="358"/>
        <v>0</v>
      </c>
      <c r="CH116" s="462">
        <f t="shared" si="359"/>
        <v>0</v>
      </c>
      <c r="CI116" s="462">
        <f t="shared" si="360"/>
        <v>0</v>
      </c>
      <c r="CJ116" s="462">
        <f t="shared" si="361"/>
        <v>0</v>
      </c>
      <c r="CK116" s="462">
        <f t="shared" si="362"/>
        <v>0</v>
      </c>
      <c r="CL116" s="462">
        <f t="shared" si="363"/>
        <v>0</v>
      </c>
      <c r="CM116" s="462">
        <f t="shared" si="364"/>
        <v>0</v>
      </c>
      <c r="CN116" s="460">
        <f t="shared" si="284"/>
        <v>0</v>
      </c>
      <c r="CO116" s="463"/>
      <c r="CP116" s="459">
        <f t="shared" si="365"/>
        <v>0</v>
      </c>
      <c r="CQ116" s="459">
        <f t="shared" si="366"/>
        <v>0</v>
      </c>
      <c r="CR116" s="459">
        <f t="shared" si="367"/>
        <v>0</v>
      </c>
      <c r="CS116" s="459">
        <f t="shared" si="368"/>
        <v>0</v>
      </c>
      <c r="CT116" s="459">
        <f t="shared" si="369"/>
        <v>0</v>
      </c>
      <c r="CU116" s="459">
        <f t="shared" si="370"/>
        <v>0</v>
      </c>
      <c r="CV116" s="459">
        <f t="shared" si="371"/>
        <v>0</v>
      </c>
      <c r="CW116" s="459">
        <f t="shared" si="372"/>
        <v>0</v>
      </c>
      <c r="CX116" s="459">
        <f t="shared" si="373"/>
        <v>0</v>
      </c>
      <c r="CY116" s="459">
        <f t="shared" si="374"/>
        <v>0</v>
      </c>
      <c r="CZ116" s="460">
        <f t="shared" si="285"/>
        <v>0</v>
      </c>
      <c r="DA116" s="463"/>
      <c r="DB116" s="459">
        <f t="shared" si="375"/>
        <v>0</v>
      </c>
      <c r="DC116" s="459">
        <f t="shared" si="376"/>
        <v>0</v>
      </c>
      <c r="DD116" s="459">
        <f t="shared" si="377"/>
        <v>0</v>
      </c>
      <c r="DE116" s="459">
        <f t="shared" si="378"/>
        <v>0</v>
      </c>
      <c r="DF116" s="459">
        <f t="shared" si="379"/>
        <v>0</v>
      </c>
      <c r="DG116" s="459">
        <f t="shared" si="380"/>
        <v>0</v>
      </c>
      <c r="DH116" s="459">
        <f t="shared" si="381"/>
        <v>0</v>
      </c>
      <c r="DI116" s="459">
        <f t="shared" si="382"/>
        <v>0</v>
      </c>
      <c r="DJ116" s="459">
        <f t="shared" si="383"/>
        <v>0</v>
      </c>
      <c r="DK116" s="459">
        <f t="shared" si="384"/>
        <v>0</v>
      </c>
      <c r="DL116" s="460">
        <f t="shared" si="286"/>
        <v>0</v>
      </c>
      <c r="DM116" s="463"/>
      <c r="DN116" s="442">
        <f>IF('2. START'!$C$14&gt;0,(AT116/(1+$AA116))*(1+'2. START'!$C$14),AT116)</f>
        <v>0</v>
      </c>
      <c r="DO116" s="442">
        <f>IF('2. START'!$C$14&gt;0,(AU116/(1+$AA116))*(1+'2. START'!$C$14),AU116)</f>
        <v>0</v>
      </c>
      <c r="DP116" s="442">
        <f>IF('2. START'!$C$14&gt;0,(AV116/(1+$AA116))*(1+'2. START'!$C$14),AV116)</f>
        <v>0</v>
      </c>
      <c r="DQ116" s="442">
        <f>IF('2. START'!$C$14&gt;0,(AW116/(1+$AA116))*(1+'2. START'!$C$14),AW116)</f>
        <v>0</v>
      </c>
      <c r="DR116" s="442">
        <f>IF('2. START'!$C$14&gt;0,(AX116/(1+$AA116))*(1+'2. START'!$C$14),AX116)</f>
        <v>0</v>
      </c>
      <c r="DS116" s="442">
        <f>IF('2. START'!$C$14&gt;0,(AY116/(1+$AA116))*(1+'2. START'!$C$14),AY116)</f>
        <v>0</v>
      </c>
      <c r="DT116" s="442">
        <f>IF('2. START'!$C$14&gt;0,(AZ116/(1+$AA116))*(1+'2. START'!$C$14),AZ116)</f>
        <v>0</v>
      </c>
      <c r="DU116" s="442">
        <f>IF('2. START'!$C$14&gt;0,(BA116/(1+$AA116))*(1+'2. START'!$C$14),BA116)</f>
        <v>0</v>
      </c>
      <c r="DV116" s="442">
        <f>IF('2. START'!$C$14&gt;0,(BB116/(1+$AA116))*(1+'2. START'!$C$14),BB116)</f>
        <v>0</v>
      </c>
      <c r="DW116" s="442">
        <f>IF('2. START'!$C$14&gt;0,(BC116/(1+$AA116))*(1+'2. START'!$C$14),BC116)</f>
        <v>0</v>
      </c>
      <c r="DX116" s="460">
        <f t="shared" si="287"/>
        <v>0</v>
      </c>
      <c r="DY116" s="463"/>
      <c r="DZ116" s="459">
        <f>IF('2. START'!$C$11="NO",(IF('2. START'!$C$14&gt;0,(DN116*$AD116),(AT116*$AD116))),(BR116+CP116))</f>
        <v>0</v>
      </c>
      <c r="EA116" s="459">
        <f>IF('2. START'!$C$11="NO",(IF('2. START'!$C$14&gt;0,(DO116*$AD116),(AU116*$AD116))),(BS116+CQ116))</f>
        <v>0</v>
      </c>
      <c r="EB116" s="459">
        <f>IF('2. START'!$C$11="NO",(IF('2. START'!$C$14&gt;0,(DP116*$AD116),(AV116*$AD116))),(BT116+CR116))</f>
        <v>0</v>
      </c>
      <c r="EC116" s="459">
        <f>IF('2. START'!$C$11="NO",(IF('2. START'!$C$14&gt;0,(DQ116*$AD116),(AW116*$AD116))),(BU116+CS116))</f>
        <v>0</v>
      </c>
      <c r="ED116" s="459">
        <f>IF('2. START'!$C$11="NO",(IF('2. START'!$C$14&gt;0,(DR116*$AD116),(AX116*$AD116))),(BV116+CT116))</f>
        <v>0</v>
      </c>
      <c r="EE116" s="459">
        <f>IF('2. START'!$C$11="NO",(IF('2. START'!$C$14&gt;0,(DS116*$AD116),(AY116*$AD116))),(BW116+CU116))</f>
        <v>0</v>
      </c>
      <c r="EF116" s="459">
        <f>IF('2. START'!$C$11="NO",(IF('2. START'!$C$14&gt;0,(DT116*$AD116),(AZ116*$AD116))),(BX116+CV116))</f>
        <v>0</v>
      </c>
      <c r="EG116" s="459">
        <f>IF('2. START'!$C$11="NO",(IF('2. START'!$C$14&gt;0,(DU116*$AD116),(BA116*$AD116))),(BY116+CW116))</f>
        <v>0</v>
      </c>
      <c r="EH116" s="459">
        <f>IF('2. START'!$C$11="NO",(IF('2. START'!$C$14&gt;0,(DV116*$AD116),(BB116*$AD116))),(BZ116+CX116))</f>
        <v>0</v>
      </c>
      <c r="EI116" s="459">
        <f>IF('2. START'!$C$11="NO",(IF('2. START'!$C$14&gt;0,(DW116*$AD116),(BC116*$AD116))),(CA116+CY116))</f>
        <v>0</v>
      </c>
      <c r="EJ116" s="460">
        <f t="shared" si="288"/>
        <v>0</v>
      </c>
      <c r="EK116" s="463"/>
      <c r="EL116" s="459">
        <f>(BR116+CP116-DZ116)+IF('2. START'!$C$14&gt;0,AT116-DN116,0)</f>
        <v>0</v>
      </c>
      <c r="EM116" s="459">
        <f>(BS116+CQ116-EA116)+IF('2. START'!$C$14&gt;0,AU116-DO116,0)</f>
        <v>0</v>
      </c>
      <c r="EN116" s="459">
        <f>(BT116+CR116-EB116)+IF('2. START'!$C$14&gt;0,AV116-DP116,0)</f>
        <v>0</v>
      </c>
      <c r="EO116" s="459">
        <f>(BU116+CS116-EC116)+IF('2. START'!$C$14&gt;0,AW116-DQ116,0)</f>
        <v>0</v>
      </c>
      <c r="EP116" s="459">
        <f>(BV116+CT116-ED116)+IF('2. START'!$C$14&gt;0,AX116-DR116,0)</f>
        <v>0</v>
      </c>
      <c r="EQ116" s="459">
        <f>(BW116+CU116-EE116)+IF('2. START'!$C$14&gt;0,AY116-DS116,0)</f>
        <v>0</v>
      </c>
      <c r="ER116" s="459">
        <f>(BX116+CV116-EF116)+IF('2. START'!$C$14&gt;0,AZ116-DT116,0)</f>
        <v>0</v>
      </c>
      <c r="ES116" s="459">
        <f>(BY116+CW116-EG116)+IF('2. START'!$C$14&gt;0,BA116-DU116,0)</f>
        <v>0</v>
      </c>
      <c r="ET116" s="459">
        <f>(BZ116+CX116-EH116)+IF('2. START'!$C$14&gt;0,BB116-DV116,0)</f>
        <v>0</v>
      </c>
      <c r="EU116" s="459">
        <f>(CA116+CY116-EI116)+IF('2. START'!$C$14&gt;0,BC116-DW116,0)</f>
        <v>0</v>
      </c>
      <c r="EV116" s="460">
        <f t="shared" si="289"/>
        <v>0</v>
      </c>
      <c r="EW116" s="463"/>
      <c r="EX116" s="459">
        <f t="shared" si="290"/>
        <v>0</v>
      </c>
      <c r="EY116" s="459">
        <f t="shared" si="291"/>
        <v>0</v>
      </c>
      <c r="EZ116" s="459">
        <f t="shared" si="292"/>
        <v>0</v>
      </c>
      <c r="FA116" s="459">
        <f t="shared" si="293"/>
        <v>0</v>
      </c>
      <c r="FB116" s="459">
        <f t="shared" si="294"/>
        <v>0</v>
      </c>
      <c r="FC116" s="459">
        <f t="shared" si="295"/>
        <v>0</v>
      </c>
      <c r="FD116" s="459">
        <f t="shared" si="296"/>
        <v>0</v>
      </c>
      <c r="FE116" s="459">
        <f t="shared" si="297"/>
        <v>0</v>
      </c>
      <c r="FF116" s="459">
        <f t="shared" si="298"/>
        <v>0</v>
      </c>
      <c r="FG116" s="459">
        <f t="shared" si="299"/>
        <v>0</v>
      </c>
      <c r="FH116" s="460">
        <f t="shared" si="300"/>
        <v>0</v>
      </c>
      <c r="FI116" s="463"/>
      <c r="FJ116" s="459">
        <f t="shared" si="301"/>
        <v>0</v>
      </c>
      <c r="FK116" s="459">
        <f t="shared" si="302"/>
        <v>0</v>
      </c>
      <c r="FL116" s="459">
        <f t="shared" si="303"/>
        <v>0</v>
      </c>
      <c r="FM116" s="459">
        <f t="shared" si="304"/>
        <v>0</v>
      </c>
      <c r="FN116" s="459">
        <f t="shared" si="305"/>
        <v>0</v>
      </c>
      <c r="FO116" s="459">
        <f t="shared" si="306"/>
        <v>0</v>
      </c>
      <c r="FP116" s="459">
        <f t="shared" si="307"/>
        <v>0</v>
      </c>
      <c r="FQ116" s="459">
        <f t="shared" si="308"/>
        <v>0</v>
      </c>
      <c r="FR116" s="459">
        <f t="shared" si="309"/>
        <v>0</v>
      </c>
      <c r="FS116" s="459">
        <f t="shared" si="310"/>
        <v>0</v>
      </c>
      <c r="FT116" s="460">
        <f t="shared" si="311"/>
        <v>0</v>
      </c>
    </row>
    <row r="117" spans="2:176" s="270" customFormat="1" ht="15" customHeight="1" x14ac:dyDescent="0.25">
      <c r="B117" s="464" t="str">
        <f>'2. START'!C$7</f>
        <v>100GEM</v>
      </c>
      <c r="C117" s="470"/>
      <c r="D117" s="590"/>
      <c r="E117" s="514">
        <v>0</v>
      </c>
      <c r="F117" s="467"/>
      <c r="G117" s="432"/>
      <c r="H117" s="432"/>
      <c r="I117" s="432"/>
      <c r="J117" s="432"/>
      <c r="K117" s="432"/>
      <c r="L117" s="432"/>
      <c r="M117" s="432"/>
      <c r="N117" s="432"/>
      <c r="O117" s="432"/>
      <c r="P117" s="432"/>
      <c r="Q117" s="545">
        <f>SUMIF('3. PARTNER'!$B$13:$B$80,$B117,'3. PARTNER'!$F$13:$F$80)</f>
        <v>0.02</v>
      </c>
      <c r="R117" s="466">
        <f t="shared" ref="R117:Z126" si="385">$Q117</f>
        <v>0.02</v>
      </c>
      <c r="S117" s="466">
        <f t="shared" si="385"/>
        <v>0.02</v>
      </c>
      <c r="T117" s="466">
        <f t="shared" si="385"/>
        <v>0.02</v>
      </c>
      <c r="U117" s="466">
        <f t="shared" si="385"/>
        <v>0.02</v>
      </c>
      <c r="V117" s="466">
        <f t="shared" si="385"/>
        <v>0.02</v>
      </c>
      <c r="W117" s="466">
        <f t="shared" si="385"/>
        <v>0.02</v>
      </c>
      <c r="X117" s="466">
        <f t="shared" si="385"/>
        <v>0.02</v>
      </c>
      <c r="Y117" s="466">
        <f t="shared" si="385"/>
        <v>0.02</v>
      </c>
      <c r="Z117" s="466">
        <f t="shared" si="385"/>
        <v>0.02</v>
      </c>
      <c r="AA117" s="434">
        <f>SUMIF('3. PARTNER'!B$13:B$80,B117,'3. PARTNER'!E$13:E$80)</f>
        <v>0.5595</v>
      </c>
      <c r="AB117" s="435">
        <f>IF('2. START'!$C$20="UTB",(SUMIF('3. PARTNER'!B$13:B$80,B117,'3. PARTNER'!K$13:K$80))+(SUMIF('3. PARTNER'!B$13:B$80,B117,'3. PARTNER'!M$13:M$80)),(SUMIF('3. PARTNER'!B$13:B$80,B117,'3. PARTNER'!G$13:G$80))+(SUMIF('3. PARTNER'!B$13:B$80,B117,'3. PARTNER'!I$13:I$80)))</f>
        <v>0.16000843770704321</v>
      </c>
      <c r="AC117" s="435">
        <f>IF('2. START'!$C$20="UTB",(SUMIF('3. PARTNER'!B$13:B$80,B117,'3. PARTNER'!L$13:L$80))+(SUMIF('3. PARTNER'!B$13:B$80,B117,'3. PARTNER'!N$13:N$80)),(SUMIF('3. PARTNER'!B$13:B$80,B117,'3. PARTNER'!H$13:H$80))+(SUMIF('3. PARTNER'!B$13:B$80,B117,'3. PARTNER'!J$13:J$80)))</f>
        <v>0</v>
      </c>
      <c r="AD117" s="435">
        <f>IF('2. START'!C$11="NO",'2. START'!C$12,0)</f>
        <v>0</v>
      </c>
      <c r="AE117" s="436">
        <f t="shared" si="278"/>
        <v>0</v>
      </c>
      <c r="AF117" s="436">
        <f t="shared" si="279"/>
        <v>0</v>
      </c>
      <c r="AG117" s="437"/>
      <c r="AH117" s="438">
        <f t="shared" si="315"/>
        <v>0</v>
      </c>
      <c r="AI117" s="438">
        <f t="shared" si="316"/>
        <v>0</v>
      </c>
      <c r="AJ117" s="438">
        <f t="shared" si="317"/>
        <v>0</v>
      </c>
      <c r="AK117" s="438">
        <f t="shared" si="318"/>
        <v>0</v>
      </c>
      <c r="AL117" s="438">
        <f t="shared" si="319"/>
        <v>0</v>
      </c>
      <c r="AM117" s="438">
        <f t="shared" si="320"/>
        <v>0</v>
      </c>
      <c r="AN117" s="438">
        <f t="shared" si="321"/>
        <v>0</v>
      </c>
      <c r="AO117" s="438">
        <f t="shared" si="322"/>
        <v>0</v>
      </c>
      <c r="AP117" s="438">
        <f t="shared" si="323"/>
        <v>0</v>
      </c>
      <c r="AQ117" s="438">
        <f t="shared" si="324"/>
        <v>0</v>
      </c>
      <c r="AR117" s="439">
        <f t="shared" si="280"/>
        <v>0</v>
      </c>
      <c r="AS117" s="440"/>
      <c r="AT117" s="438">
        <f t="shared" si="325"/>
        <v>0</v>
      </c>
      <c r="AU117" s="438">
        <f t="shared" si="326"/>
        <v>0</v>
      </c>
      <c r="AV117" s="438">
        <f t="shared" si="327"/>
        <v>0</v>
      </c>
      <c r="AW117" s="438">
        <f t="shared" si="328"/>
        <v>0</v>
      </c>
      <c r="AX117" s="438">
        <f t="shared" si="329"/>
        <v>0</v>
      </c>
      <c r="AY117" s="438">
        <f t="shared" si="330"/>
        <v>0</v>
      </c>
      <c r="AZ117" s="438">
        <f t="shared" si="331"/>
        <v>0</v>
      </c>
      <c r="BA117" s="438">
        <f t="shared" si="332"/>
        <v>0</v>
      </c>
      <c r="BB117" s="438">
        <f t="shared" si="333"/>
        <v>0</v>
      </c>
      <c r="BC117" s="438">
        <f t="shared" si="334"/>
        <v>0</v>
      </c>
      <c r="BD117" s="439">
        <f t="shared" si="281"/>
        <v>0</v>
      </c>
      <c r="BE117" s="440"/>
      <c r="BF117" s="438">
        <f t="shared" si="335"/>
        <v>0</v>
      </c>
      <c r="BG117" s="438">
        <f t="shared" si="336"/>
        <v>0</v>
      </c>
      <c r="BH117" s="438">
        <f t="shared" si="337"/>
        <v>0</v>
      </c>
      <c r="BI117" s="438">
        <f t="shared" si="338"/>
        <v>0</v>
      </c>
      <c r="BJ117" s="438">
        <f t="shared" si="339"/>
        <v>0</v>
      </c>
      <c r="BK117" s="438">
        <f t="shared" si="340"/>
        <v>0</v>
      </c>
      <c r="BL117" s="438">
        <f t="shared" si="341"/>
        <v>0</v>
      </c>
      <c r="BM117" s="438">
        <f t="shared" si="342"/>
        <v>0</v>
      </c>
      <c r="BN117" s="438">
        <f t="shared" si="343"/>
        <v>0</v>
      </c>
      <c r="BO117" s="438">
        <f t="shared" si="344"/>
        <v>0</v>
      </c>
      <c r="BP117" s="439">
        <f t="shared" si="282"/>
        <v>0</v>
      </c>
      <c r="BR117" s="442">
        <f t="shared" si="345"/>
        <v>0</v>
      </c>
      <c r="BS117" s="442">
        <f t="shared" si="346"/>
        <v>0</v>
      </c>
      <c r="BT117" s="442">
        <f t="shared" si="347"/>
        <v>0</v>
      </c>
      <c r="BU117" s="442">
        <f t="shared" si="348"/>
        <v>0</v>
      </c>
      <c r="BV117" s="442">
        <f t="shared" si="349"/>
        <v>0</v>
      </c>
      <c r="BW117" s="442">
        <f t="shared" si="350"/>
        <v>0</v>
      </c>
      <c r="BX117" s="442">
        <f t="shared" si="351"/>
        <v>0</v>
      </c>
      <c r="BY117" s="442">
        <f t="shared" si="352"/>
        <v>0</v>
      </c>
      <c r="BZ117" s="442">
        <f t="shared" si="353"/>
        <v>0</v>
      </c>
      <c r="CA117" s="442">
        <f t="shared" si="354"/>
        <v>0</v>
      </c>
      <c r="CB117" s="443">
        <f t="shared" si="283"/>
        <v>0</v>
      </c>
      <c r="CD117" s="445">
        <f t="shared" si="355"/>
        <v>0</v>
      </c>
      <c r="CE117" s="445">
        <f t="shared" si="356"/>
        <v>0</v>
      </c>
      <c r="CF117" s="445">
        <f t="shared" si="357"/>
        <v>0</v>
      </c>
      <c r="CG117" s="445">
        <f t="shared" si="358"/>
        <v>0</v>
      </c>
      <c r="CH117" s="445">
        <f t="shared" si="359"/>
        <v>0</v>
      </c>
      <c r="CI117" s="445">
        <f t="shared" si="360"/>
        <v>0</v>
      </c>
      <c r="CJ117" s="445">
        <f t="shared" si="361"/>
        <v>0</v>
      </c>
      <c r="CK117" s="445">
        <f t="shared" si="362"/>
        <v>0</v>
      </c>
      <c r="CL117" s="445">
        <f t="shared" si="363"/>
        <v>0</v>
      </c>
      <c r="CM117" s="445">
        <f t="shared" si="364"/>
        <v>0</v>
      </c>
      <c r="CN117" s="443">
        <f t="shared" si="284"/>
        <v>0</v>
      </c>
      <c r="CP117" s="442">
        <f t="shared" si="365"/>
        <v>0</v>
      </c>
      <c r="CQ117" s="442">
        <f t="shared" si="366"/>
        <v>0</v>
      </c>
      <c r="CR117" s="442">
        <f t="shared" si="367"/>
        <v>0</v>
      </c>
      <c r="CS117" s="442">
        <f t="shared" si="368"/>
        <v>0</v>
      </c>
      <c r="CT117" s="442">
        <f t="shared" si="369"/>
        <v>0</v>
      </c>
      <c r="CU117" s="442">
        <f t="shared" si="370"/>
        <v>0</v>
      </c>
      <c r="CV117" s="442">
        <f t="shared" si="371"/>
        <v>0</v>
      </c>
      <c r="CW117" s="442">
        <f t="shared" si="372"/>
        <v>0</v>
      </c>
      <c r="CX117" s="442">
        <f t="shared" si="373"/>
        <v>0</v>
      </c>
      <c r="CY117" s="442">
        <f t="shared" si="374"/>
        <v>0</v>
      </c>
      <c r="CZ117" s="443">
        <f t="shared" si="285"/>
        <v>0</v>
      </c>
      <c r="DB117" s="442">
        <f t="shared" si="375"/>
        <v>0</v>
      </c>
      <c r="DC117" s="442">
        <f t="shared" si="376"/>
        <v>0</v>
      </c>
      <c r="DD117" s="442">
        <f t="shared" si="377"/>
        <v>0</v>
      </c>
      <c r="DE117" s="442">
        <f t="shared" si="378"/>
        <v>0</v>
      </c>
      <c r="DF117" s="442">
        <f t="shared" si="379"/>
        <v>0</v>
      </c>
      <c r="DG117" s="442">
        <f t="shared" si="380"/>
        <v>0</v>
      </c>
      <c r="DH117" s="442">
        <f t="shared" si="381"/>
        <v>0</v>
      </c>
      <c r="DI117" s="442">
        <f t="shared" si="382"/>
        <v>0</v>
      </c>
      <c r="DJ117" s="442">
        <f t="shared" si="383"/>
        <v>0</v>
      </c>
      <c r="DK117" s="442">
        <f t="shared" si="384"/>
        <v>0</v>
      </c>
      <c r="DL117" s="443">
        <f t="shared" si="286"/>
        <v>0</v>
      </c>
      <c r="DN117" s="442">
        <f>IF('2. START'!$C$14&gt;0,(AT117/(1+$AA117))*(1+'2. START'!$C$14),AT117)</f>
        <v>0</v>
      </c>
      <c r="DO117" s="442">
        <f>IF('2. START'!$C$14&gt;0,(AU117/(1+$AA117))*(1+'2. START'!$C$14),AU117)</f>
        <v>0</v>
      </c>
      <c r="DP117" s="442">
        <f>IF('2. START'!$C$14&gt;0,(AV117/(1+$AA117))*(1+'2. START'!$C$14),AV117)</f>
        <v>0</v>
      </c>
      <c r="DQ117" s="442">
        <f>IF('2. START'!$C$14&gt;0,(AW117/(1+$AA117))*(1+'2. START'!$C$14),AW117)</f>
        <v>0</v>
      </c>
      <c r="DR117" s="442">
        <f>IF('2. START'!$C$14&gt;0,(AX117/(1+$AA117))*(1+'2. START'!$C$14),AX117)</f>
        <v>0</v>
      </c>
      <c r="DS117" s="442">
        <f>IF('2. START'!$C$14&gt;0,(AY117/(1+$AA117))*(1+'2. START'!$C$14),AY117)</f>
        <v>0</v>
      </c>
      <c r="DT117" s="442">
        <f>IF('2. START'!$C$14&gt;0,(AZ117/(1+$AA117))*(1+'2. START'!$C$14),AZ117)</f>
        <v>0</v>
      </c>
      <c r="DU117" s="442">
        <f>IF('2. START'!$C$14&gt;0,(BA117/(1+$AA117))*(1+'2. START'!$C$14),BA117)</f>
        <v>0</v>
      </c>
      <c r="DV117" s="442">
        <f>IF('2. START'!$C$14&gt;0,(BB117/(1+$AA117))*(1+'2. START'!$C$14),BB117)</f>
        <v>0</v>
      </c>
      <c r="DW117" s="442">
        <f>IF('2. START'!$C$14&gt;0,(BC117/(1+$AA117))*(1+'2. START'!$C$14),BC117)</f>
        <v>0</v>
      </c>
      <c r="DX117" s="443">
        <f t="shared" si="287"/>
        <v>0</v>
      </c>
      <c r="DZ117" s="442">
        <f>IF('2. START'!$C$11="NO",(IF('2. START'!$C$14&gt;0,(DN117*$AD117),(AT117*$AD117))),(BR117+CP117))</f>
        <v>0</v>
      </c>
      <c r="EA117" s="442">
        <f>IF('2. START'!$C$11="NO",(IF('2. START'!$C$14&gt;0,(DO117*$AD117),(AU117*$AD117))),(BS117+CQ117))</f>
        <v>0</v>
      </c>
      <c r="EB117" s="442">
        <f>IF('2. START'!$C$11="NO",(IF('2. START'!$C$14&gt;0,(DP117*$AD117),(AV117*$AD117))),(BT117+CR117))</f>
        <v>0</v>
      </c>
      <c r="EC117" s="442">
        <f>IF('2. START'!$C$11="NO",(IF('2. START'!$C$14&gt;0,(DQ117*$AD117),(AW117*$AD117))),(BU117+CS117))</f>
        <v>0</v>
      </c>
      <c r="ED117" s="442">
        <f>IF('2. START'!$C$11="NO",(IF('2. START'!$C$14&gt;0,(DR117*$AD117),(AX117*$AD117))),(BV117+CT117))</f>
        <v>0</v>
      </c>
      <c r="EE117" s="442">
        <f>IF('2. START'!$C$11="NO",(IF('2. START'!$C$14&gt;0,(DS117*$AD117),(AY117*$AD117))),(BW117+CU117))</f>
        <v>0</v>
      </c>
      <c r="EF117" s="442">
        <f>IF('2. START'!$C$11="NO",(IF('2. START'!$C$14&gt;0,(DT117*$AD117),(AZ117*$AD117))),(BX117+CV117))</f>
        <v>0</v>
      </c>
      <c r="EG117" s="442">
        <f>IF('2. START'!$C$11="NO",(IF('2. START'!$C$14&gt;0,(DU117*$AD117),(BA117*$AD117))),(BY117+CW117))</f>
        <v>0</v>
      </c>
      <c r="EH117" s="442">
        <f>IF('2. START'!$C$11="NO",(IF('2. START'!$C$14&gt;0,(DV117*$AD117),(BB117*$AD117))),(BZ117+CX117))</f>
        <v>0</v>
      </c>
      <c r="EI117" s="442">
        <f>IF('2. START'!$C$11="NO",(IF('2. START'!$C$14&gt;0,(DW117*$AD117),(BC117*$AD117))),(CA117+CY117))</f>
        <v>0</v>
      </c>
      <c r="EJ117" s="443">
        <f t="shared" si="288"/>
        <v>0</v>
      </c>
      <c r="EL117" s="442">
        <f>(BR117+CP117-DZ117)+IF('2. START'!$C$14&gt;0,AT117-DN117,0)</f>
        <v>0</v>
      </c>
      <c r="EM117" s="442">
        <f>(BS117+CQ117-EA117)+IF('2. START'!$C$14&gt;0,AU117-DO117,0)</f>
        <v>0</v>
      </c>
      <c r="EN117" s="442">
        <f>(BT117+CR117-EB117)+IF('2. START'!$C$14&gt;0,AV117-DP117,0)</f>
        <v>0</v>
      </c>
      <c r="EO117" s="442">
        <f>(BU117+CS117-EC117)+IF('2. START'!$C$14&gt;0,AW117-DQ117,0)</f>
        <v>0</v>
      </c>
      <c r="EP117" s="442">
        <f>(BV117+CT117-ED117)+IF('2. START'!$C$14&gt;0,AX117-DR117,0)</f>
        <v>0</v>
      </c>
      <c r="EQ117" s="442">
        <f>(BW117+CU117-EE117)+IF('2. START'!$C$14&gt;0,AY117-DS117,0)</f>
        <v>0</v>
      </c>
      <c r="ER117" s="442">
        <f>(BX117+CV117-EF117)+IF('2. START'!$C$14&gt;0,AZ117-DT117,0)</f>
        <v>0</v>
      </c>
      <c r="ES117" s="442">
        <f>(BY117+CW117-EG117)+IF('2. START'!$C$14&gt;0,BA117-DU117,0)</f>
        <v>0</v>
      </c>
      <c r="ET117" s="442">
        <f>(BZ117+CX117-EH117)+IF('2. START'!$C$14&gt;0,BB117-DV117,0)</f>
        <v>0</v>
      </c>
      <c r="EU117" s="442">
        <f>(CA117+CY117-EI117)+IF('2. START'!$C$14&gt;0,BC117-DW117,0)</f>
        <v>0</v>
      </c>
      <c r="EV117" s="443">
        <f t="shared" si="289"/>
        <v>0</v>
      </c>
      <c r="EX117" s="442">
        <f t="shared" si="290"/>
        <v>0</v>
      </c>
      <c r="EY117" s="442">
        <f t="shared" si="291"/>
        <v>0</v>
      </c>
      <c r="EZ117" s="442">
        <f t="shared" si="292"/>
        <v>0</v>
      </c>
      <c r="FA117" s="442">
        <f t="shared" si="293"/>
        <v>0</v>
      </c>
      <c r="FB117" s="442">
        <f t="shared" si="294"/>
        <v>0</v>
      </c>
      <c r="FC117" s="442">
        <f t="shared" si="295"/>
        <v>0</v>
      </c>
      <c r="FD117" s="442">
        <f t="shared" si="296"/>
        <v>0</v>
      </c>
      <c r="FE117" s="442">
        <f t="shared" si="297"/>
        <v>0</v>
      </c>
      <c r="FF117" s="442">
        <f t="shared" si="298"/>
        <v>0</v>
      </c>
      <c r="FG117" s="442">
        <f t="shared" si="299"/>
        <v>0</v>
      </c>
      <c r="FH117" s="443">
        <f t="shared" si="300"/>
        <v>0</v>
      </c>
      <c r="FJ117" s="442">
        <f t="shared" si="301"/>
        <v>0</v>
      </c>
      <c r="FK117" s="442">
        <f t="shared" si="302"/>
        <v>0</v>
      </c>
      <c r="FL117" s="442">
        <f t="shared" si="303"/>
        <v>0</v>
      </c>
      <c r="FM117" s="442">
        <f t="shared" si="304"/>
        <v>0</v>
      </c>
      <c r="FN117" s="442">
        <f t="shared" si="305"/>
        <v>0</v>
      </c>
      <c r="FO117" s="442">
        <f t="shared" si="306"/>
        <v>0</v>
      </c>
      <c r="FP117" s="442">
        <f t="shared" si="307"/>
        <v>0</v>
      </c>
      <c r="FQ117" s="442">
        <f t="shared" si="308"/>
        <v>0</v>
      </c>
      <c r="FR117" s="442">
        <f t="shared" si="309"/>
        <v>0</v>
      </c>
      <c r="FS117" s="442">
        <f t="shared" si="310"/>
        <v>0</v>
      </c>
      <c r="FT117" s="443">
        <f t="shared" si="311"/>
        <v>0</v>
      </c>
    </row>
    <row r="118" spans="2:176" s="270" customFormat="1" ht="15" customHeight="1" x14ac:dyDescent="0.25">
      <c r="B118" s="446" t="str">
        <f>'2. START'!C$7</f>
        <v>100GEM</v>
      </c>
      <c r="C118" s="469"/>
      <c r="D118" s="589"/>
      <c r="E118" s="544">
        <v>0</v>
      </c>
      <c r="F118" s="448"/>
      <c r="G118" s="449"/>
      <c r="H118" s="449"/>
      <c r="I118" s="449"/>
      <c r="J118" s="449"/>
      <c r="K118" s="449"/>
      <c r="L118" s="449"/>
      <c r="M118" s="449"/>
      <c r="N118" s="449"/>
      <c r="O118" s="449"/>
      <c r="P118" s="449"/>
      <c r="Q118" s="546">
        <f>SUMIF('3. PARTNER'!$B$13:$B$80,$B118,'3. PARTNER'!$F$13:$F$80)</f>
        <v>0.02</v>
      </c>
      <c r="R118" s="450">
        <f t="shared" si="385"/>
        <v>0.02</v>
      </c>
      <c r="S118" s="450">
        <f t="shared" si="385"/>
        <v>0.02</v>
      </c>
      <c r="T118" s="450">
        <f t="shared" si="385"/>
        <v>0.02</v>
      </c>
      <c r="U118" s="450">
        <f t="shared" si="385"/>
        <v>0.02</v>
      </c>
      <c r="V118" s="450">
        <f t="shared" si="385"/>
        <v>0.02</v>
      </c>
      <c r="W118" s="450">
        <f t="shared" si="385"/>
        <v>0.02</v>
      </c>
      <c r="X118" s="450">
        <f t="shared" si="385"/>
        <v>0.02</v>
      </c>
      <c r="Y118" s="450">
        <f t="shared" si="385"/>
        <v>0.02</v>
      </c>
      <c r="Z118" s="450">
        <f t="shared" si="385"/>
        <v>0.02</v>
      </c>
      <c r="AA118" s="451">
        <f>SUMIF('3. PARTNER'!B$13:B$80,B118,'3. PARTNER'!E$13:E$80)</f>
        <v>0.5595</v>
      </c>
      <c r="AB118" s="452">
        <f>IF('2. START'!$C$20="UTB",(SUMIF('3. PARTNER'!B$13:B$80,B118,'3. PARTNER'!K$13:K$80))+(SUMIF('3. PARTNER'!B$13:B$80,B118,'3. PARTNER'!M$13:M$80)),(SUMIF('3. PARTNER'!B$13:B$80,B118,'3. PARTNER'!G$13:G$80))+(SUMIF('3. PARTNER'!B$13:B$80,B118,'3. PARTNER'!I$13:I$80)))</f>
        <v>0.16000843770704321</v>
      </c>
      <c r="AC118" s="452">
        <f>IF('2. START'!$C$20="UTB",(SUMIF('3. PARTNER'!B$13:B$80,B118,'3. PARTNER'!L$13:L$80))+(SUMIF('3. PARTNER'!B$13:B$80,B118,'3. PARTNER'!N$13:N$80)),(SUMIF('3. PARTNER'!B$13:B$80,B118,'3. PARTNER'!H$13:H$80))+(SUMIF('3. PARTNER'!B$13:B$80,B118,'3. PARTNER'!J$13:J$80)))</f>
        <v>0</v>
      </c>
      <c r="AD118" s="452">
        <f>IF('2. START'!C$11="NO",'2. START'!C$12,0)</f>
        <v>0</v>
      </c>
      <c r="AE118" s="453">
        <f t="shared" si="278"/>
        <v>0</v>
      </c>
      <c r="AF118" s="453">
        <f t="shared" si="279"/>
        <v>0</v>
      </c>
      <c r="AG118" s="454"/>
      <c r="AH118" s="455">
        <f t="shared" si="315"/>
        <v>0</v>
      </c>
      <c r="AI118" s="455">
        <f t="shared" si="316"/>
        <v>0</v>
      </c>
      <c r="AJ118" s="455">
        <f t="shared" si="317"/>
        <v>0</v>
      </c>
      <c r="AK118" s="455">
        <f t="shared" si="318"/>
        <v>0</v>
      </c>
      <c r="AL118" s="455">
        <f t="shared" si="319"/>
        <v>0</v>
      </c>
      <c r="AM118" s="455">
        <f t="shared" si="320"/>
        <v>0</v>
      </c>
      <c r="AN118" s="455">
        <f t="shared" si="321"/>
        <v>0</v>
      </c>
      <c r="AO118" s="455">
        <f t="shared" si="322"/>
        <v>0</v>
      </c>
      <c r="AP118" s="455">
        <f t="shared" si="323"/>
        <v>0</v>
      </c>
      <c r="AQ118" s="455">
        <f t="shared" si="324"/>
        <v>0</v>
      </c>
      <c r="AR118" s="456">
        <f t="shared" si="280"/>
        <v>0</v>
      </c>
      <c r="AS118" s="457"/>
      <c r="AT118" s="455">
        <f t="shared" si="325"/>
        <v>0</v>
      </c>
      <c r="AU118" s="455">
        <f t="shared" si="326"/>
        <v>0</v>
      </c>
      <c r="AV118" s="455">
        <f t="shared" si="327"/>
        <v>0</v>
      </c>
      <c r="AW118" s="455">
        <f t="shared" si="328"/>
        <v>0</v>
      </c>
      <c r="AX118" s="455">
        <f t="shared" si="329"/>
        <v>0</v>
      </c>
      <c r="AY118" s="455">
        <f t="shared" si="330"/>
        <v>0</v>
      </c>
      <c r="AZ118" s="455">
        <f t="shared" si="331"/>
        <v>0</v>
      </c>
      <c r="BA118" s="455">
        <f t="shared" si="332"/>
        <v>0</v>
      </c>
      <c r="BB118" s="455">
        <f t="shared" si="333"/>
        <v>0</v>
      </c>
      <c r="BC118" s="455">
        <f t="shared" si="334"/>
        <v>0</v>
      </c>
      <c r="BD118" s="456">
        <f t="shared" si="281"/>
        <v>0</v>
      </c>
      <c r="BE118" s="457"/>
      <c r="BF118" s="455">
        <f t="shared" si="335"/>
        <v>0</v>
      </c>
      <c r="BG118" s="455">
        <f t="shared" si="336"/>
        <v>0</v>
      </c>
      <c r="BH118" s="455">
        <f t="shared" si="337"/>
        <v>0</v>
      </c>
      <c r="BI118" s="455">
        <f t="shared" si="338"/>
        <v>0</v>
      </c>
      <c r="BJ118" s="455">
        <f t="shared" si="339"/>
        <v>0</v>
      </c>
      <c r="BK118" s="455">
        <f t="shared" si="340"/>
        <v>0</v>
      </c>
      <c r="BL118" s="455">
        <f t="shared" si="341"/>
        <v>0</v>
      </c>
      <c r="BM118" s="455">
        <f t="shared" si="342"/>
        <v>0</v>
      </c>
      <c r="BN118" s="455">
        <f t="shared" si="343"/>
        <v>0</v>
      </c>
      <c r="BO118" s="455">
        <f t="shared" si="344"/>
        <v>0</v>
      </c>
      <c r="BP118" s="456">
        <f t="shared" si="282"/>
        <v>0</v>
      </c>
      <c r="BQ118" s="463"/>
      <c r="BR118" s="459">
        <f t="shared" si="345"/>
        <v>0</v>
      </c>
      <c r="BS118" s="459">
        <f t="shared" si="346"/>
        <v>0</v>
      </c>
      <c r="BT118" s="459">
        <f t="shared" si="347"/>
        <v>0</v>
      </c>
      <c r="BU118" s="459">
        <f t="shared" si="348"/>
        <v>0</v>
      </c>
      <c r="BV118" s="459">
        <f t="shared" si="349"/>
        <v>0</v>
      </c>
      <c r="BW118" s="459">
        <f t="shared" si="350"/>
        <v>0</v>
      </c>
      <c r="BX118" s="459">
        <f t="shared" si="351"/>
        <v>0</v>
      </c>
      <c r="BY118" s="459">
        <f t="shared" si="352"/>
        <v>0</v>
      </c>
      <c r="BZ118" s="459">
        <f t="shared" si="353"/>
        <v>0</v>
      </c>
      <c r="CA118" s="459">
        <f t="shared" si="354"/>
        <v>0</v>
      </c>
      <c r="CB118" s="460">
        <f t="shared" si="283"/>
        <v>0</v>
      </c>
      <c r="CC118" s="463"/>
      <c r="CD118" s="462">
        <f t="shared" si="355"/>
        <v>0</v>
      </c>
      <c r="CE118" s="462">
        <f t="shared" si="356"/>
        <v>0</v>
      </c>
      <c r="CF118" s="462">
        <f t="shared" si="357"/>
        <v>0</v>
      </c>
      <c r="CG118" s="462">
        <f t="shared" si="358"/>
        <v>0</v>
      </c>
      <c r="CH118" s="462">
        <f t="shared" si="359"/>
        <v>0</v>
      </c>
      <c r="CI118" s="462">
        <f t="shared" si="360"/>
        <v>0</v>
      </c>
      <c r="CJ118" s="462">
        <f t="shared" si="361"/>
        <v>0</v>
      </c>
      <c r="CK118" s="462">
        <f t="shared" si="362"/>
        <v>0</v>
      </c>
      <c r="CL118" s="462">
        <f t="shared" si="363"/>
        <v>0</v>
      </c>
      <c r="CM118" s="462">
        <f t="shared" si="364"/>
        <v>0</v>
      </c>
      <c r="CN118" s="460">
        <f t="shared" si="284"/>
        <v>0</v>
      </c>
      <c r="CO118" s="463"/>
      <c r="CP118" s="459">
        <f t="shared" si="365"/>
        <v>0</v>
      </c>
      <c r="CQ118" s="459">
        <f t="shared" si="366"/>
        <v>0</v>
      </c>
      <c r="CR118" s="459">
        <f t="shared" si="367"/>
        <v>0</v>
      </c>
      <c r="CS118" s="459">
        <f t="shared" si="368"/>
        <v>0</v>
      </c>
      <c r="CT118" s="459">
        <f t="shared" si="369"/>
        <v>0</v>
      </c>
      <c r="CU118" s="459">
        <f t="shared" si="370"/>
        <v>0</v>
      </c>
      <c r="CV118" s="459">
        <f t="shared" si="371"/>
        <v>0</v>
      </c>
      <c r="CW118" s="459">
        <f t="shared" si="372"/>
        <v>0</v>
      </c>
      <c r="CX118" s="459">
        <f t="shared" si="373"/>
        <v>0</v>
      </c>
      <c r="CY118" s="459">
        <f t="shared" si="374"/>
        <v>0</v>
      </c>
      <c r="CZ118" s="460">
        <f t="shared" si="285"/>
        <v>0</v>
      </c>
      <c r="DA118" s="463"/>
      <c r="DB118" s="459">
        <f t="shared" si="375"/>
        <v>0</v>
      </c>
      <c r="DC118" s="459">
        <f t="shared" si="376"/>
        <v>0</v>
      </c>
      <c r="DD118" s="459">
        <f t="shared" si="377"/>
        <v>0</v>
      </c>
      <c r="DE118" s="459">
        <f t="shared" si="378"/>
        <v>0</v>
      </c>
      <c r="DF118" s="459">
        <f t="shared" si="379"/>
        <v>0</v>
      </c>
      <c r="DG118" s="459">
        <f t="shared" si="380"/>
        <v>0</v>
      </c>
      <c r="DH118" s="459">
        <f t="shared" si="381"/>
        <v>0</v>
      </c>
      <c r="DI118" s="459">
        <f t="shared" si="382"/>
        <v>0</v>
      </c>
      <c r="DJ118" s="459">
        <f t="shared" si="383"/>
        <v>0</v>
      </c>
      <c r="DK118" s="459">
        <f t="shared" si="384"/>
        <v>0</v>
      </c>
      <c r="DL118" s="460">
        <f t="shared" si="286"/>
        <v>0</v>
      </c>
      <c r="DM118" s="463"/>
      <c r="DN118" s="442">
        <f>IF('2. START'!$C$14&gt;0,(AT118/(1+$AA118))*(1+'2. START'!$C$14),AT118)</f>
        <v>0</v>
      </c>
      <c r="DO118" s="442">
        <f>IF('2. START'!$C$14&gt;0,(AU118/(1+$AA118))*(1+'2. START'!$C$14),AU118)</f>
        <v>0</v>
      </c>
      <c r="DP118" s="442">
        <f>IF('2. START'!$C$14&gt;0,(AV118/(1+$AA118))*(1+'2. START'!$C$14),AV118)</f>
        <v>0</v>
      </c>
      <c r="DQ118" s="442">
        <f>IF('2. START'!$C$14&gt;0,(AW118/(1+$AA118))*(1+'2. START'!$C$14),AW118)</f>
        <v>0</v>
      </c>
      <c r="DR118" s="442">
        <f>IF('2. START'!$C$14&gt;0,(AX118/(1+$AA118))*(1+'2. START'!$C$14),AX118)</f>
        <v>0</v>
      </c>
      <c r="DS118" s="442">
        <f>IF('2. START'!$C$14&gt;0,(AY118/(1+$AA118))*(1+'2. START'!$C$14),AY118)</f>
        <v>0</v>
      </c>
      <c r="DT118" s="442">
        <f>IF('2. START'!$C$14&gt;0,(AZ118/(1+$AA118))*(1+'2. START'!$C$14),AZ118)</f>
        <v>0</v>
      </c>
      <c r="DU118" s="442">
        <f>IF('2. START'!$C$14&gt;0,(BA118/(1+$AA118))*(1+'2. START'!$C$14),BA118)</f>
        <v>0</v>
      </c>
      <c r="DV118" s="442">
        <f>IF('2. START'!$C$14&gt;0,(BB118/(1+$AA118))*(1+'2. START'!$C$14),BB118)</f>
        <v>0</v>
      </c>
      <c r="DW118" s="442">
        <f>IF('2. START'!$C$14&gt;0,(BC118/(1+$AA118))*(1+'2. START'!$C$14),BC118)</f>
        <v>0</v>
      </c>
      <c r="DX118" s="460">
        <f t="shared" si="287"/>
        <v>0</v>
      </c>
      <c r="DY118" s="463"/>
      <c r="DZ118" s="459">
        <f>IF('2. START'!$C$11="NO",(IF('2. START'!$C$14&gt;0,(DN118*$AD118),(AT118*$AD118))),(BR118+CP118))</f>
        <v>0</v>
      </c>
      <c r="EA118" s="459">
        <f>IF('2. START'!$C$11="NO",(IF('2. START'!$C$14&gt;0,(DO118*$AD118),(AU118*$AD118))),(BS118+CQ118))</f>
        <v>0</v>
      </c>
      <c r="EB118" s="459">
        <f>IF('2. START'!$C$11="NO",(IF('2. START'!$C$14&gt;0,(DP118*$AD118),(AV118*$AD118))),(BT118+CR118))</f>
        <v>0</v>
      </c>
      <c r="EC118" s="459">
        <f>IF('2. START'!$C$11="NO",(IF('2. START'!$C$14&gt;0,(DQ118*$AD118),(AW118*$AD118))),(BU118+CS118))</f>
        <v>0</v>
      </c>
      <c r="ED118" s="459">
        <f>IF('2. START'!$C$11="NO",(IF('2. START'!$C$14&gt;0,(DR118*$AD118),(AX118*$AD118))),(BV118+CT118))</f>
        <v>0</v>
      </c>
      <c r="EE118" s="459">
        <f>IF('2. START'!$C$11="NO",(IF('2. START'!$C$14&gt;0,(DS118*$AD118),(AY118*$AD118))),(BW118+CU118))</f>
        <v>0</v>
      </c>
      <c r="EF118" s="459">
        <f>IF('2. START'!$C$11="NO",(IF('2. START'!$C$14&gt;0,(DT118*$AD118),(AZ118*$AD118))),(BX118+CV118))</f>
        <v>0</v>
      </c>
      <c r="EG118" s="459">
        <f>IF('2. START'!$C$11="NO",(IF('2. START'!$C$14&gt;0,(DU118*$AD118),(BA118*$AD118))),(BY118+CW118))</f>
        <v>0</v>
      </c>
      <c r="EH118" s="459">
        <f>IF('2. START'!$C$11="NO",(IF('2. START'!$C$14&gt;0,(DV118*$AD118),(BB118*$AD118))),(BZ118+CX118))</f>
        <v>0</v>
      </c>
      <c r="EI118" s="459">
        <f>IF('2. START'!$C$11="NO",(IF('2. START'!$C$14&gt;0,(DW118*$AD118),(BC118*$AD118))),(CA118+CY118))</f>
        <v>0</v>
      </c>
      <c r="EJ118" s="460">
        <f t="shared" si="288"/>
        <v>0</v>
      </c>
      <c r="EK118" s="463"/>
      <c r="EL118" s="459">
        <f>(BR118+CP118-DZ118)+IF('2. START'!$C$14&gt;0,AT118-DN118,0)</f>
        <v>0</v>
      </c>
      <c r="EM118" s="459">
        <f>(BS118+CQ118-EA118)+IF('2. START'!$C$14&gt;0,AU118-DO118,0)</f>
        <v>0</v>
      </c>
      <c r="EN118" s="459">
        <f>(BT118+CR118-EB118)+IF('2. START'!$C$14&gt;0,AV118-DP118,0)</f>
        <v>0</v>
      </c>
      <c r="EO118" s="459">
        <f>(BU118+CS118-EC118)+IF('2. START'!$C$14&gt;0,AW118-DQ118,0)</f>
        <v>0</v>
      </c>
      <c r="EP118" s="459">
        <f>(BV118+CT118-ED118)+IF('2. START'!$C$14&gt;0,AX118-DR118,0)</f>
        <v>0</v>
      </c>
      <c r="EQ118" s="459">
        <f>(BW118+CU118-EE118)+IF('2. START'!$C$14&gt;0,AY118-DS118,0)</f>
        <v>0</v>
      </c>
      <c r="ER118" s="459">
        <f>(BX118+CV118-EF118)+IF('2. START'!$C$14&gt;0,AZ118-DT118,0)</f>
        <v>0</v>
      </c>
      <c r="ES118" s="459">
        <f>(BY118+CW118-EG118)+IF('2. START'!$C$14&gt;0,BA118-DU118,0)</f>
        <v>0</v>
      </c>
      <c r="ET118" s="459">
        <f>(BZ118+CX118-EH118)+IF('2. START'!$C$14&gt;0,BB118-DV118,0)</f>
        <v>0</v>
      </c>
      <c r="EU118" s="459">
        <f>(CA118+CY118-EI118)+IF('2. START'!$C$14&gt;0,BC118-DW118,0)</f>
        <v>0</v>
      </c>
      <c r="EV118" s="460">
        <f t="shared" si="289"/>
        <v>0</v>
      </c>
      <c r="EW118" s="463"/>
      <c r="EX118" s="459">
        <f t="shared" si="290"/>
        <v>0</v>
      </c>
      <c r="EY118" s="459">
        <f t="shared" si="291"/>
        <v>0</v>
      </c>
      <c r="EZ118" s="459">
        <f t="shared" si="292"/>
        <v>0</v>
      </c>
      <c r="FA118" s="459">
        <f t="shared" si="293"/>
        <v>0</v>
      </c>
      <c r="FB118" s="459">
        <f t="shared" si="294"/>
        <v>0</v>
      </c>
      <c r="FC118" s="459">
        <f t="shared" si="295"/>
        <v>0</v>
      </c>
      <c r="FD118" s="459">
        <f t="shared" si="296"/>
        <v>0</v>
      </c>
      <c r="FE118" s="459">
        <f t="shared" si="297"/>
        <v>0</v>
      </c>
      <c r="FF118" s="459">
        <f t="shared" si="298"/>
        <v>0</v>
      </c>
      <c r="FG118" s="459">
        <f t="shared" si="299"/>
        <v>0</v>
      </c>
      <c r="FH118" s="460">
        <f t="shared" si="300"/>
        <v>0</v>
      </c>
      <c r="FI118" s="463"/>
      <c r="FJ118" s="459">
        <f t="shared" si="301"/>
        <v>0</v>
      </c>
      <c r="FK118" s="459">
        <f t="shared" si="302"/>
        <v>0</v>
      </c>
      <c r="FL118" s="459">
        <f t="shared" si="303"/>
        <v>0</v>
      </c>
      <c r="FM118" s="459">
        <f t="shared" si="304"/>
        <v>0</v>
      </c>
      <c r="FN118" s="459">
        <f t="shared" si="305"/>
        <v>0</v>
      </c>
      <c r="FO118" s="459">
        <f t="shared" si="306"/>
        <v>0</v>
      </c>
      <c r="FP118" s="459">
        <f t="shared" si="307"/>
        <v>0</v>
      </c>
      <c r="FQ118" s="459">
        <f t="shared" si="308"/>
        <v>0</v>
      </c>
      <c r="FR118" s="459">
        <f t="shared" si="309"/>
        <v>0</v>
      </c>
      <c r="FS118" s="459">
        <f t="shared" si="310"/>
        <v>0</v>
      </c>
      <c r="FT118" s="460">
        <f t="shared" si="311"/>
        <v>0</v>
      </c>
    </row>
    <row r="119" spans="2:176" s="270" customFormat="1" ht="15" customHeight="1" x14ac:dyDescent="0.25">
      <c r="B119" s="464" t="str">
        <f>'2. START'!C$7</f>
        <v>100GEM</v>
      </c>
      <c r="C119" s="470"/>
      <c r="D119" s="590"/>
      <c r="E119" s="514">
        <v>0</v>
      </c>
      <c r="F119" s="467"/>
      <c r="G119" s="432"/>
      <c r="H119" s="432"/>
      <c r="I119" s="432"/>
      <c r="J119" s="432"/>
      <c r="K119" s="432"/>
      <c r="L119" s="432"/>
      <c r="M119" s="432"/>
      <c r="N119" s="432"/>
      <c r="O119" s="432"/>
      <c r="P119" s="432"/>
      <c r="Q119" s="545">
        <f>SUMIF('3. PARTNER'!$B$13:$B$80,$B119,'3. PARTNER'!$F$13:$F$80)</f>
        <v>0.02</v>
      </c>
      <c r="R119" s="466">
        <f t="shared" si="385"/>
        <v>0.02</v>
      </c>
      <c r="S119" s="466">
        <f t="shared" si="385"/>
        <v>0.02</v>
      </c>
      <c r="T119" s="466">
        <f t="shared" si="385"/>
        <v>0.02</v>
      </c>
      <c r="U119" s="466">
        <f t="shared" si="385"/>
        <v>0.02</v>
      </c>
      <c r="V119" s="466">
        <f t="shared" si="385"/>
        <v>0.02</v>
      </c>
      <c r="W119" s="466">
        <f t="shared" si="385"/>
        <v>0.02</v>
      </c>
      <c r="X119" s="466">
        <f t="shared" si="385"/>
        <v>0.02</v>
      </c>
      <c r="Y119" s="466">
        <f t="shared" si="385"/>
        <v>0.02</v>
      </c>
      <c r="Z119" s="466">
        <f t="shared" si="385"/>
        <v>0.02</v>
      </c>
      <c r="AA119" s="434">
        <f>SUMIF('3. PARTNER'!B$13:B$80,B119,'3. PARTNER'!E$13:E$80)</f>
        <v>0.5595</v>
      </c>
      <c r="AB119" s="435">
        <f>IF('2. START'!$C$20="UTB",(SUMIF('3. PARTNER'!B$13:B$80,B119,'3. PARTNER'!K$13:K$80))+(SUMIF('3. PARTNER'!B$13:B$80,B119,'3. PARTNER'!M$13:M$80)),(SUMIF('3. PARTNER'!B$13:B$80,B119,'3. PARTNER'!G$13:G$80))+(SUMIF('3. PARTNER'!B$13:B$80,B119,'3. PARTNER'!I$13:I$80)))</f>
        <v>0.16000843770704321</v>
      </c>
      <c r="AC119" s="435">
        <f>IF('2. START'!$C$20="UTB",(SUMIF('3. PARTNER'!B$13:B$80,B119,'3. PARTNER'!L$13:L$80))+(SUMIF('3. PARTNER'!B$13:B$80,B119,'3. PARTNER'!N$13:N$80)),(SUMIF('3. PARTNER'!B$13:B$80,B119,'3. PARTNER'!H$13:H$80))+(SUMIF('3. PARTNER'!B$13:B$80,B119,'3. PARTNER'!J$13:J$80)))</f>
        <v>0</v>
      </c>
      <c r="AD119" s="435">
        <f>IF('2. START'!C$11="NO",'2. START'!C$12,0)</f>
        <v>0</v>
      </c>
      <c r="AE119" s="436">
        <f t="shared" si="278"/>
        <v>0</v>
      </c>
      <c r="AF119" s="436">
        <f t="shared" si="279"/>
        <v>0</v>
      </c>
      <c r="AG119" s="437"/>
      <c r="AH119" s="438">
        <f t="shared" si="315"/>
        <v>0</v>
      </c>
      <c r="AI119" s="438">
        <f t="shared" si="316"/>
        <v>0</v>
      </c>
      <c r="AJ119" s="438">
        <f t="shared" si="317"/>
        <v>0</v>
      </c>
      <c r="AK119" s="438">
        <f t="shared" si="318"/>
        <v>0</v>
      </c>
      <c r="AL119" s="438">
        <f t="shared" si="319"/>
        <v>0</v>
      </c>
      <c r="AM119" s="438">
        <f t="shared" si="320"/>
        <v>0</v>
      </c>
      <c r="AN119" s="438">
        <f t="shared" si="321"/>
        <v>0</v>
      </c>
      <c r="AO119" s="438">
        <f t="shared" si="322"/>
        <v>0</v>
      </c>
      <c r="AP119" s="438">
        <f t="shared" si="323"/>
        <v>0</v>
      </c>
      <c r="AQ119" s="438">
        <f t="shared" si="324"/>
        <v>0</v>
      </c>
      <c r="AR119" s="439">
        <f t="shared" si="280"/>
        <v>0</v>
      </c>
      <c r="AS119" s="440"/>
      <c r="AT119" s="438">
        <f t="shared" si="325"/>
        <v>0</v>
      </c>
      <c r="AU119" s="438">
        <f t="shared" si="326"/>
        <v>0</v>
      </c>
      <c r="AV119" s="438">
        <f t="shared" si="327"/>
        <v>0</v>
      </c>
      <c r="AW119" s="438">
        <f t="shared" si="328"/>
        <v>0</v>
      </c>
      <c r="AX119" s="438">
        <f t="shared" si="329"/>
        <v>0</v>
      </c>
      <c r="AY119" s="438">
        <f t="shared" si="330"/>
        <v>0</v>
      </c>
      <c r="AZ119" s="438">
        <f t="shared" si="331"/>
        <v>0</v>
      </c>
      <c r="BA119" s="438">
        <f t="shared" si="332"/>
        <v>0</v>
      </c>
      <c r="BB119" s="438">
        <f t="shared" si="333"/>
        <v>0</v>
      </c>
      <c r="BC119" s="438">
        <f t="shared" si="334"/>
        <v>0</v>
      </c>
      <c r="BD119" s="439">
        <f t="shared" si="281"/>
        <v>0</v>
      </c>
      <c r="BE119" s="440"/>
      <c r="BF119" s="438">
        <f t="shared" si="335"/>
        <v>0</v>
      </c>
      <c r="BG119" s="438">
        <f t="shared" si="336"/>
        <v>0</v>
      </c>
      <c r="BH119" s="438">
        <f t="shared" si="337"/>
        <v>0</v>
      </c>
      <c r="BI119" s="438">
        <f t="shared" si="338"/>
        <v>0</v>
      </c>
      <c r="BJ119" s="438">
        <f t="shared" si="339"/>
        <v>0</v>
      </c>
      <c r="BK119" s="438">
        <f t="shared" si="340"/>
        <v>0</v>
      </c>
      <c r="BL119" s="438">
        <f t="shared" si="341"/>
        <v>0</v>
      </c>
      <c r="BM119" s="438">
        <f t="shared" si="342"/>
        <v>0</v>
      </c>
      <c r="BN119" s="438">
        <f t="shared" si="343"/>
        <v>0</v>
      </c>
      <c r="BO119" s="438">
        <f t="shared" si="344"/>
        <v>0</v>
      </c>
      <c r="BP119" s="439">
        <f t="shared" si="282"/>
        <v>0</v>
      </c>
      <c r="BR119" s="442">
        <f t="shared" si="345"/>
        <v>0</v>
      </c>
      <c r="BS119" s="442">
        <f t="shared" si="346"/>
        <v>0</v>
      </c>
      <c r="BT119" s="442">
        <f t="shared" si="347"/>
        <v>0</v>
      </c>
      <c r="BU119" s="442">
        <f t="shared" si="348"/>
        <v>0</v>
      </c>
      <c r="BV119" s="442">
        <f t="shared" si="349"/>
        <v>0</v>
      </c>
      <c r="BW119" s="442">
        <f t="shared" si="350"/>
        <v>0</v>
      </c>
      <c r="BX119" s="442">
        <f t="shared" si="351"/>
        <v>0</v>
      </c>
      <c r="BY119" s="442">
        <f t="shared" si="352"/>
        <v>0</v>
      </c>
      <c r="BZ119" s="442">
        <f t="shared" si="353"/>
        <v>0</v>
      </c>
      <c r="CA119" s="442">
        <f t="shared" si="354"/>
        <v>0</v>
      </c>
      <c r="CB119" s="443">
        <f t="shared" si="283"/>
        <v>0</v>
      </c>
      <c r="CD119" s="445">
        <f t="shared" si="355"/>
        <v>0</v>
      </c>
      <c r="CE119" s="445">
        <f t="shared" si="356"/>
        <v>0</v>
      </c>
      <c r="CF119" s="445">
        <f t="shared" si="357"/>
        <v>0</v>
      </c>
      <c r="CG119" s="445">
        <f t="shared" si="358"/>
        <v>0</v>
      </c>
      <c r="CH119" s="445">
        <f t="shared" si="359"/>
        <v>0</v>
      </c>
      <c r="CI119" s="445">
        <f t="shared" si="360"/>
        <v>0</v>
      </c>
      <c r="CJ119" s="445">
        <f t="shared" si="361"/>
        <v>0</v>
      </c>
      <c r="CK119" s="445">
        <f t="shared" si="362"/>
        <v>0</v>
      </c>
      <c r="CL119" s="445">
        <f t="shared" si="363"/>
        <v>0</v>
      </c>
      <c r="CM119" s="445">
        <f t="shared" si="364"/>
        <v>0</v>
      </c>
      <c r="CN119" s="443">
        <f t="shared" si="284"/>
        <v>0</v>
      </c>
      <c r="CP119" s="442">
        <f t="shared" si="365"/>
        <v>0</v>
      </c>
      <c r="CQ119" s="442">
        <f t="shared" si="366"/>
        <v>0</v>
      </c>
      <c r="CR119" s="442">
        <f t="shared" si="367"/>
        <v>0</v>
      </c>
      <c r="CS119" s="442">
        <f t="shared" si="368"/>
        <v>0</v>
      </c>
      <c r="CT119" s="442">
        <f t="shared" si="369"/>
        <v>0</v>
      </c>
      <c r="CU119" s="442">
        <f t="shared" si="370"/>
        <v>0</v>
      </c>
      <c r="CV119" s="442">
        <f t="shared" si="371"/>
        <v>0</v>
      </c>
      <c r="CW119" s="442">
        <f t="shared" si="372"/>
        <v>0</v>
      </c>
      <c r="CX119" s="442">
        <f t="shared" si="373"/>
        <v>0</v>
      </c>
      <c r="CY119" s="442">
        <f t="shared" si="374"/>
        <v>0</v>
      </c>
      <c r="CZ119" s="443">
        <f t="shared" si="285"/>
        <v>0</v>
      </c>
      <c r="DB119" s="442">
        <f t="shared" si="375"/>
        <v>0</v>
      </c>
      <c r="DC119" s="442">
        <f t="shared" si="376"/>
        <v>0</v>
      </c>
      <c r="DD119" s="442">
        <f t="shared" si="377"/>
        <v>0</v>
      </c>
      <c r="DE119" s="442">
        <f t="shared" si="378"/>
        <v>0</v>
      </c>
      <c r="DF119" s="442">
        <f t="shared" si="379"/>
        <v>0</v>
      </c>
      <c r="DG119" s="442">
        <f t="shared" si="380"/>
        <v>0</v>
      </c>
      <c r="DH119" s="442">
        <f t="shared" si="381"/>
        <v>0</v>
      </c>
      <c r="DI119" s="442">
        <f t="shared" si="382"/>
        <v>0</v>
      </c>
      <c r="DJ119" s="442">
        <f t="shared" si="383"/>
        <v>0</v>
      </c>
      <c r="DK119" s="442">
        <f t="shared" si="384"/>
        <v>0</v>
      </c>
      <c r="DL119" s="443">
        <f t="shared" si="286"/>
        <v>0</v>
      </c>
      <c r="DN119" s="442">
        <f>IF('2. START'!$C$14&gt;0,(AT119/(1+$AA119))*(1+'2. START'!$C$14),AT119)</f>
        <v>0</v>
      </c>
      <c r="DO119" s="442">
        <f>IF('2. START'!$C$14&gt;0,(AU119/(1+$AA119))*(1+'2. START'!$C$14),AU119)</f>
        <v>0</v>
      </c>
      <c r="DP119" s="442">
        <f>IF('2. START'!$C$14&gt;0,(AV119/(1+$AA119))*(1+'2. START'!$C$14),AV119)</f>
        <v>0</v>
      </c>
      <c r="DQ119" s="442">
        <f>IF('2. START'!$C$14&gt;0,(AW119/(1+$AA119))*(1+'2. START'!$C$14),AW119)</f>
        <v>0</v>
      </c>
      <c r="DR119" s="442">
        <f>IF('2. START'!$C$14&gt;0,(AX119/(1+$AA119))*(1+'2. START'!$C$14),AX119)</f>
        <v>0</v>
      </c>
      <c r="DS119" s="442">
        <f>IF('2. START'!$C$14&gt;0,(AY119/(1+$AA119))*(1+'2. START'!$C$14),AY119)</f>
        <v>0</v>
      </c>
      <c r="DT119" s="442">
        <f>IF('2. START'!$C$14&gt;0,(AZ119/(1+$AA119))*(1+'2. START'!$C$14),AZ119)</f>
        <v>0</v>
      </c>
      <c r="DU119" s="442">
        <f>IF('2. START'!$C$14&gt;0,(BA119/(1+$AA119))*(1+'2. START'!$C$14),BA119)</f>
        <v>0</v>
      </c>
      <c r="DV119" s="442">
        <f>IF('2. START'!$C$14&gt;0,(BB119/(1+$AA119))*(1+'2. START'!$C$14),BB119)</f>
        <v>0</v>
      </c>
      <c r="DW119" s="442">
        <f>IF('2. START'!$C$14&gt;0,(BC119/(1+$AA119))*(1+'2. START'!$C$14),BC119)</f>
        <v>0</v>
      </c>
      <c r="DX119" s="443">
        <f t="shared" si="287"/>
        <v>0</v>
      </c>
      <c r="DZ119" s="442">
        <f>IF('2. START'!$C$11="NO",(IF('2. START'!$C$14&gt;0,(DN119*$AD119),(AT119*$AD119))),(BR119+CP119))</f>
        <v>0</v>
      </c>
      <c r="EA119" s="442">
        <f>IF('2. START'!$C$11="NO",(IF('2. START'!$C$14&gt;0,(DO119*$AD119),(AU119*$AD119))),(BS119+CQ119))</f>
        <v>0</v>
      </c>
      <c r="EB119" s="442">
        <f>IF('2. START'!$C$11="NO",(IF('2. START'!$C$14&gt;0,(DP119*$AD119),(AV119*$AD119))),(BT119+CR119))</f>
        <v>0</v>
      </c>
      <c r="EC119" s="442">
        <f>IF('2. START'!$C$11="NO",(IF('2. START'!$C$14&gt;0,(DQ119*$AD119),(AW119*$AD119))),(BU119+CS119))</f>
        <v>0</v>
      </c>
      <c r="ED119" s="442">
        <f>IF('2. START'!$C$11="NO",(IF('2. START'!$C$14&gt;0,(DR119*$AD119),(AX119*$AD119))),(BV119+CT119))</f>
        <v>0</v>
      </c>
      <c r="EE119" s="442">
        <f>IF('2. START'!$C$11="NO",(IF('2. START'!$C$14&gt;0,(DS119*$AD119),(AY119*$AD119))),(BW119+CU119))</f>
        <v>0</v>
      </c>
      <c r="EF119" s="442">
        <f>IF('2. START'!$C$11="NO",(IF('2. START'!$C$14&gt;0,(DT119*$AD119),(AZ119*$AD119))),(BX119+CV119))</f>
        <v>0</v>
      </c>
      <c r="EG119" s="442">
        <f>IF('2. START'!$C$11="NO",(IF('2. START'!$C$14&gt;0,(DU119*$AD119),(BA119*$AD119))),(BY119+CW119))</f>
        <v>0</v>
      </c>
      <c r="EH119" s="442">
        <f>IF('2. START'!$C$11="NO",(IF('2. START'!$C$14&gt;0,(DV119*$AD119),(BB119*$AD119))),(BZ119+CX119))</f>
        <v>0</v>
      </c>
      <c r="EI119" s="442">
        <f>IF('2. START'!$C$11="NO",(IF('2. START'!$C$14&gt;0,(DW119*$AD119),(BC119*$AD119))),(CA119+CY119))</f>
        <v>0</v>
      </c>
      <c r="EJ119" s="443">
        <f t="shared" si="288"/>
        <v>0</v>
      </c>
      <c r="EL119" s="442">
        <f>(BR119+CP119-DZ119)+IF('2. START'!$C$14&gt;0,AT119-DN119,0)</f>
        <v>0</v>
      </c>
      <c r="EM119" s="442">
        <f>(BS119+CQ119-EA119)+IF('2. START'!$C$14&gt;0,AU119-DO119,0)</f>
        <v>0</v>
      </c>
      <c r="EN119" s="442">
        <f>(BT119+CR119-EB119)+IF('2. START'!$C$14&gt;0,AV119-DP119,0)</f>
        <v>0</v>
      </c>
      <c r="EO119" s="442">
        <f>(BU119+CS119-EC119)+IF('2. START'!$C$14&gt;0,AW119-DQ119,0)</f>
        <v>0</v>
      </c>
      <c r="EP119" s="442">
        <f>(BV119+CT119-ED119)+IF('2. START'!$C$14&gt;0,AX119-DR119,0)</f>
        <v>0</v>
      </c>
      <c r="EQ119" s="442">
        <f>(BW119+CU119-EE119)+IF('2. START'!$C$14&gt;0,AY119-DS119,0)</f>
        <v>0</v>
      </c>
      <c r="ER119" s="442">
        <f>(BX119+CV119-EF119)+IF('2. START'!$C$14&gt;0,AZ119-DT119,0)</f>
        <v>0</v>
      </c>
      <c r="ES119" s="442">
        <f>(BY119+CW119-EG119)+IF('2. START'!$C$14&gt;0,BA119-DU119,0)</f>
        <v>0</v>
      </c>
      <c r="ET119" s="442">
        <f>(BZ119+CX119-EH119)+IF('2. START'!$C$14&gt;0,BB119-DV119,0)</f>
        <v>0</v>
      </c>
      <c r="EU119" s="442">
        <f>(CA119+CY119-EI119)+IF('2. START'!$C$14&gt;0,BC119-DW119,0)</f>
        <v>0</v>
      </c>
      <c r="EV119" s="443">
        <f t="shared" si="289"/>
        <v>0</v>
      </c>
      <c r="EX119" s="442">
        <f t="shared" si="290"/>
        <v>0</v>
      </c>
      <c r="EY119" s="442">
        <f t="shared" si="291"/>
        <v>0</v>
      </c>
      <c r="EZ119" s="442">
        <f t="shared" si="292"/>
        <v>0</v>
      </c>
      <c r="FA119" s="442">
        <f t="shared" si="293"/>
        <v>0</v>
      </c>
      <c r="FB119" s="442">
        <f t="shared" si="294"/>
        <v>0</v>
      </c>
      <c r="FC119" s="442">
        <f t="shared" si="295"/>
        <v>0</v>
      </c>
      <c r="FD119" s="442">
        <f t="shared" si="296"/>
        <v>0</v>
      </c>
      <c r="FE119" s="442">
        <f t="shared" si="297"/>
        <v>0</v>
      </c>
      <c r="FF119" s="442">
        <f t="shared" si="298"/>
        <v>0</v>
      </c>
      <c r="FG119" s="442">
        <f t="shared" si="299"/>
        <v>0</v>
      </c>
      <c r="FH119" s="443">
        <f t="shared" si="300"/>
        <v>0</v>
      </c>
      <c r="FJ119" s="442">
        <f t="shared" si="301"/>
        <v>0</v>
      </c>
      <c r="FK119" s="442">
        <f t="shared" si="302"/>
        <v>0</v>
      </c>
      <c r="FL119" s="442">
        <f t="shared" si="303"/>
        <v>0</v>
      </c>
      <c r="FM119" s="442">
        <f t="shared" si="304"/>
        <v>0</v>
      </c>
      <c r="FN119" s="442">
        <f t="shared" si="305"/>
        <v>0</v>
      </c>
      <c r="FO119" s="442">
        <f t="shared" si="306"/>
        <v>0</v>
      </c>
      <c r="FP119" s="442">
        <f t="shared" si="307"/>
        <v>0</v>
      </c>
      <c r="FQ119" s="442">
        <f t="shared" si="308"/>
        <v>0</v>
      </c>
      <c r="FR119" s="442">
        <f t="shared" si="309"/>
        <v>0</v>
      </c>
      <c r="FS119" s="442">
        <f t="shared" si="310"/>
        <v>0</v>
      </c>
      <c r="FT119" s="443">
        <f t="shared" si="311"/>
        <v>0</v>
      </c>
    </row>
    <row r="120" spans="2:176" s="270" customFormat="1" ht="15" customHeight="1" x14ac:dyDescent="0.25">
      <c r="B120" s="446" t="str">
        <f>'2. START'!C$7</f>
        <v>100GEM</v>
      </c>
      <c r="C120" s="469"/>
      <c r="D120" s="589"/>
      <c r="E120" s="544">
        <v>0</v>
      </c>
      <c r="F120" s="448"/>
      <c r="G120" s="449"/>
      <c r="H120" s="449"/>
      <c r="I120" s="449"/>
      <c r="J120" s="449"/>
      <c r="K120" s="449"/>
      <c r="L120" s="449"/>
      <c r="M120" s="449"/>
      <c r="N120" s="449"/>
      <c r="O120" s="449"/>
      <c r="P120" s="449"/>
      <c r="Q120" s="546">
        <f>SUMIF('3. PARTNER'!$B$13:$B$80,$B120,'3. PARTNER'!$F$13:$F$80)</f>
        <v>0.02</v>
      </c>
      <c r="R120" s="450">
        <f t="shared" si="385"/>
        <v>0.02</v>
      </c>
      <c r="S120" s="450">
        <f t="shared" si="385"/>
        <v>0.02</v>
      </c>
      <c r="T120" s="450">
        <f t="shared" si="385"/>
        <v>0.02</v>
      </c>
      <c r="U120" s="450">
        <f t="shared" si="385"/>
        <v>0.02</v>
      </c>
      <c r="V120" s="450">
        <f t="shared" si="385"/>
        <v>0.02</v>
      </c>
      <c r="W120" s="450">
        <f t="shared" si="385"/>
        <v>0.02</v>
      </c>
      <c r="X120" s="450">
        <f t="shared" si="385"/>
        <v>0.02</v>
      </c>
      <c r="Y120" s="450">
        <f t="shared" si="385"/>
        <v>0.02</v>
      </c>
      <c r="Z120" s="450">
        <f t="shared" si="385"/>
        <v>0.02</v>
      </c>
      <c r="AA120" s="451">
        <f>SUMIF('3. PARTNER'!B$13:B$80,B120,'3. PARTNER'!E$13:E$80)</f>
        <v>0.5595</v>
      </c>
      <c r="AB120" s="452">
        <f>IF('2. START'!$C$20="UTB",(SUMIF('3. PARTNER'!B$13:B$80,B120,'3. PARTNER'!K$13:K$80))+(SUMIF('3. PARTNER'!B$13:B$80,B120,'3. PARTNER'!M$13:M$80)),(SUMIF('3. PARTNER'!B$13:B$80,B120,'3. PARTNER'!G$13:G$80))+(SUMIF('3. PARTNER'!B$13:B$80,B120,'3. PARTNER'!I$13:I$80)))</f>
        <v>0.16000843770704321</v>
      </c>
      <c r="AC120" s="452">
        <f>IF('2. START'!$C$20="UTB",(SUMIF('3. PARTNER'!B$13:B$80,B120,'3. PARTNER'!L$13:L$80))+(SUMIF('3. PARTNER'!B$13:B$80,B120,'3. PARTNER'!N$13:N$80)),(SUMIF('3. PARTNER'!B$13:B$80,B120,'3. PARTNER'!H$13:H$80))+(SUMIF('3. PARTNER'!B$13:B$80,B120,'3. PARTNER'!J$13:J$80)))</f>
        <v>0</v>
      </c>
      <c r="AD120" s="452">
        <f>IF('2. START'!C$11="NO",'2. START'!C$12,0)</f>
        <v>0</v>
      </c>
      <c r="AE120" s="453">
        <f t="shared" si="278"/>
        <v>0</v>
      </c>
      <c r="AF120" s="453">
        <f t="shared" si="279"/>
        <v>0</v>
      </c>
      <c r="AG120" s="454"/>
      <c r="AH120" s="455">
        <f t="shared" si="315"/>
        <v>0</v>
      </c>
      <c r="AI120" s="455">
        <f t="shared" si="316"/>
        <v>0</v>
      </c>
      <c r="AJ120" s="455">
        <f t="shared" si="317"/>
        <v>0</v>
      </c>
      <c r="AK120" s="455">
        <f t="shared" si="318"/>
        <v>0</v>
      </c>
      <c r="AL120" s="455">
        <f t="shared" si="319"/>
        <v>0</v>
      </c>
      <c r="AM120" s="455">
        <f t="shared" si="320"/>
        <v>0</v>
      </c>
      <c r="AN120" s="455">
        <f t="shared" si="321"/>
        <v>0</v>
      </c>
      <c r="AO120" s="455">
        <f t="shared" si="322"/>
        <v>0</v>
      </c>
      <c r="AP120" s="455">
        <f t="shared" si="323"/>
        <v>0</v>
      </c>
      <c r="AQ120" s="455">
        <f t="shared" si="324"/>
        <v>0</v>
      </c>
      <c r="AR120" s="456">
        <f t="shared" si="280"/>
        <v>0</v>
      </c>
      <c r="AS120" s="457"/>
      <c r="AT120" s="455">
        <f t="shared" si="325"/>
        <v>0</v>
      </c>
      <c r="AU120" s="455">
        <f t="shared" si="326"/>
        <v>0</v>
      </c>
      <c r="AV120" s="455">
        <f t="shared" si="327"/>
        <v>0</v>
      </c>
      <c r="AW120" s="455">
        <f t="shared" si="328"/>
        <v>0</v>
      </c>
      <c r="AX120" s="455">
        <f t="shared" si="329"/>
        <v>0</v>
      </c>
      <c r="AY120" s="455">
        <f t="shared" si="330"/>
        <v>0</v>
      </c>
      <c r="AZ120" s="455">
        <f t="shared" si="331"/>
        <v>0</v>
      </c>
      <c r="BA120" s="455">
        <f t="shared" si="332"/>
        <v>0</v>
      </c>
      <c r="BB120" s="455">
        <f t="shared" si="333"/>
        <v>0</v>
      </c>
      <c r="BC120" s="455">
        <f t="shared" si="334"/>
        <v>0</v>
      </c>
      <c r="BD120" s="456">
        <f t="shared" si="281"/>
        <v>0</v>
      </c>
      <c r="BE120" s="457"/>
      <c r="BF120" s="455">
        <f t="shared" si="335"/>
        <v>0</v>
      </c>
      <c r="BG120" s="455">
        <f t="shared" si="336"/>
        <v>0</v>
      </c>
      <c r="BH120" s="455">
        <f t="shared" si="337"/>
        <v>0</v>
      </c>
      <c r="BI120" s="455">
        <f t="shared" si="338"/>
        <v>0</v>
      </c>
      <c r="BJ120" s="455">
        <f t="shared" si="339"/>
        <v>0</v>
      </c>
      <c r="BK120" s="455">
        <f t="shared" si="340"/>
        <v>0</v>
      </c>
      <c r="BL120" s="455">
        <f t="shared" si="341"/>
        <v>0</v>
      </c>
      <c r="BM120" s="455">
        <f t="shared" si="342"/>
        <v>0</v>
      </c>
      <c r="BN120" s="455">
        <f t="shared" si="343"/>
        <v>0</v>
      </c>
      <c r="BO120" s="455">
        <f t="shared" si="344"/>
        <v>0</v>
      </c>
      <c r="BP120" s="456">
        <f t="shared" si="282"/>
        <v>0</v>
      </c>
      <c r="BQ120" s="463"/>
      <c r="BR120" s="459">
        <f t="shared" si="345"/>
        <v>0</v>
      </c>
      <c r="BS120" s="459">
        <f t="shared" si="346"/>
        <v>0</v>
      </c>
      <c r="BT120" s="459">
        <f t="shared" si="347"/>
        <v>0</v>
      </c>
      <c r="BU120" s="459">
        <f t="shared" si="348"/>
        <v>0</v>
      </c>
      <c r="BV120" s="459">
        <f t="shared" si="349"/>
        <v>0</v>
      </c>
      <c r="BW120" s="459">
        <f t="shared" si="350"/>
        <v>0</v>
      </c>
      <c r="BX120" s="459">
        <f t="shared" si="351"/>
        <v>0</v>
      </c>
      <c r="BY120" s="459">
        <f t="shared" si="352"/>
        <v>0</v>
      </c>
      <c r="BZ120" s="459">
        <f t="shared" si="353"/>
        <v>0</v>
      </c>
      <c r="CA120" s="459">
        <f t="shared" si="354"/>
        <v>0</v>
      </c>
      <c r="CB120" s="460">
        <f t="shared" si="283"/>
        <v>0</v>
      </c>
      <c r="CC120" s="463"/>
      <c r="CD120" s="462">
        <f t="shared" si="355"/>
        <v>0</v>
      </c>
      <c r="CE120" s="462">
        <f t="shared" si="356"/>
        <v>0</v>
      </c>
      <c r="CF120" s="462">
        <f t="shared" si="357"/>
        <v>0</v>
      </c>
      <c r="CG120" s="462">
        <f t="shared" si="358"/>
        <v>0</v>
      </c>
      <c r="CH120" s="462">
        <f t="shared" si="359"/>
        <v>0</v>
      </c>
      <c r="CI120" s="462">
        <f t="shared" si="360"/>
        <v>0</v>
      </c>
      <c r="CJ120" s="462">
        <f t="shared" si="361"/>
        <v>0</v>
      </c>
      <c r="CK120" s="462">
        <f t="shared" si="362"/>
        <v>0</v>
      </c>
      <c r="CL120" s="462">
        <f t="shared" si="363"/>
        <v>0</v>
      </c>
      <c r="CM120" s="462">
        <f t="shared" si="364"/>
        <v>0</v>
      </c>
      <c r="CN120" s="460">
        <f t="shared" si="284"/>
        <v>0</v>
      </c>
      <c r="CO120" s="463"/>
      <c r="CP120" s="459">
        <f t="shared" si="365"/>
        <v>0</v>
      </c>
      <c r="CQ120" s="459">
        <f t="shared" si="366"/>
        <v>0</v>
      </c>
      <c r="CR120" s="459">
        <f t="shared" si="367"/>
        <v>0</v>
      </c>
      <c r="CS120" s="459">
        <f t="shared" si="368"/>
        <v>0</v>
      </c>
      <c r="CT120" s="459">
        <f t="shared" si="369"/>
        <v>0</v>
      </c>
      <c r="CU120" s="459">
        <f t="shared" si="370"/>
        <v>0</v>
      </c>
      <c r="CV120" s="459">
        <f t="shared" si="371"/>
        <v>0</v>
      </c>
      <c r="CW120" s="459">
        <f t="shared" si="372"/>
        <v>0</v>
      </c>
      <c r="CX120" s="459">
        <f t="shared" si="373"/>
        <v>0</v>
      </c>
      <c r="CY120" s="459">
        <f t="shared" si="374"/>
        <v>0</v>
      </c>
      <c r="CZ120" s="460">
        <f t="shared" si="285"/>
        <v>0</v>
      </c>
      <c r="DA120" s="463"/>
      <c r="DB120" s="459">
        <f t="shared" si="375"/>
        <v>0</v>
      </c>
      <c r="DC120" s="459">
        <f t="shared" si="376"/>
        <v>0</v>
      </c>
      <c r="DD120" s="459">
        <f t="shared" si="377"/>
        <v>0</v>
      </c>
      <c r="DE120" s="459">
        <f t="shared" si="378"/>
        <v>0</v>
      </c>
      <c r="DF120" s="459">
        <f t="shared" si="379"/>
        <v>0</v>
      </c>
      <c r="DG120" s="459">
        <f t="shared" si="380"/>
        <v>0</v>
      </c>
      <c r="DH120" s="459">
        <f t="shared" si="381"/>
        <v>0</v>
      </c>
      <c r="DI120" s="459">
        <f t="shared" si="382"/>
        <v>0</v>
      </c>
      <c r="DJ120" s="459">
        <f t="shared" si="383"/>
        <v>0</v>
      </c>
      <c r="DK120" s="459">
        <f t="shared" si="384"/>
        <v>0</v>
      </c>
      <c r="DL120" s="460">
        <f t="shared" si="286"/>
        <v>0</v>
      </c>
      <c r="DM120" s="463"/>
      <c r="DN120" s="442">
        <f>IF('2. START'!$C$14&gt;0,(AT120/(1+$AA120))*(1+'2. START'!$C$14),AT120)</f>
        <v>0</v>
      </c>
      <c r="DO120" s="442">
        <f>IF('2. START'!$C$14&gt;0,(AU120/(1+$AA120))*(1+'2. START'!$C$14),AU120)</f>
        <v>0</v>
      </c>
      <c r="DP120" s="442">
        <f>IF('2. START'!$C$14&gt;0,(AV120/(1+$AA120))*(1+'2. START'!$C$14),AV120)</f>
        <v>0</v>
      </c>
      <c r="DQ120" s="442">
        <f>IF('2. START'!$C$14&gt;0,(AW120/(1+$AA120))*(1+'2. START'!$C$14),AW120)</f>
        <v>0</v>
      </c>
      <c r="DR120" s="442">
        <f>IF('2. START'!$C$14&gt;0,(AX120/(1+$AA120))*(1+'2. START'!$C$14),AX120)</f>
        <v>0</v>
      </c>
      <c r="DS120" s="442">
        <f>IF('2. START'!$C$14&gt;0,(AY120/(1+$AA120))*(1+'2. START'!$C$14),AY120)</f>
        <v>0</v>
      </c>
      <c r="DT120" s="442">
        <f>IF('2. START'!$C$14&gt;0,(AZ120/(1+$AA120))*(1+'2. START'!$C$14),AZ120)</f>
        <v>0</v>
      </c>
      <c r="DU120" s="442">
        <f>IF('2. START'!$C$14&gt;0,(BA120/(1+$AA120))*(1+'2. START'!$C$14),BA120)</f>
        <v>0</v>
      </c>
      <c r="DV120" s="442">
        <f>IF('2. START'!$C$14&gt;0,(BB120/(1+$AA120))*(1+'2. START'!$C$14),BB120)</f>
        <v>0</v>
      </c>
      <c r="DW120" s="442">
        <f>IF('2. START'!$C$14&gt;0,(BC120/(1+$AA120))*(1+'2. START'!$C$14),BC120)</f>
        <v>0</v>
      </c>
      <c r="DX120" s="460">
        <f t="shared" si="287"/>
        <v>0</v>
      </c>
      <c r="DY120" s="463"/>
      <c r="DZ120" s="459">
        <f>IF('2. START'!$C$11="NO",(IF('2. START'!$C$14&gt;0,(DN120*$AD120),(AT120*$AD120))),(BR120+CP120))</f>
        <v>0</v>
      </c>
      <c r="EA120" s="459">
        <f>IF('2. START'!$C$11="NO",(IF('2. START'!$C$14&gt;0,(DO120*$AD120),(AU120*$AD120))),(BS120+CQ120))</f>
        <v>0</v>
      </c>
      <c r="EB120" s="459">
        <f>IF('2. START'!$C$11="NO",(IF('2. START'!$C$14&gt;0,(DP120*$AD120),(AV120*$AD120))),(BT120+CR120))</f>
        <v>0</v>
      </c>
      <c r="EC120" s="459">
        <f>IF('2. START'!$C$11="NO",(IF('2. START'!$C$14&gt;0,(DQ120*$AD120),(AW120*$AD120))),(BU120+CS120))</f>
        <v>0</v>
      </c>
      <c r="ED120" s="459">
        <f>IF('2. START'!$C$11="NO",(IF('2. START'!$C$14&gt;0,(DR120*$AD120),(AX120*$AD120))),(BV120+CT120))</f>
        <v>0</v>
      </c>
      <c r="EE120" s="459">
        <f>IF('2. START'!$C$11="NO",(IF('2. START'!$C$14&gt;0,(DS120*$AD120),(AY120*$AD120))),(BW120+CU120))</f>
        <v>0</v>
      </c>
      <c r="EF120" s="459">
        <f>IF('2. START'!$C$11="NO",(IF('2. START'!$C$14&gt;0,(DT120*$AD120),(AZ120*$AD120))),(BX120+CV120))</f>
        <v>0</v>
      </c>
      <c r="EG120" s="459">
        <f>IF('2. START'!$C$11="NO",(IF('2. START'!$C$14&gt;0,(DU120*$AD120),(BA120*$AD120))),(BY120+CW120))</f>
        <v>0</v>
      </c>
      <c r="EH120" s="459">
        <f>IF('2. START'!$C$11="NO",(IF('2. START'!$C$14&gt;0,(DV120*$AD120),(BB120*$AD120))),(BZ120+CX120))</f>
        <v>0</v>
      </c>
      <c r="EI120" s="459">
        <f>IF('2. START'!$C$11="NO",(IF('2. START'!$C$14&gt;0,(DW120*$AD120),(BC120*$AD120))),(CA120+CY120))</f>
        <v>0</v>
      </c>
      <c r="EJ120" s="460">
        <f t="shared" si="288"/>
        <v>0</v>
      </c>
      <c r="EK120" s="463"/>
      <c r="EL120" s="459">
        <f>(BR120+CP120-DZ120)+IF('2. START'!$C$14&gt;0,AT120-DN120,0)</f>
        <v>0</v>
      </c>
      <c r="EM120" s="459">
        <f>(BS120+CQ120-EA120)+IF('2. START'!$C$14&gt;0,AU120-DO120,0)</f>
        <v>0</v>
      </c>
      <c r="EN120" s="459">
        <f>(BT120+CR120-EB120)+IF('2. START'!$C$14&gt;0,AV120-DP120,0)</f>
        <v>0</v>
      </c>
      <c r="EO120" s="459">
        <f>(BU120+CS120-EC120)+IF('2. START'!$C$14&gt;0,AW120-DQ120,0)</f>
        <v>0</v>
      </c>
      <c r="EP120" s="459">
        <f>(BV120+CT120-ED120)+IF('2. START'!$C$14&gt;0,AX120-DR120,0)</f>
        <v>0</v>
      </c>
      <c r="EQ120" s="459">
        <f>(BW120+CU120-EE120)+IF('2. START'!$C$14&gt;0,AY120-DS120,0)</f>
        <v>0</v>
      </c>
      <c r="ER120" s="459">
        <f>(BX120+CV120-EF120)+IF('2. START'!$C$14&gt;0,AZ120-DT120,0)</f>
        <v>0</v>
      </c>
      <c r="ES120" s="459">
        <f>(BY120+CW120-EG120)+IF('2. START'!$C$14&gt;0,BA120-DU120,0)</f>
        <v>0</v>
      </c>
      <c r="ET120" s="459">
        <f>(BZ120+CX120-EH120)+IF('2. START'!$C$14&gt;0,BB120-DV120,0)</f>
        <v>0</v>
      </c>
      <c r="EU120" s="459">
        <f>(CA120+CY120-EI120)+IF('2. START'!$C$14&gt;0,BC120-DW120,0)</f>
        <v>0</v>
      </c>
      <c r="EV120" s="460">
        <f t="shared" si="289"/>
        <v>0</v>
      </c>
      <c r="EW120" s="463"/>
      <c r="EX120" s="459">
        <f t="shared" si="290"/>
        <v>0</v>
      </c>
      <c r="EY120" s="459">
        <f t="shared" si="291"/>
        <v>0</v>
      </c>
      <c r="EZ120" s="459">
        <f t="shared" si="292"/>
        <v>0</v>
      </c>
      <c r="FA120" s="459">
        <f t="shared" si="293"/>
        <v>0</v>
      </c>
      <c r="FB120" s="459">
        <f t="shared" si="294"/>
        <v>0</v>
      </c>
      <c r="FC120" s="459">
        <f t="shared" si="295"/>
        <v>0</v>
      </c>
      <c r="FD120" s="459">
        <f t="shared" si="296"/>
        <v>0</v>
      </c>
      <c r="FE120" s="459">
        <f t="shared" si="297"/>
        <v>0</v>
      </c>
      <c r="FF120" s="459">
        <f t="shared" si="298"/>
        <v>0</v>
      </c>
      <c r="FG120" s="459">
        <f t="shared" si="299"/>
        <v>0</v>
      </c>
      <c r="FH120" s="460">
        <f t="shared" si="300"/>
        <v>0</v>
      </c>
      <c r="FI120" s="463"/>
      <c r="FJ120" s="459">
        <f t="shared" si="301"/>
        <v>0</v>
      </c>
      <c r="FK120" s="459">
        <f t="shared" si="302"/>
        <v>0</v>
      </c>
      <c r="FL120" s="459">
        <f t="shared" si="303"/>
        <v>0</v>
      </c>
      <c r="FM120" s="459">
        <f t="shared" si="304"/>
        <v>0</v>
      </c>
      <c r="FN120" s="459">
        <f t="shared" si="305"/>
        <v>0</v>
      </c>
      <c r="FO120" s="459">
        <f t="shared" si="306"/>
        <v>0</v>
      </c>
      <c r="FP120" s="459">
        <f t="shared" si="307"/>
        <v>0</v>
      </c>
      <c r="FQ120" s="459">
        <f t="shared" si="308"/>
        <v>0</v>
      </c>
      <c r="FR120" s="459">
        <f t="shared" si="309"/>
        <v>0</v>
      </c>
      <c r="FS120" s="459">
        <f t="shared" si="310"/>
        <v>0</v>
      </c>
      <c r="FT120" s="460">
        <f t="shared" si="311"/>
        <v>0</v>
      </c>
    </row>
    <row r="121" spans="2:176" s="270" customFormat="1" ht="15" customHeight="1" x14ac:dyDescent="0.25">
      <c r="B121" s="464" t="str">
        <f>'2. START'!C$7</f>
        <v>100GEM</v>
      </c>
      <c r="C121" s="470"/>
      <c r="D121" s="590"/>
      <c r="E121" s="514">
        <v>0</v>
      </c>
      <c r="F121" s="467"/>
      <c r="G121" s="432"/>
      <c r="H121" s="432"/>
      <c r="I121" s="432"/>
      <c r="J121" s="432"/>
      <c r="K121" s="432"/>
      <c r="L121" s="432"/>
      <c r="M121" s="432"/>
      <c r="N121" s="432"/>
      <c r="O121" s="432"/>
      <c r="P121" s="432"/>
      <c r="Q121" s="545">
        <f>SUMIF('3. PARTNER'!$B$13:$B$80,$B121,'3. PARTNER'!$F$13:$F$80)</f>
        <v>0.02</v>
      </c>
      <c r="R121" s="466">
        <f t="shared" si="385"/>
        <v>0.02</v>
      </c>
      <c r="S121" s="466">
        <f t="shared" si="385"/>
        <v>0.02</v>
      </c>
      <c r="T121" s="466">
        <f t="shared" si="385"/>
        <v>0.02</v>
      </c>
      <c r="U121" s="466">
        <f t="shared" si="385"/>
        <v>0.02</v>
      </c>
      <c r="V121" s="466">
        <f t="shared" si="385"/>
        <v>0.02</v>
      </c>
      <c r="W121" s="466">
        <f t="shared" si="385"/>
        <v>0.02</v>
      </c>
      <c r="X121" s="466">
        <f t="shared" si="385"/>
        <v>0.02</v>
      </c>
      <c r="Y121" s="466">
        <f t="shared" si="385"/>
        <v>0.02</v>
      </c>
      <c r="Z121" s="466">
        <f t="shared" si="385"/>
        <v>0.02</v>
      </c>
      <c r="AA121" s="434">
        <f>SUMIF('3. PARTNER'!B$13:B$80,B121,'3. PARTNER'!E$13:E$80)</f>
        <v>0.5595</v>
      </c>
      <c r="AB121" s="435">
        <f>IF('2. START'!$C$20="UTB",(SUMIF('3. PARTNER'!B$13:B$80,B121,'3. PARTNER'!K$13:K$80))+(SUMIF('3. PARTNER'!B$13:B$80,B121,'3. PARTNER'!M$13:M$80)),(SUMIF('3. PARTNER'!B$13:B$80,B121,'3. PARTNER'!G$13:G$80))+(SUMIF('3. PARTNER'!B$13:B$80,B121,'3. PARTNER'!I$13:I$80)))</f>
        <v>0.16000843770704321</v>
      </c>
      <c r="AC121" s="435">
        <f>IF('2. START'!$C$20="UTB",(SUMIF('3. PARTNER'!B$13:B$80,B121,'3. PARTNER'!L$13:L$80))+(SUMIF('3. PARTNER'!B$13:B$80,B121,'3. PARTNER'!N$13:N$80)),(SUMIF('3. PARTNER'!B$13:B$80,B121,'3. PARTNER'!H$13:H$80))+(SUMIF('3. PARTNER'!B$13:B$80,B121,'3. PARTNER'!J$13:J$80)))</f>
        <v>0</v>
      </c>
      <c r="AD121" s="435">
        <f>IF('2. START'!C$11="NO",'2. START'!C$12,0)</f>
        <v>0</v>
      </c>
      <c r="AE121" s="436">
        <f t="shared" si="278"/>
        <v>0</v>
      </c>
      <c r="AF121" s="436">
        <f t="shared" si="279"/>
        <v>0</v>
      </c>
      <c r="AG121" s="437"/>
      <c r="AH121" s="438">
        <f t="shared" si="315"/>
        <v>0</v>
      </c>
      <c r="AI121" s="438">
        <f t="shared" si="316"/>
        <v>0</v>
      </c>
      <c r="AJ121" s="438">
        <f t="shared" si="317"/>
        <v>0</v>
      </c>
      <c r="AK121" s="438">
        <f t="shared" si="318"/>
        <v>0</v>
      </c>
      <c r="AL121" s="438">
        <f t="shared" si="319"/>
        <v>0</v>
      </c>
      <c r="AM121" s="438">
        <f t="shared" si="320"/>
        <v>0</v>
      </c>
      <c r="AN121" s="438">
        <f t="shared" si="321"/>
        <v>0</v>
      </c>
      <c r="AO121" s="438">
        <f t="shared" si="322"/>
        <v>0</v>
      </c>
      <c r="AP121" s="438">
        <f t="shared" si="323"/>
        <v>0</v>
      </c>
      <c r="AQ121" s="438">
        <f t="shared" si="324"/>
        <v>0</v>
      </c>
      <c r="AR121" s="439">
        <f t="shared" si="280"/>
        <v>0</v>
      </c>
      <c r="AS121" s="440"/>
      <c r="AT121" s="438">
        <f t="shared" si="325"/>
        <v>0</v>
      </c>
      <c r="AU121" s="438">
        <f t="shared" si="326"/>
        <v>0</v>
      </c>
      <c r="AV121" s="438">
        <f t="shared" si="327"/>
        <v>0</v>
      </c>
      <c r="AW121" s="438">
        <f t="shared" si="328"/>
        <v>0</v>
      </c>
      <c r="AX121" s="438">
        <f t="shared" si="329"/>
        <v>0</v>
      </c>
      <c r="AY121" s="438">
        <f t="shared" si="330"/>
        <v>0</v>
      </c>
      <c r="AZ121" s="438">
        <f t="shared" si="331"/>
        <v>0</v>
      </c>
      <c r="BA121" s="438">
        <f t="shared" si="332"/>
        <v>0</v>
      </c>
      <c r="BB121" s="438">
        <f t="shared" si="333"/>
        <v>0</v>
      </c>
      <c r="BC121" s="438">
        <f t="shared" si="334"/>
        <v>0</v>
      </c>
      <c r="BD121" s="439">
        <f t="shared" si="281"/>
        <v>0</v>
      </c>
      <c r="BE121" s="440"/>
      <c r="BF121" s="438">
        <f t="shared" si="335"/>
        <v>0</v>
      </c>
      <c r="BG121" s="438">
        <f t="shared" si="336"/>
        <v>0</v>
      </c>
      <c r="BH121" s="438">
        <f t="shared" si="337"/>
        <v>0</v>
      </c>
      <c r="BI121" s="438">
        <f t="shared" si="338"/>
        <v>0</v>
      </c>
      <c r="BJ121" s="438">
        <f t="shared" si="339"/>
        <v>0</v>
      </c>
      <c r="BK121" s="438">
        <f t="shared" si="340"/>
        <v>0</v>
      </c>
      <c r="BL121" s="438">
        <f t="shared" si="341"/>
        <v>0</v>
      </c>
      <c r="BM121" s="438">
        <f t="shared" si="342"/>
        <v>0</v>
      </c>
      <c r="BN121" s="438">
        <f t="shared" si="343"/>
        <v>0</v>
      </c>
      <c r="BO121" s="438">
        <f t="shared" si="344"/>
        <v>0</v>
      </c>
      <c r="BP121" s="439">
        <f t="shared" si="282"/>
        <v>0</v>
      </c>
      <c r="BR121" s="442">
        <f t="shared" si="345"/>
        <v>0</v>
      </c>
      <c r="BS121" s="442">
        <f t="shared" si="346"/>
        <v>0</v>
      </c>
      <c r="BT121" s="442">
        <f t="shared" si="347"/>
        <v>0</v>
      </c>
      <c r="BU121" s="442">
        <f t="shared" si="348"/>
        <v>0</v>
      </c>
      <c r="BV121" s="442">
        <f t="shared" si="349"/>
        <v>0</v>
      </c>
      <c r="BW121" s="442">
        <f t="shared" si="350"/>
        <v>0</v>
      </c>
      <c r="BX121" s="442">
        <f t="shared" si="351"/>
        <v>0</v>
      </c>
      <c r="BY121" s="442">
        <f t="shared" si="352"/>
        <v>0</v>
      </c>
      <c r="BZ121" s="442">
        <f t="shared" si="353"/>
        <v>0</v>
      </c>
      <c r="CA121" s="442">
        <f t="shared" si="354"/>
        <v>0</v>
      </c>
      <c r="CB121" s="443">
        <f t="shared" si="283"/>
        <v>0</v>
      </c>
      <c r="CD121" s="445">
        <f t="shared" si="355"/>
        <v>0</v>
      </c>
      <c r="CE121" s="445">
        <f t="shared" si="356"/>
        <v>0</v>
      </c>
      <c r="CF121" s="445">
        <f t="shared" si="357"/>
        <v>0</v>
      </c>
      <c r="CG121" s="445">
        <f t="shared" si="358"/>
        <v>0</v>
      </c>
      <c r="CH121" s="445">
        <f t="shared" si="359"/>
        <v>0</v>
      </c>
      <c r="CI121" s="445">
        <f t="shared" si="360"/>
        <v>0</v>
      </c>
      <c r="CJ121" s="445">
        <f t="shared" si="361"/>
        <v>0</v>
      </c>
      <c r="CK121" s="445">
        <f t="shared" si="362"/>
        <v>0</v>
      </c>
      <c r="CL121" s="445">
        <f t="shared" si="363"/>
        <v>0</v>
      </c>
      <c r="CM121" s="445">
        <f t="shared" si="364"/>
        <v>0</v>
      </c>
      <c r="CN121" s="443">
        <f t="shared" si="284"/>
        <v>0</v>
      </c>
      <c r="CP121" s="442">
        <f t="shared" si="365"/>
        <v>0</v>
      </c>
      <c r="CQ121" s="442">
        <f t="shared" si="366"/>
        <v>0</v>
      </c>
      <c r="CR121" s="442">
        <f t="shared" si="367"/>
        <v>0</v>
      </c>
      <c r="CS121" s="442">
        <f t="shared" si="368"/>
        <v>0</v>
      </c>
      <c r="CT121" s="442">
        <f t="shared" si="369"/>
        <v>0</v>
      </c>
      <c r="CU121" s="442">
        <f t="shared" si="370"/>
        <v>0</v>
      </c>
      <c r="CV121" s="442">
        <f t="shared" si="371"/>
        <v>0</v>
      </c>
      <c r="CW121" s="442">
        <f t="shared" si="372"/>
        <v>0</v>
      </c>
      <c r="CX121" s="442">
        <f t="shared" si="373"/>
        <v>0</v>
      </c>
      <c r="CY121" s="442">
        <f t="shared" si="374"/>
        <v>0</v>
      </c>
      <c r="CZ121" s="443">
        <f t="shared" si="285"/>
        <v>0</v>
      </c>
      <c r="DB121" s="442">
        <f t="shared" si="375"/>
        <v>0</v>
      </c>
      <c r="DC121" s="442">
        <f t="shared" si="376"/>
        <v>0</v>
      </c>
      <c r="DD121" s="442">
        <f t="shared" si="377"/>
        <v>0</v>
      </c>
      <c r="DE121" s="442">
        <f t="shared" si="378"/>
        <v>0</v>
      </c>
      <c r="DF121" s="442">
        <f t="shared" si="379"/>
        <v>0</v>
      </c>
      <c r="DG121" s="442">
        <f t="shared" si="380"/>
        <v>0</v>
      </c>
      <c r="DH121" s="442">
        <f t="shared" si="381"/>
        <v>0</v>
      </c>
      <c r="DI121" s="442">
        <f t="shared" si="382"/>
        <v>0</v>
      </c>
      <c r="DJ121" s="442">
        <f t="shared" si="383"/>
        <v>0</v>
      </c>
      <c r="DK121" s="442">
        <f t="shared" si="384"/>
        <v>0</v>
      </c>
      <c r="DL121" s="443">
        <f t="shared" si="286"/>
        <v>0</v>
      </c>
      <c r="DN121" s="442">
        <f>IF('2. START'!$C$14&gt;0,(AT121/(1+$AA121))*(1+'2. START'!$C$14),AT121)</f>
        <v>0</v>
      </c>
      <c r="DO121" s="442">
        <f>IF('2. START'!$C$14&gt;0,(AU121/(1+$AA121))*(1+'2. START'!$C$14),AU121)</f>
        <v>0</v>
      </c>
      <c r="DP121" s="442">
        <f>IF('2. START'!$C$14&gt;0,(AV121/(1+$AA121))*(1+'2. START'!$C$14),AV121)</f>
        <v>0</v>
      </c>
      <c r="DQ121" s="442">
        <f>IF('2. START'!$C$14&gt;0,(AW121/(1+$AA121))*(1+'2. START'!$C$14),AW121)</f>
        <v>0</v>
      </c>
      <c r="DR121" s="442">
        <f>IF('2. START'!$C$14&gt;0,(AX121/(1+$AA121))*(1+'2. START'!$C$14),AX121)</f>
        <v>0</v>
      </c>
      <c r="DS121" s="442">
        <f>IF('2. START'!$C$14&gt;0,(AY121/(1+$AA121))*(1+'2. START'!$C$14),AY121)</f>
        <v>0</v>
      </c>
      <c r="DT121" s="442">
        <f>IF('2. START'!$C$14&gt;0,(AZ121/(1+$AA121))*(1+'2. START'!$C$14),AZ121)</f>
        <v>0</v>
      </c>
      <c r="DU121" s="442">
        <f>IF('2. START'!$C$14&gt;0,(BA121/(1+$AA121))*(1+'2. START'!$C$14),BA121)</f>
        <v>0</v>
      </c>
      <c r="DV121" s="442">
        <f>IF('2. START'!$C$14&gt;0,(BB121/(1+$AA121))*(1+'2. START'!$C$14),BB121)</f>
        <v>0</v>
      </c>
      <c r="DW121" s="442">
        <f>IF('2. START'!$C$14&gt;0,(BC121/(1+$AA121))*(1+'2. START'!$C$14),BC121)</f>
        <v>0</v>
      </c>
      <c r="DX121" s="443">
        <f t="shared" si="287"/>
        <v>0</v>
      </c>
      <c r="DZ121" s="442">
        <f>IF('2. START'!$C$11="NO",(IF('2. START'!$C$14&gt;0,(DN121*$AD121),(AT121*$AD121))),(BR121+CP121))</f>
        <v>0</v>
      </c>
      <c r="EA121" s="442">
        <f>IF('2. START'!$C$11="NO",(IF('2. START'!$C$14&gt;0,(DO121*$AD121),(AU121*$AD121))),(BS121+CQ121))</f>
        <v>0</v>
      </c>
      <c r="EB121" s="442">
        <f>IF('2. START'!$C$11="NO",(IF('2. START'!$C$14&gt;0,(DP121*$AD121),(AV121*$AD121))),(BT121+CR121))</f>
        <v>0</v>
      </c>
      <c r="EC121" s="442">
        <f>IF('2. START'!$C$11="NO",(IF('2. START'!$C$14&gt;0,(DQ121*$AD121),(AW121*$AD121))),(BU121+CS121))</f>
        <v>0</v>
      </c>
      <c r="ED121" s="442">
        <f>IF('2. START'!$C$11="NO",(IF('2. START'!$C$14&gt;0,(DR121*$AD121),(AX121*$AD121))),(BV121+CT121))</f>
        <v>0</v>
      </c>
      <c r="EE121" s="442">
        <f>IF('2. START'!$C$11="NO",(IF('2. START'!$C$14&gt;0,(DS121*$AD121),(AY121*$AD121))),(BW121+CU121))</f>
        <v>0</v>
      </c>
      <c r="EF121" s="442">
        <f>IF('2. START'!$C$11="NO",(IF('2. START'!$C$14&gt;0,(DT121*$AD121),(AZ121*$AD121))),(BX121+CV121))</f>
        <v>0</v>
      </c>
      <c r="EG121" s="442">
        <f>IF('2. START'!$C$11="NO",(IF('2. START'!$C$14&gt;0,(DU121*$AD121),(BA121*$AD121))),(BY121+CW121))</f>
        <v>0</v>
      </c>
      <c r="EH121" s="442">
        <f>IF('2. START'!$C$11="NO",(IF('2. START'!$C$14&gt;0,(DV121*$AD121),(BB121*$AD121))),(BZ121+CX121))</f>
        <v>0</v>
      </c>
      <c r="EI121" s="442">
        <f>IF('2. START'!$C$11="NO",(IF('2. START'!$C$14&gt;0,(DW121*$AD121),(BC121*$AD121))),(CA121+CY121))</f>
        <v>0</v>
      </c>
      <c r="EJ121" s="443">
        <f t="shared" si="288"/>
        <v>0</v>
      </c>
      <c r="EL121" s="442">
        <f>(BR121+CP121-DZ121)+IF('2. START'!$C$14&gt;0,AT121-DN121,0)</f>
        <v>0</v>
      </c>
      <c r="EM121" s="442">
        <f>(BS121+CQ121-EA121)+IF('2. START'!$C$14&gt;0,AU121-DO121,0)</f>
        <v>0</v>
      </c>
      <c r="EN121" s="442">
        <f>(BT121+CR121-EB121)+IF('2. START'!$C$14&gt;0,AV121-DP121,0)</f>
        <v>0</v>
      </c>
      <c r="EO121" s="442">
        <f>(BU121+CS121-EC121)+IF('2. START'!$C$14&gt;0,AW121-DQ121,0)</f>
        <v>0</v>
      </c>
      <c r="EP121" s="442">
        <f>(BV121+CT121-ED121)+IF('2. START'!$C$14&gt;0,AX121-DR121,0)</f>
        <v>0</v>
      </c>
      <c r="EQ121" s="442">
        <f>(BW121+CU121-EE121)+IF('2. START'!$C$14&gt;0,AY121-DS121,0)</f>
        <v>0</v>
      </c>
      <c r="ER121" s="442">
        <f>(BX121+CV121-EF121)+IF('2. START'!$C$14&gt;0,AZ121-DT121,0)</f>
        <v>0</v>
      </c>
      <c r="ES121" s="442">
        <f>(BY121+CW121-EG121)+IF('2. START'!$C$14&gt;0,BA121-DU121,0)</f>
        <v>0</v>
      </c>
      <c r="ET121" s="442">
        <f>(BZ121+CX121-EH121)+IF('2. START'!$C$14&gt;0,BB121-DV121,0)</f>
        <v>0</v>
      </c>
      <c r="EU121" s="442">
        <f>(CA121+CY121-EI121)+IF('2. START'!$C$14&gt;0,BC121-DW121,0)</f>
        <v>0</v>
      </c>
      <c r="EV121" s="443">
        <f t="shared" si="289"/>
        <v>0</v>
      </c>
      <c r="EX121" s="442">
        <f t="shared" si="290"/>
        <v>0</v>
      </c>
      <c r="EY121" s="442">
        <f t="shared" si="291"/>
        <v>0</v>
      </c>
      <c r="EZ121" s="442">
        <f t="shared" si="292"/>
        <v>0</v>
      </c>
      <c r="FA121" s="442">
        <f t="shared" si="293"/>
        <v>0</v>
      </c>
      <c r="FB121" s="442">
        <f t="shared" si="294"/>
        <v>0</v>
      </c>
      <c r="FC121" s="442">
        <f t="shared" si="295"/>
        <v>0</v>
      </c>
      <c r="FD121" s="442">
        <f t="shared" si="296"/>
        <v>0</v>
      </c>
      <c r="FE121" s="442">
        <f t="shared" si="297"/>
        <v>0</v>
      </c>
      <c r="FF121" s="442">
        <f t="shared" si="298"/>
        <v>0</v>
      </c>
      <c r="FG121" s="442">
        <f t="shared" si="299"/>
        <v>0</v>
      </c>
      <c r="FH121" s="443">
        <f t="shared" si="300"/>
        <v>0</v>
      </c>
      <c r="FJ121" s="442">
        <f t="shared" si="301"/>
        <v>0</v>
      </c>
      <c r="FK121" s="442">
        <f t="shared" si="302"/>
        <v>0</v>
      </c>
      <c r="FL121" s="442">
        <f t="shared" si="303"/>
        <v>0</v>
      </c>
      <c r="FM121" s="442">
        <f t="shared" si="304"/>
        <v>0</v>
      </c>
      <c r="FN121" s="442">
        <f t="shared" si="305"/>
        <v>0</v>
      </c>
      <c r="FO121" s="442">
        <f t="shared" si="306"/>
        <v>0</v>
      </c>
      <c r="FP121" s="442">
        <f t="shared" si="307"/>
        <v>0</v>
      </c>
      <c r="FQ121" s="442">
        <f t="shared" si="308"/>
        <v>0</v>
      </c>
      <c r="FR121" s="442">
        <f t="shared" si="309"/>
        <v>0</v>
      </c>
      <c r="FS121" s="442">
        <f t="shared" si="310"/>
        <v>0</v>
      </c>
      <c r="FT121" s="443">
        <f t="shared" si="311"/>
        <v>0</v>
      </c>
    </row>
    <row r="122" spans="2:176" s="270" customFormat="1" ht="15" customHeight="1" x14ac:dyDescent="0.25">
      <c r="B122" s="446" t="str">
        <f>'2. START'!C$7</f>
        <v>100GEM</v>
      </c>
      <c r="C122" s="469"/>
      <c r="D122" s="589"/>
      <c r="E122" s="544">
        <v>0</v>
      </c>
      <c r="F122" s="448"/>
      <c r="G122" s="449"/>
      <c r="H122" s="449"/>
      <c r="I122" s="449"/>
      <c r="J122" s="449"/>
      <c r="K122" s="449"/>
      <c r="L122" s="449"/>
      <c r="M122" s="449"/>
      <c r="N122" s="449"/>
      <c r="O122" s="449"/>
      <c r="P122" s="449"/>
      <c r="Q122" s="546">
        <f>SUMIF('3. PARTNER'!$B$13:$B$80,$B122,'3. PARTNER'!$F$13:$F$80)</f>
        <v>0.02</v>
      </c>
      <c r="R122" s="450">
        <f t="shared" si="385"/>
        <v>0.02</v>
      </c>
      <c r="S122" s="450">
        <f t="shared" si="385"/>
        <v>0.02</v>
      </c>
      <c r="T122" s="450">
        <f t="shared" si="385"/>
        <v>0.02</v>
      </c>
      <c r="U122" s="450">
        <f t="shared" si="385"/>
        <v>0.02</v>
      </c>
      <c r="V122" s="450">
        <f t="shared" si="385"/>
        <v>0.02</v>
      </c>
      <c r="W122" s="450">
        <f t="shared" si="385"/>
        <v>0.02</v>
      </c>
      <c r="X122" s="450">
        <f t="shared" si="385"/>
        <v>0.02</v>
      </c>
      <c r="Y122" s="450">
        <f t="shared" si="385"/>
        <v>0.02</v>
      </c>
      <c r="Z122" s="450">
        <f t="shared" si="385"/>
        <v>0.02</v>
      </c>
      <c r="AA122" s="451">
        <f>SUMIF('3. PARTNER'!B$13:B$80,B122,'3. PARTNER'!E$13:E$80)</f>
        <v>0.5595</v>
      </c>
      <c r="AB122" s="452">
        <f>IF('2. START'!$C$20="UTB",(SUMIF('3. PARTNER'!B$13:B$80,B122,'3. PARTNER'!K$13:K$80))+(SUMIF('3. PARTNER'!B$13:B$80,B122,'3. PARTNER'!M$13:M$80)),(SUMIF('3. PARTNER'!B$13:B$80,B122,'3. PARTNER'!G$13:G$80))+(SUMIF('3. PARTNER'!B$13:B$80,B122,'3. PARTNER'!I$13:I$80)))</f>
        <v>0.16000843770704321</v>
      </c>
      <c r="AC122" s="452">
        <f>IF('2. START'!$C$20="UTB",(SUMIF('3. PARTNER'!B$13:B$80,B122,'3. PARTNER'!L$13:L$80))+(SUMIF('3. PARTNER'!B$13:B$80,B122,'3. PARTNER'!N$13:N$80)),(SUMIF('3. PARTNER'!B$13:B$80,B122,'3. PARTNER'!H$13:H$80))+(SUMIF('3. PARTNER'!B$13:B$80,B122,'3. PARTNER'!J$13:J$80)))</f>
        <v>0</v>
      </c>
      <c r="AD122" s="452">
        <f>IF('2. START'!C$11="NO",'2. START'!C$12,0)</f>
        <v>0</v>
      </c>
      <c r="AE122" s="453">
        <f t="shared" si="278"/>
        <v>0</v>
      </c>
      <c r="AF122" s="453">
        <f t="shared" si="279"/>
        <v>0</v>
      </c>
      <c r="AG122" s="454"/>
      <c r="AH122" s="455">
        <f t="shared" si="315"/>
        <v>0</v>
      </c>
      <c r="AI122" s="455">
        <f t="shared" si="316"/>
        <v>0</v>
      </c>
      <c r="AJ122" s="455">
        <f t="shared" si="317"/>
        <v>0</v>
      </c>
      <c r="AK122" s="455">
        <f t="shared" si="318"/>
        <v>0</v>
      </c>
      <c r="AL122" s="455">
        <f t="shared" si="319"/>
        <v>0</v>
      </c>
      <c r="AM122" s="455">
        <f t="shared" si="320"/>
        <v>0</v>
      </c>
      <c r="AN122" s="455">
        <f t="shared" si="321"/>
        <v>0</v>
      </c>
      <c r="AO122" s="455">
        <f t="shared" si="322"/>
        <v>0</v>
      </c>
      <c r="AP122" s="455">
        <f t="shared" si="323"/>
        <v>0</v>
      </c>
      <c r="AQ122" s="455">
        <f t="shared" si="324"/>
        <v>0</v>
      </c>
      <c r="AR122" s="456">
        <f t="shared" si="280"/>
        <v>0</v>
      </c>
      <c r="AS122" s="457"/>
      <c r="AT122" s="455">
        <f t="shared" si="325"/>
        <v>0</v>
      </c>
      <c r="AU122" s="455">
        <f t="shared" si="326"/>
        <v>0</v>
      </c>
      <c r="AV122" s="455">
        <f t="shared" si="327"/>
        <v>0</v>
      </c>
      <c r="AW122" s="455">
        <f t="shared" si="328"/>
        <v>0</v>
      </c>
      <c r="AX122" s="455">
        <f t="shared" si="329"/>
        <v>0</v>
      </c>
      <c r="AY122" s="455">
        <f t="shared" si="330"/>
        <v>0</v>
      </c>
      <c r="AZ122" s="455">
        <f t="shared" si="331"/>
        <v>0</v>
      </c>
      <c r="BA122" s="455">
        <f t="shared" si="332"/>
        <v>0</v>
      </c>
      <c r="BB122" s="455">
        <f t="shared" si="333"/>
        <v>0</v>
      </c>
      <c r="BC122" s="455">
        <f t="shared" si="334"/>
        <v>0</v>
      </c>
      <c r="BD122" s="456">
        <f t="shared" si="281"/>
        <v>0</v>
      </c>
      <c r="BE122" s="457"/>
      <c r="BF122" s="455">
        <f t="shared" si="335"/>
        <v>0</v>
      </c>
      <c r="BG122" s="455">
        <f t="shared" si="336"/>
        <v>0</v>
      </c>
      <c r="BH122" s="455">
        <f t="shared" si="337"/>
        <v>0</v>
      </c>
      <c r="BI122" s="455">
        <f t="shared" si="338"/>
        <v>0</v>
      </c>
      <c r="BJ122" s="455">
        <f t="shared" si="339"/>
        <v>0</v>
      </c>
      <c r="BK122" s="455">
        <f t="shared" si="340"/>
        <v>0</v>
      </c>
      <c r="BL122" s="455">
        <f t="shared" si="341"/>
        <v>0</v>
      </c>
      <c r="BM122" s="455">
        <f t="shared" si="342"/>
        <v>0</v>
      </c>
      <c r="BN122" s="455">
        <f t="shared" si="343"/>
        <v>0</v>
      </c>
      <c r="BO122" s="455">
        <f t="shared" si="344"/>
        <v>0</v>
      </c>
      <c r="BP122" s="456">
        <f t="shared" si="282"/>
        <v>0</v>
      </c>
      <c r="BQ122" s="463"/>
      <c r="BR122" s="459">
        <f t="shared" si="345"/>
        <v>0</v>
      </c>
      <c r="BS122" s="459">
        <f t="shared" si="346"/>
        <v>0</v>
      </c>
      <c r="BT122" s="459">
        <f t="shared" si="347"/>
        <v>0</v>
      </c>
      <c r="BU122" s="459">
        <f t="shared" si="348"/>
        <v>0</v>
      </c>
      <c r="BV122" s="459">
        <f t="shared" si="349"/>
        <v>0</v>
      </c>
      <c r="BW122" s="459">
        <f t="shared" si="350"/>
        <v>0</v>
      </c>
      <c r="BX122" s="459">
        <f t="shared" si="351"/>
        <v>0</v>
      </c>
      <c r="BY122" s="459">
        <f t="shared" si="352"/>
        <v>0</v>
      </c>
      <c r="BZ122" s="459">
        <f t="shared" si="353"/>
        <v>0</v>
      </c>
      <c r="CA122" s="459">
        <f t="shared" si="354"/>
        <v>0</v>
      </c>
      <c r="CB122" s="460">
        <f t="shared" si="283"/>
        <v>0</v>
      </c>
      <c r="CC122" s="463"/>
      <c r="CD122" s="462">
        <f t="shared" si="355"/>
        <v>0</v>
      </c>
      <c r="CE122" s="462">
        <f t="shared" si="356"/>
        <v>0</v>
      </c>
      <c r="CF122" s="462">
        <f t="shared" si="357"/>
        <v>0</v>
      </c>
      <c r="CG122" s="462">
        <f t="shared" si="358"/>
        <v>0</v>
      </c>
      <c r="CH122" s="462">
        <f t="shared" si="359"/>
        <v>0</v>
      </c>
      <c r="CI122" s="462">
        <f t="shared" si="360"/>
        <v>0</v>
      </c>
      <c r="CJ122" s="462">
        <f t="shared" si="361"/>
        <v>0</v>
      </c>
      <c r="CK122" s="462">
        <f t="shared" si="362"/>
        <v>0</v>
      </c>
      <c r="CL122" s="462">
        <f t="shared" si="363"/>
        <v>0</v>
      </c>
      <c r="CM122" s="462">
        <f t="shared" si="364"/>
        <v>0</v>
      </c>
      <c r="CN122" s="460">
        <f t="shared" si="284"/>
        <v>0</v>
      </c>
      <c r="CO122" s="463"/>
      <c r="CP122" s="459">
        <f t="shared" si="365"/>
        <v>0</v>
      </c>
      <c r="CQ122" s="459">
        <f t="shared" si="366"/>
        <v>0</v>
      </c>
      <c r="CR122" s="459">
        <f t="shared" si="367"/>
        <v>0</v>
      </c>
      <c r="CS122" s="459">
        <f t="shared" si="368"/>
        <v>0</v>
      </c>
      <c r="CT122" s="459">
        <f t="shared" si="369"/>
        <v>0</v>
      </c>
      <c r="CU122" s="459">
        <f t="shared" si="370"/>
        <v>0</v>
      </c>
      <c r="CV122" s="459">
        <f t="shared" si="371"/>
        <v>0</v>
      </c>
      <c r="CW122" s="459">
        <f t="shared" si="372"/>
        <v>0</v>
      </c>
      <c r="CX122" s="459">
        <f t="shared" si="373"/>
        <v>0</v>
      </c>
      <c r="CY122" s="459">
        <f t="shared" si="374"/>
        <v>0</v>
      </c>
      <c r="CZ122" s="460">
        <f t="shared" si="285"/>
        <v>0</v>
      </c>
      <c r="DA122" s="463"/>
      <c r="DB122" s="459">
        <f t="shared" si="375"/>
        <v>0</v>
      </c>
      <c r="DC122" s="459">
        <f t="shared" si="376"/>
        <v>0</v>
      </c>
      <c r="DD122" s="459">
        <f t="shared" si="377"/>
        <v>0</v>
      </c>
      <c r="DE122" s="459">
        <f t="shared" si="378"/>
        <v>0</v>
      </c>
      <c r="DF122" s="459">
        <f t="shared" si="379"/>
        <v>0</v>
      </c>
      <c r="DG122" s="459">
        <f t="shared" si="380"/>
        <v>0</v>
      </c>
      <c r="DH122" s="459">
        <f t="shared" si="381"/>
        <v>0</v>
      </c>
      <c r="DI122" s="459">
        <f t="shared" si="382"/>
        <v>0</v>
      </c>
      <c r="DJ122" s="459">
        <f t="shared" si="383"/>
        <v>0</v>
      </c>
      <c r="DK122" s="459">
        <f t="shared" si="384"/>
        <v>0</v>
      </c>
      <c r="DL122" s="460">
        <f t="shared" si="286"/>
        <v>0</v>
      </c>
      <c r="DM122" s="463"/>
      <c r="DN122" s="442">
        <f>IF('2. START'!$C$14&gt;0,(AT122/(1+$AA122))*(1+'2. START'!$C$14),AT122)</f>
        <v>0</v>
      </c>
      <c r="DO122" s="442">
        <f>IF('2. START'!$C$14&gt;0,(AU122/(1+$AA122))*(1+'2. START'!$C$14),AU122)</f>
        <v>0</v>
      </c>
      <c r="DP122" s="442">
        <f>IF('2. START'!$C$14&gt;0,(AV122/(1+$AA122))*(1+'2. START'!$C$14),AV122)</f>
        <v>0</v>
      </c>
      <c r="DQ122" s="442">
        <f>IF('2. START'!$C$14&gt;0,(AW122/(1+$AA122))*(1+'2. START'!$C$14),AW122)</f>
        <v>0</v>
      </c>
      <c r="DR122" s="442">
        <f>IF('2. START'!$C$14&gt;0,(AX122/(1+$AA122))*(1+'2. START'!$C$14),AX122)</f>
        <v>0</v>
      </c>
      <c r="DS122" s="442">
        <f>IF('2. START'!$C$14&gt;0,(AY122/(1+$AA122))*(1+'2. START'!$C$14),AY122)</f>
        <v>0</v>
      </c>
      <c r="DT122" s="442">
        <f>IF('2. START'!$C$14&gt;0,(AZ122/(1+$AA122))*(1+'2. START'!$C$14),AZ122)</f>
        <v>0</v>
      </c>
      <c r="DU122" s="442">
        <f>IF('2. START'!$C$14&gt;0,(BA122/(1+$AA122))*(1+'2. START'!$C$14),BA122)</f>
        <v>0</v>
      </c>
      <c r="DV122" s="442">
        <f>IF('2. START'!$C$14&gt;0,(BB122/(1+$AA122))*(1+'2. START'!$C$14),BB122)</f>
        <v>0</v>
      </c>
      <c r="DW122" s="442">
        <f>IF('2. START'!$C$14&gt;0,(BC122/(1+$AA122))*(1+'2. START'!$C$14),BC122)</f>
        <v>0</v>
      </c>
      <c r="DX122" s="460">
        <f t="shared" si="287"/>
        <v>0</v>
      </c>
      <c r="DY122" s="463"/>
      <c r="DZ122" s="459">
        <f>IF('2. START'!$C$11="NO",(IF('2. START'!$C$14&gt;0,(DN122*$AD122),(AT122*$AD122))),(BR122+CP122))</f>
        <v>0</v>
      </c>
      <c r="EA122" s="459">
        <f>IF('2. START'!$C$11="NO",(IF('2. START'!$C$14&gt;0,(DO122*$AD122),(AU122*$AD122))),(BS122+CQ122))</f>
        <v>0</v>
      </c>
      <c r="EB122" s="459">
        <f>IF('2. START'!$C$11="NO",(IF('2. START'!$C$14&gt;0,(DP122*$AD122),(AV122*$AD122))),(BT122+CR122))</f>
        <v>0</v>
      </c>
      <c r="EC122" s="459">
        <f>IF('2. START'!$C$11="NO",(IF('2. START'!$C$14&gt;0,(DQ122*$AD122),(AW122*$AD122))),(BU122+CS122))</f>
        <v>0</v>
      </c>
      <c r="ED122" s="459">
        <f>IF('2. START'!$C$11="NO",(IF('2. START'!$C$14&gt;0,(DR122*$AD122),(AX122*$AD122))),(BV122+CT122))</f>
        <v>0</v>
      </c>
      <c r="EE122" s="459">
        <f>IF('2. START'!$C$11="NO",(IF('2. START'!$C$14&gt;0,(DS122*$AD122),(AY122*$AD122))),(BW122+CU122))</f>
        <v>0</v>
      </c>
      <c r="EF122" s="459">
        <f>IF('2. START'!$C$11="NO",(IF('2. START'!$C$14&gt;0,(DT122*$AD122),(AZ122*$AD122))),(BX122+CV122))</f>
        <v>0</v>
      </c>
      <c r="EG122" s="459">
        <f>IF('2. START'!$C$11="NO",(IF('2. START'!$C$14&gt;0,(DU122*$AD122),(BA122*$AD122))),(BY122+CW122))</f>
        <v>0</v>
      </c>
      <c r="EH122" s="459">
        <f>IF('2. START'!$C$11="NO",(IF('2. START'!$C$14&gt;0,(DV122*$AD122),(BB122*$AD122))),(BZ122+CX122))</f>
        <v>0</v>
      </c>
      <c r="EI122" s="459">
        <f>IF('2. START'!$C$11="NO",(IF('2. START'!$C$14&gt;0,(DW122*$AD122),(BC122*$AD122))),(CA122+CY122))</f>
        <v>0</v>
      </c>
      <c r="EJ122" s="460">
        <f t="shared" si="288"/>
        <v>0</v>
      </c>
      <c r="EK122" s="463"/>
      <c r="EL122" s="459">
        <f>(BR122+CP122-DZ122)+IF('2. START'!$C$14&gt;0,AT122-DN122,0)</f>
        <v>0</v>
      </c>
      <c r="EM122" s="459">
        <f>(BS122+CQ122-EA122)+IF('2. START'!$C$14&gt;0,AU122-DO122,0)</f>
        <v>0</v>
      </c>
      <c r="EN122" s="459">
        <f>(BT122+CR122-EB122)+IF('2. START'!$C$14&gt;0,AV122-DP122,0)</f>
        <v>0</v>
      </c>
      <c r="EO122" s="459">
        <f>(BU122+CS122-EC122)+IF('2. START'!$C$14&gt;0,AW122-DQ122,0)</f>
        <v>0</v>
      </c>
      <c r="EP122" s="459">
        <f>(BV122+CT122-ED122)+IF('2. START'!$C$14&gt;0,AX122-DR122,0)</f>
        <v>0</v>
      </c>
      <c r="EQ122" s="459">
        <f>(BW122+CU122-EE122)+IF('2. START'!$C$14&gt;0,AY122-DS122,0)</f>
        <v>0</v>
      </c>
      <c r="ER122" s="459">
        <f>(BX122+CV122-EF122)+IF('2. START'!$C$14&gt;0,AZ122-DT122,0)</f>
        <v>0</v>
      </c>
      <c r="ES122" s="459">
        <f>(BY122+CW122-EG122)+IF('2. START'!$C$14&gt;0,BA122-DU122,0)</f>
        <v>0</v>
      </c>
      <c r="ET122" s="459">
        <f>(BZ122+CX122-EH122)+IF('2. START'!$C$14&gt;0,BB122-DV122,0)</f>
        <v>0</v>
      </c>
      <c r="EU122" s="459">
        <f>(CA122+CY122-EI122)+IF('2. START'!$C$14&gt;0,BC122-DW122,0)</f>
        <v>0</v>
      </c>
      <c r="EV122" s="460">
        <f t="shared" si="289"/>
        <v>0</v>
      </c>
      <c r="EW122" s="463"/>
      <c r="EX122" s="459">
        <f t="shared" si="290"/>
        <v>0</v>
      </c>
      <c r="EY122" s="459">
        <f t="shared" si="291"/>
        <v>0</v>
      </c>
      <c r="EZ122" s="459">
        <f t="shared" si="292"/>
        <v>0</v>
      </c>
      <c r="FA122" s="459">
        <f t="shared" si="293"/>
        <v>0</v>
      </c>
      <c r="FB122" s="459">
        <f t="shared" si="294"/>
        <v>0</v>
      </c>
      <c r="FC122" s="459">
        <f t="shared" si="295"/>
        <v>0</v>
      </c>
      <c r="FD122" s="459">
        <f t="shared" si="296"/>
        <v>0</v>
      </c>
      <c r="FE122" s="459">
        <f t="shared" si="297"/>
        <v>0</v>
      </c>
      <c r="FF122" s="459">
        <f t="shared" si="298"/>
        <v>0</v>
      </c>
      <c r="FG122" s="459">
        <f t="shared" si="299"/>
        <v>0</v>
      </c>
      <c r="FH122" s="460">
        <f t="shared" si="300"/>
        <v>0</v>
      </c>
      <c r="FI122" s="463"/>
      <c r="FJ122" s="459">
        <f t="shared" si="301"/>
        <v>0</v>
      </c>
      <c r="FK122" s="459">
        <f t="shared" si="302"/>
        <v>0</v>
      </c>
      <c r="FL122" s="459">
        <f t="shared" si="303"/>
        <v>0</v>
      </c>
      <c r="FM122" s="459">
        <f t="shared" si="304"/>
        <v>0</v>
      </c>
      <c r="FN122" s="459">
        <f t="shared" si="305"/>
        <v>0</v>
      </c>
      <c r="FO122" s="459">
        <f t="shared" si="306"/>
        <v>0</v>
      </c>
      <c r="FP122" s="459">
        <f t="shared" si="307"/>
        <v>0</v>
      </c>
      <c r="FQ122" s="459">
        <f t="shared" si="308"/>
        <v>0</v>
      </c>
      <c r="FR122" s="459">
        <f t="shared" si="309"/>
        <v>0</v>
      </c>
      <c r="FS122" s="459">
        <f t="shared" si="310"/>
        <v>0</v>
      </c>
      <c r="FT122" s="460">
        <f t="shared" si="311"/>
        <v>0</v>
      </c>
    </row>
    <row r="123" spans="2:176" s="270" customFormat="1" ht="15" customHeight="1" x14ac:dyDescent="0.25">
      <c r="B123" s="464" t="str">
        <f>'2. START'!C$7</f>
        <v>100GEM</v>
      </c>
      <c r="C123" s="470"/>
      <c r="D123" s="590"/>
      <c r="E123" s="514">
        <v>0</v>
      </c>
      <c r="F123" s="467"/>
      <c r="G123" s="432"/>
      <c r="H123" s="432"/>
      <c r="I123" s="432"/>
      <c r="J123" s="432"/>
      <c r="K123" s="432"/>
      <c r="L123" s="432"/>
      <c r="M123" s="432"/>
      <c r="N123" s="432"/>
      <c r="O123" s="432"/>
      <c r="P123" s="432"/>
      <c r="Q123" s="545">
        <f>SUMIF('3. PARTNER'!$B$13:$B$80,$B123,'3. PARTNER'!$F$13:$F$80)</f>
        <v>0.02</v>
      </c>
      <c r="R123" s="466">
        <f t="shared" si="385"/>
        <v>0.02</v>
      </c>
      <c r="S123" s="466">
        <f t="shared" si="385"/>
        <v>0.02</v>
      </c>
      <c r="T123" s="466">
        <f t="shared" si="385"/>
        <v>0.02</v>
      </c>
      <c r="U123" s="466">
        <f t="shared" si="385"/>
        <v>0.02</v>
      </c>
      <c r="V123" s="466">
        <f t="shared" si="385"/>
        <v>0.02</v>
      </c>
      <c r="W123" s="466">
        <f t="shared" si="385"/>
        <v>0.02</v>
      </c>
      <c r="X123" s="466">
        <f t="shared" si="385"/>
        <v>0.02</v>
      </c>
      <c r="Y123" s="466">
        <f t="shared" si="385"/>
        <v>0.02</v>
      </c>
      <c r="Z123" s="466">
        <f t="shared" si="385"/>
        <v>0.02</v>
      </c>
      <c r="AA123" s="434">
        <f>SUMIF('3. PARTNER'!B$13:B$80,B123,'3. PARTNER'!E$13:E$80)</f>
        <v>0.5595</v>
      </c>
      <c r="AB123" s="435">
        <f>IF('2. START'!$C$20="UTB",(SUMIF('3. PARTNER'!B$13:B$80,B123,'3. PARTNER'!K$13:K$80))+(SUMIF('3. PARTNER'!B$13:B$80,B123,'3. PARTNER'!M$13:M$80)),(SUMIF('3. PARTNER'!B$13:B$80,B123,'3. PARTNER'!G$13:G$80))+(SUMIF('3. PARTNER'!B$13:B$80,B123,'3. PARTNER'!I$13:I$80)))</f>
        <v>0.16000843770704321</v>
      </c>
      <c r="AC123" s="435">
        <f>IF('2. START'!$C$20="UTB",(SUMIF('3. PARTNER'!B$13:B$80,B123,'3. PARTNER'!L$13:L$80))+(SUMIF('3. PARTNER'!B$13:B$80,B123,'3. PARTNER'!N$13:N$80)),(SUMIF('3. PARTNER'!B$13:B$80,B123,'3. PARTNER'!H$13:H$80))+(SUMIF('3. PARTNER'!B$13:B$80,B123,'3. PARTNER'!J$13:J$80)))</f>
        <v>0</v>
      </c>
      <c r="AD123" s="435">
        <f>IF('2. START'!C$11="NO",'2. START'!C$12,0)</f>
        <v>0</v>
      </c>
      <c r="AE123" s="436">
        <f t="shared" si="278"/>
        <v>0</v>
      </c>
      <c r="AF123" s="436">
        <f t="shared" si="279"/>
        <v>0</v>
      </c>
      <c r="AG123" s="437"/>
      <c r="AH123" s="438">
        <f t="shared" si="315"/>
        <v>0</v>
      </c>
      <c r="AI123" s="438">
        <f t="shared" si="316"/>
        <v>0</v>
      </c>
      <c r="AJ123" s="438">
        <f t="shared" si="317"/>
        <v>0</v>
      </c>
      <c r="AK123" s="438">
        <f t="shared" si="318"/>
        <v>0</v>
      </c>
      <c r="AL123" s="438">
        <f t="shared" si="319"/>
        <v>0</v>
      </c>
      <c r="AM123" s="438">
        <f t="shared" si="320"/>
        <v>0</v>
      </c>
      <c r="AN123" s="438">
        <f t="shared" si="321"/>
        <v>0</v>
      </c>
      <c r="AO123" s="438">
        <f t="shared" si="322"/>
        <v>0</v>
      </c>
      <c r="AP123" s="438">
        <f t="shared" si="323"/>
        <v>0</v>
      </c>
      <c r="AQ123" s="438">
        <f t="shared" si="324"/>
        <v>0</v>
      </c>
      <c r="AR123" s="439">
        <f t="shared" si="280"/>
        <v>0</v>
      </c>
      <c r="AS123" s="440"/>
      <c r="AT123" s="438">
        <f t="shared" si="325"/>
        <v>0</v>
      </c>
      <c r="AU123" s="438">
        <f t="shared" si="326"/>
        <v>0</v>
      </c>
      <c r="AV123" s="438">
        <f t="shared" si="327"/>
        <v>0</v>
      </c>
      <c r="AW123" s="438">
        <f t="shared" si="328"/>
        <v>0</v>
      </c>
      <c r="AX123" s="438">
        <f t="shared" si="329"/>
        <v>0</v>
      </c>
      <c r="AY123" s="438">
        <f t="shared" si="330"/>
        <v>0</v>
      </c>
      <c r="AZ123" s="438">
        <f t="shared" si="331"/>
        <v>0</v>
      </c>
      <c r="BA123" s="438">
        <f t="shared" si="332"/>
        <v>0</v>
      </c>
      <c r="BB123" s="438">
        <f t="shared" si="333"/>
        <v>0</v>
      </c>
      <c r="BC123" s="438">
        <f t="shared" si="334"/>
        <v>0</v>
      </c>
      <c r="BD123" s="439">
        <f t="shared" si="281"/>
        <v>0</v>
      </c>
      <c r="BE123" s="440"/>
      <c r="BF123" s="438">
        <f t="shared" si="335"/>
        <v>0</v>
      </c>
      <c r="BG123" s="438">
        <f t="shared" si="336"/>
        <v>0</v>
      </c>
      <c r="BH123" s="438">
        <f t="shared" si="337"/>
        <v>0</v>
      </c>
      <c r="BI123" s="438">
        <f t="shared" si="338"/>
        <v>0</v>
      </c>
      <c r="BJ123" s="438">
        <f t="shared" si="339"/>
        <v>0</v>
      </c>
      <c r="BK123" s="438">
        <f t="shared" si="340"/>
        <v>0</v>
      </c>
      <c r="BL123" s="438">
        <f t="shared" si="341"/>
        <v>0</v>
      </c>
      <c r="BM123" s="438">
        <f t="shared" si="342"/>
        <v>0</v>
      </c>
      <c r="BN123" s="438">
        <f t="shared" si="343"/>
        <v>0</v>
      </c>
      <c r="BO123" s="438">
        <f t="shared" si="344"/>
        <v>0</v>
      </c>
      <c r="BP123" s="439">
        <f t="shared" si="282"/>
        <v>0</v>
      </c>
      <c r="BR123" s="442">
        <f t="shared" si="345"/>
        <v>0</v>
      </c>
      <c r="BS123" s="442">
        <f t="shared" si="346"/>
        <v>0</v>
      </c>
      <c r="BT123" s="442">
        <f t="shared" si="347"/>
        <v>0</v>
      </c>
      <c r="BU123" s="442">
        <f t="shared" si="348"/>
        <v>0</v>
      </c>
      <c r="BV123" s="442">
        <f t="shared" si="349"/>
        <v>0</v>
      </c>
      <c r="BW123" s="442">
        <f t="shared" si="350"/>
        <v>0</v>
      </c>
      <c r="BX123" s="442">
        <f t="shared" si="351"/>
        <v>0</v>
      </c>
      <c r="BY123" s="442">
        <f t="shared" si="352"/>
        <v>0</v>
      </c>
      <c r="BZ123" s="442">
        <f t="shared" si="353"/>
        <v>0</v>
      </c>
      <c r="CA123" s="442">
        <f t="shared" si="354"/>
        <v>0</v>
      </c>
      <c r="CB123" s="443">
        <f t="shared" si="283"/>
        <v>0</v>
      </c>
      <c r="CD123" s="445">
        <f t="shared" si="355"/>
        <v>0</v>
      </c>
      <c r="CE123" s="445">
        <f t="shared" si="356"/>
        <v>0</v>
      </c>
      <c r="CF123" s="445">
        <f t="shared" si="357"/>
        <v>0</v>
      </c>
      <c r="CG123" s="445">
        <f t="shared" si="358"/>
        <v>0</v>
      </c>
      <c r="CH123" s="445">
        <f t="shared" si="359"/>
        <v>0</v>
      </c>
      <c r="CI123" s="445">
        <f t="shared" si="360"/>
        <v>0</v>
      </c>
      <c r="CJ123" s="445">
        <f t="shared" si="361"/>
        <v>0</v>
      </c>
      <c r="CK123" s="445">
        <f t="shared" si="362"/>
        <v>0</v>
      </c>
      <c r="CL123" s="445">
        <f t="shared" si="363"/>
        <v>0</v>
      </c>
      <c r="CM123" s="445">
        <f t="shared" si="364"/>
        <v>0</v>
      </c>
      <c r="CN123" s="443">
        <f t="shared" si="284"/>
        <v>0</v>
      </c>
      <c r="CP123" s="442">
        <f t="shared" si="365"/>
        <v>0</v>
      </c>
      <c r="CQ123" s="442">
        <f t="shared" si="366"/>
        <v>0</v>
      </c>
      <c r="CR123" s="442">
        <f t="shared" si="367"/>
        <v>0</v>
      </c>
      <c r="CS123" s="442">
        <f t="shared" si="368"/>
        <v>0</v>
      </c>
      <c r="CT123" s="442">
        <f t="shared" si="369"/>
        <v>0</v>
      </c>
      <c r="CU123" s="442">
        <f t="shared" si="370"/>
        <v>0</v>
      </c>
      <c r="CV123" s="442">
        <f t="shared" si="371"/>
        <v>0</v>
      </c>
      <c r="CW123" s="442">
        <f t="shared" si="372"/>
        <v>0</v>
      </c>
      <c r="CX123" s="442">
        <f t="shared" si="373"/>
        <v>0</v>
      </c>
      <c r="CY123" s="442">
        <f t="shared" si="374"/>
        <v>0</v>
      </c>
      <c r="CZ123" s="443">
        <f t="shared" si="285"/>
        <v>0</v>
      </c>
      <c r="DB123" s="442">
        <f t="shared" si="375"/>
        <v>0</v>
      </c>
      <c r="DC123" s="442">
        <f t="shared" si="376"/>
        <v>0</v>
      </c>
      <c r="DD123" s="442">
        <f t="shared" si="377"/>
        <v>0</v>
      </c>
      <c r="DE123" s="442">
        <f t="shared" si="378"/>
        <v>0</v>
      </c>
      <c r="DF123" s="442">
        <f t="shared" si="379"/>
        <v>0</v>
      </c>
      <c r="DG123" s="442">
        <f t="shared" si="380"/>
        <v>0</v>
      </c>
      <c r="DH123" s="442">
        <f t="shared" si="381"/>
        <v>0</v>
      </c>
      <c r="DI123" s="442">
        <f t="shared" si="382"/>
        <v>0</v>
      </c>
      <c r="DJ123" s="442">
        <f t="shared" si="383"/>
        <v>0</v>
      </c>
      <c r="DK123" s="442">
        <f t="shared" si="384"/>
        <v>0</v>
      </c>
      <c r="DL123" s="443">
        <f t="shared" si="286"/>
        <v>0</v>
      </c>
      <c r="DN123" s="442">
        <f>IF('2. START'!$C$14&gt;0,(AT123/(1+$AA123))*(1+'2. START'!$C$14),AT123)</f>
        <v>0</v>
      </c>
      <c r="DO123" s="442">
        <f>IF('2. START'!$C$14&gt;0,(AU123/(1+$AA123))*(1+'2. START'!$C$14),AU123)</f>
        <v>0</v>
      </c>
      <c r="DP123" s="442">
        <f>IF('2. START'!$C$14&gt;0,(AV123/(1+$AA123))*(1+'2. START'!$C$14),AV123)</f>
        <v>0</v>
      </c>
      <c r="DQ123" s="442">
        <f>IF('2. START'!$C$14&gt;0,(AW123/(1+$AA123))*(1+'2. START'!$C$14),AW123)</f>
        <v>0</v>
      </c>
      <c r="DR123" s="442">
        <f>IF('2. START'!$C$14&gt;0,(AX123/(1+$AA123))*(1+'2. START'!$C$14),AX123)</f>
        <v>0</v>
      </c>
      <c r="DS123" s="442">
        <f>IF('2. START'!$C$14&gt;0,(AY123/(1+$AA123))*(1+'2. START'!$C$14),AY123)</f>
        <v>0</v>
      </c>
      <c r="DT123" s="442">
        <f>IF('2. START'!$C$14&gt;0,(AZ123/(1+$AA123))*(1+'2. START'!$C$14),AZ123)</f>
        <v>0</v>
      </c>
      <c r="DU123" s="442">
        <f>IF('2. START'!$C$14&gt;0,(BA123/(1+$AA123))*(1+'2. START'!$C$14),BA123)</f>
        <v>0</v>
      </c>
      <c r="DV123" s="442">
        <f>IF('2. START'!$C$14&gt;0,(BB123/(1+$AA123))*(1+'2. START'!$C$14),BB123)</f>
        <v>0</v>
      </c>
      <c r="DW123" s="442">
        <f>IF('2. START'!$C$14&gt;0,(BC123/(1+$AA123))*(1+'2. START'!$C$14),BC123)</f>
        <v>0</v>
      </c>
      <c r="DX123" s="443">
        <f t="shared" si="287"/>
        <v>0</v>
      </c>
      <c r="DZ123" s="442">
        <f>IF('2. START'!$C$11="NO",(IF('2. START'!$C$14&gt;0,(DN123*$AD123),(AT123*$AD123))),(BR123+CP123))</f>
        <v>0</v>
      </c>
      <c r="EA123" s="442">
        <f>IF('2. START'!$C$11="NO",(IF('2. START'!$C$14&gt;0,(DO123*$AD123),(AU123*$AD123))),(BS123+CQ123))</f>
        <v>0</v>
      </c>
      <c r="EB123" s="442">
        <f>IF('2. START'!$C$11="NO",(IF('2. START'!$C$14&gt;0,(DP123*$AD123),(AV123*$AD123))),(BT123+CR123))</f>
        <v>0</v>
      </c>
      <c r="EC123" s="442">
        <f>IF('2. START'!$C$11="NO",(IF('2. START'!$C$14&gt;0,(DQ123*$AD123),(AW123*$AD123))),(BU123+CS123))</f>
        <v>0</v>
      </c>
      <c r="ED123" s="442">
        <f>IF('2. START'!$C$11="NO",(IF('2. START'!$C$14&gt;0,(DR123*$AD123),(AX123*$AD123))),(BV123+CT123))</f>
        <v>0</v>
      </c>
      <c r="EE123" s="442">
        <f>IF('2. START'!$C$11="NO",(IF('2. START'!$C$14&gt;0,(DS123*$AD123),(AY123*$AD123))),(BW123+CU123))</f>
        <v>0</v>
      </c>
      <c r="EF123" s="442">
        <f>IF('2. START'!$C$11="NO",(IF('2. START'!$C$14&gt;0,(DT123*$AD123),(AZ123*$AD123))),(BX123+CV123))</f>
        <v>0</v>
      </c>
      <c r="EG123" s="442">
        <f>IF('2. START'!$C$11="NO",(IF('2. START'!$C$14&gt;0,(DU123*$AD123),(BA123*$AD123))),(BY123+CW123))</f>
        <v>0</v>
      </c>
      <c r="EH123" s="442">
        <f>IF('2. START'!$C$11="NO",(IF('2. START'!$C$14&gt;0,(DV123*$AD123),(BB123*$AD123))),(BZ123+CX123))</f>
        <v>0</v>
      </c>
      <c r="EI123" s="442">
        <f>IF('2. START'!$C$11="NO",(IF('2. START'!$C$14&gt;0,(DW123*$AD123),(BC123*$AD123))),(CA123+CY123))</f>
        <v>0</v>
      </c>
      <c r="EJ123" s="443">
        <f t="shared" si="288"/>
        <v>0</v>
      </c>
      <c r="EL123" s="442">
        <f>(BR123+CP123-DZ123)+IF('2. START'!$C$14&gt;0,AT123-DN123,0)</f>
        <v>0</v>
      </c>
      <c r="EM123" s="442">
        <f>(BS123+CQ123-EA123)+IF('2. START'!$C$14&gt;0,AU123-DO123,0)</f>
        <v>0</v>
      </c>
      <c r="EN123" s="442">
        <f>(BT123+CR123-EB123)+IF('2. START'!$C$14&gt;0,AV123-DP123,0)</f>
        <v>0</v>
      </c>
      <c r="EO123" s="442">
        <f>(BU123+CS123-EC123)+IF('2. START'!$C$14&gt;0,AW123-DQ123,0)</f>
        <v>0</v>
      </c>
      <c r="EP123" s="442">
        <f>(BV123+CT123-ED123)+IF('2. START'!$C$14&gt;0,AX123-DR123,0)</f>
        <v>0</v>
      </c>
      <c r="EQ123" s="442">
        <f>(BW123+CU123-EE123)+IF('2. START'!$C$14&gt;0,AY123-DS123,0)</f>
        <v>0</v>
      </c>
      <c r="ER123" s="442">
        <f>(BX123+CV123-EF123)+IF('2. START'!$C$14&gt;0,AZ123-DT123,0)</f>
        <v>0</v>
      </c>
      <c r="ES123" s="442">
        <f>(BY123+CW123-EG123)+IF('2. START'!$C$14&gt;0,BA123-DU123,0)</f>
        <v>0</v>
      </c>
      <c r="ET123" s="442">
        <f>(BZ123+CX123-EH123)+IF('2. START'!$C$14&gt;0,BB123-DV123,0)</f>
        <v>0</v>
      </c>
      <c r="EU123" s="442">
        <f>(CA123+CY123-EI123)+IF('2. START'!$C$14&gt;0,BC123-DW123,0)</f>
        <v>0</v>
      </c>
      <c r="EV123" s="443">
        <f t="shared" si="289"/>
        <v>0</v>
      </c>
      <c r="EX123" s="442">
        <f t="shared" si="290"/>
        <v>0</v>
      </c>
      <c r="EY123" s="442">
        <f t="shared" si="291"/>
        <v>0</v>
      </c>
      <c r="EZ123" s="442">
        <f t="shared" si="292"/>
        <v>0</v>
      </c>
      <c r="FA123" s="442">
        <f t="shared" si="293"/>
        <v>0</v>
      </c>
      <c r="FB123" s="442">
        <f t="shared" si="294"/>
        <v>0</v>
      </c>
      <c r="FC123" s="442">
        <f t="shared" si="295"/>
        <v>0</v>
      </c>
      <c r="FD123" s="442">
        <f t="shared" si="296"/>
        <v>0</v>
      </c>
      <c r="FE123" s="442">
        <f t="shared" si="297"/>
        <v>0</v>
      </c>
      <c r="FF123" s="442">
        <f t="shared" si="298"/>
        <v>0</v>
      </c>
      <c r="FG123" s="442">
        <f t="shared" si="299"/>
        <v>0</v>
      </c>
      <c r="FH123" s="443">
        <f t="shared" si="300"/>
        <v>0</v>
      </c>
      <c r="FJ123" s="442">
        <f t="shared" si="301"/>
        <v>0</v>
      </c>
      <c r="FK123" s="442">
        <f t="shared" si="302"/>
        <v>0</v>
      </c>
      <c r="FL123" s="442">
        <f t="shared" si="303"/>
        <v>0</v>
      </c>
      <c r="FM123" s="442">
        <f t="shared" si="304"/>
        <v>0</v>
      </c>
      <c r="FN123" s="442">
        <f t="shared" si="305"/>
        <v>0</v>
      </c>
      <c r="FO123" s="442">
        <f t="shared" si="306"/>
        <v>0</v>
      </c>
      <c r="FP123" s="442">
        <f t="shared" si="307"/>
        <v>0</v>
      </c>
      <c r="FQ123" s="442">
        <f t="shared" si="308"/>
        <v>0</v>
      </c>
      <c r="FR123" s="442">
        <f t="shared" si="309"/>
        <v>0</v>
      </c>
      <c r="FS123" s="442">
        <f t="shared" si="310"/>
        <v>0</v>
      </c>
      <c r="FT123" s="443">
        <f t="shared" si="311"/>
        <v>0</v>
      </c>
    </row>
    <row r="124" spans="2:176" s="270" customFormat="1" ht="15" customHeight="1" x14ac:dyDescent="0.25">
      <c r="B124" s="446" t="str">
        <f>'2. START'!C$7</f>
        <v>100GEM</v>
      </c>
      <c r="C124" s="469"/>
      <c r="D124" s="589"/>
      <c r="E124" s="544">
        <v>0</v>
      </c>
      <c r="F124" s="448"/>
      <c r="G124" s="449"/>
      <c r="H124" s="449"/>
      <c r="I124" s="449"/>
      <c r="J124" s="449"/>
      <c r="K124" s="449"/>
      <c r="L124" s="449"/>
      <c r="M124" s="449"/>
      <c r="N124" s="449"/>
      <c r="O124" s="449"/>
      <c r="P124" s="449"/>
      <c r="Q124" s="546">
        <f>SUMIF('3. PARTNER'!$B$13:$B$80,$B124,'3. PARTNER'!$F$13:$F$80)</f>
        <v>0.02</v>
      </c>
      <c r="R124" s="450">
        <f t="shared" si="385"/>
        <v>0.02</v>
      </c>
      <c r="S124" s="450">
        <f t="shared" si="385"/>
        <v>0.02</v>
      </c>
      <c r="T124" s="450">
        <f t="shared" si="385"/>
        <v>0.02</v>
      </c>
      <c r="U124" s="450">
        <f t="shared" si="385"/>
        <v>0.02</v>
      </c>
      <c r="V124" s="450">
        <f t="shared" si="385"/>
        <v>0.02</v>
      </c>
      <c r="W124" s="450">
        <f t="shared" si="385"/>
        <v>0.02</v>
      </c>
      <c r="X124" s="450">
        <f t="shared" si="385"/>
        <v>0.02</v>
      </c>
      <c r="Y124" s="450">
        <f t="shared" si="385"/>
        <v>0.02</v>
      </c>
      <c r="Z124" s="450">
        <f t="shared" si="385"/>
        <v>0.02</v>
      </c>
      <c r="AA124" s="451">
        <f>SUMIF('3. PARTNER'!B$13:B$80,B124,'3. PARTNER'!E$13:E$80)</f>
        <v>0.5595</v>
      </c>
      <c r="AB124" s="452">
        <f>IF('2. START'!$C$20="UTB",(SUMIF('3. PARTNER'!B$13:B$80,B124,'3. PARTNER'!K$13:K$80))+(SUMIF('3. PARTNER'!B$13:B$80,B124,'3. PARTNER'!M$13:M$80)),(SUMIF('3. PARTNER'!B$13:B$80,B124,'3. PARTNER'!G$13:G$80))+(SUMIF('3. PARTNER'!B$13:B$80,B124,'3. PARTNER'!I$13:I$80)))</f>
        <v>0.16000843770704321</v>
      </c>
      <c r="AC124" s="452">
        <f>IF('2. START'!$C$20="UTB",(SUMIF('3. PARTNER'!B$13:B$80,B124,'3. PARTNER'!L$13:L$80))+(SUMIF('3. PARTNER'!B$13:B$80,B124,'3. PARTNER'!N$13:N$80)),(SUMIF('3. PARTNER'!B$13:B$80,B124,'3. PARTNER'!H$13:H$80))+(SUMIF('3. PARTNER'!B$13:B$80,B124,'3. PARTNER'!J$13:J$80)))</f>
        <v>0</v>
      </c>
      <c r="AD124" s="452">
        <f>IF('2. START'!C$11="NO",'2. START'!C$12,0)</f>
        <v>0</v>
      </c>
      <c r="AE124" s="453">
        <f t="shared" si="278"/>
        <v>0</v>
      </c>
      <c r="AF124" s="453">
        <f t="shared" si="279"/>
        <v>0</v>
      </c>
      <c r="AG124" s="454"/>
      <c r="AH124" s="455">
        <f t="shared" si="315"/>
        <v>0</v>
      </c>
      <c r="AI124" s="455">
        <f t="shared" si="316"/>
        <v>0</v>
      </c>
      <c r="AJ124" s="455">
        <f t="shared" si="317"/>
        <v>0</v>
      </c>
      <c r="AK124" s="455">
        <f t="shared" si="318"/>
        <v>0</v>
      </c>
      <c r="AL124" s="455">
        <f t="shared" si="319"/>
        <v>0</v>
      </c>
      <c r="AM124" s="455">
        <f t="shared" si="320"/>
        <v>0</v>
      </c>
      <c r="AN124" s="455">
        <f t="shared" si="321"/>
        <v>0</v>
      </c>
      <c r="AO124" s="455">
        <f t="shared" si="322"/>
        <v>0</v>
      </c>
      <c r="AP124" s="455">
        <f t="shared" si="323"/>
        <v>0</v>
      </c>
      <c r="AQ124" s="455">
        <f t="shared" si="324"/>
        <v>0</v>
      </c>
      <c r="AR124" s="456">
        <f t="shared" si="280"/>
        <v>0</v>
      </c>
      <c r="AS124" s="457"/>
      <c r="AT124" s="455">
        <f t="shared" si="325"/>
        <v>0</v>
      </c>
      <c r="AU124" s="455">
        <f t="shared" si="326"/>
        <v>0</v>
      </c>
      <c r="AV124" s="455">
        <f t="shared" si="327"/>
        <v>0</v>
      </c>
      <c r="AW124" s="455">
        <f t="shared" si="328"/>
        <v>0</v>
      </c>
      <c r="AX124" s="455">
        <f t="shared" si="329"/>
        <v>0</v>
      </c>
      <c r="AY124" s="455">
        <f t="shared" si="330"/>
        <v>0</v>
      </c>
      <c r="AZ124" s="455">
        <f t="shared" si="331"/>
        <v>0</v>
      </c>
      <c r="BA124" s="455">
        <f t="shared" si="332"/>
        <v>0</v>
      </c>
      <c r="BB124" s="455">
        <f t="shared" si="333"/>
        <v>0</v>
      </c>
      <c r="BC124" s="455">
        <f t="shared" si="334"/>
        <v>0</v>
      </c>
      <c r="BD124" s="456">
        <f t="shared" si="281"/>
        <v>0</v>
      </c>
      <c r="BE124" s="457"/>
      <c r="BF124" s="455">
        <f t="shared" si="335"/>
        <v>0</v>
      </c>
      <c r="BG124" s="455">
        <f t="shared" si="336"/>
        <v>0</v>
      </c>
      <c r="BH124" s="455">
        <f t="shared" si="337"/>
        <v>0</v>
      </c>
      <c r="BI124" s="455">
        <f t="shared" si="338"/>
        <v>0</v>
      </c>
      <c r="BJ124" s="455">
        <f t="shared" si="339"/>
        <v>0</v>
      </c>
      <c r="BK124" s="455">
        <f t="shared" si="340"/>
        <v>0</v>
      </c>
      <c r="BL124" s="455">
        <f t="shared" si="341"/>
        <v>0</v>
      </c>
      <c r="BM124" s="455">
        <f t="shared" si="342"/>
        <v>0</v>
      </c>
      <c r="BN124" s="455">
        <f t="shared" si="343"/>
        <v>0</v>
      </c>
      <c r="BO124" s="455">
        <f t="shared" si="344"/>
        <v>0</v>
      </c>
      <c r="BP124" s="456">
        <f t="shared" si="282"/>
        <v>0</v>
      </c>
      <c r="BQ124" s="463"/>
      <c r="BR124" s="459">
        <f t="shared" si="345"/>
        <v>0</v>
      </c>
      <c r="BS124" s="459">
        <f t="shared" si="346"/>
        <v>0</v>
      </c>
      <c r="BT124" s="459">
        <f t="shared" si="347"/>
        <v>0</v>
      </c>
      <c r="BU124" s="459">
        <f t="shared" si="348"/>
        <v>0</v>
      </c>
      <c r="BV124" s="459">
        <f t="shared" si="349"/>
        <v>0</v>
      </c>
      <c r="BW124" s="459">
        <f t="shared" si="350"/>
        <v>0</v>
      </c>
      <c r="BX124" s="459">
        <f t="shared" si="351"/>
        <v>0</v>
      </c>
      <c r="BY124" s="459">
        <f t="shared" si="352"/>
        <v>0</v>
      </c>
      <c r="BZ124" s="459">
        <f t="shared" si="353"/>
        <v>0</v>
      </c>
      <c r="CA124" s="459">
        <f t="shared" si="354"/>
        <v>0</v>
      </c>
      <c r="CB124" s="460">
        <f t="shared" si="283"/>
        <v>0</v>
      </c>
      <c r="CC124" s="463"/>
      <c r="CD124" s="462">
        <f t="shared" si="355"/>
        <v>0</v>
      </c>
      <c r="CE124" s="462">
        <f t="shared" si="356"/>
        <v>0</v>
      </c>
      <c r="CF124" s="462">
        <f t="shared" si="357"/>
        <v>0</v>
      </c>
      <c r="CG124" s="462">
        <f t="shared" si="358"/>
        <v>0</v>
      </c>
      <c r="CH124" s="462">
        <f t="shared" si="359"/>
        <v>0</v>
      </c>
      <c r="CI124" s="462">
        <f t="shared" si="360"/>
        <v>0</v>
      </c>
      <c r="CJ124" s="462">
        <f t="shared" si="361"/>
        <v>0</v>
      </c>
      <c r="CK124" s="462">
        <f t="shared" si="362"/>
        <v>0</v>
      </c>
      <c r="CL124" s="462">
        <f t="shared" si="363"/>
        <v>0</v>
      </c>
      <c r="CM124" s="462">
        <f t="shared" si="364"/>
        <v>0</v>
      </c>
      <c r="CN124" s="460">
        <f t="shared" si="284"/>
        <v>0</v>
      </c>
      <c r="CO124" s="463"/>
      <c r="CP124" s="459">
        <f t="shared" si="365"/>
        <v>0</v>
      </c>
      <c r="CQ124" s="459">
        <f t="shared" si="366"/>
        <v>0</v>
      </c>
      <c r="CR124" s="459">
        <f t="shared" si="367"/>
        <v>0</v>
      </c>
      <c r="CS124" s="459">
        <f t="shared" si="368"/>
        <v>0</v>
      </c>
      <c r="CT124" s="459">
        <f t="shared" si="369"/>
        <v>0</v>
      </c>
      <c r="CU124" s="459">
        <f t="shared" si="370"/>
        <v>0</v>
      </c>
      <c r="CV124" s="459">
        <f t="shared" si="371"/>
        <v>0</v>
      </c>
      <c r="CW124" s="459">
        <f t="shared" si="372"/>
        <v>0</v>
      </c>
      <c r="CX124" s="459">
        <f t="shared" si="373"/>
        <v>0</v>
      </c>
      <c r="CY124" s="459">
        <f t="shared" si="374"/>
        <v>0</v>
      </c>
      <c r="CZ124" s="460">
        <f t="shared" si="285"/>
        <v>0</v>
      </c>
      <c r="DA124" s="463"/>
      <c r="DB124" s="459">
        <f t="shared" si="375"/>
        <v>0</v>
      </c>
      <c r="DC124" s="459">
        <f t="shared" si="376"/>
        <v>0</v>
      </c>
      <c r="DD124" s="459">
        <f t="shared" si="377"/>
        <v>0</v>
      </c>
      <c r="DE124" s="459">
        <f t="shared" si="378"/>
        <v>0</v>
      </c>
      <c r="DF124" s="459">
        <f t="shared" si="379"/>
        <v>0</v>
      </c>
      <c r="DG124" s="459">
        <f t="shared" si="380"/>
        <v>0</v>
      </c>
      <c r="DH124" s="459">
        <f t="shared" si="381"/>
        <v>0</v>
      </c>
      <c r="DI124" s="459">
        <f t="shared" si="382"/>
        <v>0</v>
      </c>
      <c r="DJ124" s="459">
        <f t="shared" si="383"/>
        <v>0</v>
      </c>
      <c r="DK124" s="459">
        <f t="shared" si="384"/>
        <v>0</v>
      </c>
      <c r="DL124" s="460">
        <f t="shared" si="286"/>
        <v>0</v>
      </c>
      <c r="DM124" s="463"/>
      <c r="DN124" s="442">
        <f>IF('2. START'!$C$14&gt;0,(AT124/(1+$AA124))*(1+'2. START'!$C$14),AT124)</f>
        <v>0</v>
      </c>
      <c r="DO124" s="442">
        <f>IF('2. START'!$C$14&gt;0,(AU124/(1+$AA124))*(1+'2. START'!$C$14),AU124)</f>
        <v>0</v>
      </c>
      <c r="DP124" s="442">
        <f>IF('2. START'!$C$14&gt;0,(AV124/(1+$AA124))*(1+'2. START'!$C$14),AV124)</f>
        <v>0</v>
      </c>
      <c r="DQ124" s="442">
        <f>IF('2. START'!$C$14&gt;0,(AW124/(1+$AA124))*(1+'2. START'!$C$14),AW124)</f>
        <v>0</v>
      </c>
      <c r="DR124" s="442">
        <f>IF('2. START'!$C$14&gt;0,(AX124/(1+$AA124))*(1+'2. START'!$C$14),AX124)</f>
        <v>0</v>
      </c>
      <c r="DS124" s="442">
        <f>IF('2. START'!$C$14&gt;0,(AY124/(1+$AA124))*(1+'2. START'!$C$14),AY124)</f>
        <v>0</v>
      </c>
      <c r="DT124" s="442">
        <f>IF('2. START'!$C$14&gt;0,(AZ124/(1+$AA124))*(1+'2. START'!$C$14),AZ124)</f>
        <v>0</v>
      </c>
      <c r="DU124" s="442">
        <f>IF('2. START'!$C$14&gt;0,(BA124/(1+$AA124))*(1+'2. START'!$C$14),BA124)</f>
        <v>0</v>
      </c>
      <c r="DV124" s="442">
        <f>IF('2. START'!$C$14&gt;0,(BB124/(1+$AA124))*(1+'2. START'!$C$14),BB124)</f>
        <v>0</v>
      </c>
      <c r="DW124" s="442">
        <f>IF('2. START'!$C$14&gt;0,(BC124/(1+$AA124))*(1+'2. START'!$C$14),BC124)</f>
        <v>0</v>
      </c>
      <c r="DX124" s="460">
        <f t="shared" si="287"/>
        <v>0</v>
      </c>
      <c r="DY124" s="463"/>
      <c r="DZ124" s="459">
        <f>IF('2. START'!$C$11="NO",(IF('2. START'!$C$14&gt;0,(DN124*$AD124),(AT124*$AD124))),(BR124+CP124))</f>
        <v>0</v>
      </c>
      <c r="EA124" s="459">
        <f>IF('2. START'!$C$11="NO",(IF('2. START'!$C$14&gt;0,(DO124*$AD124),(AU124*$AD124))),(BS124+CQ124))</f>
        <v>0</v>
      </c>
      <c r="EB124" s="459">
        <f>IF('2. START'!$C$11="NO",(IF('2. START'!$C$14&gt;0,(DP124*$AD124),(AV124*$AD124))),(BT124+CR124))</f>
        <v>0</v>
      </c>
      <c r="EC124" s="459">
        <f>IF('2. START'!$C$11="NO",(IF('2. START'!$C$14&gt;0,(DQ124*$AD124),(AW124*$AD124))),(BU124+CS124))</f>
        <v>0</v>
      </c>
      <c r="ED124" s="459">
        <f>IF('2. START'!$C$11="NO",(IF('2. START'!$C$14&gt;0,(DR124*$AD124),(AX124*$AD124))),(BV124+CT124))</f>
        <v>0</v>
      </c>
      <c r="EE124" s="459">
        <f>IF('2. START'!$C$11="NO",(IF('2. START'!$C$14&gt;0,(DS124*$AD124),(AY124*$AD124))),(BW124+CU124))</f>
        <v>0</v>
      </c>
      <c r="EF124" s="459">
        <f>IF('2. START'!$C$11="NO",(IF('2. START'!$C$14&gt;0,(DT124*$AD124),(AZ124*$AD124))),(BX124+CV124))</f>
        <v>0</v>
      </c>
      <c r="EG124" s="459">
        <f>IF('2. START'!$C$11="NO",(IF('2. START'!$C$14&gt;0,(DU124*$AD124),(BA124*$AD124))),(BY124+CW124))</f>
        <v>0</v>
      </c>
      <c r="EH124" s="459">
        <f>IF('2. START'!$C$11="NO",(IF('2. START'!$C$14&gt;0,(DV124*$AD124),(BB124*$AD124))),(BZ124+CX124))</f>
        <v>0</v>
      </c>
      <c r="EI124" s="459">
        <f>IF('2. START'!$C$11="NO",(IF('2. START'!$C$14&gt;0,(DW124*$AD124),(BC124*$AD124))),(CA124+CY124))</f>
        <v>0</v>
      </c>
      <c r="EJ124" s="460">
        <f t="shared" si="288"/>
        <v>0</v>
      </c>
      <c r="EK124" s="463"/>
      <c r="EL124" s="459">
        <f>(BR124+CP124-DZ124)+IF('2. START'!$C$14&gt;0,AT124-DN124,0)</f>
        <v>0</v>
      </c>
      <c r="EM124" s="459">
        <f>(BS124+CQ124-EA124)+IF('2. START'!$C$14&gt;0,AU124-DO124,0)</f>
        <v>0</v>
      </c>
      <c r="EN124" s="459">
        <f>(BT124+CR124-EB124)+IF('2. START'!$C$14&gt;0,AV124-DP124,0)</f>
        <v>0</v>
      </c>
      <c r="EO124" s="459">
        <f>(BU124+CS124-EC124)+IF('2. START'!$C$14&gt;0,AW124-DQ124,0)</f>
        <v>0</v>
      </c>
      <c r="EP124" s="459">
        <f>(BV124+CT124-ED124)+IF('2. START'!$C$14&gt;0,AX124-DR124,0)</f>
        <v>0</v>
      </c>
      <c r="EQ124" s="459">
        <f>(BW124+CU124-EE124)+IF('2. START'!$C$14&gt;0,AY124-DS124,0)</f>
        <v>0</v>
      </c>
      <c r="ER124" s="459">
        <f>(BX124+CV124-EF124)+IF('2. START'!$C$14&gt;0,AZ124-DT124,0)</f>
        <v>0</v>
      </c>
      <c r="ES124" s="459">
        <f>(BY124+CW124-EG124)+IF('2. START'!$C$14&gt;0,BA124-DU124,0)</f>
        <v>0</v>
      </c>
      <c r="ET124" s="459">
        <f>(BZ124+CX124-EH124)+IF('2. START'!$C$14&gt;0,BB124-DV124,0)</f>
        <v>0</v>
      </c>
      <c r="EU124" s="459">
        <f>(CA124+CY124-EI124)+IF('2. START'!$C$14&gt;0,BC124-DW124,0)</f>
        <v>0</v>
      </c>
      <c r="EV124" s="460">
        <f t="shared" si="289"/>
        <v>0</v>
      </c>
      <c r="EW124" s="463"/>
      <c r="EX124" s="459">
        <f t="shared" si="290"/>
        <v>0</v>
      </c>
      <c r="EY124" s="459">
        <f t="shared" si="291"/>
        <v>0</v>
      </c>
      <c r="EZ124" s="459">
        <f t="shared" si="292"/>
        <v>0</v>
      </c>
      <c r="FA124" s="459">
        <f t="shared" si="293"/>
        <v>0</v>
      </c>
      <c r="FB124" s="459">
        <f t="shared" si="294"/>
        <v>0</v>
      </c>
      <c r="FC124" s="459">
        <f t="shared" si="295"/>
        <v>0</v>
      </c>
      <c r="FD124" s="459">
        <f t="shared" si="296"/>
        <v>0</v>
      </c>
      <c r="FE124" s="459">
        <f t="shared" si="297"/>
        <v>0</v>
      </c>
      <c r="FF124" s="459">
        <f t="shared" si="298"/>
        <v>0</v>
      </c>
      <c r="FG124" s="459">
        <f t="shared" si="299"/>
        <v>0</v>
      </c>
      <c r="FH124" s="460">
        <f t="shared" si="300"/>
        <v>0</v>
      </c>
      <c r="FI124" s="463"/>
      <c r="FJ124" s="459">
        <f t="shared" si="301"/>
        <v>0</v>
      </c>
      <c r="FK124" s="459">
        <f t="shared" si="302"/>
        <v>0</v>
      </c>
      <c r="FL124" s="459">
        <f t="shared" si="303"/>
        <v>0</v>
      </c>
      <c r="FM124" s="459">
        <f t="shared" si="304"/>
        <v>0</v>
      </c>
      <c r="FN124" s="459">
        <f t="shared" si="305"/>
        <v>0</v>
      </c>
      <c r="FO124" s="459">
        <f t="shared" si="306"/>
        <v>0</v>
      </c>
      <c r="FP124" s="459">
        <f t="shared" si="307"/>
        <v>0</v>
      </c>
      <c r="FQ124" s="459">
        <f t="shared" si="308"/>
        <v>0</v>
      </c>
      <c r="FR124" s="459">
        <f t="shared" si="309"/>
        <v>0</v>
      </c>
      <c r="FS124" s="459">
        <f t="shared" si="310"/>
        <v>0</v>
      </c>
      <c r="FT124" s="460">
        <f t="shared" si="311"/>
        <v>0</v>
      </c>
    </row>
    <row r="125" spans="2:176" s="270" customFormat="1" ht="15" customHeight="1" x14ac:dyDescent="0.25">
      <c r="B125" s="464" t="str">
        <f>'2. START'!C$7</f>
        <v>100GEM</v>
      </c>
      <c r="C125" s="470"/>
      <c r="D125" s="590"/>
      <c r="E125" s="514">
        <v>0</v>
      </c>
      <c r="F125" s="467"/>
      <c r="G125" s="432"/>
      <c r="H125" s="432"/>
      <c r="I125" s="432"/>
      <c r="J125" s="432"/>
      <c r="K125" s="432"/>
      <c r="L125" s="432"/>
      <c r="M125" s="432"/>
      <c r="N125" s="432"/>
      <c r="O125" s="432"/>
      <c r="P125" s="432"/>
      <c r="Q125" s="545">
        <f>SUMIF('3. PARTNER'!$B$13:$B$80,$B125,'3. PARTNER'!$F$13:$F$80)</f>
        <v>0.02</v>
      </c>
      <c r="R125" s="466">
        <f t="shared" si="385"/>
        <v>0.02</v>
      </c>
      <c r="S125" s="466">
        <f t="shared" si="385"/>
        <v>0.02</v>
      </c>
      <c r="T125" s="466">
        <f t="shared" si="385"/>
        <v>0.02</v>
      </c>
      <c r="U125" s="466">
        <f t="shared" si="385"/>
        <v>0.02</v>
      </c>
      <c r="V125" s="466">
        <f t="shared" si="385"/>
        <v>0.02</v>
      </c>
      <c r="W125" s="466">
        <f t="shared" si="385"/>
        <v>0.02</v>
      </c>
      <c r="X125" s="466">
        <f t="shared" si="385"/>
        <v>0.02</v>
      </c>
      <c r="Y125" s="466">
        <f t="shared" si="385"/>
        <v>0.02</v>
      </c>
      <c r="Z125" s="466">
        <f t="shared" si="385"/>
        <v>0.02</v>
      </c>
      <c r="AA125" s="434">
        <f>SUMIF('3. PARTNER'!B$13:B$80,B125,'3. PARTNER'!E$13:E$80)</f>
        <v>0.5595</v>
      </c>
      <c r="AB125" s="435">
        <f>IF('2. START'!$C$20="UTB",(SUMIF('3. PARTNER'!B$13:B$80,B125,'3. PARTNER'!K$13:K$80))+(SUMIF('3. PARTNER'!B$13:B$80,B125,'3. PARTNER'!M$13:M$80)),(SUMIF('3. PARTNER'!B$13:B$80,B125,'3. PARTNER'!G$13:G$80))+(SUMIF('3. PARTNER'!B$13:B$80,B125,'3. PARTNER'!I$13:I$80)))</f>
        <v>0.16000843770704321</v>
      </c>
      <c r="AC125" s="435">
        <f>IF('2. START'!$C$20="UTB",(SUMIF('3. PARTNER'!B$13:B$80,B125,'3. PARTNER'!L$13:L$80))+(SUMIF('3. PARTNER'!B$13:B$80,B125,'3. PARTNER'!N$13:N$80)),(SUMIF('3. PARTNER'!B$13:B$80,B125,'3. PARTNER'!H$13:H$80))+(SUMIF('3. PARTNER'!B$13:B$80,B125,'3. PARTNER'!J$13:J$80)))</f>
        <v>0</v>
      </c>
      <c r="AD125" s="435">
        <f>IF('2. START'!C$11="NO",'2. START'!C$12,0)</f>
        <v>0</v>
      </c>
      <c r="AE125" s="436">
        <f t="shared" si="278"/>
        <v>0</v>
      </c>
      <c r="AF125" s="436">
        <f t="shared" si="279"/>
        <v>0</v>
      </c>
      <c r="AG125" s="437"/>
      <c r="AH125" s="438">
        <f t="shared" si="315"/>
        <v>0</v>
      </c>
      <c r="AI125" s="438">
        <f t="shared" si="316"/>
        <v>0</v>
      </c>
      <c r="AJ125" s="438">
        <f t="shared" si="317"/>
        <v>0</v>
      </c>
      <c r="AK125" s="438">
        <f t="shared" si="318"/>
        <v>0</v>
      </c>
      <c r="AL125" s="438">
        <f t="shared" si="319"/>
        <v>0</v>
      </c>
      <c r="AM125" s="438">
        <f t="shared" si="320"/>
        <v>0</v>
      </c>
      <c r="AN125" s="438">
        <f t="shared" si="321"/>
        <v>0</v>
      </c>
      <c r="AO125" s="438">
        <f t="shared" si="322"/>
        <v>0</v>
      </c>
      <c r="AP125" s="438">
        <f t="shared" si="323"/>
        <v>0</v>
      </c>
      <c r="AQ125" s="438">
        <f t="shared" si="324"/>
        <v>0</v>
      </c>
      <c r="AR125" s="439">
        <f t="shared" si="280"/>
        <v>0</v>
      </c>
      <c r="AS125" s="440"/>
      <c r="AT125" s="438">
        <f t="shared" si="325"/>
        <v>0</v>
      </c>
      <c r="AU125" s="438">
        <f t="shared" si="326"/>
        <v>0</v>
      </c>
      <c r="AV125" s="438">
        <f t="shared" si="327"/>
        <v>0</v>
      </c>
      <c r="AW125" s="438">
        <f t="shared" si="328"/>
        <v>0</v>
      </c>
      <c r="AX125" s="438">
        <f t="shared" si="329"/>
        <v>0</v>
      </c>
      <c r="AY125" s="438">
        <f t="shared" si="330"/>
        <v>0</v>
      </c>
      <c r="AZ125" s="438">
        <f t="shared" si="331"/>
        <v>0</v>
      </c>
      <c r="BA125" s="438">
        <f t="shared" si="332"/>
        <v>0</v>
      </c>
      <c r="BB125" s="438">
        <f t="shared" si="333"/>
        <v>0</v>
      </c>
      <c r="BC125" s="438">
        <f t="shared" si="334"/>
        <v>0</v>
      </c>
      <c r="BD125" s="439">
        <f t="shared" si="281"/>
        <v>0</v>
      </c>
      <c r="BE125" s="440"/>
      <c r="BF125" s="438">
        <f t="shared" si="335"/>
        <v>0</v>
      </c>
      <c r="BG125" s="438">
        <f t="shared" si="336"/>
        <v>0</v>
      </c>
      <c r="BH125" s="438">
        <f t="shared" si="337"/>
        <v>0</v>
      </c>
      <c r="BI125" s="438">
        <f t="shared" si="338"/>
        <v>0</v>
      </c>
      <c r="BJ125" s="438">
        <f t="shared" si="339"/>
        <v>0</v>
      </c>
      <c r="BK125" s="438">
        <f t="shared" si="340"/>
        <v>0</v>
      </c>
      <c r="BL125" s="438">
        <f t="shared" si="341"/>
        <v>0</v>
      </c>
      <c r="BM125" s="438">
        <f t="shared" si="342"/>
        <v>0</v>
      </c>
      <c r="BN125" s="438">
        <f t="shared" si="343"/>
        <v>0</v>
      </c>
      <c r="BO125" s="438">
        <f t="shared" si="344"/>
        <v>0</v>
      </c>
      <c r="BP125" s="439">
        <f t="shared" si="282"/>
        <v>0</v>
      </c>
      <c r="BR125" s="442">
        <f t="shared" si="345"/>
        <v>0</v>
      </c>
      <c r="BS125" s="442">
        <f t="shared" si="346"/>
        <v>0</v>
      </c>
      <c r="BT125" s="442">
        <f t="shared" si="347"/>
        <v>0</v>
      </c>
      <c r="BU125" s="442">
        <f t="shared" si="348"/>
        <v>0</v>
      </c>
      <c r="BV125" s="442">
        <f t="shared" si="349"/>
        <v>0</v>
      </c>
      <c r="BW125" s="442">
        <f t="shared" si="350"/>
        <v>0</v>
      </c>
      <c r="BX125" s="442">
        <f t="shared" si="351"/>
        <v>0</v>
      </c>
      <c r="BY125" s="442">
        <f t="shared" si="352"/>
        <v>0</v>
      </c>
      <c r="BZ125" s="442">
        <f t="shared" si="353"/>
        <v>0</v>
      </c>
      <c r="CA125" s="442">
        <f t="shared" si="354"/>
        <v>0</v>
      </c>
      <c r="CB125" s="443">
        <f t="shared" si="283"/>
        <v>0</v>
      </c>
      <c r="CD125" s="445">
        <f t="shared" si="355"/>
        <v>0</v>
      </c>
      <c r="CE125" s="445">
        <f t="shared" si="356"/>
        <v>0</v>
      </c>
      <c r="CF125" s="445">
        <f t="shared" si="357"/>
        <v>0</v>
      </c>
      <c r="CG125" s="445">
        <f t="shared" si="358"/>
        <v>0</v>
      </c>
      <c r="CH125" s="445">
        <f t="shared" si="359"/>
        <v>0</v>
      </c>
      <c r="CI125" s="445">
        <f t="shared" si="360"/>
        <v>0</v>
      </c>
      <c r="CJ125" s="445">
        <f t="shared" si="361"/>
        <v>0</v>
      </c>
      <c r="CK125" s="445">
        <f t="shared" si="362"/>
        <v>0</v>
      </c>
      <c r="CL125" s="445">
        <f t="shared" si="363"/>
        <v>0</v>
      </c>
      <c r="CM125" s="445">
        <f t="shared" si="364"/>
        <v>0</v>
      </c>
      <c r="CN125" s="443">
        <f t="shared" si="284"/>
        <v>0</v>
      </c>
      <c r="CP125" s="442">
        <f t="shared" si="365"/>
        <v>0</v>
      </c>
      <c r="CQ125" s="442">
        <f t="shared" si="366"/>
        <v>0</v>
      </c>
      <c r="CR125" s="442">
        <f t="shared" si="367"/>
        <v>0</v>
      </c>
      <c r="CS125" s="442">
        <f t="shared" si="368"/>
        <v>0</v>
      </c>
      <c r="CT125" s="442">
        <f t="shared" si="369"/>
        <v>0</v>
      </c>
      <c r="CU125" s="442">
        <f t="shared" si="370"/>
        <v>0</v>
      </c>
      <c r="CV125" s="442">
        <f t="shared" si="371"/>
        <v>0</v>
      </c>
      <c r="CW125" s="442">
        <f t="shared" si="372"/>
        <v>0</v>
      </c>
      <c r="CX125" s="442">
        <f t="shared" si="373"/>
        <v>0</v>
      </c>
      <c r="CY125" s="442">
        <f t="shared" si="374"/>
        <v>0</v>
      </c>
      <c r="CZ125" s="443">
        <f t="shared" si="285"/>
        <v>0</v>
      </c>
      <c r="DB125" s="442">
        <f t="shared" si="375"/>
        <v>0</v>
      </c>
      <c r="DC125" s="442">
        <f t="shared" si="376"/>
        <v>0</v>
      </c>
      <c r="DD125" s="442">
        <f t="shared" si="377"/>
        <v>0</v>
      </c>
      <c r="DE125" s="442">
        <f t="shared" si="378"/>
        <v>0</v>
      </c>
      <c r="DF125" s="442">
        <f t="shared" si="379"/>
        <v>0</v>
      </c>
      <c r="DG125" s="442">
        <f t="shared" si="380"/>
        <v>0</v>
      </c>
      <c r="DH125" s="442">
        <f t="shared" si="381"/>
        <v>0</v>
      </c>
      <c r="DI125" s="442">
        <f t="shared" si="382"/>
        <v>0</v>
      </c>
      <c r="DJ125" s="442">
        <f t="shared" si="383"/>
        <v>0</v>
      </c>
      <c r="DK125" s="442">
        <f t="shared" si="384"/>
        <v>0</v>
      </c>
      <c r="DL125" s="443">
        <f t="shared" si="286"/>
        <v>0</v>
      </c>
      <c r="DN125" s="442">
        <f>IF('2. START'!$C$14&gt;0,(AT125/(1+$AA125))*(1+'2. START'!$C$14),AT125)</f>
        <v>0</v>
      </c>
      <c r="DO125" s="442">
        <f>IF('2. START'!$C$14&gt;0,(AU125/(1+$AA125))*(1+'2. START'!$C$14),AU125)</f>
        <v>0</v>
      </c>
      <c r="DP125" s="442">
        <f>IF('2. START'!$C$14&gt;0,(AV125/(1+$AA125))*(1+'2. START'!$C$14),AV125)</f>
        <v>0</v>
      </c>
      <c r="DQ125" s="442">
        <f>IF('2. START'!$C$14&gt;0,(AW125/(1+$AA125))*(1+'2. START'!$C$14),AW125)</f>
        <v>0</v>
      </c>
      <c r="DR125" s="442">
        <f>IF('2. START'!$C$14&gt;0,(AX125/(1+$AA125))*(1+'2. START'!$C$14),AX125)</f>
        <v>0</v>
      </c>
      <c r="DS125" s="442">
        <f>IF('2. START'!$C$14&gt;0,(AY125/(1+$AA125))*(1+'2. START'!$C$14),AY125)</f>
        <v>0</v>
      </c>
      <c r="DT125" s="442">
        <f>IF('2. START'!$C$14&gt;0,(AZ125/(1+$AA125))*(1+'2. START'!$C$14),AZ125)</f>
        <v>0</v>
      </c>
      <c r="DU125" s="442">
        <f>IF('2. START'!$C$14&gt;0,(BA125/(1+$AA125))*(1+'2. START'!$C$14),BA125)</f>
        <v>0</v>
      </c>
      <c r="DV125" s="442">
        <f>IF('2. START'!$C$14&gt;0,(BB125/(1+$AA125))*(1+'2. START'!$C$14),BB125)</f>
        <v>0</v>
      </c>
      <c r="DW125" s="442">
        <f>IF('2. START'!$C$14&gt;0,(BC125/(1+$AA125))*(1+'2. START'!$C$14),BC125)</f>
        <v>0</v>
      </c>
      <c r="DX125" s="443">
        <f t="shared" si="287"/>
        <v>0</v>
      </c>
      <c r="DZ125" s="442">
        <f>IF('2. START'!$C$11="NO",(IF('2. START'!$C$14&gt;0,(DN125*$AD125),(AT125*$AD125))),(BR125+CP125))</f>
        <v>0</v>
      </c>
      <c r="EA125" s="442">
        <f>IF('2. START'!$C$11="NO",(IF('2. START'!$C$14&gt;0,(DO125*$AD125),(AU125*$AD125))),(BS125+CQ125))</f>
        <v>0</v>
      </c>
      <c r="EB125" s="442">
        <f>IF('2. START'!$C$11="NO",(IF('2. START'!$C$14&gt;0,(DP125*$AD125),(AV125*$AD125))),(BT125+CR125))</f>
        <v>0</v>
      </c>
      <c r="EC125" s="442">
        <f>IF('2. START'!$C$11="NO",(IF('2. START'!$C$14&gt;0,(DQ125*$AD125),(AW125*$AD125))),(BU125+CS125))</f>
        <v>0</v>
      </c>
      <c r="ED125" s="442">
        <f>IF('2. START'!$C$11="NO",(IF('2. START'!$C$14&gt;0,(DR125*$AD125),(AX125*$AD125))),(BV125+CT125))</f>
        <v>0</v>
      </c>
      <c r="EE125" s="442">
        <f>IF('2. START'!$C$11="NO",(IF('2. START'!$C$14&gt;0,(DS125*$AD125),(AY125*$AD125))),(BW125+CU125))</f>
        <v>0</v>
      </c>
      <c r="EF125" s="442">
        <f>IF('2. START'!$C$11="NO",(IF('2. START'!$C$14&gt;0,(DT125*$AD125),(AZ125*$AD125))),(BX125+CV125))</f>
        <v>0</v>
      </c>
      <c r="EG125" s="442">
        <f>IF('2. START'!$C$11="NO",(IF('2. START'!$C$14&gt;0,(DU125*$AD125),(BA125*$AD125))),(BY125+CW125))</f>
        <v>0</v>
      </c>
      <c r="EH125" s="442">
        <f>IF('2. START'!$C$11="NO",(IF('2. START'!$C$14&gt;0,(DV125*$AD125),(BB125*$AD125))),(BZ125+CX125))</f>
        <v>0</v>
      </c>
      <c r="EI125" s="442">
        <f>IF('2. START'!$C$11="NO",(IF('2. START'!$C$14&gt;0,(DW125*$AD125),(BC125*$AD125))),(CA125+CY125))</f>
        <v>0</v>
      </c>
      <c r="EJ125" s="443">
        <f t="shared" si="288"/>
        <v>0</v>
      </c>
      <c r="EL125" s="442">
        <f>(BR125+CP125-DZ125)+IF('2. START'!$C$14&gt;0,AT125-DN125,0)</f>
        <v>0</v>
      </c>
      <c r="EM125" s="442">
        <f>(BS125+CQ125-EA125)+IF('2. START'!$C$14&gt;0,AU125-DO125,0)</f>
        <v>0</v>
      </c>
      <c r="EN125" s="442">
        <f>(BT125+CR125-EB125)+IF('2. START'!$C$14&gt;0,AV125-DP125,0)</f>
        <v>0</v>
      </c>
      <c r="EO125" s="442">
        <f>(BU125+CS125-EC125)+IF('2. START'!$C$14&gt;0,AW125-DQ125,0)</f>
        <v>0</v>
      </c>
      <c r="EP125" s="442">
        <f>(BV125+CT125-ED125)+IF('2. START'!$C$14&gt;0,AX125-DR125,0)</f>
        <v>0</v>
      </c>
      <c r="EQ125" s="442">
        <f>(BW125+CU125-EE125)+IF('2. START'!$C$14&gt;0,AY125-DS125,0)</f>
        <v>0</v>
      </c>
      <c r="ER125" s="442">
        <f>(BX125+CV125-EF125)+IF('2. START'!$C$14&gt;0,AZ125-DT125,0)</f>
        <v>0</v>
      </c>
      <c r="ES125" s="442">
        <f>(BY125+CW125-EG125)+IF('2. START'!$C$14&gt;0,BA125-DU125,0)</f>
        <v>0</v>
      </c>
      <c r="ET125" s="442">
        <f>(BZ125+CX125-EH125)+IF('2. START'!$C$14&gt;0,BB125-DV125,0)</f>
        <v>0</v>
      </c>
      <c r="EU125" s="442">
        <f>(CA125+CY125-EI125)+IF('2. START'!$C$14&gt;0,BC125-DW125,0)</f>
        <v>0</v>
      </c>
      <c r="EV125" s="443">
        <f t="shared" si="289"/>
        <v>0</v>
      </c>
      <c r="EX125" s="442">
        <f t="shared" si="290"/>
        <v>0</v>
      </c>
      <c r="EY125" s="442">
        <f t="shared" si="291"/>
        <v>0</v>
      </c>
      <c r="EZ125" s="442">
        <f t="shared" si="292"/>
        <v>0</v>
      </c>
      <c r="FA125" s="442">
        <f t="shared" si="293"/>
        <v>0</v>
      </c>
      <c r="FB125" s="442">
        <f t="shared" si="294"/>
        <v>0</v>
      </c>
      <c r="FC125" s="442">
        <f t="shared" si="295"/>
        <v>0</v>
      </c>
      <c r="FD125" s="442">
        <f t="shared" si="296"/>
        <v>0</v>
      </c>
      <c r="FE125" s="442">
        <f t="shared" si="297"/>
        <v>0</v>
      </c>
      <c r="FF125" s="442">
        <f t="shared" si="298"/>
        <v>0</v>
      </c>
      <c r="FG125" s="442">
        <f t="shared" si="299"/>
        <v>0</v>
      </c>
      <c r="FH125" s="443">
        <f t="shared" si="300"/>
        <v>0</v>
      </c>
      <c r="FJ125" s="442">
        <f t="shared" si="301"/>
        <v>0</v>
      </c>
      <c r="FK125" s="442">
        <f t="shared" si="302"/>
        <v>0</v>
      </c>
      <c r="FL125" s="442">
        <f t="shared" si="303"/>
        <v>0</v>
      </c>
      <c r="FM125" s="442">
        <f t="shared" si="304"/>
        <v>0</v>
      </c>
      <c r="FN125" s="442">
        <f t="shared" si="305"/>
        <v>0</v>
      </c>
      <c r="FO125" s="442">
        <f t="shared" si="306"/>
        <v>0</v>
      </c>
      <c r="FP125" s="442">
        <f t="shared" si="307"/>
        <v>0</v>
      </c>
      <c r="FQ125" s="442">
        <f t="shared" si="308"/>
        <v>0</v>
      </c>
      <c r="FR125" s="442">
        <f t="shared" si="309"/>
        <v>0</v>
      </c>
      <c r="FS125" s="442">
        <f t="shared" si="310"/>
        <v>0</v>
      </c>
      <c r="FT125" s="443">
        <f t="shared" si="311"/>
        <v>0</v>
      </c>
    </row>
    <row r="126" spans="2:176" s="270" customFormat="1" ht="15" customHeight="1" x14ac:dyDescent="0.25">
      <c r="B126" s="446" t="str">
        <f>'2. START'!C$7</f>
        <v>100GEM</v>
      </c>
      <c r="C126" s="469"/>
      <c r="D126" s="589"/>
      <c r="E126" s="544">
        <v>0</v>
      </c>
      <c r="F126" s="448"/>
      <c r="G126" s="449"/>
      <c r="H126" s="449"/>
      <c r="I126" s="449"/>
      <c r="J126" s="449"/>
      <c r="K126" s="449"/>
      <c r="L126" s="449"/>
      <c r="M126" s="449"/>
      <c r="N126" s="449"/>
      <c r="O126" s="449"/>
      <c r="P126" s="449"/>
      <c r="Q126" s="546">
        <f>SUMIF('3. PARTNER'!$B$13:$B$80,$B126,'3. PARTNER'!$F$13:$F$80)</f>
        <v>0.02</v>
      </c>
      <c r="R126" s="450">
        <f t="shared" si="385"/>
        <v>0.02</v>
      </c>
      <c r="S126" s="450">
        <f t="shared" si="385"/>
        <v>0.02</v>
      </c>
      <c r="T126" s="450">
        <f t="shared" si="385"/>
        <v>0.02</v>
      </c>
      <c r="U126" s="450">
        <f t="shared" si="385"/>
        <v>0.02</v>
      </c>
      <c r="V126" s="450">
        <f t="shared" si="385"/>
        <v>0.02</v>
      </c>
      <c r="W126" s="450">
        <f t="shared" si="385"/>
        <v>0.02</v>
      </c>
      <c r="X126" s="450">
        <f t="shared" si="385"/>
        <v>0.02</v>
      </c>
      <c r="Y126" s="450">
        <f t="shared" si="385"/>
        <v>0.02</v>
      </c>
      <c r="Z126" s="450">
        <f t="shared" si="385"/>
        <v>0.02</v>
      </c>
      <c r="AA126" s="451">
        <f>SUMIF('3. PARTNER'!B$13:B$80,B126,'3. PARTNER'!E$13:E$80)</f>
        <v>0.5595</v>
      </c>
      <c r="AB126" s="452">
        <f>IF('2. START'!$C$20="UTB",(SUMIF('3. PARTNER'!B$13:B$80,B126,'3. PARTNER'!K$13:K$80))+(SUMIF('3. PARTNER'!B$13:B$80,B126,'3. PARTNER'!M$13:M$80)),(SUMIF('3. PARTNER'!B$13:B$80,B126,'3. PARTNER'!G$13:G$80))+(SUMIF('3. PARTNER'!B$13:B$80,B126,'3. PARTNER'!I$13:I$80)))</f>
        <v>0.16000843770704321</v>
      </c>
      <c r="AC126" s="452">
        <f>IF('2. START'!$C$20="UTB",(SUMIF('3. PARTNER'!B$13:B$80,B126,'3. PARTNER'!L$13:L$80))+(SUMIF('3. PARTNER'!B$13:B$80,B126,'3. PARTNER'!N$13:N$80)),(SUMIF('3. PARTNER'!B$13:B$80,B126,'3. PARTNER'!H$13:H$80))+(SUMIF('3. PARTNER'!B$13:B$80,B126,'3. PARTNER'!J$13:J$80)))</f>
        <v>0</v>
      </c>
      <c r="AD126" s="452">
        <f>IF('2. START'!C$11="NO",'2. START'!C$12,0)</f>
        <v>0</v>
      </c>
      <c r="AE126" s="453">
        <f t="shared" si="278"/>
        <v>0</v>
      </c>
      <c r="AF126" s="453">
        <f t="shared" si="279"/>
        <v>0</v>
      </c>
      <c r="AG126" s="454"/>
      <c r="AH126" s="455">
        <f t="shared" si="315"/>
        <v>0</v>
      </c>
      <c r="AI126" s="455">
        <f t="shared" si="316"/>
        <v>0</v>
      </c>
      <c r="AJ126" s="455">
        <f t="shared" si="317"/>
        <v>0</v>
      </c>
      <c r="AK126" s="455">
        <f t="shared" si="318"/>
        <v>0</v>
      </c>
      <c r="AL126" s="455">
        <f t="shared" si="319"/>
        <v>0</v>
      </c>
      <c r="AM126" s="455">
        <f t="shared" si="320"/>
        <v>0</v>
      </c>
      <c r="AN126" s="455">
        <f t="shared" si="321"/>
        <v>0</v>
      </c>
      <c r="AO126" s="455">
        <f t="shared" si="322"/>
        <v>0</v>
      </c>
      <c r="AP126" s="455">
        <f t="shared" si="323"/>
        <v>0</v>
      </c>
      <c r="AQ126" s="455">
        <f t="shared" si="324"/>
        <v>0</v>
      </c>
      <c r="AR126" s="456">
        <f t="shared" si="280"/>
        <v>0</v>
      </c>
      <c r="AS126" s="457"/>
      <c r="AT126" s="455">
        <f t="shared" si="325"/>
        <v>0</v>
      </c>
      <c r="AU126" s="455">
        <f t="shared" si="326"/>
        <v>0</v>
      </c>
      <c r="AV126" s="455">
        <f t="shared" si="327"/>
        <v>0</v>
      </c>
      <c r="AW126" s="455">
        <f t="shared" si="328"/>
        <v>0</v>
      </c>
      <c r="AX126" s="455">
        <f t="shared" si="329"/>
        <v>0</v>
      </c>
      <c r="AY126" s="455">
        <f t="shared" si="330"/>
        <v>0</v>
      </c>
      <c r="AZ126" s="455">
        <f t="shared" si="331"/>
        <v>0</v>
      </c>
      <c r="BA126" s="455">
        <f t="shared" si="332"/>
        <v>0</v>
      </c>
      <c r="BB126" s="455">
        <f t="shared" si="333"/>
        <v>0</v>
      </c>
      <c r="BC126" s="455">
        <f t="shared" si="334"/>
        <v>0</v>
      </c>
      <c r="BD126" s="456">
        <f t="shared" si="281"/>
        <v>0</v>
      </c>
      <c r="BE126" s="457"/>
      <c r="BF126" s="455">
        <f t="shared" si="335"/>
        <v>0</v>
      </c>
      <c r="BG126" s="455">
        <f t="shared" si="336"/>
        <v>0</v>
      </c>
      <c r="BH126" s="455">
        <f t="shared" si="337"/>
        <v>0</v>
      </c>
      <c r="BI126" s="455">
        <f t="shared" si="338"/>
        <v>0</v>
      </c>
      <c r="BJ126" s="455">
        <f t="shared" si="339"/>
        <v>0</v>
      </c>
      <c r="BK126" s="455">
        <f t="shared" si="340"/>
        <v>0</v>
      </c>
      <c r="BL126" s="455">
        <f t="shared" si="341"/>
        <v>0</v>
      </c>
      <c r="BM126" s="455">
        <f t="shared" si="342"/>
        <v>0</v>
      </c>
      <c r="BN126" s="455">
        <f t="shared" si="343"/>
        <v>0</v>
      </c>
      <c r="BO126" s="455">
        <f t="shared" si="344"/>
        <v>0</v>
      </c>
      <c r="BP126" s="456">
        <f t="shared" si="282"/>
        <v>0</v>
      </c>
      <c r="BQ126" s="463"/>
      <c r="BR126" s="459">
        <f t="shared" si="345"/>
        <v>0</v>
      </c>
      <c r="BS126" s="459">
        <f t="shared" si="346"/>
        <v>0</v>
      </c>
      <c r="BT126" s="459">
        <f t="shared" si="347"/>
        <v>0</v>
      </c>
      <c r="BU126" s="459">
        <f t="shared" si="348"/>
        <v>0</v>
      </c>
      <c r="BV126" s="459">
        <f t="shared" si="349"/>
        <v>0</v>
      </c>
      <c r="BW126" s="459">
        <f t="shared" si="350"/>
        <v>0</v>
      </c>
      <c r="BX126" s="459">
        <f t="shared" si="351"/>
        <v>0</v>
      </c>
      <c r="BY126" s="459">
        <f t="shared" si="352"/>
        <v>0</v>
      </c>
      <c r="BZ126" s="459">
        <f t="shared" si="353"/>
        <v>0</v>
      </c>
      <c r="CA126" s="459">
        <f t="shared" si="354"/>
        <v>0</v>
      </c>
      <c r="CB126" s="460">
        <f t="shared" si="283"/>
        <v>0</v>
      </c>
      <c r="CC126" s="463"/>
      <c r="CD126" s="462">
        <f t="shared" si="355"/>
        <v>0</v>
      </c>
      <c r="CE126" s="462">
        <f t="shared" si="356"/>
        <v>0</v>
      </c>
      <c r="CF126" s="462">
        <f t="shared" si="357"/>
        <v>0</v>
      </c>
      <c r="CG126" s="462">
        <f t="shared" si="358"/>
        <v>0</v>
      </c>
      <c r="CH126" s="462">
        <f t="shared" si="359"/>
        <v>0</v>
      </c>
      <c r="CI126" s="462">
        <f t="shared" si="360"/>
        <v>0</v>
      </c>
      <c r="CJ126" s="462">
        <f t="shared" si="361"/>
        <v>0</v>
      </c>
      <c r="CK126" s="462">
        <f t="shared" si="362"/>
        <v>0</v>
      </c>
      <c r="CL126" s="462">
        <f t="shared" si="363"/>
        <v>0</v>
      </c>
      <c r="CM126" s="462">
        <f t="shared" si="364"/>
        <v>0</v>
      </c>
      <c r="CN126" s="460">
        <f t="shared" si="284"/>
        <v>0</v>
      </c>
      <c r="CO126" s="463"/>
      <c r="CP126" s="459">
        <f t="shared" si="365"/>
        <v>0</v>
      </c>
      <c r="CQ126" s="459">
        <f t="shared" si="366"/>
        <v>0</v>
      </c>
      <c r="CR126" s="459">
        <f t="shared" si="367"/>
        <v>0</v>
      </c>
      <c r="CS126" s="459">
        <f t="shared" si="368"/>
        <v>0</v>
      </c>
      <c r="CT126" s="459">
        <f t="shared" si="369"/>
        <v>0</v>
      </c>
      <c r="CU126" s="459">
        <f t="shared" si="370"/>
        <v>0</v>
      </c>
      <c r="CV126" s="459">
        <f t="shared" si="371"/>
        <v>0</v>
      </c>
      <c r="CW126" s="459">
        <f t="shared" si="372"/>
        <v>0</v>
      </c>
      <c r="CX126" s="459">
        <f t="shared" si="373"/>
        <v>0</v>
      </c>
      <c r="CY126" s="459">
        <f t="shared" si="374"/>
        <v>0</v>
      </c>
      <c r="CZ126" s="460">
        <f t="shared" si="285"/>
        <v>0</v>
      </c>
      <c r="DA126" s="463"/>
      <c r="DB126" s="459">
        <f t="shared" si="375"/>
        <v>0</v>
      </c>
      <c r="DC126" s="459">
        <f t="shared" si="376"/>
        <v>0</v>
      </c>
      <c r="DD126" s="459">
        <f t="shared" si="377"/>
        <v>0</v>
      </c>
      <c r="DE126" s="459">
        <f t="shared" si="378"/>
        <v>0</v>
      </c>
      <c r="DF126" s="459">
        <f t="shared" si="379"/>
        <v>0</v>
      </c>
      <c r="DG126" s="459">
        <f t="shared" si="380"/>
        <v>0</v>
      </c>
      <c r="DH126" s="459">
        <f t="shared" si="381"/>
        <v>0</v>
      </c>
      <c r="DI126" s="459">
        <f t="shared" si="382"/>
        <v>0</v>
      </c>
      <c r="DJ126" s="459">
        <f t="shared" si="383"/>
        <v>0</v>
      </c>
      <c r="DK126" s="459">
        <f t="shared" si="384"/>
        <v>0</v>
      </c>
      <c r="DL126" s="460">
        <f t="shared" si="286"/>
        <v>0</v>
      </c>
      <c r="DM126" s="463"/>
      <c r="DN126" s="442">
        <f>IF('2. START'!$C$14&gt;0,(AT126/(1+$AA126))*(1+'2. START'!$C$14),AT126)</f>
        <v>0</v>
      </c>
      <c r="DO126" s="442">
        <f>IF('2. START'!$C$14&gt;0,(AU126/(1+$AA126))*(1+'2. START'!$C$14),AU126)</f>
        <v>0</v>
      </c>
      <c r="DP126" s="442">
        <f>IF('2. START'!$C$14&gt;0,(AV126/(1+$AA126))*(1+'2. START'!$C$14),AV126)</f>
        <v>0</v>
      </c>
      <c r="DQ126" s="442">
        <f>IF('2. START'!$C$14&gt;0,(AW126/(1+$AA126))*(1+'2. START'!$C$14),AW126)</f>
        <v>0</v>
      </c>
      <c r="DR126" s="442">
        <f>IF('2. START'!$C$14&gt;0,(AX126/(1+$AA126))*(1+'2. START'!$C$14),AX126)</f>
        <v>0</v>
      </c>
      <c r="DS126" s="442">
        <f>IF('2. START'!$C$14&gt;0,(AY126/(1+$AA126))*(1+'2. START'!$C$14),AY126)</f>
        <v>0</v>
      </c>
      <c r="DT126" s="442">
        <f>IF('2. START'!$C$14&gt;0,(AZ126/(1+$AA126))*(1+'2. START'!$C$14),AZ126)</f>
        <v>0</v>
      </c>
      <c r="DU126" s="442">
        <f>IF('2. START'!$C$14&gt;0,(BA126/(1+$AA126))*(1+'2. START'!$C$14),BA126)</f>
        <v>0</v>
      </c>
      <c r="DV126" s="442">
        <f>IF('2. START'!$C$14&gt;0,(BB126/(1+$AA126))*(1+'2. START'!$C$14),BB126)</f>
        <v>0</v>
      </c>
      <c r="DW126" s="442">
        <f>IF('2. START'!$C$14&gt;0,(BC126/(1+$AA126))*(1+'2. START'!$C$14),BC126)</f>
        <v>0</v>
      </c>
      <c r="DX126" s="460">
        <f t="shared" si="287"/>
        <v>0</v>
      </c>
      <c r="DY126" s="463"/>
      <c r="DZ126" s="459">
        <f>IF('2. START'!$C$11="NO",(IF('2. START'!$C$14&gt;0,(DN126*$AD126),(AT126*$AD126))),(BR126+CP126))</f>
        <v>0</v>
      </c>
      <c r="EA126" s="459">
        <f>IF('2. START'!$C$11="NO",(IF('2. START'!$C$14&gt;0,(DO126*$AD126),(AU126*$AD126))),(BS126+CQ126))</f>
        <v>0</v>
      </c>
      <c r="EB126" s="459">
        <f>IF('2. START'!$C$11="NO",(IF('2. START'!$C$14&gt;0,(DP126*$AD126),(AV126*$AD126))),(BT126+CR126))</f>
        <v>0</v>
      </c>
      <c r="EC126" s="459">
        <f>IF('2. START'!$C$11="NO",(IF('2. START'!$C$14&gt;0,(DQ126*$AD126),(AW126*$AD126))),(BU126+CS126))</f>
        <v>0</v>
      </c>
      <c r="ED126" s="459">
        <f>IF('2. START'!$C$11="NO",(IF('2. START'!$C$14&gt;0,(DR126*$AD126),(AX126*$AD126))),(BV126+CT126))</f>
        <v>0</v>
      </c>
      <c r="EE126" s="459">
        <f>IF('2. START'!$C$11="NO",(IF('2. START'!$C$14&gt;0,(DS126*$AD126),(AY126*$AD126))),(BW126+CU126))</f>
        <v>0</v>
      </c>
      <c r="EF126" s="459">
        <f>IF('2. START'!$C$11="NO",(IF('2. START'!$C$14&gt;0,(DT126*$AD126),(AZ126*$AD126))),(BX126+CV126))</f>
        <v>0</v>
      </c>
      <c r="EG126" s="459">
        <f>IF('2. START'!$C$11="NO",(IF('2. START'!$C$14&gt;0,(DU126*$AD126),(BA126*$AD126))),(BY126+CW126))</f>
        <v>0</v>
      </c>
      <c r="EH126" s="459">
        <f>IF('2. START'!$C$11="NO",(IF('2. START'!$C$14&gt;0,(DV126*$AD126),(BB126*$AD126))),(BZ126+CX126))</f>
        <v>0</v>
      </c>
      <c r="EI126" s="459">
        <f>IF('2. START'!$C$11="NO",(IF('2. START'!$C$14&gt;0,(DW126*$AD126),(BC126*$AD126))),(CA126+CY126))</f>
        <v>0</v>
      </c>
      <c r="EJ126" s="460">
        <f t="shared" si="288"/>
        <v>0</v>
      </c>
      <c r="EK126" s="463"/>
      <c r="EL126" s="459">
        <f>(BR126+CP126-DZ126)+IF('2. START'!$C$14&gt;0,AT126-DN126,0)</f>
        <v>0</v>
      </c>
      <c r="EM126" s="459">
        <f>(BS126+CQ126-EA126)+IF('2. START'!$C$14&gt;0,AU126-DO126,0)</f>
        <v>0</v>
      </c>
      <c r="EN126" s="459">
        <f>(BT126+CR126-EB126)+IF('2. START'!$C$14&gt;0,AV126-DP126,0)</f>
        <v>0</v>
      </c>
      <c r="EO126" s="459">
        <f>(BU126+CS126-EC126)+IF('2. START'!$C$14&gt;0,AW126-DQ126,0)</f>
        <v>0</v>
      </c>
      <c r="EP126" s="459">
        <f>(BV126+CT126-ED126)+IF('2. START'!$C$14&gt;0,AX126-DR126,0)</f>
        <v>0</v>
      </c>
      <c r="EQ126" s="459">
        <f>(BW126+CU126-EE126)+IF('2. START'!$C$14&gt;0,AY126-DS126,0)</f>
        <v>0</v>
      </c>
      <c r="ER126" s="459">
        <f>(BX126+CV126-EF126)+IF('2. START'!$C$14&gt;0,AZ126-DT126,0)</f>
        <v>0</v>
      </c>
      <c r="ES126" s="459">
        <f>(BY126+CW126-EG126)+IF('2. START'!$C$14&gt;0,BA126-DU126,0)</f>
        <v>0</v>
      </c>
      <c r="ET126" s="459">
        <f>(BZ126+CX126-EH126)+IF('2. START'!$C$14&gt;0,BB126-DV126,0)</f>
        <v>0</v>
      </c>
      <c r="EU126" s="459">
        <f>(CA126+CY126-EI126)+IF('2. START'!$C$14&gt;0,BC126-DW126,0)</f>
        <v>0</v>
      </c>
      <c r="EV126" s="460">
        <f t="shared" si="289"/>
        <v>0</v>
      </c>
      <c r="EW126" s="463"/>
      <c r="EX126" s="459">
        <f t="shared" si="290"/>
        <v>0</v>
      </c>
      <c r="EY126" s="459">
        <f t="shared" si="291"/>
        <v>0</v>
      </c>
      <c r="EZ126" s="459">
        <f t="shared" si="292"/>
        <v>0</v>
      </c>
      <c r="FA126" s="459">
        <f t="shared" si="293"/>
        <v>0</v>
      </c>
      <c r="FB126" s="459">
        <f t="shared" si="294"/>
        <v>0</v>
      </c>
      <c r="FC126" s="459">
        <f t="shared" si="295"/>
        <v>0</v>
      </c>
      <c r="FD126" s="459">
        <f t="shared" si="296"/>
        <v>0</v>
      </c>
      <c r="FE126" s="459">
        <f t="shared" si="297"/>
        <v>0</v>
      </c>
      <c r="FF126" s="459">
        <f t="shared" si="298"/>
        <v>0</v>
      </c>
      <c r="FG126" s="459">
        <f t="shared" si="299"/>
        <v>0</v>
      </c>
      <c r="FH126" s="460">
        <f t="shared" si="300"/>
        <v>0</v>
      </c>
      <c r="FI126" s="463"/>
      <c r="FJ126" s="459">
        <f t="shared" si="301"/>
        <v>0</v>
      </c>
      <c r="FK126" s="459">
        <f t="shared" si="302"/>
        <v>0</v>
      </c>
      <c r="FL126" s="459">
        <f t="shared" si="303"/>
        <v>0</v>
      </c>
      <c r="FM126" s="459">
        <f t="shared" si="304"/>
        <v>0</v>
      </c>
      <c r="FN126" s="459">
        <f t="shared" si="305"/>
        <v>0</v>
      </c>
      <c r="FO126" s="459">
        <f t="shared" si="306"/>
        <v>0</v>
      </c>
      <c r="FP126" s="459">
        <f t="shared" si="307"/>
        <v>0</v>
      </c>
      <c r="FQ126" s="459">
        <f t="shared" si="308"/>
        <v>0</v>
      </c>
      <c r="FR126" s="459">
        <f t="shared" si="309"/>
        <v>0</v>
      </c>
      <c r="FS126" s="459">
        <f t="shared" si="310"/>
        <v>0</v>
      </c>
      <c r="FT126" s="460">
        <f t="shared" si="311"/>
        <v>0</v>
      </c>
    </row>
    <row r="127" spans="2:176" s="270" customFormat="1" ht="15" customHeight="1" x14ac:dyDescent="0.25">
      <c r="B127" s="464" t="str">
        <f>'2. START'!C$7</f>
        <v>100GEM</v>
      </c>
      <c r="C127" s="470"/>
      <c r="D127" s="590"/>
      <c r="E127" s="514">
        <v>0</v>
      </c>
      <c r="F127" s="467"/>
      <c r="G127" s="432"/>
      <c r="H127" s="432"/>
      <c r="I127" s="432"/>
      <c r="J127" s="432"/>
      <c r="K127" s="432"/>
      <c r="L127" s="432"/>
      <c r="M127" s="432"/>
      <c r="N127" s="432"/>
      <c r="O127" s="432"/>
      <c r="P127" s="432"/>
      <c r="Q127" s="545">
        <f>SUMIF('3. PARTNER'!$B$13:$B$80,$B127,'3. PARTNER'!$F$13:$F$80)</f>
        <v>0.02</v>
      </c>
      <c r="R127" s="466">
        <f t="shared" ref="R127:Z136" si="386">$Q127</f>
        <v>0.02</v>
      </c>
      <c r="S127" s="466">
        <f t="shared" si="386"/>
        <v>0.02</v>
      </c>
      <c r="T127" s="466">
        <f t="shared" si="386"/>
        <v>0.02</v>
      </c>
      <c r="U127" s="466">
        <f t="shared" si="386"/>
        <v>0.02</v>
      </c>
      <c r="V127" s="466">
        <f t="shared" si="386"/>
        <v>0.02</v>
      </c>
      <c r="W127" s="466">
        <f t="shared" si="386"/>
        <v>0.02</v>
      </c>
      <c r="X127" s="466">
        <f t="shared" si="386"/>
        <v>0.02</v>
      </c>
      <c r="Y127" s="466">
        <f t="shared" si="386"/>
        <v>0.02</v>
      </c>
      <c r="Z127" s="466">
        <f t="shared" si="386"/>
        <v>0.02</v>
      </c>
      <c r="AA127" s="434">
        <f>SUMIF('3. PARTNER'!B$13:B$80,B127,'3. PARTNER'!E$13:E$80)</f>
        <v>0.5595</v>
      </c>
      <c r="AB127" s="435">
        <f>IF('2. START'!$C$20="UTB",(SUMIF('3. PARTNER'!B$13:B$80,B127,'3. PARTNER'!K$13:K$80))+(SUMIF('3. PARTNER'!B$13:B$80,B127,'3. PARTNER'!M$13:M$80)),(SUMIF('3. PARTNER'!B$13:B$80,B127,'3. PARTNER'!G$13:G$80))+(SUMIF('3. PARTNER'!B$13:B$80,B127,'3. PARTNER'!I$13:I$80)))</f>
        <v>0.16000843770704321</v>
      </c>
      <c r="AC127" s="435">
        <f>IF('2. START'!$C$20="UTB",(SUMIF('3. PARTNER'!B$13:B$80,B127,'3. PARTNER'!L$13:L$80))+(SUMIF('3. PARTNER'!B$13:B$80,B127,'3. PARTNER'!N$13:N$80)),(SUMIF('3. PARTNER'!B$13:B$80,B127,'3. PARTNER'!H$13:H$80))+(SUMIF('3. PARTNER'!B$13:B$80,B127,'3. PARTNER'!J$13:J$80)))</f>
        <v>0</v>
      </c>
      <c r="AD127" s="435">
        <f>IF('2. START'!C$11="NO",'2. START'!C$12,0)</f>
        <v>0</v>
      </c>
      <c r="AE127" s="436">
        <f t="shared" si="278"/>
        <v>0</v>
      </c>
      <c r="AF127" s="436">
        <f t="shared" si="279"/>
        <v>0</v>
      </c>
      <c r="AG127" s="437"/>
      <c r="AH127" s="438">
        <f t="shared" si="315"/>
        <v>0</v>
      </c>
      <c r="AI127" s="438">
        <f t="shared" si="316"/>
        <v>0</v>
      </c>
      <c r="AJ127" s="438">
        <f t="shared" si="317"/>
        <v>0</v>
      </c>
      <c r="AK127" s="438">
        <f t="shared" si="318"/>
        <v>0</v>
      </c>
      <c r="AL127" s="438">
        <f t="shared" si="319"/>
        <v>0</v>
      </c>
      <c r="AM127" s="438">
        <f t="shared" si="320"/>
        <v>0</v>
      </c>
      <c r="AN127" s="438">
        <f t="shared" si="321"/>
        <v>0</v>
      </c>
      <c r="AO127" s="438">
        <f t="shared" si="322"/>
        <v>0</v>
      </c>
      <c r="AP127" s="438">
        <f t="shared" si="323"/>
        <v>0</v>
      </c>
      <c r="AQ127" s="438">
        <f t="shared" si="324"/>
        <v>0</v>
      </c>
      <c r="AR127" s="439">
        <f t="shared" si="280"/>
        <v>0</v>
      </c>
      <c r="AS127" s="440"/>
      <c r="AT127" s="438">
        <f t="shared" si="325"/>
        <v>0</v>
      </c>
      <c r="AU127" s="438">
        <f t="shared" si="326"/>
        <v>0</v>
      </c>
      <c r="AV127" s="438">
        <f t="shared" si="327"/>
        <v>0</v>
      </c>
      <c r="AW127" s="438">
        <f t="shared" si="328"/>
        <v>0</v>
      </c>
      <c r="AX127" s="438">
        <f t="shared" si="329"/>
        <v>0</v>
      </c>
      <c r="AY127" s="438">
        <f t="shared" si="330"/>
        <v>0</v>
      </c>
      <c r="AZ127" s="438">
        <f t="shared" si="331"/>
        <v>0</v>
      </c>
      <c r="BA127" s="438">
        <f t="shared" si="332"/>
        <v>0</v>
      </c>
      <c r="BB127" s="438">
        <f t="shared" si="333"/>
        <v>0</v>
      </c>
      <c r="BC127" s="438">
        <f t="shared" si="334"/>
        <v>0</v>
      </c>
      <c r="BD127" s="439">
        <f t="shared" si="281"/>
        <v>0</v>
      </c>
      <c r="BE127" s="440"/>
      <c r="BF127" s="438">
        <f t="shared" si="335"/>
        <v>0</v>
      </c>
      <c r="BG127" s="438">
        <f t="shared" si="336"/>
        <v>0</v>
      </c>
      <c r="BH127" s="438">
        <f t="shared" si="337"/>
        <v>0</v>
      </c>
      <c r="BI127" s="438">
        <f t="shared" si="338"/>
        <v>0</v>
      </c>
      <c r="BJ127" s="438">
        <f t="shared" si="339"/>
        <v>0</v>
      </c>
      <c r="BK127" s="438">
        <f t="shared" si="340"/>
        <v>0</v>
      </c>
      <c r="BL127" s="438">
        <f t="shared" si="341"/>
        <v>0</v>
      </c>
      <c r="BM127" s="438">
        <f t="shared" si="342"/>
        <v>0</v>
      </c>
      <c r="BN127" s="438">
        <f t="shared" si="343"/>
        <v>0</v>
      </c>
      <c r="BO127" s="438">
        <f t="shared" si="344"/>
        <v>0</v>
      </c>
      <c r="BP127" s="439">
        <f t="shared" si="282"/>
        <v>0</v>
      </c>
      <c r="BR127" s="442">
        <f t="shared" si="345"/>
        <v>0</v>
      </c>
      <c r="BS127" s="442">
        <f t="shared" si="346"/>
        <v>0</v>
      </c>
      <c r="BT127" s="442">
        <f t="shared" si="347"/>
        <v>0</v>
      </c>
      <c r="BU127" s="442">
        <f t="shared" si="348"/>
        <v>0</v>
      </c>
      <c r="BV127" s="442">
        <f t="shared" si="349"/>
        <v>0</v>
      </c>
      <c r="BW127" s="442">
        <f t="shared" si="350"/>
        <v>0</v>
      </c>
      <c r="BX127" s="442">
        <f t="shared" si="351"/>
        <v>0</v>
      </c>
      <c r="BY127" s="442">
        <f t="shared" si="352"/>
        <v>0</v>
      </c>
      <c r="BZ127" s="442">
        <f t="shared" si="353"/>
        <v>0</v>
      </c>
      <c r="CA127" s="442">
        <f t="shared" si="354"/>
        <v>0</v>
      </c>
      <c r="CB127" s="443">
        <f t="shared" si="283"/>
        <v>0</v>
      </c>
      <c r="CD127" s="445">
        <f t="shared" si="355"/>
        <v>0</v>
      </c>
      <c r="CE127" s="445">
        <f t="shared" si="356"/>
        <v>0</v>
      </c>
      <c r="CF127" s="445">
        <f t="shared" si="357"/>
        <v>0</v>
      </c>
      <c r="CG127" s="445">
        <f t="shared" si="358"/>
        <v>0</v>
      </c>
      <c r="CH127" s="445">
        <f t="shared" si="359"/>
        <v>0</v>
      </c>
      <c r="CI127" s="445">
        <f t="shared" si="360"/>
        <v>0</v>
      </c>
      <c r="CJ127" s="445">
        <f t="shared" si="361"/>
        <v>0</v>
      </c>
      <c r="CK127" s="445">
        <f t="shared" si="362"/>
        <v>0</v>
      </c>
      <c r="CL127" s="445">
        <f t="shared" si="363"/>
        <v>0</v>
      </c>
      <c r="CM127" s="445">
        <f t="shared" si="364"/>
        <v>0</v>
      </c>
      <c r="CN127" s="443">
        <f t="shared" si="284"/>
        <v>0</v>
      </c>
      <c r="CP127" s="442">
        <f t="shared" si="365"/>
        <v>0</v>
      </c>
      <c r="CQ127" s="442">
        <f t="shared" si="366"/>
        <v>0</v>
      </c>
      <c r="CR127" s="442">
        <f t="shared" si="367"/>
        <v>0</v>
      </c>
      <c r="CS127" s="442">
        <f t="shared" si="368"/>
        <v>0</v>
      </c>
      <c r="CT127" s="442">
        <f t="shared" si="369"/>
        <v>0</v>
      </c>
      <c r="CU127" s="442">
        <f t="shared" si="370"/>
        <v>0</v>
      </c>
      <c r="CV127" s="442">
        <f t="shared" si="371"/>
        <v>0</v>
      </c>
      <c r="CW127" s="442">
        <f t="shared" si="372"/>
        <v>0</v>
      </c>
      <c r="CX127" s="442">
        <f t="shared" si="373"/>
        <v>0</v>
      </c>
      <c r="CY127" s="442">
        <f t="shared" si="374"/>
        <v>0</v>
      </c>
      <c r="CZ127" s="443">
        <f t="shared" si="285"/>
        <v>0</v>
      </c>
      <c r="DB127" s="442">
        <f t="shared" si="375"/>
        <v>0</v>
      </c>
      <c r="DC127" s="442">
        <f t="shared" si="376"/>
        <v>0</v>
      </c>
      <c r="DD127" s="442">
        <f t="shared" si="377"/>
        <v>0</v>
      </c>
      <c r="DE127" s="442">
        <f t="shared" si="378"/>
        <v>0</v>
      </c>
      <c r="DF127" s="442">
        <f t="shared" si="379"/>
        <v>0</v>
      </c>
      <c r="DG127" s="442">
        <f t="shared" si="380"/>
        <v>0</v>
      </c>
      <c r="DH127" s="442">
        <f t="shared" si="381"/>
        <v>0</v>
      </c>
      <c r="DI127" s="442">
        <f t="shared" si="382"/>
        <v>0</v>
      </c>
      <c r="DJ127" s="442">
        <f t="shared" si="383"/>
        <v>0</v>
      </c>
      <c r="DK127" s="442">
        <f t="shared" si="384"/>
        <v>0</v>
      </c>
      <c r="DL127" s="443">
        <f t="shared" si="286"/>
        <v>0</v>
      </c>
      <c r="DN127" s="442">
        <f>IF('2. START'!$C$14&gt;0,(AT127/(1+$AA127))*(1+'2. START'!$C$14),AT127)</f>
        <v>0</v>
      </c>
      <c r="DO127" s="442">
        <f>IF('2. START'!$C$14&gt;0,(AU127/(1+$AA127))*(1+'2. START'!$C$14),AU127)</f>
        <v>0</v>
      </c>
      <c r="DP127" s="442">
        <f>IF('2. START'!$C$14&gt;0,(AV127/(1+$AA127))*(1+'2. START'!$C$14),AV127)</f>
        <v>0</v>
      </c>
      <c r="DQ127" s="442">
        <f>IF('2. START'!$C$14&gt;0,(AW127/(1+$AA127))*(1+'2. START'!$C$14),AW127)</f>
        <v>0</v>
      </c>
      <c r="DR127" s="442">
        <f>IF('2. START'!$C$14&gt;0,(AX127/(1+$AA127))*(1+'2. START'!$C$14),AX127)</f>
        <v>0</v>
      </c>
      <c r="DS127" s="442">
        <f>IF('2. START'!$C$14&gt;0,(AY127/(1+$AA127))*(1+'2. START'!$C$14),AY127)</f>
        <v>0</v>
      </c>
      <c r="DT127" s="442">
        <f>IF('2. START'!$C$14&gt;0,(AZ127/(1+$AA127))*(1+'2. START'!$C$14),AZ127)</f>
        <v>0</v>
      </c>
      <c r="DU127" s="442">
        <f>IF('2. START'!$C$14&gt;0,(BA127/(1+$AA127))*(1+'2. START'!$C$14),BA127)</f>
        <v>0</v>
      </c>
      <c r="DV127" s="442">
        <f>IF('2. START'!$C$14&gt;0,(BB127/(1+$AA127))*(1+'2. START'!$C$14),BB127)</f>
        <v>0</v>
      </c>
      <c r="DW127" s="442">
        <f>IF('2. START'!$C$14&gt;0,(BC127/(1+$AA127))*(1+'2. START'!$C$14),BC127)</f>
        <v>0</v>
      </c>
      <c r="DX127" s="443">
        <f t="shared" si="287"/>
        <v>0</v>
      </c>
      <c r="DZ127" s="442">
        <f>IF('2. START'!$C$11="NO",(IF('2. START'!$C$14&gt;0,(DN127*$AD127),(AT127*$AD127))),(BR127+CP127))</f>
        <v>0</v>
      </c>
      <c r="EA127" s="442">
        <f>IF('2. START'!$C$11="NO",(IF('2. START'!$C$14&gt;0,(DO127*$AD127),(AU127*$AD127))),(BS127+CQ127))</f>
        <v>0</v>
      </c>
      <c r="EB127" s="442">
        <f>IF('2. START'!$C$11="NO",(IF('2. START'!$C$14&gt;0,(DP127*$AD127),(AV127*$AD127))),(BT127+CR127))</f>
        <v>0</v>
      </c>
      <c r="EC127" s="442">
        <f>IF('2. START'!$C$11="NO",(IF('2. START'!$C$14&gt;0,(DQ127*$AD127),(AW127*$AD127))),(BU127+CS127))</f>
        <v>0</v>
      </c>
      <c r="ED127" s="442">
        <f>IF('2. START'!$C$11="NO",(IF('2. START'!$C$14&gt;0,(DR127*$AD127),(AX127*$AD127))),(BV127+CT127))</f>
        <v>0</v>
      </c>
      <c r="EE127" s="442">
        <f>IF('2. START'!$C$11="NO",(IF('2. START'!$C$14&gt;0,(DS127*$AD127),(AY127*$AD127))),(BW127+CU127))</f>
        <v>0</v>
      </c>
      <c r="EF127" s="442">
        <f>IF('2. START'!$C$11="NO",(IF('2. START'!$C$14&gt;0,(DT127*$AD127),(AZ127*$AD127))),(BX127+CV127))</f>
        <v>0</v>
      </c>
      <c r="EG127" s="442">
        <f>IF('2. START'!$C$11="NO",(IF('2. START'!$C$14&gt;0,(DU127*$AD127),(BA127*$AD127))),(BY127+CW127))</f>
        <v>0</v>
      </c>
      <c r="EH127" s="442">
        <f>IF('2. START'!$C$11="NO",(IF('2. START'!$C$14&gt;0,(DV127*$AD127),(BB127*$AD127))),(BZ127+CX127))</f>
        <v>0</v>
      </c>
      <c r="EI127" s="442">
        <f>IF('2. START'!$C$11="NO",(IF('2. START'!$C$14&gt;0,(DW127*$AD127),(BC127*$AD127))),(CA127+CY127))</f>
        <v>0</v>
      </c>
      <c r="EJ127" s="443">
        <f t="shared" si="288"/>
        <v>0</v>
      </c>
      <c r="EL127" s="442">
        <f>(BR127+CP127-DZ127)+IF('2. START'!$C$14&gt;0,AT127-DN127,0)</f>
        <v>0</v>
      </c>
      <c r="EM127" s="442">
        <f>(BS127+CQ127-EA127)+IF('2. START'!$C$14&gt;0,AU127-DO127,0)</f>
        <v>0</v>
      </c>
      <c r="EN127" s="442">
        <f>(BT127+CR127-EB127)+IF('2. START'!$C$14&gt;0,AV127-DP127,0)</f>
        <v>0</v>
      </c>
      <c r="EO127" s="442">
        <f>(BU127+CS127-EC127)+IF('2. START'!$C$14&gt;0,AW127-DQ127,0)</f>
        <v>0</v>
      </c>
      <c r="EP127" s="442">
        <f>(BV127+CT127-ED127)+IF('2. START'!$C$14&gt;0,AX127-DR127,0)</f>
        <v>0</v>
      </c>
      <c r="EQ127" s="442">
        <f>(BW127+CU127-EE127)+IF('2. START'!$C$14&gt;0,AY127-DS127,0)</f>
        <v>0</v>
      </c>
      <c r="ER127" s="442">
        <f>(BX127+CV127-EF127)+IF('2. START'!$C$14&gt;0,AZ127-DT127,0)</f>
        <v>0</v>
      </c>
      <c r="ES127" s="442">
        <f>(BY127+CW127-EG127)+IF('2. START'!$C$14&gt;0,BA127-DU127,0)</f>
        <v>0</v>
      </c>
      <c r="ET127" s="442">
        <f>(BZ127+CX127-EH127)+IF('2. START'!$C$14&gt;0,BB127-DV127,0)</f>
        <v>0</v>
      </c>
      <c r="EU127" s="442">
        <f>(CA127+CY127-EI127)+IF('2. START'!$C$14&gt;0,BC127-DW127,0)</f>
        <v>0</v>
      </c>
      <c r="EV127" s="443">
        <f t="shared" si="289"/>
        <v>0</v>
      </c>
      <c r="EX127" s="442">
        <f t="shared" si="290"/>
        <v>0</v>
      </c>
      <c r="EY127" s="442">
        <f t="shared" si="291"/>
        <v>0</v>
      </c>
      <c r="EZ127" s="442">
        <f t="shared" si="292"/>
        <v>0</v>
      </c>
      <c r="FA127" s="442">
        <f t="shared" si="293"/>
        <v>0</v>
      </c>
      <c r="FB127" s="442">
        <f t="shared" si="294"/>
        <v>0</v>
      </c>
      <c r="FC127" s="442">
        <f t="shared" si="295"/>
        <v>0</v>
      </c>
      <c r="FD127" s="442">
        <f t="shared" si="296"/>
        <v>0</v>
      </c>
      <c r="FE127" s="442">
        <f t="shared" si="297"/>
        <v>0</v>
      </c>
      <c r="FF127" s="442">
        <f t="shared" si="298"/>
        <v>0</v>
      </c>
      <c r="FG127" s="442">
        <f t="shared" si="299"/>
        <v>0</v>
      </c>
      <c r="FH127" s="443">
        <f t="shared" si="300"/>
        <v>0</v>
      </c>
      <c r="FJ127" s="442">
        <f t="shared" si="301"/>
        <v>0</v>
      </c>
      <c r="FK127" s="442">
        <f t="shared" si="302"/>
        <v>0</v>
      </c>
      <c r="FL127" s="442">
        <f t="shared" si="303"/>
        <v>0</v>
      </c>
      <c r="FM127" s="442">
        <f t="shared" si="304"/>
        <v>0</v>
      </c>
      <c r="FN127" s="442">
        <f t="shared" si="305"/>
        <v>0</v>
      </c>
      <c r="FO127" s="442">
        <f t="shared" si="306"/>
        <v>0</v>
      </c>
      <c r="FP127" s="442">
        <f t="shared" si="307"/>
        <v>0</v>
      </c>
      <c r="FQ127" s="442">
        <f t="shared" si="308"/>
        <v>0</v>
      </c>
      <c r="FR127" s="442">
        <f t="shared" si="309"/>
        <v>0</v>
      </c>
      <c r="FS127" s="442">
        <f t="shared" si="310"/>
        <v>0</v>
      </c>
      <c r="FT127" s="443">
        <f t="shared" si="311"/>
        <v>0</v>
      </c>
    </row>
    <row r="128" spans="2:176" s="270" customFormat="1" ht="15" customHeight="1" x14ac:dyDescent="0.25">
      <c r="B128" s="446" t="str">
        <f>'2. START'!C$7</f>
        <v>100GEM</v>
      </c>
      <c r="C128" s="469"/>
      <c r="D128" s="589"/>
      <c r="E128" s="544">
        <v>0</v>
      </c>
      <c r="F128" s="448"/>
      <c r="G128" s="449"/>
      <c r="H128" s="449"/>
      <c r="I128" s="449"/>
      <c r="J128" s="449"/>
      <c r="K128" s="449"/>
      <c r="L128" s="449"/>
      <c r="M128" s="449"/>
      <c r="N128" s="449"/>
      <c r="O128" s="449"/>
      <c r="P128" s="449"/>
      <c r="Q128" s="546">
        <f>SUMIF('3. PARTNER'!$B$13:$B$80,$B128,'3. PARTNER'!$F$13:$F$80)</f>
        <v>0.02</v>
      </c>
      <c r="R128" s="450">
        <f t="shared" si="386"/>
        <v>0.02</v>
      </c>
      <c r="S128" s="450">
        <f t="shared" si="386"/>
        <v>0.02</v>
      </c>
      <c r="T128" s="450">
        <f t="shared" si="386"/>
        <v>0.02</v>
      </c>
      <c r="U128" s="450">
        <f t="shared" si="386"/>
        <v>0.02</v>
      </c>
      <c r="V128" s="450">
        <f t="shared" si="386"/>
        <v>0.02</v>
      </c>
      <c r="W128" s="450">
        <f t="shared" si="386"/>
        <v>0.02</v>
      </c>
      <c r="X128" s="450">
        <f t="shared" si="386"/>
        <v>0.02</v>
      </c>
      <c r="Y128" s="450">
        <f t="shared" si="386"/>
        <v>0.02</v>
      </c>
      <c r="Z128" s="450">
        <f t="shared" si="386"/>
        <v>0.02</v>
      </c>
      <c r="AA128" s="451">
        <f>SUMIF('3. PARTNER'!B$13:B$80,B128,'3. PARTNER'!E$13:E$80)</f>
        <v>0.5595</v>
      </c>
      <c r="AB128" s="452">
        <f>IF('2. START'!$C$20="UTB",(SUMIF('3. PARTNER'!B$13:B$80,B128,'3. PARTNER'!K$13:K$80))+(SUMIF('3. PARTNER'!B$13:B$80,B128,'3. PARTNER'!M$13:M$80)),(SUMIF('3. PARTNER'!B$13:B$80,B128,'3. PARTNER'!G$13:G$80))+(SUMIF('3. PARTNER'!B$13:B$80,B128,'3. PARTNER'!I$13:I$80)))</f>
        <v>0.16000843770704321</v>
      </c>
      <c r="AC128" s="452">
        <f>IF('2. START'!$C$20="UTB",(SUMIF('3. PARTNER'!B$13:B$80,B128,'3. PARTNER'!L$13:L$80))+(SUMIF('3. PARTNER'!B$13:B$80,B128,'3. PARTNER'!N$13:N$80)),(SUMIF('3. PARTNER'!B$13:B$80,B128,'3. PARTNER'!H$13:H$80))+(SUMIF('3. PARTNER'!B$13:B$80,B128,'3. PARTNER'!J$13:J$80)))</f>
        <v>0</v>
      </c>
      <c r="AD128" s="452">
        <f>IF('2. START'!C$11="NO",'2. START'!C$12,0)</f>
        <v>0</v>
      </c>
      <c r="AE128" s="453">
        <f t="shared" si="278"/>
        <v>0</v>
      </c>
      <c r="AF128" s="453">
        <f t="shared" si="279"/>
        <v>0</v>
      </c>
      <c r="AG128" s="454"/>
      <c r="AH128" s="455">
        <f t="shared" si="315"/>
        <v>0</v>
      </c>
      <c r="AI128" s="455">
        <f t="shared" si="316"/>
        <v>0</v>
      </c>
      <c r="AJ128" s="455">
        <f t="shared" si="317"/>
        <v>0</v>
      </c>
      <c r="AK128" s="455">
        <f t="shared" si="318"/>
        <v>0</v>
      </c>
      <c r="AL128" s="455">
        <f t="shared" si="319"/>
        <v>0</v>
      </c>
      <c r="AM128" s="455">
        <f t="shared" si="320"/>
        <v>0</v>
      </c>
      <c r="AN128" s="455">
        <f t="shared" si="321"/>
        <v>0</v>
      </c>
      <c r="AO128" s="455">
        <f t="shared" si="322"/>
        <v>0</v>
      </c>
      <c r="AP128" s="455">
        <f t="shared" si="323"/>
        <v>0</v>
      </c>
      <c r="AQ128" s="455">
        <f t="shared" si="324"/>
        <v>0</v>
      </c>
      <c r="AR128" s="456">
        <f t="shared" si="280"/>
        <v>0</v>
      </c>
      <c r="AS128" s="457"/>
      <c r="AT128" s="455">
        <f t="shared" si="325"/>
        <v>0</v>
      </c>
      <c r="AU128" s="455">
        <f t="shared" si="326"/>
        <v>0</v>
      </c>
      <c r="AV128" s="455">
        <f t="shared" si="327"/>
        <v>0</v>
      </c>
      <c r="AW128" s="455">
        <f t="shared" si="328"/>
        <v>0</v>
      </c>
      <c r="AX128" s="455">
        <f t="shared" si="329"/>
        <v>0</v>
      </c>
      <c r="AY128" s="455">
        <f t="shared" si="330"/>
        <v>0</v>
      </c>
      <c r="AZ128" s="455">
        <f t="shared" si="331"/>
        <v>0</v>
      </c>
      <c r="BA128" s="455">
        <f t="shared" si="332"/>
        <v>0</v>
      </c>
      <c r="BB128" s="455">
        <f t="shared" si="333"/>
        <v>0</v>
      </c>
      <c r="BC128" s="455">
        <f t="shared" si="334"/>
        <v>0</v>
      </c>
      <c r="BD128" s="456">
        <f t="shared" si="281"/>
        <v>0</v>
      </c>
      <c r="BE128" s="457"/>
      <c r="BF128" s="455">
        <f t="shared" si="335"/>
        <v>0</v>
      </c>
      <c r="BG128" s="455">
        <f t="shared" si="336"/>
        <v>0</v>
      </c>
      <c r="BH128" s="455">
        <f t="shared" si="337"/>
        <v>0</v>
      </c>
      <c r="BI128" s="455">
        <f t="shared" si="338"/>
        <v>0</v>
      </c>
      <c r="BJ128" s="455">
        <f t="shared" si="339"/>
        <v>0</v>
      </c>
      <c r="BK128" s="455">
        <f t="shared" si="340"/>
        <v>0</v>
      </c>
      <c r="BL128" s="455">
        <f t="shared" si="341"/>
        <v>0</v>
      </c>
      <c r="BM128" s="455">
        <f t="shared" si="342"/>
        <v>0</v>
      </c>
      <c r="BN128" s="455">
        <f t="shared" si="343"/>
        <v>0</v>
      </c>
      <c r="BO128" s="455">
        <f t="shared" si="344"/>
        <v>0</v>
      </c>
      <c r="BP128" s="456">
        <f t="shared" si="282"/>
        <v>0</v>
      </c>
      <c r="BQ128" s="463"/>
      <c r="BR128" s="459">
        <f t="shared" si="345"/>
        <v>0</v>
      </c>
      <c r="BS128" s="459">
        <f t="shared" si="346"/>
        <v>0</v>
      </c>
      <c r="BT128" s="459">
        <f t="shared" si="347"/>
        <v>0</v>
      </c>
      <c r="BU128" s="459">
        <f t="shared" si="348"/>
        <v>0</v>
      </c>
      <c r="BV128" s="459">
        <f t="shared" si="349"/>
        <v>0</v>
      </c>
      <c r="BW128" s="459">
        <f t="shared" si="350"/>
        <v>0</v>
      </c>
      <c r="BX128" s="459">
        <f t="shared" si="351"/>
        <v>0</v>
      </c>
      <c r="BY128" s="459">
        <f t="shared" si="352"/>
        <v>0</v>
      </c>
      <c r="BZ128" s="459">
        <f t="shared" si="353"/>
        <v>0</v>
      </c>
      <c r="CA128" s="459">
        <f t="shared" si="354"/>
        <v>0</v>
      </c>
      <c r="CB128" s="460">
        <f t="shared" si="283"/>
        <v>0</v>
      </c>
      <c r="CC128" s="463"/>
      <c r="CD128" s="462">
        <f t="shared" si="355"/>
        <v>0</v>
      </c>
      <c r="CE128" s="462">
        <f t="shared" si="356"/>
        <v>0</v>
      </c>
      <c r="CF128" s="462">
        <f t="shared" si="357"/>
        <v>0</v>
      </c>
      <c r="CG128" s="462">
        <f t="shared" si="358"/>
        <v>0</v>
      </c>
      <c r="CH128" s="462">
        <f t="shared" si="359"/>
        <v>0</v>
      </c>
      <c r="CI128" s="462">
        <f t="shared" si="360"/>
        <v>0</v>
      </c>
      <c r="CJ128" s="462">
        <f t="shared" si="361"/>
        <v>0</v>
      </c>
      <c r="CK128" s="462">
        <f t="shared" si="362"/>
        <v>0</v>
      </c>
      <c r="CL128" s="462">
        <f t="shared" si="363"/>
        <v>0</v>
      </c>
      <c r="CM128" s="462">
        <f t="shared" si="364"/>
        <v>0</v>
      </c>
      <c r="CN128" s="460">
        <f t="shared" si="284"/>
        <v>0</v>
      </c>
      <c r="CO128" s="463"/>
      <c r="CP128" s="459">
        <f t="shared" si="365"/>
        <v>0</v>
      </c>
      <c r="CQ128" s="459">
        <f t="shared" si="366"/>
        <v>0</v>
      </c>
      <c r="CR128" s="459">
        <f t="shared" si="367"/>
        <v>0</v>
      </c>
      <c r="CS128" s="459">
        <f t="shared" si="368"/>
        <v>0</v>
      </c>
      <c r="CT128" s="459">
        <f t="shared" si="369"/>
        <v>0</v>
      </c>
      <c r="CU128" s="459">
        <f t="shared" si="370"/>
        <v>0</v>
      </c>
      <c r="CV128" s="459">
        <f t="shared" si="371"/>
        <v>0</v>
      </c>
      <c r="CW128" s="459">
        <f t="shared" si="372"/>
        <v>0</v>
      </c>
      <c r="CX128" s="459">
        <f t="shared" si="373"/>
        <v>0</v>
      </c>
      <c r="CY128" s="459">
        <f t="shared" si="374"/>
        <v>0</v>
      </c>
      <c r="CZ128" s="460">
        <f t="shared" si="285"/>
        <v>0</v>
      </c>
      <c r="DA128" s="463"/>
      <c r="DB128" s="459">
        <f t="shared" si="375"/>
        <v>0</v>
      </c>
      <c r="DC128" s="459">
        <f t="shared" si="376"/>
        <v>0</v>
      </c>
      <c r="DD128" s="459">
        <f t="shared" si="377"/>
        <v>0</v>
      </c>
      <c r="DE128" s="459">
        <f t="shared" si="378"/>
        <v>0</v>
      </c>
      <c r="DF128" s="459">
        <f t="shared" si="379"/>
        <v>0</v>
      </c>
      <c r="DG128" s="459">
        <f t="shared" si="380"/>
        <v>0</v>
      </c>
      <c r="DH128" s="459">
        <f t="shared" si="381"/>
        <v>0</v>
      </c>
      <c r="DI128" s="459">
        <f t="shared" si="382"/>
        <v>0</v>
      </c>
      <c r="DJ128" s="459">
        <f t="shared" si="383"/>
        <v>0</v>
      </c>
      <c r="DK128" s="459">
        <f t="shared" si="384"/>
        <v>0</v>
      </c>
      <c r="DL128" s="460">
        <f t="shared" si="286"/>
        <v>0</v>
      </c>
      <c r="DM128" s="463"/>
      <c r="DN128" s="442">
        <f>IF('2. START'!$C$14&gt;0,(AT128/(1+$AA128))*(1+'2. START'!$C$14),AT128)</f>
        <v>0</v>
      </c>
      <c r="DO128" s="442">
        <f>IF('2. START'!$C$14&gt;0,(AU128/(1+$AA128))*(1+'2. START'!$C$14),AU128)</f>
        <v>0</v>
      </c>
      <c r="DP128" s="442">
        <f>IF('2. START'!$C$14&gt;0,(AV128/(1+$AA128))*(1+'2. START'!$C$14),AV128)</f>
        <v>0</v>
      </c>
      <c r="DQ128" s="442">
        <f>IF('2. START'!$C$14&gt;0,(AW128/(1+$AA128))*(1+'2. START'!$C$14),AW128)</f>
        <v>0</v>
      </c>
      <c r="DR128" s="442">
        <f>IF('2. START'!$C$14&gt;0,(AX128/(1+$AA128))*(1+'2. START'!$C$14),AX128)</f>
        <v>0</v>
      </c>
      <c r="DS128" s="442">
        <f>IF('2. START'!$C$14&gt;0,(AY128/(1+$AA128))*(1+'2. START'!$C$14),AY128)</f>
        <v>0</v>
      </c>
      <c r="DT128" s="442">
        <f>IF('2. START'!$C$14&gt;0,(AZ128/(1+$AA128))*(1+'2. START'!$C$14),AZ128)</f>
        <v>0</v>
      </c>
      <c r="DU128" s="442">
        <f>IF('2. START'!$C$14&gt;0,(BA128/(1+$AA128))*(1+'2. START'!$C$14),BA128)</f>
        <v>0</v>
      </c>
      <c r="DV128" s="442">
        <f>IF('2. START'!$C$14&gt;0,(BB128/(1+$AA128))*(1+'2. START'!$C$14),BB128)</f>
        <v>0</v>
      </c>
      <c r="DW128" s="442">
        <f>IF('2. START'!$C$14&gt;0,(BC128/(1+$AA128))*(1+'2. START'!$C$14),BC128)</f>
        <v>0</v>
      </c>
      <c r="DX128" s="460">
        <f t="shared" si="287"/>
        <v>0</v>
      </c>
      <c r="DY128" s="463"/>
      <c r="DZ128" s="459">
        <f>IF('2. START'!$C$11="NO",(IF('2. START'!$C$14&gt;0,(DN128*$AD128),(AT128*$AD128))),(BR128+CP128))</f>
        <v>0</v>
      </c>
      <c r="EA128" s="459">
        <f>IF('2. START'!$C$11="NO",(IF('2. START'!$C$14&gt;0,(DO128*$AD128),(AU128*$AD128))),(BS128+CQ128))</f>
        <v>0</v>
      </c>
      <c r="EB128" s="459">
        <f>IF('2. START'!$C$11="NO",(IF('2. START'!$C$14&gt;0,(DP128*$AD128),(AV128*$AD128))),(BT128+CR128))</f>
        <v>0</v>
      </c>
      <c r="EC128" s="459">
        <f>IF('2. START'!$C$11="NO",(IF('2. START'!$C$14&gt;0,(DQ128*$AD128),(AW128*$AD128))),(BU128+CS128))</f>
        <v>0</v>
      </c>
      <c r="ED128" s="459">
        <f>IF('2. START'!$C$11="NO",(IF('2. START'!$C$14&gt;0,(DR128*$AD128),(AX128*$AD128))),(BV128+CT128))</f>
        <v>0</v>
      </c>
      <c r="EE128" s="459">
        <f>IF('2. START'!$C$11="NO",(IF('2. START'!$C$14&gt;0,(DS128*$AD128),(AY128*$AD128))),(BW128+CU128))</f>
        <v>0</v>
      </c>
      <c r="EF128" s="459">
        <f>IF('2. START'!$C$11="NO",(IF('2. START'!$C$14&gt;0,(DT128*$AD128),(AZ128*$AD128))),(BX128+CV128))</f>
        <v>0</v>
      </c>
      <c r="EG128" s="459">
        <f>IF('2. START'!$C$11="NO",(IF('2. START'!$C$14&gt;0,(DU128*$AD128),(BA128*$AD128))),(BY128+CW128))</f>
        <v>0</v>
      </c>
      <c r="EH128" s="459">
        <f>IF('2. START'!$C$11="NO",(IF('2. START'!$C$14&gt;0,(DV128*$AD128),(BB128*$AD128))),(BZ128+CX128))</f>
        <v>0</v>
      </c>
      <c r="EI128" s="459">
        <f>IF('2. START'!$C$11="NO",(IF('2. START'!$C$14&gt;0,(DW128*$AD128),(BC128*$AD128))),(CA128+CY128))</f>
        <v>0</v>
      </c>
      <c r="EJ128" s="460">
        <f t="shared" si="288"/>
        <v>0</v>
      </c>
      <c r="EK128" s="463"/>
      <c r="EL128" s="459">
        <f>(BR128+CP128-DZ128)+IF('2. START'!$C$14&gt;0,AT128-DN128,0)</f>
        <v>0</v>
      </c>
      <c r="EM128" s="459">
        <f>(BS128+CQ128-EA128)+IF('2. START'!$C$14&gt;0,AU128-DO128,0)</f>
        <v>0</v>
      </c>
      <c r="EN128" s="459">
        <f>(BT128+CR128-EB128)+IF('2. START'!$C$14&gt;0,AV128-DP128,0)</f>
        <v>0</v>
      </c>
      <c r="EO128" s="459">
        <f>(BU128+CS128-EC128)+IF('2. START'!$C$14&gt;0,AW128-DQ128,0)</f>
        <v>0</v>
      </c>
      <c r="EP128" s="459">
        <f>(BV128+CT128-ED128)+IF('2. START'!$C$14&gt;0,AX128-DR128,0)</f>
        <v>0</v>
      </c>
      <c r="EQ128" s="459">
        <f>(BW128+CU128-EE128)+IF('2. START'!$C$14&gt;0,AY128-DS128,0)</f>
        <v>0</v>
      </c>
      <c r="ER128" s="459">
        <f>(BX128+CV128-EF128)+IF('2. START'!$C$14&gt;0,AZ128-DT128,0)</f>
        <v>0</v>
      </c>
      <c r="ES128" s="459">
        <f>(BY128+CW128-EG128)+IF('2. START'!$C$14&gt;0,BA128-DU128,0)</f>
        <v>0</v>
      </c>
      <c r="ET128" s="459">
        <f>(BZ128+CX128-EH128)+IF('2. START'!$C$14&gt;0,BB128-DV128,0)</f>
        <v>0</v>
      </c>
      <c r="EU128" s="459">
        <f>(CA128+CY128-EI128)+IF('2. START'!$C$14&gt;0,BC128-DW128,0)</f>
        <v>0</v>
      </c>
      <c r="EV128" s="460">
        <f t="shared" si="289"/>
        <v>0</v>
      </c>
      <c r="EW128" s="463"/>
      <c r="EX128" s="459">
        <f t="shared" si="290"/>
        <v>0</v>
      </c>
      <c r="EY128" s="459">
        <f t="shared" si="291"/>
        <v>0</v>
      </c>
      <c r="EZ128" s="459">
        <f t="shared" si="292"/>
        <v>0</v>
      </c>
      <c r="FA128" s="459">
        <f t="shared" si="293"/>
        <v>0</v>
      </c>
      <c r="FB128" s="459">
        <f t="shared" si="294"/>
        <v>0</v>
      </c>
      <c r="FC128" s="459">
        <f t="shared" si="295"/>
        <v>0</v>
      </c>
      <c r="FD128" s="459">
        <f t="shared" si="296"/>
        <v>0</v>
      </c>
      <c r="FE128" s="459">
        <f t="shared" si="297"/>
        <v>0</v>
      </c>
      <c r="FF128" s="459">
        <f t="shared" si="298"/>
        <v>0</v>
      </c>
      <c r="FG128" s="459">
        <f t="shared" si="299"/>
        <v>0</v>
      </c>
      <c r="FH128" s="460">
        <f t="shared" si="300"/>
        <v>0</v>
      </c>
      <c r="FI128" s="463"/>
      <c r="FJ128" s="459">
        <f t="shared" si="301"/>
        <v>0</v>
      </c>
      <c r="FK128" s="459">
        <f t="shared" si="302"/>
        <v>0</v>
      </c>
      <c r="FL128" s="459">
        <f t="shared" si="303"/>
        <v>0</v>
      </c>
      <c r="FM128" s="459">
        <f t="shared" si="304"/>
        <v>0</v>
      </c>
      <c r="FN128" s="459">
        <f t="shared" si="305"/>
        <v>0</v>
      </c>
      <c r="FO128" s="459">
        <f t="shared" si="306"/>
        <v>0</v>
      </c>
      <c r="FP128" s="459">
        <f t="shared" si="307"/>
        <v>0</v>
      </c>
      <c r="FQ128" s="459">
        <f t="shared" si="308"/>
        <v>0</v>
      </c>
      <c r="FR128" s="459">
        <f t="shared" si="309"/>
        <v>0</v>
      </c>
      <c r="FS128" s="459">
        <f t="shared" si="310"/>
        <v>0</v>
      </c>
      <c r="FT128" s="460">
        <f t="shared" si="311"/>
        <v>0</v>
      </c>
    </row>
    <row r="129" spans="2:176" s="270" customFormat="1" ht="15" customHeight="1" x14ac:dyDescent="0.25">
      <c r="B129" s="464" t="str">
        <f>'2. START'!C$7</f>
        <v>100GEM</v>
      </c>
      <c r="C129" s="470"/>
      <c r="D129" s="590"/>
      <c r="E129" s="514">
        <v>0</v>
      </c>
      <c r="F129" s="467"/>
      <c r="G129" s="432"/>
      <c r="H129" s="432"/>
      <c r="I129" s="432"/>
      <c r="J129" s="432"/>
      <c r="K129" s="432"/>
      <c r="L129" s="432"/>
      <c r="M129" s="432"/>
      <c r="N129" s="432"/>
      <c r="O129" s="432"/>
      <c r="P129" s="432"/>
      <c r="Q129" s="545">
        <f>SUMIF('3. PARTNER'!$B$13:$B$80,$B129,'3. PARTNER'!$F$13:$F$80)</f>
        <v>0.02</v>
      </c>
      <c r="R129" s="466">
        <f t="shared" si="386"/>
        <v>0.02</v>
      </c>
      <c r="S129" s="466">
        <f t="shared" si="386"/>
        <v>0.02</v>
      </c>
      <c r="T129" s="466">
        <f t="shared" si="386"/>
        <v>0.02</v>
      </c>
      <c r="U129" s="466">
        <f t="shared" si="386"/>
        <v>0.02</v>
      </c>
      <c r="V129" s="466">
        <f t="shared" si="386"/>
        <v>0.02</v>
      </c>
      <c r="W129" s="466">
        <f t="shared" si="386"/>
        <v>0.02</v>
      </c>
      <c r="X129" s="466">
        <f t="shared" si="386"/>
        <v>0.02</v>
      </c>
      <c r="Y129" s="466">
        <f t="shared" si="386"/>
        <v>0.02</v>
      </c>
      <c r="Z129" s="466">
        <f t="shared" si="386"/>
        <v>0.02</v>
      </c>
      <c r="AA129" s="434">
        <f>SUMIF('3. PARTNER'!B$13:B$80,B129,'3. PARTNER'!E$13:E$80)</f>
        <v>0.5595</v>
      </c>
      <c r="AB129" s="435">
        <f>IF('2. START'!$C$20="UTB",(SUMIF('3. PARTNER'!B$13:B$80,B129,'3. PARTNER'!K$13:K$80))+(SUMIF('3. PARTNER'!B$13:B$80,B129,'3. PARTNER'!M$13:M$80)),(SUMIF('3. PARTNER'!B$13:B$80,B129,'3. PARTNER'!G$13:G$80))+(SUMIF('3. PARTNER'!B$13:B$80,B129,'3. PARTNER'!I$13:I$80)))</f>
        <v>0.16000843770704321</v>
      </c>
      <c r="AC129" s="435">
        <f>IF('2. START'!$C$20="UTB",(SUMIF('3. PARTNER'!B$13:B$80,B129,'3. PARTNER'!L$13:L$80))+(SUMIF('3. PARTNER'!B$13:B$80,B129,'3. PARTNER'!N$13:N$80)),(SUMIF('3. PARTNER'!B$13:B$80,B129,'3. PARTNER'!H$13:H$80))+(SUMIF('3. PARTNER'!B$13:B$80,B129,'3. PARTNER'!J$13:J$80)))</f>
        <v>0</v>
      </c>
      <c r="AD129" s="435">
        <f>IF('2. START'!C$11="NO",'2. START'!C$12,0)</f>
        <v>0</v>
      </c>
      <c r="AE129" s="436">
        <f t="shared" si="278"/>
        <v>0</v>
      </c>
      <c r="AF129" s="436">
        <f t="shared" si="279"/>
        <v>0</v>
      </c>
      <c r="AG129" s="437"/>
      <c r="AH129" s="438">
        <f t="shared" si="315"/>
        <v>0</v>
      </c>
      <c r="AI129" s="438">
        <f t="shared" si="316"/>
        <v>0</v>
      </c>
      <c r="AJ129" s="438">
        <f t="shared" si="317"/>
        <v>0</v>
      </c>
      <c r="AK129" s="438">
        <f t="shared" si="318"/>
        <v>0</v>
      </c>
      <c r="AL129" s="438">
        <f t="shared" si="319"/>
        <v>0</v>
      </c>
      <c r="AM129" s="438">
        <f t="shared" si="320"/>
        <v>0</v>
      </c>
      <c r="AN129" s="438">
        <f t="shared" si="321"/>
        <v>0</v>
      </c>
      <c r="AO129" s="438">
        <f t="shared" si="322"/>
        <v>0</v>
      </c>
      <c r="AP129" s="438">
        <f t="shared" si="323"/>
        <v>0</v>
      </c>
      <c r="AQ129" s="438">
        <f t="shared" si="324"/>
        <v>0</v>
      </c>
      <c r="AR129" s="439">
        <f t="shared" si="280"/>
        <v>0</v>
      </c>
      <c r="AS129" s="440"/>
      <c r="AT129" s="438">
        <f t="shared" si="325"/>
        <v>0</v>
      </c>
      <c r="AU129" s="438">
        <f t="shared" si="326"/>
        <v>0</v>
      </c>
      <c r="AV129" s="438">
        <f t="shared" si="327"/>
        <v>0</v>
      </c>
      <c r="AW129" s="438">
        <f t="shared" si="328"/>
        <v>0</v>
      </c>
      <c r="AX129" s="438">
        <f t="shared" si="329"/>
        <v>0</v>
      </c>
      <c r="AY129" s="438">
        <f t="shared" si="330"/>
        <v>0</v>
      </c>
      <c r="AZ129" s="438">
        <f t="shared" si="331"/>
        <v>0</v>
      </c>
      <c r="BA129" s="438">
        <f t="shared" si="332"/>
        <v>0</v>
      </c>
      <c r="BB129" s="438">
        <f t="shared" si="333"/>
        <v>0</v>
      </c>
      <c r="BC129" s="438">
        <f t="shared" si="334"/>
        <v>0</v>
      </c>
      <c r="BD129" s="439">
        <f t="shared" si="281"/>
        <v>0</v>
      </c>
      <c r="BE129" s="440"/>
      <c r="BF129" s="438">
        <f t="shared" si="335"/>
        <v>0</v>
      </c>
      <c r="BG129" s="438">
        <f t="shared" si="336"/>
        <v>0</v>
      </c>
      <c r="BH129" s="438">
        <f t="shared" si="337"/>
        <v>0</v>
      </c>
      <c r="BI129" s="438">
        <f t="shared" si="338"/>
        <v>0</v>
      </c>
      <c r="BJ129" s="438">
        <f t="shared" si="339"/>
        <v>0</v>
      </c>
      <c r="BK129" s="438">
        <f t="shared" si="340"/>
        <v>0</v>
      </c>
      <c r="BL129" s="438">
        <f t="shared" si="341"/>
        <v>0</v>
      </c>
      <c r="BM129" s="438">
        <f t="shared" si="342"/>
        <v>0</v>
      </c>
      <c r="BN129" s="438">
        <f t="shared" si="343"/>
        <v>0</v>
      </c>
      <c r="BO129" s="438">
        <f t="shared" si="344"/>
        <v>0</v>
      </c>
      <c r="BP129" s="439">
        <f t="shared" si="282"/>
        <v>0</v>
      </c>
      <c r="BR129" s="442">
        <f t="shared" si="345"/>
        <v>0</v>
      </c>
      <c r="BS129" s="442">
        <f t="shared" si="346"/>
        <v>0</v>
      </c>
      <c r="BT129" s="442">
        <f t="shared" si="347"/>
        <v>0</v>
      </c>
      <c r="BU129" s="442">
        <f t="shared" si="348"/>
        <v>0</v>
      </c>
      <c r="BV129" s="442">
        <f t="shared" si="349"/>
        <v>0</v>
      </c>
      <c r="BW129" s="442">
        <f t="shared" si="350"/>
        <v>0</v>
      </c>
      <c r="BX129" s="442">
        <f t="shared" si="351"/>
        <v>0</v>
      </c>
      <c r="BY129" s="442">
        <f t="shared" si="352"/>
        <v>0</v>
      </c>
      <c r="BZ129" s="442">
        <f t="shared" si="353"/>
        <v>0</v>
      </c>
      <c r="CA129" s="442">
        <f t="shared" si="354"/>
        <v>0</v>
      </c>
      <c r="CB129" s="443">
        <f t="shared" si="283"/>
        <v>0</v>
      </c>
      <c r="CD129" s="445">
        <f t="shared" si="355"/>
        <v>0</v>
      </c>
      <c r="CE129" s="445">
        <f t="shared" si="356"/>
        <v>0</v>
      </c>
      <c r="CF129" s="445">
        <f t="shared" si="357"/>
        <v>0</v>
      </c>
      <c r="CG129" s="445">
        <f t="shared" si="358"/>
        <v>0</v>
      </c>
      <c r="CH129" s="445">
        <f t="shared" si="359"/>
        <v>0</v>
      </c>
      <c r="CI129" s="445">
        <f t="shared" si="360"/>
        <v>0</v>
      </c>
      <c r="CJ129" s="445">
        <f t="shared" si="361"/>
        <v>0</v>
      </c>
      <c r="CK129" s="445">
        <f t="shared" si="362"/>
        <v>0</v>
      </c>
      <c r="CL129" s="445">
        <f t="shared" si="363"/>
        <v>0</v>
      </c>
      <c r="CM129" s="445">
        <f t="shared" si="364"/>
        <v>0</v>
      </c>
      <c r="CN129" s="443">
        <f t="shared" si="284"/>
        <v>0</v>
      </c>
      <c r="CP129" s="442">
        <f t="shared" si="365"/>
        <v>0</v>
      </c>
      <c r="CQ129" s="442">
        <f t="shared" si="366"/>
        <v>0</v>
      </c>
      <c r="CR129" s="442">
        <f t="shared" si="367"/>
        <v>0</v>
      </c>
      <c r="CS129" s="442">
        <f t="shared" si="368"/>
        <v>0</v>
      </c>
      <c r="CT129" s="442">
        <f t="shared" si="369"/>
        <v>0</v>
      </c>
      <c r="CU129" s="442">
        <f t="shared" si="370"/>
        <v>0</v>
      </c>
      <c r="CV129" s="442">
        <f t="shared" si="371"/>
        <v>0</v>
      </c>
      <c r="CW129" s="442">
        <f t="shared" si="372"/>
        <v>0</v>
      </c>
      <c r="CX129" s="442">
        <f t="shared" si="373"/>
        <v>0</v>
      </c>
      <c r="CY129" s="442">
        <f t="shared" si="374"/>
        <v>0</v>
      </c>
      <c r="CZ129" s="443">
        <f t="shared" si="285"/>
        <v>0</v>
      </c>
      <c r="DB129" s="442">
        <f t="shared" si="375"/>
        <v>0</v>
      </c>
      <c r="DC129" s="442">
        <f t="shared" si="376"/>
        <v>0</v>
      </c>
      <c r="DD129" s="442">
        <f t="shared" si="377"/>
        <v>0</v>
      </c>
      <c r="DE129" s="442">
        <f t="shared" si="378"/>
        <v>0</v>
      </c>
      <c r="DF129" s="442">
        <f t="shared" si="379"/>
        <v>0</v>
      </c>
      <c r="DG129" s="442">
        <f t="shared" si="380"/>
        <v>0</v>
      </c>
      <c r="DH129" s="442">
        <f t="shared" si="381"/>
        <v>0</v>
      </c>
      <c r="DI129" s="442">
        <f t="shared" si="382"/>
        <v>0</v>
      </c>
      <c r="DJ129" s="442">
        <f t="shared" si="383"/>
        <v>0</v>
      </c>
      <c r="DK129" s="442">
        <f t="shared" si="384"/>
        <v>0</v>
      </c>
      <c r="DL129" s="443">
        <f t="shared" si="286"/>
        <v>0</v>
      </c>
      <c r="DN129" s="442">
        <f>IF('2. START'!$C$14&gt;0,(AT129/(1+$AA129))*(1+'2. START'!$C$14),AT129)</f>
        <v>0</v>
      </c>
      <c r="DO129" s="442">
        <f>IF('2. START'!$C$14&gt;0,(AU129/(1+$AA129))*(1+'2. START'!$C$14),AU129)</f>
        <v>0</v>
      </c>
      <c r="DP129" s="442">
        <f>IF('2. START'!$C$14&gt;0,(AV129/(1+$AA129))*(1+'2. START'!$C$14),AV129)</f>
        <v>0</v>
      </c>
      <c r="DQ129" s="442">
        <f>IF('2. START'!$C$14&gt;0,(AW129/(1+$AA129))*(1+'2. START'!$C$14),AW129)</f>
        <v>0</v>
      </c>
      <c r="DR129" s="442">
        <f>IF('2. START'!$C$14&gt;0,(AX129/(1+$AA129))*(1+'2. START'!$C$14),AX129)</f>
        <v>0</v>
      </c>
      <c r="DS129" s="442">
        <f>IF('2. START'!$C$14&gt;0,(AY129/(1+$AA129))*(1+'2. START'!$C$14),AY129)</f>
        <v>0</v>
      </c>
      <c r="DT129" s="442">
        <f>IF('2. START'!$C$14&gt;0,(AZ129/(1+$AA129))*(1+'2. START'!$C$14),AZ129)</f>
        <v>0</v>
      </c>
      <c r="DU129" s="442">
        <f>IF('2. START'!$C$14&gt;0,(BA129/(1+$AA129))*(1+'2. START'!$C$14),BA129)</f>
        <v>0</v>
      </c>
      <c r="DV129" s="442">
        <f>IF('2. START'!$C$14&gt;0,(BB129/(1+$AA129))*(1+'2. START'!$C$14),BB129)</f>
        <v>0</v>
      </c>
      <c r="DW129" s="442">
        <f>IF('2. START'!$C$14&gt;0,(BC129/(1+$AA129))*(1+'2. START'!$C$14),BC129)</f>
        <v>0</v>
      </c>
      <c r="DX129" s="443">
        <f t="shared" si="287"/>
        <v>0</v>
      </c>
      <c r="DZ129" s="442">
        <f>IF('2. START'!$C$11="NO",(IF('2. START'!$C$14&gt;0,(DN129*$AD129),(AT129*$AD129))),(BR129+CP129))</f>
        <v>0</v>
      </c>
      <c r="EA129" s="442">
        <f>IF('2. START'!$C$11="NO",(IF('2. START'!$C$14&gt;0,(DO129*$AD129),(AU129*$AD129))),(BS129+CQ129))</f>
        <v>0</v>
      </c>
      <c r="EB129" s="442">
        <f>IF('2. START'!$C$11="NO",(IF('2. START'!$C$14&gt;0,(DP129*$AD129),(AV129*$AD129))),(BT129+CR129))</f>
        <v>0</v>
      </c>
      <c r="EC129" s="442">
        <f>IF('2. START'!$C$11="NO",(IF('2. START'!$C$14&gt;0,(DQ129*$AD129),(AW129*$AD129))),(BU129+CS129))</f>
        <v>0</v>
      </c>
      <c r="ED129" s="442">
        <f>IF('2. START'!$C$11="NO",(IF('2. START'!$C$14&gt;0,(DR129*$AD129),(AX129*$AD129))),(BV129+CT129))</f>
        <v>0</v>
      </c>
      <c r="EE129" s="442">
        <f>IF('2. START'!$C$11="NO",(IF('2. START'!$C$14&gt;0,(DS129*$AD129),(AY129*$AD129))),(BW129+CU129))</f>
        <v>0</v>
      </c>
      <c r="EF129" s="442">
        <f>IF('2. START'!$C$11="NO",(IF('2. START'!$C$14&gt;0,(DT129*$AD129),(AZ129*$AD129))),(BX129+CV129))</f>
        <v>0</v>
      </c>
      <c r="EG129" s="442">
        <f>IF('2. START'!$C$11="NO",(IF('2. START'!$C$14&gt;0,(DU129*$AD129),(BA129*$AD129))),(BY129+CW129))</f>
        <v>0</v>
      </c>
      <c r="EH129" s="442">
        <f>IF('2. START'!$C$11="NO",(IF('2. START'!$C$14&gt;0,(DV129*$AD129),(BB129*$AD129))),(BZ129+CX129))</f>
        <v>0</v>
      </c>
      <c r="EI129" s="442">
        <f>IF('2. START'!$C$11="NO",(IF('2. START'!$C$14&gt;0,(DW129*$AD129),(BC129*$AD129))),(CA129+CY129))</f>
        <v>0</v>
      </c>
      <c r="EJ129" s="443">
        <f t="shared" si="288"/>
        <v>0</v>
      </c>
      <c r="EL129" s="442">
        <f>(BR129+CP129-DZ129)+IF('2. START'!$C$14&gt;0,AT129-DN129,0)</f>
        <v>0</v>
      </c>
      <c r="EM129" s="442">
        <f>(BS129+CQ129-EA129)+IF('2. START'!$C$14&gt;0,AU129-DO129,0)</f>
        <v>0</v>
      </c>
      <c r="EN129" s="442">
        <f>(BT129+CR129-EB129)+IF('2. START'!$C$14&gt;0,AV129-DP129,0)</f>
        <v>0</v>
      </c>
      <c r="EO129" s="442">
        <f>(BU129+CS129-EC129)+IF('2. START'!$C$14&gt;0,AW129-DQ129,0)</f>
        <v>0</v>
      </c>
      <c r="EP129" s="442">
        <f>(BV129+CT129-ED129)+IF('2. START'!$C$14&gt;0,AX129-DR129,0)</f>
        <v>0</v>
      </c>
      <c r="EQ129" s="442">
        <f>(BW129+CU129-EE129)+IF('2. START'!$C$14&gt;0,AY129-DS129,0)</f>
        <v>0</v>
      </c>
      <c r="ER129" s="442">
        <f>(BX129+CV129-EF129)+IF('2. START'!$C$14&gt;0,AZ129-DT129,0)</f>
        <v>0</v>
      </c>
      <c r="ES129" s="442">
        <f>(BY129+CW129-EG129)+IF('2. START'!$C$14&gt;0,BA129-DU129,0)</f>
        <v>0</v>
      </c>
      <c r="ET129" s="442">
        <f>(BZ129+CX129-EH129)+IF('2. START'!$C$14&gt;0,BB129-DV129,0)</f>
        <v>0</v>
      </c>
      <c r="EU129" s="442">
        <f>(CA129+CY129-EI129)+IF('2. START'!$C$14&gt;0,BC129-DW129,0)</f>
        <v>0</v>
      </c>
      <c r="EV129" s="443">
        <f t="shared" si="289"/>
        <v>0</v>
      </c>
      <c r="EX129" s="442">
        <f t="shared" si="290"/>
        <v>0</v>
      </c>
      <c r="EY129" s="442">
        <f t="shared" si="291"/>
        <v>0</v>
      </c>
      <c r="EZ129" s="442">
        <f t="shared" si="292"/>
        <v>0</v>
      </c>
      <c r="FA129" s="442">
        <f t="shared" si="293"/>
        <v>0</v>
      </c>
      <c r="FB129" s="442">
        <f t="shared" si="294"/>
        <v>0</v>
      </c>
      <c r="FC129" s="442">
        <f t="shared" si="295"/>
        <v>0</v>
      </c>
      <c r="FD129" s="442">
        <f t="shared" si="296"/>
        <v>0</v>
      </c>
      <c r="FE129" s="442">
        <f t="shared" si="297"/>
        <v>0</v>
      </c>
      <c r="FF129" s="442">
        <f t="shared" si="298"/>
        <v>0</v>
      </c>
      <c r="FG129" s="442">
        <f t="shared" si="299"/>
        <v>0</v>
      </c>
      <c r="FH129" s="443">
        <f t="shared" si="300"/>
        <v>0</v>
      </c>
      <c r="FJ129" s="442">
        <f t="shared" si="301"/>
        <v>0</v>
      </c>
      <c r="FK129" s="442">
        <f t="shared" si="302"/>
        <v>0</v>
      </c>
      <c r="FL129" s="442">
        <f t="shared" si="303"/>
        <v>0</v>
      </c>
      <c r="FM129" s="442">
        <f t="shared" si="304"/>
        <v>0</v>
      </c>
      <c r="FN129" s="442">
        <f t="shared" si="305"/>
        <v>0</v>
      </c>
      <c r="FO129" s="442">
        <f t="shared" si="306"/>
        <v>0</v>
      </c>
      <c r="FP129" s="442">
        <f t="shared" si="307"/>
        <v>0</v>
      </c>
      <c r="FQ129" s="442">
        <f t="shared" si="308"/>
        <v>0</v>
      </c>
      <c r="FR129" s="442">
        <f t="shared" si="309"/>
        <v>0</v>
      </c>
      <c r="FS129" s="442">
        <f t="shared" si="310"/>
        <v>0</v>
      </c>
      <c r="FT129" s="443">
        <f t="shared" si="311"/>
        <v>0</v>
      </c>
    </row>
    <row r="130" spans="2:176" s="270" customFormat="1" ht="15" customHeight="1" x14ac:dyDescent="0.25">
      <c r="B130" s="446" t="str">
        <f>'2. START'!C$7</f>
        <v>100GEM</v>
      </c>
      <c r="C130" s="469"/>
      <c r="D130" s="589"/>
      <c r="E130" s="544">
        <v>0</v>
      </c>
      <c r="F130" s="448"/>
      <c r="G130" s="449"/>
      <c r="H130" s="449"/>
      <c r="I130" s="449"/>
      <c r="J130" s="449"/>
      <c r="K130" s="449"/>
      <c r="L130" s="449"/>
      <c r="M130" s="449"/>
      <c r="N130" s="449"/>
      <c r="O130" s="449"/>
      <c r="P130" s="449"/>
      <c r="Q130" s="546">
        <f>SUMIF('3. PARTNER'!$B$13:$B$80,$B130,'3. PARTNER'!$F$13:$F$80)</f>
        <v>0.02</v>
      </c>
      <c r="R130" s="450">
        <f t="shared" si="386"/>
        <v>0.02</v>
      </c>
      <c r="S130" s="450">
        <f t="shared" si="386"/>
        <v>0.02</v>
      </c>
      <c r="T130" s="450">
        <f t="shared" si="386"/>
        <v>0.02</v>
      </c>
      <c r="U130" s="450">
        <f t="shared" si="386"/>
        <v>0.02</v>
      </c>
      <c r="V130" s="450">
        <f t="shared" si="386"/>
        <v>0.02</v>
      </c>
      <c r="W130" s="450">
        <f t="shared" si="386"/>
        <v>0.02</v>
      </c>
      <c r="X130" s="450">
        <f t="shared" si="386"/>
        <v>0.02</v>
      </c>
      <c r="Y130" s="450">
        <f t="shared" si="386"/>
        <v>0.02</v>
      </c>
      <c r="Z130" s="450">
        <f t="shared" si="386"/>
        <v>0.02</v>
      </c>
      <c r="AA130" s="451">
        <f>SUMIF('3. PARTNER'!B$13:B$80,B130,'3. PARTNER'!E$13:E$80)</f>
        <v>0.5595</v>
      </c>
      <c r="AB130" s="452">
        <f>IF('2. START'!$C$20="UTB",(SUMIF('3. PARTNER'!B$13:B$80,B130,'3. PARTNER'!K$13:K$80))+(SUMIF('3. PARTNER'!B$13:B$80,B130,'3. PARTNER'!M$13:M$80)),(SUMIF('3. PARTNER'!B$13:B$80,B130,'3. PARTNER'!G$13:G$80))+(SUMIF('3. PARTNER'!B$13:B$80,B130,'3. PARTNER'!I$13:I$80)))</f>
        <v>0.16000843770704321</v>
      </c>
      <c r="AC130" s="452">
        <f>IF('2. START'!$C$20="UTB",(SUMIF('3. PARTNER'!B$13:B$80,B130,'3. PARTNER'!L$13:L$80))+(SUMIF('3. PARTNER'!B$13:B$80,B130,'3. PARTNER'!N$13:N$80)),(SUMIF('3. PARTNER'!B$13:B$80,B130,'3. PARTNER'!H$13:H$80))+(SUMIF('3. PARTNER'!B$13:B$80,B130,'3. PARTNER'!J$13:J$80)))</f>
        <v>0</v>
      </c>
      <c r="AD130" s="452">
        <f>IF('2. START'!C$11="NO",'2. START'!C$12,0)</f>
        <v>0</v>
      </c>
      <c r="AE130" s="453">
        <f t="shared" si="278"/>
        <v>0</v>
      </c>
      <c r="AF130" s="453">
        <f t="shared" si="279"/>
        <v>0</v>
      </c>
      <c r="AG130" s="454"/>
      <c r="AH130" s="455">
        <f t="shared" si="315"/>
        <v>0</v>
      </c>
      <c r="AI130" s="455">
        <f t="shared" si="316"/>
        <v>0</v>
      </c>
      <c r="AJ130" s="455">
        <f t="shared" si="317"/>
        <v>0</v>
      </c>
      <c r="AK130" s="455">
        <f t="shared" si="318"/>
        <v>0</v>
      </c>
      <c r="AL130" s="455">
        <f t="shared" si="319"/>
        <v>0</v>
      </c>
      <c r="AM130" s="455">
        <f t="shared" si="320"/>
        <v>0</v>
      </c>
      <c r="AN130" s="455">
        <f t="shared" si="321"/>
        <v>0</v>
      </c>
      <c r="AO130" s="455">
        <f t="shared" si="322"/>
        <v>0</v>
      </c>
      <c r="AP130" s="455">
        <f t="shared" si="323"/>
        <v>0</v>
      </c>
      <c r="AQ130" s="455">
        <f t="shared" si="324"/>
        <v>0</v>
      </c>
      <c r="AR130" s="456">
        <f t="shared" si="280"/>
        <v>0</v>
      </c>
      <c r="AS130" s="457"/>
      <c r="AT130" s="455">
        <f t="shared" si="325"/>
        <v>0</v>
      </c>
      <c r="AU130" s="455">
        <f t="shared" si="326"/>
        <v>0</v>
      </c>
      <c r="AV130" s="455">
        <f t="shared" si="327"/>
        <v>0</v>
      </c>
      <c r="AW130" s="455">
        <f t="shared" si="328"/>
        <v>0</v>
      </c>
      <c r="AX130" s="455">
        <f t="shared" si="329"/>
        <v>0</v>
      </c>
      <c r="AY130" s="455">
        <f t="shared" si="330"/>
        <v>0</v>
      </c>
      <c r="AZ130" s="455">
        <f t="shared" si="331"/>
        <v>0</v>
      </c>
      <c r="BA130" s="455">
        <f t="shared" si="332"/>
        <v>0</v>
      </c>
      <c r="BB130" s="455">
        <f t="shared" si="333"/>
        <v>0</v>
      </c>
      <c r="BC130" s="455">
        <f t="shared" si="334"/>
        <v>0</v>
      </c>
      <c r="BD130" s="456">
        <f t="shared" si="281"/>
        <v>0</v>
      </c>
      <c r="BE130" s="457"/>
      <c r="BF130" s="455">
        <f t="shared" si="335"/>
        <v>0</v>
      </c>
      <c r="BG130" s="455">
        <f t="shared" si="336"/>
        <v>0</v>
      </c>
      <c r="BH130" s="455">
        <f t="shared" si="337"/>
        <v>0</v>
      </c>
      <c r="BI130" s="455">
        <f t="shared" si="338"/>
        <v>0</v>
      </c>
      <c r="BJ130" s="455">
        <f t="shared" si="339"/>
        <v>0</v>
      </c>
      <c r="BK130" s="455">
        <f t="shared" si="340"/>
        <v>0</v>
      </c>
      <c r="BL130" s="455">
        <f t="shared" si="341"/>
        <v>0</v>
      </c>
      <c r="BM130" s="455">
        <f t="shared" si="342"/>
        <v>0</v>
      </c>
      <c r="BN130" s="455">
        <f t="shared" si="343"/>
        <v>0</v>
      </c>
      <c r="BO130" s="455">
        <f t="shared" si="344"/>
        <v>0</v>
      </c>
      <c r="BP130" s="456">
        <f t="shared" si="282"/>
        <v>0</v>
      </c>
      <c r="BQ130" s="463"/>
      <c r="BR130" s="459">
        <f t="shared" si="345"/>
        <v>0</v>
      </c>
      <c r="BS130" s="459">
        <f t="shared" si="346"/>
        <v>0</v>
      </c>
      <c r="BT130" s="459">
        <f t="shared" si="347"/>
        <v>0</v>
      </c>
      <c r="BU130" s="459">
        <f t="shared" si="348"/>
        <v>0</v>
      </c>
      <c r="BV130" s="459">
        <f t="shared" si="349"/>
        <v>0</v>
      </c>
      <c r="BW130" s="459">
        <f t="shared" si="350"/>
        <v>0</v>
      </c>
      <c r="BX130" s="459">
        <f t="shared" si="351"/>
        <v>0</v>
      </c>
      <c r="BY130" s="459">
        <f t="shared" si="352"/>
        <v>0</v>
      </c>
      <c r="BZ130" s="459">
        <f t="shared" si="353"/>
        <v>0</v>
      </c>
      <c r="CA130" s="459">
        <f t="shared" si="354"/>
        <v>0</v>
      </c>
      <c r="CB130" s="460">
        <f t="shared" si="283"/>
        <v>0</v>
      </c>
      <c r="CC130" s="463"/>
      <c r="CD130" s="462">
        <f t="shared" si="355"/>
        <v>0</v>
      </c>
      <c r="CE130" s="462">
        <f t="shared" si="356"/>
        <v>0</v>
      </c>
      <c r="CF130" s="462">
        <f t="shared" si="357"/>
        <v>0</v>
      </c>
      <c r="CG130" s="462">
        <f t="shared" si="358"/>
        <v>0</v>
      </c>
      <c r="CH130" s="462">
        <f t="shared" si="359"/>
        <v>0</v>
      </c>
      <c r="CI130" s="462">
        <f t="shared" si="360"/>
        <v>0</v>
      </c>
      <c r="CJ130" s="462">
        <f t="shared" si="361"/>
        <v>0</v>
      </c>
      <c r="CK130" s="462">
        <f t="shared" si="362"/>
        <v>0</v>
      </c>
      <c r="CL130" s="462">
        <f t="shared" si="363"/>
        <v>0</v>
      </c>
      <c r="CM130" s="462">
        <f t="shared" si="364"/>
        <v>0</v>
      </c>
      <c r="CN130" s="460">
        <f t="shared" si="284"/>
        <v>0</v>
      </c>
      <c r="CO130" s="463"/>
      <c r="CP130" s="459">
        <f t="shared" si="365"/>
        <v>0</v>
      </c>
      <c r="CQ130" s="459">
        <f t="shared" si="366"/>
        <v>0</v>
      </c>
      <c r="CR130" s="459">
        <f t="shared" si="367"/>
        <v>0</v>
      </c>
      <c r="CS130" s="459">
        <f t="shared" si="368"/>
        <v>0</v>
      </c>
      <c r="CT130" s="459">
        <f t="shared" si="369"/>
        <v>0</v>
      </c>
      <c r="CU130" s="459">
        <f t="shared" si="370"/>
        <v>0</v>
      </c>
      <c r="CV130" s="459">
        <f t="shared" si="371"/>
        <v>0</v>
      </c>
      <c r="CW130" s="459">
        <f t="shared" si="372"/>
        <v>0</v>
      </c>
      <c r="CX130" s="459">
        <f t="shared" si="373"/>
        <v>0</v>
      </c>
      <c r="CY130" s="459">
        <f t="shared" si="374"/>
        <v>0</v>
      </c>
      <c r="CZ130" s="460">
        <f t="shared" si="285"/>
        <v>0</v>
      </c>
      <c r="DA130" s="463"/>
      <c r="DB130" s="459">
        <f t="shared" si="375"/>
        <v>0</v>
      </c>
      <c r="DC130" s="459">
        <f t="shared" si="376"/>
        <v>0</v>
      </c>
      <c r="DD130" s="459">
        <f t="shared" si="377"/>
        <v>0</v>
      </c>
      <c r="DE130" s="459">
        <f t="shared" si="378"/>
        <v>0</v>
      </c>
      <c r="DF130" s="459">
        <f t="shared" si="379"/>
        <v>0</v>
      </c>
      <c r="DG130" s="459">
        <f t="shared" si="380"/>
        <v>0</v>
      </c>
      <c r="DH130" s="459">
        <f t="shared" si="381"/>
        <v>0</v>
      </c>
      <c r="DI130" s="459">
        <f t="shared" si="382"/>
        <v>0</v>
      </c>
      <c r="DJ130" s="459">
        <f t="shared" si="383"/>
        <v>0</v>
      </c>
      <c r="DK130" s="459">
        <f t="shared" si="384"/>
        <v>0</v>
      </c>
      <c r="DL130" s="460">
        <f t="shared" si="286"/>
        <v>0</v>
      </c>
      <c r="DM130" s="463"/>
      <c r="DN130" s="442">
        <f>IF('2. START'!$C$14&gt;0,(AT130/(1+$AA130))*(1+'2. START'!$C$14),AT130)</f>
        <v>0</v>
      </c>
      <c r="DO130" s="442">
        <f>IF('2. START'!$C$14&gt;0,(AU130/(1+$AA130))*(1+'2. START'!$C$14),AU130)</f>
        <v>0</v>
      </c>
      <c r="DP130" s="442">
        <f>IF('2. START'!$C$14&gt;0,(AV130/(1+$AA130))*(1+'2. START'!$C$14),AV130)</f>
        <v>0</v>
      </c>
      <c r="DQ130" s="442">
        <f>IF('2. START'!$C$14&gt;0,(AW130/(1+$AA130))*(1+'2. START'!$C$14),AW130)</f>
        <v>0</v>
      </c>
      <c r="DR130" s="442">
        <f>IF('2. START'!$C$14&gt;0,(AX130/(1+$AA130))*(1+'2. START'!$C$14),AX130)</f>
        <v>0</v>
      </c>
      <c r="DS130" s="442">
        <f>IF('2. START'!$C$14&gt;0,(AY130/(1+$AA130))*(1+'2. START'!$C$14),AY130)</f>
        <v>0</v>
      </c>
      <c r="DT130" s="442">
        <f>IF('2. START'!$C$14&gt;0,(AZ130/(1+$AA130))*(1+'2. START'!$C$14),AZ130)</f>
        <v>0</v>
      </c>
      <c r="DU130" s="442">
        <f>IF('2. START'!$C$14&gt;0,(BA130/(1+$AA130))*(1+'2. START'!$C$14),BA130)</f>
        <v>0</v>
      </c>
      <c r="DV130" s="442">
        <f>IF('2. START'!$C$14&gt;0,(BB130/(1+$AA130))*(1+'2. START'!$C$14),BB130)</f>
        <v>0</v>
      </c>
      <c r="DW130" s="442">
        <f>IF('2. START'!$C$14&gt;0,(BC130/(1+$AA130))*(1+'2. START'!$C$14),BC130)</f>
        <v>0</v>
      </c>
      <c r="DX130" s="460">
        <f t="shared" si="287"/>
        <v>0</v>
      </c>
      <c r="DY130" s="463"/>
      <c r="DZ130" s="459">
        <f>IF('2. START'!$C$11="NO",(IF('2. START'!$C$14&gt;0,(DN130*$AD130),(AT130*$AD130))),(BR130+CP130))</f>
        <v>0</v>
      </c>
      <c r="EA130" s="459">
        <f>IF('2. START'!$C$11="NO",(IF('2. START'!$C$14&gt;0,(DO130*$AD130),(AU130*$AD130))),(BS130+CQ130))</f>
        <v>0</v>
      </c>
      <c r="EB130" s="459">
        <f>IF('2. START'!$C$11="NO",(IF('2. START'!$C$14&gt;0,(DP130*$AD130),(AV130*$AD130))),(BT130+CR130))</f>
        <v>0</v>
      </c>
      <c r="EC130" s="459">
        <f>IF('2. START'!$C$11="NO",(IF('2. START'!$C$14&gt;0,(DQ130*$AD130),(AW130*$AD130))),(BU130+CS130))</f>
        <v>0</v>
      </c>
      <c r="ED130" s="459">
        <f>IF('2. START'!$C$11="NO",(IF('2. START'!$C$14&gt;0,(DR130*$AD130),(AX130*$AD130))),(BV130+CT130))</f>
        <v>0</v>
      </c>
      <c r="EE130" s="459">
        <f>IF('2. START'!$C$11="NO",(IF('2. START'!$C$14&gt;0,(DS130*$AD130),(AY130*$AD130))),(BW130+CU130))</f>
        <v>0</v>
      </c>
      <c r="EF130" s="459">
        <f>IF('2. START'!$C$11="NO",(IF('2. START'!$C$14&gt;0,(DT130*$AD130),(AZ130*$AD130))),(BX130+CV130))</f>
        <v>0</v>
      </c>
      <c r="EG130" s="459">
        <f>IF('2. START'!$C$11="NO",(IF('2. START'!$C$14&gt;0,(DU130*$AD130),(BA130*$AD130))),(BY130+CW130))</f>
        <v>0</v>
      </c>
      <c r="EH130" s="459">
        <f>IF('2. START'!$C$11="NO",(IF('2. START'!$C$14&gt;0,(DV130*$AD130),(BB130*$AD130))),(BZ130+CX130))</f>
        <v>0</v>
      </c>
      <c r="EI130" s="459">
        <f>IF('2. START'!$C$11="NO",(IF('2. START'!$C$14&gt;0,(DW130*$AD130),(BC130*$AD130))),(CA130+CY130))</f>
        <v>0</v>
      </c>
      <c r="EJ130" s="460">
        <f t="shared" si="288"/>
        <v>0</v>
      </c>
      <c r="EK130" s="463"/>
      <c r="EL130" s="459">
        <f>(BR130+CP130-DZ130)+IF('2. START'!$C$14&gt;0,AT130-DN130,0)</f>
        <v>0</v>
      </c>
      <c r="EM130" s="459">
        <f>(BS130+CQ130-EA130)+IF('2. START'!$C$14&gt;0,AU130-DO130,0)</f>
        <v>0</v>
      </c>
      <c r="EN130" s="459">
        <f>(BT130+CR130-EB130)+IF('2. START'!$C$14&gt;0,AV130-DP130,0)</f>
        <v>0</v>
      </c>
      <c r="EO130" s="459">
        <f>(BU130+CS130-EC130)+IF('2. START'!$C$14&gt;0,AW130-DQ130,0)</f>
        <v>0</v>
      </c>
      <c r="EP130" s="459">
        <f>(BV130+CT130-ED130)+IF('2. START'!$C$14&gt;0,AX130-DR130,0)</f>
        <v>0</v>
      </c>
      <c r="EQ130" s="459">
        <f>(BW130+CU130-EE130)+IF('2. START'!$C$14&gt;0,AY130-DS130,0)</f>
        <v>0</v>
      </c>
      <c r="ER130" s="459">
        <f>(BX130+CV130-EF130)+IF('2. START'!$C$14&gt;0,AZ130-DT130,0)</f>
        <v>0</v>
      </c>
      <c r="ES130" s="459">
        <f>(BY130+CW130-EG130)+IF('2. START'!$C$14&gt;0,BA130-DU130,0)</f>
        <v>0</v>
      </c>
      <c r="ET130" s="459">
        <f>(BZ130+CX130-EH130)+IF('2. START'!$C$14&gt;0,BB130-DV130,0)</f>
        <v>0</v>
      </c>
      <c r="EU130" s="459">
        <f>(CA130+CY130-EI130)+IF('2. START'!$C$14&gt;0,BC130-DW130,0)</f>
        <v>0</v>
      </c>
      <c r="EV130" s="460">
        <f t="shared" si="289"/>
        <v>0</v>
      </c>
      <c r="EW130" s="463"/>
      <c r="EX130" s="459">
        <f t="shared" si="290"/>
        <v>0</v>
      </c>
      <c r="EY130" s="459">
        <f t="shared" si="291"/>
        <v>0</v>
      </c>
      <c r="EZ130" s="459">
        <f t="shared" si="292"/>
        <v>0</v>
      </c>
      <c r="FA130" s="459">
        <f t="shared" si="293"/>
        <v>0</v>
      </c>
      <c r="FB130" s="459">
        <f t="shared" si="294"/>
        <v>0</v>
      </c>
      <c r="FC130" s="459">
        <f t="shared" si="295"/>
        <v>0</v>
      </c>
      <c r="FD130" s="459">
        <f t="shared" si="296"/>
        <v>0</v>
      </c>
      <c r="FE130" s="459">
        <f t="shared" si="297"/>
        <v>0</v>
      </c>
      <c r="FF130" s="459">
        <f t="shared" si="298"/>
        <v>0</v>
      </c>
      <c r="FG130" s="459">
        <f t="shared" si="299"/>
        <v>0</v>
      </c>
      <c r="FH130" s="460">
        <f t="shared" si="300"/>
        <v>0</v>
      </c>
      <c r="FI130" s="463"/>
      <c r="FJ130" s="459">
        <f t="shared" si="301"/>
        <v>0</v>
      </c>
      <c r="FK130" s="459">
        <f t="shared" si="302"/>
        <v>0</v>
      </c>
      <c r="FL130" s="459">
        <f t="shared" si="303"/>
        <v>0</v>
      </c>
      <c r="FM130" s="459">
        <f t="shared" si="304"/>
        <v>0</v>
      </c>
      <c r="FN130" s="459">
        <f t="shared" si="305"/>
        <v>0</v>
      </c>
      <c r="FO130" s="459">
        <f t="shared" si="306"/>
        <v>0</v>
      </c>
      <c r="FP130" s="459">
        <f t="shared" si="307"/>
        <v>0</v>
      </c>
      <c r="FQ130" s="459">
        <f t="shared" si="308"/>
        <v>0</v>
      </c>
      <c r="FR130" s="459">
        <f t="shared" si="309"/>
        <v>0</v>
      </c>
      <c r="FS130" s="459">
        <f t="shared" si="310"/>
        <v>0</v>
      </c>
      <c r="FT130" s="460">
        <f t="shared" si="311"/>
        <v>0</v>
      </c>
    </row>
    <row r="131" spans="2:176" s="270" customFormat="1" ht="15" customHeight="1" x14ac:dyDescent="0.25">
      <c r="B131" s="464" t="str">
        <f>'2. START'!C$7</f>
        <v>100GEM</v>
      </c>
      <c r="C131" s="470"/>
      <c r="D131" s="590"/>
      <c r="E131" s="514">
        <v>0</v>
      </c>
      <c r="F131" s="467"/>
      <c r="G131" s="432"/>
      <c r="H131" s="432"/>
      <c r="I131" s="432"/>
      <c r="J131" s="432"/>
      <c r="K131" s="432"/>
      <c r="L131" s="432"/>
      <c r="M131" s="432"/>
      <c r="N131" s="432"/>
      <c r="O131" s="432"/>
      <c r="P131" s="432"/>
      <c r="Q131" s="545">
        <f>SUMIF('3. PARTNER'!$B$13:$B$80,$B131,'3. PARTNER'!$F$13:$F$80)</f>
        <v>0.02</v>
      </c>
      <c r="R131" s="466">
        <f t="shared" si="386"/>
        <v>0.02</v>
      </c>
      <c r="S131" s="466">
        <f t="shared" si="386"/>
        <v>0.02</v>
      </c>
      <c r="T131" s="466">
        <f t="shared" si="386"/>
        <v>0.02</v>
      </c>
      <c r="U131" s="466">
        <f t="shared" si="386"/>
        <v>0.02</v>
      </c>
      <c r="V131" s="466">
        <f t="shared" si="386"/>
        <v>0.02</v>
      </c>
      <c r="W131" s="466">
        <f t="shared" si="386"/>
        <v>0.02</v>
      </c>
      <c r="X131" s="466">
        <f t="shared" si="386"/>
        <v>0.02</v>
      </c>
      <c r="Y131" s="466">
        <f t="shared" si="386"/>
        <v>0.02</v>
      </c>
      <c r="Z131" s="466">
        <f t="shared" si="386"/>
        <v>0.02</v>
      </c>
      <c r="AA131" s="434">
        <f>SUMIF('3. PARTNER'!B$13:B$80,B131,'3. PARTNER'!E$13:E$80)</f>
        <v>0.5595</v>
      </c>
      <c r="AB131" s="435">
        <f>IF('2. START'!$C$20="UTB",(SUMIF('3. PARTNER'!B$13:B$80,B131,'3. PARTNER'!K$13:K$80))+(SUMIF('3. PARTNER'!B$13:B$80,B131,'3. PARTNER'!M$13:M$80)),(SUMIF('3. PARTNER'!B$13:B$80,B131,'3. PARTNER'!G$13:G$80))+(SUMIF('3. PARTNER'!B$13:B$80,B131,'3. PARTNER'!I$13:I$80)))</f>
        <v>0.16000843770704321</v>
      </c>
      <c r="AC131" s="435">
        <f>IF('2. START'!$C$20="UTB",(SUMIF('3. PARTNER'!B$13:B$80,B131,'3. PARTNER'!L$13:L$80))+(SUMIF('3. PARTNER'!B$13:B$80,B131,'3. PARTNER'!N$13:N$80)),(SUMIF('3. PARTNER'!B$13:B$80,B131,'3. PARTNER'!H$13:H$80))+(SUMIF('3. PARTNER'!B$13:B$80,B131,'3. PARTNER'!J$13:J$80)))</f>
        <v>0</v>
      </c>
      <c r="AD131" s="435">
        <f>IF('2. START'!C$11="NO",'2. START'!C$12,0)</f>
        <v>0</v>
      </c>
      <c r="AE131" s="436">
        <f t="shared" si="278"/>
        <v>0</v>
      </c>
      <c r="AF131" s="436">
        <f t="shared" si="279"/>
        <v>0</v>
      </c>
      <c r="AG131" s="437"/>
      <c r="AH131" s="438">
        <f t="shared" si="315"/>
        <v>0</v>
      </c>
      <c r="AI131" s="438">
        <f t="shared" si="316"/>
        <v>0</v>
      </c>
      <c r="AJ131" s="438">
        <f t="shared" si="317"/>
        <v>0</v>
      </c>
      <c r="AK131" s="438">
        <f t="shared" si="318"/>
        <v>0</v>
      </c>
      <c r="AL131" s="438">
        <f t="shared" si="319"/>
        <v>0</v>
      </c>
      <c r="AM131" s="438">
        <f t="shared" si="320"/>
        <v>0</v>
      </c>
      <c r="AN131" s="438">
        <f t="shared" si="321"/>
        <v>0</v>
      </c>
      <c r="AO131" s="438">
        <f t="shared" si="322"/>
        <v>0</v>
      </c>
      <c r="AP131" s="438">
        <f t="shared" si="323"/>
        <v>0</v>
      </c>
      <c r="AQ131" s="438">
        <f t="shared" si="324"/>
        <v>0</v>
      </c>
      <c r="AR131" s="439">
        <f t="shared" si="280"/>
        <v>0</v>
      </c>
      <c r="AS131" s="440"/>
      <c r="AT131" s="438">
        <f t="shared" si="325"/>
        <v>0</v>
      </c>
      <c r="AU131" s="438">
        <f t="shared" si="326"/>
        <v>0</v>
      </c>
      <c r="AV131" s="438">
        <f t="shared" si="327"/>
        <v>0</v>
      </c>
      <c r="AW131" s="438">
        <f t="shared" si="328"/>
        <v>0</v>
      </c>
      <c r="AX131" s="438">
        <f t="shared" si="329"/>
        <v>0</v>
      </c>
      <c r="AY131" s="438">
        <f t="shared" si="330"/>
        <v>0</v>
      </c>
      <c r="AZ131" s="438">
        <f t="shared" si="331"/>
        <v>0</v>
      </c>
      <c r="BA131" s="438">
        <f t="shared" si="332"/>
        <v>0</v>
      </c>
      <c r="BB131" s="438">
        <f t="shared" si="333"/>
        <v>0</v>
      </c>
      <c r="BC131" s="438">
        <f t="shared" si="334"/>
        <v>0</v>
      </c>
      <c r="BD131" s="439">
        <f t="shared" si="281"/>
        <v>0</v>
      </c>
      <c r="BE131" s="440"/>
      <c r="BF131" s="438">
        <f t="shared" si="335"/>
        <v>0</v>
      </c>
      <c r="BG131" s="438">
        <f t="shared" si="336"/>
        <v>0</v>
      </c>
      <c r="BH131" s="438">
        <f t="shared" si="337"/>
        <v>0</v>
      </c>
      <c r="BI131" s="438">
        <f t="shared" si="338"/>
        <v>0</v>
      </c>
      <c r="BJ131" s="438">
        <f t="shared" si="339"/>
        <v>0</v>
      </c>
      <c r="BK131" s="438">
        <f t="shared" si="340"/>
        <v>0</v>
      </c>
      <c r="BL131" s="438">
        <f t="shared" si="341"/>
        <v>0</v>
      </c>
      <c r="BM131" s="438">
        <f t="shared" si="342"/>
        <v>0</v>
      </c>
      <c r="BN131" s="438">
        <f t="shared" si="343"/>
        <v>0</v>
      </c>
      <c r="BO131" s="438">
        <f t="shared" si="344"/>
        <v>0</v>
      </c>
      <c r="BP131" s="439">
        <f t="shared" si="282"/>
        <v>0</v>
      </c>
      <c r="BR131" s="442">
        <f t="shared" si="345"/>
        <v>0</v>
      </c>
      <c r="BS131" s="442">
        <f t="shared" si="346"/>
        <v>0</v>
      </c>
      <c r="BT131" s="442">
        <f t="shared" si="347"/>
        <v>0</v>
      </c>
      <c r="BU131" s="442">
        <f t="shared" si="348"/>
        <v>0</v>
      </c>
      <c r="BV131" s="442">
        <f t="shared" si="349"/>
        <v>0</v>
      </c>
      <c r="BW131" s="442">
        <f t="shared" si="350"/>
        <v>0</v>
      </c>
      <c r="BX131" s="442">
        <f t="shared" si="351"/>
        <v>0</v>
      </c>
      <c r="BY131" s="442">
        <f t="shared" si="352"/>
        <v>0</v>
      </c>
      <c r="BZ131" s="442">
        <f t="shared" si="353"/>
        <v>0</v>
      </c>
      <c r="CA131" s="442">
        <f t="shared" si="354"/>
        <v>0</v>
      </c>
      <c r="CB131" s="443">
        <f t="shared" si="283"/>
        <v>0</v>
      </c>
      <c r="CD131" s="445">
        <f t="shared" si="355"/>
        <v>0</v>
      </c>
      <c r="CE131" s="445">
        <f t="shared" si="356"/>
        <v>0</v>
      </c>
      <c r="CF131" s="445">
        <f t="shared" si="357"/>
        <v>0</v>
      </c>
      <c r="CG131" s="445">
        <f t="shared" si="358"/>
        <v>0</v>
      </c>
      <c r="CH131" s="445">
        <f t="shared" si="359"/>
        <v>0</v>
      </c>
      <c r="CI131" s="445">
        <f t="shared" si="360"/>
        <v>0</v>
      </c>
      <c r="CJ131" s="445">
        <f t="shared" si="361"/>
        <v>0</v>
      </c>
      <c r="CK131" s="445">
        <f t="shared" si="362"/>
        <v>0</v>
      </c>
      <c r="CL131" s="445">
        <f t="shared" si="363"/>
        <v>0</v>
      </c>
      <c r="CM131" s="445">
        <f t="shared" si="364"/>
        <v>0</v>
      </c>
      <c r="CN131" s="443">
        <f t="shared" si="284"/>
        <v>0</v>
      </c>
      <c r="CP131" s="442">
        <f t="shared" si="365"/>
        <v>0</v>
      </c>
      <c r="CQ131" s="442">
        <f t="shared" si="366"/>
        <v>0</v>
      </c>
      <c r="CR131" s="442">
        <f t="shared" si="367"/>
        <v>0</v>
      </c>
      <c r="CS131" s="442">
        <f t="shared" si="368"/>
        <v>0</v>
      </c>
      <c r="CT131" s="442">
        <f t="shared" si="369"/>
        <v>0</v>
      </c>
      <c r="CU131" s="442">
        <f t="shared" si="370"/>
        <v>0</v>
      </c>
      <c r="CV131" s="442">
        <f t="shared" si="371"/>
        <v>0</v>
      </c>
      <c r="CW131" s="442">
        <f t="shared" si="372"/>
        <v>0</v>
      </c>
      <c r="CX131" s="442">
        <f t="shared" si="373"/>
        <v>0</v>
      </c>
      <c r="CY131" s="442">
        <f t="shared" si="374"/>
        <v>0</v>
      </c>
      <c r="CZ131" s="443">
        <f t="shared" si="285"/>
        <v>0</v>
      </c>
      <c r="DB131" s="442">
        <f t="shared" si="375"/>
        <v>0</v>
      </c>
      <c r="DC131" s="442">
        <f t="shared" si="376"/>
        <v>0</v>
      </c>
      <c r="DD131" s="442">
        <f t="shared" si="377"/>
        <v>0</v>
      </c>
      <c r="DE131" s="442">
        <f t="shared" si="378"/>
        <v>0</v>
      </c>
      <c r="DF131" s="442">
        <f t="shared" si="379"/>
        <v>0</v>
      </c>
      <c r="DG131" s="442">
        <f t="shared" si="380"/>
        <v>0</v>
      </c>
      <c r="DH131" s="442">
        <f t="shared" si="381"/>
        <v>0</v>
      </c>
      <c r="DI131" s="442">
        <f t="shared" si="382"/>
        <v>0</v>
      </c>
      <c r="DJ131" s="442">
        <f t="shared" si="383"/>
        <v>0</v>
      </c>
      <c r="DK131" s="442">
        <f t="shared" si="384"/>
        <v>0</v>
      </c>
      <c r="DL131" s="443">
        <f t="shared" si="286"/>
        <v>0</v>
      </c>
      <c r="DN131" s="442">
        <f>IF('2. START'!$C$14&gt;0,(AT131/(1+$AA131))*(1+'2. START'!$C$14),AT131)</f>
        <v>0</v>
      </c>
      <c r="DO131" s="442">
        <f>IF('2. START'!$C$14&gt;0,(AU131/(1+$AA131))*(1+'2. START'!$C$14),AU131)</f>
        <v>0</v>
      </c>
      <c r="DP131" s="442">
        <f>IF('2. START'!$C$14&gt;0,(AV131/(1+$AA131))*(1+'2. START'!$C$14),AV131)</f>
        <v>0</v>
      </c>
      <c r="DQ131" s="442">
        <f>IF('2. START'!$C$14&gt;0,(AW131/(1+$AA131))*(1+'2. START'!$C$14),AW131)</f>
        <v>0</v>
      </c>
      <c r="DR131" s="442">
        <f>IF('2. START'!$C$14&gt;0,(AX131/(1+$AA131))*(1+'2. START'!$C$14),AX131)</f>
        <v>0</v>
      </c>
      <c r="DS131" s="442">
        <f>IF('2. START'!$C$14&gt;0,(AY131/(1+$AA131))*(1+'2. START'!$C$14),AY131)</f>
        <v>0</v>
      </c>
      <c r="DT131" s="442">
        <f>IF('2. START'!$C$14&gt;0,(AZ131/(1+$AA131))*(1+'2. START'!$C$14),AZ131)</f>
        <v>0</v>
      </c>
      <c r="DU131" s="442">
        <f>IF('2. START'!$C$14&gt;0,(BA131/(1+$AA131))*(1+'2. START'!$C$14),BA131)</f>
        <v>0</v>
      </c>
      <c r="DV131" s="442">
        <f>IF('2. START'!$C$14&gt;0,(BB131/(1+$AA131))*(1+'2. START'!$C$14),BB131)</f>
        <v>0</v>
      </c>
      <c r="DW131" s="442">
        <f>IF('2. START'!$C$14&gt;0,(BC131/(1+$AA131))*(1+'2. START'!$C$14),BC131)</f>
        <v>0</v>
      </c>
      <c r="DX131" s="443">
        <f t="shared" si="287"/>
        <v>0</v>
      </c>
      <c r="DZ131" s="442">
        <f>IF('2. START'!$C$11="NO",(IF('2. START'!$C$14&gt;0,(DN131*$AD131),(AT131*$AD131))),(BR131+CP131))</f>
        <v>0</v>
      </c>
      <c r="EA131" s="442">
        <f>IF('2. START'!$C$11="NO",(IF('2. START'!$C$14&gt;0,(DO131*$AD131),(AU131*$AD131))),(BS131+CQ131))</f>
        <v>0</v>
      </c>
      <c r="EB131" s="442">
        <f>IF('2. START'!$C$11="NO",(IF('2. START'!$C$14&gt;0,(DP131*$AD131),(AV131*$AD131))),(BT131+CR131))</f>
        <v>0</v>
      </c>
      <c r="EC131" s="442">
        <f>IF('2. START'!$C$11="NO",(IF('2. START'!$C$14&gt;0,(DQ131*$AD131),(AW131*$AD131))),(BU131+CS131))</f>
        <v>0</v>
      </c>
      <c r="ED131" s="442">
        <f>IF('2. START'!$C$11="NO",(IF('2. START'!$C$14&gt;0,(DR131*$AD131),(AX131*$AD131))),(BV131+CT131))</f>
        <v>0</v>
      </c>
      <c r="EE131" s="442">
        <f>IF('2. START'!$C$11="NO",(IF('2. START'!$C$14&gt;0,(DS131*$AD131),(AY131*$AD131))),(BW131+CU131))</f>
        <v>0</v>
      </c>
      <c r="EF131" s="442">
        <f>IF('2. START'!$C$11="NO",(IF('2. START'!$C$14&gt;0,(DT131*$AD131),(AZ131*$AD131))),(BX131+CV131))</f>
        <v>0</v>
      </c>
      <c r="EG131" s="442">
        <f>IF('2. START'!$C$11="NO",(IF('2. START'!$C$14&gt;0,(DU131*$AD131),(BA131*$AD131))),(BY131+CW131))</f>
        <v>0</v>
      </c>
      <c r="EH131" s="442">
        <f>IF('2. START'!$C$11="NO",(IF('2. START'!$C$14&gt;0,(DV131*$AD131),(BB131*$AD131))),(BZ131+CX131))</f>
        <v>0</v>
      </c>
      <c r="EI131" s="442">
        <f>IF('2. START'!$C$11="NO",(IF('2. START'!$C$14&gt;0,(DW131*$AD131),(BC131*$AD131))),(CA131+CY131))</f>
        <v>0</v>
      </c>
      <c r="EJ131" s="443">
        <f t="shared" si="288"/>
        <v>0</v>
      </c>
      <c r="EL131" s="442">
        <f>(BR131+CP131-DZ131)+IF('2. START'!$C$14&gt;0,AT131-DN131,0)</f>
        <v>0</v>
      </c>
      <c r="EM131" s="442">
        <f>(BS131+CQ131-EA131)+IF('2. START'!$C$14&gt;0,AU131-DO131,0)</f>
        <v>0</v>
      </c>
      <c r="EN131" s="442">
        <f>(BT131+CR131-EB131)+IF('2. START'!$C$14&gt;0,AV131-DP131,0)</f>
        <v>0</v>
      </c>
      <c r="EO131" s="442">
        <f>(BU131+CS131-EC131)+IF('2. START'!$C$14&gt;0,AW131-DQ131,0)</f>
        <v>0</v>
      </c>
      <c r="EP131" s="442">
        <f>(BV131+CT131-ED131)+IF('2. START'!$C$14&gt;0,AX131-DR131,0)</f>
        <v>0</v>
      </c>
      <c r="EQ131" s="442">
        <f>(BW131+CU131-EE131)+IF('2. START'!$C$14&gt;0,AY131-DS131,0)</f>
        <v>0</v>
      </c>
      <c r="ER131" s="442">
        <f>(BX131+CV131-EF131)+IF('2. START'!$C$14&gt;0,AZ131-DT131,0)</f>
        <v>0</v>
      </c>
      <c r="ES131" s="442">
        <f>(BY131+CW131-EG131)+IF('2. START'!$C$14&gt;0,BA131-DU131,0)</f>
        <v>0</v>
      </c>
      <c r="ET131" s="442">
        <f>(BZ131+CX131-EH131)+IF('2. START'!$C$14&gt;0,BB131-DV131,0)</f>
        <v>0</v>
      </c>
      <c r="EU131" s="442">
        <f>(CA131+CY131-EI131)+IF('2. START'!$C$14&gt;0,BC131-DW131,0)</f>
        <v>0</v>
      </c>
      <c r="EV131" s="443">
        <f t="shared" si="289"/>
        <v>0</v>
      </c>
      <c r="EX131" s="442">
        <f t="shared" si="290"/>
        <v>0</v>
      </c>
      <c r="EY131" s="442">
        <f t="shared" si="291"/>
        <v>0</v>
      </c>
      <c r="EZ131" s="442">
        <f t="shared" si="292"/>
        <v>0</v>
      </c>
      <c r="FA131" s="442">
        <f t="shared" si="293"/>
        <v>0</v>
      </c>
      <c r="FB131" s="442">
        <f t="shared" si="294"/>
        <v>0</v>
      </c>
      <c r="FC131" s="442">
        <f t="shared" si="295"/>
        <v>0</v>
      </c>
      <c r="FD131" s="442">
        <f t="shared" si="296"/>
        <v>0</v>
      </c>
      <c r="FE131" s="442">
        <f t="shared" si="297"/>
        <v>0</v>
      </c>
      <c r="FF131" s="442">
        <f t="shared" si="298"/>
        <v>0</v>
      </c>
      <c r="FG131" s="442">
        <f t="shared" si="299"/>
        <v>0</v>
      </c>
      <c r="FH131" s="443">
        <f t="shared" si="300"/>
        <v>0</v>
      </c>
      <c r="FJ131" s="442">
        <f t="shared" si="301"/>
        <v>0</v>
      </c>
      <c r="FK131" s="442">
        <f t="shared" si="302"/>
        <v>0</v>
      </c>
      <c r="FL131" s="442">
        <f t="shared" si="303"/>
        <v>0</v>
      </c>
      <c r="FM131" s="442">
        <f t="shared" si="304"/>
        <v>0</v>
      </c>
      <c r="FN131" s="442">
        <f t="shared" si="305"/>
        <v>0</v>
      </c>
      <c r="FO131" s="442">
        <f t="shared" si="306"/>
        <v>0</v>
      </c>
      <c r="FP131" s="442">
        <f t="shared" si="307"/>
        <v>0</v>
      </c>
      <c r="FQ131" s="442">
        <f t="shared" si="308"/>
        <v>0</v>
      </c>
      <c r="FR131" s="442">
        <f t="shared" si="309"/>
        <v>0</v>
      </c>
      <c r="FS131" s="442">
        <f t="shared" si="310"/>
        <v>0</v>
      </c>
      <c r="FT131" s="443">
        <f t="shared" si="311"/>
        <v>0</v>
      </c>
    </row>
    <row r="132" spans="2:176" s="270" customFormat="1" ht="15" customHeight="1" x14ac:dyDescent="0.25">
      <c r="B132" s="446" t="str">
        <f>'2. START'!C$7</f>
        <v>100GEM</v>
      </c>
      <c r="C132" s="469"/>
      <c r="D132" s="589"/>
      <c r="E132" s="544">
        <v>0</v>
      </c>
      <c r="F132" s="448"/>
      <c r="G132" s="449"/>
      <c r="H132" s="449"/>
      <c r="I132" s="449"/>
      <c r="J132" s="449"/>
      <c r="K132" s="449"/>
      <c r="L132" s="449"/>
      <c r="M132" s="449"/>
      <c r="N132" s="449"/>
      <c r="O132" s="449"/>
      <c r="P132" s="449"/>
      <c r="Q132" s="546">
        <f>SUMIF('3. PARTNER'!$B$13:$B$80,$B132,'3. PARTNER'!$F$13:$F$80)</f>
        <v>0.02</v>
      </c>
      <c r="R132" s="450">
        <f t="shared" si="386"/>
        <v>0.02</v>
      </c>
      <c r="S132" s="450">
        <f t="shared" si="386"/>
        <v>0.02</v>
      </c>
      <c r="T132" s="450">
        <f t="shared" si="386"/>
        <v>0.02</v>
      </c>
      <c r="U132" s="450">
        <f t="shared" si="386"/>
        <v>0.02</v>
      </c>
      <c r="V132" s="450">
        <f t="shared" si="386"/>
        <v>0.02</v>
      </c>
      <c r="W132" s="450">
        <f t="shared" si="386"/>
        <v>0.02</v>
      </c>
      <c r="X132" s="450">
        <f t="shared" si="386"/>
        <v>0.02</v>
      </c>
      <c r="Y132" s="450">
        <f t="shared" si="386"/>
        <v>0.02</v>
      </c>
      <c r="Z132" s="450">
        <f t="shared" si="386"/>
        <v>0.02</v>
      </c>
      <c r="AA132" s="451">
        <f>SUMIF('3. PARTNER'!B$13:B$80,B132,'3. PARTNER'!E$13:E$80)</f>
        <v>0.5595</v>
      </c>
      <c r="AB132" s="452">
        <f>IF('2. START'!$C$20="UTB",(SUMIF('3. PARTNER'!B$13:B$80,B132,'3. PARTNER'!K$13:K$80))+(SUMIF('3. PARTNER'!B$13:B$80,B132,'3. PARTNER'!M$13:M$80)),(SUMIF('3. PARTNER'!B$13:B$80,B132,'3. PARTNER'!G$13:G$80))+(SUMIF('3. PARTNER'!B$13:B$80,B132,'3. PARTNER'!I$13:I$80)))</f>
        <v>0.16000843770704321</v>
      </c>
      <c r="AC132" s="452">
        <f>IF('2. START'!$C$20="UTB",(SUMIF('3. PARTNER'!B$13:B$80,B132,'3. PARTNER'!L$13:L$80))+(SUMIF('3. PARTNER'!B$13:B$80,B132,'3. PARTNER'!N$13:N$80)),(SUMIF('3. PARTNER'!B$13:B$80,B132,'3. PARTNER'!H$13:H$80))+(SUMIF('3. PARTNER'!B$13:B$80,B132,'3. PARTNER'!J$13:J$80)))</f>
        <v>0</v>
      </c>
      <c r="AD132" s="452">
        <f>IF('2. START'!C$11="NO",'2. START'!C$12,0)</f>
        <v>0</v>
      </c>
      <c r="AE132" s="453">
        <f t="shared" si="278"/>
        <v>0</v>
      </c>
      <c r="AF132" s="453">
        <f t="shared" si="279"/>
        <v>0</v>
      </c>
      <c r="AG132" s="454"/>
      <c r="AH132" s="455">
        <f t="shared" si="315"/>
        <v>0</v>
      </c>
      <c r="AI132" s="455">
        <f t="shared" si="316"/>
        <v>0</v>
      </c>
      <c r="AJ132" s="455">
        <f t="shared" si="317"/>
        <v>0</v>
      </c>
      <c r="AK132" s="455">
        <f t="shared" si="318"/>
        <v>0</v>
      </c>
      <c r="AL132" s="455">
        <f t="shared" si="319"/>
        <v>0</v>
      </c>
      <c r="AM132" s="455">
        <f t="shared" si="320"/>
        <v>0</v>
      </c>
      <c r="AN132" s="455">
        <f t="shared" si="321"/>
        <v>0</v>
      </c>
      <c r="AO132" s="455">
        <f t="shared" si="322"/>
        <v>0</v>
      </c>
      <c r="AP132" s="455">
        <f t="shared" si="323"/>
        <v>0</v>
      </c>
      <c r="AQ132" s="455">
        <f t="shared" si="324"/>
        <v>0</v>
      </c>
      <c r="AR132" s="456">
        <f t="shared" si="280"/>
        <v>0</v>
      </c>
      <c r="AS132" s="457"/>
      <c r="AT132" s="455">
        <f t="shared" si="325"/>
        <v>0</v>
      </c>
      <c r="AU132" s="455">
        <f t="shared" si="326"/>
        <v>0</v>
      </c>
      <c r="AV132" s="455">
        <f t="shared" si="327"/>
        <v>0</v>
      </c>
      <c r="AW132" s="455">
        <f t="shared" si="328"/>
        <v>0</v>
      </c>
      <c r="AX132" s="455">
        <f t="shared" si="329"/>
        <v>0</v>
      </c>
      <c r="AY132" s="455">
        <f t="shared" si="330"/>
        <v>0</v>
      </c>
      <c r="AZ132" s="455">
        <f t="shared" si="331"/>
        <v>0</v>
      </c>
      <c r="BA132" s="455">
        <f t="shared" si="332"/>
        <v>0</v>
      </c>
      <c r="BB132" s="455">
        <f t="shared" si="333"/>
        <v>0</v>
      </c>
      <c r="BC132" s="455">
        <f t="shared" si="334"/>
        <v>0</v>
      </c>
      <c r="BD132" s="456">
        <f t="shared" si="281"/>
        <v>0</v>
      </c>
      <c r="BE132" s="457"/>
      <c r="BF132" s="455">
        <f t="shared" si="335"/>
        <v>0</v>
      </c>
      <c r="BG132" s="455">
        <f t="shared" si="336"/>
        <v>0</v>
      </c>
      <c r="BH132" s="455">
        <f t="shared" si="337"/>
        <v>0</v>
      </c>
      <c r="BI132" s="455">
        <f t="shared" si="338"/>
        <v>0</v>
      </c>
      <c r="BJ132" s="455">
        <f t="shared" si="339"/>
        <v>0</v>
      </c>
      <c r="BK132" s="455">
        <f t="shared" si="340"/>
        <v>0</v>
      </c>
      <c r="BL132" s="455">
        <f t="shared" si="341"/>
        <v>0</v>
      </c>
      <c r="BM132" s="455">
        <f t="shared" si="342"/>
        <v>0</v>
      </c>
      <c r="BN132" s="455">
        <f t="shared" si="343"/>
        <v>0</v>
      </c>
      <c r="BO132" s="455">
        <f t="shared" si="344"/>
        <v>0</v>
      </c>
      <c r="BP132" s="456">
        <f t="shared" si="282"/>
        <v>0</v>
      </c>
      <c r="BQ132" s="463"/>
      <c r="BR132" s="459">
        <f t="shared" si="345"/>
        <v>0</v>
      </c>
      <c r="BS132" s="459">
        <f t="shared" si="346"/>
        <v>0</v>
      </c>
      <c r="BT132" s="459">
        <f t="shared" si="347"/>
        <v>0</v>
      </c>
      <c r="BU132" s="459">
        <f t="shared" si="348"/>
        <v>0</v>
      </c>
      <c r="BV132" s="459">
        <f t="shared" si="349"/>
        <v>0</v>
      </c>
      <c r="BW132" s="459">
        <f t="shared" si="350"/>
        <v>0</v>
      </c>
      <c r="BX132" s="459">
        <f t="shared" si="351"/>
        <v>0</v>
      </c>
      <c r="BY132" s="459">
        <f t="shared" si="352"/>
        <v>0</v>
      </c>
      <c r="BZ132" s="459">
        <f t="shared" si="353"/>
        <v>0</v>
      </c>
      <c r="CA132" s="459">
        <f t="shared" si="354"/>
        <v>0</v>
      </c>
      <c r="CB132" s="460">
        <f t="shared" si="283"/>
        <v>0</v>
      </c>
      <c r="CC132" s="463"/>
      <c r="CD132" s="462">
        <f t="shared" si="355"/>
        <v>0</v>
      </c>
      <c r="CE132" s="462">
        <f t="shared" si="356"/>
        <v>0</v>
      </c>
      <c r="CF132" s="462">
        <f t="shared" si="357"/>
        <v>0</v>
      </c>
      <c r="CG132" s="462">
        <f t="shared" si="358"/>
        <v>0</v>
      </c>
      <c r="CH132" s="462">
        <f t="shared" si="359"/>
        <v>0</v>
      </c>
      <c r="CI132" s="462">
        <f t="shared" si="360"/>
        <v>0</v>
      </c>
      <c r="CJ132" s="462">
        <f t="shared" si="361"/>
        <v>0</v>
      </c>
      <c r="CK132" s="462">
        <f t="shared" si="362"/>
        <v>0</v>
      </c>
      <c r="CL132" s="462">
        <f t="shared" si="363"/>
        <v>0</v>
      </c>
      <c r="CM132" s="462">
        <f t="shared" si="364"/>
        <v>0</v>
      </c>
      <c r="CN132" s="460">
        <f t="shared" si="284"/>
        <v>0</v>
      </c>
      <c r="CO132" s="463"/>
      <c r="CP132" s="459">
        <f t="shared" si="365"/>
        <v>0</v>
      </c>
      <c r="CQ132" s="459">
        <f t="shared" si="366"/>
        <v>0</v>
      </c>
      <c r="CR132" s="459">
        <f t="shared" si="367"/>
        <v>0</v>
      </c>
      <c r="CS132" s="459">
        <f t="shared" si="368"/>
        <v>0</v>
      </c>
      <c r="CT132" s="459">
        <f t="shared" si="369"/>
        <v>0</v>
      </c>
      <c r="CU132" s="459">
        <f t="shared" si="370"/>
        <v>0</v>
      </c>
      <c r="CV132" s="459">
        <f t="shared" si="371"/>
        <v>0</v>
      </c>
      <c r="CW132" s="459">
        <f t="shared" si="372"/>
        <v>0</v>
      </c>
      <c r="CX132" s="459">
        <f t="shared" si="373"/>
        <v>0</v>
      </c>
      <c r="CY132" s="459">
        <f t="shared" si="374"/>
        <v>0</v>
      </c>
      <c r="CZ132" s="460">
        <f t="shared" si="285"/>
        <v>0</v>
      </c>
      <c r="DA132" s="463"/>
      <c r="DB132" s="459">
        <f t="shared" si="375"/>
        <v>0</v>
      </c>
      <c r="DC132" s="459">
        <f t="shared" si="376"/>
        <v>0</v>
      </c>
      <c r="DD132" s="459">
        <f t="shared" si="377"/>
        <v>0</v>
      </c>
      <c r="DE132" s="459">
        <f t="shared" si="378"/>
        <v>0</v>
      </c>
      <c r="DF132" s="459">
        <f t="shared" si="379"/>
        <v>0</v>
      </c>
      <c r="DG132" s="459">
        <f t="shared" si="380"/>
        <v>0</v>
      </c>
      <c r="DH132" s="459">
        <f t="shared" si="381"/>
        <v>0</v>
      </c>
      <c r="DI132" s="459">
        <f t="shared" si="382"/>
        <v>0</v>
      </c>
      <c r="DJ132" s="459">
        <f t="shared" si="383"/>
        <v>0</v>
      </c>
      <c r="DK132" s="459">
        <f t="shared" si="384"/>
        <v>0</v>
      </c>
      <c r="DL132" s="460">
        <f t="shared" si="286"/>
        <v>0</v>
      </c>
      <c r="DM132" s="463"/>
      <c r="DN132" s="442">
        <f>IF('2. START'!$C$14&gt;0,(AT132/(1+$AA132))*(1+'2. START'!$C$14),AT132)</f>
        <v>0</v>
      </c>
      <c r="DO132" s="442">
        <f>IF('2. START'!$C$14&gt;0,(AU132/(1+$AA132))*(1+'2. START'!$C$14),AU132)</f>
        <v>0</v>
      </c>
      <c r="DP132" s="442">
        <f>IF('2. START'!$C$14&gt;0,(AV132/(1+$AA132))*(1+'2. START'!$C$14),AV132)</f>
        <v>0</v>
      </c>
      <c r="DQ132" s="442">
        <f>IF('2. START'!$C$14&gt;0,(AW132/(1+$AA132))*(1+'2. START'!$C$14),AW132)</f>
        <v>0</v>
      </c>
      <c r="DR132" s="442">
        <f>IF('2. START'!$C$14&gt;0,(AX132/(1+$AA132))*(1+'2. START'!$C$14),AX132)</f>
        <v>0</v>
      </c>
      <c r="DS132" s="442">
        <f>IF('2. START'!$C$14&gt;0,(AY132/(1+$AA132))*(1+'2. START'!$C$14),AY132)</f>
        <v>0</v>
      </c>
      <c r="DT132" s="442">
        <f>IF('2. START'!$C$14&gt;0,(AZ132/(1+$AA132))*(1+'2. START'!$C$14),AZ132)</f>
        <v>0</v>
      </c>
      <c r="DU132" s="442">
        <f>IF('2. START'!$C$14&gt;0,(BA132/(1+$AA132))*(1+'2. START'!$C$14),BA132)</f>
        <v>0</v>
      </c>
      <c r="DV132" s="442">
        <f>IF('2. START'!$C$14&gt;0,(BB132/(1+$AA132))*(1+'2. START'!$C$14),BB132)</f>
        <v>0</v>
      </c>
      <c r="DW132" s="442">
        <f>IF('2. START'!$C$14&gt;0,(BC132/(1+$AA132))*(1+'2. START'!$C$14),BC132)</f>
        <v>0</v>
      </c>
      <c r="DX132" s="460">
        <f t="shared" si="287"/>
        <v>0</v>
      </c>
      <c r="DY132" s="463"/>
      <c r="DZ132" s="459">
        <f>IF('2. START'!$C$11="NO",(IF('2. START'!$C$14&gt;0,(DN132*$AD132),(AT132*$AD132))),(BR132+CP132))</f>
        <v>0</v>
      </c>
      <c r="EA132" s="459">
        <f>IF('2. START'!$C$11="NO",(IF('2. START'!$C$14&gt;0,(DO132*$AD132),(AU132*$AD132))),(BS132+CQ132))</f>
        <v>0</v>
      </c>
      <c r="EB132" s="459">
        <f>IF('2. START'!$C$11="NO",(IF('2. START'!$C$14&gt;0,(DP132*$AD132),(AV132*$AD132))),(BT132+CR132))</f>
        <v>0</v>
      </c>
      <c r="EC132" s="459">
        <f>IF('2. START'!$C$11="NO",(IF('2. START'!$C$14&gt;0,(DQ132*$AD132),(AW132*$AD132))),(BU132+CS132))</f>
        <v>0</v>
      </c>
      <c r="ED132" s="459">
        <f>IF('2. START'!$C$11="NO",(IF('2. START'!$C$14&gt;0,(DR132*$AD132),(AX132*$AD132))),(BV132+CT132))</f>
        <v>0</v>
      </c>
      <c r="EE132" s="459">
        <f>IF('2. START'!$C$11="NO",(IF('2. START'!$C$14&gt;0,(DS132*$AD132),(AY132*$AD132))),(BW132+CU132))</f>
        <v>0</v>
      </c>
      <c r="EF132" s="459">
        <f>IF('2. START'!$C$11="NO",(IF('2. START'!$C$14&gt;0,(DT132*$AD132),(AZ132*$AD132))),(BX132+CV132))</f>
        <v>0</v>
      </c>
      <c r="EG132" s="459">
        <f>IF('2. START'!$C$11="NO",(IF('2. START'!$C$14&gt;0,(DU132*$AD132),(BA132*$AD132))),(BY132+CW132))</f>
        <v>0</v>
      </c>
      <c r="EH132" s="459">
        <f>IF('2. START'!$C$11="NO",(IF('2. START'!$C$14&gt;0,(DV132*$AD132),(BB132*$AD132))),(BZ132+CX132))</f>
        <v>0</v>
      </c>
      <c r="EI132" s="459">
        <f>IF('2. START'!$C$11="NO",(IF('2. START'!$C$14&gt;0,(DW132*$AD132),(BC132*$AD132))),(CA132+CY132))</f>
        <v>0</v>
      </c>
      <c r="EJ132" s="460">
        <f t="shared" si="288"/>
        <v>0</v>
      </c>
      <c r="EK132" s="463"/>
      <c r="EL132" s="459">
        <f>(BR132+CP132-DZ132)+IF('2. START'!$C$14&gt;0,AT132-DN132,0)</f>
        <v>0</v>
      </c>
      <c r="EM132" s="459">
        <f>(BS132+CQ132-EA132)+IF('2. START'!$C$14&gt;0,AU132-DO132,0)</f>
        <v>0</v>
      </c>
      <c r="EN132" s="459">
        <f>(BT132+CR132-EB132)+IF('2. START'!$C$14&gt;0,AV132-DP132,0)</f>
        <v>0</v>
      </c>
      <c r="EO132" s="459">
        <f>(BU132+CS132-EC132)+IF('2. START'!$C$14&gt;0,AW132-DQ132,0)</f>
        <v>0</v>
      </c>
      <c r="EP132" s="459">
        <f>(BV132+CT132-ED132)+IF('2. START'!$C$14&gt;0,AX132-DR132,0)</f>
        <v>0</v>
      </c>
      <c r="EQ132" s="459">
        <f>(BW132+CU132-EE132)+IF('2. START'!$C$14&gt;0,AY132-DS132,0)</f>
        <v>0</v>
      </c>
      <c r="ER132" s="459">
        <f>(BX132+CV132-EF132)+IF('2. START'!$C$14&gt;0,AZ132-DT132,0)</f>
        <v>0</v>
      </c>
      <c r="ES132" s="459">
        <f>(BY132+CW132-EG132)+IF('2. START'!$C$14&gt;0,BA132-DU132,0)</f>
        <v>0</v>
      </c>
      <c r="ET132" s="459">
        <f>(BZ132+CX132-EH132)+IF('2. START'!$C$14&gt;0,BB132-DV132,0)</f>
        <v>0</v>
      </c>
      <c r="EU132" s="459">
        <f>(CA132+CY132-EI132)+IF('2. START'!$C$14&gt;0,BC132-DW132,0)</f>
        <v>0</v>
      </c>
      <c r="EV132" s="460">
        <f t="shared" si="289"/>
        <v>0</v>
      </c>
      <c r="EW132" s="463"/>
      <c r="EX132" s="459">
        <f t="shared" si="290"/>
        <v>0</v>
      </c>
      <c r="EY132" s="459">
        <f t="shared" si="291"/>
        <v>0</v>
      </c>
      <c r="EZ132" s="459">
        <f t="shared" si="292"/>
        <v>0</v>
      </c>
      <c r="FA132" s="459">
        <f t="shared" si="293"/>
        <v>0</v>
      </c>
      <c r="FB132" s="459">
        <f t="shared" si="294"/>
        <v>0</v>
      </c>
      <c r="FC132" s="459">
        <f t="shared" si="295"/>
        <v>0</v>
      </c>
      <c r="FD132" s="459">
        <f t="shared" si="296"/>
        <v>0</v>
      </c>
      <c r="FE132" s="459">
        <f t="shared" si="297"/>
        <v>0</v>
      </c>
      <c r="FF132" s="459">
        <f t="shared" si="298"/>
        <v>0</v>
      </c>
      <c r="FG132" s="459">
        <f t="shared" si="299"/>
        <v>0</v>
      </c>
      <c r="FH132" s="460">
        <f t="shared" si="300"/>
        <v>0</v>
      </c>
      <c r="FI132" s="463"/>
      <c r="FJ132" s="459">
        <f t="shared" si="301"/>
        <v>0</v>
      </c>
      <c r="FK132" s="459">
        <f t="shared" si="302"/>
        <v>0</v>
      </c>
      <c r="FL132" s="459">
        <f t="shared" si="303"/>
        <v>0</v>
      </c>
      <c r="FM132" s="459">
        <f t="shared" si="304"/>
        <v>0</v>
      </c>
      <c r="FN132" s="459">
        <f t="shared" si="305"/>
        <v>0</v>
      </c>
      <c r="FO132" s="459">
        <f t="shared" si="306"/>
        <v>0</v>
      </c>
      <c r="FP132" s="459">
        <f t="shared" si="307"/>
        <v>0</v>
      </c>
      <c r="FQ132" s="459">
        <f t="shared" si="308"/>
        <v>0</v>
      </c>
      <c r="FR132" s="459">
        <f t="shared" si="309"/>
        <v>0</v>
      </c>
      <c r="FS132" s="459">
        <f t="shared" si="310"/>
        <v>0</v>
      </c>
      <c r="FT132" s="460">
        <f t="shared" si="311"/>
        <v>0</v>
      </c>
    </row>
    <row r="133" spans="2:176" s="270" customFormat="1" ht="15" customHeight="1" x14ac:dyDescent="0.25">
      <c r="B133" s="464" t="str">
        <f>'2. START'!C$7</f>
        <v>100GEM</v>
      </c>
      <c r="C133" s="470"/>
      <c r="D133" s="590"/>
      <c r="E133" s="514">
        <v>0</v>
      </c>
      <c r="F133" s="467"/>
      <c r="G133" s="432"/>
      <c r="H133" s="432"/>
      <c r="I133" s="432"/>
      <c r="J133" s="432"/>
      <c r="K133" s="432"/>
      <c r="L133" s="432"/>
      <c r="M133" s="432"/>
      <c r="N133" s="432"/>
      <c r="O133" s="432"/>
      <c r="P133" s="432"/>
      <c r="Q133" s="545">
        <f>SUMIF('3. PARTNER'!$B$13:$B$80,$B133,'3. PARTNER'!$F$13:$F$80)</f>
        <v>0.02</v>
      </c>
      <c r="R133" s="466">
        <f t="shared" si="386"/>
        <v>0.02</v>
      </c>
      <c r="S133" s="466">
        <f t="shared" si="386"/>
        <v>0.02</v>
      </c>
      <c r="T133" s="466">
        <f t="shared" si="386"/>
        <v>0.02</v>
      </c>
      <c r="U133" s="466">
        <f t="shared" si="386"/>
        <v>0.02</v>
      </c>
      <c r="V133" s="466">
        <f t="shared" si="386"/>
        <v>0.02</v>
      </c>
      <c r="W133" s="466">
        <f t="shared" si="386"/>
        <v>0.02</v>
      </c>
      <c r="X133" s="466">
        <f t="shared" si="386"/>
        <v>0.02</v>
      </c>
      <c r="Y133" s="466">
        <f t="shared" si="386"/>
        <v>0.02</v>
      </c>
      <c r="Z133" s="466">
        <f t="shared" si="386"/>
        <v>0.02</v>
      </c>
      <c r="AA133" s="434">
        <f>SUMIF('3. PARTNER'!B$13:B$80,B133,'3. PARTNER'!E$13:E$80)</f>
        <v>0.5595</v>
      </c>
      <c r="AB133" s="435">
        <f>IF('2. START'!$C$20="UTB",(SUMIF('3. PARTNER'!B$13:B$80,B133,'3. PARTNER'!K$13:K$80))+(SUMIF('3. PARTNER'!B$13:B$80,B133,'3. PARTNER'!M$13:M$80)),(SUMIF('3. PARTNER'!B$13:B$80,B133,'3. PARTNER'!G$13:G$80))+(SUMIF('3. PARTNER'!B$13:B$80,B133,'3. PARTNER'!I$13:I$80)))</f>
        <v>0.16000843770704321</v>
      </c>
      <c r="AC133" s="435">
        <f>IF('2. START'!$C$20="UTB",(SUMIF('3. PARTNER'!B$13:B$80,B133,'3. PARTNER'!L$13:L$80))+(SUMIF('3. PARTNER'!B$13:B$80,B133,'3. PARTNER'!N$13:N$80)),(SUMIF('3. PARTNER'!B$13:B$80,B133,'3. PARTNER'!H$13:H$80))+(SUMIF('3. PARTNER'!B$13:B$80,B133,'3. PARTNER'!J$13:J$80)))</f>
        <v>0</v>
      </c>
      <c r="AD133" s="435">
        <f>IF('2. START'!C$11="NO",'2. START'!C$12,0)</f>
        <v>0</v>
      </c>
      <c r="AE133" s="436">
        <f t="shared" si="278"/>
        <v>0</v>
      </c>
      <c r="AF133" s="436">
        <f t="shared" si="279"/>
        <v>0</v>
      </c>
      <c r="AG133" s="437"/>
      <c r="AH133" s="438">
        <f t="shared" si="315"/>
        <v>0</v>
      </c>
      <c r="AI133" s="438">
        <f t="shared" si="316"/>
        <v>0</v>
      </c>
      <c r="AJ133" s="438">
        <f t="shared" si="317"/>
        <v>0</v>
      </c>
      <c r="AK133" s="438">
        <f t="shared" si="318"/>
        <v>0</v>
      </c>
      <c r="AL133" s="438">
        <f t="shared" si="319"/>
        <v>0</v>
      </c>
      <c r="AM133" s="438">
        <f t="shared" si="320"/>
        <v>0</v>
      </c>
      <c r="AN133" s="438">
        <f t="shared" si="321"/>
        <v>0</v>
      </c>
      <c r="AO133" s="438">
        <f t="shared" si="322"/>
        <v>0</v>
      </c>
      <c r="AP133" s="438">
        <f t="shared" si="323"/>
        <v>0</v>
      </c>
      <c r="AQ133" s="438">
        <f t="shared" si="324"/>
        <v>0</v>
      </c>
      <c r="AR133" s="439">
        <f t="shared" si="280"/>
        <v>0</v>
      </c>
      <c r="AS133" s="440"/>
      <c r="AT133" s="438">
        <f t="shared" si="325"/>
        <v>0</v>
      </c>
      <c r="AU133" s="438">
        <f t="shared" si="326"/>
        <v>0</v>
      </c>
      <c r="AV133" s="438">
        <f t="shared" si="327"/>
        <v>0</v>
      </c>
      <c r="AW133" s="438">
        <f t="shared" si="328"/>
        <v>0</v>
      </c>
      <c r="AX133" s="438">
        <f t="shared" si="329"/>
        <v>0</v>
      </c>
      <c r="AY133" s="438">
        <f t="shared" si="330"/>
        <v>0</v>
      </c>
      <c r="AZ133" s="438">
        <f t="shared" si="331"/>
        <v>0</v>
      </c>
      <c r="BA133" s="438">
        <f t="shared" si="332"/>
        <v>0</v>
      </c>
      <c r="BB133" s="438">
        <f t="shared" si="333"/>
        <v>0</v>
      </c>
      <c r="BC133" s="438">
        <f t="shared" si="334"/>
        <v>0</v>
      </c>
      <c r="BD133" s="439">
        <f t="shared" si="281"/>
        <v>0</v>
      </c>
      <c r="BE133" s="440"/>
      <c r="BF133" s="438">
        <f t="shared" si="335"/>
        <v>0</v>
      </c>
      <c r="BG133" s="438">
        <f t="shared" si="336"/>
        <v>0</v>
      </c>
      <c r="BH133" s="438">
        <f t="shared" si="337"/>
        <v>0</v>
      </c>
      <c r="BI133" s="438">
        <f t="shared" si="338"/>
        <v>0</v>
      </c>
      <c r="BJ133" s="438">
        <f t="shared" si="339"/>
        <v>0</v>
      </c>
      <c r="BK133" s="438">
        <f t="shared" si="340"/>
        <v>0</v>
      </c>
      <c r="BL133" s="438">
        <f t="shared" si="341"/>
        <v>0</v>
      </c>
      <c r="BM133" s="438">
        <f t="shared" si="342"/>
        <v>0</v>
      </c>
      <c r="BN133" s="438">
        <f t="shared" si="343"/>
        <v>0</v>
      </c>
      <c r="BO133" s="438">
        <f t="shared" si="344"/>
        <v>0</v>
      </c>
      <c r="BP133" s="439">
        <f t="shared" si="282"/>
        <v>0</v>
      </c>
      <c r="BR133" s="442">
        <f t="shared" si="345"/>
        <v>0</v>
      </c>
      <c r="BS133" s="442">
        <f t="shared" si="346"/>
        <v>0</v>
      </c>
      <c r="BT133" s="442">
        <f t="shared" si="347"/>
        <v>0</v>
      </c>
      <c r="BU133" s="442">
        <f t="shared" si="348"/>
        <v>0</v>
      </c>
      <c r="BV133" s="442">
        <f t="shared" si="349"/>
        <v>0</v>
      </c>
      <c r="BW133" s="442">
        <f t="shared" si="350"/>
        <v>0</v>
      </c>
      <c r="BX133" s="442">
        <f t="shared" si="351"/>
        <v>0</v>
      </c>
      <c r="BY133" s="442">
        <f t="shared" si="352"/>
        <v>0</v>
      </c>
      <c r="BZ133" s="442">
        <f t="shared" si="353"/>
        <v>0</v>
      </c>
      <c r="CA133" s="442">
        <f t="shared" si="354"/>
        <v>0</v>
      </c>
      <c r="CB133" s="443">
        <f t="shared" si="283"/>
        <v>0</v>
      </c>
      <c r="CD133" s="445">
        <f t="shared" si="355"/>
        <v>0</v>
      </c>
      <c r="CE133" s="445">
        <f t="shared" si="356"/>
        <v>0</v>
      </c>
      <c r="CF133" s="445">
        <f t="shared" si="357"/>
        <v>0</v>
      </c>
      <c r="CG133" s="445">
        <f t="shared" si="358"/>
        <v>0</v>
      </c>
      <c r="CH133" s="445">
        <f t="shared" si="359"/>
        <v>0</v>
      </c>
      <c r="CI133" s="445">
        <f t="shared" si="360"/>
        <v>0</v>
      </c>
      <c r="CJ133" s="445">
        <f t="shared" si="361"/>
        <v>0</v>
      </c>
      <c r="CK133" s="445">
        <f t="shared" si="362"/>
        <v>0</v>
      </c>
      <c r="CL133" s="445">
        <f t="shared" si="363"/>
        <v>0</v>
      </c>
      <c r="CM133" s="445">
        <f t="shared" si="364"/>
        <v>0</v>
      </c>
      <c r="CN133" s="443">
        <f t="shared" si="284"/>
        <v>0</v>
      </c>
      <c r="CP133" s="442">
        <f t="shared" si="365"/>
        <v>0</v>
      </c>
      <c r="CQ133" s="442">
        <f t="shared" si="366"/>
        <v>0</v>
      </c>
      <c r="CR133" s="442">
        <f t="shared" si="367"/>
        <v>0</v>
      </c>
      <c r="CS133" s="442">
        <f t="shared" si="368"/>
        <v>0</v>
      </c>
      <c r="CT133" s="442">
        <f t="shared" si="369"/>
        <v>0</v>
      </c>
      <c r="CU133" s="442">
        <f t="shared" si="370"/>
        <v>0</v>
      </c>
      <c r="CV133" s="442">
        <f t="shared" si="371"/>
        <v>0</v>
      </c>
      <c r="CW133" s="442">
        <f t="shared" si="372"/>
        <v>0</v>
      </c>
      <c r="CX133" s="442">
        <f t="shared" si="373"/>
        <v>0</v>
      </c>
      <c r="CY133" s="442">
        <f t="shared" si="374"/>
        <v>0</v>
      </c>
      <c r="CZ133" s="443">
        <f t="shared" si="285"/>
        <v>0</v>
      </c>
      <c r="DB133" s="442">
        <f t="shared" si="375"/>
        <v>0</v>
      </c>
      <c r="DC133" s="442">
        <f t="shared" si="376"/>
        <v>0</v>
      </c>
      <c r="DD133" s="442">
        <f t="shared" si="377"/>
        <v>0</v>
      </c>
      <c r="DE133" s="442">
        <f t="shared" si="378"/>
        <v>0</v>
      </c>
      <c r="DF133" s="442">
        <f t="shared" si="379"/>
        <v>0</v>
      </c>
      <c r="DG133" s="442">
        <f t="shared" si="380"/>
        <v>0</v>
      </c>
      <c r="DH133" s="442">
        <f t="shared" si="381"/>
        <v>0</v>
      </c>
      <c r="DI133" s="442">
        <f t="shared" si="382"/>
        <v>0</v>
      </c>
      <c r="DJ133" s="442">
        <f t="shared" si="383"/>
        <v>0</v>
      </c>
      <c r="DK133" s="442">
        <f t="shared" si="384"/>
        <v>0</v>
      </c>
      <c r="DL133" s="443">
        <f t="shared" si="286"/>
        <v>0</v>
      </c>
      <c r="DN133" s="442">
        <f>IF('2. START'!$C$14&gt;0,(AT133/(1+$AA133))*(1+'2. START'!$C$14),AT133)</f>
        <v>0</v>
      </c>
      <c r="DO133" s="442">
        <f>IF('2. START'!$C$14&gt;0,(AU133/(1+$AA133))*(1+'2. START'!$C$14),AU133)</f>
        <v>0</v>
      </c>
      <c r="DP133" s="442">
        <f>IF('2. START'!$C$14&gt;0,(AV133/(1+$AA133))*(1+'2. START'!$C$14),AV133)</f>
        <v>0</v>
      </c>
      <c r="DQ133" s="442">
        <f>IF('2. START'!$C$14&gt;0,(AW133/(1+$AA133))*(1+'2. START'!$C$14),AW133)</f>
        <v>0</v>
      </c>
      <c r="DR133" s="442">
        <f>IF('2. START'!$C$14&gt;0,(AX133/(1+$AA133))*(1+'2. START'!$C$14),AX133)</f>
        <v>0</v>
      </c>
      <c r="DS133" s="442">
        <f>IF('2. START'!$C$14&gt;0,(AY133/(1+$AA133))*(1+'2. START'!$C$14),AY133)</f>
        <v>0</v>
      </c>
      <c r="DT133" s="442">
        <f>IF('2. START'!$C$14&gt;0,(AZ133/(1+$AA133))*(1+'2. START'!$C$14),AZ133)</f>
        <v>0</v>
      </c>
      <c r="DU133" s="442">
        <f>IF('2. START'!$C$14&gt;0,(BA133/(1+$AA133))*(1+'2. START'!$C$14),BA133)</f>
        <v>0</v>
      </c>
      <c r="DV133" s="442">
        <f>IF('2. START'!$C$14&gt;0,(BB133/(1+$AA133))*(1+'2. START'!$C$14),BB133)</f>
        <v>0</v>
      </c>
      <c r="DW133" s="442">
        <f>IF('2. START'!$C$14&gt;0,(BC133/(1+$AA133))*(1+'2. START'!$C$14),BC133)</f>
        <v>0</v>
      </c>
      <c r="DX133" s="443">
        <f t="shared" si="287"/>
        <v>0</v>
      </c>
      <c r="DZ133" s="442">
        <f>IF('2. START'!$C$11="NO",(IF('2. START'!$C$14&gt;0,(DN133*$AD133),(AT133*$AD133))),(BR133+CP133))</f>
        <v>0</v>
      </c>
      <c r="EA133" s="442">
        <f>IF('2. START'!$C$11="NO",(IF('2. START'!$C$14&gt;0,(DO133*$AD133),(AU133*$AD133))),(BS133+CQ133))</f>
        <v>0</v>
      </c>
      <c r="EB133" s="442">
        <f>IF('2. START'!$C$11="NO",(IF('2. START'!$C$14&gt;0,(DP133*$AD133),(AV133*$AD133))),(BT133+CR133))</f>
        <v>0</v>
      </c>
      <c r="EC133" s="442">
        <f>IF('2. START'!$C$11="NO",(IF('2. START'!$C$14&gt;0,(DQ133*$AD133),(AW133*$AD133))),(BU133+CS133))</f>
        <v>0</v>
      </c>
      <c r="ED133" s="442">
        <f>IF('2. START'!$C$11="NO",(IF('2. START'!$C$14&gt;0,(DR133*$AD133),(AX133*$AD133))),(BV133+CT133))</f>
        <v>0</v>
      </c>
      <c r="EE133" s="442">
        <f>IF('2. START'!$C$11="NO",(IF('2. START'!$C$14&gt;0,(DS133*$AD133),(AY133*$AD133))),(BW133+CU133))</f>
        <v>0</v>
      </c>
      <c r="EF133" s="442">
        <f>IF('2. START'!$C$11="NO",(IF('2. START'!$C$14&gt;0,(DT133*$AD133),(AZ133*$AD133))),(BX133+CV133))</f>
        <v>0</v>
      </c>
      <c r="EG133" s="442">
        <f>IF('2. START'!$C$11="NO",(IF('2. START'!$C$14&gt;0,(DU133*$AD133),(BA133*$AD133))),(BY133+CW133))</f>
        <v>0</v>
      </c>
      <c r="EH133" s="442">
        <f>IF('2. START'!$C$11="NO",(IF('2. START'!$C$14&gt;0,(DV133*$AD133),(BB133*$AD133))),(BZ133+CX133))</f>
        <v>0</v>
      </c>
      <c r="EI133" s="442">
        <f>IF('2. START'!$C$11="NO",(IF('2. START'!$C$14&gt;0,(DW133*$AD133),(BC133*$AD133))),(CA133+CY133))</f>
        <v>0</v>
      </c>
      <c r="EJ133" s="443">
        <f t="shared" si="288"/>
        <v>0</v>
      </c>
      <c r="EL133" s="442">
        <f>(BR133+CP133-DZ133)+IF('2. START'!$C$14&gt;0,AT133-DN133,0)</f>
        <v>0</v>
      </c>
      <c r="EM133" s="442">
        <f>(BS133+CQ133-EA133)+IF('2. START'!$C$14&gt;0,AU133-DO133,0)</f>
        <v>0</v>
      </c>
      <c r="EN133" s="442">
        <f>(BT133+CR133-EB133)+IF('2. START'!$C$14&gt;0,AV133-DP133,0)</f>
        <v>0</v>
      </c>
      <c r="EO133" s="442">
        <f>(BU133+CS133-EC133)+IF('2. START'!$C$14&gt;0,AW133-DQ133,0)</f>
        <v>0</v>
      </c>
      <c r="EP133" s="442">
        <f>(BV133+CT133-ED133)+IF('2. START'!$C$14&gt;0,AX133-DR133,0)</f>
        <v>0</v>
      </c>
      <c r="EQ133" s="442">
        <f>(BW133+CU133-EE133)+IF('2. START'!$C$14&gt;0,AY133-DS133,0)</f>
        <v>0</v>
      </c>
      <c r="ER133" s="442">
        <f>(BX133+CV133-EF133)+IF('2. START'!$C$14&gt;0,AZ133-DT133,0)</f>
        <v>0</v>
      </c>
      <c r="ES133" s="442">
        <f>(BY133+CW133-EG133)+IF('2. START'!$C$14&gt;0,BA133-DU133,0)</f>
        <v>0</v>
      </c>
      <c r="ET133" s="442">
        <f>(BZ133+CX133-EH133)+IF('2. START'!$C$14&gt;0,BB133-DV133,0)</f>
        <v>0</v>
      </c>
      <c r="EU133" s="442">
        <f>(CA133+CY133-EI133)+IF('2. START'!$C$14&gt;0,BC133-DW133,0)</f>
        <v>0</v>
      </c>
      <c r="EV133" s="443">
        <f t="shared" si="289"/>
        <v>0</v>
      </c>
      <c r="EX133" s="442">
        <f t="shared" si="290"/>
        <v>0</v>
      </c>
      <c r="EY133" s="442">
        <f t="shared" si="291"/>
        <v>0</v>
      </c>
      <c r="EZ133" s="442">
        <f t="shared" si="292"/>
        <v>0</v>
      </c>
      <c r="FA133" s="442">
        <f t="shared" si="293"/>
        <v>0</v>
      </c>
      <c r="FB133" s="442">
        <f t="shared" si="294"/>
        <v>0</v>
      </c>
      <c r="FC133" s="442">
        <f t="shared" si="295"/>
        <v>0</v>
      </c>
      <c r="FD133" s="442">
        <f t="shared" si="296"/>
        <v>0</v>
      </c>
      <c r="FE133" s="442">
        <f t="shared" si="297"/>
        <v>0</v>
      </c>
      <c r="FF133" s="442">
        <f t="shared" si="298"/>
        <v>0</v>
      </c>
      <c r="FG133" s="442">
        <f t="shared" si="299"/>
        <v>0</v>
      </c>
      <c r="FH133" s="443">
        <f t="shared" si="300"/>
        <v>0</v>
      </c>
      <c r="FJ133" s="442">
        <f t="shared" si="301"/>
        <v>0</v>
      </c>
      <c r="FK133" s="442">
        <f t="shared" si="302"/>
        <v>0</v>
      </c>
      <c r="FL133" s="442">
        <f t="shared" si="303"/>
        <v>0</v>
      </c>
      <c r="FM133" s="442">
        <f t="shared" si="304"/>
        <v>0</v>
      </c>
      <c r="FN133" s="442">
        <f t="shared" si="305"/>
        <v>0</v>
      </c>
      <c r="FO133" s="442">
        <f t="shared" si="306"/>
        <v>0</v>
      </c>
      <c r="FP133" s="442">
        <f t="shared" si="307"/>
        <v>0</v>
      </c>
      <c r="FQ133" s="442">
        <f t="shared" si="308"/>
        <v>0</v>
      </c>
      <c r="FR133" s="442">
        <f t="shared" si="309"/>
        <v>0</v>
      </c>
      <c r="FS133" s="442">
        <f t="shared" si="310"/>
        <v>0</v>
      </c>
      <c r="FT133" s="443">
        <f t="shared" si="311"/>
        <v>0</v>
      </c>
    </row>
    <row r="134" spans="2:176" s="270" customFormat="1" ht="15" customHeight="1" x14ac:dyDescent="0.25">
      <c r="B134" s="446" t="str">
        <f>'2. START'!C$7</f>
        <v>100GEM</v>
      </c>
      <c r="C134" s="469"/>
      <c r="D134" s="589"/>
      <c r="E134" s="544">
        <v>0</v>
      </c>
      <c r="F134" s="448"/>
      <c r="G134" s="449"/>
      <c r="H134" s="449"/>
      <c r="I134" s="449"/>
      <c r="J134" s="449"/>
      <c r="K134" s="449"/>
      <c r="L134" s="449"/>
      <c r="M134" s="449"/>
      <c r="N134" s="449"/>
      <c r="O134" s="449"/>
      <c r="P134" s="449"/>
      <c r="Q134" s="546">
        <f>SUMIF('3. PARTNER'!$B$13:$B$80,$B134,'3. PARTNER'!$F$13:$F$80)</f>
        <v>0.02</v>
      </c>
      <c r="R134" s="450">
        <f t="shared" si="386"/>
        <v>0.02</v>
      </c>
      <c r="S134" s="450">
        <f t="shared" si="386"/>
        <v>0.02</v>
      </c>
      <c r="T134" s="450">
        <f t="shared" si="386"/>
        <v>0.02</v>
      </c>
      <c r="U134" s="450">
        <f t="shared" si="386"/>
        <v>0.02</v>
      </c>
      <c r="V134" s="450">
        <f t="shared" si="386"/>
        <v>0.02</v>
      </c>
      <c r="W134" s="450">
        <f t="shared" si="386"/>
        <v>0.02</v>
      </c>
      <c r="X134" s="450">
        <f t="shared" si="386"/>
        <v>0.02</v>
      </c>
      <c r="Y134" s="450">
        <f t="shared" si="386"/>
        <v>0.02</v>
      </c>
      <c r="Z134" s="450">
        <f t="shared" si="386"/>
        <v>0.02</v>
      </c>
      <c r="AA134" s="451">
        <f>SUMIF('3. PARTNER'!B$13:B$80,B134,'3. PARTNER'!E$13:E$80)</f>
        <v>0.5595</v>
      </c>
      <c r="AB134" s="452">
        <f>IF('2. START'!$C$20="UTB",(SUMIF('3. PARTNER'!B$13:B$80,B134,'3. PARTNER'!K$13:K$80))+(SUMIF('3. PARTNER'!B$13:B$80,B134,'3. PARTNER'!M$13:M$80)),(SUMIF('3. PARTNER'!B$13:B$80,B134,'3. PARTNER'!G$13:G$80))+(SUMIF('3. PARTNER'!B$13:B$80,B134,'3. PARTNER'!I$13:I$80)))</f>
        <v>0.16000843770704321</v>
      </c>
      <c r="AC134" s="452">
        <f>IF('2. START'!$C$20="UTB",(SUMIF('3. PARTNER'!B$13:B$80,B134,'3. PARTNER'!L$13:L$80))+(SUMIF('3. PARTNER'!B$13:B$80,B134,'3. PARTNER'!N$13:N$80)),(SUMIF('3. PARTNER'!B$13:B$80,B134,'3. PARTNER'!H$13:H$80))+(SUMIF('3. PARTNER'!B$13:B$80,B134,'3. PARTNER'!J$13:J$80)))</f>
        <v>0</v>
      </c>
      <c r="AD134" s="452">
        <f>IF('2. START'!C$11="NO",'2. START'!C$12,0)</f>
        <v>0</v>
      </c>
      <c r="AE134" s="453">
        <f t="shared" si="278"/>
        <v>0</v>
      </c>
      <c r="AF134" s="453">
        <f t="shared" si="279"/>
        <v>0</v>
      </c>
      <c r="AG134" s="454"/>
      <c r="AH134" s="455">
        <f t="shared" si="315"/>
        <v>0</v>
      </c>
      <c r="AI134" s="455">
        <f t="shared" si="316"/>
        <v>0</v>
      </c>
      <c r="AJ134" s="455">
        <f t="shared" si="317"/>
        <v>0</v>
      </c>
      <c r="AK134" s="455">
        <f t="shared" si="318"/>
        <v>0</v>
      </c>
      <c r="AL134" s="455">
        <f t="shared" si="319"/>
        <v>0</v>
      </c>
      <c r="AM134" s="455">
        <f t="shared" si="320"/>
        <v>0</v>
      </c>
      <c r="AN134" s="455">
        <f t="shared" si="321"/>
        <v>0</v>
      </c>
      <c r="AO134" s="455">
        <f t="shared" si="322"/>
        <v>0</v>
      </c>
      <c r="AP134" s="455">
        <f t="shared" si="323"/>
        <v>0</v>
      </c>
      <c r="AQ134" s="455">
        <f t="shared" si="324"/>
        <v>0</v>
      </c>
      <c r="AR134" s="456">
        <f t="shared" si="280"/>
        <v>0</v>
      </c>
      <c r="AS134" s="457"/>
      <c r="AT134" s="455">
        <f t="shared" si="325"/>
        <v>0</v>
      </c>
      <c r="AU134" s="455">
        <f t="shared" si="326"/>
        <v>0</v>
      </c>
      <c r="AV134" s="455">
        <f t="shared" si="327"/>
        <v>0</v>
      </c>
      <c r="AW134" s="455">
        <f t="shared" si="328"/>
        <v>0</v>
      </c>
      <c r="AX134" s="455">
        <f t="shared" si="329"/>
        <v>0</v>
      </c>
      <c r="AY134" s="455">
        <f t="shared" si="330"/>
        <v>0</v>
      </c>
      <c r="AZ134" s="455">
        <f t="shared" si="331"/>
        <v>0</v>
      </c>
      <c r="BA134" s="455">
        <f t="shared" si="332"/>
        <v>0</v>
      </c>
      <c r="BB134" s="455">
        <f t="shared" si="333"/>
        <v>0</v>
      </c>
      <c r="BC134" s="455">
        <f t="shared" si="334"/>
        <v>0</v>
      </c>
      <c r="BD134" s="456">
        <f t="shared" si="281"/>
        <v>0</v>
      </c>
      <c r="BE134" s="457"/>
      <c r="BF134" s="455">
        <f t="shared" si="335"/>
        <v>0</v>
      </c>
      <c r="BG134" s="455">
        <f t="shared" si="336"/>
        <v>0</v>
      </c>
      <c r="BH134" s="455">
        <f t="shared" si="337"/>
        <v>0</v>
      </c>
      <c r="BI134" s="455">
        <f t="shared" si="338"/>
        <v>0</v>
      </c>
      <c r="BJ134" s="455">
        <f t="shared" si="339"/>
        <v>0</v>
      </c>
      <c r="BK134" s="455">
        <f t="shared" si="340"/>
        <v>0</v>
      </c>
      <c r="BL134" s="455">
        <f t="shared" si="341"/>
        <v>0</v>
      </c>
      <c r="BM134" s="455">
        <f t="shared" si="342"/>
        <v>0</v>
      </c>
      <c r="BN134" s="455">
        <f t="shared" si="343"/>
        <v>0</v>
      </c>
      <c r="BO134" s="455">
        <f t="shared" si="344"/>
        <v>0</v>
      </c>
      <c r="BP134" s="456">
        <f t="shared" si="282"/>
        <v>0</v>
      </c>
      <c r="BQ134" s="463"/>
      <c r="BR134" s="459">
        <f t="shared" si="345"/>
        <v>0</v>
      </c>
      <c r="BS134" s="459">
        <f t="shared" si="346"/>
        <v>0</v>
      </c>
      <c r="BT134" s="459">
        <f t="shared" si="347"/>
        <v>0</v>
      </c>
      <c r="BU134" s="459">
        <f t="shared" si="348"/>
        <v>0</v>
      </c>
      <c r="BV134" s="459">
        <f t="shared" si="349"/>
        <v>0</v>
      </c>
      <c r="BW134" s="459">
        <f t="shared" si="350"/>
        <v>0</v>
      </c>
      <c r="BX134" s="459">
        <f t="shared" si="351"/>
        <v>0</v>
      </c>
      <c r="BY134" s="459">
        <f t="shared" si="352"/>
        <v>0</v>
      </c>
      <c r="BZ134" s="459">
        <f t="shared" si="353"/>
        <v>0</v>
      </c>
      <c r="CA134" s="459">
        <f t="shared" si="354"/>
        <v>0</v>
      </c>
      <c r="CB134" s="460">
        <f t="shared" si="283"/>
        <v>0</v>
      </c>
      <c r="CC134" s="463"/>
      <c r="CD134" s="462">
        <f t="shared" si="355"/>
        <v>0</v>
      </c>
      <c r="CE134" s="462">
        <f t="shared" si="356"/>
        <v>0</v>
      </c>
      <c r="CF134" s="462">
        <f t="shared" si="357"/>
        <v>0</v>
      </c>
      <c r="CG134" s="462">
        <f t="shared" si="358"/>
        <v>0</v>
      </c>
      <c r="CH134" s="462">
        <f t="shared" si="359"/>
        <v>0</v>
      </c>
      <c r="CI134" s="462">
        <f t="shared" si="360"/>
        <v>0</v>
      </c>
      <c r="CJ134" s="462">
        <f t="shared" si="361"/>
        <v>0</v>
      </c>
      <c r="CK134" s="462">
        <f t="shared" si="362"/>
        <v>0</v>
      </c>
      <c r="CL134" s="462">
        <f t="shared" si="363"/>
        <v>0</v>
      </c>
      <c r="CM134" s="462">
        <f t="shared" si="364"/>
        <v>0</v>
      </c>
      <c r="CN134" s="460">
        <f t="shared" si="284"/>
        <v>0</v>
      </c>
      <c r="CO134" s="463"/>
      <c r="CP134" s="459">
        <f t="shared" si="365"/>
        <v>0</v>
      </c>
      <c r="CQ134" s="459">
        <f t="shared" si="366"/>
        <v>0</v>
      </c>
      <c r="CR134" s="459">
        <f t="shared" si="367"/>
        <v>0</v>
      </c>
      <c r="CS134" s="459">
        <f t="shared" si="368"/>
        <v>0</v>
      </c>
      <c r="CT134" s="459">
        <f t="shared" si="369"/>
        <v>0</v>
      </c>
      <c r="CU134" s="459">
        <f t="shared" si="370"/>
        <v>0</v>
      </c>
      <c r="CV134" s="459">
        <f t="shared" si="371"/>
        <v>0</v>
      </c>
      <c r="CW134" s="459">
        <f t="shared" si="372"/>
        <v>0</v>
      </c>
      <c r="CX134" s="459">
        <f t="shared" si="373"/>
        <v>0</v>
      </c>
      <c r="CY134" s="459">
        <f t="shared" si="374"/>
        <v>0</v>
      </c>
      <c r="CZ134" s="460">
        <f t="shared" si="285"/>
        <v>0</v>
      </c>
      <c r="DA134" s="463"/>
      <c r="DB134" s="459">
        <f t="shared" si="375"/>
        <v>0</v>
      </c>
      <c r="DC134" s="459">
        <f t="shared" si="376"/>
        <v>0</v>
      </c>
      <c r="DD134" s="459">
        <f t="shared" si="377"/>
        <v>0</v>
      </c>
      <c r="DE134" s="459">
        <f t="shared" si="378"/>
        <v>0</v>
      </c>
      <c r="DF134" s="459">
        <f t="shared" si="379"/>
        <v>0</v>
      </c>
      <c r="DG134" s="459">
        <f t="shared" si="380"/>
        <v>0</v>
      </c>
      <c r="DH134" s="459">
        <f t="shared" si="381"/>
        <v>0</v>
      </c>
      <c r="DI134" s="459">
        <f t="shared" si="382"/>
        <v>0</v>
      </c>
      <c r="DJ134" s="459">
        <f t="shared" si="383"/>
        <v>0</v>
      </c>
      <c r="DK134" s="459">
        <f t="shared" si="384"/>
        <v>0</v>
      </c>
      <c r="DL134" s="460">
        <f t="shared" si="286"/>
        <v>0</v>
      </c>
      <c r="DM134" s="463"/>
      <c r="DN134" s="442">
        <f>IF('2. START'!$C$14&gt;0,(AT134/(1+$AA134))*(1+'2. START'!$C$14),AT134)</f>
        <v>0</v>
      </c>
      <c r="DO134" s="442">
        <f>IF('2. START'!$C$14&gt;0,(AU134/(1+$AA134))*(1+'2. START'!$C$14),AU134)</f>
        <v>0</v>
      </c>
      <c r="DP134" s="442">
        <f>IF('2. START'!$C$14&gt;0,(AV134/(1+$AA134))*(1+'2. START'!$C$14),AV134)</f>
        <v>0</v>
      </c>
      <c r="DQ134" s="442">
        <f>IF('2. START'!$C$14&gt;0,(AW134/(1+$AA134))*(1+'2. START'!$C$14),AW134)</f>
        <v>0</v>
      </c>
      <c r="DR134" s="442">
        <f>IF('2. START'!$C$14&gt;0,(AX134/(1+$AA134))*(1+'2. START'!$C$14),AX134)</f>
        <v>0</v>
      </c>
      <c r="DS134" s="442">
        <f>IF('2. START'!$C$14&gt;0,(AY134/(1+$AA134))*(1+'2. START'!$C$14),AY134)</f>
        <v>0</v>
      </c>
      <c r="DT134" s="442">
        <f>IF('2. START'!$C$14&gt;0,(AZ134/(1+$AA134))*(1+'2. START'!$C$14),AZ134)</f>
        <v>0</v>
      </c>
      <c r="DU134" s="442">
        <f>IF('2. START'!$C$14&gt;0,(BA134/(1+$AA134))*(1+'2. START'!$C$14),BA134)</f>
        <v>0</v>
      </c>
      <c r="DV134" s="442">
        <f>IF('2. START'!$C$14&gt;0,(BB134/(1+$AA134))*(1+'2. START'!$C$14),BB134)</f>
        <v>0</v>
      </c>
      <c r="DW134" s="442">
        <f>IF('2. START'!$C$14&gt;0,(BC134/(1+$AA134))*(1+'2. START'!$C$14),BC134)</f>
        <v>0</v>
      </c>
      <c r="DX134" s="460">
        <f t="shared" si="287"/>
        <v>0</v>
      </c>
      <c r="DY134" s="463"/>
      <c r="DZ134" s="459">
        <f>IF('2. START'!$C$11="NO",(IF('2. START'!$C$14&gt;0,(DN134*$AD134),(AT134*$AD134))),(BR134+CP134))</f>
        <v>0</v>
      </c>
      <c r="EA134" s="459">
        <f>IF('2. START'!$C$11="NO",(IF('2. START'!$C$14&gt;0,(DO134*$AD134),(AU134*$AD134))),(BS134+CQ134))</f>
        <v>0</v>
      </c>
      <c r="EB134" s="459">
        <f>IF('2. START'!$C$11="NO",(IF('2. START'!$C$14&gt;0,(DP134*$AD134),(AV134*$AD134))),(BT134+CR134))</f>
        <v>0</v>
      </c>
      <c r="EC134" s="459">
        <f>IF('2. START'!$C$11="NO",(IF('2. START'!$C$14&gt;0,(DQ134*$AD134),(AW134*$AD134))),(BU134+CS134))</f>
        <v>0</v>
      </c>
      <c r="ED134" s="459">
        <f>IF('2. START'!$C$11="NO",(IF('2. START'!$C$14&gt;0,(DR134*$AD134),(AX134*$AD134))),(BV134+CT134))</f>
        <v>0</v>
      </c>
      <c r="EE134" s="459">
        <f>IF('2. START'!$C$11="NO",(IF('2. START'!$C$14&gt;0,(DS134*$AD134),(AY134*$AD134))),(BW134+CU134))</f>
        <v>0</v>
      </c>
      <c r="EF134" s="459">
        <f>IF('2. START'!$C$11="NO",(IF('2. START'!$C$14&gt;0,(DT134*$AD134),(AZ134*$AD134))),(BX134+CV134))</f>
        <v>0</v>
      </c>
      <c r="EG134" s="459">
        <f>IF('2. START'!$C$11="NO",(IF('2. START'!$C$14&gt;0,(DU134*$AD134),(BA134*$AD134))),(BY134+CW134))</f>
        <v>0</v>
      </c>
      <c r="EH134" s="459">
        <f>IF('2. START'!$C$11="NO",(IF('2. START'!$C$14&gt;0,(DV134*$AD134),(BB134*$AD134))),(BZ134+CX134))</f>
        <v>0</v>
      </c>
      <c r="EI134" s="459">
        <f>IF('2. START'!$C$11="NO",(IF('2. START'!$C$14&gt;0,(DW134*$AD134),(BC134*$AD134))),(CA134+CY134))</f>
        <v>0</v>
      </c>
      <c r="EJ134" s="460">
        <f t="shared" si="288"/>
        <v>0</v>
      </c>
      <c r="EK134" s="463"/>
      <c r="EL134" s="459">
        <f>(BR134+CP134-DZ134)+IF('2. START'!$C$14&gt;0,AT134-DN134,0)</f>
        <v>0</v>
      </c>
      <c r="EM134" s="459">
        <f>(BS134+CQ134-EA134)+IF('2. START'!$C$14&gt;0,AU134-DO134,0)</f>
        <v>0</v>
      </c>
      <c r="EN134" s="459">
        <f>(BT134+CR134-EB134)+IF('2. START'!$C$14&gt;0,AV134-DP134,0)</f>
        <v>0</v>
      </c>
      <c r="EO134" s="459">
        <f>(BU134+CS134-EC134)+IF('2. START'!$C$14&gt;0,AW134-DQ134,0)</f>
        <v>0</v>
      </c>
      <c r="EP134" s="459">
        <f>(BV134+CT134-ED134)+IF('2. START'!$C$14&gt;0,AX134-DR134,0)</f>
        <v>0</v>
      </c>
      <c r="EQ134" s="459">
        <f>(BW134+CU134-EE134)+IF('2. START'!$C$14&gt;0,AY134-DS134,0)</f>
        <v>0</v>
      </c>
      <c r="ER134" s="459">
        <f>(BX134+CV134-EF134)+IF('2. START'!$C$14&gt;0,AZ134-DT134,0)</f>
        <v>0</v>
      </c>
      <c r="ES134" s="459">
        <f>(BY134+CW134-EG134)+IF('2. START'!$C$14&gt;0,BA134-DU134,0)</f>
        <v>0</v>
      </c>
      <c r="ET134" s="459">
        <f>(BZ134+CX134-EH134)+IF('2. START'!$C$14&gt;0,BB134-DV134,0)</f>
        <v>0</v>
      </c>
      <c r="EU134" s="459">
        <f>(CA134+CY134-EI134)+IF('2. START'!$C$14&gt;0,BC134-DW134,0)</f>
        <v>0</v>
      </c>
      <c r="EV134" s="460">
        <f t="shared" si="289"/>
        <v>0</v>
      </c>
      <c r="EW134" s="463"/>
      <c r="EX134" s="459">
        <f t="shared" si="290"/>
        <v>0</v>
      </c>
      <c r="EY134" s="459">
        <f t="shared" si="291"/>
        <v>0</v>
      </c>
      <c r="EZ134" s="459">
        <f t="shared" si="292"/>
        <v>0</v>
      </c>
      <c r="FA134" s="459">
        <f t="shared" si="293"/>
        <v>0</v>
      </c>
      <c r="FB134" s="459">
        <f t="shared" si="294"/>
        <v>0</v>
      </c>
      <c r="FC134" s="459">
        <f t="shared" si="295"/>
        <v>0</v>
      </c>
      <c r="FD134" s="459">
        <f t="shared" si="296"/>
        <v>0</v>
      </c>
      <c r="FE134" s="459">
        <f t="shared" si="297"/>
        <v>0</v>
      </c>
      <c r="FF134" s="459">
        <f t="shared" si="298"/>
        <v>0</v>
      </c>
      <c r="FG134" s="459">
        <f t="shared" si="299"/>
        <v>0</v>
      </c>
      <c r="FH134" s="460">
        <f t="shared" si="300"/>
        <v>0</v>
      </c>
      <c r="FI134" s="463"/>
      <c r="FJ134" s="459">
        <f t="shared" si="301"/>
        <v>0</v>
      </c>
      <c r="FK134" s="459">
        <f t="shared" si="302"/>
        <v>0</v>
      </c>
      <c r="FL134" s="459">
        <f t="shared" si="303"/>
        <v>0</v>
      </c>
      <c r="FM134" s="459">
        <f t="shared" si="304"/>
        <v>0</v>
      </c>
      <c r="FN134" s="459">
        <f t="shared" si="305"/>
        <v>0</v>
      </c>
      <c r="FO134" s="459">
        <f t="shared" si="306"/>
        <v>0</v>
      </c>
      <c r="FP134" s="459">
        <f t="shared" si="307"/>
        <v>0</v>
      </c>
      <c r="FQ134" s="459">
        <f t="shared" si="308"/>
        <v>0</v>
      </c>
      <c r="FR134" s="459">
        <f t="shared" si="309"/>
        <v>0</v>
      </c>
      <c r="FS134" s="459">
        <f t="shared" si="310"/>
        <v>0</v>
      </c>
      <c r="FT134" s="460">
        <f t="shared" si="311"/>
        <v>0</v>
      </c>
    </row>
    <row r="135" spans="2:176" s="270" customFormat="1" ht="15" customHeight="1" x14ac:dyDescent="0.25">
      <c r="B135" s="464" t="str">
        <f>'2. START'!C$7</f>
        <v>100GEM</v>
      </c>
      <c r="C135" s="470"/>
      <c r="D135" s="590"/>
      <c r="E135" s="514">
        <v>0</v>
      </c>
      <c r="F135" s="467"/>
      <c r="G135" s="432"/>
      <c r="H135" s="432"/>
      <c r="I135" s="432"/>
      <c r="J135" s="432"/>
      <c r="K135" s="432"/>
      <c r="L135" s="432"/>
      <c r="M135" s="432"/>
      <c r="N135" s="432"/>
      <c r="O135" s="432"/>
      <c r="P135" s="432"/>
      <c r="Q135" s="545">
        <f>SUMIF('3. PARTNER'!$B$13:$B$80,$B135,'3. PARTNER'!$F$13:$F$80)</f>
        <v>0.02</v>
      </c>
      <c r="R135" s="466">
        <f t="shared" si="386"/>
        <v>0.02</v>
      </c>
      <c r="S135" s="466">
        <f t="shared" si="386"/>
        <v>0.02</v>
      </c>
      <c r="T135" s="466">
        <f t="shared" si="386"/>
        <v>0.02</v>
      </c>
      <c r="U135" s="466">
        <f t="shared" si="386"/>
        <v>0.02</v>
      </c>
      <c r="V135" s="466">
        <f t="shared" si="386"/>
        <v>0.02</v>
      </c>
      <c r="W135" s="466">
        <f t="shared" si="386"/>
        <v>0.02</v>
      </c>
      <c r="X135" s="466">
        <f t="shared" si="386"/>
        <v>0.02</v>
      </c>
      <c r="Y135" s="466">
        <f t="shared" si="386"/>
        <v>0.02</v>
      </c>
      <c r="Z135" s="466">
        <f t="shared" si="386"/>
        <v>0.02</v>
      </c>
      <c r="AA135" s="434">
        <f>SUMIF('3. PARTNER'!B$13:B$80,B135,'3. PARTNER'!E$13:E$80)</f>
        <v>0.5595</v>
      </c>
      <c r="AB135" s="435">
        <f>IF('2. START'!$C$20="UTB",(SUMIF('3. PARTNER'!B$13:B$80,B135,'3. PARTNER'!K$13:K$80))+(SUMIF('3. PARTNER'!B$13:B$80,B135,'3. PARTNER'!M$13:M$80)),(SUMIF('3. PARTNER'!B$13:B$80,B135,'3. PARTNER'!G$13:G$80))+(SUMIF('3. PARTNER'!B$13:B$80,B135,'3. PARTNER'!I$13:I$80)))</f>
        <v>0.16000843770704321</v>
      </c>
      <c r="AC135" s="435">
        <f>IF('2. START'!$C$20="UTB",(SUMIF('3. PARTNER'!B$13:B$80,B135,'3. PARTNER'!L$13:L$80))+(SUMIF('3. PARTNER'!B$13:B$80,B135,'3. PARTNER'!N$13:N$80)),(SUMIF('3. PARTNER'!B$13:B$80,B135,'3. PARTNER'!H$13:H$80))+(SUMIF('3. PARTNER'!B$13:B$80,B135,'3. PARTNER'!J$13:J$80)))</f>
        <v>0</v>
      </c>
      <c r="AD135" s="435">
        <f>IF('2. START'!C$11="NO",'2. START'!C$12,0)</f>
        <v>0</v>
      </c>
      <c r="AE135" s="436">
        <f t="shared" si="278"/>
        <v>0</v>
      </c>
      <c r="AF135" s="436">
        <f t="shared" si="279"/>
        <v>0</v>
      </c>
      <c r="AG135" s="437"/>
      <c r="AH135" s="438">
        <f t="shared" si="315"/>
        <v>0</v>
      </c>
      <c r="AI135" s="438">
        <f t="shared" si="316"/>
        <v>0</v>
      </c>
      <c r="AJ135" s="438">
        <f t="shared" si="317"/>
        <v>0</v>
      </c>
      <c r="AK135" s="438">
        <f t="shared" si="318"/>
        <v>0</v>
      </c>
      <c r="AL135" s="438">
        <f t="shared" si="319"/>
        <v>0</v>
      </c>
      <c r="AM135" s="438">
        <f t="shared" si="320"/>
        <v>0</v>
      </c>
      <c r="AN135" s="438">
        <f t="shared" si="321"/>
        <v>0</v>
      </c>
      <c r="AO135" s="438">
        <f t="shared" si="322"/>
        <v>0</v>
      </c>
      <c r="AP135" s="438">
        <f t="shared" si="323"/>
        <v>0</v>
      </c>
      <c r="AQ135" s="438">
        <f t="shared" si="324"/>
        <v>0</v>
      </c>
      <c r="AR135" s="439">
        <f t="shared" si="280"/>
        <v>0</v>
      </c>
      <c r="AS135" s="440"/>
      <c r="AT135" s="438">
        <f t="shared" si="325"/>
        <v>0</v>
      </c>
      <c r="AU135" s="438">
        <f t="shared" si="326"/>
        <v>0</v>
      </c>
      <c r="AV135" s="438">
        <f t="shared" si="327"/>
        <v>0</v>
      </c>
      <c r="AW135" s="438">
        <f t="shared" si="328"/>
        <v>0</v>
      </c>
      <c r="AX135" s="438">
        <f t="shared" si="329"/>
        <v>0</v>
      </c>
      <c r="AY135" s="438">
        <f t="shared" si="330"/>
        <v>0</v>
      </c>
      <c r="AZ135" s="438">
        <f t="shared" si="331"/>
        <v>0</v>
      </c>
      <c r="BA135" s="438">
        <f t="shared" si="332"/>
        <v>0</v>
      </c>
      <c r="BB135" s="438">
        <f t="shared" si="333"/>
        <v>0</v>
      </c>
      <c r="BC135" s="438">
        <f t="shared" si="334"/>
        <v>0</v>
      </c>
      <c r="BD135" s="439">
        <f t="shared" si="281"/>
        <v>0</v>
      </c>
      <c r="BE135" s="440"/>
      <c r="BF135" s="438">
        <f t="shared" si="335"/>
        <v>0</v>
      </c>
      <c r="BG135" s="438">
        <f t="shared" si="336"/>
        <v>0</v>
      </c>
      <c r="BH135" s="438">
        <f t="shared" si="337"/>
        <v>0</v>
      </c>
      <c r="BI135" s="438">
        <f t="shared" si="338"/>
        <v>0</v>
      </c>
      <c r="BJ135" s="438">
        <f t="shared" si="339"/>
        <v>0</v>
      </c>
      <c r="BK135" s="438">
        <f t="shared" si="340"/>
        <v>0</v>
      </c>
      <c r="BL135" s="438">
        <f t="shared" si="341"/>
        <v>0</v>
      </c>
      <c r="BM135" s="438">
        <f t="shared" si="342"/>
        <v>0</v>
      </c>
      <c r="BN135" s="438">
        <f t="shared" si="343"/>
        <v>0</v>
      </c>
      <c r="BO135" s="438">
        <f t="shared" si="344"/>
        <v>0</v>
      </c>
      <c r="BP135" s="439">
        <f t="shared" si="282"/>
        <v>0</v>
      </c>
      <c r="BR135" s="442">
        <f t="shared" si="345"/>
        <v>0</v>
      </c>
      <c r="BS135" s="442">
        <f t="shared" si="346"/>
        <v>0</v>
      </c>
      <c r="BT135" s="442">
        <f t="shared" si="347"/>
        <v>0</v>
      </c>
      <c r="BU135" s="442">
        <f t="shared" si="348"/>
        <v>0</v>
      </c>
      <c r="BV135" s="442">
        <f t="shared" si="349"/>
        <v>0</v>
      </c>
      <c r="BW135" s="442">
        <f t="shared" si="350"/>
        <v>0</v>
      </c>
      <c r="BX135" s="442">
        <f t="shared" si="351"/>
        <v>0</v>
      </c>
      <c r="BY135" s="442">
        <f t="shared" si="352"/>
        <v>0</v>
      </c>
      <c r="BZ135" s="442">
        <f t="shared" si="353"/>
        <v>0</v>
      </c>
      <c r="CA135" s="442">
        <f t="shared" si="354"/>
        <v>0</v>
      </c>
      <c r="CB135" s="443">
        <f t="shared" si="283"/>
        <v>0</v>
      </c>
      <c r="CD135" s="445">
        <f t="shared" si="355"/>
        <v>0</v>
      </c>
      <c r="CE135" s="445">
        <f t="shared" si="356"/>
        <v>0</v>
      </c>
      <c r="CF135" s="445">
        <f t="shared" si="357"/>
        <v>0</v>
      </c>
      <c r="CG135" s="445">
        <f t="shared" si="358"/>
        <v>0</v>
      </c>
      <c r="CH135" s="445">
        <f t="shared" si="359"/>
        <v>0</v>
      </c>
      <c r="CI135" s="445">
        <f t="shared" si="360"/>
        <v>0</v>
      </c>
      <c r="CJ135" s="445">
        <f t="shared" si="361"/>
        <v>0</v>
      </c>
      <c r="CK135" s="445">
        <f t="shared" si="362"/>
        <v>0</v>
      </c>
      <c r="CL135" s="445">
        <f t="shared" si="363"/>
        <v>0</v>
      </c>
      <c r="CM135" s="445">
        <f t="shared" si="364"/>
        <v>0</v>
      </c>
      <c r="CN135" s="443">
        <f t="shared" si="284"/>
        <v>0</v>
      </c>
      <c r="CP135" s="442">
        <f t="shared" si="365"/>
        <v>0</v>
      </c>
      <c r="CQ135" s="442">
        <f t="shared" si="366"/>
        <v>0</v>
      </c>
      <c r="CR135" s="442">
        <f t="shared" si="367"/>
        <v>0</v>
      </c>
      <c r="CS135" s="442">
        <f t="shared" si="368"/>
        <v>0</v>
      </c>
      <c r="CT135" s="442">
        <f t="shared" si="369"/>
        <v>0</v>
      </c>
      <c r="CU135" s="442">
        <f t="shared" si="370"/>
        <v>0</v>
      </c>
      <c r="CV135" s="442">
        <f t="shared" si="371"/>
        <v>0</v>
      </c>
      <c r="CW135" s="442">
        <f t="shared" si="372"/>
        <v>0</v>
      </c>
      <c r="CX135" s="442">
        <f t="shared" si="373"/>
        <v>0</v>
      </c>
      <c r="CY135" s="442">
        <f t="shared" si="374"/>
        <v>0</v>
      </c>
      <c r="CZ135" s="443">
        <f t="shared" si="285"/>
        <v>0</v>
      </c>
      <c r="DB135" s="442">
        <f t="shared" si="375"/>
        <v>0</v>
      </c>
      <c r="DC135" s="442">
        <f t="shared" si="376"/>
        <v>0</v>
      </c>
      <c r="DD135" s="442">
        <f t="shared" si="377"/>
        <v>0</v>
      </c>
      <c r="DE135" s="442">
        <f t="shared" si="378"/>
        <v>0</v>
      </c>
      <c r="DF135" s="442">
        <f t="shared" si="379"/>
        <v>0</v>
      </c>
      <c r="DG135" s="442">
        <f t="shared" si="380"/>
        <v>0</v>
      </c>
      <c r="DH135" s="442">
        <f t="shared" si="381"/>
        <v>0</v>
      </c>
      <c r="DI135" s="442">
        <f t="shared" si="382"/>
        <v>0</v>
      </c>
      <c r="DJ135" s="442">
        <f t="shared" si="383"/>
        <v>0</v>
      </c>
      <c r="DK135" s="442">
        <f t="shared" si="384"/>
        <v>0</v>
      </c>
      <c r="DL135" s="443">
        <f t="shared" si="286"/>
        <v>0</v>
      </c>
      <c r="DN135" s="442">
        <f>IF('2. START'!$C$14&gt;0,(AT135/(1+$AA135))*(1+'2. START'!$C$14),AT135)</f>
        <v>0</v>
      </c>
      <c r="DO135" s="442">
        <f>IF('2. START'!$C$14&gt;0,(AU135/(1+$AA135))*(1+'2. START'!$C$14),AU135)</f>
        <v>0</v>
      </c>
      <c r="DP135" s="442">
        <f>IF('2. START'!$C$14&gt;0,(AV135/(1+$AA135))*(1+'2. START'!$C$14),AV135)</f>
        <v>0</v>
      </c>
      <c r="DQ135" s="442">
        <f>IF('2. START'!$C$14&gt;0,(AW135/(1+$AA135))*(1+'2. START'!$C$14),AW135)</f>
        <v>0</v>
      </c>
      <c r="DR135" s="442">
        <f>IF('2. START'!$C$14&gt;0,(AX135/(1+$AA135))*(1+'2. START'!$C$14),AX135)</f>
        <v>0</v>
      </c>
      <c r="DS135" s="442">
        <f>IF('2. START'!$C$14&gt;0,(AY135/(1+$AA135))*(1+'2. START'!$C$14),AY135)</f>
        <v>0</v>
      </c>
      <c r="DT135" s="442">
        <f>IF('2. START'!$C$14&gt;0,(AZ135/(1+$AA135))*(1+'2. START'!$C$14),AZ135)</f>
        <v>0</v>
      </c>
      <c r="DU135" s="442">
        <f>IF('2. START'!$C$14&gt;0,(BA135/(1+$AA135))*(1+'2. START'!$C$14),BA135)</f>
        <v>0</v>
      </c>
      <c r="DV135" s="442">
        <f>IF('2. START'!$C$14&gt;0,(BB135/(1+$AA135))*(1+'2. START'!$C$14),BB135)</f>
        <v>0</v>
      </c>
      <c r="DW135" s="442">
        <f>IF('2. START'!$C$14&gt;0,(BC135/(1+$AA135))*(1+'2. START'!$C$14),BC135)</f>
        <v>0</v>
      </c>
      <c r="DX135" s="443">
        <f t="shared" si="287"/>
        <v>0</v>
      </c>
      <c r="DZ135" s="442">
        <f>IF('2. START'!$C$11="NO",(IF('2. START'!$C$14&gt;0,(DN135*$AD135),(AT135*$AD135))),(BR135+CP135))</f>
        <v>0</v>
      </c>
      <c r="EA135" s="442">
        <f>IF('2. START'!$C$11="NO",(IF('2. START'!$C$14&gt;0,(DO135*$AD135),(AU135*$AD135))),(BS135+CQ135))</f>
        <v>0</v>
      </c>
      <c r="EB135" s="442">
        <f>IF('2. START'!$C$11="NO",(IF('2. START'!$C$14&gt;0,(DP135*$AD135),(AV135*$AD135))),(BT135+CR135))</f>
        <v>0</v>
      </c>
      <c r="EC135" s="442">
        <f>IF('2. START'!$C$11="NO",(IF('2. START'!$C$14&gt;0,(DQ135*$AD135),(AW135*$AD135))),(BU135+CS135))</f>
        <v>0</v>
      </c>
      <c r="ED135" s="442">
        <f>IF('2. START'!$C$11="NO",(IF('2. START'!$C$14&gt;0,(DR135*$AD135),(AX135*$AD135))),(BV135+CT135))</f>
        <v>0</v>
      </c>
      <c r="EE135" s="442">
        <f>IF('2. START'!$C$11="NO",(IF('2. START'!$C$14&gt;0,(DS135*$AD135),(AY135*$AD135))),(BW135+CU135))</f>
        <v>0</v>
      </c>
      <c r="EF135" s="442">
        <f>IF('2. START'!$C$11="NO",(IF('2. START'!$C$14&gt;0,(DT135*$AD135),(AZ135*$AD135))),(BX135+CV135))</f>
        <v>0</v>
      </c>
      <c r="EG135" s="442">
        <f>IF('2. START'!$C$11="NO",(IF('2. START'!$C$14&gt;0,(DU135*$AD135),(BA135*$AD135))),(BY135+CW135))</f>
        <v>0</v>
      </c>
      <c r="EH135" s="442">
        <f>IF('2. START'!$C$11="NO",(IF('2. START'!$C$14&gt;0,(DV135*$AD135),(BB135*$AD135))),(BZ135+CX135))</f>
        <v>0</v>
      </c>
      <c r="EI135" s="442">
        <f>IF('2. START'!$C$11="NO",(IF('2. START'!$C$14&gt;0,(DW135*$AD135),(BC135*$AD135))),(CA135+CY135))</f>
        <v>0</v>
      </c>
      <c r="EJ135" s="443">
        <f t="shared" si="288"/>
        <v>0</v>
      </c>
      <c r="EL135" s="442">
        <f>(BR135+CP135-DZ135)+IF('2. START'!$C$14&gt;0,AT135-DN135,0)</f>
        <v>0</v>
      </c>
      <c r="EM135" s="442">
        <f>(BS135+CQ135-EA135)+IF('2. START'!$C$14&gt;0,AU135-DO135,0)</f>
        <v>0</v>
      </c>
      <c r="EN135" s="442">
        <f>(BT135+CR135-EB135)+IF('2. START'!$C$14&gt;0,AV135-DP135,0)</f>
        <v>0</v>
      </c>
      <c r="EO135" s="442">
        <f>(BU135+CS135-EC135)+IF('2. START'!$C$14&gt;0,AW135-DQ135,0)</f>
        <v>0</v>
      </c>
      <c r="EP135" s="442">
        <f>(BV135+CT135-ED135)+IF('2. START'!$C$14&gt;0,AX135-DR135,0)</f>
        <v>0</v>
      </c>
      <c r="EQ135" s="442">
        <f>(BW135+CU135-EE135)+IF('2. START'!$C$14&gt;0,AY135-DS135,0)</f>
        <v>0</v>
      </c>
      <c r="ER135" s="442">
        <f>(BX135+CV135-EF135)+IF('2. START'!$C$14&gt;0,AZ135-DT135,0)</f>
        <v>0</v>
      </c>
      <c r="ES135" s="442">
        <f>(BY135+CW135-EG135)+IF('2. START'!$C$14&gt;0,BA135-DU135,0)</f>
        <v>0</v>
      </c>
      <c r="ET135" s="442">
        <f>(BZ135+CX135-EH135)+IF('2. START'!$C$14&gt;0,BB135-DV135,0)</f>
        <v>0</v>
      </c>
      <c r="EU135" s="442">
        <f>(CA135+CY135-EI135)+IF('2. START'!$C$14&gt;0,BC135-DW135,0)</f>
        <v>0</v>
      </c>
      <c r="EV135" s="443">
        <f t="shared" si="289"/>
        <v>0</v>
      </c>
      <c r="EX135" s="442">
        <f t="shared" si="290"/>
        <v>0</v>
      </c>
      <c r="EY135" s="442">
        <f t="shared" si="291"/>
        <v>0</v>
      </c>
      <c r="EZ135" s="442">
        <f t="shared" si="292"/>
        <v>0</v>
      </c>
      <c r="FA135" s="442">
        <f t="shared" si="293"/>
        <v>0</v>
      </c>
      <c r="FB135" s="442">
        <f t="shared" si="294"/>
        <v>0</v>
      </c>
      <c r="FC135" s="442">
        <f t="shared" si="295"/>
        <v>0</v>
      </c>
      <c r="FD135" s="442">
        <f t="shared" si="296"/>
        <v>0</v>
      </c>
      <c r="FE135" s="442">
        <f t="shared" si="297"/>
        <v>0</v>
      </c>
      <c r="FF135" s="442">
        <f t="shared" si="298"/>
        <v>0</v>
      </c>
      <c r="FG135" s="442">
        <f t="shared" si="299"/>
        <v>0</v>
      </c>
      <c r="FH135" s="443">
        <f t="shared" si="300"/>
        <v>0</v>
      </c>
      <c r="FJ135" s="442">
        <f t="shared" si="301"/>
        <v>0</v>
      </c>
      <c r="FK135" s="442">
        <f t="shared" si="302"/>
        <v>0</v>
      </c>
      <c r="FL135" s="442">
        <f t="shared" si="303"/>
        <v>0</v>
      </c>
      <c r="FM135" s="442">
        <f t="shared" si="304"/>
        <v>0</v>
      </c>
      <c r="FN135" s="442">
        <f t="shared" si="305"/>
        <v>0</v>
      </c>
      <c r="FO135" s="442">
        <f t="shared" si="306"/>
        <v>0</v>
      </c>
      <c r="FP135" s="442">
        <f t="shared" si="307"/>
        <v>0</v>
      </c>
      <c r="FQ135" s="442">
        <f t="shared" si="308"/>
        <v>0</v>
      </c>
      <c r="FR135" s="442">
        <f t="shared" si="309"/>
        <v>0</v>
      </c>
      <c r="FS135" s="442">
        <f t="shared" si="310"/>
        <v>0</v>
      </c>
      <c r="FT135" s="443">
        <f t="shared" si="311"/>
        <v>0</v>
      </c>
    </row>
    <row r="136" spans="2:176" s="270" customFormat="1" ht="15" customHeight="1" x14ac:dyDescent="0.25">
      <c r="B136" s="446" t="str">
        <f>'2. START'!C$7</f>
        <v>100GEM</v>
      </c>
      <c r="C136" s="469"/>
      <c r="D136" s="589"/>
      <c r="E136" s="544">
        <v>0</v>
      </c>
      <c r="F136" s="448"/>
      <c r="G136" s="449"/>
      <c r="H136" s="449"/>
      <c r="I136" s="449"/>
      <c r="J136" s="449"/>
      <c r="K136" s="449"/>
      <c r="L136" s="449"/>
      <c r="M136" s="449"/>
      <c r="N136" s="449"/>
      <c r="O136" s="449"/>
      <c r="P136" s="449"/>
      <c r="Q136" s="546">
        <f>SUMIF('3. PARTNER'!$B$13:$B$80,$B136,'3. PARTNER'!$F$13:$F$80)</f>
        <v>0.02</v>
      </c>
      <c r="R136" s="450">
        <f t="shared" si="386"/>
        <v>0.02</v>
      </c>
      <c r="S136" s="450">
        <f t="shared" si="386"/>
        <v>0.02</v>
      </c>
      <c r="T136" s="450">
        <f t="shared" si="386"/>
        <v>0.02</v>
      </c>
      <c r="U136" s="450">
        <f t="shared" si="386"/>
        <v>0.02</v>
      </c>
      <c r="V136" s="450">
        <f t="shared" si="386"/>
        <v>0.02</v>
      </c>
      <c r="W136" s="450">
        <f t="shared" si="386"/>
        <v>0.02</v>
      </c>
      <c r="X136" s="450">
        <f t="shared" si="386"/>
        <v>0.02</v>
      </c>
      <c r="Y136" s="450">
        <f t="shared" si="386"/>
        <v>0.02</v>
      </c>
      <c r="Z136" s="450">
        <f t="shared" si="386"/>
        <v>0.02</v>
      </c>
      <c r="AA136" s="451">
        <f>SUMIF('3. PARTNER'!B$13:B$80,B136,'3. PARTNER'!E$13:E$80)</f>
        <v>0.5595</v>
      </c>
      <c r="AB136" s="452">
        <f>IF('2. START'!$C$20="UTB",(SUMIF('3. PARTNER'!B$13:B$80,B136,'3. PARTNER'!K$13:K$80))+(SUMIF('3. PARTNER'!B$13:B$80,B136,'3. PARTNER'!M$13:M$80)),(SUMIF('3. PARTNER'!B$13:B$80,B136,'3. PARTNER'!G$13:G$80))+(SUMIF('3. PARTNER'!B$13:B$80,B136,'3. PARTNER'!I$13:I$80)))</f>
        <v>0.16000843770704321</v>
      </c>
      <c r="AC136" s="452">
        <f>IF('2. START'!$C$20="UTB",(SUMIF('3. PARTNER'!B$13:B$80,B136,'3. PARTNER'!L$13:L$80))+(SUMIF('3. PARTNER'!B$13:B$80,B136,'3. PARTNER'!N$13:N$80)),(SUMIF('3. PARTNER'!B$13:B$80,B136,'3. PARTNER'!H$13:H$80))+(SUMIF('3. PARTNER'!B$13:B$80,B136,'3. PARTNER'!J$13:J$80)))</f>
        <v>0</v>
      </c>
      <c r="AD136" s="452">
        <f>IF('2. START'!C$11="NO",'2. START'!C$12,0)</f>
        <v>0</v>
      </c>
      <c r="AE136" s="453">
        <f t="shared" si="278"/>
        <v>0</v>
      </c>
      <c r="AF136" s="453">
        <f t="shared" si="279"/>
        <v>0</v>
      </c>
      <c r="AG136" s="454"/>
      <c r="AH136" s="455">
        <f t="shared" si="315"/>
        <v>0</v>
      </c>
      <c r="AI136" s="455">
        <f t="shared" si="316"/>
        <v>0</v>
      </c>
      <c r="AJ136" s="455">
        <f t="shared" si="317"/>
        <v>0</v>
      </c>
      <c r="AK136" s="455">
        <f t="shared" si="318"/>
        <v>0</v>
      </c>
      <c r="AL136" s="455">
        <f t="shared" si="319"/>
        <v>0</v>
      </c>
      <c r="AM136" s="455">
        <f t="shared" si="320"/>
        <v>0</v>
      </c>
      <c r="AN136" s="455">
        <f t="shared" si="321"/>
        <v>0</v>
      </c>
      <c r="AO136" s="455">
        <f t="shared" si="322"/>
        <v>0</v>
      </c>
      <c r="AP136" s="455">
        <f t="shared" si="323"/>
        <v>0</v>
      </c>
      <c r="AQ136" s="455">
        <f t="shared" si="324"/>
        <v>0</v>
      </c>
      <c r="AR136" s="456">
        <f t="shared" si="280"/>
        <v>0</v>
      </c>
      <c r="AS136" s="457"/>
      <c r="AT136" s="455">
        <f t="shared" si="325"/>
        <v>0</v>
      </c>
      <c r="AU136" s="455">
        <f t="shared" si="326"/>
        <v>0</v>
      </c>
      <c r="AV136" s="455">
        <f t="shared" si="327"/>
        <v>0</v>
      </c>
      <c r="AW136" s="455">
        <f t="shared" si="328"/>
        <v>0</v>
      </c>
      <c r="AX136" s="455">
        <f t="shared" si="329"/>
        <v>0</v>
      </c>
      <c r="AY136" s="455">
        <f t="shared" si="330"/>
        <v>0</v>
      </c>
      <c r="AZ136" s="455">
        <f t="shared" si="331"/>
        <v>0</v>
      </c>
      <c r="BA136" s="455">
        <f t="shared" si="332"/>
        <v>0</v>
      </c>
      <c r="BB136" s="455">
        <f t="shared" si="333"/>
        <v>0</v>
      </c>
      <c r="BC136" s="455">
        <f t="shared" si="334"/>
        <v>0</v>
      </c>
      <c r="BD136" s="456">
        <f t="shared" si="281"/>
        <v>0</v>
      </c>
      <c r="BE136" s="457"/>
      <c r="BF136" s="455">
        <f t="shared" si="335"/>
        <v>0</v>
      </c>
      <c r="BG136" s="455">
        <f t="shared" si="336"/>
        <v>0</v>
      </c>
      <c r="BH136" s="455">
        <f t="shared" si="337"/>
        <v>0</v>
      </c>
      <c r="BI136" s="455">
        <f t="shared" si="338"/>
        <v>0</v>
      </c>
      <c r="BJ136" s="455">
        <f t="shared" si="339"/>
        <v>0</v>
      </c>
      <c r="BK136" s="455">
        <f t="shared" si="340"/>
        <v>0</v>
      </c>
      <c r="BL136" s="455">
        <f t="shared" si="341"/>
        <v>0</v>
      </c>
      <c r="BM136" s="455">
        <f t="shared" si="342"/>
        <v>0</v>
      </c>
      <c r="BN136" s="455">
        <f t="shared" si="343"/>
        <v>0</v>
      </c>
      <c r="BO136" s="455">
        <f t="shared" si="344"/>
        <v>0</v>
      </c>
      <c r="BP136" s="456">
        <f t="shared" si="282"/>
        <v>0</v>
      </c>
      <c r="BQ136" s="463"/>
      <c r="BR136" s="459">
        <f t="shared" si="345"/>
        <v>0</v>
      </c>
      <c r="BS136" s="459">
        <f t="shared" si="346"/>
        <v>0</v>
      </c>
      <c r="BT136" s="459">
        <f t="shared" si="347"/>
        <v>0</v>
      </c>
      <c r="BU136" s="459">
        <f t="shared" si="348"/>
        <v>0</v>
      </c>
      <c r="BV136" s="459">
        <f t="shared" si="349"/>
        <v>0</v>
      </c>
      <c r="BW136" s="459">
        <f t="shared" si="350"/>
        <v>0</v>
      </c>
      <c r="BX136" s="459">
        <f t="shared" si="351"/>
        <v>0</v>
      </c>
      <c r="BY136" s="459">
        <f t="shared" si="352"/>
        <v>0</v>
      </c>
      <c r="BZ136" s="459">
        <f t="shared" si="353"/>
        <v>0</v>
      </c>
      <c r="CA136" s="459">
        <f t="shared" si="354"/>
        <v>0</v>
      </c>
      <c r="CB136" s="460">
        <f t="shared" si="283"/>
        <v>0</v>
      </c>
      <c r="CC136" s="463"/>
      <c r="CD136" s="462">
        <f t="shared" si="355"/>
        <v>0</v>
      </c>
      <c r="CE136" s="462">
        <f t="shared" si="356"/>
        <v>0</v>
      </c>
      <c r="CF136" s="462">
        <f t="shared" si="357"/>
        <v>0</v>
      </c>
      <c r="CG136" s="462">
        <f t="shared" si="358"/>
        <v>0</v>
      </c>
      <c r="CH136" s="462">
        <f t="shared" si="359"/>
        <v>0</v>
      </c>
      <c r="CI136" s="462">
        <f t="shared" si="360"/>
        <v>0</v>
      </c>
      <c r="CJ136" s="462">
        <f t="shared" si="361"/>
        <v>0</v>
      </c>
      <c r="CK136" s="462">
        <f t="shared" si="362"/>
        <v>0</v>
      </c>
      <c r="CL136" s="462">
        <f t="shared" si="363"/>
        <v>0</v>
      </c>
      <c r="CM136" s="462">
        <f t="shared" si="364"/>
        <v>0</v>
      </c>
      <c r="CN136" s="460">
        <f t="shared" si="284"/>
        <v>0</v>
      </c>
      <c r="CO136" s="463"/>
      <c r="CP136" s="459">
        <f t="shared" si="365"/>
        <v>0</v>
      </c>
      <c r="CQ136" s="459">
        <f t="shared" si="366"/>
        <v>0</v>
      </c>
      <c r="CR136" s="459">
        <f t="shared" si="367"/>
        <v>0</v>
      </c>
      <c r="CS136" s="459">
        <f t="shared" si="368"/>
        <v>0</v>
      </c>
      <c r="CT136" s="459">
        <f t="shared" si="369"/>
        <v>0</v>
      </c>
      <c r="CU136" s="459">
        <f t="shared" si="370"/>
        <v>0</v>
      </c>
      <c r="CV136" s="459">
        <f t="shared" si="371"/>
        <v>0</v>
      </c>
      <c r="CW136" s="459">
        <f t="shared" si="372"/>
        <v>0</v>
      </c>
      <c r="CX136" s="459">
        <f t="shared" si="373"/>
        <v>0</v>
      </c>
      <c r="CY136" s="459">
        <f t="shared" si="374"/>
        <v>0</v>
      </c>
      <c r="CZ136" s="460">
        <f t="shared" si="285"/>
        <v>0</v>
      </c>
      <c r="DA136" s="463"/>
      <c r="DB136" s="459">
        <f t="shared" si="375"/>
        <v>0</v>
      </c>
      <c r="DC136" s="459">
        <f t="shared" si="376"/>
        <v>0</v>
      </c>
      <c r="DD136" s="459">
        <f t="shared" si="377"/>
        <v>0</v>
      </c>
      <c r="DE136" s="459">
        <f t="shared" si="378"/>
        <v>0</v>
      </c>
      <c r="DF136" s="459">
        <f t="shared" si="379"/>
        <v>0</v>
      </c>
      <c r="DG136" s="459">
        <f t="shared" si="380"/>
        <v>0</v>
      </c>
      <c r="DH136" s="459">
        <f t="shared" si="381"/>
        <v>0</v>
      </c>
      <c r="DI136" s="459">
        <f t="shared" si="382"/>
        <v>0</v>
      </c>
      <c r="DJ136" s="459">
        <f t="shared" si="383"/>
        <v>0</v>
      </c>
      <c r="DK136" s="459">
        <f t="shared" si="384"/>
        <v>0</v>
      </c>
      <c r="DL136" s="460">
        <f t="shared" si="286"/>
        <v>0</v>
      </c>
      <c r="DM136" s="463"/>
      <c r="DN136" s="442">
        <f>IF('2. START'!$C$14&gt;0,(AT136/(1+$AA136))*(1+'2. START'!$C$14),AT136)</f>
        <v>0</v>
      </c>
      <c r="DO136" s="442">
        <f>IF('2. START'!$C$14&gt;0,(AU136/(1+$AA136))*(1+'2. START'!$C$14),AU136)</f>
        <v>0</v>
      </c>
      <c r="DP136" s="442">
        <f>IF('2. START'!$C$14&gt;0,(AV136/(1+$AA136))*(1+'2. START'!$C$14),AV136)</f>
        <v>0</v>
      </c>
      <c r="DQ136" s="442">
        <f>IF('2. START'!$C$14&gt;0,(AW136/(1+$AA136))*(1+'2. START'!$C$14),AW136)</f>
        <v>0</v>
      </c>
      <c r="DR136" s="442">
        <f>IF('2. START'!$C$14&gt;0,(AX136/(1+$AA136))*(1+'2. START'!$C$14),AX136)</f>
        <v>0</v>
      </c>
      <c r="DS136" s="442">
        <f>IF('2. START'!$C$14&gt;0,(AY136/(1+$AA136))*(1+'2. START'!$C$14),AY136)</f>
        <v>0</v>
      </c>
      <c r="DT136" s="442">
        <f>IF('2. START'!$C$14&gt;0,(AZ136/(1+$AA136))*(1+'2. START'!$C$14),AZ136)</f>
        <v>0</v>
      </c>
      <c r="DU136" s="442">
        <f>IF('2. START'!$C$14&gt;0,(BA136/(1+$AA136))*(1+'2. START'!$C$14),BA136)</f>
        <v>0</v>
      </c>
      <c r="DV136" s="442">
        <f>IF('2. START'!$C$14&gt;0,(BB136/(1+$AA136))*(1+'2. START'!$C$14),BB136)</f>
        <v>0</v>
      </c>
      <c r="DW136" s="442">
        <f>IF('2. START'!$C$14&gt;0,(BC136/(1+$AA136))*(1+'2. START'!$C$14),BC136)</f>
        <v>0</v>
      </c>
      <c r="DX136" s="460">
        <f t="shared" si="287"/>
        <v>0</v>
      </c>
      <c r="DY136" s="463"/>
      <c r="DZ136" s="459">
        <f>IF('2. START'!$C$11="NO",(IF('2. START'!$C$14&gt;0,(DN136*$AD136),(AT136*$AD136))),(BR136+CP136))</f>
        <v>0</v>
      </c>
      <c r="EA136" s="459">
        <f>IF('2. START'!$C$11="NO",(IF('2. START'!$C$14&gt;0,(DO136*$AD136),(AU136*$AD136))),(BS136+CQ136))</f>
        <v>0</v>
      </c>
      <c r="EB136" s="459">
        <f>IF('2. START'!$C$11="NO",(IF('2. START'!$C$14&gt;0,(DP136*$AD136),(AV136*$AD136))),(BT136+CR136))</f>
        <v>0</v>
      </c>
      <c r="EC136" s="459">
        <f>IF('2. START'!$C$11="NO",(IF('2. START'!$C$14&gt;0,(DQ136*$AD136),(AW136*$AD136))),(BU136+CS136))</f>
        <v>0</v>
      </c>
      <c r="ED136" s="459">
        <f>IF('2. START'!$C$11="NO",(IF('2. START'!$C$14&gt;0,(DR136*$AD136),(AX136*$AD136))),(BV136+CT136))</f>
        <v>0</v>
      </c>
      <c r="EE136" s="459">
        <f>IF('2. START'!$C$11="NO",(IF('2. START'!$C$14&gt;0,(DS136*$AD136),(AY136*$AD136))),(BW136+CU136))</f>
        <v>0</v>
      </c>
      <c r="EF136" s="459">
        <f>IF('2. START'!$C$11="NO",(IF('2. START'!$C$14&gt;0,(DT136*$AD136),(AZ136*$AD136))),(BX136+CV136))</f>
        <v>0</v>
      </c>
      <c r="EG136" s="459">
        <f>IF('2. START'!$C$11="NO",(IF('2. START'!$C$14&gt;0,(DU136*$AD136),(BA136*$AD136))),(BY136+CW136))</f>
        <v>0</v>
      </c>
      <c r="EH136" s="459">
        <f>IF('2. START'!$C$11="NO",(IF('2. START'!$C$14&gt;0,(DV136*$AD136),(BB136*$AD136))),(BZ136+CX136))</f>
        <v>0</v>
      </c>
      <c r="EI136" s="459">
        <f>IF('2. START'!$C$11="NO",(IF('2. START'!$C$14&gt;0,(DW136*$AD136),(BC136*$AD136))),(CA136+CY136))</f>
        <v>0</v>
      </c>
      <c r="EJ136" s="460">
        <f t="shared" si="288"/>
        <v>0</v>
      </c>
      <c r="EK136" s="463"/>
      <c r="EL136" s="459">
        <f>(BR136+CP136-DZ136)+IF('2. START'!$C$14&gt;0,AT136-DN136,0)</f>
        <v>0</v>
      </c>
      <c r="EM136" s="459">
        <f>(BS136+CQ136-EA136)+IF('2. START'!$C$14&gt;0,AU136-DO136,0)</f>
        <v>0</v>
      </c>
      <c r="EN136" s="459">
        <f>(BT136+CR136-EB136)+IF('2. START'!$C$14&gt;0,AV136-DP136,0)</f>
        <v>0</v>
      </c>
      <c r="EO136" s="459">
        <f>(BU136+CS136-EC136)+IF('2. START'!$C$14&gt;0,AW136-DQ136,0)</f>
        <v>0</v>
      </c>
      <c r="EP136" s="459">
        <f>(BV136+CT136-ED136)+IF('2. START'!$C$14&gt;0,AX136-DR136,0)</f>
        <v>0</v>
      </c>
      <c r="EQ136" s="459">
        <f>(BW136+CU136-EE136)+IF('2. START'!$C$14&gt;0,AY136-DS136,0)</f>
        <v>0</v>
      </c>
      <c r="ER136" s="459">
        <f>(BX136+CV136-EF136)+IF('2. START'!$C$14&gt;0,AZ136-DT136,0)</f>
        <v>0</v>
      </c>
      <c r="ES136" s="459">
        <f>(BY136+CW136-EG136)+IF('2. START'!$C$14&gt;0,BA136-DU136,0)</f>
        <v>0</v>
      </c>
      <c r="ET136" s="459">
        <f>(BZ136+CX136-EH136)+IF('2. START'!$C$14&gt;0,BB136-DV136,0)</f>
        <v>0</v>
      </c>
      <c r="EU136" s="459">
        <f>(CA136+CY136-EI136)+IF('2. START'!$C$14&gt;0,BC136-DW136,0)</f>
        <v>0</v>
      </c>
      <c r="EV136" s="460">
        <f t="shared" si="289"/>
        <v>0</v>
      </c>
      <c r="EW136" s="463"/>
      <c r="EX136" s="459">
        <f t="shared" si="290"/>
        <v>0</v>
      </c>
      <c r="EY136" s="459">
        <f t="shared" si="291"/>
        <v>0</v>
      </c>
      <c r="EZ136" s="459">
        <f t="shared" si="292"/>
        <v>0</v>
      </c>
      <c r="FA136" s="459">
        <f t="shared" si="293"/>
        <v>0</v>
      </c>
      <c r="FB136" s="459">
        <f t="shared" si="294"/>
        <v>0</v>
      </c>
      <c r="FC136" s="459">
        <f t="shared" si="295"/>
        <v>0</v>
      </c>
      <c r="FD136" s="459">
        <f t="shared" si="296"/>
        <v>0</v>
      </c>
      <c r="FE136" s="459">
        <f t="shared" si="297"/>
        <v>0</v>
      </c>
      <c r="FF136" s="459">
        <f t="shared" si="298"/>
        <v>0</v>
      </c>
      <c r="FG136" s="459">
        <f t="shared" si="299"/>
        <v>0</v>
      </c>
      <c r="FH136" s="460">
        <f t="shared" si="300"/>
        <v>0</v>
      </c>
      <c r="FI136" s="463"/>
      <c r="FJ136" s="459">
        <f t="shared" si="301"/>
        <v>0</v>
      </c>
      <c r="FK136" s="459">
        <f t="shared" si="302"/>
        <v>0</v>
      </c>
      <c r="FL136" s="459">
        <f t="shared" si="303"/>
        <v>0</v>
      </c>
      <c r="FM136" s="459">
        <f t="shared" si="304"/>
        <v>0</v>
      </c>
      <c r="FN136" s="459">
        <f t="shared" si="305"/>
        <v>0</v>
      </c>
      <c r="FO136" s="459">
        <f t="shared" si="306"/>
        <v>0</v>
      </c>
      <c r="FP136" s="459">
        <f t="shared" si="307"/>
        <v>0</v>
      </c>
      <c r="FQ136" s="459">
        <f t="shared" si="308"/>
        <v>0</v>
      </c>
      <c r="FR136" s="459">
        <f t="shared" si="309"/>
        <v>0</v>
      </c>
      <c r="FS136" s="459">
        <f t="shared" si="310"/>
        <v>0</v>
      </c>
      <c r="FT136" s="460">
        <f t="shared" si="311"/>
        <v>0</v>
      </c>
    </row>
    <row r="137" spans="2:176" s="270" customFormat="1" ht="15" customHeight="1" x14ac:dyDescent="0.25">
      <c r="B137" s="464" t="str">
        <f>'2. START'!C$7</f>
        <v>100GEM</v>
      </c>
      <c r="C137" s="470"/>
      <c r="D137" s="590"/>
      <c r="E137" s="514">
        <v>0</v>
      </c>
      <c r="F137" s="467"/>
      <c r="G137" s="432"/>
      <c r="H137" s="432"/>
      <c r="I137" s="432"/>
      <c r="J137" s="432"/>
      <c r="K137" s="432"/>
      <c r="L137" s="432"/>
      <c r="M137" s="432"/>
      <c r="N137" s="432"/>
      <c r="O137" s="432"/>
      <c r="P137" s="432"/>
      <c r="Q137" s="545">
        <f>SUMIF('3. PARTNER'!$B$13:$B$80,$B137,'3. PARTNER'!$F$13:$F$80)</f>
        <v>0.02</v>
      </c>
      <c r="R137" s="466">
        <f t="shared" ref="R137:Z192" si="387">$Q137</f>
        <v>0.02</v>
      </c>
      <c r="S137" s="466">
        <f t="shared" si="387"/>
        <v>0.02</v>
      </c>
      <c r="T137" s="466">
        <f t="shared" si="387"/>
        <v>0.02</v>
      </c>
      <c r="U137" s="466">
        <f t="shared" si="387"/>
        <v>0.02</v>
      </c>
      <c r="V137" s="466">
        <f t="shared" si="387"/>
        <v>0.02</v>
      </c>
      <c r="W137" s="466">
        <f t="shared" si="387"/>
        <v>0.02</v>
      </c>
      <c r="X137" s="466">
        <f t="shared" si="387"/>
        <v>0.02</v>
      </c>
      <c r="Y137" s="466">
        <f t="shared" si="387"/>
        <v>0.02</v>
      </c>
      <c r="Z137" s="466">
        <f t="shared" si="387"/>
        <v>0.02</v>
      </c>
      <c r="AA137" s="434">
        <f>SUMIF('3. PARTNER'!B$13:B$80,B137,'3. PARTNER'!E$13:E$80)</f>
        <v>0.5595</v>
      </c>
      <c r="AB137" s="435">
        <f>IF('2. START'!$C$20="UTB",(SUMIF('3. PARTNER'!B$13:B$80,B137,'3. PARTNER'!K$13:K$80))+(SUMIF('3. PARTNER'!B$13:B$80,B137,'3. PARTNER'!M$13:M$80)),(SUMIF('3. PARTNER'!B$13:B$80,B137,'3. PARTNER'!G$13:G$80))+(SUMIF('3. PARTNER'!B$13:B$80,B137,'3. PARTNER'!I$13:I$80)))</f>
        <v>0.16000843770704321</v>
      </c>
      <c r="AC137" s="435">
        <f>IF('2. START'!$C$20="UTB",(SUMIF('3. PARTNER'!B$13:B$80,B137,'3. PARTNER'!L$13:L$80))+(SUMIF('3. PARTNER'!B$13:B$80,B137,'3. PARTNER'!N$13:N$80)),(SUMIF('3. PARTNER'!B$13:B$80,B137,'3. PARTNER'!H$13:H$80))+(SUMIF('3. PARTNER'!B$13:B$80,B137,'3. PARTNER'!J$13:J$80)))</f>
        <v>0</v>
      </c>
      <c r="AD137" s="435">
        <f>IF('2. START'!C$11="NO",'2. START'!C$12,0)</f>
        <v>0</v>
      </c>
      <c r="AE137" s="436">
        <f t="shared" si="278"/>
        <v>0</v>
      </c>
      <c r="AF137" s="436">
        <f t="shared" si="279"/>
        <v>0</v>
      </c>
      <c r="AG137" s="437"/>
      <c r="AH137" s="438">
        <f t="shared" si="315"/>
        <v>0</v>
      </c>
      <c r="AI137" s="438">
        <f t="shared" si="316"/>
        <v>0</v>
      </c>
      <c r="AJ137" s="438">
        <f t="shared" si="317"/>
        <v>0</v>
      </c>
      <c r="AK137" s="438">
        <f t="shared" si="318"/>
        <v>0</v>
      </c>
      <c r="AL137" s="438">
        <f t="shared" si="319"/>
        <v>0</v>
      </c>
      <c r="AM137" s="438">
        <f t="shared" si="320"/>
        <v>0</v>
      </c>
      <c r="AN137" s="438">
        <f t="shared" si="321"/>
        <v>0</v>
      </c>
      <c r="AO137" s="438">
        <f t="shared" si="322"/>
        <v>0</v>
      </c>
      <c r="AP137" s="438">
        <f t="shared" si="323"/>
        <v>0</v>
      </c>
      <c r="AQ137" s="438">
        <f t="shared" si="324"/>
        <v>0</v>
      </c>
      <c r="AR137" s="439">
        <f t="shared" si="280"/>
        <v>0</v>
      </c>
      <c r="AS137" s="440"/>
      <c r="AT137" s="438">
        <f t="shared" si="325"/>
        <v>0</v>
      </c>
      <c r="AU137" s="438">
        <f t="shared" si="326"/>
        <v>0</v>
      </c>
      <c r="AV137" s="438">
        <f t="shared" si="327"/>
        <v>0</v>
      </c>
      <c r="AW137" s="438">
        <f t="shared" si="328"/>
        <v>0</v>
      </c>
      <c r="AX137" s="438">
        <f t="shared" si="329"/>
        <v>0</v>
      </c>
      <c r="AY137" s="438">
        <f t="shared" si="330"/>
        <v>0</v>
      </c>
      <c r="AZ137" s="438">
        <f t="shared" si="331"/>
        <v>0</v>
      </c>
      <c r="BA137" s="438">
        <f t="shared" si="332"/>
        <v>0</v>
      </c>
      <c r="BB137" s="438">
        <f t="shared" si="333"/>
        <v>0</v>
      </c>
      <c r="BC137" s="438">
        <f t="shared" si="334"/>
        <v>0</v>
      </c>
      <c r="BD137" s="439">
        <f t="shared" si="281"/>
        <v>0</v>
      </c>
      <c r="BE137" s="440"/>
      <c r="BF137" s="438">
        <f t="shared" si="335"/>
        <v>0</v>
      </c>
      <c r="BG137" s="438">
        <f t="shared" si="336"/>
        <v>0</v>
      </c>
      <c r="BH137" s="438">
        <f t="shared" si="337"/>
        <v>0</v>
      </c>
      <c r="BI137" s="438">
        <f t="shared" si="338"/>
        <v>0</v>
      </c>
      <c r="BJ137" s="438">
        <f t="shared" si="339"/>
        <v>0</v>
      </c>
      <c r="BK137" s="438">
        <f t="shared" si="340"/>
        <v>0</v>
      </c>
      <c r="BL137" s="438">
        <f t="shared" si="341"/>
        <v>0</v>
      </c>
      <c r="BM137" s="438">
        <f t="shared" si="342"/>
        <v>0</v>
      </c>
      <c r="BN137" s="438">
        <f t="shared" si="343"/>
        <v>0</v>
      </c>
      <c r="BO137" s="438">
        <f t="shared" si="344"/>
        <v>0</v>
      </c>
      <c r="BP137" s="439">
        <f t="shared" si="282"/>
        <v>0</v>
      </c>
      <c r="BR137" s="442">
        <f t="shared" si="345"/>
        <v>0</v>
      </c>
      <c r="BS137" s="442">
        <f t="shared" si="346"/>
        <v>0</v>
      </c>
      <c r="BT137" s="442">
        <f t="shared" si="347"/>
        <v>0</v>
      </c>
      <c r="BU137" s="442">
        <f t="shared" si="348"/>
        <v>0</v>
      </c>
      <c r="BV137" s="442">
        <f t="shared" si="349"/>
        <v>0</v>
      </c>
      <c r="BW137" s="442">
        <f t="shared" si="350"/>
        <v>0</v>
      </c>
      <c r="BX137" s="442">
        <f t="shared" si="351"/>
        <v>0</v>
      </c>
      <c r="BY137" s="442">
        <f t="shared" si="352"/>
        <v>0</v>
      </c>
      <c r="BZ137" s="442">
        <f t="shared" si="353"/>
        <v>0</v>
      </c>
      <c r="CA137" s="442">
        <f t="shared" si="354"/>
        <v>0</v>
      </c>
      <c r="CB137" s="443">
        <f t="shared" si="283"/>
        <v>0</v>
      </c>
      <c r="CD137" s="445">
        <f t="shared" si="355"/>
        <v>0</v>
      </c>
      <c r="CE137" s="445">
        <f t="shared" si="356"/>
        <v>0</v>
      </c>
      <c r="CF137" s="445">
        <f t="shared" si="357"/>
        <v>0</v>
      </c>
      <c r="CG137" s="445">
        <f t="shared" si="358"/>
        <v>0</v>
      </c>
      <c r="CH137" s="445">
        <f t="shared" si="359"/>
        <v>0</v>
      </c>
      <c r="CI137" s="445">
        <f t="shared" si="360"/>
        <v>0</v>
      </c>
      <c r="CJ137" s="445">
        <f t="shared" si="361"/>
        <v>0</v>
      </c>
      <c r="CK137" s="445">
        <f t="shared" si="362"/>
        <v>0</v>
      </c>
      <c r="CL137" s="445">
        <f t="shared" si="363"/>
        <v>0</v>
      </c>
      <c r="CM137" s="445">
        <f t="shared" si="364"/>
        <v>0</v>
      </c>
      <c r="CN137" s="443">
        <f t="shared" si="284"/>
        <v>0</v>
      </c>
      <c r="CP137" s="442">
        <f t="shared" si="365"/>
        <v>0</v>
      </c>
      <c r="CQ137" s="442">
        <f t="shared" si="366"/>
        <v>0</v>
      </c>
      <c r="CR137" s="442">
        <f t="shared" si="367"/>
        <v>0</v>
      </c>
      <c r="CS137" s="442">
        <f t="shared" si="368"/>
        <v>0</v>
      </c>
      <c r="CT137" s="442">
        <f t="shared" si="369"/>
        <v>0</v>
      </c>
      <c r="CU137" s="442">
        <f t="shared" si="370"/>
        <v>0</v>
      </c>
      <c r="CV137" s="442">
        <f t="shared" si="371"/>
        <v>0</v>
      </c>
      <c r="CW137" s="442">
        <f t="shared" si="372"/>
        <v>0</v>
      </c>
      <c r="CX137" s="442">
        <f t="shared" si="373"/>
        <v>0</v>
      </c>
      <c r="CY137" s="442">
        <f t="shared" si="374"/>
        <v>0</v>
      </c>
      <c r="CZ137" s="443">
        <f t="shared" si="285"/>
        <v>0</v>
      </c>
      <c r="DB137" s="442">
        <f t="shared" si="375"/>
        <v>0</v>
      </c>
      <c r="DC137" s="442">
        <f t="shared" si="376"/>
        <v>0</v>
      </c>
      <c r="DD137" s="442">
        <f t="shared" si="377"/>
        <v>0</v>
      </c>
      <c r="DE137" s="442">
        <f t="shared" si="378"/>
        <v>0</v>
      </c>
      <c r="DF137" s="442">
        <f t="shared" si="379"/>
        <v>0</v>
      </c>
      <c r="DG137" s="442">
        <f t="shared" si="380"/>
        <v>0</v>
      </c>
      <c r="DH137" s="442">
        <f t="shared" si="381"/>
        <v>0</v>
      </c>
      <c r="DI137" s="442">
        <f t="shared" si="382"/>
        <v>0</v>
      </c>
      <c r="DJ137" s="442">
        <f t="shared" si="383"/>
        <v>0</v>
      </c>
      <c r="DK137" s="442">
        <f t="shared" si="384"/>
        <v>0</v>
      </c>
      <c r="DL137" s="443">
        <f t="shared" si="286"/>
        <v>0</v>
      </c>
      <c r="DN137" s="442">
        <f>IF('2. START'!$C$14&gt;0,(AT137/(1+$AA137))*(1+'2. START'!$C$14),AT137)</f>
        <v>0</v>
      </c>
      <c r="DO137" s="442">
        <f>IF('2. START'!$C$14&gt;0,(AU137/(1+$AA137))*(1+'2. START'!$C$14),AU137)</f>
        <v>0</v>
      </c>
      <c r="DP137" s="442">
        <f>IF('2. START'!$C$14&gt;0,(AV137/(1+$AA137))*(1+'2. START'!$C$14),AV137)</f>
        <v>0</v>
      </c>
      <c r="DQ137" s="442">
        <f>IF('2. START'!$C$14&gt;0,(AW137/(1+$AA137))*(1+'2. START'!$C$14),AW137)</f>
        <v>0</v>
      </c>
      <c r="DR137" s="442">
        <f>IF('2. START'!$C$14&gt;0,(AX137/(1+$AA137))*(1+'2. START'!$C$14),AX137)</f>
        <v>0</v>
      </c>
      <c r="DS137" s="442">
        <f>IF('2. START'!$C$14&gt;0,(AY137/(1+$AA137))*(1+'2. START'!$C$14),AY137)</f>
        <v>0</v>
      </c>
      <c r="DT137" s="442">
        <f>IF('2. START'!$C$14&gt;0,(AZ137/(1+$AA137))*(1+'2. START'!$C$14),AZ137)</f>
        <v>0</v>
      </c>
      <c r="DU137" s="442">
        <f>IF('2. START'!$C$14&gt;0,(BA137/(1+$AA137))*(1+'2. START'!$C$14),BA137)</f>
        <v>0</v>
      </c>
      <c r="DV137" s="442">
        <f>IF('2. START'!$C$14&gt;0,(BB137/(1+$AA137))*(1+'2. START'!$C$14),BB137)</f>
        <v>0</v>
      </c>
      <c r="DW137" s="442">
        <f>IF('2. START'!$C$14&gt;0,(BC137/(1+$AA137))*(1+'2. START'!$C$14),BC137)</f>
        <v>0</v>
      </c>
      <c r="DX137" s="443">
        <f t="shared" si="287"/>
        <v>0</v>
      </c>
      <c r="DZ137" s="442">
        <f>IF('2. START'!$C$11="NO",(IF('2. START'!$C$14&gt;0,(DN137*$AD137),(AT137*$AD137))),(BR137+CP137))</f>
        <v>0</v>
      </c>
      <c r="EA137" s="442">
        <f>IF('2. START'!$C$11="NO",(IF('2. START'!$C$14&gt;0,(DO137*$AD137),(AU137*$AD137))),(BS137+CQ137))</f>
        <v>0</v>
      </c>
      <c r="EB137" s="442">
        <f>IF('2. START'!$C$11="NO",(IF('2. START'!$C$14&gt;0,(DP137*$AD137),(AV137*$AD137))),(BT137+CR137))</f>
        <v>0</v>
      </c>
      <c r="EC137" s="442">
        <f>IF('2. START'!$C$11="NO",(IF('2. START'!$C$14&gt;0,(DQ137*$AD137),(AW137*$AD137))),(BU137+CS137))</f>
        <v>0</v>
      </c>
      <c r="ED137" s="442">
        <f>IF('2. START'!$C$11="NO",(IF('2. START'!$C$14&gt;0,(DR137*$AD137),(AX137*$AD137))),(BV137+CT137))</f>
        <v>0</v>
      </c>
      <c r="EE137" s="442">
        <f>IF('2. START'!$C$11="NO",(IF('2. START'!$C$14&gt;0,(DS137*$AD137),(AY137*$AD137))),(BW137+CU137))</f>
        <v>0</v>
      </c>
      <c r="EF137" s="442">
        <f>IF('2. START'!$C$11="NO",(IF('2. START'!$C$14&gt;0,(DT137*$AD137),(AZ137*$AD137))),(BX137+CV137))</f>
        <v>0</v>
      </c>
      <c r="EG137" s="442">
        <f>IF('2. START'!$C$11="NO",(IF('2. START'!$C$14&gt;0,(DU137*$AD137),(BA137*$AD137))),(BY137+CW137))</f>
        <v>0</v>
      </c>
      <c r="EH137" s="442">
        <f>IF('2. START'!$C$11="NO",(IF('2. START'!$C$14&gt;0,(DV137*$AD137),(BB137*$AD137))),(BZ137+CX137))</f>
        <v>0</v>
      </c>
      <c r="EI137" s="442">
        <f>IF('2. START'!$C$11="NO",(IF('2. START'!$C$14&gt;0,(DW137*$AD137),(BC137*$AD137))),(CA137+CY137))</f>
        <v>0</v>
      </c>
      <c r="EJ137" s="443">
        <f t="shared" si="288"/>
        <v>0</v>
      </c>
      <c r="EL137" s="442">
        <f>(BR137+CP137-DZ137)+IF('2. START'!$C$14&gt;0,AT137-DN137,0)</f>
        <v>0</v>
      </c>
      <c r="EM137" s="442">
        <f>(BS137+CQ137-EA137)+IF('2. START'!$C$14&gt;0,AU137-DO137,0)</f>
        <v>0</v>
      </c>
      <c r="EN137" s="442">
        <f>(BT137+CR137-EB137)+IF('2. START'!$C$14&gt;0,AV137-DP137,0)</f>
        <v>0</v>
      </c>
      <c r="EO137" s="442">
        <f>(BU137+CS137-EC137)+IF('2. START'!$C$14&gt;0,AW137-DQ137,0)</f>
        <v>0</v>
      </c>
      <c r="EP137" s="442">
        <f>(BV137+CT137-ED137)+IF('2. START'!$C$14&gt;0,AX137-DR137,0)</f>
        <v>0</v>
      </c>
      <c r="EQ137" s="442">
        <f>(BW137+CU137-EE137)+IF('2. START'!$C$14&gt;0,AY137-DS137,0)</f>
        <v>0</v>
      </c>
      <c r="ER137" s="442">
        <f>(BX137+CV137-EF137)+IF('2. START'!$C$14&gt;0,AZ137-DT137,0)</f>
        <v>0</v>
      </c>
      <c r="ES137" s="442">
        <f>(BY137+CW137-EG137)+IF('2. START'!$C$14&gt;0,BA137-DU137,0)</f>
        <v>0</v>
      </c>
      <c r="ET137" s="442">
        <f>(BZ137+CX137-EH137)+IF('2. START'!$C$14&gt;0,BB137-DV137,0)</f>
        <v>0</v>
      </c>
      <c r="EU137" s="442">
        <f>(CA137+CY137-EI137)+IF('2. START'!$C$14&gt;0,BC137-DW137,0)</f>
        <v>0</v>
      </c>
      <c r="EV137" s="443">
        <f t="shared" si="289"/>
        <v>0</v>
      </c>
      <c r="EX137" s="442">
        <f t="shared" si="290"/>
        <v>0</v>
      </c>
      <c r="EY137" s="442">
        <f t="shared" si="291"/>
        <v>0</v>
      </c>
      <c r="EZ137" s="442">
        <f t="shared" si="292"/>
        <v>0</v>
      </c>
      <c r="FA137" s="442">
        <f t="shared" si="293"/>
        <v>0</v>
      </c>
      <c r="FB137" s="442">
        <f t="shared" si="294"/>
        <v>0</v>
      </c>
      <c r="FC137" s="442">
        <f t="shared" si="295"/>
        <v>0</v>
      </c>
      <c r="FD137" s="442">
        <f t="shared" si="296"/>
        <v>0</v>
      </c>
      <c r="FE137" s="442">
        <f t="shared" si="297"/>
        <v>0</v>
      </c>
      <c r="FF137" s="442">
        <f t="shared" si="298"/>
        <v>0</v>
      </c>
      <c r="FG137" s="442">
        <f t="shared" si="299"/>
        <v>0</v>
      </c>
      <c r="FH137" s="443">
        <f t="shared" si="300"/>
        <v>0</v>
      </c>
      <c r="FJ137" s="442">
        <f t="shared" si="301"/>
        <v>0</v>
      </c>
      <c r="FK137" s="442">
        <f t="shared" si="302"/>
        <v>0</v>
      </c>
      <c r="FL137" s="442">
        <f t="shared" si="303"/>
        <v>0</v>
      </c>
      <c r="FM137" s="442">
        <f t="shared" si="304"/>
        <v>0</v>
      </c>
      <c r="FN137" s="442">
        <f t="shared" si="305"/>
        <v>0</v>
      </c>
      <c r="FO137" s="442">
        <f t="shared" si="306"/>
        <v>0</v>
      </c>
      <c r="FP137" s="442">
        <f t="shared" si="307"/>
        <v>0</v>
      </c>
      <c r="FQ137" s="442">
        <f t="shared" si="308"/>
        <v>0</v>
      </c>
      <c r="FR137" s="442">
        <f t="shared" si="309"/>
        <v>0</v>
      </c>
      <c r="FS137" s="442">
        <f t="shared" si="310"/>
        <v>0</v>
      </c>
      <c r="FT137" s="443">
        <f t="shared" si="311"/>
        <v>0</v>
      </c>
    </row>
    <row r="138" spans="2:176" s="270" customFormat="1" ht="15" customHeight="1" x14ac:dyDescent="0.25">
      <c r="B138" s="446" t="str">
        <f>'2. START'!C$7</f>
        <v>100GEM</v>
      </c>
      <c r="C138" s="469"/>
      <c r="D138" s="589"/>
      <c r="E138" s="544">
        <v>0</v>
      </c>
      <c r="F138" s="448"/>
      <c r="G138" s="449"/>
      <c r="H138" s="449"/>
      <c r="I138" s="449"/>
      <c r="J138" s="449"/>
      <c r="K138" s="449"/>
      <c r="L138" s="449"/>
      <c r="M138" s="449"/>
      <c r="N138" s="449"/>
      <c r="O138" s="449"/>
      <c r="P138" s="449"/>
      <c r="Q138" s="546">
        <f>SUMIF('3. PARTNER'!$B$13:$B$80,$B138,'3. PARTNER'!$F$13:$F$80)</f>
        <v>0.02</v>
      </c>
      <c r="R138" s="450">
        <f t="shared" si="387"/>
        <v>0.02</v>
      </c>
      <c r="S138" s="450">
        <f t="shared" si="387"/>
        <v>0.02</v>
      </c>
      <c r="T138" s="450">
        <f t="shared" si="387"/>
        <v>0.02</v>
      </c>
      <c r="U138" s="450">
        <f t="shared" si="387"/>
        <v>0.02</v>
      </c>
      <c r="V138" s="450">
        <f t="shared" si="387"/>
        <v>0.02</v>
      </c>
      <c r="W138" s="450">
        <f t="shared" si="387"/>
        <v>0.02</v>
      </c>
      <c r="X138" s="450">
        <f t="shared" si="387"/>
        <v>0.02</v>
      </c>
      <c r="Y138" s="450">
        <f t="shared" si="387"/>
        <v>0.02</v>
      </c>
      <c r="Z138" s="450">
        <f t="shared" si="387"/>
        <v>0.02</v>
      </c>
      <c r="AA138" s="451">
        <f>SUMIF('3. PARTNER'!B$13:B$80,B138,'3. PARTNER'!E$13:E$80)</f>
        <v>0.5595</v>
      </c>
      <c r="AB138" s="452">
        <f>IF('2. START'!$C$20="UTB",(SUMIF('3. PARTNER'!B$13:B$80,B138,'3. PARTNER'!K$13:K$80))+(SUMIF('3. PARTNER'!B$13:B$80,B138,'3. PARTNER'!M$13:M$80)),(SUMIF('3. PARTNER'!B$13:B$80,B138,'3. PARTNER'!G$13:G$80))+(SUMIF('3. PARTNER'!B$13:B$80,B138,'3. PARTNER'!I$13:I$80)))</f>
        <v>0.16000843770704321</v>
      </c>
      <c r="AC138" s="452">
        <f>IF('2. START'!$C$20="UTB",(SUMIF('3. PARTNER'!B$13:B$80,B138,'3. PARTNER'!L$13:L$80))+(SUMIF('3. PARTNER'!B$13:B$80,B138,'3. PARTNER'!N$13:N$80)),(SUMIF('3. PARTNER'!B$13:B$80,B138,'3. PARTNER'!H$13:H$80))+(SUMIF('3. PARTNER'!B$13:B$80,B138,'3. PARTNER'!J$13:J$80)))</f>
        <v>0</v>
      </c>
      <c r="AD138" s="452">
        <f>IF('2. START'!C$11="NO",'2. START'!C$12,0)</f>
        <v>0</v>
      </c>
      <c r="AE138" s="453">
        <f t="shared" si="278"/>
        <v>0</v>
      </c>
      <c r="AF138" s="453">
        <f t="shared" si="279"/>
        <v>0</v>
      </c>
      <c r="AG138" s="454"/>
      <c r="AH138" s="455">
        <f t="shared" si="315"/>
        <v>0</v>
      </c>
      <c r="AI138" s="455">
        <f t="shared" si="316"/>
        <v>0</v>
      </c>
      <c r="AJ138" s="455">
        <f t="shared" si="317"/>
        <v>0</v>
      </c>
      <c r="AK138" s="455">
        <f t="shared" si="318"/>
        <v>0</v>
      </c>
      <c r="AL138" s="455">
        <f t="shared" si="319"/>
        <v>0</v>
      </c>
      <c r="AM138" s="455">
        <f t="shared" si="320"/>
        <v>0</v>
      </c>
      <c r="AN138" s="455">
        <f t="shared" si="321"/>
        <v>0</v>
      </c>
      <c r="AO138" s="455">
        <f t="shared" si="322"/>
        <v>0</v>
      </c>
      <c r="AP138" s="455">
        <f t="shared" si="323"/>
        <v>0</v>
      </c>
      <c r="AQ138" s="455">
        <f t="shared" si="324"/>
        <v>0</v>
      </c>
      <c r="AR138" s="456">
        <f t="shared" si="280"/>
        <v>0</v>
      </c>
      <c r="AS138" s="457"/>
      <c r="AT138" s="455">
        <f t="shared" si="325"/>
        <v>0</v>
      </c>
      <c r="AU138" s="455">
        <f t="shared" si="326"/>
        <v>0</v>
      </c>
      <c r="AV138" s="455">
        <f t="shared" si="327"/>
        <v>0</v>
      </c>
      <c r="AW138" s="455">
        <f t="shared" si="328"/>
        <v>0</v>
      </c>
      <c r="AX138" s="455">
        <f t="shared" si="329"/>
        <v>0</v>
      </c>
      <c r="AY138" s="455">
        <f t="shared" si="330"/>
        <v>0</v>
      </c>
      <c r="AZ138" s="455">
        <f t="shared" si="331"/>
        <v>0</v>
      </c>
      <c r="BA138" s="455">
        <f t="shared" si="332"/>
        <v>0</v>
      </c>
      <c r="BB138" s="455">
        <f t="shared" si="333"/>
        <v>0</v>
      </c>
      <c r="BC138" s="455">
        <f t="shared" si="334"/>
        <v>0</v>
      </c>
      <c r="BD138" s="456">
        <f t="shared" si="281"/>
        <v>0</v>
      </c>
      <c r="BE138" s="457"/>
      <c r="BF138" s="455">
        <f t="shared" si="335"/>
        <v>0</v>
      </c>
      <c r="BG138" s="455">
        <f t="shared" si="336"/>
        <v>0</v>
      </c>
      <c r="BH138" s="455">
        <f t="shared" si="337"/>
        <v>0</v>
      </c>
      <c r="BI138" s="455">
        <f t="shared" si="338"/>
        <v>0</v>
      </c>
      <c r="BJ138" s="455">
        <f t="shared" si="339"/>
        <v>0</v>
      </c>
      <c r="BK138" s="455">
        <f t="shared" si="340"/>
        <v>0</v>
      </c>
      <c r="BL138" s="455">
        <f t="shared" si="341"/>
        <v>0</v>
      </c>
      <c r="BM138" s="455">
        <f t="shared" si="342"/>
        <v>0</v>
      </c>
      <c r="BN138" s="455">
        <f t="shared" si="343"/>
        <v>0</v>
      </c>
      <c r="BO138" s="455">
        <f t="shared" si="344"/>
        <v>0</v>
      </c>
      <c r="BP138" s="456">
        <f t="shared" si="282"/>
        <v>0</v>
      </c>
      <c r="BQ138" s="463"/>
      <c r="BR138" s="459">
        <f t="shared" si="345"/>
        <v>0</v>
      </c>
      <c r="BS138" s="459">
        <f t="shared" si="346"/>
        <v>0</v>
      </c>
      <c r="BT138" s="459">
        <f t="shared" si="347"/>
        <v>0</v>
      </c>
      <c r="BU138" s="459">
        <f t="shared" si="348"/>
        <v>0</v>
      </c>
      <c r="BV138" s="459">
        <f t="shared" si="349"/>
        <v>0</v>
      </c>
      <c r="BW138" s="459">
        <f t="shared" si="350"/>
        <v>0</v>
      </c>
      <c r="BX138" s="459">
        <f t="shared" si="351"/>
        <v>0</v>
      </c>
      <c r="BY138" s="459">
        <f t="shared" si="352"/>
        <v>0</v>
      </c>
      <c r="BZ138" s="459">
        <f t="shared" si="353"/>
        <v>0</v>
      </c>
      <c r="CA138" s="459">
        <f t="shared" si="354"/>
        <v>0</v>
      </c>
      <c r="CB138" s="460">
        <f t="shared" si="283"/>
        <v>0</v>
      </c>
      <c r="CC138" s="463"/>
      <c r="CD138" s="462">
        <f t="shared" si="355"/>
        <v>0</v>
      </c>
      <c r="CE138" s="462">
        <f t="shared" si="356"/>
        <v>0</v>
      </c>
      <c r="CF138" s="462">
        <f t="shared" si="357"/>
        <v>0</v>
      </c>
      <c r="CG138" s="462">
        <f t="shared" si="358"/>
        <v>0</v>
      </c>
      <c r="CH138" s="462">
        <f t="shared" si="359"/>
        <v>0</v>
      </c>
      <c r="CI138" s="462">
        <f t="shared" si="360"/>
        <v>0</v>
      </c>
      <c r="CJ138" s="462">
        <f t="shared" si="361"/>
        <v>0</v>
      </c>
      <c r="CK138" s="462">
        <f t="shared" si="362"/>
        <v>0</v>
      </c>
      <c r="CL138" s="462">
        <f t="shared" si="363"/>
        <v>0</v>
      </c>
      <c r="CM138" s="462">
        <f t="shared" si="364"/>
        <v>0</v>
      </c>
      <c r="CN138" s="460">
        <f t="shared" si="284"/>
        <v>0</v>
      </c>
      <c r="CO138" s="463"/>
      <c r="CP138" s="459">
        <f t="shared" si="365"/>
        <v>0</v>
      </c>
      <c r="CQ138" s="459">
        <f t="shared" si="366"/>
        <v>0</v>
      </c>
      <c r="CR138" s="459">
        <f t="shared" si="367"/>
        <v>0</v>
      </c>
      <c r="CS138" s="459">
        <f t="shared" si="368"/>
        <v>0</v>
      </c>
      <c r="CT138" s="459">
        <f t="shared" si="369"/>
        <v>0</v>
      </c>
      <c r="CU138" s="459">
        <f t="shared" si="370"/>
        <v>0</v>
      </c>
      <c r="CV138" s="459">
        <f t="shared" si="371"/>
        <v>0</v>
      </c>
      <c r="CW138" s="459">
        <f t="shared" si="372"/>
        <v>0</v>
      </c>
      <c r="CX138" s="459">
        <f t="shared" si="373"/>
        <v>0</v>
      </c>
      <c r="CY138" s="459">
        <f t="shared" si="374"/>
        <v>0</v>
      </c>
      <c r="CZ138" s="460">
        <f t="shared" si="285"/>
        <v>0</v>
      </c>
      <c r="DA138" s="463"/>
      <c r="DB138" s="459">
        <f t="shared" si="375"/>
        <v>0</v>
      </c>
      <c r="DC138" s="459">
        <f t="shared" si="376"/>
        <v>0</v>
      </c>
      <c r="DD138" s="459">
        <f t="shared" si="377"/>
        <v>0</v>
      </c>
      <c r="DE138" s="459">
        <f t="shared" si="378"/>
        <v>0</v>
      </c>
      <c r="DF138" s="459">
        <f t="shared" si="379"/>
        <v>0</v>
      </c>
      <c r="DG138" s="459">
        <f t="shared" si="380"/>
        <v>0</v>
      </c>
      <c r="DH138" s="459">
        <f t="shared" si="381"/>
        <v>0</v>
      </c>
      <c r="DI138" s="459">
        <f t="shared" si="382"/>
        <v>0</v>
      </c>
      <c r="DJ138" s="459">
        <f t="shared" si="383"/>
        <v>0</v>
      </c>
      <c r="DK138" s="459">
        <f t="shared" si="384"/>
        <v>0</v>
      </c>
      <c r="DL138" s="460">
        <f t="shared" si="286"/>
        <v>0</v>
      </c>
      <c r="DM138" s="463"/>
      <c r="DN138" s="442">
        <f>IF('2. START'!$C$14&gt;0,(AT138/(1+$AA138))*(1+'2. START'!$C$14),AT138)</f>
        <v>0</v>
      </c>
      <c r="DO138" s="442">
        <f>IF('2. START'!$C$14&gt;0,(AU138/(1+$AA138))*(1+'2. START'!$C$14),AU138)</f>
        <v>0</v>
      </c>
      <c r="DP138" s="442">
        <f>IF('2. START'!$C$14&gt;0,(AV138/(1+$AA138))*(1+'2. START'!$C$14),AV138)</f>
        <v>0</v>
      </c>
      <c r="DQ138" s="442">
        <f>IF('2. START'!$C$14&gt;0,(AW138/(1+$AA138))*(1+'2. START'!$C$14),AW138)</f>
        <v>0</v>
      </c>
      <c r="DR138" s="442">
        <f>IF('2. START'!$C$14&gt;0,(AX138/(1+$AA138))*(1+'2. START'!$C$14),AX138)</f>
        <v>0</v>
      </c>
      <c r="DS138" s="442">
        <f>IF('2. START'!$C$14&gt;0,(AY138/(1+$AA138))*(1+'2. START'!$C$14),AY138)</f>
        <v>0</v>
      </c>
      <c r="DT138" s="442">
        <f>IF('2. START'!$C$14&gt;0,(AZ138/(1+$AA138))*(1+'2. START'!$C$14),AZ138)</f>
        <v>0</v>
      </c>
      <c r="DU138" s="442">
        <f>IF('2. START'!$C$14&gt;0,(BA138/(1+$AA138))*(1+'2. START'!$C$14),BA138)</f>
        <v>0</v>
      </c>
      <c r="DV138" s="442">
        <f>IF('2. START'!$C$14&gt;0,(BB138/(1+$AA138))*(1+'2. START'!$C$14),BB138)</f>
        <v>0</v>
      </c>
      <c r="DW138" s="442">
        <f>IF('2. START'!$C$14&gt;0,(BC138/(1+$AA138))*(1+'2. START'!$C$14),BC138)</f>
        <v>0</v>
      </c>
      <c r="DX138" s="460">
        <f t="shared" si="287"/>
        <v>0</v>
      </c>
      <c r="DY138" s="463"/>
      <c r="DZ138" s="459">
        <f>IF('2. START'!$C$11="NO",(IF('2. START'!$C$14&gt;0,(DN138*$AD138),(AT138*$AD138))),(BR138+CP138))</f>
        <v>0</v>
      </c>
      <c r="EA138" s="459">
        <f>IF('2. START'!$C$11="NO",(IF('2. START'!$C$14&gt;0,(DO138*$AD138),(AU138*$AD138))),(BS138+CQ138))</f>
        <v>0</v>
      </c>
      <c r="EB138" s="459">
        <f>IF('2. START'!$C$11="NO",(IF('2. START'!$C$14&gt;0,(DP138*$AD138),(AV138*$AD138))),(BT138+CR138))</f>
        <v>0</v>
      </c>
      <c r="EC138" s="459">
        <f>IF('2. START'!$C$11="NO",(IF('2. START'!$C$14&gt;0,(DQ138*$AD138),(AW138*$AD138))),(BU138+CS138))</f>
        <v>0</v>
      </c>
      <c r="ED138" s="459">
        <f>IF('2. START'!$C$11="NO",(IF('2. START'!$C$14&gt;0,(DR138*$AD138),(AX138*$AD138))),(BV138+CT138))</f>
        <v>0</v>
      </c>
      <c r="EE138" s="459">
        <f>IF('2. START'!$C$11="NO",(IF('2. START'!$C$14&gt;0,(DS138*$AD138),(AY138*$AD138))),(BW138+CU138))</f>
        <v>0</v>
      </c>
      <c r="EF138" s="459">
        <f>IF('2. START'!$C$11="NO",(IF('2. START'!$C$14&gt;0,(DT138*$AD138),(AZ138*$AD138))),(BX138+CV138))</f>
        <v>0</v>
      </c>
      <c r="EG138" s="459">
        <f>IF('2. START'!$C$11="NO",(IF('2. START'!$C$14&gt;0,(DU138*$AD138),(BA138*$AD138))),(BY138+CW138))</f>
        <v>0</v>
      </c>
      <c r="EH138" s="459">
        <f>IF('2. START'!$C$11="NO",(IF('2. START'!$C$14&gt;0,(DV138*$AD138),(BB138*$AD138))),(BZ138+CX138))</f>
        <v>0</v>
      </c>
      <c r="EI138" s="459">
        <f>IF('2. START'!$C$11="NO",(IF('2. START'!$C$14&gt;0,(DW138*$AD138),(BC138*$AD138))),(CA138+CY138))</f>
        <v>0</v>
      </c>
      <c r="EJ138" s="460">
        <f t="shared" si="288"/>
        <v>0</v>
      </c>
      <c r="EK138" s="463"/>
      <c r="EL138" s="459">
        <f>(BR138+CP138-DZ138)+IF('2. START'!$C$14&gt;0,AT138-DN138,0)</f>
        <v>0</v>
      </c>
      <c r="EM138" s="459">
        <f>(BS138+CQ138-EA138)+IF('2. START'!$C$14&gt;0,AU138-DO138,0)</f>
        <v>0</v>
      </c>
      <c r="EN138" s="459">
        <f>(BT138+CR138-EB138)+IF('2. START'!$C$14&gt;0,AV138-DP138,0)</f>
        <v>0</v>
      </c>
      <c r="EO138" s="459">
        <f>(BU138+CS138-EC138)+IF('2. START'!$C$14&gt;0,AW138-DQ138,0)</f>
        <v>0</v>
      </c>
      <c r="EP138" s="459">
        <f>(BV138+CT138-ED138)+IF('2. START'!$C$14&gt;0,AX138-DR138,0)</f>
        <v>0</v>
      </c>
      <c r="EQ138" s="459">
        <f>(BW138+CU138-EE138)+IF('2. START'!$C$14&gt;0,AY138-DS138,0)</f>
        <v>0</v>
      </c>
      <c r="ER138" s="459">
        <f>(BX138+CV138-EF138)+IF('2. START'!$C$14&gt;0,AZ138-DT138,0)</f>
        <v>0</v>
      </c>
      <c r="ES138" s="459">
        <f>(BY138+CW138-EG138)+IF('2. START'!$C$14&gt;0,BA138-DU138,0)</f>
        <v>0</v>
      </c>
      <c r="ET138" s="459">
        <f>(BZ138+CX138-EH138)+IF('2. START'!$C$14&gt;0,BB138-DV138,0)</f>
        <v>0</v>
      </c>
      <c r="EU138" s="459">
        <f>(CA138+CY138-EI138)+IF('2. START'!$C$14&gt;0,BC138-DW138,0)</f>
        <v>0</v>
      </c>
      <c r="EV138" s="460">
        <f t="shared" si="289"/>
        <v>0</v>
      </c>
      <c r="EW138" s="463"/>
      <c r="EX138" s="459">
        <f t="shared" si="290"/>
        <v>0</v>
      </c>
      <c r="EY138" s="459">
        <f t="shared" si="291"/>
        <v>0</v>
      </c>
      <c r="EZ138" s="459">
        <f t="shared" si="292"/>
        <v>0</v>
      </c>
      <c r="FA138" s="459">
        <f t="shared" si="293"/>
        <v>0</v>
      </c>
      <c r="FB138" s="459">
        <f t="shared" si="294"/>
        <v>0</v>
      </c>
      <c r="FC138" s="459">
        <f t="shared" si="295"/>
        <v>0</v>
      </c>
      <c r="FD138" s="459">
        <f t="shared" si="296"/>
        <v>0</v>
      </c>
      <c r="FE138" s="459">
        <f t="shared" si="297"/>
        <v>0</v>
      </c>
      <c r="FF138" s="459">
        <f t="shared" si="298"/>
        <v>0</v>
      </c>
      <c r="FG138" s="459">
        <f t="shared" si="299"/>
        <v>0</v>
      </c>
      <c r="FH138" s="460">
        <f t="shared" si="300"/>
        <v>0</v>
      </c>
      <c r="FI138" s="463"/>
      <c r="FJ138" s="459">
        <f t="shared" si="301"/>
        <v>0</v>
      </c>
      <c r="FK138" s="459">
        <f t="shared" si="302"/>
        <v>0</v>
      </c>
      <c r="FL138" s="459">
        <f t="shared" si="303"/>
        <v>0</v>
      </c>
      <c r="FM138" s="459">
        <f t="shared" si="304"/>
        <v>0</v>
      </c>
      <c r="FN138" s="459">
        <f t="shared" si="305"/>
        <v>0</v>
      </c>
      <c r="FO138" s="459">
        <f t="shared" si="306"/>
        <v>0</v>
      </c>
      <c r="FP138" s="459">
        <f t="shared" si="307"/>
        <v>0</v>
      </c>
      <c r="FQ138" s="459">
        <f t="shared" si="308"/>
        <v>0</v>
      </c>
      <c r="FR138" s="459">
        <f t="shared" si="309"/>
        <v>0</v>
      </c>
      <c r="FS138" s="459">
        <f t="shared" si="310"/>
        <v>0</v>
      </c>
      <c r="FT138" s="460">
        <f t="shared" si="311"/>
        <v>0</v>
      </c>
    </row>
    <row r="139" spans="2:176" s="270" customFormat="1" ht="15" customHeight="1" x14ac:dyDescent="0.25">
      <c r="B139" s="464" t="str">
        <f>'2. START'!C$7</f>
        <v>100GEM</v>
      </c>
      <c r="C139" s="470"/>
      <c r="D139" s="590"/>
      <c r="E139" s="514">
        <v>0</v>
      </c>
      <c r="F139" s="467"/>
      <c r="G139" s="432"/>
      <c r="H139" s="432"/>
      <c r="I139" s="432"/>
      <c r="J139" s="432"/>
      <c r="K139" s="432"/>
      <c r="L139" s="432"/>
      <c r="M139" s="432"/>
      <c r="N139" s="432"/>
      <c r="O139" s="432"/>
      <c r="P139" s="432"/>
      <c r="Q139" s="545">
        <f>SUMIF('3. PARTNER'!$B$13:$B$80,$B139,'3. PARTNER'!$F$13:$F$80)</f>
        <v>0.02</v>
      </c>
      <c r="R139" s="466">
        <f t="shared" si="387"/>
        <v>0.02</v>
      </c>
      <c r="S139" s="466">
        <f t="shared" si="387"/>
        <v>0.02</v>
      </c>
      <c r="T139" s="466">
        <f t="shared" si="387"/>
        <v>0.02</v>
      </c>
      <c r="U139" s="466">
        <f t="shared" si="387"/>
        <v>0.02</v>
      </c>
      <c r="V139" s="466">
        <f t="shared" si="387"/>
        <v>0.02</v>
      </c>
      <c r="W139" s="466">
        <f t="shared" si="387"/>
        <v>0.02</v>
      </c>
      <c r="X139" s="466">
        <f t="shared" si="387"/>
        <v>0.02</v>
      </c>
      <c r="Y139" s="466">
        <f t="shared" si="387"/>
        <v>0.02</v>
      </c>
      <c r="Z139" s="466">
        <f t="shared" si="387"/>
        <v>0.02</v>
      </c>
      <c r="AA139" s="434">
        <f>SUMIF('3. PARTNER'!B$13:B$80,B139,'3. PARTNER'!E$13:E$80)</f>
        <v>0.5595</v>
      </c>
      <c r="AB139" s="435">
        <f>IF('2. START'!$C$20="UTB",(SUMIF('3. PARTNER'!B$13:B$80,B139,'3. PARTNER'!K$13:K$80))+(SUMIF('3. PARTNER'!B$13:B$80,B139,'3. PARTNER'!M$13:M$80)),(SUMIF('3. PARTNER'!B$13:B$80,B139,'3. PARTNER'!G$13:G$80))+(SUMIF('3. PARTNER'!B$13:B$80,B139,'3. PARTNER'!I$13:I$80)))</f>
        <v>0.16000843770704321</v>
      </c>
      <c r="AC139" s="435">
        <f>IF('2. START'!$C$20="UTB",(SUMIF('3. PARTNER'!B$13:B$80,B139,'3. PARTNER'!L$13:L$80))+(SUMIF('3. PARTNER'!B$13:B$80,B139,'3. PARTNER'!N$13:N$80)),(SUMIF('3. PARTNER'!B$13:B$80,B139,'3. PARTNER'!H$13:H$80))+(SUMIF('3. PARTNER'!B$13:B$80,B139,'3. PARTNER'!J$13:J$80)))</f>
        <v>0</v>
      </c>
      <c r="AD139" s="435">
        <f>IF('2. START'!C$11="NO",'2. START'!C$12,0)</f>
        <v>0</v>
      </c>
      <c r="AE139" s="436">
        <f t="shared" si="278"/>
        <v>0</v>
      </c>
      <c r="AF139" s="436">
        <f t="shared" si="279"/>
        <v>0</v>
      </c>
      <c r="AG139" s="437"/>
      <c r="AH139" s="438">
        <f t="shared" si="315"/>
        <v>0</v>
      </c>
      <c r="AI139" s="438">
        <f t="shared" si="316"/>
        <v>0</v>
      </c>
      <c r="AJ139" s="438">
        <f t="shared" si="317"/>
        <v>0</v>
      </c>
      <c r="AK139" s="438">
        <f t="shared" si="318"/>
        <v>0</v>
      </c>
      <c r="AL139" s="438">
        <f t="shared" si="319"/>
        <v>0</v>
      </c>
      <c r="AM139" s="438">
        <f t="shared" si="320"/>
        <v>0</v>
      </c>
      <c r="AN139" s="438">
        <f t="shared" si="321"/>
        <v>0</v>
      </c>
      <c r="AO139" s="438">
        <f t="shared" si="322"/>
        <v>0</v>
      </c>
      <c r="AP139" s="438">
        <f t="shared" si="323"/>
        <v>0</v>
      </c>
      <c r="AQ139" s="438">
        <f t="shared" si="324"/>
        <v>0</v>
      </c>
      <c r="AR139" s="439">
        <f t="shared" si="280"/>
        <v>0</v>
      </c>
      <c r="AS139" s="440"/>
      <c r="AT139" s="438">
        <f t="shared" si="325"/>
        <v>0</v>
      </c>
      <c r="AU139" s="438">
        <f t="shared" si="326"/>
        <v>0</v>
      </c>
      <c r="AV139" s="438">
        <f t="shared" si="327"/>
        <v>0</v>
      </c>
      <c r="AW139" s="438">
        <f t="shared" si="328"/>
        <v>0</v>
      </c>
      <c r="AX139" s="438">
        <f t="shared" si="329"/>
        <v>0</v>
      </c>
      <c r="AY139" s="438">
        <f t="shared" si="330"/>
        <v>0</v>
      </c>
      <c r="AZ139" s="438">
        <f t="shared" si="331"/>
        <v>0</v>
      </c>
      <c r="BA139" s="438">
        <f t="shared" si="332"/>
        <v>0</v>
      </c>
      <c r="BB139" s="438">
        <f t="shared" si="333"/>
        <v>0</v>
      </c>
      <c r="BC139" s="438">
        <f t="shared" si="334"/>
        <v>0</v>
      </c>
      <c r="BD139" s="439">
        <f t="shared" si="281"/>
        <v>0</v>
      </c>
      <c r="BE139" s="440"/>
      <c r="BF139" s="438">
        <f t="shared" si="335"/>
        <v>0</v>
      </c>
      <c r="BG139" s="438">
        <f t="shared" si="336"/>
        <v>0</v>
      </c>
      <c r="BH139" s="438">
        <f t="shared" si="337"/>
        <v>0</v>
      </c>
      <c r="BI139" s="438">
        <f t="shared" si="338"/>
        <v>0</v>
      </c>
      <c r="BJ139" s="438">
        <f t="shared" si="339"/>
        <v>0</v>
      </c>
      <c r="BK139" s="438">
        <f t="shared" si="340"/>
        <v>0</v>
      </c>
      <c r="BL139" s="438">
        <f t="shared" si="341"/>
        <v>0</v>
      </c>
      <c r="BM139" s="438">
        <f t="shared" si="342"/>
        <v>0</v>
      </c>
      <c r="BN139" s="438">
        <f t="shared" si="343"/>
        <v>0</v>
      </c>
      <c r="BO139" s="438">
        <f t="shared" si="344"/>
        <v>0</v>
      </c>
      <c r="BP139" s="439">
        <f t="shared" si="282"/>
        <v>0</v>
      </c>
      <c r="BR139" s="442">
        <f t="shared" si="345"/>
        <v>0</v>
      </c>
      <c r="BS139" s="442">
        <f t="shared" si="346"/>
        <v>0</v>
      </c>
      <c r="BT139" s="442">
        <f t="shared" si="347"/>
        <v>0</v>
      </c>
      <c r="BU139" s="442">
        <f t="shared" si="348"/>
        <v>0</v>
      </c>
      <c r="BV139" s="442">
        <f t="shared" si="349"/>
        <v>0</v>
      </c>
      <c r="BW139" s="442">
        <f t="shared" si="350"/>
        <v>0</v>
      </c>
      <c r="BX139" s="442">
        <f t="shared" si="351"/>
        <v>0</v>
      </c>
      <c r="BY139" s="442">
        <f t="shared" si="352"/>
        <v>0</v>
      </c>
      <c r="BZ139" s="442">
        <f t="shared" si="353"/>
        <v>0</v>
      </c>
      <c r="CA139" s="442">
        <f t="shared" si="354"/>
        <v>0</v>
      </c>
      <c r="CB139" s="443">
        <f t="shared" si="283"/>
        <v>0</v>
      </c>
      <c r="CD139" s="445">
        <f t="shared" si="355"/>
        <v>0</v>
      </c>
      <c r="CE139" s="445">
        <f t="shared" si="356"/>
        <v>0</v>
      </c>
      <c r="CF139" s="445">
        <f t="shared" si="357"/>
        <v>0</v>
      </c>
      <c r="CG139" s="445">
        <f t="shared" si="358"/>
        <v>0</v>
      </c>
      <c r="CH139" s="445">
        <f t="shared" si="359"/>
        <v>0</v>
      </c>
      <c r="CI139" s="445">
        <f t="shared" si="360"/>
        <v>0</v>
      </c>
      <c r="CJ139" s="445">
        <f t="shared" si="361"/>
        <v>0</v>
      </c>
      <c r="CK139" s="445">
        <f t="shared" si="362"/>
        <v>0</v>
      </c>
      <c r="CL139" s="445">
        <f t="shared" si="363"/>
        <v>0</v>
      </c>
      <c r="CM139" s="445">
        <f t="shared" si="364"/>
        <v>0</v>
      </c>
      <c r="CN139" s="443">
        <f t="shared" si="284"/>
        <v>0</v>
      </c>
      <c r="CP139" s="442">
        <f t="shared" si="365"/>
        <v>0</v>
      </c>
      <c r="CQ139" s="442">
        <f t="shared" si="366"/>
        <v>0</v>
      </c>
      <c r="CR139" s="442">
        <f t="shared" si="367"/>
        <v>0</v>
      </c>
      <c r="CS139" s="442">
        <f t="shared" si="368"/>
        <v>0</v>
      </c>
      <c r="CT139" s="442">
        <f t="shared" si="369"/>
        <v>0</v>
      </c>
      <c r="CU139" s="442">
        <f t="shared" si="370"/>
        <v>0</v>
      </c>
      <c r="CV139" s="442">
        <f t="shared" si="371"/>
        <v>0</v>
      </c>
      <c r="CW139" s="442">
        <f t="shared" si="372"/>
        <v>0</v>
      </c>
      <c r="CX139" s="442">
        <f t="shared" si="373"/>
        <v>0</v>
      </c>
      <c r="CY139" s="442">
        <f t="shared" si="374"/>
        <v>0</v>
      </c>
      <c r="CZ139" s="443">
        <f t="shared" si="285"/>
        <v>0</v>
      </c>
      <c r="DB139" s="442">
        <f t="shared" si="375"/>
        <v>0</v>
      </c>
      <c r="DC139" s="442">
        <f t="shared" si="376"/>
        <v>0</v>
      </c>
      <c r="DD139" s="442">
        <f t="shared" si="377"/>
        <v>0</v>
      </c>
      <c r="DE139" s="442">
        <f t="shared" si="378"/>
        <v>0</v>
      </c>
      <c r="DF139" s="442">
        <f t="shared" si="379"/>
        <v>0</v>
      </c>
      <c r="DG139" s="442">
        <f t="shared" si="380"/>
        <v>0</v>
      </c>
      <c r="DH139" s="442">
        <f t="shared" si="381"/>
        <v>0</v>
      </c>
      <c r="DI139" s="442">
        <f t="shared" si="382"/>
        <v>0</v>
      </c>
      <c r="DJ139" s="442">
        <f t="shared" si="383"/>
        <v>0</v>
      </c>
      <c r="DK139" s="442">
        <f t="shared" si="384"/>
        <v>0</v>
      </c>
      <c r="DL139" s="443">
        <f t="shared" si="286"/>
        <v>0</v>
      </c>
      <c r="DN139" s="442">
        <f>IF('2. START'!$C$14&gt;0,(AT139/(1+$AA139))*(1+'2. START'!$C$14),AT139)</f>
        <v>0</v>
      </c>
      <c r="DO139" s="442">
        <f>IF('2. START'!$C$14&gt;0,(AU139/(1+$AA139))*(1+'2. START'!$C$14),AU139)</f>
        <v>0</v>
      </c>
      <c r="DP139" s="442">
        <f>IF('2. START'!$C$14&gt;0,(AV139/(1+$AA139))*(1+'2. START'!$C$14),AV139)</f>
        <v>0</v>
      </c>
      <c r="DQ139" s="442">
        <f>IF('2. START'!$C$14&gt;0,(AW139/(1+$AA139))*(1+'2. START'!$C$14),AW139)</f>
        <v>0</v>
      </c>
      <c r="DR139" s="442">
        <f>IF('2. START'!$C$14&gt;0,(AX139/(1+$AA139))*(1+'2. START'!$C$14),AX139)</f>
        <v>0</v>
      </c>
      <c r="DS139" s="442">
        <f>IF('2. START'!$C$14&gt;0,(AY139/(1+$AA139))*(1+'2. START'!$C$14),AY139)</f>
        <v>0</v>
      </c>
      <c r="DT139" s="442">
        <f>IF('2. START'!$C$14&gt;0,(AZ139/(1+$AA139))*(1+'2. START'!$C$14),AZ139)</f>
        <v>0</v>
      </c>
      <c r="DU139" s="442">
        <f>IF('2. START'!$C$14&gt;0,(BA139/(1+$AA139))*(1+'2. START'!$C$14),BA139)</f>
        <v>0</v>
      </c>
      <c r="DV139" s="442">
        <f>IF('2. START'!$C$14&gt;0,(BB139/(1+$AA139))*(1+'2. START'!$C$14),BB139)</f>
        <v>0</v>
      </c>
      <c r="DW139" s="442">
        <f>IF('2. START'!$C$14&gt;0,(BC139/(1+$AA139))*(1+'2. START'!$C$14),BC139)</f>
        <v>0</v>
      </c>
      <c r="DX139" s="443">
        <f t="shared" si="287"/>
        <v>0</v>
      </c>
      <c r="DZ139" s="442">
        <f>IF('2. START'!$C$11="NO",(IF('2. START'!$C$14&gt;0,(DN139*$AD139),(AT139*$AD139))),(BR139+CP139))</f>
        <v>0</v>
      </c>
      <c r="EA139" s="442">
        <f>IF('2. START'!$C$11="NO",(IF('2. START'!$C$14&gt;0,(DO139*$AD139),(AU139*$AD139))),(BS139+CQ139))</f>
        <v>0</v>
      </c>
      <c r="EB139" s="442">
        <f>IF('2. START'!$C$11="NO",(IF('2. START'!$C$14&gt;0,(DP139*$AD139),(AV139*$AD139))),(BT139+CR139))</f>
        <v>0</v>
      </c>
      <c r="EC139" s="442">
        <f>IF('2. START'!$C$11="NO",(IF('2. START'!$C$14&gt;0,(DQ139*$AD139),(AW139*$AD139))),(BU139+CS139))</f>
        <v>0</v>
      </c>
      <c r="ED139" s="442">
        <f>IF('2. START'!$C$11="NO",(IF('2. START'!$C$14&gt;0,(DR139*$AD139),(AX139*$AD139))),(BV139+CT139))</f>
        <v>0</v>
      </c>
      <c r="EE139" s="442">
        <f>IF('2. START'!$C$11="NO",(IF('2. START'!$C$14&gt;0,(DS139*$AD139),(AY139*$AD139))),(BW139+CU139))</f>
        <v>0</v>
      </c>
      <c r="EF139" s="442">
        <f>IF('2. START'!$C$11="NO",(IF('2. START'!$C$14&gt;0,(DT139*$AD139),(AZ139*$AD139))),(BX139+CV139))</f>
        <v>0</v>
      </c>
      <c r="EG139" s="442">
        <f>IF('2. START'!$C$11="NO",(IF('2. START'!$C$14&gt;0,(DU139*$AD139),(BA139*$AD139))),(BY139+CW139))</f>
        <v>0</v>
      </c>
      <c r="EH139" s="442">
        <f>IF('2. START'!$C$11="NO",(IF('2. START'!$C$14&gt;0,(DV139*$AD139),(BB139*$AD139))),(BZ139+CX139))</f>
        <v>0</v>
      </c>
      <c r="EI139" s="442">
        <f>IF('2. START'!$C$11="NO",(IF('2. START'!$C$14&gt;0,(DW139*$AD139),(BC139*$AD139))),(CA139+CY139))</f>
        <v>0</v>
      </c>
      <c r="EJ139" s="443">
        <f t="shared" si="288"/>
        <v>0</v>
      </c>
      <c r="EL139" s="442">
        <f>(BR139+CP139-DZ139)+IF('2. START'!$C$14&gt;0,AT139-DN139,0)</f>
        <v>0</v>
      </c>
      <c r="EM139" s="442">
        <f>(BS139+CQ139-EA139)+IF('2. START'!$C$14&gt;0,AU139-DO139,0)</f>
        <v>0</v>
      </c>
      <c r="EN139" s="442">
        <f>(BT139+CR139-EB139)+IF('2. START'!$C$14&gt;0,AV139-DP139,0)</f>
        <v>0</v>
      </c>
      <c r="EO139" s="442">
        <f>(BU139+CS139-EC139)+IF('2. START'!$C$14&gt;0,AW139-DQ139,0)</f>
        <v>0</v>
      </c>
      <c r="EP139" s="442">
        <f>(BV139+CT139-ED139)+IF('2. START'!$C$14&gt;0,AX139-DR139,0)</f>
        <v>0</v>
      </c>
      <c r="EQ139" s="442">
        <f>(BW139+CU139-EE139)+IF('2. START'!$C$14&gt;0,AY139-DS139,0)</f>
        <v>0</v>
      </c>
      <c r="ER139" s="442">
        <f>(BX139+CV139-EF139)+IF('2. START'!$C$14&gt;0,AZ139-DT139,0)</f>
        <v>0</v>
      </c>
      <c r="ES139" s="442">
        <f>(BY139+CW139-EG139)+IF('2. START'!$C$14&gt;0,BA139-DU139,0)</f>
        <v>0</v>
      </c>
      <c r="ET139" s="442">
        <f>(BZ139+CX139-EH139)+IF('2. START'!$C$14&gt;0,BB139-DV139,0)</f>
        <v>0</v>
      </c>
      <c r="EU139" s="442">
        <f>(CA139+CY139-EI139)+IF('2. START'!$C$14&gt;0,BC139-DW139,0)</f>
        <v>0</v>
      </c>
      <c r="EV139" s="443">
        <f t="shared" si="289"/>
        <v>0</v>
      </c>
      <c r="EX139" s="442">
        <f t="shared" si="290"/>
        <v>0</v>
      </c>
      <c r="EY139" s="442">
        <f t="shared" si="291"/>
        <v>0</v>
      </c>
      <c r="EZ139" s="442">
        <f t="shared" si="292"/>
        <v>0</v>
      </c>
      <c r="FA139" s="442">
        <f t="shared" si="293"/>
        <v>0</v>
      </c>
      <c r="FB139" s="442">
        <f t="shared" si="294"/>
        <v>0</v>
      </c>
      <c r="FC139" s="442">
        <f t="shared" si="295"/>
        <v>0</v>
      </c>
      <c r="FD139" s="442">
        <f t="shared" si="296"/>
        <v>0</v>
      </c>
      <c r="FE139" s="442">
        <f t="shared" si="297"/>
        <v>0</v>
      </c>
      <c r="FF139" s="442">
        <f t="shared" si="298"/>
        <v>0</v>
      </c>
      <c r="FG139" s="442">
        <f t="shared" si="299"/>
        <v>0</v>
      </c>
      <c r="FH139" s="443">
        <f t="shared" si="300"/>
        <v>0</v>
      </c>
      <c r="FJ139" s="442">
        <f t="shared" si="301"/>
        <v>0</v>
      </c>
      <c r="FK139" s="442">
        <f t="shared" si="302"/>
        <v>0</v>
      </c>
      <c r="FL139" s="442">
        <f t="shared" si="303"/>
        <v>0</v>
      </c>
      <c r="FM139" s="442">
        <f t="shared" si="304"/>
        <v>0</v>
      </c>
      <c r="FN139" s="442">
        <f t="shared" si="305"/>
        <v>0</v>
      </c>
      <c r="FO139" s="442">
        <f t="shared" si="306"/>
        <v>0</v>
      </c>
      <c r="FP139" s="442">
        <f t="shared" si="307"/>
        <v>0</v>
      </c>
      <c r="FQ139" s="442">
        <f t="shared" si="308"/>
        <v>0</v>
      </c>
      <c r="FR139" s="442">
        <f t="shared" si="309"/>
        <v>0</v>
      </c>
      <c r="FS139" s="442">
        <f t="shared" si="310"/>
        <v>0</v>
      </c>
      <c r="FT139" s="443">
        <f t="shared" si="311"/>
        <v>0</v>
      </c>
    </row>
    <row r="140" spans="2:176" s="270" customFormat="1" ht="15" customHeight="1" x14ac:dyDescent="0.25">
      <c r="B140" s="446" t="str">
        <f>'2. START'!C$7</f>
        <v>100GEM</v>
      </c>
      <c r="C140" s="469"/>
      <c r="D140" s="589"/>
      <c r="E140" s="544">
        <v>0</v>
      </c>
      <c r="F140" s="448"/>
      <c r="G140" s="449"/>
      <c r="H140" s="449"/>
      <c r="I140" s="449"/>
      <c r="J140" s="449"/>
      <c r="K140" s="449"/>
      <c r="L140" s="449"/>
      <c r="M140" s="449"/>
      <c r="N140" s="449"/>
      <c r="O140" s="449"/>
      <c r="P140" s="449"/>
      <c r="Q140" s="546">
        <f>SUMIF('3. PARTNER'!$B$13:$B$80,$B140,'3. PARTNER'!$F$13:$F$80)</f>
        <v>0.02</v>
      </c>
      <c r="R140" s="450">
        <f t="shared" si="387"/>
        <v>0.02</v>
      </c>
      <c r="S140" s="450">
        <f t="shared" si="387"/>
        <v>0.02</v>
      </c>
      <c r="T140" s="450">
        <f t="shared" si="387"/>
        <v>0.02</v>
      </c>
      <c r="U140" s="450">
        <f t="shared" si="387"/>
        <v>0.02</v>
      </c>
      <c r="V140" s="450">
        <f t="shared" si="387"/>
        <v>0.02</v>
      </c>
      <c r="W140" s="450">
        <f t="shared" si="387"/>
        <v>0.02</v>
      </c>
      <c r="X140" s="450">
        <f t="shared" si="387"/>
        <v>0.02</v>
      </c>
      <c r="Y140" s="450">
        <f t="shared" si="387"/>
        <v>0.02</v>
      </c>
      <c r="Z140" s="450">
        <f t="shared" si="387"/>
        <v>0.02</v>
      </c>
      <c r="AA140" s="451">
        <f>SUMIF('3. PARTNER'!B$13:B$80,B140,'3. PARTNER'!E$13:E$80)</f>
        <v>0.5595</v>
      </c>
      <c r="AB140" s="452">
        <f>IF('2. START'!$C$20="UTB",(SUMIF('3. PARTNER'!B$13:B$80,B140,'3. PARTNER'!K$13:K$80))+(SUMIF('3. PARTNER'!B$13:B$80,B140,'3. PARTNER'!M$13:M$80)),(SUMIF('3. PARTNER'!B$13:B$80,B140,'3. PARTNER'!G$13:G$80))+(SUMIF('3. PARTNER'!B$13:B$80,B140,'3. PARTNER'!I$13:I$80)))</f>
        <v>0.16000843770704321</v>
      </c>
      <c r="AC140" s="452">
        <f>IF('2. START'!$C$20="UTB",(SUMIF('3. PARTNER'!B$13:B$80,B140,'3. PARTNER'!L$13:L$80))+(SUMIF('3. PARTNER'!B$13:B$80,B140,'3. PARTNER'!N$13:N$80)),(SUMIF('3. PARTNER'!B$13:B$80,B140,'3. PARTNER'!H$13:H$80))+(SUMIF('3. PARTNER'!B$13:B$80,B140,'3. PARTNER'!J$13:J$80)))</f>
        <v>0</v>
      </c>
      <c r="AD140" s="452">
        <f>IF('2. START'!C$11="NO",'2. START'!C$12,0)</f>
        <v>0</v>
      </c>
      <c r="AE140" s="453">
        <f t="shared" si="278"/>
        <v>0</v>
      </c>
      <c r="AF140" s="453">
        <f t="shared" si="279"/>
        <v>0</v>
      </c>
      <c r="AG140" s="454"/>
      <c r="AH140" s="455">
        <f t="shared" si="315"/>
        <v>0</v>
      </c>
      <c r="AI140" s="455">
        <f t="shared" si="316"/>
        <v>0</v>
      </c>
      <c r="AJ140" s="455">
        <f t="shared" si="317"/>
        <v>0</v>
      </c>
      <c r="AK140" s="455">
        <f t="shared" si="318"/>
        <v>0</v>
      </c>
      <c r="AL140" s="455">
        <f t="shared" si="319"/>
        <v>0</v>
      </c>
      <c r="AM140" s="455">
        <f t="shared" si="320"/>
        <v>0</v>
      </c>
      <c r="AN140" s="455">
        <f t="shared" si="321"/>
        <v>0</v>
      </c>
      <c r="AO140" s="455">
        <f t="shared" si="322"/>
        <v>0</v>
      </c>
      <c r="AP140" s="455">
        <f t="shared" si="323"/>
        <v>0</v>
      </c>
      <c r="AQ140" s="455">
        <f t="shared" si="324"/>
        <v>0</v>
      </c>
      <c r="AR140" s="456">
        <f t="shared" si="280"/>
        <v>0</v>
      </c>
      <c r="AS140" s="457"/>
      <c r="AT140" s="455">
        <f t="shared" si="325"/>
        <v>0</v>
      </c>
      <c r="AU140" s="455">
        <f t="shared" si="326"/>
        <v>0</v>
      </c>
      <c r="AV140" s="455">
        <f t="shared" si="327"/>
        <v>0</v>
      </c>
      <c r="AW140" s="455">
        <f t="shared" si="328"/>
        <v>0</v>
      </c>
      <c r="AX140" s="455">
        <f t="shared" si="329"/>
        <v>0</v>
      </c>
      <c r="AY140" s="455">
        <f t="shared" si="330"/>
        <v>0</v>
      </c>
      <c r="AZ140" s="455">
        <f t="shared" si="331"/>
        <v>0</v>
      </c>
      <c r="BA140" s="455">
        <f t="shared" si="332"/>
        <v>0</v>
      </c>
      <c r="BB140" s="455">
        <f t="shared" si="333"/>
        <v>0</v>
      </c>
      <c r="BC140" s="455">
        <f t="shared" si="334"/>
        <v>0</v>
      </c>
      <c r="BD140" s="456">
        <f t="shared" si="281"/>
        <v>0</v>
      </c>
      <c r="BE140" s="457"/>
      <c r="BF140" s="455">
        <f t="shared" si="335"/>
        <v>0</v>
      </c>
      <c r="BG140" s="455">
        <f t="shared" si="336"/>
        <v>0</v>
      </c>
      <c r="BH140" s="455">
        <f t="shared" si="337"/>
        <v>0</v>
      </c>
      <c r="BI140" s="455">
        <f t="shared" si="338"/>
        <v>0</v>
      </c>
      <c r="BJ140" s="455">
        <f t="shared" si="339"/>
        <v>0</v>
      </c>
      <c r="BK140" s="455">
        <f t="shared" si="340"/>
        <v>0</v>
      </c>
      <c r="BL140" s="455">
        <f t="shared" si="341"/>
        <v>0</v>
      </c>
      <c r="BM140" s="455">
        <f t="shared" si="342"/>
        <v>0</v>
      </c>
      <c r="BN140" s="455">
        <f t="shared" si="343"/>
        <v>0</v>
      </c>
      <c r="BO140" s="455">
        <f t="shared" si="344"/>
        <v>0</v>
      </c>
      <c r="BP140" s="456">
        <f t="shared" si="282"/>
        <v>0</v>
      </c>
      <c r="BQ140" s="463"/>
      <c r="BR140" s="459">
        <f t="shared" si="345"/>
        <v>0</v>
      </c>
      <c r="BS140" s="459">
        <f t="shared" si="346"/>
        <v>0</v>
      </c>
      <c r="BT140" s="459">
        <f t="shared" si="347"/>
        <v>0</v>
      </c>
      <c r="BU140" s="459">
        <f t="shared" si="348"/>
        <v>0</v>
      </c>
      <c r="BV140" s="459">
        <f t="shared" si="349"/>
        <v>0</v>
      </c>
      <c r="BW140" s="459">
        <f t="shared" si="350"/>
        <v>0</v>
      </c>
      <c r="BX140" s="459">
        <f t="shared" si="351"/>
        <v>0</v>
      </c>
      <c r="BY140" s="459">
        <f t="shared" si="352"/>
        <v>0</v>
      </c>
      <c r="BZ140" s="459">
        <f t="shared" si="353"/>
        <v>0</v>
      </c>
      <c r="CA140" s="459">
        <f t="shared" si="354"/>
        <v>0</v>
      </c>
      <c r="CB140" s="460">
        <f t="shared" si="283"/>
        <v>0</v>
      </c>
      <c r="CC140" s="463"/>
      <c r="CD140" s="462">
        <f t="shared" si="355"/>
        <v>0</v>
      </c>
      <c r="CE140" s="462">
        <f t="shared" si="356"/>
        <v>0</v>
      </c>
      <c r="CF140" s="462">
        <f t="shared" si="357"/>
        <v>0</v>
      </c>
      <c r="CG140" s="462">
        <f t="shared" si="358"/>
        <v>0</v>
      </c>
      <c r="CH140" s="462">
        <f t="shared" si="359"/>
        <v>0</v>
      </c>
      <c r="CI140" s="462">
        <f t="shared" si="360"/>
        <v>0</v>
      </c>
      <c r="CJ140" s="462">
        <f t="shared" si="361"/>
        <v>0</v>
      </c>
      <c r="CK140" s="462">
        <f t="shared" si="362"/>
        <v>0</v>
      </c>
      <c r="CL140" s="462">
        <f t="shared" si="363"/>
        <v>0</v>
      </c>
      <c r="CM140" s="462">
        <f t="shared" si="364"/>
        <v>0</v>
      </c>
      <c r="CN140" s="460">
        <f t="shared" si="284"/>
        <v>0</v>
      </c>
      <c r="CO140" s="463"/>
      <c r="CP140" s="459">
        <f t="shared" si="365"/>
        <v>0</v>
      </c>
      <c r="CQ140" s="459">
        <f t="shared" si="366"/>
        <v>0</v>
      </c>
      <c r="CR140" s="459">
        <f t="shared" si="367"/>
        <v>0</v>
      </c>
      <c r="CS140" s="459">
        <f t="shared" si="368"/>
        <v>0</v>
      </c>
      <c r="CT140" s="459">
        <f t="shared" si="369"/>
        <v>0</v>
      </c>
      <c r="CU140" s="459">
        <f t="shared" si="370"/>
        <v>0</v>
      </c>
      <c r="CV140" s="459">
        <f t="shared" si="371"/>
        <v>0</v>
      </c>
      <c r="CW140" s="459">
        <f t="shared" si="372"/>
        <v>0</v>
      </c>
      <c r="CX140" s="459">
        <f t="shared" si="373"/>
        <v>0</v>
      </c>
      <c r="CY140" s="459">
        <f t="shared" si="374"/>
        <v>0</v>
      </c>
      <c r="CZ140" s="460">
        <f t="shared" si="285"/>
        <v>0</v>
      </c>
      <c r="DA140" s="463"/>
      <c r="DB140" s="459">
        <f t="shared" si="375"/>
        <v>0</v>
      </c>
      <c r="DC140" s="459">
        <f t="shared" si="376"/>
        <v>0</v>
      </c>
      <c r="DD140" s="459">
        <f t="shared" si="377"/>
        <v>0</v>
      </c>
      <c r="DE140" s="459">
        <f t="shared" si="378"/>
        <v>0</v>
      </c>
      <c r="DF140" s="459">
        <f t="shared" si="379"/>
        <v>0</v>
      </c>
      <c r="DG140" s="459">
        <f t="shared" si="380"/>
        <v>0</v>
      </c>
      <c r="DH140" s="459">
        <f t="shared" si="381"/>
        <v>0</v>
      </c>
      <c r="DI140" s="459">
        <f t="shared" si="382"/>
        <v>0</v>
      </c>
      <c r="DJ140" s="459">
        <f t="shared" si="383"/>
        <v>0</v>
      </c>
      <c r="DK140" s="459">
        <f t="shared" si="384"/>
        <v>0</v>
      </c>
      <c r="DL140" s="460">
        <f t="shared" si="286"/>
        <v>0</v>
      </c>
      <c r="DM140" s="463"/>
      <c r="DN140" s="442">
        <f>IF('2. START'!$C$14&gt;0,(AT140/(1+$AA140))*(1+'2. START'!$C$14),AT140)</f>
        <v>0</v>
      </c>
      <c r="DO140" s="442">
        <f>IF('2. START'!$C$14&gt;0,(AU140/(1+$AA140))*(1+'2. START'!$C$14),AU140)</f>
        <v>0</v>
      </c>
      <c r="DP140" s="442">
        <f>IF('2. START'!$C$14&gt;0,(AV140/(1+$AA140))*(1+'2. START'!$C$14),AV140)</f>
        <v>0</v>
      </c>
      <c r="DQ140" s="442">
        <f>IF('2. START'!$C$14&gt;0,(AW140/(1+$AA140))*(1+'2. START'!$C$14),AW140)</f>
        <v>0</v>
      </c>
      <c r="DR140" s="442">
        <f>IF('2. START'!$C$14&gt;0,(AX140/(1+$AA140))*(1+'2. START'!$C$14),AX140)</f>
        <v>0</v>
      </c>
      <c r="DS140" s="442">
        <f>IF('2. START'!$C$14&gt;0,(AY140/(1+$AA140))*(1+'2. START'!$C$14),AY140)</f>
        <v>0</v>
      </c>
      <c r="DT140" s="442">
        <f>IF('2. START'!$C$14&gt;0,(AZ140/(1+$AA140))*(1+'2. START'!$C$14),AZ140)</f>
        <v>0</v>
      </c>
      <c r="DU140" s="442">
        <f>IF('2. START'!$C$14&gt;0,(BA140/(1+$AA140))*(1+'2. START'!$C$14),BA140)</f>
        <v>0</v>
      </c>
      <c r="DV140" s="442">
        <f>IF('2. START'!$C$14&gt;0,(BB140/(1+$AA140))*(1+'2. START'!$C$14),BB140)</f>
        <v>0</v>
      </c>
      <c r="DW140" s="442">
        <f>IF('2. START'!$C$14&gt;0,(BC140/(1+$AA140))*(1+'2. START'!$C$14),BC140)</f>
        <v>0</v>
      </c>
      <c r="DX140" s="460">
        <f t="shared" si="287"/>
        <v>0</v>
      </c>
      <c r="DY140" s="463"/>
      <c r="DZ140" s="459">
        <f>IF('2. START'!$C$11="NO",(IF('2. START'!$C$14&gt;0,(DN140*$AD140),(AT140*$AD140))),(BR140+CP140))</f>
        <v>0</v>
      </c>
      <c r="EA140" s="459">
        <f>IF('2. START'!$C$11="NO",(IF('2. START'!$C$14&gt;0,(DO140*$AD140),(AU140*$AD140))),(BS140+CQ140))</f>
        <v>0</v>
      </c>
      <c r="EB140" s="459">
        <f>IF('2. START'!$C$11="NO",(IF('2. START'!$C$14&gt;0,(DP140*$AD140),(AV140*$AD140))),(BT140+CR140))</f>
        <v>0</v>
      </c>
      <c r="EC140" s="459">
        <f>IF('2. START'!$C$11="NO",(IF('2. START'!$C$14&gt;0,(DQ140*$AD140),(AW140*$AD140))),(BU140+CS140))</f>
        <v>0</v>
      </c>
      <c r="ED140" s="459">
        <f>IF('2. START'!$C$11="NO",(IF('2. START'!$C$14&gt;0,(DR140*$AD140),(AX140*$AD140))),(BV140+CT140))</f>
        <v>0</v>
      </c>
      <c r="EE140" s="459">
        <f>IF('2. START'!$C$11="NO",(IF('2. START'!$C$14&gt;0,(DS140*$AD140),(AY140*$AD140))),(BW140+CU140))</f>
        <v>0</v>
      </c>
      <c r="EF140" s="459">
        <f>IF('2. START'!$C$11="NO",(IF('2. START'!$C$14&gt;0,(DT140*$AD140),(AZ140*$AD140))),(BX140+CV140))</f>
        <v>0</v>
      </c>
      <c r="EG140" s="459">
        <f>IF('2. START'!$C$11="NO",(IF('2. START'!$C$14&gt;0,(DU140*$AD140),(BA140*$AD140))),(BY140+CW140))</f>
        <v>0</v>
      </c>
      <c r="EH140" s="459">
        <f>IF('2. START'!$C$11="NO",(IF('2. START'!$C$14&gt;0,(DV140*$AD140),(BB140*$AD140))),(BZ140+CX140))</f>
        <v>0</v>
      </c>
      <c r="EI140" s="459">
        <f>IF('2. START'!$C$11="NO",(IF('2. START'!$C$14&gt;0,(DW140*$AD140),(BC140*$AD140))),(CA140+CY140))</f>
        <v>0</v>
      </c>
      <c r="EJ140" s="460">
        <f t="shared" si="288"/>
        <v>0</v>
      </c>
      <c r="EK140" s="463"/>
      <c r="EL140" s="459">
        <f>(BR140+CP140-DZ140)+IF('2. START'!$C$14&gt;0,AT140-DN140,0)</f>
        <v>0</v>
      </c>
      <c r="EM140" s="459">
        <f>(BS140+CQ140-EA140)+IF('2. START'!$C$14&gt;0,AU140-DO140,0)</f>
        <v>0</v>
      </c>
      <c r="EN140" s="459">
        <f>(BT140+CR140-EB140)+IF('2. START'!$C$14&gt;0,AV140-DP140,0)</f>
        <v>0</v>
      </c>
      <c r="EO140" s="459">
        <f>(BU140+CS140-EC140)+IF('2. START'!$C$14&gt;0,AW140-DQ140,0)</f>
        <v>0</v>
      </c>
      <c r="EP140" s="459">
        <f>(BV140+CT140-ED140)+IF('2. START'!$C$14&gt;0,AX140-DR140,0)</f>
        <v>0</v>
      </c>
      <c r="EQ140" s="459">
        <f>(BW140+CU140-EE140)+IF('2. START'!$C$14&gt;0,AY140-DS140,0)</f>
        <v>0</v>
      </c>
      <c r="ER140" s="459">
        <f>(BX140+CV140-EF140)+IF('2. START'!$C$14&gt;0,AZ140-DT140,0)</f>
        <v>0</v>
      </c>
      <c r="ES140" s="459">
        <f>(BY140+CW140-EG140)+IF('2. START'!$C$14&gt;0,BA140-DU140,0)</f>
        <v>0</v>
      </c>
      <c r="ET140" s="459">
        <f>(BZ140+CX140-EH140)+IF('2. START'!$C$14&gt;0,BB140-DV140,0)</f>
        <v>0</v>
      </c>
      <c r="EU140" s="459">
        <f>(CA140+CY140-EI140)+IF('2. START'!$C$14&gt;0,BC140-DW140,0)</f>
        <v>0</v>
      </c>
      <c r="EV140" s="460">
        <f t="shared" si="289"/>
        <v>0</v>
      </c>
      <c r="EW140" s="463"/>
      <c r="EX140" s="459">
        <f t="shared" si="290"/>
        <v>0</v>
      </c>
      <c r="EY140" s="459">
        <f t="shared" si="291"/>
        <v>0</v>
      </c>
      <c r="EZ140" s="459">
        <f t="shared" si="292"/>
        <v>0</v>
      </c>
      <c r="FA140" s="459">
        <f t="shared" si="293"/>
        <v>0</v>
      </c>
      <c r="FB140" s="459">
        <f t="shared" si="294"/>
        <v>0</v>
      </c>
      <c r="FC140" s="459">
        <f t="shared" si="295"/>
        <v>0</v>
      </c>
      <c r="FD140" s="459">
        <f t="shared" si="296"/>
        <v>0</v>
      </c>
      <c r="FE140" s="459">
        <f t="shared" si="297"/>
        <v>0</v>
      </c>
      <c r="FF140" s="459">
        <f t="shared" si="298"/>
        <v>0</v>
      </c>
      <c r="FG140" s="459">
        <f t="shared" si="299"/>
        <v>0</v>
      </c>
      <c r="FH140" s="460">
        <f t="shared" si="300"/>
        <v>0</v>
      </c>
      <c r="FI140" s="463"/>
      <c r="FJ140" s="459">
        <f t="shared" si="301"/>
        <v>0</v>
      </c>
      <c r="FK140" s="459">
        <f t="shared" si="302"/>
        <v>0</v>
      </c>
      <c r="FL140" s="459">
        <f t="shared" si="303"/>
        <v>0</v>
      </c>
      <c r="FM140" s="459">
        <f t="shared" si="304"/>
        <v>0</v>
      </c>
      <c r="FN140" s="459">
        <f t="shared" si="305"/>
        <v>0</v>
      </c>
      <c r="FO140" s="459">
        <f t="shared" si="306"/>
        <v>0</v>
      </c>
      <c r="FP140" s="459">
        <f t="shared" si="307"/>
        <v>0</v>
      </c>
      <c r="FQ140" s="459">
        <f t="shared" si="308"/>
        <v>0</v>
      </c>
      <c r="FR140" s="459">
        <f t="shared" si="309"/>
        <v>0</v>
      </c>
      <c r="FS140" s="459">
        <f t="shared" si="310"/>
        <v>0</v>
      </c>
      <c r="FT140" s="460">
        <f t="shared" si="311"/>
        <v>0</v>
      </c>
    </row>
    <row r="141" spans="2:176" s="270" customFormat="1" ht="15" customHeight="1" x14ac:dyDescent="0.25">
      <c r="B141" s="464" t="str">
        <f>'2. START'!C$7</f>
        <v>100GEM</v>
      </c>
      <c r="C141" s="470"/>
      <c r="D141" s="590"/>
      <c r="E141" s="514">
        <v>0</v>
      </c>
      <c r="F141" s="467"/>
      <c r="G141" s="432"/>
      <c r="H141" s="432"/>
      <c r="I141" s="432"/>
      <c r="J141" s="432"/>
      <c r="K141" s="432"/>
      <c r="L141" s="432"/>
      <c r="M141" s="432"/>
      <c r="N141" s="432"/>
      <c r="O141" s="432"/>
      <c r="P141" s="432"/>
      <c r="Q141" s="545">
        <f>SUMIF('3. PARTNER'!$B$13:$B$80,$B141,'3. PARTNER'!$F$13:$F$80)</f>
        <v>0.02</v>
      </c>
      <c r="R141" s="466">
        <f t="shared" si="387"/>
        <v>0.02</v>
      </c>
      <c r="S141" s="466">
        <f t="shared" si="387"/>
        <v>0.02</v>
      </c>
      <c r="T141" s="466">
        <f t="shared" si="387"/>
        <v>0.02</v>
      </c>
      <c r="U141" s="466">
        <f t="shared" si="387"/>
        <v>0.02</v>
      </c>
      <c r="V141" s="466">
        <f t="shared" si="387"/>
        <v>0.02</v>
      </c>
      <c r="W141" s="466">
        <f t="shared" si="387"/>
        <v>0.02</v>
      </c>
      <c r="X141" s="466">
        <f t="shared" si="387"/>
        <v>0.02</v>
      </c>
      <c r="Y141" s="466">
        <f t="shared" si="387"/>
        <v>0.02</v>
      </c>
      <c r="Z141" s="466">
        <f t="shared" si="387"/>
        <v>0.02</v>
      </c>
      <c r="AA141" s="434">
        <f>SUMIF('3. PARTNER'!B$13:B$80,B141,'3. PARTNER'!E$13:E$80)</f>
        <v>0.5595</v>
      </c>
      <c r="AB141" s="435">
        <f>IF('2. START'!$C$20="UTB",(SUMIF('3. PARTNER'!B$13:B$80,B141,'3. PARTNER'!K$13:K$80))+(SUMIF('3. PARTNER'!B$13:B$80,B141,'3. PARTNER'!M$13:M$80)),(SUMIF('3. PARTNER'!B$13:B$80,B141,'3. PARTNER'!G$13:G$80))+(SUMIF('3. PARTNER'!B$13:B$80,B141,'3. PARTNER'!I$13:I$80)))</f>
        <v>0.16000843770704321</v>
      </c>
      <c r="AC141" s="435">
        <f>IF('2. START'!$C$20="UTB",(SUMIF('3. PARTNER'!B$13:B$80,B141,'3. PARTNER'!L$13:L$80))+(SUMIF('3. PARTNER'!B$13:B$80,B141,'3. PARTNER'!N$13:N$80)),(SUMIF('3. PARTNER'!B$13:B$80,B141,'3. PARTNER'!H$13:H$80))+(SUMIF('3. PARTNER'!B$13:B$80,B141,'3. PARTNER'!J$13:J$80)))</f>
        <v>0</v>
      </c>
      <c r="AD141" s="435">
        <f>IF('2. START'!C$11="NO",'2. START'!C$12,0)</f>
        <v>0</v>
      </c>
      <c r="AE141" s="436">
        <f t="shared" si="278"/>
        <v>0</v>
      </c>
      <c r="AF141" s="436">
        <f t="shared" si="279"/>
        <v>0</v>
      </c>
      <c r="AG141" s="437"/>
      <c r="AH141" s="438">
        <f t="shared" si="315"/>
        <v>0</v>
      </c>
      <c r="AI141" s="438">
        <f t="shared" si="316"/>
        <v>0</v>
      </c>
      <c r="AJ141" s="438">
        <f t="shared" si="317"/>
        <v>0</v>
      </c>
      <c r="AK141" s="438">
        <f t="shared" si="318"/>
        <v>0</v>
      </c>
      <c r="AL141" s="438">
        <f t="shared" si="319"/>
        <v>0</v>
      </c>
      <c r="AM141" s="438">
        <f t="shared" si="320"/>
        <v>0</v>
      </c>
      <c r="AN141" s="438">
        <f t="shared" si="321"/>
        <v>0</v>
      </c>
      <c r="AO141" s="438">
        <f t="shared" si="322"/>
        <v>0</v>
      </c>
      <c r="AP141" s="438">
        <f t="shared" si="323"/>
        <v>0</v>
      </c>
      <c r="AQ141" s="438">
        <f t="shared" si="324"/>
        <v>0</v>
      </c>
      <c r="AR141" s="439">
        <f t="shared" si="280"/>
        <v>0</v>
      </c>
      <c r="AS141" s="440"/>
      <c r="AT141" s="438">
        <f t="shared" si="325"/>
        <v>0</v>
      </c>
      <c r="AU141" s="438">
        <f t="shared" si="326"/>
        <v>0</v>
      </c>
      <c r="AV141" s="438">
        <f t="shared" si="327"/>
        <v>0</v>
      </c>
      <c r="AW141" s="438">
        <f t="shared" si="328"/>
        <v>0</v>
      </c>
      <c r="AX141" s="438">
        <f t="shared" si="329"/>
        <v>0</v>
      </c>
      <c r="AY141" s="438">
        <f t="shared" si="330"/>
        <v>0</v>
      </c>
      <c r="AZ141" s="438">
        <f t="shared" si="331"/>
        <v>0</v>
      </c>
      <c r="BA141" s="438">
        <f t="shared" si="332"/>
        <v>0</v>
      </c>
      <c r="BB141" s="438">
        <f t="shared" si="333"/>
        <v>0</v>
      </c>
      <c r="BC141" s="438">
        <f t="shared" si="334"/>
        <v>0</v>
      </c>
      <c r="BD141" s="439">
        <f t="shared" si="281"/>
        <v>0</v>
      </c>
      <c r="BE141" s="440"/>
      <c r="BF141" s="438">
        <f t="shared" si="335"/>
        <v>0</v>
      </c>
      <c r="BG141" s="438">
        <f t="shared" si="336"/>
        <v>0</v>
      </c>
      <c r="BH141" s="438">
        <f t="shared" si="337"/>
        <v>0</v>
      </c>
      <c r="BI141" s="438">
        <f t="shared" si="338"/>
        <v>0</v>
      </c>
      <c r="BJ141" s="438">
        <f t="shared" si="339"/>
        <v>0</v>
      </c>
      <c r="BK141" s="438">
        <f t="shared" si="340"/>
        <v>0</v>
      </c>
      <c r="BL141" s="438">
        <f t="shared" si="341"/>
        <v>0</v>
      </c>
      <c r="BM141" s="438">
        <f t="shared" si="342"/>
        <v>0</v>
      </c>
      <c r="BN141" s="438">
        <f t="shared" si="343"/>
        <v>0</v>
      </c>
      <c r="BO141" s="438">
        <f t="shared" si="344"/>
        <v>0</v>
      </c>
      <c r="BP141" s="439">
        <f t="shared" si="282"/>
        <v>0</v>
      </c>
      <c r="BR141" s="442">
        <f t="shared" si="345"/>
        <v>0</v>
      </c>
      <c r="BS141" s="442">
        <f t="shared" si="346"/>
        <v>0</v>
      </c>
      <c r="BT141" s="442">
        <f t="shared" si="347"/>
        <v>0</v>
      </c>
      <c r="BU141" s="442">
        <f t="shared" si="348"/>
        <v>0</v>
      </c>
      <c r="BV141" s="442">
        <f t="shared" si="349"/>
        <v>0</v>
      </c>
      <c r="BW141" s="442">
        <f t="shared" si="350"/>
        <v>0</v>
      </c>
      <c r="BX141" s="442">
        <f t="shared" si="351"/>
        <v>0</v>
      </c>
      <c r="BY141" s="442">
        <f t="shared" si="352"/>
        <v>0</v>
      </c>
      <c r="BZ141" s="442">
        <f t="shared" si="353"/>
        <v>0</v>
      </c>
      <c r="CA141" s="442">
        <f t="shared" si="354"/>
        <v>0</v>
      </c>
      <c r="CB141" s="443">
        <f t="shared" si="283"/>
        <v>0</v>
      </c>
      <c r="CD141" s="445">
        <f t="shared" si="355"/>
        <v>0</v>
      </c>
      <c r="CE141" s="445">
        <f t="shared" si="356"/>
        <v>0</v>
      </c>
      <c r="CF141" s="445">
        <f t="shared" si="357"/>
        <v>0</v>
      </c>
      <c r="CG141" s="445">
        <f t="shared" si="358"/>
        <v>0</v>
      </c>
      <c r="CH141" s="445">
        <f t="shared" si="359"/>
        <v>0</v>
      </c>
      <c r="CI141" s="445">
        <f t="shared" si="360"/>
        <v>0</v>
      </c>
      <c r="CJ141" s="445">
        <f t="shared" si="361"/>
        <v>0</v>
      </c>
      <c r="CK141" s="445">
        <f t="shared" si="362"/>
        <v>0</v>
      </c>
      <c r="CL141" s="445">
        <f t="shared" si="363"/>
        <v>0</v>
      </c>
      <c r="CM141" s="445">
        <f t="shared" si="364"/>
        <v>0</v>
      </c>
      <c r="CN141" s="443">
        <f t="shared" si="284"/>
        <v>0</v>
      </c>
      <c r="CP141" s="442">
        <f t="shared" si="365"/>
        <v>0</v>
      </c>
      <c r="CQ141" s="442">
        <f t="shared" si="366"/>
        <v>0</v>
      </c>
      <c r="CR141" s="442">
        <f t="shared" si="367"/>
        <v>0</v>
      </c>
      <c r="CS141" s="442">
        <f t="shared" si="368"/>
        <v>0</v>
      </c>
      <c r="CT141" s="442">
        <f t="shared" si="369"/>
        <v>0</v>
      </c>
      <c r="CU141" s="442">
        <f t="shared" si="370"/>
        <v>0</v>
      </c>
      <c r="CV141" s="442">
        <f t="shared" si="371"/>
        <v>0</v>
      </c>
      <c r="CW141" s="442">
        <f t="shared" si="372"/>
        <v>0</v>
      </c>
      <c r="CX141" s="442">
        <f t="shared" si="373"/>
        <v>0</v>
      </c>
      <c r="CY141" s="442">
        <f t="shared" si="374"/>
        <v>0</v>
      </c>
      <c r="CZ141" s="443">
        <f t="shared" si="285"/>
        <v>0</v>
      </c>
      <c r="DB141" s="442">
        <f t="shared" si="375"/>
        <v>0</v>
      </c>
      <c r="DC141" s="442">
        <f t="shared" si="376"/>
        <v>0</v>
      </c>
      <c r="DD141" s="442">
        <f t="shared" si="377"/>
        <v>0</v>
      </c>
      <c r="DE141" s="442">
        <f t="shared" si="378"/>
        <v>0</v>
      </c>
      <c r="DF141" s="442">
        <f t="shared" si="379"/>
        <v>0</v>
      </c>
      <c r="DG141" s="442">
        <f t="shared" si="380"/>
        <v>0</v>
      </c>
      <c r="DH141" s="442">
        <f t="shared" si="381"/>
        <v>0</v>
      </c>
      <c r="DI141" s="442">
        <f t="shared" si="382"/>
        <v>0</v>
      </c>
      <c r="DJ141" s="442">
        <f t="shared" si="383"/>
        <v>0</v>
      </c>
      <c r="DK141" s="442">
        <f t="shared" si="384"/>
        <v>0</v>
      </c>
      <c r="DL141" s="443">
        <f t="shared" si="286"/>
        <v>0</v>
      </c>
      <c r="DN141" s="442">
        <f>IF('2. START'!$C$14&gt;0,(AT141/(1+$AA141))*(1+'2. START'!$C$14),AT141)</f>
        <v>0</v>
      </c>
      <c r="DO141" s="442">
        <f>IF('2. START'!$C$14&gt;0,(AU141/(1+$AA141))*(1+'2. START'!$C$14),AU141)</f>
        <v>0</v>
      </c>
      <c r="DP141" s="442">
        <f>IF('2. START'!$C$14&gt;0,(AV141/(1+$AA141))*(1+'2. START'!$C$14),AV141)</f>
        <v>0</v>
      </c>
      <c r="DQ141" s="442">
        <f>IF('2. START'!$C$14&gt;0,(AW141/(1+$AA141))*(1+'2. START'!$C$14),AW141)</f>
        <v>0</v>
      </c>
      <c r="DR141" s="442">
        <f>IF('2. START'!$C$14&gt;0,(AX141/(1+$AA141))*(1+'2. START'!$C$14),AX141)</f>
        <v>0</v>
      </c>
      <c r="DS141" s="442">
        <f>IF('2. START'!$C$14&gt;0,(AY141/(1+$AA141))*(1+'2. START'!$C$14),AY141)</f>
        <v>0</v>
      </c>
      <c r="DT141" s="442">
        <f>IF('2. START'!$C$14&gt;0,(AZ141/(1+$AA141))*(1+'2. START'!$C$14),AZ141)</f>
        <v>0</v>
      </c>
      <c r="DU141" s="442">
        <f>IF('2. START'!$C$14&gt;0,(BA141/(1+$AA141))*(1+'2. START'!$C$14),BA141)</f>
        <v>0</v>
      </c>
      <c r="DV141" s="442">
        <f>IF('2. START'!$C$14&gt;0,(BB141/(1+$AA141))*(1+'2. START'!$C$14),BB141)</f>
        <v>0</v>
      </c>
      <c r="DW141" s="442">
        <f>IF('2. START'!$C$14&gt;0,(BC141/(1+$AA141))*(1+'2. START'!$C$14),BC141)</f>
        <v>0</v>
      </c>
      <c r="DX141" s="443">
        <f t="shared" si="287"/>
        <v>0</v>
      </c>
      <c r="DZ141" s="442">
        <f>IF('2. START'!$C$11="NO",(IF('2. START'!$C$14&gt;0,(DN141*$AD141),(AT141*$AD141))),(BR141+CP141))</f>
        <v>0</v>
      </c>
      <c r="EA141" s="442">
        <f>IF('2. START'!$C$11="NO",(IF('2. START'!$C$14&gt;0,(DO141*$AD141),(AU141*$AD141))),(BS141+CQ141))</f>
        <v>0</v>
      </c>
      <c r="EB141" s="442">
        <f>IF('2. START'!$C$11="NO",(IF('2. START'!$C$14&gt;0,(DP141*$AD141),(AV141*$AD141))),(BT141+CR141))</f>
        <v>0</v>
      </c>
      <c r="EC141" s="442">
        <f>IF('2. START'!$C$11="NO",(IF('2. START'!$C$14&gt;0,(DQ141*$AD141),(AW141*$AD141))),(BU141+CS141))</f>
        <v>0</v>
      </c>
      <c r="ED141" s="442">
        <f>IF('2. START'!$C$11="NO",(IF('2. START'!$C$14&gt;0,(DR141*$AD141),(AX141*$AD141))),(BV141+CT141))</f>
        <v>0</v>
      </c>
      <c r="EE141" s="442">
        <f>IF('2. START'!$C$11="NO",(IF('2. START'!$C$14&gt;0,(DS141*$AD141),(AY141*$AD141))),(BW141+CU141))</f>
        <v>0</v>
      </c>
      <c r="EF141" s="442">
        <f>IF('2. START'!$C$11="NO",(IF('2. START'!$C$14&gt;0,(DT141*$AD141),(AZ141*$AD141))),(BX141+CV141))</f>
        <v>0</v>
      </c>
      <c r="EG141" s="442">
        <f>IF('2. START'!$C$11="NO",(IF('2. START'!$C$14&gt;0,(DU141*$AD141),(BA141*$AD141))),(BY141+CW141))</f>
        <v>0</v>
      </c>
      <c r="EH141" s="442">
        <f>IF('2. START'!$C$11="NO",(IF('2. START'!$C$14&gt;0,(DV141*$AD141),(BB141*$AD141))),(BZ141+CX141))</f>
        <v>0</v>
      </c>
      <c r="EI141" s="442">
        <f>IF('2. START'!$C$11="NO",(IF('2. START'!$C$14&gt;0,(DW141*$AD141),(BC141*$AD141))),(CA141+CY141))</f>
        <v>0</v>
      </c>
      <c r="EJ141" s="443">
        <f t="shared" si="288"/>
        <v>0</v>
      </c>
      <c r="EL141" s="442">
        <f>(BR141+CP141-DZ141)+IF('2. START'!$C$14&gt;0,AT141-DN141,0)</f>
        <v>0</v>
      </c>
      <c r="EM141" s="442">
        <f>(BS141+CQ141-EA141)+IF('2. START'!$C$14&gt;0,AU141-DO141,0)</f>
        <v>0</v>
      </c>
      <c r="EN141" s="442">
        <f>(BT141+CR141-EB141)+IF('2. START'!$C$14&gt;0,AV141-DP141,0)</f>
        <v>0</v>
      </c>
      <c r="EO141" s="442">
        <f>(BU141+CS141-EC141)+IF('2. START'!$C$14&gt;0,AW141-DQ141,0)</f>
        <v>0</v>
      </c>
      <c r="EP141" s="442">
        <f>(BV141+CT141-ED141)+IF('2. START'!$C$14&gt;0,AX141-DR141,0)</f>
        <v>0</v>
      </c>
      <c r="EQ141" s="442">
        <f>(BW141+CU141-EE141)+IF('2. START'!$C$14&gt;0,AY141-DS141,0)</f>
        <v>0</v>
      </c>
      <c r="ER141" s="442">
        <f>(BX141+CV141-EF141)+IF('2. START'!$C$14&gt;0,AZ141-DT141,0)</f>
        <v>0</v>
      </c>
      <c r="ES141" s="442">
        <f>(BY141+CW141-EG141)+IF('2. START'!$C$14&gt;0,BA141-DU141,0)</f>
        <v>0</v>
      </c>
      <c r="ET141" s="442">
        <f>(BZ141+CX141-EH141)+IF('2. START'!$C$14&gt;0,BB141-DV141,0)</f>
        <v>0</v>
      </c>
      <c r="EU141" s="442">
        <f>(CA141+CY141-EI141)+IF('2. START'!$C$14&gt;0,BC141-DW141,0)</f>
        <v>0</v>
      </c>
      <c r="EV141" s="443">
        <f t="shared" si="289"/>
        <v>0</v>
      </c>
      <c r="EX141" s="442">
        <f t="shared" si="290"/>
        <v>0</v>
      </c>
      <c r="EY141" s="442">
        <f t="shared" si="291"/>
        <v>0</v>
      </c>
      <c r="EZ141" s="442">
        <f t="shared" si="292"/>
        <v>0</v>
      </c>
      <c r="FA141" s="442">
        <f t="shared" si="293"/>
        <v>0</v>
      </c>
      <c r="FB141" s="442">
        <f t="shared" si="294"/>
        <v>0</v>
      </c>
      <c r="FC141" s="442">
        <f t="shared" si="295"/>
        <v>0</v>
      </c>
      <c r="FD141" s="442">
        <f t="shared" si="296"/>
        <v>0</v>
      </c>
      <c r="FE141" s="442">
        <f t="shared" si="297"/>
        <v>0</v>
      </c>
      <c r="FF141" s="442">
        <f t="shared" si="298"/>
        <v>0</v>
      </c>
      <c r="FG141" s="442">
        <f t="shared" si="299"/>
        <v>0</v>
      </c>
      <c r="FH141" s="443">
        <f t="shared" si="300"/>
        <v>0</v>
      </c>
      <c r="FJ141" s="442">
        <f t="shared" si="301"/>
        <v>0</v>
      </c>
      <c r="FK141" s="442">
        <f t="shared" si="302"/>
        <v>0</v>
      </c>
      <c r="FL141" s="442">
        <f t="shared" si="303"/>
        <v>0</v>
      </c>
      <c r="FM141" s="442">
        <f t="shared" si="304"/>
        <v>0</v>
      </c>
      <c r="FN141" s="442">
        <f t="shared" si="305"/>
        <v>0</v>
      </c>
      <c r="FO141" s="442">
        <f t="shared" si="306"/>
        <v>0</v>
      </c>
      <c r="FP141" s="442">
        <f t="shared" si="307"/>
        <v>0</v>
      </c>
      <c r="FQ141" s="442">
        <f t="shared" si="308"/>
        <v>0</v>
      </c>
      <c r="FR141" s="442">
        <f t="shared" si="309"/>
        <v>0</v>
      </c>
      <c r="FS141" s="442">
        <f t="shared" si="310"/>
        <v>0</v>
      </c>
      <c r="FT141" s="443">
        <f t="shared" si="311"/>
        <v>0</v>
      </c>
    </row>
    <row r="142" spans="2:176" s="270" customFormat="1" ht="15" customHeight="1" x14ac:dyDescent="0.25">
      <c r="B142" s="446" t="str">
        <f>'2. START'!C$7</f>
        <v>100GEM</v>
      </c>
      <c r="C142" s="469"/>
      <c r="D142" s="589"/>
      <c r="E142" s="544">
        <v>0</v>
      </c>
      <c r="F142" s="448"/>
      <c r="G142" s="449"/>
      <c r="H142" s="449"/>
      <c r="I142" s="449"/>
      <c r="J142" s="449"/>
      <c r="K142" s="449"/>
      <c r="L142" s="449"/>
      <c r="M142" s="449"/>
      <c r="N142" s="449"/>
      <c r="O142" s="449"/>
      <c r="P142" s="449"/>
      <c r="Q142" s="546">
        <f>SUMIF('3. PARTNER'!$B$13:$B$80,$B142,'3. PARTNER'!$F$13:$F$80)</f>
        <v>0.02</v>
      </c>
      <c r="R142" s="450">
        <f t="shared" si="387"/>
        <v>0.02</v>
      </c>
      <c r="S142" s="450">
        <f t="shared" si="387"/>
        <v>0.02</v>
      </c>
      <c r="T142" s="450">
        <f t="shared" si="387"/>
        <v>0.02</v>
      </c>
      <c r="U142" s="450">
        <f t="shared" si="387"/>
        <v>0.02</v>
      </c>
      <c r="V142" s="450">
        <f t="shared" si="387"/>
        <v>0.02</v>
      </c>
      <c r="W142" s="450">
        <f t="shared" si="387"/>
        <v>0.02</v>
      </c>
      <c r="X142" s="450">
        <f t="shared" si="387"/>
        <v>0.02</v>
      </c>
      <c r="Y142" s="450">
        <f t="shared" si="387"/>
        <v>0.02</v>
      </c>
      <c r="Z142" s="450">
        <f t="shared" si="387"/>
        <v>0.02</v>
      </c>
      <c r="AA142" s="451">
        <f>SUMIF('3. PARTNER'!B$13:B$80,B142,'3. PARTNER'!E$13:E$80)</f>
        <v>0.5595</v>
      </c>
      <c r="AB142" s="452">
        <f>IF('2. START'!$C$20="UTB",(SUMIF('3. PARTNER'!B$13:B$80,B142,'3. PARTNER'!K$13:K$80))+(SUMIF('3. PARTNER'!B$13:B$80,B142,'3. PARTNER'!M$13:M$80)),(SUMIF('3. PARTNER'!B$13:B$80,B142,'3. PARTNER'!G$13:G$80))+(SUMIF('3. PARTNER'!B$13:B$80,B142,'3. PARTNER'!I$13:I$80)))</f>
        <v>0.16000843770704321</v>
      </c>
      <c r="AC142" s="452">
        <f>IF('2. START'!$C$20="UTB",(SUMIF('3. PARTNER'!B$13:B$80,B142,'3. PARTNER'!L$13:L$80))+(SUMIF('3. PARTNER'!B$13:B$80,B142,'3. PARTNER'!N$13:N$80)),(SUMIF('3. PARTNER'!B$13:B$80,B142,'3. PARTNER'!H$13:H$80))+(SUMIF('3. PARTNER'!B$13:B$80,B142,'3. PARTNER'!J$13:J$80)))</f>
        <v>0</v>
      </c>
      <c r="AD142" s="452">
        <f>IF('2. START'!C$11="NO",'2. START'!C$12,0)</f>
        <v>0</v>
      </c>
      <c r="AE142" s="453">
        <f t="shared" si="278"/>
        <v>0</v>
      </c>
      <c r="AF142" s="453">
        <f t="shared" si="279"/>
        <v>0</v>
      </c>
      <c r="AG142" s="454"/>
      <c r="AH142" s="455">
        <f t="shared" si="315"/>
        <v>0</v>
      </c>
      <c r="AI142" s="455">
        <f t="shared" si="316"/>
        <v>0</v>
      </c>
      <c r="AJ142" s="455">
        <f t="shared" si="317"/>
        <v>0</v>
      </c>
      <c r="AK142" s="455">
        <f t="shared" si="318"/>
        <v>0</v>
      </c>
      <c r="AL142" s="455">
        <f t="shared" si="319"/>
        <v>0</v>
      </c>
      <c r="AM142" s="455">
        <f t="shared" si="320"/>
        <v>0</v>
      </c>
      <c r="AN142" s="455">
        <f t="shared" si="321"/>
        <v>0</v>
      </c>
      <c r="AO142" s="455">
        <f t="shared" si="322"/>
        <v>0</v>
      </c>
      <c r="AP142" s="455">
        <f t="shared" si="323"/>
        <v>0</v>
      </c>
      <c r="AQ142" s="455">
        <f t="shared" si="324"/>
        <v>0</v>
      </c>
      <c r="AR142" s="456">
        <f t="shared" si="280"/>
        <v>0</v>
      </c>
      <c r="AS142" s="457"/>
      <c r="AT142" s="455">
        <f t="shared" si="325"/>
        <v>0</v>
      </c>
      <c r="AU142" s="455">
        <f t="shared" si="326"/>
        <v>0</v>
      </c>
      <c r="AV142" s="455">
        <f t="shared" si="327"/>
        <v>0</v>
      </c>
      <c r="AW142" s="455">
        <f t="shared" si="328"/>
        <v>0</v>
      </c>
      <c r="AX142" s="455">
        <f t="shared" si="329"/>
        <v>0</v>
      </c>
      <c r="AY142" s="455">
        <f t="shared" si="330"/>
        <v>0</v>
      </c>
      <c r="AZ142" s="455">
        <f t="shared" si="331"/>
        <v>0</v>
      </c>
      <c r="BA142" s="455">
        <f t="shared" si="332"/>
        <v>0</v>
      </c>
      <c r="BB142" s="455">
        <f t="shared" si="333"/>
        <v>0</v>
      </c>
      <c r="BC142" s="455">
        <f t="shared" si="334"/>
        <v>0</v>
      </c>
      <c r="BD142" s="456">
        <f t="shared" si="281"/>
        <v>0</v>
      </c>
      <c r="BE142" s="457"/>
      <c r="BF142" s="455">
        <f t="shared" si="335"/>
        <v>0</v>
      </c>
      <c r="BG142" s="455">
        <f t="shared" si="336"/>
        <v>0</v>
      </c>
      <c r="BH142" s="455">
        <f t="shared" si="337"/>
        <v>0</v>
      </c>
      <c r="BI142" s="455">
        <f t="shared" si="338"/>
        <v>0</v>
      </c>
      <c r="BJ142" s="455">
        <f t="shared" si="339"/>
        <v>0</v>
      </c>
      <c r="BK142" s="455">
        <f t="shared" si="340"/>
        <v>0</v>
      </c>
      <c r="BL142" s="455">
        <f t="shared" si="341"/>
        <v>0</v>
      </c>
      <c r="BM142" s="455">
        <f t="shared" si="342"/>
        <v>0</v>
      </c>
      <c r="BN142" s="455">
        <f t="shared" si="343"/>
        <v>0</v>
      </c>
      <c r="BO142" s="455">
        <f t="shared" si="344"/>
        <v>0</v>
      </c>
      <c r="BP142" s="456">
        <f t="shared" si="282"/>
        <v>0</v>
      </c>
      <c r="BQ142" s="463"/>
      <c r="BR142" s="459">
        <f t="shared" si="345"/>
        <v>0</v>
      </c>
      <c r="BS142" s="459">
        <f t="shared" si="346"/>
        <v>0</v>
      </c>
      <c r="BT142" s="459">
        <f t="shared" si="347"/>
        <v>0</v>
      </c>
      <c r="BU142" s="459">
        <f t="shared" si="348"/>
        <v>0</v>
      </c>
      <c r="BV142" s="459">
        <f t="shared" si="349"/>
        <v>0</v>
      </c>
      <c r="BW142" s="459">
        <f t="shared" si="350"/>
        <v>0</v>
      </c>
      <c r="BX142" s="459">
        <f t="shared" si="351"/>
        <v>0</v>
      </c>
      <c r="BY142" s="459">
        <f t="shared" si="352"/>
        <v>0</v>
      </c>
      <c r="BZ142" s="459">
        <f t="shared" si="353"/>
        <v>0</v>
      </c>
      <c r="CA142" s="459">
        <f t="shared" si="354"/>
        <v>0</v>
      </c>
      <c r="CB142" s="460">
        <f t="shared" si="283"/>
        <v>0</v>
      </c>
      <c r="CC142" s="463"/>
      <c r="CD142" s="462">
        <f t="shared" si="355"/>
        <v>0</v>
      </c>
      <c r="CE142" s="462">
        <f t="shared" si="356"/>
        <v>0</v>
      </c>
      <c r="CF142" s="462">
        <f t="shared" si="357"/>
        <v>0</v>
      </c>
      <c r="CG142" s="462">
        <f t="shared" si="358"/>
        <v>0</v>
      </c>
      <c r="CH142" s="462">
        <f t="shared" si="359"/>
        <v>0</v>
      </c>
      <c r="CI142" s="462">
        <f t="shared" si="360"/>
        <v>0</v>
      </c>
      <c r="CJ142" s="462">
        <f t="shared" si="361"/>
        <v>0</v>
      </c>
      <c r="CK142" s="462">
        <f t="shared" si="362"/>
        <v>0</v>
      </c>
      <c r="CL142" s="462">
        <f t="shared" si="363"/>
        <v>0</v>
      </c>
      <c r="CM142" s="462">
        <f t="shared" si="364"/>
        <v>0</v>
      </c>
      <c r="CN142" s="460">
        <f t="shared" si="284"/>
        <v>0</v>
      </c>
      <c r="CO142" s="463"/>
      <c r="CP142" s="459">
        <f t="shared" si="365"/>
        <v>0</v>
      </c>
      <c r="CQ142" s="459">
        <f t="shared" si="366"/>
        <v>0</v>
      </c>
      <c r="CR142" s="459">
        <f t="shared" si="367"/>
        <v>0</v>
      </c>
      <c r="CS142" s="459">
        <f t="shared" si="368"/>
        <v>0</v>
      </c>
      <c r="CT142" s="459">
        <f t="shared" si="369"/>
        <v>0</v>
      </c>
      <c r="CU142" s="459">
        <f t="shared" si="370"/>
        <v>0</v>
      </c>
      <c r="CV142" s="459">
        <f t="shared" si="371"/>
        <v>0</v>
      </c>
      <c r="CW142" s="459">
        <f t="shared" si="372"/>
        <v>0</v>
      </c>
      <c r="CX142" s="459">
        <f t="shared" si="373"/>
        <v>0</v>
      </c>
      <c r="CY142" s="459">
        <f t="shared" si="374"/>
        <v>0</v>
      </c>
      <c r="CZ142" s="460">
        <f t="shared" si="285"/>
        <v>0</v>
      </c>
      <c r="DA142" s="463"/>
      <c r="DB142" s="459">
        <f t="shared" si="375"/>
        <v>0</v>
      </c>
      <c r="DC142" s="459">
        <f t="shared" si="376"/>
        <v>0</v>
      </c>
      <c r="DD142" s="459">
        <f t="shared" si="377"/>
        <v>0</v>
      </c>
      <c r="DE142" s="459">
        <f t="shared" si="378"/>
        <v>0</v>
      </c>
      <c r="DF142" s="459">
        <f t="shared" si="379"/>
        <v>0</v>
      </c>
      <c r="DG142" s="459">
        <f t="shared" si="380"/>
        <v>0</v>
      </c>
      <c r="DH142" s="459">
        <f t="shared" si="381"/>
        <v>0</v>
      </c>
      <c r="DI142" s="459">
        <f t="shared" si="382"/>
        <v>0</v>
      </c>
      <c r="DJ142" s="459">
        <f t="shared" si="383"/>
        <v>0</v>
      </c>
      <c r="DK142" s="459">
        <f t="shared" si="384"/>
        <v>0</v>
      </c>
      <c r="DL142" s="460">
        <f t="shared" si="286"/>
        <v>0</v>
      </c>
      <c r="DM142" s="463"/>
      <c r="DN142" s="442">
        <f>IF('2. START'!$C$14&gt;0,(AT142/(1+$AA142))*(1+'2. START'!$C$14),AT142)</f>
        <v>0</v>
      </c>
      <c r="DO142" s="442">
        <f>IF('2. START'!$C$14&gt;0,(AU142/(1+$AA142))*(1+'2. START'!$C$14),AU142)</f>
        <v>0</v>
      </c>
      <c r="DP142" s="442">
        <f>IF('2. START'!$C$14&gt;0,(AV142/(1+$AA142))*(1+'2. START'!$C$14),AV142)</f>
        <v>0</v>
      </c>
      <c r="DQ142" s="442">
        <f>IF('2. START'!$C$14&gt;0,(AW142/(1+$AA142))*(1+'2. START'!$C$14),AW142)</f>
        <v>0</v>
      </c>
      <c r="DR142" s="442">
        <f>IF('2. START'!$C$14&gt;0,(AX142/(1+$AA142))*(1+'2. START'!$C$14),AX142)</f>
        <v>0</v>
      </c>
      <c r="DS142" s="442">
        <f>IF('2. START'!$C$14&gt;0,(AY142/(1+$AA142))*(1+'2. START'!$C$14),AY142)</f>
        <v>0</v>
      </c>
      <c r="DT142" s="442">
        <f>IF('2. START'!$C$14&gt;0,(AZ142/(1+$AA142))*(1+'2. START'!$C$14),AZ142)</f>
        <v>0</v>
      </c>
      <c r="DU142" s="442">
        <f>IF('2. START'!$C$14&gt;0,(BA142/(1+$AA142))*(1+'2. START'!$C$14),BA142)</f>
        <v>0</v>
      </c>
      <c r="DV142" s="442">
        <f>IF('2. START'!$C$14&gt;0,(BB142/(1+$AA142))*(1+'2. START'!$C$14),BB142)</f>
        <v>0</v>
      </c>
      <c r="DW142" s="442">
        <f>IF('2. START'!$C$14&gt;0,(BC142/(1+$AA142))*(1+'2. START'!$C$14),BC142)</f>
        <v>0</v>
      </c>
      <c r="DX142" s="460">
        <f t="shared" si="287"/>
        <v>0</v>
      </c>
      <c r="DY142" s="463"/>
      <c r="DZ142" s="459">
        <f>IF('2. START'!$C$11="NO",(IF('2. START'!$C$14&gt;0,(DN142*$AD142),(AT142*$AD142))),(BR142+CP142))</f>
        <v>0</v>
      </c>
      <c r="EA142" s="459">
        <f>IF('2. START'!$C$11="NO",(IF('2. START'!$C$14&gt;0,(DO142*$AD142),(AU142*$AD142))),(BS142+CQ142))</f>
        <v>0</v>
      </c>
      <c r="EB142" s="459">
        <f>IF('2. START'!$C$11="NO",(IF('2. START'!$C$14&gt;0,(DP142*$AD142),(AV142*$AD142))),(BT142+CR142))</f>
        <v>0</v>
      </c>
      <c r="EC142" s="459">
        <f>IF('2. START'!$C$11="NO",(IF('2. START'!$C$14&gt;0,(DQ142*$AD142),(AW142*$AD142))),(BU142+CS142))</f>
        <v>0</v>
      </c>
      <c r="ED142" s="459">
        <f>IF('2. START'!$C$11="NO",(IF('2. START'!$C$14&gt;0,(DR142*$AD142),(AX142*$AD142))),(BV142+CT142))</f>
        <v>0</v>
      </c>
      <c r="EE142" s="459">
        <f>IF('2. START'!$C$11="NO",(IF('2. START'!$C$14&gt;0,(DS142*$AD142),(AY142*$AD142))),(BW142+CU142))</f>
        <v>0</v>
      </c>
      <c r="EF142" s="459">
        <f>IF('2. START'!$C$11="NO",(IF('2. START'!$C$14&gt;0,(DT142*$AD142),(AZ142*$AD142))),(BX142+CV142))</f>
        <v>0</v>
      </c>
      <c r="EG142" s="459">
        <f>IF('2. START'!$C$11="NO",(IF('2. START'!$C$14&gt;0,(DU142*$AD142),(BA142*$AD142))),(BY142+CW142))</f>
        <v>0</v>
      </c>
      <c r="EH142" s="459">
        <f>IF('2. START'!$C$11="NO",(IF('2. START'!$C$14&gt;0,(DV142*$AD142),(BB142*$AD142))),(BZ142+CX142))</f>
        <v>0</v>
      </c>
      <c r="EI142" s="459">
        <f>IF('2. START'!$C$11="NO",(IF('2. START'!$C$14&gt;0,(DW142*$AD142),(BC142*$AD142))),(CA142+CY142))</f>
        <v>0</v>
      </c>
      <c r="EJ142" s="460">
        <f t="shared" si="288"/>
        <v>0</v>
      </c>
      <c r="EK142" s="463"/>
      <c r="EL142" s="459">
        <f>(BR142+CP142-DZ142)+IF('2. START'!$C$14&gt;0,AT142-DN142,0)</f>
        <v>0</v>
      </c>
      <c r="EM142" s="459">
        <f>(BS142+CQ142-EA142)+IF('2. START'!$C$14&gt;0,AU142-DO142,0)</f>
        <v>0</v>
      </c>
      <c r="EN142" s="459">
        <f>(BT142+CR142-EB142)+IF('2. START'!$C$14&gt;0,AV142-DP142,0)</f>
        <v>0</v>
      </c>
      <c r="EO142" s="459">
        <f>(BU142+CS142-EC142)+IF('2. START'!$C$14&gt;0,AW142-DQ142,0)</f>
        <v>0</v>
      </c>
      <c r="EP142" s="459">
        <f>(BV142+CT142-ED142)+IF('2. START'!$C$14&gt;0,AX142-DR142,0)</f>
        <v>0</v>
      </c>
      <c r="EQ142" s="459">
        <f>(BW142+CU142-EE142)+IF('2. START'!$C$14&gt;0,AY142-DS142,0)</f>
        <v>0</v>
      </c>
      <c r="ER142" s="459">
        <f>(BX142+CV142-EF142)+IF('2. START'!$C$14&gt;0,AZ142-DT142,0)</f>
        <v>0</v>
      </c>
      <c r="ES142" s="459">
        <f>(BY142+CW142-EG142)+IF('2. START'!$C$14&gt;0,BA142-DU142,0)</f>
        <v>0</v>
      </c>
      <c r="ET142" s="459">
        <f>(BZ142+CX142-EH142)+IF('2. START'!$C$14&gt;0,BB142-DV142,0)</f>
        <v>0</v>
      </c>
      <c r="EU142" s="459">
        <f>(CA142+CY142-EI142)+IF('2. START'!$C$14&gt;0,BC142-DW142,0)</f>
        <v>0</v>
      </c>
      <c r="EV142" s="460">
        <f t="shared" si="289"/>
        <v>0</v>
      </c>
      <c r="EW142" s="463"/>
      <c r="EX142" s="459">
        <f t="shared" si="290"/>
        <v>0</v>
      </c>
      <c r="EY142" s="459">
        <f t="shared" si="291"/>
        <v>0</v>
      </c>
      <c r="EZ142" s="459">
        <f t="shared" si="292"/>
        <v>0</v>
      </c>
      <c r="FA142" s="459">
        <f t="shared" si="293"/>
        <v>0</v>
      </c>
      <c r="FB142" s="459">
        <f t="shared" si="294"/>
        <v>0</v>
      </c>
      <c r="FC142" s="459">
        <f t="shared" si="295"/>
        <v>0</v>
      </c>
      <c r="FD142" s="459">
        <f t="shared" si="296"/>
        <v>0</v>
      </c>
      <c r="FE142" s="459">
        <f t="shared" si="297"/>
        <v>0</v>
      </c>
      <c r="FF142" s="459">
        <f t="shared" si="298"/>
        <v>0</v>
      </c>
      <c r="FG142" s="459">
        <f t="shared" si="299"/>
        <v>0</v>
      </c>
      <c r="FH142" s="460">
        <f t="shared" si="300"/>
        <v>0</v>
      </c>
      <c r="FI142" s="463"/>
      <c r="FJ142" s="459">
        <f t="shared" si="301"/>
        <v>0</v>
      </c>
      <c r="FK142" s="459">
        <f t="shared" si="302"/>
        <v>0</v>
      </c>
      <c r="FL142" s="459">
        <f t="shared" si="303"/>
        <v>0</v>
      </c>
      <c r="FM142" s="459">
        <f t="shared" si="304"/>
        <v>0</v>
      </c>
      <c r="FN142" s="459">
        <f t="shared" si="305"/>
        <v>0</v>
      </c>
      <c r="FO142" s="459">
        <f t="shared" si="306"/>
        <v>0</v>
      </c>
      <c r="FP142" s="459">
        <f t="shared" si="307"/>
        <v>0</v>
      </c>
      <c r="FQ142" s="459">
        <f t="shared" si="308"/>
        <v>0</v>
      </c>
      <c r="FR142" s="459">
        <f t="shared" si="309"/>
        <v>0</v>
      </c>
      <c r="FS142" s="459">
        <f t="shared" si="310"/>
        <v>0</v>
      </c>
      <c r="FT142" s="460">
        <f t="shared" si="311"/>
        <v>0</v>
      </c>
    </row>
    <row r="143" spans="2:176" s="270" customFormat="1" ht="15" customHeight="1" x14ac:dyDescent="0.25">
      <c r="B143" s="464" t="str">
        <f>'2. START'!C$7</f>
        <v>100GEM</v>
      </c>
      <c r="C143" s="470"/>
      <c r="D143" s="590"/>
      <c r="E143" s="514">
        <v>0</v>
      </c>
      <c r="F143" s="467"/>
      <c r="G143" s="432"/>
      <c r="H143" s="432"/>
      <c r="I143" s="432"/>
      <c r="J143" s="432"/>
      <c r="K143" s="432"/>
      <c r="L143" s="432"/>
      <c r="M143" s="432"/>
      <c r="N143" s="432"/>
      <c r="O143" s="432"/>
      <c r="P143" s="432"/>
      <c r="Q143" s="545">
        <f>SUMIF('3. PARTNER'!$B$13:$B$80,$B143,'3. PARTNER'!$F$13:$F$80)</f>
        <v>0.02</v>
      </c>
      <c r="R143" s="466">
        <f t="shared" si="387"/>
        <v>0.02</v>
      </c>
      <c r="S143" s="466">
        <f t="shared" si="387"/>
        <v>0.02</v>
      </c>
      <c r="T143" s="466">
        <f t="shared" si="387"/>
        <v>0.02</v>
      </c>
      <c r="U143" s="466">
        <f t="shared" si="387"/>
        <v>0.02</v>
      </c>
      <c r="V143" s="466">
        <f t="shared" si="387"/>
        <v>0.02</v>
      </c>
      <c r="W143" s="466">
        <f t="shared" si="387"/>
        <v>0.02</v>
      </c>
      <c r="X143" s="466">
        <f t="shared" si="387"/>
        <v>0.02</v>
      </c>
      <c r="Y143" s="466">
        <f t="shared" si="387"/>
        <v>0.02</v>
      </c>
      <c r="Z143" s="466">
        <f t="shared" si="387"/>
        <v>0.02</v>
      </c>
      <c r="AA143" s="434">
        <f>SUMIF('3. PARTNER'!B$13:B$80,B143,'3. PARTNER'!E$13:E$80)</f>
        <v>0.5595</v>
      </c>
      <c r="AB143" s="435">
        <f>IF('2. START'!$C$20="UTB",(SUMIF('3. PARTNER'!B$13:B$80,B143,'3. PARTNER'!K$13:K$80))+(SUMIF('3. PARTNER'!B$13:B$80,B143,'3. PARTNER'!M$13:M$80)),(SUMIF('3. PARTNER'!B$13:B$80,B143,'3. PARTNER'!G$13:G$80))+(SUMIF('3. PARTNER'!B$13:B$80,B143,'3. PARTNER'!I$13:I$80)))</f>
        <v>0.16000843770704321</v>
      </c>
      <c r="AC143" s="435">
        <f>IF('2. START'!$C$20="UTB",(SUMIF('3. PARTNER'!B$13:B$80,B143,'3. PARTNER'!L$13:L$80))+(SUMIF('3. PARTNER'!B$13:B$80,B143,'3. PARTNER'!N$13:N$80)),(SUMIF('3. PARTNER'!B$13:B$80,B143,'3. PARTNER'!H$13:H$80))+(SUMIF('3. PARTNER'!B$13:B$80,B143,'3. PARTNER'!J$13:J$80)))</f>
        <v>0</v>
      </c>
      <c r="AD143" s="435">
        <f>IF('2. START'!C$11="NO",'2. START'!C$12,0)</f>
        <v>0</v>
      </c>
      <c r="AE143" s="436">
        <f t="shared" ref="AE143:AE191" si="388">SUM(G143:P143)</f>
        <v>0</v>
      </c>
      <c r="AF143" s="436">
        <f t="shared" ref="AF143:AF191" si="389">IF(E143=0,0,E143*AE143)</f>
        <v>0</v>
      </c>
      <c r="AG143" s="437"/>
      <c r="AH143" s="438">
        <f t="shared" ref="AH143:AH191" si="390">$F143*G143*(1+$AA143)*(1+$Q143)</f>
        <v>0</v>
      </c>
      <c r="AI143" s="438">
        <f t="shared" ref="AI143:AI191" si="391">$F143*H143*(1+$AA143)*(1+$Q143)*(1+$R143)</f>
        <v>0</v>
      </c>
      <c r="AJ143" s="438">
        <f t="shared" ref="AJ143:AJ191" si="392">$F143*I143*(1+$AA143)*(1+$Q143)*(1+$R143)*(1+$S143)</f>
        <v>0</v>
      </c>
      <c r="AK143" s="438">
        <f t="shared" ref="AK143:AK191" si="393">$F143*J143*(1+$AA143)*(1+$Q143)*(1+$R143)*(1+$S143)*(1+$T143)</f>
        <v>0</v>
      </c>
      <c r="AL143" s="438">
        <f t="shared" ref="AL143:AL191" si="394">$F143*K143*(1+$AA143)*(1+$Q143)*(1+$R143)*(1+$S143)*(1+$T143)*(1+$U143)</f>
        <v>0</v>
      </c>
      <c r="AM143" s="438">
        <f t="shared" ref="AM143:AM191" si="395">$F143*L143*(1+$AA143)*(1+$Q143)*(1+$R143)*(1+$S143)*(1+$T143)*(1+$U143)*(1+$V143)</f>
        <v>0</v>
      </c>
      <c r="AN143" s="438">
        <f t="shared" ref="AN143:AN191" si="396">$F143*M143*(1+$AA143)*(1+$Q143)*(1+$R143)*(1+$S143)*(1+$T143)*(1+$U143)*(1+$V143)*(1+$W143)</f>
        <v>0</v>
      </c>
      <c r="AO143" s="438">
        <f t="shared" ref="AO143:AO191" si="397">$F143*N143*(1+$AA143)*(1+$Q143)*(1+$R143)*(1+$S143)*(1+$T143)*(1+$U143)*(1+$V143)*(1+$W143)*(1+$X143)</f>
        <v>0</v>
      </c>
      <c r="AP143" s="438">
        <f t="shared" ref="AP143:AP191" si="398">$F143*O143*(1+$AA143)*(1+$Q143)*(1+$R143)*(1+$S143)*(1+$T143)*(1+$U143)*(1+$V143)*(1+$W143)*(1+$X143)*(1+$Y143)</f>
        <v>0</v>
      </c>
      <c r="AQ143" s="438">
        <f t="shared" ref="AQ143:AQ191" si="399">$F143*P143*(1+$AA143)*(1+$Q143)*(1+$R143)*(1+$S143)*(1+$T143)*(1+$U143)*(1+$V143)*(1+$W143)*(1+$X143)*(1+$Y143)*(1+$Z143)</f>
        <v>0</v>
      </c>
      <c r="AR143" s="439">
        <f t="shared" ref="AR143:AR191" si="400">SUM(AH143:AQ143)</f>
        <v>0</v>
      </c>
      <c r="AS143" s="440"/>
      <c r="AT143" s="438">
        <f t="shared" ref="AT143:AT191" si="401">$F143*G143*(1+$AA143)*(1+$Q143)*(1-$E143)</f>
        <v>0</v>
      </c>
      <c r="AU143" s="438">
        <f t="shared" ref="AU143:AU191" si="402">$F143*H143*(1+$AA143)*(1+$Q143)*(1+$R143)*(1-E143)</f>
        <v>0</v>
      </c>
      <c r="AV143" s="438">
        <f t="shared" ref="AV143:AV191" si="403">$F143*I143*(1+$AA143)*(1+$Q143)*(1+$R143)*(1+$S143)*(1-E143)</f>
        <v>0</v>
      </c>
      <c r="AW143" s="438">
        <f t="shared" ref="AW143:AW191" si="404">$F143*J143*(1+$AA143)*(1+$Q143)*(1+$R143)*(1+$S143)*(1+$T143)*(1-E143)</f>
        <v>0</v>
      </c>
      <c r="AX143" s="438">
        <f t="shared" ref="AX143:AX191" si="405">$F143*K143*(1+$AA143)*(1+$Q143)*(1+$R143)*(1+$S143)*(1+$T143)*(1+$U143)*(1-E143)</f>
        <v>0</v>
      </c>
      <c r="AY143" s="438">
        <f t="shared" ref="AY143:AY191" si="406">$F143*L143*(1+$AA143)*(1+$Q143)*(1+$R143)*(1+$S143)*(1+$T143)*(1+$U143)*(1+$V143)*(1-E143)</f>
        <v>0</v>
      </c>
      <c r="AZ143" s="438">
        <f t="shared" ref="AZ143:AZ191" si="407">$F143*M143*(1+$AA143)*(1+$Q143)*(1+$R143)*(1+$S143)*(1+$T143)*(1+$U143)*(1+$V143)*(1+$W143)*(1-E143)</f>
        <v>0</v>
      </c>
      <c r="BA143" s="438">
        <f t="shared" ref="BA143:BA191" si="408">$F143*N143*(1+$AA143)*(1+$Q143)*(1+$R143)*(1+$S143)*(1+$T143)*(1+$U143)*(1+$V143)*(1+$W143)*(1+$X143)*(1-E143)</f>
        <v>0</v>
      </c>
      <c r="BB143" s="438">
        <f t="shared" ref="BB143:BB191" si="409">$F143*O143*(1+$AA143)*(1+$Q143)*(1+$R143)*(1+$S143)*(1+$T143)*(1+$U143)*(1+$V143)*(1+$W143)*(1+$X143)*(1+$Y143)*(1-E143)</f>
        <v>0</v>
      </c>
      <c r="BC143" s="438">
        <f t="shared" ref="BC143:BC191" si="410">$F143*P143*(1+$AA143)*(1+$Q143)*(1+$R143)*(1+$S143)*(1+$T143)*(1+$U143)*(1+$V143)*(1+$W143)*(1+$X143)*(1+$Y143)*(1+$Z143)*(1-E143)</f>
        <v>0</v>
      </c>
      <c r="BD143" s="439">
        <f t="shared" ref="BD143:BD191" si="411">SUM(AT143:BC143)</f>
        <v>0</v>
      </c>
      <c r="BE143" s="440"/>
      <c r="BF143" s="438">
        <f t="shared" ref="BF143:BF191" si="412">$F143*G143*(1+$AA143)*(1+$Q143)*($E143)</f>
        <v>0</v>
      </c>
      <c r="BG143" s="438">
        <f t="shared" ref="BG143:BG191" si="413">$F143*H143*(1+$AA143)*(1+$Q143)*(1+$R143)*($E143)</f>
        <v>0</v>
      </c>
      <c r="BH143" s="438">
        <f t="shared" ref="BH143:BH191" si="414">$F143*I143*(1+$AA143)*(1+$Q143)*(1+$R143)*(1+$S143)*($E143)</f>
        <v>0</v>
      </c>
      <c r="BI143" s="438">
        <f t="shared" ref="BI143:BI191" si="415">$F143*J143*(1+$AA143)*(1+$Q143)*(1+$R143)*(1+$S143)*(1+$T143)*($E143)</f>
        <v>0</v>
      </c>
      <c r="BJ143" s="438">
        <f t="shared" ref="BJ143:BJ191" si="416">$F143*K143*(1+$AA143)*(1+$Q143)*(1+$R143)*(1+$S143)*(1+$T143)*(1+$U143)*($E143)</f>
        <v>0</v>
      </c>
      <c r="BK143" s="438">
        <f t="shared" ref="BK143:BK191" si="417">$F143*L143*(1+$AA143)*(1+$Q143)*(1+$R143)*(1+$S143)*(1+$T143)*(1+$U143)*(1+$V143)*($E143)</f>
        <v>0</v>
      </c>
      <c r="BL143" s="438">
        <f t="shared" ref="BL143:BL191" si="418">$F143*M143*(1+$AA143)*(1+$Q143)*(1+$R143)*(1+$S143)*(1+$T143)*(1+$U143)*(1+$V143)*(1+$W143)*($E143)</f>
        <v>0</v>
      </c>
      <c r="BM143" s="438">
        <f t="shared" ref="BM143:BM191" si="419">$F143*N143*(1+$AA143)*(1+$Q143)*(1+$R143)*(1+$S143)*(1+$T143)*(1+$U143)*(1+$V143)*(1+$W143)*(1+$X143)*($E143)</f>
        <v>0</v>
      </c>
      <c r="BN143" s="438">
        <f t="shared" ref="BN143:BN191" si="420">$F143*O143*(1+$AA143)*(1+$Q143)*(1+$R143)*(1+$S143)*(1+$T143)*(1+$U143)*(1+$V143)*(1+$W143)*(1+$X143)*(1+$Y143)*($E143)</f>
        <v>0</v>
      </c>
      <c r="BO143" s="438">
        <f t="shared" ref="BO143:BO191" si="421">$F143*P143*(1+$AA143)*(1+$Q143)*(1+$R143)*(1+$S143)*(1+$T143)*(1+$U143)*(1+$V143)*(1+$W143)*(1+$X143)*(1+$Y143)*(1+$Z143)*($E143)</f>
        <v>0</v>
      </c>
      <c r="BP143" s="439">
        <f t="shared" ref="BP143:BP191" si="422">SUM(BF143:BO143)</f>
        <v>0</v>
      </c>
      <c r="BR143" s="442">
        <f t="shared" ref="BR143:BR191" si="423">$AB143*AT143</f>
        <v>0</v>
      </c>
      <c r="BS143" s="442">
        <f t="shared" ref="BS143:BS191" si="424">$AB143*AU143</f>
        <v>0</v>
      </c>
      <c r="BT143" s="442">
        <f t="shared" ref="BT143:BT191" si="425">$AB143*AV143</f>
        <v>0</v>
      </c>
      <c r="BU143" s="442">
        <f t="shared" ref="BU143:BU191" si="426">$AB143*AW143</f>
        <v>0</v>
      </c>
      <c r="BV143" s="442">
        <f t="shared" ref="BV143:BV191" si="427">$AB143*AX143</f>
        <v>0</v>
      </c>
      <c r="BW143" s="442">
        <f t="shared" ref="BW143:BW191" si="428">$AB143*AY143</f>
        <v>0</v>
      </c>
      <c r="BX143" s="442">
        <f t="shared" ref="BX143:BX191" si="429">$AB143*AZ143</f>
        <v>0</v>
      </c>
      <c r="BY143" s="442">
        <f t="shared" ref="BY143:BY191" si="430">$AB143*BA143</f>
        <v>0</v>
      </c>
      <c r="BZ143" s="442">
        <f t="shared" ref="BZ143:BZ191" si="431">$AB143*BB143</f>
        <v>0</v>
      </c>
      <c r="CA143" s="442">
        <f t="shared" ref="CA143:CA191" si="432">$AB143*BC143</f>
        <v>0</v>
      </c>
      <c r="CB143" s="443">
        <f t="shared" ref="CB143:CB191" si="433">SUM(BR143:CA143)</f>
        <v>0</v>
      </c>
      <c r="CD143" s="445">
        <f t="shared" ref="CD143:CD191" si="434">$AB143*BF143</f>
        <v>0</v>
      </c>
      <c r="CE143" s="445">
        <f t="shared" ref="CE143:CE191" si="435">$AB143*BG143</f>
        <v>0</v>
      </c>
      <c r="CF143" s="445">
        <f t="shared" ref="CF143:CF191" si="436">$AB143*BH143</f>
        <v>0</v>
      </c>
      <c r="CG143" s="445">
        <f t="shared" ref="CG143:CG191" si="437">$AB143*BI143</f>
        <v>0</v>
      </c>
      <c r="CH143" s="445">
        <f t="shared" ref="CH143:CH191" si="438">$AB143*BJ143</f>
        <v>0</v>
      </c>
      <c r="CI143" s="445">
        <f t="shared" ref="CI143:CI191" si="439">$AB143*BK143</f>
        <v>0</v>
      </c>
      <c r="CJ143" s="445">
        <f t="shared" ref="CJ143:CJ191" si="440">$AB143*BL143</f>
        <v>0</v>
      </c>
      <c r="CK143" s="445">
        <f t="shared" ref="CK143:CK191" si="441">$AB143*BM143</f>
        <v>0</v>
      </c>
      <c r="CL143" s="445">
        <f t="shared" ref="CL143:CL191" si="442">$AB143*BN143</f>
        <v>0</v>
      </c>
      <c r="CM143" s="445">
        <f t="shared" ref="CM143:CM191" si="443">$AB143*BO143</f>
        <v>0</v>
      </c>
      <c r="CN143" s="443">
        <f t="shared" ref="CN143:CN191" si="444">SUM(CD143:CM143)</f>
        <v>0</v>
      </c>
      <c r="CP143" s="442">
        <f t="shared" ref="CP143:CP191" si="445">$AC143*AT143</f>
        <v>0</v>
      </c>
      <c r="CQ143" s="442">
        <f t="shared" ref="CQ143:CQ191" si="446">$AC143*AU143</f>
        <v>0</v>
      </c>
      <c r="CR143" s="442">
        <f t="shared" ref="CR143:CR191" si="447">$AC143*AV143</f>
        <v>0</v>
      </c>
      <c r="CS143" s="442">
        <f t="shared" ref="CS143:CS191" si="448">$AC143*AW143</f>
        <v>0</v>
      </c>
      <c r="CT143" s="442">
        <f t="shared" ref="CT143:CT191" si="449">$AC143*AX143</f>
        <v>0</v>
      </c>
      <c r="CU143" s="442">
        <f t="shared" ref="CU143:CU191" si="450">$AC143*AY143</f>
        <v>0</v>
      </c>
      <c r="CV143" s="442">
        <f t="shared" ref="CV143:CV191" si="451">$AC143*AZ143</f>
        <v>0</v>
      </c>
      <c r="CW143" s="442">
        <f t="shared" ref="CW143:CW191" si="452">$AC143*BA143</f>
        <v>0</v>
      </c>
      <c r="CX143" s="442">
        <f t="shared" ref="CX143:CX191" si="453">$AC143*BB143</f>
        <v>0</v>
      </c>
      <c r="CY143" s="442">
        <f t="shared" ref="CY143:CY191" si="454">$AC143*BC143</f>
        <v>0</v>
      </c>
      <c r="CZ143" s="443">
        <f t="shared" ref="CZ143:CZ191" si="455">SUM(CP143:CY143)</f>
        <v>0</v>
      </c>
      <c r="DB143" s="442">
        <f t="shared" ref="DB143:DB191" si="456">$AC143*BF143</f>
        <v>0</v>
      </c>
      <c r="DC143" s="442">
        <f t="shared" ref="DC143:DC191" si="457">$AC143*BG143</f>
        <v>0</v>
      </c>
      <c r="DD143" s="442">
        <f t="shared" ref="DD143:DD191" si="458">$AC143*BH143</f>
        <v>0</v>
      </c>
      <c r="DE143" s="442">
        <f t="shared" ref="DE143:DE191" si="459">$AC143*BI143</f>
        <v>0</v>
      </c>
      <c r="DF143" s="442">
        <f t="shared" ref="DF143:DF191" si="460">$AC143*BJ143</f>
        <v>0</v>
      </c>
      <c r="DG143" s="442">
        <f t="shared" ref="DG143:DG191" si="461">$AC143*BK143</f>
        <v>0</v>
      </c>
      <c r="DH143" s="442">
        <f t="shared" ref="DH143:DH191" si="462">$AC143*BL143</f>
        <v>0</v>
      </c>
      <c r="DI143" s="442">
        <f t="shared" ref="DI143:DI191" si="463">$AC143*BM143</f>
        <v>0</v>
      </c>
      <c r="DJ143" s="442">
        <f t="shared" ref="DJ143:DJ191" si="464">$AC143*BN143</f>
        <v>0</v>
      </c>
      <c r="DK143" s="442">
        <f t="shared" ref="DK143:DK191" si="465">$AC143*BO143</f>
        <v>0</v>
      </c>
      <c r="DL143" s="443">
        <f t="shared" ref="DL143:DL191" si="466">SUM(DB143:DK143)</f>
        <v>0</v>
      </c>
      <c r="DN143" s="442">
        <f>IF('2. START'!$C$14&gt;0,(AT143/(1+$AA143))*(1+'2. START'!$C$14),AT143)</f>
        <v>0</v>
      </c>
      <c r="DO143" s="442">
        <f>IF('2. START'!$C$14&gt;0,(AU143/(1+$AA143))*(1+'2. START'!$C$14),AU143)</f>
        <v>0</v>
      </c>
      <c r="DP143" s="442">
        <f>IF('2. START'!$C$14&gt;0,(AV143/(1+$AA143))*(1+'2. START'!$C$14),AV143)</f>
        <v>0</v>
      </c>
      <c r="DQ143" s="442">
        <f>IF('2. START'!$C$14&gt;0,(AW143/(1+$AA143))*(1+'2. START'!$C$14),AW143)</f>
        <v>0</v>
      </c>
      <c r="DR143" s="442">
        <f>IF('2. START'!$C$14&gt;0,(AX143/(1+$AA143))*(1+'2. START'!$C$14),AX143)</f>
        <v>0</v>
      </c>
      <c r="DS143" s="442">
        <f>IF('2. START'!$C$14&gt;0,(AY143/(1+$AA143))*(1+'2. START'!$C$14),AY143)</f>
        <v>0</v>
      </c>
      <c r="DT143" s="442">
        <f>IF('2. START'!$C$14&gt;0,(AZ143/(1+$AA143))*(1+'2. START'!$C$14),AZ143)</f>
        <v>0</v>
      </c>
      <c r="DU143" s="442">
        <f>IF('2. START'!$C$14&gt;0,(BA143/(1+$AA143))*(1+'2. START'!$C$14),BA143)</f>
        <v>0</v>
      </c>
      <c r="DV143" s="442">
        <f>IF('2. START'!$C$14&gt;0,(BB143/(1+$AA143))*(1+'2. START'!$C$14),BB143)</f>
        <v>0</v>
      </c>
      <c r="DW143" s="442">
        <f>IF('2. START'!$C$14&gt;0,(BC143/(1+$AA143))*(1+'2. START'!$C$14),BC143)</f>
        <v>0</v>
      </c>
      <c r="DX143" s="443">
        <f t="shared" ref="DX143:DX191" si="467">SUM(DN143:DW143)</f>
        <v>0</v>
      </c>
      <c r="DZ143" s="442">
        <f>IF('2. START'!$C$11="NO",(IF('2. START'!$C$14&gt;0,(DN143*$AD143),(AT143*$AD143))),(BR143+CP143))</f>
        <v>0</v>
      </c>
      <c r="EA143" s="442">
        <f>IF('2. START'!$C$11="NO",(IF('2. START'!$C$14&gt;0,(DO143*$AD143),(AU143*$AD143))),(BS143+CQ143))</f>
        <v>0</v>
      </c>
      <c r="EB143" s="442">
        <f>IF('2. START'!$C$11="NO",(IF('2. START'!$C$14&gt;0,(DP143*$AD143),(AV143*$AD143))),(BT143+CR143))</f>
        <v>0</v>
      </c>
      <c r="EC143" s="442">
        <f>IF('2. START'!$C$11="NO",(IF('2. START'!$C$14&gt;0,(DQ143*$AD143),(AW143*$AD143))),(BU143+CS143))</f>
        <v>0</v>
      </c>
      <c r="ED143" s="442">
        <f>IF('2. START'!$C$11="NO",(IF('2. START'!$C$14&gt;0,(DR143*$AD143),(AX143*$AD143))),(BV143+CT143))</f>
        <v>0</v>
      </c>
      <c r="EE143" s="442">
        <f>IF('2. START'!$C$11="NO",(IF('2. START'!$C$14&gt;0,(DS143*$AD143),(AY143*$AD143))),(BW143+CU143))</f>
        <v>0</v>
      </c>
      <c r="EF143" s="442">
        <f>IF('2. START'!$C$11="NO",(IF('2. START'!$C$14&gt;0,(DT143*$AD143),(AZ143*$AD143))),(BX143+CV143))</f>
        <v>0</v>
      </c>
      <c r="EG143" s="442">
        <f>IF('2. START'!$C$11="NO",(IF('2. START'!$C$14&gt;0,(DU143*$AD143),(BA143*$AD143))),(BY143+CW143))</f>
        <v>0</v>
      </c>
      <c r="EH143" s="442">
        <f>IF('2. START'!$C$11="NO",(IF('2. START'!$C$14&gt;0,(DV143*$AD143),(BB143*$AD143))),(BZ143+CX143))</f>
        <v>0</v>
      </c>
      <c r="EI143" s="442">
        <f>IF('2. START'!$C$11="NO",(IF('2. START'!$C$14&gt;0,(DW143*$AD143),(BC143*$AD143))),(CA143+CY143))</f>
        <v>0</v>
      </c>
      <c r="EJ143" s="443">
        <f t="shared" ref="EJ143:EJ191" si="468">SUM(DZ143:EI143)</f>
        <v>0</v>
      </c>
      <c r="EL143" s="442">
        <f>(BR143+CP143-DZ143)+IF('2. START'!$C$14&gt;0,AT143-DN143,0)</f>
        <v>0</v>
      </c>
      <c r="EM143" s="442">
        <f>(BS143+CQ143-EA143)+IF('2. START'!$C$14&gt;0,AU143-DO143,0)</f>
        <v>0</v>
      </c>
      <c r="EN143" s="442">
        <f>(BT143+CR143-EB143)+IF('2. START'!$C$14&gt;0,AV143-DP143,0)</f>
        <v>0</v>
      </c>
      <c r="EO143" s="442">
        <f>(BU143+CS143-EC143)+IF('2. START'!$C$14&gt;0,AW143-DQ143,0)</f>
        <v>0</v>
      </c>
      <c r="EP143" s="442">
        <f>(BV143+CT143-ED143)+IF('2. START'!$C$14&gt;0,AX143-DR143,0)</f>
        <v>0</v>
      </c>
      <c r="EQ143" s="442">
        <f>(BW143+CU143-EE143)+IF('2. START'!$C$14&gt;0,AY143-DS143,0)</f>
        <v>0</v>
      </c>
      <c r="ER143" s="442">
        <f>(BX143+CV143-EF143)+IF('2. START'!$C$14&gt;0,AZ143-DT143,0)</f>
        <v>0</v>
      </c>
      <c r="ES143" s="442">
        <f>(BY143+CW143-EG143)+IF('2. START'!$C$14&gt;0,BA143-DU143,0)</f>
        <v>0</v>
      </c>
      <c r="ET143" s="442">
        <f>(BZ143+CX143-EH143)+IF('2. START'!$C$14&gt;0,BB143-DV143,0)</f>
        <v>0</v>
      </c>
      <c r="EU143" s="442">
        <f>(CA143+CY143-EI143)+IF('2. START'!$C$14&gt;0,BC143-DW143,0)</f>
        <v>0</v>
      </c>
      <c r="EV143" s="443">
        <f t="shared" ref="EV143:EV191" si="469">SUM(EL143:EU143)</f>
        <v>0</v>
      </c>
      <c r="EX143" s="442">
        <f t="shared" ref="EX143:EX191" si="470">AT143+BR143+CP143</f>
        <v>0</v>
      </c>
      <c r="EY143" s="442">
        <f t="shared" ref="EY143:EY191" si="471">AU143+BS143+CQ143</f>
        <v>0</v>
      </c>
      <c r="EZ143" s="442">
        <f t="shared" ref="EZ143:EZ191" si="472">AV143+BT143+CR143</f>
        <v>0</v>
      </c>
      <c r="FA143" s="442">
        <f t="shared" ref="FA143:FA191" si="473">AW143+BU143+CS143</f>
        <v>0</v>
      </c>
      <c r="FB143" s="442">
        <f t="shared" ref="FB143:FB191" si="474">AX143+BV143+CT143</f>
        <v>0</v>
      </c>
      <c r="FC143" s="442">
        <f t="shared" ref="FC143:FC191" si="475">AY143+BW143+CU143</f>
        <v>0</v>
      </c>
      <c r="FD143" s="442">
        <f t="shared" ref="FD143:FD191" si="476">AZ143+BX143+CV143</f>
        <v>0</v>
      </c>
      <c r="FE143" s="442">
        <f t="shared" ref="FE143:FE191" si="477">BA143+BY143+CW143</f>
        <v>0</v>
      </c>
      <c r="FF143" s="442">
        <f t="shared" ref="FF143:FF191" si="478">BB143+BZ143+CX143</f>
        <v>0</v>
      </c>
      <c r="FG143" s="442">
        <f t="shared" ref="FG143:FG191" si="479">BC143+CA143+CY143</f>
        <v>0</v>
      </c>
      <c r="FH143" s="443">
        <f t="shared" ref="FH143:FH191" si="480">SUM(EX143:FG143)</f>
        <v>0</v>
      </c>
      <c r="FJ143" s="442">
        <f t="shared" ref="FJ143:FJ191" si="481">BF143+CD143+DB143</f>
        <v>0</v>
      </c>
      <c r="FK143" s="442">
        <f t="shared" ref="FK143:FK191" si="482">BG143+CE143+DC143</f>
        <v>0</v>
      </c>
      <c r="FL143" s="442">
        <f t="shared" ref="FL143:FL191" si="483">BH143+CF143+DD143</f>
        <v>0</v>
      </c>
      <c r="FM143" s="442">
        <f t="shared" ref="FM143:FM191" si="484">BI143+CG143+DE143</f>
        <v>0</v>
      </c>
      <c r="FN143" s="442">
        <f t="shared" ref="FN143:FN191" si="485">BJ143+CH143+DF143</f>
        <v>0</v>
      </c>
      <c r="FO143" s="442">
        <f t="shared" ref="FO143:FO191" si="486">BK143+CI143+DG143</f>
        <v>0</v>
      </c>
      <c r="FP143" s="442">
        <f t="shared" ref="FP143:FP191" si="487">BL143+CJ143+DH143</f>
        <v>0</v>
      </c>
      <c r="FQ143" s="442">
        <f t="shared" ref="FQ143:FQ191" si="488">BM143+CK143+DI143</f>
        <v>0</v>
      </c>
      <c r="FR143" s="442">
        <f t="shared" ref="FR143:FR191" si="489">BN143+CL143+DJ143</f>
        <v>0</v>
      </c>
      <c r="FS143" s="442">
        <f t="shared" ref="FS143:FS191" si="490">BO143+CM143+DK143</f>
        <v>0</v>
      </c>
      <c r="FT143" s="443">
        <f t="shared" ref="FT143:FT191" si="491">SUM(FJ143:FS143)</f>
        <v>0</v>
      </c>
    </row>
    <row r="144" spans="2:176" s="270" customFormat="1" ht="15" customHeight="1" x14ac:dyDescent="0.25">
      <c r="B144" s="446" t="str">
        <f>'2. START'!C$7</f>
        <v>100GEM</v>
      </c>
      <c r="C144" s="469"/>
      <c r="D144" s="589"/>
      <c r="E144" s="544">
        <v>0</v>
      </c>
      <c r="F144" s="448"/>
      <c r="G144" s="449"/>
      <c r="H144" s="449"/>
      <c r="I144" s="449"/>
      <c r="J144" s="449"/>
      <c r="K144" s="449"/>
      <c r="L144" s="449"/>
      <c r="M144" s="449"/>
      <c r="N144" s="449"/>
      <c r="O144" s="449"/>
      <c r="P144" s="449"/>
      <c r="Q144" s="546">
        <f>SUMIF('3. PARTNER'!$B$13:$B$80,$B144,'3. PARTNER'!$F$13:$F$80)</f>
        <v>0.02</v>
      </c>
      <c r="R144" s="450">
        <f t="shared" si="387"/>
        <v>0.02</v>
      </c>
      <c r="S144" s="450">
        <f t="shared" si="387"/>
        <v>0.02</v>
      </c>
      <c r="T144" s="450">
        <f t="shared" si="387"/>
        <v>0.02</v>
      </c>
      <c r="U144" s="450">
        <f t="shared" si="387"/>
        <v>0.02</v>
      </c>
      <c r="V144" s="450">
        <f t="shared" si="387"/>
        <v>0.02</v>
      </c>
      <c r="W144" s="450">
        <f t="shared" si="387"/>
        <v>0.02</v>
      </c>
      <c r="X144" s="450">
        <f t="shared" si="387"/>
        <v>0.02</v>
      </c>
      <c r="Y144" s="450">
        <f t="shared" si="387"/>
        <v>0.02</v>
      </c>
      <c r="Z144" s="450">
        <f t="shared" si="387"/>
        <v>0.02</v>
      </c>
      <c r="AA144" s="451">
        <f>SUMIF('3. PARTNER'!B$13:B$80,B144,'3. PARTNER'!E$13:E$80)</f>
        <v>0.5595</v>
      </c>
      <c r="AB144" s="452">
        <f>IF('2. START'!$C$20="UTB",(SUMIF('3. PARTNER'!B$13:B$80,B144,'3. PARTNER'!K$13:K$80))+(SUMIF('3. PARTNER'!B$13:B$80,B144,'3. PARTNER'!M$13:M$80)),(SUMIF('3. PARTNER'!B$13:B$80,B144,'3. PARTNER'!G$13:G$80))+(SUMIF('3. PARTNER'!B$13:B$80,B144,'3. PARTNER'!I$13:I$80)))</f>
        <v>0.16000843770704321</v>
      </c>
      <c r="AC144" s="452">
        <f>IF('2. START'!$C$20="UTB",(SUMIF('3. PARTNER'!B$13:B$80,B144,'3. PARTNER'!L$13:L$80))+(SUMIF('3. PARTNER'!B$13:B$80,B144,'3. PARTNER'!N$13:N$80)),(SUMIF('3. PARTNER'!B$13:B$80,B144,'3. PARTNER'!H$13:H$80))+(SUMIF('3. PARTNER'!B$13:B$80,B144,'3. PARTNER'!J$13:J$80)))</f>
        <v>0</v>
      </c>
      <c r="AD144" s="452">
        <f>IF('2. START'!C$11="NO",'2. START'!C$12,0)</f>
        <v>0</v>
      </c>
      <c r="AE144" s="453">
        <f t="shared" si="388"/>
        <v>0</v>
      </c>
      <c r="AF144" s="453">
        <f t="shared" si="389"/>
        <v>0</v>
      </c>
      <c r="AG144" s="454"/>
      <c r="AH144" s="455">
        <f t="shared" si="390"/>
        <v>0</v>
      </c>
      <c r="AI144" s="455">
        <f t="shared" si="391"/>
        <v>0</v>
      </c>
      <c r="AJ144" s="455">
        <f t="shared" si="392"/>
        <v>0</v>
      </c>
      <c r="AK144" s="455">
        <f t="shared" si="393"/>
        <v>0</v>
      </c>
      <c r="AL144" s="455">
        <f t="shared" si="394"/>
        <v>0</v>
      </c>
      <c r="AM144" s="455">
        <f t="shared" si="395"/>
        <v>0</v>
      </c>
      <c r="AN144" s="455">
        <f t="shared" si="396"/>
        <v>0</v>
      </c>
      <c r="AO144" s="455">
        <f t="shared" si="397"/>
        <v>0</v>
      </c>
      <c r="AP144" s="455">
        <f t="shared" si="398"/>
        <v>0</v>
      </c>
      <c r="AQ144" s="455">
        <f t="shared" si="399"/>
        <v>0</v>
      </c>
      <c r="AR144" s="456">
        <f t="shared" si="400"/>
        <v>0</v>
      </c>
      <c r="AS144" s="457"/>
      <c r="AT144" s="455">
        <f t="shared" si="401"/>
        <v>0</v>
      </c>
      <c r="AU144" s="455">
        <f t="shared" si="402"/>
        <v>0</v>
      </c>
      <c r="AV144" s="455">
        <f t="shared" si="403"/>
        <v>0</v>
      </c>
      <c r="AW144" s="455">
        <f t="shared" si="404"/>
        <v>0</v>
      </c>
      <c r="AX144" s="455">
        <f t="shared" si="405"/>
        <v>0</v>
      </c>
      <c r="AY144" s="455">
        <f t="shared" si="406"/>
        <v>0</v>
      </c>
      <c r="AZ144" s="455">
        <f t="shared" si="407"/>
        <v>0</v>
      </c>
      <c r="BA144" s="455">
        <f t="shared" si="408"/>
        <v>0</v>
      </c>
      <c r="BB144" s="455">
        <f t="shared" si="409"/>
        <v>0</v>
      </c>
      <c r="BC144" s="455">
        <f t="shared" si="410"/>
        <v>0</v>
      </c>
      <c r="BD144" s="456">
        <f t="shared" si="411"/>
        <v>0</v>
      </c>
      <c r="BE144" s="457"/>
      <c r="BF144" s="455">
        <f t="shared" si="412"/>
        <v>0</v>
      </c>
      <c r="BG144" s="455">
        <f t="shared" si="413"/>
        <v>0</v>
      </c>
      <c r="BH144" s="455">
        <f t="shared" si="414"/>
        <v>0</v>
      </c>
      <c r="BI144" s="455">
        <f t="shared" si="415"/>
        <v>0</v>
      </c>
      <c r="BJ144" s="455">
        <f t="shared" si="416"/>
        <v>0</v>
      </c>
      <c r="BK144" s="455">
        <f t="shared" si="417"/>
        <v>0</v>
      </c>
      <c r="BL144" s="455">
        <f t="shared" si="418"/>
        <v>0</v>
      </c>
      <c r="BM144" s="455">
        <f t="shared" si="419"/>
        <v>0</v>
      </c>
      <c r="BN144" s="455">
        <f t="shared" si="420"/>
        <v>0</v>
      </c>
      <c r="BO144" s="455">
        <f t="shared" si="421"/>
        <v>0</v>
      </c>
      <c r="BP144" s="456">
        <f t="shared" si="422"/>
        <v>0</v>
      </c>
      <c r="BQ144" s="463"/>
      <c r="BR144" s="459">
        <f t="shared" si="423"/>
        <v>0</v>
      </c>
      <c r="BS144" s="459">
        <f t="shared" si="424"/>
        <v>0</v>
      </c>
      <c r="BT144" s="459">
        <f t="shared" si="425"/>
        <v>0</v>
      </c>
      <c r="BU144" s="459">
        <f t="shared" si="426"/>
        <v>0</v>
      </c>
      <c r="BV144" s="459">
        <f t="shared" si="427"/>
        <v>0</v>
      </c>
      <c r="BW144" s="459">
        <f t="shared" si="428"/>
        <v>0</v>
      </c>
      <c r="BX144" s="459">
        <f t="shared" si="429"/>
        <v>0</v>
      </c>
      <c r="BY144" s="459">
        <f t="shared" si="430"/>
        <v>0</v>
      </c>
      <c r="BZ144" s="459">
        <f t="shared" si="431"/>
        <v>0</v>
      </c>
      <c r="CA144" s="459">
        <f t="shared" si="432"/>
        <v>0</v>
      </c>
      <c r="CB144" s="460">
        <f t="shared" si="433"/>
        <v>0</v>
      </c>
      <c r="CC144" s="463"/>
      <c r="CD144" s="462">
        <f t="shared" si="434"/>
        <v>0</v>
      </c>
      <c r="CE144" s="462">
        <f t="shared" si="435"/>
        <v>0</v>
      </c>
      <c r="CF144" s="462">
        <f t="shared" si="436"/>
        <v>0</v>
      </c>
      <c r="CG144" s="462">
        <f t="shared" si="437"/>
        <v>0</v>
      </c>
      <c r="CH144" s="462">
        <f t="shared" si="438"/>
        <v>0</v>
      </c>
      <c r="CI144" s="462">
        <f t="shared" si="439"/>
        <v>0</v>
      </c>
      <c r="CJ144" s="462">
        <f t="shared" si="440"/>
        <v>0</v>
      </c>
      <c r="CK144" s="462">
        <f t="shared" si="441"/>
        <v>0</v>
      </c>
      <c r="CL144" s="462">
        <f t="shared" si="442"/>
        <v>0</v>
      </c>
      <c r="CM144" s="462">
        <f t="shared" si="443"/>
        <v>0</v>
      </c>
      <c r="CN144" s="460">
        <f t="shared" si="444"/>
        <v>0</v>
      </c>
      <c r="CO144" s="463"/>
      <c r="CP144" s="459">
        <f t="shared" si="445"/>
        <v>0</v>
      </c>
      <c r="CQ144" s="459">
        <f t="shared" si="446"/>
        <v>0</v>
      </c>
      <c r="CR144" s="459">
        <f t="shared" si="447"/>
        <v>0</v>
      </c>
      <c r="CS144" s="459">
        <f t="shared" si="448"/>
        <v>0</v>
      </c>
      <c r="CT144" s="459">
        <f t="shared" si="449"/>
        <v>0</v>
      </c>
      <c r="CU144" s="459">
        <f t="shared" si="450"/>
        <v>0</v>
      </c>
      <c r="CV144" s="459">
        <f t="shared" si="451"/>
        <v>0</v>
      </c>
      <c r="CW144" s="459">
        <f t="shared" si="452"/>
        <v>0</v>
      </c>
      <c r="CX144" s="459">
        <f t="shared" si="453"/>
        <v>0</v>
      </c>
      <c r="CY144" s="459">
        <f t="shared" si="454"/>
        <v>0</v>
      </c>
      <c r="CZ144" s="460">
        <f t="shared" si="455"/>
        <v>0</v>
      </c>
      <c r="DA144" s="463"/>
      <c r="DB144" s="459">
        <f t="shared" si="456"/>
        <v>0</v>
      </c>
      <c r="DC144" s="459">
        <f t="shared" si="457"/>
        <v>0</v>
      </c>
      <c r="DD144" s="459">
        <f t="shared" si="458"/>
        <v>0</v>
      </c>
      <c r="DE144" s="459">
        <f t="shared" si="459"/>
        <v>0</v>
      </c>
      <c r="DF144" s="459">
        <f t="shared" si="460"/>
        <v>0</v>
      </c>
      <c r="DG144" s="459">
        <f t="shared" si="461"/>
        <v>0</v>
      </c>
      <c r="DH144" s="459">
        <f t="shared" si="462"/>
        <v>0</v>
      </c>
      <c r="DI144" s="459">
        <f t="shared" si="463"/>
        <v>0</v>
      </c>
      <c r="DJ144" s="459">
        <f t="shared" si="464"/>
        <v>0</v>
      </c>
      <c r="DK144" s="459">
        <f t="shared" si="465"/>
        <v>0</v>
      </c>
      <c r="DL144" s="460">
        <f t="shared" si="466"/>
        <v>0</v>
      </c>
      <c r="DM144" s="463"/>
      <c r="DN144" s="442">
        <f>IF('2. START'!$C$14&gt;0,(AT144/(1+$AA144))*(1+'2. START'!$C$14),AT144)</f>
        <v>0</v>
      </c>
      <c r="DO144" s="442">
        <f>IF('2. START'!$C$14&gt;0,(AU144/(1+$AA144))*(1+'2. START'!$C$14),AU144)</f>
        <v>0</v>
      </c>
      <c r="DP144" s="442">
        <f>IF('2. START'!$C$14&gt;0,(AV144/(1+$AA144))*(1+'2. START'!$C$14),AV144)</f>
        <v>0</v>
      </c>
      <c r="DQ144" s="442">
        <f>IF('2. START'!$C$14&gt;0,(AW144/(1+$AA144))*(1+'2. START'!$C$14),AW144)</f>
        <v>0</v>
      </c>
      <c r="DR144" s="442">
        <f>IF('2. START'!$C$14&gt;0,(AX144/(1+$AA144))*(1+'2. START'!$C$14),AX144)</f>
        <v>0</v>
      </c>
      <c r="DS144" s="442">
        <f>IF('2. START'!$C$14&gt;0,(AY144/(1+$AA144))*(1+'2. START'!$C$14),AY144)</f>
        <v>0</v>
      </c>
      <c r="DT144" s="442">
        <f>IF('2. START'!$C$14&gt;0,(AZ144/(1+$AA144))*(1+'2. START'!$C$14),AZ144)</f>
        <v>0</v>
      </c>
      <c r="DU144" s="442">
        <f>IF('2. START'!$C$14&gt;0,(BA144/(1+$AA144))*(1+'2. START'!$C$14),BA144)</f>
        <v>0</v>
      </c>
      <c r="DV144" s="442">
        <f>IF('2. START'!$C$14&gt;0,(BB144/(1+$AA144))*(1+'2. START'!$C$14),BB144)</f>
        <v>0</v>
      </c>
      <c r="DW144" s="442">
        <f>IF('2. START'!$C$14&gt;0,(BC144/(1+$AA144))*(1+'2. START'!$C$14),BC144)</f>
        <v>0</v>
      </c>
      <c r="DX144" s="460">
        <f t="shared" si="467"/>
        <v>0</v>
      </c>
      <c r="DY144" s="463"/>
      <c r="DZ144" s="459">
        <f>IF('2. START'!$C$11="NO",(IF('2. START'!$C$14&gt;0,(DN144*$AD144),(AT144*$AD144))),(BR144+CP144))</f>
        <v>0</v>
      </c>
      <c r="EA144" s="459">
        <f>IF('2. START'!$C$11="NO",(IF('2. START'!$C$14&gt;0,(DO144*$AD144),(AU144*$AD144))),(BS144+CQ144))</f>
        <v>0</v>
      </c>
      <c r="EB144" s="459">
        <f>IF('2. START'!$C$11="NO",(IF('2. START'!$C$14&gt;0,(DP144*$AD144),(AV144*$AD144))),(BT144+CR144))</f>
        <v>0</v>
      </c>
      <c r="EC144" s="459">
        <f>IF('2. START'!$C$11="NO",(IF('2. START'!$C$14&gt;0,(DQ144*$AD144),(AW144*$AD144))),(BU144+CS144))</f>
        <v>0</v>
      </c>
      <c r="ED144" s="459">
        <f>IF('2. START'!$C$11="NO",(IF('2. START'!$C$14&gt;0,(DR144*$AD144),(AX144*$AD144))),(BV144+CT144))</f>
        <v>0</v>
      </c>
      <c r="EE144" s="459">
        <f>IF('2. START'!$C$11="NO",(IF('2. START'!$C$14&gt;0,(DS144*$AD144),(AY144*$AD144))),(BW144+CU144))</f>
        <v>0</v>
      </c>
      <c r="EF144" s="459">
        <f>IF('2. START'!$C$11="NO",(IF('2. START'!$C$14&gt;0,(DT144*$AD144),(AZ144*$AD144))),(BX144+CV144))</f>
        <v>0</v>
      </c>
      <c r="EG144" s="459">
        <f>IF('2. START'!$C$11="NO",(IF('2. START'!$C$14&gt;0,(DU144*$AD144),(BA144*$AD144))),(BY144+CW144))</f>
        <v>0</v>
      </c>
      <c r="EH144" s="459">
        <f>IF('2. START'!$C$11="NO",(IF('2. START'!$C$14&gt;0,(DV144*$AD144),(BB144*$AD144))),(BZ144+CX144))</f>
        <v>0</v>
      </c>
      <c r="EI144" s="459">
        <f>IF('2. START'!$C$11="NO",(IF('2. START'!$C$14&gt;0,(DW144*$AD144),(BC144*$AD144))),(CA144+CY144))</f>
        <v>0</v>
      </c>
      <c r="EJ144" s="460">
        <f t="shared" si="468"/>
        <v>0</v>
      </c>
      <c r="EK144" s="463"/>
      <c r="EL144" s="459">
        <f>(BR144+CP144-DZ144)+IF('2. START'!$C$14&gt;0,AT144-DN144,0)</f>
        <v>0</v>
      </c>
      <c r="EM144" s="459">
        <f>(BS144+CQ144-EA144)+IF('2. START'!$C$14&gt;0,AU144-DO144,0)</f>
        <v>0</v>
      </c>
      <c r="EN144" s="459">
        <f>(BT144+CR144-EB144)+IF('2. START'!$C$14&gt;0,AV144-DP144,0)</f>
        <v>0</v>
      </c>
      <c r="EO144" s="459">
        <f>(BU144+CS144-EC144)+IF('2. START'!$C$14&gt;0,AW144-DQ144,0)</f>
        <v>0</v>
      </c>
      <c r="EP144" s="459">
        <f>(BV144+CT144-ED144)+IF('2. START'!$C$14&gt;0,AX144-DR144,0)</f>
        <v>0</v>
      </c>
      <c r="EQ144" s="459">
        <f>(BW144+CU144-EE144)+IF('2. START'!$C$14&gt;0,AY144-DS144,0)</f>
        <v>0</v>
      </c>
      <c r="ER144" s="459">
        <f>(BX144+CV144-EF144)+IF('2. START'!$C$14&gt;0,AZ144-DT144,0)</f>
        <v>0</v>
      </c>
      <c r="ES144" s="459">
        <f>(BY144+CW144-EG144)+IF('2. START'!$C$14&gt;0,BA144-DU144,0)</f>
        <v>0</v>
      </c>
      <c r="ET144" s="459">
        <f>(BZ144+CX144-EH144)+IF('2. START'!$C$14&gt;0,BB144-DV144,0)</f>
        <v>0</v>
      </c>
      <c r="EU144" s="459">
        <f>(CA144+CY144-EI144)+IF('2. START'!$C$14&gt;0,BC144-DW144,0)</f>
        <v>0</v>
      </c>
      <c r="EV144" s="460">
        <f t="shared" si="469"/>
        <v>0</v>
      </c>
      <c r="EW144" s="463"/>
      <c r="EX144" s="459">
        <f t="shared" si="470"/>
        <v>0</v>
      </c>
      <c r="EY144" s="459">
        <f t="shared" si="471"/>
        <v>0</v>
      </c>
      <c r="EZ144" s="459">
        <f t="shared" si="472"/>
        <v>0</v>
      </c>
      <c r="FA144" s="459">
        <f t="shared" si="473"/>
        <v>0</v>
      </c>
      <c r="FB144" s="459">
        <f t="shared" si="474"/>
        <v>0</v>
      </c>
      <c r="FC144" s="459">
        <f t="shared" si="475"/>
        <v>0</v>
      </c>
      <c r="FD144" s="459">
        <f t="shared" si="476"/>
        <v>0</v>
      </c>
      <c r="FE144" s="459">
        <f t="shared" si="477"/>
        <v>0</v>
      </c>
      <c r="FF144" s="459">
        <f t="shared" si="478"/>
        <v>0</v>
      </c>
      <c r="FG144" s="459">
        <f t="shared" si="479"/>
        <v>0</v>
      </c>
      <c r="FH144" s="460">
        <f t="shared" si="480"/>
        <v>0</v>
      </c>
      <c r="FI144" s="463"/>
      <c r="FJ144" s="459">
        <f t="shared" si="481"/>
        <v>0</v>
      </c>
      <c r="FK144" s="459">
        <f t="shared" si="482"/>
        <v>0</v>
      </c>
      <c r="FL144" s="459">
        <f t="shared" si="483"/>
        <v>0</v>
      </c>
      <c r="FM144" s="459">
        <f t="shared" si="484"/>
        <v>0</v>
      </c>
      <c r="FN144" s="459">
        <f t="shared" si="485"/>
        <v>0</v>
      </c>
      <c r="FO144" s="459">
        <f t="shared" si="486"/>
        <v>0</v>
      </c>
      <c r="FP144" s="459">
        <f t="shared" si="487"/>
        <v>0</v>
      </c>
      <c r="FQ144" s="459">
        <f t="shared" si="488"/>
        <v>0</v>
      </c>
      <c r="FR144" s="459">
        <f t="shared" si="489"/>
        <v>0</v>
      </c>
      <c r="FS144" s="459">
        <f t="shared" si="490"/>
        <v>0</v>
      </c>
      <c r="FT144" s="460">
        <f t="shared" si="491"/>
        <v>0</v>
      </c>
    </row>
    <row r="145" spans="2:176" s="270" customFormat="1" ht="15" customHeight="1" x14ac:dyDescent="0.25">
      <c r="B145" s="464" t="str">
        <f>'2. START'!C$7</f>
        <v>100GEM</v>
      </c>
      <c r="C145" s="470"/>
      <c r="D145" s="590"/>
      <c r="E145" s="514">
        <v>0</v>
      </c>
      <c r="F145" s="467"/>
      <c r="G145" s="432"/>
      <c r="H145" s="432"/>
      <c r="I145" s="432"/>
      <c r="J145" s="432"/>
      <c r="K145" s="432"/>
      <c r="L145" s="432"/>
      <c r="M145" s="432"/>
      <c r="N145" s="432"/>
      <c r="O145" s="432"/>
      <c r="P145" s="432"/>
      <c r="Q145" s="545">
        <f>SUMIF('3. PARTNER'!$B$13:$B$80,$B145,'3. PARTNER'!$F$13:$F$80)</f>
        <v>0.02</v>
      </c>
      <c r="R145" s="466">
        <f t="shared" si="387"/>
        <v>0.02</v>
      </c>
      <c r="S145" s="466">
        <f t="shared" si="387"/>
        <v>0.02</v>
      </c>
      <c r="T145" s="466">
        <f t="shared" si="387"/>
        <v>0.02</v>
      </c>
      <c r="U145" s="466">
        <f t="shared" si="387"/>
        <v>0.02</v>
      </c>
      <c r="V145" s="466">
        <f t="shared" si="387"/>
        <v>0.02</v>
      </c>
      <c r="W145" s="466">
        <f t="shared" si="387"/>
        <v>0.02</v>
      </c>
      <c r="X145" s="466">
        <f t="shared" si="387"/>
        <v>0.02</v>
      </c>
      <c r="Y145" s="466">
        <f t="shared" si="387"/>
        <v>0.02</v>
      </c>
      <c r="Z145" s="466">
        <f t="shared" si="387"/>
        <v>0.02</v>
      </c>
      <c r="AA145" s="434">
        <f>SUMIF('3. PARTNER'!B$13:B$80,B145,'3. PARTNER'!E$13:E$80)</f>
        <v>0.5595</v>
      </c>
      <c r="AB145" s="435">
        <f>IF('2. START'!$C$20="UTB",(SUMIF('3. PARTNER'!B$13:B$80,B145,'3. PARTNER'!K$13:K$80))+(SUMIF('3. PARTNER'!B$13:B$80,B145,'3. PARTNER'!M$13:M$80)),(SUMIF('3. PARTNER'!B$13:B$80,B145,'3. PARTNER'!G$13:G$80))+(SUMIF('3. PARTNER'!B$13:B$80,B145,'3. PARTNER'!I$13:I$80)))</f>
        <v>0.16000843770704321</v>
      </c>
      <c r="AC145" s="435">
        <f>IF('2. START'!$C$20="UTB",(SUMIF('3. PARTNER'!B$13:B$80,B145,'3. PARTNER'!L$13:L$80))+(SUMIF('3. PARTNER'!B$13:B$80,B145,'3. PARTNER'!N$13:N$80)),(SUMIF('3. PARTNER'!B$13:B$80,B145,'3. PARTNER'!H$13:H$80))+(SUMIF('3. PARTNER'!B$13:B$80,B145,'3. PARTNER'!J$13:J$80)))</f>
        <v>0</v>
      </c>
      <c r="AD145" s="435">
        <f>IF('2. START'!C$11="NO",'2. START'!C$12,0)</f>
        <v>0</v>
      </c>
      <c r="AE145" s="436">
        <f t="shared" si="388"/>
        <v>0</v>
      </c>
      <c r="AF145" s="436">
        <f t="shared" si="389"/>
        <v>0</v>
      </c>
      <c r="AG145" s="437"/>
      <c r="AH145" s="438">
        <f t="shared" si="390"/>
        <v>0</v>
      </c>
      <c r="AI145" s="438">
        <f t="shared" si="391"/>
        <v>0</v>
      </c>
      <c r="AJ145" s="438">
        <f t="shared" si="392"/>
        <v>0</v>
      </c>
      <c r="AK145" s="438">
        <f t="shared" si="393"/>
        <v>0</v>
      </c>
      <c r="AL145" s="438">
        <f t="shared" si="394"/>
        <v>0</v>
      </c>
      <c r="AM145" s="438">
        <f t="shared" si="395"/>
        <v>0</v>
      </c>
      <c r="AN145" s="438">
        <f t="shared" si="396"/>
        <v>0</v>
      </c>
      <c r="AO145" s="438">
        <f t="shared" si="397"/>
        <v>0</v>
      </c>
      <c r="AP145" s="438">
        <f t="shared" si="398"/>
        <v>0</v>
      </c>
      <c r="AQ145" s="438">
        <f t="shared" si="399"/>
        <v>0</v>
      </c>
      <c r="AR145" s="439">
        <f t="shared" si="400"/>
        <v>0</v>
      </c>
      <c r="AS145" s="440"/>
      <c r="AT145" s="438">
        <f t="shared" si="401"/>
        <v>0</v>
      </c>
      <c r="AU145" s="438">
        <f t="shared" si="402"/>
        <v>0</v>
      </c>
      <c r="AV145" s="438">
        <f t="shared" si="403"/>
        <v>0</v>
      </c>
      <c r="AW145" s="438">
        <f t="shared" si="404"/>
        <v>0</v>
      </c>
      <c r="AX145" s="438">
        <f t="shared" si="405"/>
        <v>0</v>
      </c>
      <c r="AY145" s="438">
        <f t="shared" si="406"/>
        <v>0</v>
      </c>
      <c r="AZ145" s="438">
        <f t="shared" si="407"/>
        <v>0</v>
      </c>
      <c r="BA145" s="438">
        <f t="shared" si="408"/>
        <v>0</v>
      </c>
      <c r="BB145" s="438">
        <f t="shared" si="409"/>
        <v>0</v>
      </c>
      <c r="BC145" s="438">
        <f t="shared" si="410"/>
        <v>0</v>
      </c>
      <c r="BD145" s="439">
        <f t="shared" si="411"/>
        <v>0</v>
      </c>
      <c r="BE145" s="440"/>
      <c r="BF145" s="438">
        <f t="shared" si="412"/>
        <v>0</v>
      </c>
      <c r="BG145" s="438">
        <f t="shared" si="413"/>
        <v>0</v>
      </c>
      <c r="BH145" s="438">
        <f t="shared" si="414"/>
        <v>0</v>
      </c>
      <c r="BI145" s="438">
        <f t="shared" si="415"/>
        <v>0</v>
      </c>
      <c r="BJ145" s="438">
        <f t="shared" si="416"/>
        <v>0</v>
      </c>
      <c r="BK145" s="438">
        <f t="shared" si="417"/>
        <v>0</v>
      </c>
      <c r="BL145" s="438">
        <f t="shared" si="418"/>
        <v>0</v>
      </c>
      <c r="BM145" s="438">
        <f t="shared" si="419"/>
        <v>0</v>
      </c>
      <c r="BN145" s="438">
        <f t="shared" si="420"/>
        <v>0</v>
      </c>
      <c r="BO145" s="438">
        <f t="shared" si="421"/>
        <v>0</v>
      </c>
      <c r="BP145" s="439">
        <f t="shared" si="422"/>
        <v>0</v>
      </c>
      <c r="BR145" s="442">
        <f t="shared" si="423"/>
        <v>0</v>
      </c>
      <c r="BS145" s="442">
        <f t="shared" si="424"/>
        <v>0</v>
      </c>
      <c r="BT145" s="442">
        <f t="shared" si="425"/>
        <v>0</v>
      </c>
      <c r="BU145" s="442">
        <f t="shared" si="426"/>
        <v>0</v>
      </c>
      <c r="BV145" s="442">
        <f t="shared" si="427"/>
        <v>0</v>
      </c>
      <c r="BW145" s="442">
        <f t="shared" si="428"/>
        <v>0</v>
      </c>
      <c r="BX145" s="442">
        <f t="shared" si="429"/>
        <v>0</v>
      </c>
      <c r="BY145" s="442">
        <f t="shared" si="430"/>
        <v>0</v>
      </c>
      <c r="BZ145" s="442">
        <f t="shared" si="431"/>
        <v>0</v>
      </c>
      <c r="CA145" s="442">
        <f t="shared" si="432"/>
        <v>0</v>
      </c>
      <c r="CB145" s="443">
        <f t="shared" si="433"/>
        <v>0</v>
      </c>
      <c r="CD145" s="445">
        <f t="shared" si="434"/>
        <v>0</v>
      </c>
      <c r="CE145" s="445">
        <f t="shared" si="435"/>
        <v>0</v>
      </c>
      <c r="CF145" s="445">
        <f t="shared" si="436"/>
        <v>0</v>
      </c>
      <c r="CG145" s="445">
        <f t="shared" si="437"/>
        <v>0</v>
      </c>
      <c r="CH145" s="445">
        <f t="shared" si="438"/>
        <v>0</v>
      </c>
      <c r="CI145" s="445">
        <f t="shared" si="439"/>
        <v>0</v>
      </c>
      <c r="CJ145" s="445">
        <f t="shared" si="440"/>
        <v>0</v>
      </c>
      <c r="CK145" s="445">
        <f t="shared" si="441"/>
        <v>0</v>
      </c>
      <c r="CL145" s="445">
        <f t="shared" si="442"/>
        <v>0</v>
      </c>
      <c r="CM145" s="445">
        <f t="shared" si="443"/>
        <v>0</v>
      </c>
      <c r="CN145" s="443">
        <f t="shared" si="444"/>
        <v>0</v>
      </c>
      <c r="CP145" s="442">
        <f t="shared" si="445"/>
        <v>0</v>
      </c>
      <c r="CQ145" s="442">
        <f t="shared" si="446"/>
        <v>0</v>
      </c>
      <c r="CR145" s="442">
        <f t="shared" si="447"/>
        <v>0</v>
      </c>
      <c r="CS145" s="442">
        <f t="shared" si="448"/>
        <v>0</v>
      </c>
      <c r="CT145" s="442">
        <f t="shared" si="449"/>
        <v>0</v>
      </c>
      <c r="CU145" s="442">
        <f t="shared" si="450"/>
        <v>0</v>
      </c>
      <c r="CV145" s="442">
        <f t="shared" si="451"/>
        <v>0</v>
      </c>
      <c r="CW145" s="442">
        <f t="shared" si="452"/>
        <v>0</v>
      </c>
      <c r="CX145" s="442">
        <f t="shared" si="453"/>
        <v>0</v>
      </c>
      <c r="CY145" s="442">
        <f t="shared" si="454"/>
        <v>0</v>
      </c>
      <c r="CZ145" s="443">
        <f t="shared" si="455"/>
        <v>0</v>
      </c>
      <c r="DB145" s="442">
        <f t="shared" si="456"/>
        <v>0</v>
      </c>
      <c r="DC145" s="442">
        <f t="shared" si="457"/>
        <v>0</v>
      </c>
      <c r="DD145" s="442">
        <f t="shared" si="458"/>
        <v>0</v>
      </c>
      <c r="DE145" s="442">
        <f t="shared" si="459"/>
        <v>0</v>
      </c>
      <c r="DF145" s="442">
        <f t="shared" si="460"/>
        <v>0</v>
      </c>
      <c r="DG145" s="442">
        <f t="shared" si="461"/>
        <v>0</v>
      </c>
      <c r="DH145" s="442">
        <f t="shared" si="462"/>
        <v>0</v>
      </c>
      <c r="DI145" s="442">
        <f t="shared" si="463"/>
        <v>0</v>
      </c>
      <c r="DJ145" s="442">
        <f t="shared" si="464"/>
        <v>0</v>
      </c>
      <c r="DK145" s="442">
        <f t="shared" si="465"/>
        <v>0</v>
      </c>
      <c r="DL145" s="443">
        <f t="shared" si="466"/>
        <v>0</v>
      </c>
      <c r="DN145" s="442">
        <f>IF('2. START'!$C$14&gt;0,(AT145/(1+$AA145))*(1+'2. START'!$C$14),AT145)</f>
        <v>0</v>
      </c>
      <c r="DO145" s="442">
        <f>IF('2. START'!$C$14&gt;0,(AU145/(1+$AA145))*(1+'2. START'!$C$14),AU145)</f>
        <v>0</v>
      </c>
      <c r="DP145" s="442">
        <f>IF('2. START'!$C$14&gt;0,(AV145/(1+$AA145))*(1+'2. START'!$C$14),AV145)</f>
        <v>0</v>
      </c>
      <c r="DQ145" s="442">
        <f>IF('2. START'!$C$14&gt;0,(AW145/(1+$AA145))*(1+'2. START'!$C$14),AW145)</f>
        <v>0</v>
      </c>
      <c r="DR145" s="442">
        <f>IF('2. START'!$C$14&gt;0,(AX145/(1+$AA145))*(1+'2. START'!$C$14),AX145)</f>
        <v>0</v>
      </c>
      <c r="DS145" s="442">
        <f>IF('2. START'!$C$14&gt;0,(AY145/(1+$AA145))*(1+'2. START'!$C$14),AY145)</f>
        <v>0</v>
      </c>
      <c r="DT145" s="442">
        <f>IF('2. START'!$C$14&gt;0,(AZ145/(1+$AA145))*(1+'2. START'!$C$14),AZ145)</f>
        <v>0</v>
      </c>
      <c r="DU145" s="442">
        <f>IF('2. START'!$C$14&gt;0,(BA145/(1+$AA145))*(1+'2. START'!$C$14),BA145)</f>
        <v>0</v>
      </c>
      <c r="DV145" s="442">
        <f>IF('2. START'!$C$14&gt;0,(BB145/(1+$AA145))*(1+'2. START'!$C$14),BB145)</f>
        <v>0</v>
      </c>
      <c r="DW145" s="442">
        <f>IF('2. START'!$C$14&gt;0,(BC145/(1+$AA145))*(1+'2. START'!$C$14),BC145)</f>
        <v>0</v>
      </c>
      <c r="DX145" s="443">
        <f t="shared" si="467"/>
        <v>0</v>
      </c>
      <c r="DZ145" s="442">
        <f>IF('2. START'!$C$11="NO",(IF('2. START'!$C$14&gt;0,(DN145*$AD145),(AT145*$AD145))),(BR145+CP145))</f>
        <v>0</v>
      </c>
      <c r="EA145" s="442">
        <f>IF('2. START'!$C$11="NO",(IF('2. START'!$C$14&gt;0,(DO145*$AD145),(AU145*$AD145))),(BS145+CQ145))</f>
        <v>0</v>
      </c>
      <c r="EB145" s="442">
        <f>IF('2. START'!$C$11="NO",(IF('2. START'!$C$14&gt;0,(DP145*$AD145),(AV145*$AD145))),(BT145+CR145))</f>
        <v>0</v>
      </c>
      <c r="EC145" s="442">
        <f>IF('2. START'!$C$11="NO",(IF('2. START'!$C$14&gt;0,(DQ145*$AD145),(AW145*$AD145))),(BU145+CS145))</f>
        <v>0</v>
      </c>
      <c r="ED145" s="442">
        <f>IF('2. START'!$C$11="NO",(IF('2. START'!$C$14&gt;0,(DR145*$AD145),(AX145*$AD145))),(BV145+CT145))</f>
        <v>0</v>
      </c>
      <c r="EE145" s="442">
        <f>IF('2. START'!$C$11="NO",(IF('2. START'!$C$14&gt;0,(DS145*$AD145),(AY145*$AD145))),(BW145+CU145))</f>
        <v>0</v>
      </c>
      <c r="EF145" s="442">
        <f>IF('2. START'!$C$11="NO",(IF('2. START'!$C$14&gt;0,(DT145*$AD145),(AZ145*$AD145))),(BX145+CV145))</f>
        <v>0</v>
      </c>
      <c r="EG145" s="442">
        <f>IF('2. START'!$C$11="NO",(IF('2. START'!$C$14&gt;0,(DU145*$AD145),(BA145*$AD145))),(BY145+CW145))</f>
        <v>0</v>
      </c>
      <c r="EH145" s="442">
        <f>IF('2. START'!$C$11="NO",(IF('2. START'!$C$14&gt;0,(DV145*$AD145),(BB145*$AD145))),(BZ145+CX145))</f>
        <v>0</v>
      </c>
      <c r="EI145" s="442">
        <f>IF('2. START'!$C$11="NO",(IF('2. START'!$C$14&gt;0,(DW145*$AD145),(BC145*$AD145))),(CA145+CY145))</f>
        <v>0</v>
      </c>
      <c r="EJ145" s="443">
        <f t="shared" si="468"/>
        <v>0</v>
      </c>
      <c r="EL145" s="442">
        <f>(BR145+CP145-DZ145)+IF('2. START'!$C$14&gt;0,AT145-DN145,0)</f>
        <v>0</v>
      </c>
      <c r="EM145" s="442">
        <f>(BS145+CQ145-EA145)+IF('2. START'!$C$14&gt;0,AU145-DO145,0)</f>
        <v>0</v>
      </c>
      <c r="EN145" s="442">
        <f>(BT145+CR145-EB145)+IF('2. START'!$C$14&gt;0,AV145-DP145,0)</f>
        <v>0</v>
      </c>
      <c r="EO145" s="442">
        <f>(BU145+CS145-EC145)+IF('2. START'!$C$14&gt;0,AW145-DQ145,0)</f>
        <v>0</v>
      </c>
      <c r="EP145" s="442">
        <f>(BV145+CT145-ED145)+IF('2. START'!$C$14&gt;0,AX145-DR145,0)</f>
        <v>0</v>
      </c>
      <c r="EQ145" s="442">
        <f>(BW145+CU145-EE145)+IF('2. START'!$C$14&gt;0,AY145-DS145,0)</f>
        <v>0</v>
      </c>
      <c r="ER145" s="442">
        <f>(BX145+CV145-EF145)+IF('2. START'!$C$14&gt;0,AZ145-DT145,0)</f>
        <v>0</v>
      </c>
      <c r="ES145" s="442">
        <f>(BY145+CW145-EG145)+IF('2. START'!$C$14&gt;0,BA145-DU145,0)</f>
        <v>0</v>
      </c>
      <c r="ET145" s="442">
        <f>(BZ145+CX145-EH145)+IF('2. START'!$C$14&gt;0,BB145-DV145,0)</f>
        <v>0</v>
      </c>
      <c r="EU145" s="442">
        <f>(CA145+CY145-EI145)+IF('2. START'!$C$14&gt;0,BC145-DW145,0)</f>
        <v>0</v>
      </c>
      <c r="EV145" s="443">
        <f t="shared" si="469"/>
        <v>0</v>
      </c>
      <c r="EX145" s="442">
        <f t="shared" si="470"/>
        <v>0</v>
      </c>
      <c r="EY145" s="442">
        <f t="shared" si="471"/>
        <v>0</v>
      </c>
      <c r="EZ145" s="442">
        <f t="shared" si="472"/>
        <v>0</v>
      </c>
      <c r="FA145" s="442">
        <f t="shared" si="473"/>
        <v>0</v>
      </c>
      <c r="FB145" s="442">
        <f t="shared" si="474"/>
        <v>0</v>
      </c>
      <c r="FC145" s="442">
        <f t="shared" si="475"/>
        <v>0</v>
      </c>
      <c r="FD145" s="442">
        <f t="shared" si="476"/>
        <v>0</v>
      </c>
      <c r="FE145" s="442">
        <f t="shared" si="477"/>
        <v>0</v>
      </c>
      <c r="FF145" s="442">
        <f t="shared" si="478"/>
        <v>0</v>
      </c>
      <c r="FG145" s="442">
        <f t="shared" si="479"/>
        <v>0</v>
      </c>
      <c r="FH145" s="443">
        <f t="shared" si="480"/>
        <v>0</v>
      </c>
      <c r="FJ145" s="442">
        <f t="shared" si="481"/>
        <v>0</v>
      </c>
      <c r="FK145" s="442">
        <f t="shared" si="482"/>
        <v>0</v>
      </c>
      <c r="FL145" s="442">
        <f t="shared" si="483"/>
        <v>0</v>
      </c>
      <c r="FM145" s="442">
        <f t="shared" si="484"/>
        <v>0</v>
      </c>
      <c r="FN145" s="442">
        <f t="shared" si="485"/>
        <v>0</v>
      </c>
      <c r="FO145" s="442">
        <f t="shared" si="486"/>
        <v>0</v>
      </c>
      <c r="FP145" s="442">
        <f t="shared" si="487"/>
        <v>0</v>
      </c>
      <c r="FQ145" s="442">
        <f t="shared" si="488"/>
        <v>0</v>
      </c>
      <c r="FR145" s="442">
        <f t="shared" si="489"/>
        <v>0</v>
      </c>
      <c r="FS145" s="442">
        <f t="shared" si="490"/>
        <v>0</v>
      </c>
      <c r="FT145" s="443">
        <f t="shared" si="491"/>
        <v>0</v>
      </c>
    </row>
    <row r="146" spans="2:176" s="270" customFormat="1" ht="15" customHeight="1" x14ac:dyDescent="0.25">
      <c r="B146" s="446" t="str">
        <f>'2. START'!C$7</f>
        <v>100GEM</v>
      </c>
      <c r="C146" s="469"/>
      <c r="D146" s="589"/>
      <c r="E146" s="544">
        <v>0</v>
      </c>
      <c r="F146" s="448"/>
      <c r="G146" s="449"/>
      <c r="H146" s="449"/>
      <c r="I146" s="449"/>
      <c r="J146" s="449"/>
      <c r="K146" s="449"/>
      <c r="L146" s="449"/>
      <c r="M146" s="449"/>
      <c r="N146" s="449"/>
      <c r="O146" s="449"/>
      <c r="P146" s="449"/>
      <c r="Q146" s="546">
        <f>SUMIF('3. PARTNER'!$B$13:$B$80,$B146,'3. PARTNER'!$F$13:$F$80)</f>
        <v>0.02</v>
      </c>
      <c r="R146" s="450">
        <f t="shared" si="387"/>
        <v>0.02</v>
      </c>
      <c r="S146" s="450">
        <f t="shared" si="387"/>
        <v>0.02</v>
      </c>
      <c r="T146" s="450">
        <f t="shared" si="387"/>
        <v>0.02</v>
      </c>
      <c r="U146" s="450">
        <f t="shared" si="387"/>
        <v>0.02</v>
      </c>
      <c r="V146" s="450">
        <f t="shared" si="387"/>
        <v>0.02</v>
      </c>
      <c r="W146" s="450">
        <f t="shared" si="387"/>
        <v>0.02</v>
      </c>
      <c r="X146" s="450">
        <f t="shared" si="387"/>
        <v>0.02</v>
      </c>
      <c r="Y146" s="450">
        <f t="shared" si="387"/>
        <v>0.02</v>
      </c>
      <c r="Z146" s="450">
        <f t="shared" si="387"/>
        <v>0.02</v>
      </c>
      <c r="AA146" s="451">
        <f>SUMIF('3. PARTNER'!B$13:B$80,B146,'3. PARTNER'!E$13:E$80)</f>
        <v>0.5595</v>
      </c>
      <c r="AB146" s="452">
        <f>IF('2. START'!$C$20="UTB",(SUMIF('3. PARTNER'!B$13:B$80,B146,'3. PARTNER'!K$13:K$80))+(SUMIF('3. PARTNER'!B$13:B$80,B146,'3. PARTNER'!M$13:M$80)),(SUMIF('3. PARTNER'!B$13:B$80,B146,'3. PARTNER'!G$13:G$80))+(SUMIF('3. PARTNER'!B$13:B$80,B146,'3. PARTNER'!I$13:I$80)))</f>
        <v>0.16000843770704321</v>
      </c>
      <c r="AC146" s="452">
        <f>IF('2. START'!$C$20="UTB",(SUMIF('3. PARTNER'!B$13:B$80,B146,'3. PARTNER'!L$13:L$80))+(SUMIF('3. PARTNER'!B$13:B$80,B146,'3. PARTNER'!N$13:N$80)),(SUMIF('3. PARTNER'!B$13:B$80,B146,'3. PARTNER'!H$13:H$80))+(SUMIF('3. PARTNER'!B$13:B$80,B146,'3. PARTNER'!J$13:J$80)))</f>
        <v>0</v>
      </c>
      <c r="AD146" s="452">
        <f>IF('2. START'!C$11="NO",'2. START'!C$12,0)</f>
        <v>0</v>
      </c>
      <c r="AE146" s="453">
        <f t="shared" si="388"/>
        <v>0</v>
      </c>
      <c r="AF146" s="453">
        <f t="shared" si="389"/>
        <v>0</v>
      </c>
      <c r="AG146" s="454"/>
      <c r="AH146" s="455">
        <f t="shared" si="390"/>
        <v>0</v>
      </c>
      <c r="AI146" s="455">
        <f t="shared" si="391"/>
        <v>0</v>
      </c>
      <c r="AJ146" s="455">
        <f t="shared" si="392"/>
        <v>0</v>
      </c>
      <c r="AK146" s="455">
        <f t="shared" si="393"/>
        <v>0</v>
      </c>
      <c r="AL146" s="455">
        <f t="shared" si="394"/>
        <v>0</v>
      </c>
      <c r="AM146" s="455">
        <f t="shared" si="395"/>
        <v>0</v>
      </c>
      <c r="AN146" s="455">
        <f t="shared" si="396"/>
        <v>0</v>
      </c>
      <c r="AO146" s="455">
        <f t="shared" si="397"/>
        <v>0</v>
      </c>
      <c r="AP146" s="455">
        <f t="shared" si="398"/>
        <v>0</v>
      </c>
      <c r="AQ146" s="455">
        <f t="shared" si="399"/>
        <v>0</v>
      </c>
      <c r="AR146" s="456">
        <f t="shared" si="400"/>
        <v>0</v>
      </c>
      <c r="AS146" s="457"/>
      <c r="AT146" s="455">
        <f t="shared" si="401"/>
        <v>0</v>
      </c>
      <c r="AU146" s="455">
        <f t="shared" si="402"/>
        <v>0</v>
      </c>
      <c r="AV146" s="455">
        <f t="shared" si="403"/>
        <v>0</v>
      </c>
      <c r="AW146" s="455">
        <f t="shared" si="404"/>
        <v>0</v>
      </c>
      <c r="AX146" s="455">
        <f t="shared" si="405"/>
        <v>0</v>
      </c>
      <c r="AY146" s="455">
        <f t="shared" si="406"/>
        <v>0</v>
      </c>
      <c r="AZ146" s="455">
        <f t="shared" si="407"/>
        <v>0</v>
      </c>
      <c r="BA146" s="455">
        <f t="shared" si="408"/>
        <v>0</v>
      </c>
      <c r="BB146" s="455">
        <f t="shared" si="409"/>
        <v>0</v>
      </c>
      <c r="BC146" s="455">
        <f t="shared" si="410"/>
        <v>0</v>
      </c>
      <c r="BD146" s="456">
        <f t="shared" si="411"/>
        <v>0</v>
      </c>
      <c r="BE146" s="457"/>
      <c r="BF146" s="455">
        <f t="shared" si="412"/>
        <v>0</v>
      </c>
      <c r="BG146" s="455">
        <f t="shared" si="413"/>
        <v>0</v>
      </c>
      <c r="BH146" s="455">
        <f t="shared" si="414"/>
        <v>0</v>
      </c>
      <c r="BI146" s="455">
        <f t="shared" si="415"/>
        <v>0</v>
      </c>
      <c r="BJ146" s="455">
        <f t="shared" si="416"/>
        <v>0</v>
      </c>
      <c r="BK146" s="455">
        <f t="shared" si="417"/>
        <v>0</v>
      </c>
      <c r="BL146" s="455">
        <f t="shared" si="418"/>
        <v>0</v>
      </c>
      <c r="BM146" s="455">
        <f t="shared" si="419"/>
        <v>0</v>
      </c>
      <c r="BN146" s="455">
        <f t="shared" si="420"/>
        <v>0</v>
      </c>
      <c r="BO146" s="455">
        <f t="shared" si="421"/>
        <v>0</v>
      </c>
      <c r="BP146" s="456">
        <f t="shared" si="422"/>
        <v>0</v>
      </c>
      <c r="BQ146" s="463"/>
      <c r="BR146" s="459">
        <f t="shared" si="423"/>
        <v>0</v>
      </c>
      <c r="BS146" s="459">
        <f t="shared" si="424"/>
        <v>0</v>
      </c>
      <c r="BT146" s="459">
        <f t="shared" si="425"/>
        <v>0</v>
      </c>
      <c r="BU146" s="459">
        <f t="shared" si="426"/>
        <v>0</v>
      </c>
      <c r="BV146" s="459">
        <f t="shared" si="427"/>
        <v>0</v>
      </c>
      <c r="BW146" s="459">
        <f t="shared" si="428"/>
        <v>0</v>
      </c>
      <c r="BX146" s="459">
        <f t="shared" si="429"/>
        <v>0</v>
      </c>
      <c r="BY146" s="459">
        <f t="shared" si="430"/>
        <v>0</v>
      </c>
      <c r="BZ146" s="459">
        <f t="shared" si="431"/>
        <v>0</v>
      </c>
      <c r="CA146" s="459">
        <f t="shared" si="432"/>
        <v>0</v>
      </c>
      <c r="CB146" s="460">
        <f t="shared" si="433"/>
        <v>0</v>
      </c>
      <c r="CC146" s="463"/>
      <c r="CD146" s="462">
        <f t="shared" si="434"/>
        <v>0</v>
      </c>
      <c r="CE146" s="462">
        <f t="shared" si="435"/>
        <v>0</v>
      </c>
      <c r="CF146" s="462">
        <f t="shared" si="436"/>
        <v>0</v>
      </c>
      <c r="CG146" s="462">
        <f t="shared" si="437"/>
        <v>0</v>
      </c>
      <c r="CH146" s="462">
        <f t="shared" si="438"/>
        <v>0</v>
      </c>
      <c r="CI146" s="462">
        <f t="shared" si="439"/>
        <v>0</v>
      </c>
      <c r="CJ146" s="462">
        <f t="shared" si="440"/>
        <v>0</v>
      </c>
      <c r="CK146" s="462">
        <f t="shared" si="441"/>
        <v>0</v>
      </c>
      <c r="CL146" s="462">
        <f t="shared" si="442"/>
        <v>0</v>
      </c>
      <c r="CM146" s="462">
        <f t="shared" si="443"/>
        <v>0</v>
      </c>
      <c r="CN146" s="460">
        <f t="shared" si="444"/>
        <v>0</v>
      </c>
      <c r="CO146" s="463"/>
      <c r="CP146" s="459">
        <f t="shared" si="445"/>
        <v>0</v>
      </c>
      <c r="CQ146" s="459">
        <f t="shared" si="446"/>
        <v>0</v>
      </c>
      <c r="CR146" s="459">
        <f t="shared" si="447"/>
        <v>0</v>
      </c>
      <c r="CS146" s="459">
        <f t="shared" si="448"/>
        <v>0</v>
      </c>
      <c r="CT146" s="459">
        <f t="shared" si="449"/>
        <v>0</v>
      </c>
      <c r="CU146" s="459">
        <f t="shared" si="450"/>
        <v>0</v>
      </c>
      <c r="CV146" s="459">
        <f t="shared" si="451"/>
        <v>0</v>
      </c>
      <c r="CW146" s="459">
        <f t="shared" si="452"/>
        <v>0</v>
      </c>
      <c r="CX146" s="459">
        <f t="shared" si="453"/>
        <v>0</v>
      </c>
      <c r="CY146" s="459">
        <f t="shared" si="454"/>
        <v>0</v>
      </c>
      <c r="CZ146" s="460">
        <f t="shared" si="455"/>
        <v>0</v>
      </c>
      <c r="DA146" s="463"/>
      <c r="DB146" s="459">
        <f t="shared" si="456"/>
        <v>0</v>
      </c>
      <c r="DC146" s="459">
        <f t="shared" si="457"/>
        <v>0</v>
      </c>
      <c r="DD146" s="459">
        <f t="shared" si="458"/>
        <v>0</v>
      </c>
      <c r="DE146" s="459">
        <f t="shared" si="459"/>
        <v>0</v>
      </c>
      <c r="DF146" s="459">
        <f t="shared" si="460"/>
        <v>0</v>
      </c>
      <c r="DG146" s="459">
        <f t="shared" si="461"/>
        <v>0</v>
      </c>
      <c r="DH146" s="459">
        <f t="shared" si="462"/>
        <v>0</v>
      </c>
      <c r="DI146" s="459">
        <f t="shared" si="463"/>
        <v>0</v>
      </c>
      <c r="DJ146" s="459">
        <f t="shared" si="464"/>
        <v>0</v>
      </c>
      <c r="DK146" s="459">
        <f t="shared" si="465"/>
        <v>0</v>
      </c>
      <c r="DL146" s="460">
        <f t="shared" si="466"/>
        <v>0</v>
      </c>
      <c r="DM146" s="463"/>
      <c r="DN146" s="442">
        <f>IF('2. START'!$C$14&gt;0,(AT146/(1+$AA146))*(1+'2. START'!$C$14),AT146)</f>
        <v>0</v>
      </c>
      <c r="DO146" s="442">
        <f>IF('2. START'!$C$14&gt;0,(AU146/(1+$AA146))*(1+'2. START'!$C$14),AU146)</f>
        <v>0</v>
      </c>
      <c r="DP146" s="442">
        <f>IF('2. START'!$C$14&gt;0,(AV146/(1+$AA146))*(1+'2. START'!$C$14),AV146)</f>
        <v>0</v>
      </c>
      <c r="DQ146" s="442">
        <f>IF('2. START'!$C$14&gt;0,(AW146/(1+$AA146))*(1+'2. START'!$C$14),AW146)</f>
        <v>0</v>
      </c>
      <c r="DR146" s="442">
        <f>IF('2. START'!$C$14&gt;0,(AX146/(1+$AA146))*(1+'2. START'!$C$14),AX146)</f>
        <v>0</v>
      </c>
      <c r="DS146" s="442">
        <f>IF('2. START'!$C$14&gt;0,(AY146/(1+$AA146))*(1+'2. START'!$C$14),AY146)</f>
        <v>0</v>
      </c>
      <c r="DT146" s="442">
        <f>IF('2. START'!$C$14&gt;0,(AZ146/(1+$AA146))*(1+'2. START'!$C$14),AZ146)</f>
        <v>0</v>
      </c>
      <c r="DU146" s="442">
        <f>IF('2. START'!$C$14&gt;0,(BA146/(1+$AA146))*(1+'2. START'!$C$14),BA146)</f>
        <v>0</v>
      </c>
      <c r="DV146" s="442">
        <f>IF('2. START'!$C$14&gt;0,(BB146/(1+$AA146))*(1+'2. START'!$C$14),BB146)</f>
        <v>0</v>
      </c>
      <c r="DW146" s="442">
        <f>IF('2. START'!$C$14&gt;0,(BC146/(1+$AA146))*(1+'2. START'!$C$14),BC146)</f>
        <v>0</v>
      </c>
      <c r="DX146" s="460">
        <f t="shared" si="467"/>
        <v>0</v>
      </c>
      <c r="DY146" s="463"/>
      <c r="DZ146" s="459">
        <f>IF('2. START'!$C$11="NO",(IF('2. START'!$C$14&gt;0,(DN146*$AD146),(AT146*$AD146))),(BR146+CP146))</f>
        <v>0</v>
      </c>
      <c r="EA146" s="459">
        <f>IF('2. START'!$C$11="NO",(IF('2. START'!$C$14&gt;0,(DO146*$AD146),(AU146*$AD146))),(BS146+CQ146))</f>
        <v>0</v>
      </c>
      <c r="EB146" s="459">
        <f>IF('2. START'!$C$11="NO",(IF('2. START'!$C$14&gt;0,(DP146*$AD146),(AV146*$AD146))),(BT146+CR146))</f>
        <v>0</v>
      </c>
      <c r="EC146" s="459">
        <f>IF('2. START'!$C$11="NO",(IF('2. START'!$C$14&gt;0,(DQ146*$AD146),(AW146*$AD146))),(BU146+CS146))</f>
        <v>0</v>
      </c>
      <c r="ED146" s="459">
        <f>IF('2. START'!$C$11="NO",(IF('2. START'!$C$14&gt;0,(DR146*$AD146),(AX146*$AD146))),(BV146+CT146))</f>
        <v>0</v>
      </c>
      <c r="EE146" s="459">
        <f>IF('2. START'!$C$11="NO",(IF('2. START'!$C$14&gt;0,(DS146*$AD146),(AY146*$AD146))),(BW146+CU146))</f>
        <v>0</v>
      </c>
      <c r="EF146" s="459">
        <f>IF('2. START'!$C$11="NO",(IF('2. START'!$C$14&gt;0,(DT146*$AD146),(AZ146*$AD146))),(BX146+CV146))</f>
        <v>0</v>
      </c>
      <c r="EG146" s="459">
        <f>IF('2. START'!$C$11="NO",(IF('2. START'!$C$14&gt;0,(DU146*$AD146),(BA146*$AD146))),(BY146+CW146))</f>
        <v>0</v>
      </c>
      <c r="EH146" s="459">
        <f>IF('2. START'!$C$11="NO",(IF('2. START'!$C$14&gt;0,(DV146*$AD146),(BB146*$AD146))),(BZ146+CX146))</f>
        <v>0</v>
      </c>
      <c r="EI146" s="459">
        <f>IF('2. START'!$C$11="NO",(IF('2. START'!$C$14&gt;0,(DW146*$AD146),(BC146*$AD146))),(CA146+CY146))</f>
        <v>0</v>
      </c>
      <c r="EJ146" s="460">
        <f t="shared" si="468"/>
        <v>0</v>
      </c>
      <c r="EK146" s="463"/>
      <c r="EL146" s="459">
        <f>(BR146+CP146-DZ146)+IF('2. START'!$C$14&gt;0,AT146-DN146,0)</f>
        <v>0</v>
      </c>
      <c r="EM146" s="459">
        <f>(BS146+CQ146-EA146)+IF('2. START'!$C$14&gt;0,AU146-DO146,0)</f>
        <v>0</v>
      </c>
      <c r="EN146" s="459">
        <f>(BT146+CR146-EB146)+IF('2. START'!$C$14&gt;0,AV146-DP146,0)</f>
        <v>0</v>
      </c>
      <c r="EO146" s="459">
        <f>(BU146+CS146-EC146)+IF('2. START'!$C$14&gt;0,AW146-DQ146,0)</f>
        <v>0</v>
      </c>
      <c r="EP146" s="459">
        <f>(BV146+CT146-ED146)+IF('2. START'!$C$14&gt;0,AX146-DR146,0)</f>
        <v>0</v>
      </c>
      <c r="EQ146" s="459">
        <f>(BW146+CU146-EE146)+IF('2. START'!$C$14&gt;0,AY146-DS146,0)</f>
        <v>0</v>
      </c>
      <c r="ER146" s="459">
        <f>(BX146+CV146-EF146)+IF('2. START'!$C$14&gt;0,AZ146-DT146,0)</f>
        <v>0</v>
      </c>
      <c r="ES146" s="459">
        <f>(BY146+CW146-EG146)+IF('2. START'!$C$14&gt;0,BA146-DU146,0)</f>
        <v>0</v>
      </c>
      <c r="ET146" s="459">
        <f>(BZ146+CX146-EH146)+IF('2. START'!$C$14&gt;0,BB146-DV146,0)</f>
        <v>0</v>
      </c>
      <c r="EU146" s="459">
        <f>(CA146+CY146-EI146)+IF('2. START'!$C$14&gt;0,BC146-DW146,0)</f>
        <v>0</v>
      </c>
      <c r="EV146" s="460">
        <f t="shared" si="469"/>
        <v>0</v>
      </c>
      <c r="EW146" s="463"/>
      <c r="EX146" s="459">
        <f t="shared" si="470"/>
        <v>0</v>
      </c>
      <c r="EY146" s="459">
        <f t="shared" si="471"/>
        <v>0</v>
      </c>
      <c r="EZ146" s="459">
        <f t="shared" si="472"/>
        <v>0</v>
      </c>
      <c r="FA146" s="459">
        <f t="shared" si="473"/>
        <v>0</v>
      </c>
      <c r="FB146" s="459">
        <f t="shared" si="474"/>
        <v>0</v>
      </c>
      <c r="FC146" s="459">
        <f t="shared" si="475"/>
        <v>0</v>
      </c>
      <c r="FD146" s="459">
        <f t="shared" si="476"/>
        <v>0</v>
      </c>
      <c r="FE146" s="459">
        <f t="shared" si="477"/>
        <v>0</v>
      </c>
      <c r="FF146" s="459">
        <f t="shared" si="478"/>
        <v>0</v>
      </c>
      <c r="FG146" s="459">
        <f t="shared" si="479"/>
        <v>0</v>
      </c>
      <c r="FH146" s="460">
        <f t="shared" si="480"/>
        <v>0</v>
      </c>
      <c r="FI146" s="463"/>
      <c r="FJ146" s="459">
        <f t="shared" si="481"/>
        <v>0</v>
      </c>
      <c r="FK146" s="459">
        <f t="shared" si="482"/>
        <v>0</v>
      </c>
      <c r="FL146" s="459">
        <f t="shared" si="483"/>
        <v>0</v>
      </c>
      <c r="FM146" s="459">
        <f t="shared" si="484"/>
        <v>0</v>
      </c>
      <c r="FN146" s="459">
        <f t="shared" si="485"/>
        <v>0</v>
      </c>
      <c r="FO146" s="459">
        <f t="shared" si="486"/>
        <v>0</v>
      </c>
      <c r="FP146" s="459">
        <f t="shared" si="487"/>
        <v>0</v>
      </c>
      <c r="FQ146" s="459">
        <f t="shared" si="488"/>
        <v>0</v>
      </c>
      <c r="FR146" s="459">
        <f t="shared" si="489"/>
        <v>0</v>
      </c>
      <c r="FS146" s="459">
        <f t="shared" si="490"/>
        <v>0</v>
      </c>
      <c r="FT146" s="460">
        <f t="shared" si="491"/>
        <v>0</v>
      </c>
    </row>
    <row r="147" spans="2:176" s="270" customFormat="1" ht="15" customHeight="1" x14ac:dyDescent="0.25">
      <c r="B147" s="464" t="str">
        <f>'2. START'!C$7</f>
        <v>100GEM</v>
      </c>
      <c r="C147" s="470"/>
      <c r="D147" s="590"/>
      <c r="E147" s="514">
        <v>0</v>
      </c>
      <c r="F147" s="467"/>
      <c r="G147" s="432"/>
      <c r="H147" s="432"/>
      <c r="I147" s="432"/>
      <c r="J147" s="432"/>
      <c r="K147" s="432"/>
      <c r="L147" s="432"/>
      <c r="M147" s="432"/>
      <c r="N147" s="432"/>
      <c r="O147" s="432"/>
      <c r="P147" s="432"/>
      <c r="Q147" s="545">
        <f>SUMIF('3. PARTNER'!$B$13:$B$80,$B147,'3. PARTNER'!$F$13:$F$80)</f>
        <v>0.02</v>
      </c>
      <c r="R147" s="466">
        <f t="shared" si="387"/>
        <v>0.02</v>
      </c>
      <c r="S147" s="466">
        <f t="shared" si="387"/>
        <v>0.02</v>
      </c>
      <c r="T147" s="466">
        <f t="shared" si="387"/>
        <v>0.02</v>
      </c>
      <c r="U147" s="466">
        <f t="shared" si="387"/>
        <v>0.02</v>
      </c>
      <c r="V147" s="466">
        <f t="shared" si="387"/>
        <v>0.02</v>
      </c>
      <c r="W147" s="466">
        <f t="shared" si="387"/>
        <v>0.02</v>
      </c>
      <c r="X147" s="466">
        <f t="shared" si="387"/>
        <v>0.02</v>
      </c>
      <c r="Y147" s="466">
        <f t="shared" si="387"/>
        <v>0.02</v>
      </c>
      <c r="Z147" s="466">
        <f t="shared" si="387"/>
        <v>0.02</v>
      </c>
      <c r="AA147" s="434">
        <f>SUMIF('3. PARTNER'!B$13:B$80,B147,'3. PARTNER'!E$13:E$80)</f>
        <v>0.5595</v>
      </c>
      <c r="AB147" s="435">
        <f>IF('2. START'!$C$20="UTB",(SUMIF('3. PARTNER'!B$13:B$80,B147,'3. PARTNER'!K$13:K$80))+(SUMIF('3. PARTNER'!B$13:B$80,B147,'3. PARTNER'!M$13:M$80)),(SUMIF('3. PARTNER'!B$13:B$80,B147,'3. PARTNER'!G$13:G$80))+(SUMIF('3. PARTNER'!B$13:B$80,B147,'3. PARTNER'!I$13:I$80)))</f>
        <v>0.16000843770704321</v>
      </c>
      <c r="AC147" s="435">
        <f>IF('2. START'!$C$20="UTB",(SUMIF('3. PARTNER'!B$13:B$80,B147,'3. PARTNER'!L$13:L$80))+(SUMIF('3. PARTNER'!B$13:B$80,B147,'3. PARTNER'!N$13:N$80)),(SUMIF('3. PARTNER'!B$13:B$80,B147,'3. PARTNER'!H$13:H$80))+(SUMIF('3. PARTNER'!B$13:B$80,B147,'3. PARTNER'!J$13:J$80)))</f>
        <v>0</v>
      </c>
      <c r="AD147" s="435">
        <f>IF('2. START'!C$11="NO",'2. START'!C$12,0)</f>
        <v>0</v>
      </c>
      <c r="AE147" s="436">
        <f t="shared" si="388"/>
        <v>0</v>
      </c>
      <c r="AF147" s="436">
        <f t="shared" si="389"/>
        <v>0</v>
      </c>
      <c r="AG147" s="437"/>
      <c r="AH147" s="438">
        <f t="shared" si="390"/>
        <v>0</v>
      </c>
      <c r="AI147" s="438">
        <f t="shared" si="391"/>
        <v>0</v>
      </c>
      <c r="AJ147" s="438">
        <f t="shared" si="392"/>
        <v>0</v>
      </c>
      <c r="AK147" s="438">
        <f t="shared" si="393"/>
        <v>0</v>
      </c>
      <c r="AL147" s="438">
        <f t="shared" si="394"/>
        <v>0</v>
      </c>
      <c r="AM147" s="438">
        <f t="shared" si="395"/>
        <v>0</v>
      </c>
      <c r="AN147" s="438">
        <f t="shared" si="396"/>
        <v>0</v>
      </c>
      <c r="AO147" s="438">
        <f t="shared" si="397"/>
        <v>0</v>
      </c>
      <c r="AP147" s="438">
        <f t="shared" si="398"/>
        <v>0</v>
      </c>
      <c r="AQ147" s="438">
        <f t="shared" si="399"/>
        <v>0</v>
      </c>
      <c r="AR147" s="439">
        <f t="shared" si="400"/>
        <v>0</v>
      </c>
      <c r="AS147" s="440"/>
      <c r="AT147" s="438">
        <f t="shared" si="401"/>
        <v>0</v>
      </c>
      <c r="AU147" s="438">
        <f t="shared" si="402"/>
        <v>0</v>
      </c>
      <c r="AV147" s="438">
        <f t="shared" si="403"/>
        <v>0</v>
      </c>
      <c r="AW147" s="438">
        <f t="shared" si="404"/>
        <v>0</v>
      </c>
      <c r="AX147" s="438">
        <f t="shared" si="405"/>
        <v>0</v>
      </c>
      <c r="AY147" s="438">
        <f t="shared" si="406"/>
        <v>0</v>
      </c>
      <c r="AZ147" s="438">
        <f t="shared" si="407"/>
        <v>0</v>
      </c>
      <c r="BA147" s="438">
        <f t="shared" si="408"/>
        <v>0</v>
      </c>
      <c r="BB147" s="438">
        <f t="shared" si="409"/>
        <v>0</v>
      </c>
      <c r="BC147" s="438">
        <f t="shared" si="410"/>
        <v>0</v>
      </c>
      <c r="BD147" s="439">
        <f t="shared" si="411"/>
        <v>0</v>
      </c>
      <c r="BE147" s="440"/>
      <c r="BF147" s="438">
        <f t="shared" si="412"/>
        <v>0</v>
      </c>
      <c r="BG147" s="438">
        <f t="shared" si="413"/>
        <v>0</v>
      </c>
      <c r="BH147" s="438">
        <f t="shared" si="414"/>
        <v>0</v>
      </c>
      <c r="BI147" s="438">
        <f t="shared" si="415"/>
        <v>0</v>
      </c>
      <c r="BJ147" s="438">
        <f t="shared" si="416"/>
        <v>0</v>
      </c>
      <c r="BK147" s="438">
        <f t="shared" si="417"/>
        <v>0</v>
      </c>
      <c r="BL147" s="438">
        <f t="shared" si="418"/>
        <v>0</v>
      </c>
      <c r="BM147" s="438">
        <f t="shared" si="419"/>
        <v>0</v>
      </c>
      <c r="BN147" s="438">
        <f t="shared" si="420"/>
        <v>0</v>
      </c>
      <c r="BO147" s="438">
        <f t="shared" si="421"/>
        <v>0</v>
      </c>
      <c r="BP147" s="439">
        <f t="shared" si="422"/>
        <v>0</v>
      </c>
      <c r="BR147" s="442">
        <f t="shared" si="423"/>
        <v>0</v>
      </c>
      <c r="BS147" s="442">
        <f t="shared" si="424"/>
        <v>0</v>
      </c>
      <c r="BT147" s="442">
        <f t="shared" si="425"/>
        <v>0</v>
      </c>
      <c r="BU147" s="442">
        <f t="shared" si="426"/>
        <v>0</v>
      </c>
      <c r="BV147" s="442">
        <f t="shared" si="427"/>
        <v>0</v>
      </c>
      <c r="BW147" s="442">
        <f t="shared" si="428"/>
        <v>0</v>
      </c>
      <c r="BX147" s="442">
        <f t="shared" si="429"/>
        <v>0</v>
      </c>
      <c r="BY147" s="442">
        <f t="shared" si="430"/>
        <v>0</v>
      </c>
      <c r="BZ147" s="442">
        <f t="shared" si="431"/>
        <v>0</v>
      </c>
      <c r="CA147" s="442">
        <f t="shared" si="432"/>
        <v>0</v>
      </c>
      <c r="CB147" s="443">
        <f t="shared" si="433"/>
        <v>0</v>
      </c>
      <c r="CD147" s="445">
        <f t="shared" si="434"/>
        <v>0</v>
      </c>
      <c r="CE147" s="445">
        <f t="shared" si="435"/>
        <v>0</v>
      </c>
      <c r="CF147" s="445">
        <f t="shared" si="436"/>
        <v>0</v>
      </c>
      <c r="CG147" s="445">
        <f t="shared" si="437"/>
        <v>0</v>
      </c>
      <c r="CH147" s="445">
        <f t="shared" si="438"/>
        <v>0</v>
      </c>
      <c r="CI147" s="445">
        <f t="shared" si="439"/>
        <v>0</v>
      </c>
      <c r="CJ147" s="445">
        <f t="shared" si="440"/>
        <v>0</v>
      </c>
      <c r="CK147" s="445">
        <f t="shared" si="441"/>
        <v>0</v>
      </c>
      <c r="CL147" s="445">
        <f t="shared" si="442"/>
        <v>0</v>
      </c>
      <c r="CM147" s="445">
        <f t="shared" si="443"/>
        <v>0</v>
      </c>
      <c r="CN147" s="443">
        <f t="shared" si="444"/>
        <v>0</v>
      </c>
      <c r="CP147" s="442">
        <f t="shared" si="445"/>
        <v>0</v>
      </c>
      <c r="CQ147" s="442">
        <f t="shared" si="446"/>
        <v>0</v>
      </c>
      <c r="CR147" s="442">
        <f t="shared" si="447"/>
        <v>0</v>
      </c>
      <c r="CS147" s="442">
        <f t="shared" si="448"/>
        <v>0</v>
      </c>
      <c r="CT147" s="442">
        <f t="shared" si="449"/>
        <v>0</v>
      </c>
      <c r="CU147" s="442">
        <f t="shared" si="450"/>
        <v>0</v>
      </c>
      <c r="CV147" s="442">
        <f t="shared" si="451"/>
        <v>0</v>
      </c>
      <c r="CW147" s="442">
        <f t="shared" si="452"/>
        <v>0</v>
      </c>
      <c r="CX147" s="442">
        <f t="shared" si="453"/>
        <v>0</v>
      </c>
      <c r="CY147" s="442">
        <f t="shared" si="454"/>
        <v>0</v>
      </c>
      <c r="CZ147" s="443">
        <f t="shared" si="455"/>
        <v>0</v>
      </c>
      <c r="DB147" s="442">
        <f t="shared" si="456"/>
        <v>0</v>
      </c>
      <c r="DC147" s="442">
        <f t="shared" si="457"/>
        <v>0</v>
      </c>
      <c r="DD147" s="442">
        <f t="shared" si="458"/>
        <v>0</v>
      </c>
      <c r="DE147" s="442">
        <f t="shared" si="459"/>
        <v>0</v>
      </c>
      <c r="DF147" s="442">
        <f t="shared" si="460"/>
        <v>0</v>
      </c>
      <c r="DG147" s="442">
        <f t="shared" si="461"/>
        <v>0</v>
      </c>
      <c r="DH147" s="442">
        <f t="shared" si="462"/>
        <v>0</v>
      </c>
      <c r="DI147" s="442">
        <f t="shared" si="463"/>
        <v>0</v>
      </c>
      <c r="DJ147" s="442">
        <f t="shared" si="464"/>
        <v>0</v>
      </c>
      <c r="DK147" s="442">
        <f t="shared" si="465"/>
        <v>0</v>
      </c>
      <c r="DL147" s="443">
        <f t="shared" si="466"/>
        <v>0</v>
      </c>
      <c r="DN147" s="442">
        <f>IF('2. START'!$C$14&gt;0,(AT147/(1+$AA147))*(1+'2. START'!$C$14),AT147)</f>
        <v>0</v>
      </c>
      <c r="DO147" s="442">
        <f>IF('2. START'!$C$14&gt;0,(AU147/(1+$AA147))*(1+'2. START'!$C$14),AU147)</f>
        <v>0</v>
      </c>
      <c r="DP147" s="442">
        <f>IF('2. START'!$C$14&gt;0,(AV147/(1+$AA147))*(1+'2. START'!$C$14),AV147)</f>
        <v>0</v>
      </c>
      <c r="DQ147" s="442">
        <f>IF('2. START'!$C$14&gt;0,(AW147/(1+$AA147))*(1+'2. START'!$C$14),AW147)</f>
        <v>0</v>
      </c>
      <c r="DR147" s="442">
        <f>IF('2. START'!$C$14&gt;0,(AX147/(1+$AA147))*(1+'2. START'!$C$14),AX147)</f>
        <v>0</v>
      </c>
      <c r="DS147" s="442">
        <f>IF('2. START'!$C$14&gt;0,(AY147/(1+$AA147))*(1+'2. START'!$C$14),AY147)</f>
        <v>0</v>
      </c>
      <c r="DT147" s="442">
        <f>IF('2. START'!$C$14&gt;0,(AZ147/(1+$AA147))*(1+'2. START'!$C$14),AZ147)</f>
        <v>0</v>
      </c>
      <c r="DU147" s="442">
        <f>IF('2. START'!$C$14&gt;0,(BA147/(1+$AA147))*(1+'2. START'!$C$14),BA147)</f>
        <v>0</v>
      </c>
      <c r="DV147" s="442">
        <f>IF('2. START'!$C$14&gt;0,(BB147/(1+$AA147))*(1+'2. START'!$C$14),BB147)</f>
        <v>0</v>
      </c>
      <c r="DW147" s="442">
        <f>IF('2. START'!$C$14&gt;0,(BC147/(1+$AA147))*(1+'2. START'!$C$14),BC147)</f>
        <v>0</v>
      </c>
      <c r="DX147" s="443">
        <f t="shared" si="467"/>
        <v>0</v>
      </c>
      <c r="DZ147" s="442">
        <f>IF('2. START'!$C$11="NO",(IF('2. START'!$C$14&gt;0,(DN147*$AD147),(AT147*$AD147))),(BR147+CP147))</f>
        <v>0</v>
      </c>
      <c r="EA147" s="442">
        <f>IF('2. START'!$C$11="NO",(IF('2. START'!$C$14&gt;0,(DO147*$AD147),(AU147*$AD147))),(BS147+CQ147))</f>
        <v>0</v>
      </c>
      <c r="EB147" s="442">
        <f>IF('2. START'!$C$11="NO",(IF('2. START'!$C$14&gt;0,(DP147*$AD147),(AV147*$AD147))),(BT147+CR147))</f>
        <v>0</v>
      </c>
      <c r="EC147" s="442">
        <f>IF('2. START'!$C$11="NO",(IF('2. START'!$C$14&gt;0,(DQ147*$AD147),(AW147*$AD147))),(BU147+CS147))</f>
        <v>0</v>
      </c>
      <c r="ED147" s="442">
        <f>IF('2. START'!$C$11="NO",(IF('2. START'!$C$14&gt;0,(DR147*$AD147),(AX147*$AD147))),(BV147+CT147))</f>
        <v>0</v>
      </c>
      <c r="EE147" s="442">
        <f>IF('2. START'!$C$11="NO",(IF('2. START'!$C$14&gt;0,(DS147*$AD147),(AY147*$AD147))),(BW147+CU147))</f>
        <v>0</v>
      </c>
      <c r="EF147" s="442">
        <f>IF('2. START'!$C$11="NO",(IF('2. START'!$C$14&gt;0,(DT147*$AD147),(AZ147*$AD147))),(BX147+CV147))</f>
        <v>0</v>
      </c>
      <c r="EG147" s="442">
        <f>IF('2. START'!$C$11="NO",(IF('2. START'!$C$14&gt;0,(DU147*$AD147),(BA147*$AD147))),(BY147+CW147))</f>
        <v>0</v>
      </c>
      <c r="EH147" s="442">
        <f>IF('2. START'!$C$11="NO",(IF('2. START'!$C$14&gt;0,(DV147*$AD147),(BB147*$AD147))),(BZ147+CX147))</f>
        <v>0</v>
      </c>
      <c r="EI147" s="442">
        <f>IF('2. START'!$C$11="NO",(IF('2. START'!$C$14&gt;0,(DW147*$AD147),(BC147*$AD147))),(CA147+CY147))</f>
        <v>0</v>
      </c>
      <c r="EJ147" s="443">
        <f t="shared" si="468"/>
        <v>0</v>
      </c>
      <c r="EL147" s="442">
        <f>(BR147+CP147-DZ147)+IF('2. START'!$C$14&gt;0,AT147-DN147,0)</f>
        <v>0</v>
      </c>
      <c r="EM147" s="442">
        <f>(BS147+CQ147-EA147)+IF('2. START'!$C$14&gt;0,AU147-DO147,0)</f>
        <v>0</v>
      </c>
      <c r="EN147" s="442">
        <f>(BT147+CR147-EB147)+IF('2. START'!$C$14&gt;0,AV147-DP147,0)</f>
        <v>0</v>
      </c>
      <c r="EO147" s="442">
        <f>(BU147+CS147-EC147)+IF('2. START'!$C$14&gt;0,AW147-DQ147,0)</f>
        <v>0</v>
      </c>
      <c r="EP147" s="442">
        <f>(BV147+CT147-ED147)+IF('2. START'!$C$14&gt;0,AX147-DR147,0)</f>
        <v>0</v>
      </c>
      <c r="EQ147" s="442">
        <f>(BW147+CU147-EE147)+IF('2. START'!$C$14&gt;0,AY147-DS147,0)</f>
        <v>0</v>
      </c>
      <c r="ER147" s="442">
        <f>(BX147+CV147-EF147)+IF('2. START'!$C$14&gt;0,AZ147-DT147,0)</f>
        <v>0</v>
      </c>
      <c r="ES147" s="442">
        <f>(BY147+CW147-EG147)+IF('2. START'!$C$14&gt;0,BA147-DU147,0)</f>
        <v>0</v>
      </c>
      <c r="ET147" s="442">
        <f>(BZ147+CX147-EH147)+IF('2. START'!$C$14&gt;0,BB147-DV147,0)</f>
        <v>0</v>
      </c>
      <c r="EU147" s="442">
        <f>(CA147+CY147-EI147)+IF('2. START'!$C$14&gt;0,BC147-DW147,0)</f>
        <v>0</v>
      </c>
      <c r="EV147" s="443">
        <f t="shared" si="469"/>
        <v>0</v>
      </c>
      <c r="EX147" s="442">
        <f t="shared" si="470"/>
        <v>0</v>
      </c>
      <c r="EY147" s="442">
        <f t="shared" si="471"/>
        <v>0</v>
      </c>
      <c r="EZ147" s="442">
        <f t="shared" si="472"/>
        <v>0</v>
      </c>
      <c r="FA147" s="442">
        <f t="shared" si="473"/>
        <v>0</v>
      </c>
      <c r="FB147" s="442">
        <f t="shared" si="474"/>
        <v>0</v>
      </c>
      <c r="FC147" s="442">
        <f t="shared" si="475"/>
        <v>0</v>
      </c>
      <c r="FD147" s="442">
        <f t="shared" si="476"/>
        <v>0</v>
      </c>
      <c r="FE147" s="442">
        <f t="shared" si="477"/>
        <v>0</v>
      </c>
      <c r="FF147" s="442">
        <f t="shared" si="478"/>
        <v>0</v>
      </c>
      <c r="FG147" s="442">
        <f t="shared" si="479"/>
        <v>0</v>
      </c>
      <c r="FH147" s="443">
        <f t="shared" si="480"/>
        <v>0</v>
      </c>
      <c r="FJ147" s="442">
        <f t="shared" si="481"/>
        <v>0</v>
      </c>
      <c r="FK147" s="442">
        <f t="shared" si="482"/>
        <v>0</v>
      </c>
      <c r="FL147" s="442">
        <f t="shared" si="483"/>
        <v>0</v>
      </c>
      <c r="FM147" s="442">
        <f t="shared" si="484"/>
        <v>0</v>
      </c>
      <c r="FN147" s="442">
        <f t="shared" si="485"/>
        <v>0</v>
      </c>
      <c r="FO147" s="442">
        <f t="shared" si="486"/>
        <v>0</v>
      </c>
      <c r="FP147" s="442">
        <f t="shared" si="487"/>
        <v>0</v>
      </c>
      <c r="FQ147" s="442">
        <f t="shared" si="488"/>
        <v>0</v>
      </c>
      <c r="FR147" s="442">
        <f t="shared" si="489"/>
        <v>0</v>
      </c>
      <c r="FS147" s="442">
        <f t="shared" si="490"/>
        <v>0</v>
      </c>
      <c r="FT147" s="443">
        <f t="shared" si="491"/>
        <v>0</v>
      </c>
    </row>
    <row r="148" spans="2:176" s="270" customFormat="1" ht="15" customHeight="1" x14ac:dyDescent="0.25">
      <c r="B148" s="446" t="str">
        <f>'2. START'!C$7</f>
        <v>100GEM</v>
      </c>
      <c r="C148" s="469"/>
      <c r="D148" s="589"/>
      <c r="E148" s="544">
        <v>0</v>
      </c>
      <c r="F148" s="448"/>
      <c r="G148" s="449"/>
      <c r="H148" s="449"/>
      <c r="I148" s="449"/>
      <c r="J148" s="449"/>
      <c r="K148" s="449"/>
      <c r="L148" s="449"/>
      <c r="M148" s="449"/>
      <c r="N148" s="449"/>
      <c r="O148" s="449"/>
      <c r="P148" s="449"/>
      <c r="Q148" s="546">
        <f>SUMIF('3. PARTNER'!$B$13:$B$80,$B148,'3. PARTNER'!$F$13:$F$80)</f>
        <v>0.02</v>
      </c>
      <c r="R148" s="450">
        <f t="shared" si="387"/>
        <v>0.02</v>
      </c>
      <c r="S148" s="450">
        <f t="shared" si="387"/>
        <v>0.02</v>
      </c>
      <c r="T148" s="450">
        <f t="shared" si="387"/>
        <v>0.02</v>
      </c>
      <c r="U148" s="450">
        <f t="shared" si="387"/>
        <v>0.02</v>
      </c>
      <c r="V148" s="450">
        <f t="shared" si="387"/>
        <v>0.02</v>
      </c>
      <c r="W148" s="450">
        <f t="shared" si="387"/>
        <v>0.02</v>
      </c>
      <c r="X148" s="450">
        <f t="shared" si="387"/>
        <v>0.02</v>
      </c>
      <c r="Y148" s="450">
        <f t="shared" si="387"/>
        <v>0.02</v>
      </c>
      <c r="Z148" s="450">
        <f t="shared" si="387"/>
        <v>0.02</v>
      </c>
      <c r="AA148" s="451">
        <f>SUMIF('3. PARTNER'!B$13:B$80,B148,'3. PARTNER'!E$13:E$80)</f>
        <v>0.5595</v>
      </c>
      <c r="AB148" s="452">
        <f>IF('2. START'!$C$20="UTB",(SUMIF('3. PARTNER'!B$13:B$80,B148,'3. PARTNER'!K$13:K$80))+(SUMIF('3. PARTNER'!B$13:B$80,B148,'3. PARTNER'!M$13:M$80)),(SUMIF('3. PARTNER'!B$13:B$80,B148,'3. PARTNER'!G$13:G$80))+(SUMIF('3. PARTNER'!B$13:B$80,B148,'3. PARTNER'!I$13:I$80)))</f>
        <v>0.16000843770704321</v>
      </c>
      <c r="AC148" s="452">
        <f>IF('2. START'!$C$20="UTB",(SUMIF('3. PARTNER'!B$13:B$80,B148,'3. PARTNER'!L$13:L$80))+(SUMIF('3. PARTNER'!B$13:B$80,B148,'3. PARTNER'!N$13:N$80)),(SUMIF('3. PARTNER'!B$13:B$80,B148,'3. PARTNER'!H$13:H$80))+(SUMIF('3. PARTNER'!B$13:B$80,B148,'3. PARTNER'!J$13:J$80)))</f>
        <v>0</v>
      </c>
      <c r="AD148" s="452">
        <f>IF('2. START'!C$11="NO",'2. START'!C$12,0)</f>
        <v>0</v>
      </c>
      <c r="AE148" s="453">
        <f t="shared" si="388"/>
        <v>0</v>
      </c>
      <c r="AF148" s="453">
        <f t="shared" si="389"/>
        <v>0</v>
      </c>
      <c r="AG148" s="454"/>
      <c r="AH148" s="455">
        <f t="shared" si="390"/>
        <v>0</v>
      </c>
      <c r="AI148" s="455">
        <f t="shared" si="391"/>
        <v>0</v>
      </c>
      <c r="AJ148" s="455">
        <f t="shared" si="392"/>
        <v>0</v>
      </c>
      <c r="AK148" s="455">
        <f t="shared" si="393"/>
        <v>0</v>
      </c>
      <c r="AL148" s="455">
        <f t="shared" si="394"/>
        <v>0</v>
      </c>
      <c r="AM148" s="455">
        <f t="shared" si="395"/>
        <v>0</v>
      </c>
      <c r="AN148" s="455">
        <f t="shared" si="396"/>
        <v>0</v>
      </c>
      <c r="AO148" s="455">
        <f t="shared" si="397"/>
        <v>0</v>
      </c>
      <c r="AP148" s="455">
        <f t="shared" si="398"/>
        <v>0</v>
      </c>
      <c r="AQ148" s="455">
        <f t="shared" si="399"/>
        <v>0</v>
      </c>
      <c r="AR148" s="456">
        <f t="shared" si="400"/>
        <v>0</v>
      </c>
      <c r="AS148" s="457"/>
      <c r="AT148" s="455">
        <f t="shared" si="401"/>
        <v>0</v>
      </c>
      <c r="AU148" s="455">
        <f t="shared" si="402"/>
        <v>0</v>
      </c>
      <c r="AV148" s="455">
        <f t="shared" si="403"/>
        <v>0</v>
      </c>
      <c r="AW148" s="455">
        <f t="shared" si="404"/>
        <v>0</v>
      </c>
      <c r="AX148" s="455">
        <f t="shared" si="405"/>
        <v>0</v>
      </c>
      <c r="AY148" s="455">
        <f t="shared" si="406"/>
        <v>0</v>
      </c>
      <c r="AZ148" s="455">
        <f t="shared" si="407"/>
        <v>0</v>
      </c>
      <c r="BA148" s="455">
        <f t="shared" si="408"/>
        <v>0</v>
      </c>
      <c r="BB148" s="455">
        <f t="shared" si="409"/>
        <v>0</v>
      </c>
      <c r="BC148" s="455">
        <f t="shared" si="410"/>
        <v>0</v>
      </c>
      <c r="BD148" s="456">
        <f t="shared" si="411"/>
        <v>0</v>
      </c>
      <c r="BE148" s="457"/>
      <c r="BF148" s="455">
        <f t="shared" si="412"/>
        <v>0</v>
      </c>
      <c r="BG148" s="455">
        <f t="shared" si="413"/>
        <v>0</v>
      </c>
      <c r="BH148" s="455">
        <f t="shared" si="414"/>
        <v>0</v>
      </c>
      <c r="BI148" s="455">
        <f t="shared" si="415"/>
        <v>0</v>
      </c>
      <c r="BJ148" s="455">
        <f t="shared" si="416"/>
        <v>0</v>
      </c>
      <c r="BK148" s="455">
        <f t="shared" si="417"/>
        <v>0</v>
      </c>
      <c r="BL148" s="455">
        <f t="shared" si="418"/>
        <v>0</v>
      </c>
      <c r="BM148" s="455">
        <f t="shared" si="419"/>
        <v>0</v>
      </c>
      <c r="BN148" s="455">
        <f t="shared" si="420"/>
        <v>0</v>
      </c>
      <c r="BO148" s="455">
        <f t="shared" si="421"/>
        <v>0</v>
      </c>
      <c r="BP148" s="456">
        <f t="shared" si="422"/>
        <v>0</v>
      </c>
      <c r="BQ148" s="463"/>
      <c r="BR148" s="459">
        <f t="shared" si="423"/>
        <v>0</v>
      </c>
      <c r="BS148" s="459">
        <f t="shared" si="424"/>
        <v>0</v>
      </c>
      <c r="BT148" s="459">
        <f t="shared" si="425"/>
        <v>0</v>
      </c>
      <c r="BU148" s="459">
        <f t="shared" si="426"/>
        <v>0</v>
      </c>
      <c r="BV148" s="459">
        <f t="shared" si="427"/>
        <v>0</v>
      </c>
      <c r="BW148" s="459">
        <f t="shared" si="428"/>
        <v>0</v>
      </c>
      <c r="BX148" s="459">
        <f t="shared" si="429"/>
        <v>0</v>
      </c>
      <c r="BY148" s="459">
        <f t="shared" si="430"/>
        <v>0</v>
      </c>
      <c r="BZ148" s="459">
        <f t="shared" si="431"/>
        <v>0</v>
      </c>
      <c r="CA148" s="459">
        <f t="shared" si="432"/>
        <v>0</v>
      </c>
      <c r="CB148" s="460">
        <f t="shared" si="433"/>
        <v>0</v>
      </c>
      <c r="CC148" s="463"/>
      <c r="CD148" s="462">
        <f t="shared" si="434"/>
        <v>0</v>
      </c>
      <c r="CE148" s="462">
        <f t="shared" si="435"/>
        <v>0</v>
      </c>
      <c r="CF148" s="462">
        <f t="shared" si="436"/>
        <v>0</v>
      </c>
      <c r="CG148" s="462">
        <f t="shared" si="437"/>
        <v>0</v>
      </c>
      <c r="CH148" s="462">
        <f t="shared" si="438"/>
        <v>0</v>
      </c>
      <c r="CI148" s="462">
        <f t="shared" si="439"/>
        <v>0</v>
      </c>
      <c r="CJ148" s="462">
        <f t="shared" si="440"/>
        <v>0</v>
      </c>
      <c r="CK148" s="462">
        <f t="shared" si="441"/>
        <v>0</v>
      </c>
      <c r="CL148" s="462">
        <f t="shared" si="442"/>
        <v>0</v>
      </c>
      <c r="CM148" s="462">
        <f t="shared" si="443"/>
        <v>0</v>
      </c>
      <c r="CN148" s="460">
        <f t="shared" si="444"/>
        <v>0</v>
      </c>
      <c r="CO148" s="463"/>
      <c r="CP148" s="459">
        <f t="shared" si="445"/>
        <v>0</v>
      </c>
      <c r="CQ148" s="459">
        <f t="shared" si="446"/>
        <v>0</v>
      </c>
      <c r="CR148" s="459">
        <f t="shared" si="447"/>
        <v>0</v>
      </c>
      <c r="CS148" s="459">
        <f t="shared" si="448"/>
        <v>0</v>
      </c>
      <c r="CT148" s="459">
        <f t="shared" si="449"/>
        <v>0</v>
      </c>
      <c r="CU148" s="459">
        <f t="shared" si="450"/>
        <v>0</v>
      </c>
      <c r="CV148" s="459">
        <f t="shared" si="451"/>
        <v>0</v>
      </c>
      <c r="CW148" s="459">
        <f t="shared" si="452"/>
        <v>0</v>
      </c>
      <c r="CX148" s="459">
        <f t="shared" si="453"/>
        <v>0</v>
      </c>
      <c r="CY148" s="459">
        <f t="shared" si="454"/>
        <v>0</v>
      </c>
      <c r="CZ148" s="460">
        <f t="shared" si="455"/>
        <v>0</v>
      </c>
      <c r="DA148" s="463"/>
      <c r="DB148" s="459">
        <f t="shared" si="456"/>
        <v>0</v>
      </c>
      <c r="DC148" s="459">
        <f t="shared" si="457"/>
        <v>0</v>
      </c>
      <c r="DD148" s="459">
        <f t="shared" si="458"/>
        <v>0</v>
      </c>
      <c r="DE148" s="459">
        <f t="shared" si="459"/>
        <v>0</v>
      </c>
      <c r="DF148" s="459">
        <f t="shared" si="460"/>
        <v>0</v>
      </c>
      <c r="DG148" s="459">
        <f t="shared" si="461"/>
        <v>0</v>
      </c>
      <c r="DH148" s="459">
        <f t="shared" si="462"/>
        <v>0</v>
      </c>
      <c r="DI148" s="459">
        <f t="shared" si="463"/>
        <v>0</v>
      </c>
      <c r="DJ148" s="459">
        <f t="shared" si="464"/>
        <v>0</v>
      </c>
      <c r="DK148" s="459">
        <f t="shared" si="465"/>
        <v>0</v>
      </c>
      <c r="DL148" s="460">
        <f t="shared" si="466"/>
        <v>0</v>
      </c>
      <c r="DM148" s="463"/>
      <c r="DN148" s="442">
        <f>IF('2. START'!$C$14&gt;0,(AT148/(1+$AA148))*(1+'2. START'!$C$14),AT148)</f>
        <v>0</v>
      </c>
      <c r="DO148" s="442">
        <f>IF('2. START'!$C$14&gt;0,(AU148/(1+$AA148))*(1+'2. START'!$C$14),AU148)</f>
        <v>0</v>
      </c>
      <c r="DP148" s="442">
        <f>IF('2. START'!$C$14&gt;0,(AV148/(1+$AA148))*(1+'2. START'!$C$14),AV148)</f>
        <v>0</v>
      </c>
      <c r="DQ148" s="442">
        <f>IF('2. START'!$C$14&gt;0,(AW148/(1+$AA148))*(1+'2. START'!$C$14),AW148)</f>
        <v>0</v>
      </c>
      <c r="DR148" s="442">
        <f>IF('2. START'!$C$14&gt;0,(AX148/(1+$AA148))*(1+'2. START'!$C$14),AX148)</f>
        <v>0</v>
      </c>
      <c r="DS148" s="442">
        <f>IF('2. START'!$C$14&gt;0,(AY148/(1+$AA148))*(1+'2. START'!$C$14),AY148)</f>
        <v>0</v>
      </c>
      <c r="DT148" s="442">
        <f>IF('2. START'!$C$14&gt;0,(AZ148/(1+$AA148))*(1+'2. START'!$C$14),AZ148)</f>
        <v>0</v>
      </c>
      <c r="DU148" s="442">
        <f>IF('2. START'!$C$14&gt;0,(BA148/(1+$AA148))*(1+'2. START'!$C$14),BA148)</f>
        <v>0</v>
      </c>
      <c r="DV148" s="442">
        <f>IF('2. START'!$C$14&gt;0,(BB148/(1+$AA148))*(1+'2. START'!$C$14),BB148)</f>
        <v>0</v>
      </c>
      <c r="DW148" s="442">
        <f>IF('2. START'!$C$14&gt;0,(BC148/(1+$AA148))*(1+'2. START'!$C$14),BC148)</f>
        <v>0</v>
      </c>
      <c r="DX148" s="460">
        <f t="shared" si="467"/>
        <v>0</v>
      </c>
      <c r="DY148" s="463"/>
      <c r="DZ148" s="459">
        <f>IF('2. START'!$C$11="NO",(IF('2. START'!$C$14&gt;0,(DN148*$AD148),(AT148*$AD148))),(BR148+CP148))</f>
        <v>0</v>
      </c>
      <c r="EA148" s="459">
        <f>IF('2. START'!$C$11="NO",(IF('2. START'!$C$14&gt;0,(DO148*$AD148),(AU148*$AD148))),(BS148+CQ148))</f>
        <v>0</v>
      </c>
      <c r="EB148" s="459">
        <f>IF('2. START'!$C$11="NO",(IF('2. START'!$C$14&gt;0,(DP148*$AD148),(AV148*$AD148))),(BT148+CR148))</f>
        <v>0</v>
      </c>
      <c r="EC148" s="459">
        <f>IF('2. START'!$C$11="NO",(IF('2. START'!$C$14&gt;0,(DQ148*$AD148),(AW148*$AD148))),(BU148+CS148))</f>
        <v>0</v>
      </c>
      <c r="ED148" s="459">
        <f>IF('2. START'!$C$11="NO",(IF('2. START'!$C$14&gt;0,(DR148*$AD148),(AX148*$AD148))),(BV148+CT148))</f>
        <v>0</v>
      </c>
      <c r="EE148" s="459">
        <f>IF('2. START'!$C$11="NO",(IF('2. START'!$C$14&gt;0,(DS148*$AD148),(AY148*$AD148))),(BW148+CU148))</f>
        <v>0</v>
      </c>
      <c r="EF148" s="459">
        <f>IF('2. START'!$C$11="NO",(IF('2. START'!$C$14&gt;0,(DT148*$AD148),(AZ148*$AD148))),(BX148+CV148))</f>
        <v>0</v>
      </c>
      <c r="EG148" s="459">
        <f>IF('2. START'!$C$11="NO",(IF('2. START'!$C$14&gt;0,(DU148*$AD148),(BA148*$AD148))),(BY148+CW148))</f>
        <v>0</v>
      </c>
      <c r="EH148" s="459">
        <f>IF('2. START'!$C$11="NO",(IF('2. START'!$C$14&gt;0,(DV148*$AD148),(BB148*$AD148))),(BZ148+CX148))</f>
        <v>0</v>
      </c>
      <c r="EI148" s="459">
        <f>IF('2. START'!$C$11="NO",(IF('2. START'!$C$14&gt;0,(DW148*$AD148),(BC148*$AD148))),(CA148+CY148))</f>
        <v>0</v>
      </c>
      <c r="EJ148" s="460">
        <f t="shared" si="468"/>
        <v>0</v>
      </c>
      <c r="EK148" s="463"/>
      <c r="EL148" s="459">
        <f>(BR148+CP148-DZ148)+IF('2. START'!$C$14&gt;0,AT148-DN148,0)</f>
        <v>0</v>
      </c>
      <c r="EM148" s="459">
        <f>(BS148+CQ148-EA148)+IF('2. START'!$C$14&gt;0,AU148-DO148,0)</f>
        <v>0</v>
      </c>
      <c r="EN148" s="459">
        <f>(BT148+CR148-EB148)+IF('2. START'!$C$14&gt;0,AV148-DP148,0)</f>
        <v>0</v>
      </c>
      <c r="EO148" s="459">
        <f>(BU148+CS148-EC148)+IF('2. START'!$C$14&gt;0,AW148-DQ148,0)</f>
        <v>0</v>
      </c>
      <c r="EP148" s="459">
        <f>(BV148+CT148-ED148)+IF('2. START'!$C$14&gt;0,AX148-DR148,0)</f>
        <v>0</v>
      </c>
      <c r="EQ148" s="459">
        <f>(BW148+CU148-EE148)+IF('2. START'!$C$14&gt;0,AY148-DS148,0)</f>
        <v>0</v>
      </c>
      <c r="ER148" s="459">
        <f>(BX148+CV148-EF148)+IF('2. START'!$C$14&gt;0,AZ148-DT148,0)</f>
        <v>0</v>
      </c>
      <c r="ES148" s="459">
        <f>(BY148+CW148-EG148)+IF('2. START'!$C$14&gt;0,BA148-DU148,0)</f>
        <v>0</v>
      </c>
      <c r="ET148" s="459">
        <f>(BZ148+CX148-EH148)+IF('2. START'!$C$14&gt;0,BB148-DV148,0)</f>
        <v>0</v>
      </c>
      <c r="EU148" s="459">
        <f>(CA148+CY148-EI148)+IF('2. START'!$C$14&gt;0,BC148-DW148,0)</f>
        <v>0</v>
      </c>
      <c r="EV148" s="460">
        <f t="shared" si="469"/>
        <v>0</v>
      </c>
      <c r="EW148" s="463"/>
      <c r="EX148" s="459">
        <f t="shared" si="470"/>
        <v>0</v>
      </c>
      <c r="EY148" s="459">
        <f t="shared" si="471"/>
        <v>0</v>
      </c>
      <c r="EZ148" s="459">
        <f t="shared" si="472"/>
        <v>0</v>
      </c>
      <c r="FA148" s="459">
        <f t="shared" si="473"/>
        <v>0</v>
      </c>
      <c r="FB148" s="459">
        <f t="shared" si="474"/>
        <v>0</v>
      </c>
      <c r="FC148" s="459">
        <f t="shared" si="475"/>
        <v>0</v>
      </c>
      <c r="FD148" s="459">
        <f t="shared" si="476"/>
        <v>0</v>
      </c>
      <c r="FE148" s="459">
        <f t="shared" si="477"/>
        <v>0</v>
      </c>
      <c r="FF148" s="459">
        <f t="shared" si="478"/>
        <v>0</v>
      </c>
      <c r="FG148" s="459">
        <f t="shared" si="479"/>
        <v>0</v>
      </c>
      <c r="FH148" s="460">
        <f t="shared" si="480"/>
        <v>0</v>
      </c>
      <c r="FI148" s="463"/>
      <c r="FJ148" s="459">
        <f t="shared" si="481"/>
        <v>0</v>
      </c>
      <c r="FK148" s="459">
        <f t="shared" si="482"/>
        <v>0</v>
      </c>
      <c r="FL148" s="459">
        <f t="shared" si="483"/>
        <v>0</v>
      </c>
      <c r="FM148" s="459">
        <f t="shared" si="484"/>
        <v>0</v>
      </c>
      <c r="FN148" s="459">
        <f t="shared" si="485"/>
        <v>0</v>
      </c>
      <c r="FO148" s="459">
        <f t="shared" si="486"/>
        <v>0</v>
      </c>
      <c r="FP148" s="459">
        <f t="shared" si="487"/>
        <v>0</v>
      </c>
      <c r="FQ148" s="459">
        <f t="shared" si="488"/>
        <v>0</v>
      </c>
      <c r="FR148" s="459">
        <f t="shared" si="489"/>
        <v>0</v>
      </c>
      <c r="FS148" s="459">
        <f t="shared" si="490"/>
        <v>0</v>
      </c>
      <c r="FT148" s="460">
        <f t="shared" si="491"/>
        <v>0</v>
      </c>
    </row>
    <row r="149" spans="2:176" s="270" customFormat="1" ht="15" customHeight="1" x14ac:dyDescent="0.25">
      <c r="B149" s="464" t="str">
        <f>'2. START'!C$7</f>
        <v>100GEM</v>
      </c>
      <c r="C149" s="470"/>
      <c r="D149" s="590"/>
      <c r="E149" s="514">
        <v>0</v>
      </c>
      <c r="F149" s="467"/>
      <c r="G149" s="432"/>
      <c r="H149" s="432"/>
      <c r="I149" s="432"/>
      <c r="J149" s="432"/>
      <c r="K149" s="432"/>
      <c r="L149" s="432"/>
      <c r="M149" s="432"/>
      <c r="N149" s="432"/>
      <c r="O149" s="432"/>
      <c r="P149" s="432"/>
      <c r="Q149" s="545">
        <f>SUMIF('3. PARTNER'!$B$13:$B$80,$B149,'3. PARTNER'!$F$13:$F$80)</f>
        <v>0.02</v>
      </c>
      <c r="R149" s="466">
        <f t="shared" si="387"/>
        <v>0.02</v>
      </c>
      <c r="S149" s="466">
        <f t="shared" si="387"/>
        <v>0.02</v>
      </c>
      <c r="T149" s="466">
        <f t="shared" si="387"/>
        <v>0.02</v>
      </c>
      <c r="U149" s="466">
        <f t="shared" si="387"/>
        <v>0.02</v>
      </c>
      <c r="V149" s="466">
        <f t="shared" si="387"/>
        <v>0.02</v>
      </c>
      <c r="W149" s="466">
        <f t="shared" si="387"/>
        <v>0.02</v>
      </c>
      <c r="X149" s="466">
        <f t="shared" si="387"/>
        <v>0.02</v>
      </c>
      <c r="Y149" s="466">
        <f t="shared" si="387"/>
        <v>0.02</v>
      </c>
      <c r="Z149" s="466">
        <f t="shared" si="387"/>
        <v>0.02</v>
      </c>
      <c r="AA149" s="434">
        <f>SUMIF('3. PARTNER'!B$13:B$80,B149,'3. PARTNER'!E$13:E$80)</f>
        <v>0.5595</v>
      </c>
      <c r="AB149" s="435">
        <f>IF('2. START'!$C$20="UTB",(SUMIF('3. PARTNER'!B$13:B$80,B149,'3. PARTNER'!K$13:K$80))+(SUMIF('3. PARTNER'!B$13:B$80,B149,'3. PARTNER'!M$13:M$80)),(SUMIF('3. PARTNER'!B$13:B$80,B149,'3. PARTNER'!G$13:G$80))+(SUMIF('3. PARTNER'!B$13:B$80,B149,'3. PARTNER'!I$13:I$80)))</f>
        <v>0.16000843770704321</v>
      </c>
      <c r="AC149" s="435">
        <f>IF('2. START'!$C$20="UTB",(SUMIF('3. PARTNER'!B$13:B$80,B149,'3. PARTNER'!L$13:L$80))+(SUMIF('3. PARTNER'!B$13:B$80,B149,'3. PARTNER'!N$13:N$80)),(SUMIF('3. PARTNER'!B$13:B$80,B149,'3. PARTNER'!H$13:H$80))+(SUMIF('3. PARTNER'!B$13:B$80,B149,'3. PARTNER'!J$13:J$80)))</f>
        <v>0</v>
      </c>
      <c r="AD149" s="435">
        <f>IF('2. START'!C$11="NO",'2. START'!C$12,0)</f>
        <v>0</v>
      </c>
      <c r="AE149" s="436">
        <f t="shared" si="388"/>
        <v>0</v>
      </c>
      <c r="AF149" s="436">
        <f t="shared" si="389"/>
        <v>0</v>
      </c>
      <c r="AG149" s="437"/>
      <c r="AH149" s="438">
        <f t="shared" si="390"/>
        <v>0</v>
      </c>
      <c r="AI149" s="438">
        <f t="shared" si="391"/>
        <v>0</v>
      </c>
      <c r="AJ149" s="438">
        <f t="shared" si="392"/>
        <v>0</v>
      </c>
      <c r="AK149" s="438">
        <f t="shared" si="393"/>
        <v>0</v>
      </c>
      <c r="AL149" s="438">
        <f t="shared" si="394"/>
        <v>0</v>
      </c>
      <c r="AM149" s="438">
        <f t="shared" si="395"/>
        <v>0</v>
      </c>
      <c r="AN149" s="438">
        <f t="shared" si="396"/>
        <v>0</v>
      </c>
      <c r="AO149" s="438">
        <f t="shared" si="397"/>
        <v>0</v>
      </c>
      <c r="AP149" s="438">
        <f t="shared" si="398"/>
        <v>0</v>
      </c>
      <c r="AQ149" s="438">
        <f t="shared" si="399"/>
        <v>0</v>
      </c>
      <c r="AR149" s="439">
        <f t="shared" si="400"/>
        <v>0</v>
      </c>
      <c r="AS149" s="440"/>
      <c r="AT149" s="438">
        <f t="shared" si="401"/>
        <v>0</v>
      </c>
      <c r="AU149" s="438">
        <f t="shared" si="402"/>
        <v>0</v>
      </c>
      <c r="AV149" s="438">
        <f t="shared" si="403"/>
        <v>0</v>
      </c>
      <c r="AW149" s="438">
        <f t="shared" si="404"/>
        <v>0</v>
      </c>
      <c r="AX149" s="438">
        <f t="shared" si="405"/>
        <v>0</v>
      </c>
      <c r="AY149" s="438">
        <f t="shared" si="406"/>
        <v>0</v>
      </c>
      <c r="AZ149" s="438">
        <f t="shared" si="407"/>
        <v>0</v>
      </c>
      <c r="BA149" s="438">
        <f t="shared" si="408"/>
        <v>0</v>
      </c>
      <c r="BB149" s="438">
        <f t="shared" si="409"/>
        <v>0</v>
      </c>
      <c r="BC149" s="438">
        <f t="shared" si="410"/>
        <v>0</v>
      </c>
      <c r="BD149" s="439">
        <f t="shared" si="411"/>
        <v>0</v>
      </c>
      <c r="BE149" s="440"/>
      <c r="BF149" s="438">
        <f t="shared" si="412"/>
        <v>0</v>
      </c>
      <c r="BG149" s="438">
        <f t="shared" si="413"/>
        <v>0</v>
      </c>
      <c r="BH149" s="438">
        <f t="shared" si="414"/>
        <v>0</v>
      </c>
      <c r="BI149" s="438">
        <f t="shared" si="415"/>
        <v>0</v>
      </c>
      <c r="BJ149" s="438">
        <f t="shared" si="416"/>
        <v>0</v>
      </c>
      <c r="BK149" s="438">
        <f t="shared" si="417"/>
        <v>0</v>
      </c>
      <c r="BL149" s="438">
        <f t="shared" si="418"/>
        <v>0</v>
      </c>
      <c r="BM149" s="438">
        <f t="shared" si="419"/>
        <v>0</v>
      </c>
      <c r="BN149" s="438">
        <f t="shared" si="420"/>
        <v>0</v>
      </c>
      <c r="BO149" s="438">
        <f t="shared" si="421"/>
        <v>0</v>
      </c>
      <c r="BP149" s="439">
        <f t="shared" si="422"/>
        <v>0</v>
      </c>
      <c r="BR149" s="442">
        <f t="shared" si="423"/>
        <v>0</v>
      </c>
      <c r="BS149" s="442">
        <f t="shared" si="424"/>
        <v>0</v>
      </c>
      <c r="BT149" s="442">
        <f t="shared" si="425"/>
        <v>0</v>
      </c>
      <c r="BU149" s="442">
        <f t="shared" si="426"/>
        <v>0</v>
      </c>
      <c r="BV149" s="442">
        <f t="shared" si="427"/>
        <v>0</v>
      </c>
      <c r="BW149" s="442">
        <f t="shared" si="428"/>
        <v>0</v>
      </c>
      <c r="BX149" s="442">
        <f t="shared" si="429"/>
        <v>0</v>
      </c>
      <c r="BY149" s="442">
        <f t="shared" si="430"/>
        <v>0</v>
      </c>
      <c r="BZ149" s="442">
        <f t="shared" si="431"/>
        <v>0</v>
      </c>
      <c r="CA149" s="442">
        <f t="shared" si="432"/>
        <v>0</v>
      </c>
      <c r="CB149" s="443">
        <f t="shared" si="433"/>
        <v>0</v>
      </c>
      <c r="CD149" s="445">
        <f t="shared" si="434"/>
        <v>0</v>
      </c>
      <c r="CE149" s="445">
        <f t="shared" si="435"/>
        <v>0</v>
      </c>
      <c r="CF149" s="445">
        <f t="shared" si="436"/>
        <v>0</v>
      </c>
      <c r="CG149" s="445">
        <f t="shared" si="437"/>
        <v>0</v>
      </c>
      <c r="CH149" s="445">
        <f t="shared" si="438"/>
        <v>0</v>
      </c>
      <c r="CI149" s="445">
        <f t="shared" si="439"/>
        <v>0</v>
      </c>
      <c r="CJ149" s="445">
        <f t="shared" si="440"/>
        <v>0</v>
      </c>
      <c r="CK149" s="445">
        <f t="shared" si="441"/>
        <v>0</v>
      </c>
      <c r="CL149" s="445">
        <f t="shared" si="442"/>
        <v>0</v>
      </c>
      <c r="CM149" s="445">
        <f t="shared" si="443"/>
        <v>0</v>
      </c>
      <c r="CN149" s="443">
        <f t="shared" si="444"/>
        <v>0</v>
      </c>
      <c r="CP149" s="442">
        <f t="shared" si="445"/>
        <v>0</v>
      </c>
      <c r="CQ149" s="442">
        <f t="shared" si="446"/>
        <v>0</v>
      </c>
      <c r="CR149" s="442">
        <f t="shared" si="447"/>
        <v>0</v>
      </c>
      <c r="CS149" s="442">
        <f t="shared" si="448"/>
        <v>0</v>
      </c>
      <c r="CT149" s="442">
        <f t="shared" si="449"/>
        <v>0</v>
      </c>
      <c r="CU149" s="442">
        <f t="shared" si="450"/>
        <v>0</v>
      </c>
      <c r="CV149" s="442">
        <f t="shared" si="451"/>
        <v>0</v>
      </c>
      <c r="CW149" s="442">
        <f t="shared" si="452"/>
        <v>0</v>
      </c>
      <c r="CX149" s="442">
        <f t="shared" si="453"/>
        <v>0</v>
      </c>
      <c r="CY149" s="442">
        <f t="shared" si="454"/>
        <v>0</v>
      </c>
      <c r="CZ149" s="443">
        <f t="shared" si="455"/>
        <v>0</v>
      </c>
      <c r="DB149" s="442">
        <f t="shared" si="456"/>
        <v>0</v>
      </c>
      <c r="DC149" s="442">
        <f t="shared" si="457"/>
        <v>0</v>
      </c>
      <c r="DD149" s="442">
        <f t="shared" si="458"/>
        <v>0</v>
      </c>
      <c r="DE149" s="442">
        <f t="shared" si="459"/>
        <v>0</v>
      </c>
      <c r="DF149" s="442">
        <f t="shared" si="460"/>
        <v>0</v>
      </c>
      <c r="DG149" s="442">
        <f t="shared" si="461"/>
        <v>0</v>
      </c>
      <c r="DH149" s="442">
        <f t="shared" si="462"/>
        <v>0</v>
      </c>
      <c r="DI149" s="442">
        <f t="shared" si="463"/>
        <v>0</v>
      </c>
      <c r="DJ149" s="442">
        <f t="shared" si="464"/>
        <v>0</v>
      </c>
      <c r="DK149" s="442">
        <f t="shared" si="465"/>
        <v>0</v>
      </c>
      <c r="DL149" s="443">
        <f t="shared" si="466"/>
        <v>0</v>
      </c>
      <c r="DN149" s="442">
        <f>IF('2. START'!$C$14&gt;0,(AT149/(1+$AA149))*(1+'2. START'!$C$14),AT149)</f>
        <v>0</v>
      </c>
      <c r="DO149" s="442">
        <f>IF('2. START'!$C$14&gt;0,(AU149/(1+$AA149))*(1+'2. START'!$C$14),AU149)</f>
        <v>0</v>
      </c>
      <c r="DP149" s="442">
        <f>IF('2. START'!$C$14&gt;0,(AV149/(1+$AA149))*(1+'2. START'!$C$14),AV149)</f>
        <v>0</v>
      </c>
      <c r="DQ149" s="442">
        <f>IF('2. START'!$C$14&gt;0,(AW149/(1+$AA149))*(1+'2. START'!$C$14),AW149)</f>
        <v>0</v>
      </c>
      <c r="DR149" s="442">
        <f>IF('2. START'!$C$14&gt;0,(AX149/(1+$AA149))*(1+'2. START'!$C$14),AX149)</f>
        <v>0</v>
      </c>
      <c r="DS149" s="442">
        <f>IF('2. START'!$C$14&gt;0,(AY149/(1+$AA149))*(1+'2. START'!$C$14),AY149)</f>
        <v>0</v>
      </c>
      <c r="DT149" s="442">
        <f>IF('2. START'!$C$14&gt;0,(AZ149/(1+$AA149))*(1+'2. START'!$C$14),AZ149)</f>
        <v>0</v>
      </c>
      <c r="DU149" s="442">
        <f>IF('2. START'!$C$14&gt;0,(BA149/(1+$AA149))*(1+'2. START'!$C$14),BA149)</f>
        <v>0</v>
      </c>
      <c r="DV149" s="442">
        <f>IF('2. START'!$C$14&gt;0,(BB149/(1+$AA149))*(1+'2. START'!$C$14),BB149)</f>
        <v>0</v>
      </c>
      <c r="DW149" s="442">
        <f>IF('2. START'!$C$14&gt;0,(BC149/(1+$AA149))*(1+'2. START'!$C$14),BC149)</f>
        <v>0</v>
      </c>
      <c r="DX149" s="443">
        <f t="shared" si="467"/>
        <v>0</v>
      </c>
      <c r="DZ149" s="442">
        <f>IF('2. START'!$C$11="NO",(IF('2. START'!$C$14&gt;0,(DN149*$AD149),(AT149*$AD149))),(BR149+CP149))</f>
        <v>0</v>
      </c>
      <c r="EA149" s="442">
        <f>IF('2. START'!$C$11="NO",(IF('2. START'!$C$14&gt;0,(DO149*$AD149),(AU149*$AD149))),(BS149+CQ149))</f>
        <v>0</v>
      </c>
      <c r="EB149" s="442">
        <f>IF('2. START'!$C$11="NO",(IF('2. START'!$C$14&gt;0,(DP149*$AD149),(AV149*$AD149))),(BT149+CR149))</f>
        <v>0</v>
      </c>
      <c r="EC149" s="442">
        <f>IF('2. START'!$C$11="NO",(IF('2. START'!$C$14&gt;0,(DQ149*$AD149),(AW149*$AD149))),(BU149+CS149))</f>
        <v>0</v>
      </c>
      <c r="ED149" s="442">
        <f>IF('2. START'!$C$11="NO",(IF('2. START'!$C$14&gt;0,(DR149*$AD149),(AX149*$AD149))),(BV149+CT149))</f>
        <v>0</v>
      </c>
      <c r="EE149" s="442">
        <f>IF('2. START'!$C$11="NO",(IF('2. START'!$C$14&gt;0,(DS149*$AD149),(AY149*$AD149))),(BW149+CU149))</f>
        <v>0</v>
      </c>
      <c r="EF149" s="442">
        <f>IF('2. START'!$C$11="NO",(IF('2. START'!$C$14&gt;0,(DT149*$AD149),(AZ149*$AD149))),(BX149+CV149))</f>
        <v>0</v>
      </c>
      <c r="EG149" s="442">
        <f>IF('2. START'!$C$11="NO",(IF('2. START'!$C$14&gt;0,(DU149*$AD149),(BA149*$AD149))),(BY149+CW149))</f>
        <v>0</v>
      </c>
      <c r="EH149" s="442">
        <f>IF('2. START'!$C$11="NO",(IF('2. START'!$C$14&gt;0,(DV149*$AD149),(BB149*$AD149))),(BZ149+CX149))</f>
        <v>0</v>
      </c>
      <c r="EI149" s="442">
        <f>IF('2. START'!$C$11="NO",(IF('2. START'!$C$14&gt;0,(DW149*$AD149),(BC149*$AD149))),(CA149+CY149))</f>
        <v>0</v>
      </c>
      <c r="EJ149" s="443">
        <f t="shared" si="468"/>
        <v>0</v>
      </c>
      <c r="EL149" s="442">
        <f>(BR149+CP149-DZ149)+IF('2. START'!$C$14&gt;0,AT149-DN149,0)</f>
        <v>0</v>
      </c>
      <c r="EM149" s="442">
        <f>(BS149+CQ149-EA149)+IF('2. START'!$C$14&gt;0,AU149-DO149,0)</f>
        <v>0</v>
      </c>
      <c r="EN149" s="442">
        <f>(BT149+CR149-EB149)+IF('2. START'!$C$14&gt;0,AV149-DP149,0)</f>
        <v>0</v>
      </c>
      <c r="EO149" s="442">
        <f>(BU149+CS149-EC149)+IF('2. START'!$C$14&gt;0,AW149-DQ149,0)</f>
        <v>0</v>
      </c>
      <c r="EP149" s="442">
        <f>(BV149+CT149-ED149)+IF('2. START'!$C$14&gt;0,AX149-DR149,0)</f>
        <v>0</v>
      </c>
      <c r="EQ149" s="442">
        <f>(BW149+CU149-EE149)+IF('2. START'!$C$14&gt;0,AY149-DS149,0)</f>
        <v>0</v>
      </c>
      <c r="ER149" s="442">
        <f>(BX149+CV149-EF149)+IF('2. START'!$C$14&gt;0,AZ149-DT149,0)</f>
        <v>0</v>
      </c>
      <c r="ES149" s="442">
        <f>(BY149+CW149-EG149)+IF('2. START'!$C$14&gt;0,BA149-DU149,0)</f>
        <v>0</v>
      </c>
      <c r="ET149" s="442">
        <f>(BZ149+CX149-EH149)+IF('2. START'!$C$14&gt;0,BB149-DV149,0)</f>
        <v>0</v>
      </c>
      <c r="EU149" s="442">
        <f>(CA149+CY149-EI149)+IF('2. START'!$C$14&gt;0,BC149-DW149,0)</f>
        <v>0</v>
      </c>
      <c r="EV149" s="443">
        <f t="shared" si="469"/>
        <v>0</v>
      </c>
      <c r="EX149" s="442">
        <f t="shared" si="470"/>
        <v>0</v>
      </c>
      <c r="EY149" s="442">
        <f t="shared" si="471"/>
        <v>0</v>
      </c>
      <c r="EZ149" s="442">
        <f t="shared" si="472"/>
        <v>0</v>
      </c>
      <c r="FA149" s="442">
        <f t="shared" si="473"/>
        <v>0</v>
      </c>
      <c r="FB149" s="442">
        <f t="shared" si="474"/>
        <v>0</v>
      </c>
      <c r="FC149" s="442">
        <f t="shared" si="475"/>
        <v>0</v>
      </c>
      <c r="FD149" s="442">
        <f t="shared" si="476"/>
        <v>0</v>
      </c>
      <c r="FE149" s="442">
        <f t="shared" si="477"/>
        <v>0</v>
      </c>
      <c r="FF149" s="442">
        <f t="shared" si="478"/>
        <v>0</v>
      </c>
      <c r="FG149" s="442">
        <f t="shared" si="479"/>
        <v>0</v>
      </c>
      <c r="FH149" s="443">
        <f t="shared" si="480"/>
        <v>0</v>
      </c>
      <c r="FJ149" s="442">
        <f t="shared" si="481"/>
        <v>0</v>
      </c>
      <c r="FK149" s="442">
        <f t="shared" si="482"/>
        <v>0</v>
      </c>
      <c r="FL149" s="442">
        <f t="shared" si="483"/>
        <v>0</v>
      </c>
      <c r="FM149" s="442">
        <f t="shared" si="484"/>
        <v>0</v>
      </c>
      <c r="FN149" s="442">
        <f t="shared" si="485"/>
        <v>0</v>
      </c>
      <c r="FO149" s="442">
        <f t="shared" si="486"/>
        <v>0</v>
      </c>
      <c r="FP149" s="442">
        <f t="shared" si="487"/>
        <v>0</v>
      </c>
      <c r="FQ149" s="442">
        <f t="shared" si="488"/>
        <v>0</v>
      </c>
      <c r="FR149" s="442">
        <f t="shared" si="489"/>
        <v>0</v>
      </c>
      <c r="FS149" s="442">
        <f t="shared" si="490"/>
        <v>0</v>
      </c>
      <c r="FT149" s="443">
        <f t="shared" si="491"/>
        <v>0</v>
      </c>
    </row>
    <row r="150" spans="2:176" s="270" customFormat="1" ht="15" customHeight="1" x14ac:dyDescent="0.25">
      <c r="B150" s="446" t="str">
        <f>'2. START'!C$7</f>
        <v>100GEM</v>
      </c>
      <c r="C150" s="469"/>
      <c r="D150" s="589"/>
      <c r="E150" s="544">
        <v>0</v>
      </c>
      <c r="F150" s="448"/>
      <c r="G150" s="449"/>
      <c r="H150" s="449"/>
      <c r="I150" s="449"/>
      <c r="J150" s="449"/>
      <c r="K150" s="449"/>
      <c r="L150" s="449"/>
      <c r="M150" s="449"/>
      <c r="N150" s="449"/>
      <c r="O150" s="449"/>
      <c r="P150" s="449"/>
      <c r="Q150" s="546">
        <f>SUMIF('3. PARTNER'!$B$13:$B$80,$B150,'3. PARTNER'!$F$13:$F$80)</f>
        <v>0.02</v>
      </c>
      <c r="R150" s="450">
        <f t="shared" si="387"/>
        <v>0.02</v>
      </c>
      <c r="S150" s="450">
        <f t="shared" si="387"/>
        <v>0.02</v>
      </c>
      <c r="T150" s="450">
        <f t="shared" si="387"/>
        <v>0.02</v>
      </c>
      <c r="U150" s="450">
        <f t="shared" si="387"/>
        <v>0.02</v>
      </c>
      <c r="V150" s="450">
        <f t="shared" si="387"/>
        <v>0.02</v>
      </c>
      <c r="W150" s="450">
        <f t="shared" si="387"/>
        <v>0.02</v>
      </c>
      <c r="X150" s="450">
        <f t="shared" si="387"/>
        <v>0.02</v>
      </c>
      <c r="Y150" s="450">
        <f t="shared" si="387"/>
        <v>0.02</v>
      </c>
      <c r="Z150" s="450">
        <f t="shared" si="387"/>
        <v>0.02</v>
      </c>
      <c r="AA150" s="451">
        <f>SUMIF('3. PARTNER'!B$13:B$80,B150,'3. PARTNER'!E$13:E$80)</f>
        <v>0.5595</v>
      </c>
      <c r="AB150" s="452">
        <f>IF('2. START'!$C$20="UTB",(SUMIF('3. PARTNER'!B$13:B$80,B150,'3. PARTNER'!K$13:K$80))+(SUMIF('3. PARTNER'!B$13:B$80,B150,'3. PARTNER'!M$13:M$80)),(SUMIF('3. PARTNER'!B$13:B$80,B150,'3. PARTNER'!G$13:G$80))+(SUMIF('3. PARTNER'!B$13:B$80,B150,'3. PARTNER'!I$13:I$80)))</f>
        <v>0.16000843770704321</v>
      </c>
      <c r="AC150" s="452">
        <f>IF('2. START'!$C$20="UTB",(SUMIF('3. PARTNER'!B$13:B$80,B150,'3. PARTNER'!L$13:L$80))+(SUMIF('3. PARTNER'!B$13:B$80,B150,'3. PARTNER'!N$13:N$80)),(SUMIF('3. PARTNER'!B$13:B$80,B150,'3. PARTNER'!H$13:H$80))+(SUMIF('3. PARTNER'!B$13:B$80,B150,'3. PARTNER'!J$13:J$80)))</f>
        <v>0</v>
      </c>
      <c r="AD150" s="452">
        <f>IF('2. START'!C$11="NO",'2. START'!C$12,0)</f>
        <v>0</v>
      </c>
      <c r="AE150" s="453">
        <f t="shared" si="388"/>
        <v>0</v>
      </c>
      <c r="AF150" s="453">
        <f t="shared" si="389"/>
        <v>0</v>
      </c>
      <c r="AG150" s="454"/>
      <c r="AH150" s="455">
        <f t="shared" si="390"/>
        <v>0</v>
      </c>
      <c r="AI150" s="455">
        <f t="shared" si="391"/>
        <v>0</v>
      </c>
      <c r="AJ150" s="455">
        <f t="shared" si="392"/>
        <v>0</v>
      </c>
      <c r="AK150" s="455">
        <f t="shared" si="393"/>
        <v>0</v>
      </c>
      <c r="AL150" s="455">
        <f t="shared" si="394"/>
        <v>0</v>
      </c>
      <c r="AM150" s="455">
        <f t="shared" si="395"/>
        <v>0</v>
      </c>
      <c r="AN150" s="455">
        <f t="shared" si="396"/>
        <v>0</v>
      </c>
      <c r="AO150" s="455">
        <f t="shared" si="397"/>
        <v>0</v>
      </c>
      <c r="AP150" s="455">
        <f t="shared" si="398"/>
        <v>0</v>
      </c>
      <c r="AQ150" s="455">
        <f t="shared" si="399"/>
        <v>0</v>
      </c>
      <c r="AR150" s="456">
        <f t="shared" si="400"/>
        <v>0</v>
      </c>
      <c r="AS150" s="457"/>
      <c r="AT150" s="455">
        <f t="shared" si="401"/>
        <v>0</v>
      </c>
      <c r="AU150" s="455">
        <f t="shared" si="402"/>
        <v>0</v>
      </c>
      <c r="AV150" s="455">
        <f t="shared" si="403"/>
        <v>0</v>
      </c>
      <c r="AW150" s="455">
        <f t="shared" si="404"/>
        <v>0</v>
      </c>
      <c r="AX150" s="455">
        <f t="shared" si="405"/>
        <v>0</v>
      </c>
      <c r="AY150" s="455">
        <f t="shared" si="406"/>
        <v>0</v>
      </c>
      <c r="AZ150" s="455">
        <f t="shared" si="407"/>
        <v>0</v>
      </c>
      <c r="BA150" s="455">
        <f t="shared" si="408"/>
        <v>0</v>
      </c>
      <c r="BB150" s="455">
        <f t="shared" si="409"/>
        <v>0</v>
      </c>
      <c r="BC150" s="455">
        <f t="shared" si="410"/>
        <v>0</v>
      </c>
      <c r="BD150" s="456">
        <f t="shared" si="411"/>
        <v>0</v>
      </c>
      <c r="BE150" s="457"/>
      <c r="BF150" s="455">
        <f t="shared" si="412"/>
        <v>0</v>
      </c>
      <c r="BG150" s="455">
        <f t="shared" si="413"/>
        <v>0</v>
      </c>
      <c r="BH150" s="455">
        <f t="shared" si="414"/>
        <v>0</v>
      </c>
      <c r="BI150" s="455">
        <f t="shared" si="415"/>
        <v>0</v>
      </c>
      <c r="BJ150" s="455">
        <f t="shared" si="416"/>
        <v>0</v>
      </c>
      <c r="BK150" s="455">
        <f t="shared" si="417"/>
        <v>0</v>
      </c>
      <c r="BL150" s="455">
        <f t="shared" si="418"/>
        <v>0</v>
      </c>
      <c r="BM150" s="455">
        <f t="shared" si="419"/>
        <v>0</v>
      </c>
      <c r="BN150" s="455">
        <f t="shared" si="420"/>
        <v>0</v>
      </c>
      <c r="BO150" s="455">
        <f t="shared" si="421"/>
        <v>0</v>
      </c>
      <c r="BP150" s="456">
        <f t="shared" si="422"/>
        <v>0</v>
      </c>
      <c r="BQ150" s="463"/>
      <c r="BR150" s="459">
        <f t="shared" si="423"/>
        <v>0</v>
      </c>
      <c r="BS150" s="459">
        <f t="shared" si="424"/>
        <v>0</v>
      </c>
      <c r="BT150" s="459">
        <f t="shared" si="425"/>
        <v>0</v>
      </c>
      <c r="BU150" s="459">
        <f t="shared" si="426"/>
        <v>0</v>
      </c>
      <c r="BV150" s="459">
        <f t="shared" si="427"/>
        <v>0</v>
      </c>
      <c r="BW150" s="459">
        <f t="shared" si="428"/>
        <v>0</v>
      </c>
      <c r="BX150" s="459">
        <f t="shared" si="429"/>
        <v>0</v>
      </c>
      <c r="BY150" s="459">
        <f t="shared" si="430"/>
        <v>0</v>
      </c>
      <c r="BZ150" s="459">
        <f t="shared" si="431"/>
        <v>0</v>
      </c>
      <c r="CA150" s="459">
        <f t="shared" si="432"/>
        <v>0</v>
      </c>
      <c r="CB150" s="460">
        <f t="shared" si="433"/>
        <v>0</v>
      </c>
      <c r="CC150" s="463"/>
      <c r="CD150" s="462">
        <f t="shared" si="434"/>
        <v>0</v>
      </c>
      <c r="CE150" s="462">
        <f t="shared" si="435"/>
        <v>0</v>
      </c>
      <c r="CF150" s="462">
        <f t="shared" si="436"/>
        <v>0</v>
      </c>
      <c r="CG150" s="462">
        <f t="shared" si="437"/>
        <v>0</v>
      </c>
      <c r="CH150" s="462">
        <f t="shared" si="438"/>
        <v>0</v>
      </c>
      <c r="CI150" s="462">
        <f t="shared" si="439"/>
        <v>0</v>
      </c>
      <c r="CJ150" s="462">
        <f t="shared" si="440"/>
        <v>0</v>
      </c>
      <c r="CK150" s="462">
        <f t="shared" si="441"/>
        <v>0</v>
      </c>
      <c r="CL150" s="462">
        <f t="shared" si="442"/>
        <v>0</v>
      </c>
      <c r="CM150" s="462">
        <f t="shared" si="443"/>
        <v>0</v>
      </c>
      <c r="CN150" s="460">
        <f t="shared" si="444"/>
        <v>0</v>
      </c>
      <c r="CO150" s="463"/>
      <c r="CP150" s="459">
        <f t="shared" si="445"/>
        <v>0</v>
      </c>
      <c r="CQ150" s="459">
        <f t="shared" si="446"/>
        <v>0</v>
      </c>
      <c r="CR150" s="459">
        <f t="shared" si="447"/>
        <v>0</v>
      </c>
      <c r="CS150" s="459">
        <f t="shared" si="448"/>
        <v>0</v>
      </c>
      <c r="CT150" s="459">
        <f t="shared" si="449"/>
        <v>0</v>
      </c>
      <c r="CU150" s="459">
        <f t="shared" si="450"/>
        <v>0</v>
      </c>
      <c r="CV150" s="459">
        <f t="shared" si="451"/>
        <v>0</v>
      </c>
      <c r="CW150" s="459">
        <f t="shared" si="452"/>
        <v>0</v>
      </c>
      <c r="CX150" s="459">
        <f t="shared" si="453"/>
        <v>0</v>
      </c>
      <c r="CY150" s="459">
        <f t="shared" si="454"/>
        <v>0</v>
      </c>
      <c r="CZ150" s="460">
        <f t="shared" si="455"/>
        <v>0</v>
      </c>
      <c r="DA150" s="463"/>
      <c r="DB150" s="459">
        <f t="shared" si="456"/>
        <v>0</v>
      </c>
      <c r="DC150" s="459">
        <f t="shared" si="457"/>
        <v>0</v>
      </c>
      <c r="DD150" s="459">
        <f t="shared" si="458"/>
        <v>0</v>
      </c>
      <c r="DE150" s="459">
        <f t="shared" si="459"/>
        <v>0</v>
      </c>
      <c r="DF150" s="459">
        <f t="shared" si="460"/>
        <v>0</v>
      </c>
      <c r="DG150" s="459">
        <f t="shared" si="461"/>
        <v>0</v>
      </c>
      <c r="DH150" s="459">
        <f t="shared" si="462"/>
        <v>0</v>
      </c>
      <c r="DI150" s="459">
        <f t="shared" si="463"/>
        <v>0</v>
      </c>
      <c r="DJ150" s="459">
        <f t="shared" si="464"/>
        <v>0</v>
      </c>
      <c r="DK150" s="459">
        <f t="shared" si="465"/>
        <v>0</v>
      </c>
      <c r="DL150" s="460">
        <f t="shared" si="466"/>
        <v>0</v>
      </c>
      <c r="DM150" s="463"/>
      <c r="DN150" s="442">
        <f>IF('2. START'!$C$14&gt;0,(AT150/(1+$AA150))*(1+'2. START'!$C$14),AT150)</f>
        <v>0</v>
      </c>
      <c r="DO150" s="442">
        <f>IF('2. START'!$C$14&gt;0,(AU150/(1+$AA150))*(1+'2. START'!$C$14),AU150)</f>
        <v>0</v>
      </c>
      <c r="DP150" s="442">
        <f>IF('2. START'!$C$14&gt;0,(AV150/(1+$AA150))*(1+'2. START'!$C$14),AV150)</f>
        <v>0</v>
      </c>
      <c r="DQ150" s="442">
        <f>IF('2. START'!$C$14&gt;0,(AW150/(1+$AA150))*(1+'2. START'!$C$14),AW150)</f>
        <v>0</v>
      </c>
      <c r="DR150" s="442">
        <f>IF('2. START'!$C$14&gt;0,(AX150/(1+$AA150))*(1+'2. START'!$C$14),AX150)</f>
        <v>0</v>
      </c>
      <c r="DS150" s="442">
        <f>IF('2. START'!$C$14&gt;0,(AY150/(1+$AA150))*(1+'2. START'!$C$14),AY150)</f>
        <v>0</v>
      </c>
      <c r="DT150" s="442">
        <f>IF('2. START'!$C$14&gt;0,(AZ150/(1+$AA150))*(1+'2. START'!$C$14),AZ150)</f>
        <v>0</v>
      </c>
      <c r="DU150" s="442">
        <f>IF('2. START'!$C$14&gt;0,(BA150/(1+$AA150))*(1+'2. START'!$C$14),BA150)</f>
        <v>0</v>
      </c>
      <c r="DV150" s="442">
        <f>IF('2. START'!$C$14&gt;0,(BB150/(1+$AA150))*(1+'2. START'!$C$14),BB150)</f>
        <v>0</v>
      </c>
      <c r="DW150" s="442">
        <f>IF('2. START'!$C$14&gt;0,(BC150/(1+$AA150))*(1+'2. START'!$C$14),BC150)</f>
        <v>0</v>
      </c>
      <c r="DX150" s="460">
        <f t="shared" si="467"/>
        <v>0</v>
      </c>
      <c r="DY150" s="463"/>
      <c r="DZ150" s="459">
        <f>IF('2. START'!$C$11="NO",(IF('2. START'!$C$14&gt;0,(DN150*$AD150),(AT150*$AD150))),(BR150+CP150))</f>
        <v>0</v>
      </c>
      <c r="EA150" s="459">
        <f>IF('2. START'!$C$11="NO",(IF('2. START'!$C$14&gt;0,(DO150*$AD150),(AU150*$AD150))),(BS150+CQ150))</f>
        <v>0</v>
      </c>
      <c r="EB150" s="459">
        <f>IF('2. START'!$C$11="NO",(IF('2. START'!$C$14&gt;0,(DP150*$AD150),(AV150*$AD150))),(BT150+CR150))</f>
        <v>0</v>
      </c>
      <c r="EC150" s="459">
        <f>IF('2. START'!$C$11="NO",(IF('2. START'!$C$14&gt;0,(DQ150*$AD150),(AW150*$AD150))),(BU150+CS150))</f>
        <v>0</v>
      </c>
      <c r="ED150" s="459">
        <f>IF('2. START'!$C$11="NO",(IF('2. START'!$C$14&gt;0,(DR150*$AD150),(AX150*$AD150))),(BV150+CT150))</f>
        <v>0</v>
      </c>
      <c r="EE150" s="459">
        <f>IF('2. START'!$C$11="NO",(IF('2. START'!$C$14&gt;0,(DS150*$AD150),(AY150*$AD150))),(BW150+CU150))</f>
        <v>0</v>
      </c>
      <c r="EF150" s="459">
        <f>IF('2. START'!$C$11="NO",(IF('2. START'!$C$14&gt;0,(DT150*$AD150),(AZ150*$AD150))),(BX150+CV150))</f>
        <v>0</v>
      </c>
      <c r="EG150" s="459">
        <f>IF('2. START'!$C$11="NO",(IF('2. START'!$C$14&gt;0,(DU150*$AD150),(BA150*$AD150))),(BY150+CW150))</f>
        <v>0</v>
      </c>
      <c r="EH150" s="459">
        <f>IF('2. START'!$C$11="NO",(IF('2. START'!$C$14&gt;0,(DV150*$AD150),(BB150*$AD150))),(BZ150+CX150))</f>
        <v>0</v>
      </c>
      <c r="EI150" s="459">
        <f>IF('2. START'!$C$11="NO",(IF('2. START'!$C$14&gt;0,(DW150*$AD150),(BC150*$AD150))),(CA150+CY150))</f>
        <v>0</v>
      </c>
      <c r="EJ150" s="460">
        <f t="shared" si="468"/>
        <v>0</v>
      </c>
      <c r="EK150" s="463"/>
      <c r="EL150" s="459">
        <f>(BR150+CP150-DZ150)+IF('2. START'!$C$14&gt;0,AT150-DN150,0)</f>
        <v>0</v>
      </c>
      <c r="EM150" s="459">
        <f>(BS150+CQ150-EA150)+IF('2. START'!$C$14&gt;0,AU150-DO150,0)</f>
        <v>0</v>
      </c>
      <c r="EN150" s="459">
        <f>(BT150+CR150-EB150)+IF('2. START'!$C$14&gt;0,AV150-DP150,0)</f>
        <v>0</v>
      </c>
      <c r="EO150" s="459">
        <f>(BU150+CS150-EC150)+IF('2. START'!$C$14&gt;0,AW150-DQ150,0)</f>
        <v>0</v>
      </c>
      <c r="EP150" s="459">
        <f>(BV150+CT150-ED150)+IF('2. START'!$C$14&gt;0,AX150-DR150,0)</f>
        <v>0</v>
      </c>
      <c r="EQ150" s="459">
        <f>(BW150+CU150-EE150)+IF('2. START'!$C$14&gt;0,AY150-DS150,0)</f>
        <v>0</v>
      </c>
      <c r="ER150" s="459">
        <f>(BX150+CV150-EF150)+IF('2. START'!$C$14&gt;0,AZ150-DT150,0)</f>
        <v>0</v>
      </c>
      <c r="ES150" s="459">
        <f>(BY150+CW150-EG150)+IF('2. START'!$C$14&gt;0,BA150-DU150,0)</f>
        <v>0</v>
      </c>
      <c r="ET150" s="459">
        <f>(BZ150+CX150-EH150)+IF('2. START'!$C$14&gt;0,BB150-DV150,0)</f>
        <v>0</v>
      </c>
      <c r="EU150" s="459">
        <f>(CA150+CY150-EI150)+IF('2. START'!$C$14&gt;0,BC150-DW150,0)</f>
        <v>0</v>
      </c>
      <c r="EV150" s="460">
        <f t="shared" si="469"/>
        <v>0</v>
      </c>
      <c r="EW150" s="463"/>
      <c r="EX150" s="459">
        <f t="shared" si="470"/>
        <v>0</v>
      </c>
      <c r="EY150" s="459">
        <f t="shared" si="471"/>
        <v>0</v>
      </c>
      <c r="EZ150" s="459">
        <f t="shared" si="472"/>
        <v>0</v>
      </c>
      <c r="FA150" s="459">
        <f t="shared" si="473"/>
        <v>0</v>
      </c>
      <c r="FB150" s="459">
        <f t="shared" si="474"/>
        <v>0</v>
      </c>
      <c r="FC150" s="459">
        <f t="shared" si="475"/>
        <v>0</v>
      </c>
      <c r="FD150" s="459">
        <f t="shared" si="476"/>
        <v>0</v>
      </c>
      <c r="FE150" s="459">
        <f t="shared" si="477"/>
        <v>0</v>
      </c>
      <c r="FF150" s="459">
        <f t="shared" si="478"/>
        <v>0</v>
      </c>
      <c r="FG150" s="459">
        <f t="shared" si="479"/>
        <v>0</v>
      </c>
      <c r="FH150" s="460">
        <f t="shared" si="480"/>
        <v>0</v>
      </c>
      <c r="FI150" s="463"/>
      <c r="FJ150" s="459">
        <f t="shared" si="481"/>
        <v>0</v>
      </c>
      <c r="FK150" s="459">
        <f t="shared" si="482"/>
        <v>0</v>
      </c>
      <c r="FL150" s="459">
        <f t="shared" si="483"/>
        <v>0</v>
      </c>
      <c r="FM150" s="459">
        <f t="shared" si="484"/>
        <v>0</v>
      </c>
      <c r="FN150" s="459">
        <f t="shared" si="485"/>
        <v>0</v>
      </c>
      <c r="FO150" s="459">
        <f t="shared" si="486"/>
        <v>0</v>
      </c>
      <c r="FP150" s="459">
        <f t="shared" si="487"/>
        <v>0</v>
      </c>
      <c r="FQ150" s="459">
        <f t="shared" si="488"/>
        <v>0</v>
      </c>
      <c r="FR150" s="459">
        <f t="shared" si="489"/>
        <v>0</v>
      </c>
      <c r="FS150" s="459">
        <f t="shared" si="490"/>
        <v>0</v>
      </c>
      <c r="FT150" s="460">
        <f t="shared" si="491"/>
        <v>0</v>
      </c>
    </row>
    <row r="151" spans="2:176" s="270" customFormat="1" ht="15" customHeight="1" x14ac:dyDescent="0.25">
      <c r="B151" s="464" t="str">
        <f>'2. START'!C$7</f>
        <v>100GEM</v>
      </c>
      <c r="C151" s="470"/>
      <c r="D151" s="590"/>
      <c r="E151" s="514">
        <v>0</v>
      </c>
      <c r="F151" s="467"/>
      <c r="G151" s="432"/>
      <c r="H151" s="432"/>
      <c r="I151" s="432"/>
      <c r="J151" s="432"/>
      <c r="K151" s="432"/>
      <c r="L151" s="432"/>
      <c r="M151" s="432"/>
      <c r="N151" s="432"/>
      <c r="O151" s="432"/>
      <c r="P151" s="432"/>
      <c r="Q151" s="545">
        <f>SUMIF('3. PARTNER'!$B$13:$B$80,$B151,'3. PARTNER'!$F$13:$F$80)</f>
        <v>0.02</v>
      </c>
      <c r="R151" s="466">
        <f t="shared" si="387"/>
        <v>0.02</v>
      </c>
      <c r="S151" s="466">
        <f t="shared" si="387"/>
        <v>0.02</v>
      </c>
      <c r="T151" s="466">
        <f t="shared" si="387"/>
        <v>0.02</v>
      </c>
      <c r="U151" s="466">
        <f t="shared" si="387"/>
        <v>0.02</v>
      </c>
      <c r="V151" s="466">
        <f t="shared" si="387"/>
        <v>0.02</v>
      </c>
      <c r="W151" s="466">
        <f t="shared" si="387"/>
        <v>0.02</v>
      </c>
      <c r="X151" s="466">
        <f t="shared" si="387"/>
        <v>0.02</v>
      </c>
      <c r="Y151" s="466">
        <f t="shared" si="387"/>
        <v>0.02</v>
      </c>
      <c r="Z151" s="466">
        <f t="shared" si="387"/>
        <v>0.02</v>
      </c>
      <c r="AA151" s="434">
        <f>SUMIF('3. PARTNER'!B$13:B$80,B151,'3. PARTNER'!E$13:E$80)</f>
        <v>0.5595</v>
      </c>
      <c r="AB151" s="435">
        <f>IF('2. START'!$C$20="UTB",(SUMIF('3. PARTNER'!B$13:B$80,B151,'3. PARTNER'!K$13:K$80))+(SUMIF('3. PARTNER'!B$13:B$80,B151,'3. PARTNER'!M$13:M$80)),(SUMIF('3. PARTNER'!B$13:B$80,B151,'3. PARTNER'!G$13:G$80))+(SUMIF('3. PARTNER'!B$13:B$80,B151,'3. PARTNER'!I$13:I$80)))</f>
        <v>0.16000843770704321</v>
      </c>
      <c r="AC151" s="435">
        <f>IF('2. START'!$C$20="UTB",(SUMIF('3. PARTNER'!B$13:B$80,B151,'3. PARTNER'!L$13:L$80))+(SUMIF('3. PARTNER'!B$13:B$80,B151,'3. PARTNER'!N$13:N$80)),(SUMIF('3. PARTNER'!B$13:B$80,B151,'3. PARTNER'!H$13:H$80))+(SUMIF('3. PARTNER'!B$13:B$80,B151,'3. PARTNER'!J$13:J$80)))</f>
        <v>0</v>
      </c>
      <c r="AD151" s="435">
        <f>IF('2. START'!C$11="NO",'2. START'!C$12,0)</f>
        <v>0</v>
      </c>
      <c r="AE151" s="436">
        <f t="shared" si="388"/>
        <v>0</v>
      </c>
      <c r="AF151" s="436">
        <f t="shared" si="389"/>
        <v>0</v>
      </c>
      <c r="AG151" s="437"/>
      <c r="AH151" s="438">
        <f t="shared" si="390"/>
        <v>0</v>
      </c>
      <c r="AI151" s="438">
        <f t="shared" si="391"/>
        <v>0</v>
      </c>
      <c r="AJ151" s="438">
        <f t="shared" si="392"/>
        <v>0</v>
      </c>
      <c r="AK151" s="438">
        <f t="shared" si="393"/>
        <v>0</v>
      </c>
      <c r="AL151" s="438">
        <f t="shared" si="394"/>
        <v>0</v>
      </c>
      <c r="AM151" s="438">
        <f t="shared" si="395"/>
        <v>0</v>
      </c>
      <c r="AN151" s="438">
        <f t="shared" si="396"/>
        <v>0</v>
      </c>
      <c r="AO151" s="438">
        <f t="shared" si="397"/>
        <v>0</v>
      </c>
      <c r="AP151" s="438">
        <f t="shared" si="398"/>
        <v>0</v>
      </c>
      <c r="AQ151" s="438">
        <f t="shared" si="399"/>
        <v>0</v>
      </c>
      <c r="AR151" s="439">
        <f t="shared" si="400"/>
        <v>0</v>
      </c>
      <c r="AS151" s="440"/>
      <c r="AT151" s="438">
        <f t="shared" si="401"/>
        <v>0</v>
      </c>
      <c r="AU151" s="438">
        <f t="shared" si="402"/>
        <v>0</v>
      </c>
      <c r="AV151" s="438">
        <f t="shared" si="403"/>
        <v>0</v>
      </c>
      <c r="AW151" s="438">
        <f t="shared" si="404"/>
        <v>0</v>
      </c>
      <c r="AX151" s="438">
        <f t="shared" si="405"/>
        <v>0</v>
      </c>
      <c r="AY151" s="438">
        <f t="shared" si="406"/>
        <v>0</v>
      </c>
      <c r="AZ151" s="438">
        <f t="shared" si="407"/>
        <v>0</v>
      </c>
      <c r="BA151" s="438">
        <f t="shared" si="408"/>
        <v>0</v>
      </c>
      <c r="BB151" s="438">
        <f t="shared" si="409"/>
        <v>0</v>
      </c>
      <c r="BC151" s="438">
        <f t="shared" si="410"/>
        <v>0</v>
      </c>
      <c r="BD151" s="439">
        <f t="shared" si="411"/>
        <v>0</v>
      </c>
      <c r="BE151" s="440"/>
      <c r="BF151" s="438">
        <f t="shared" si="412"/>
        <v>0</v>
      </c>
      <c r="BG151" s="438">
        <f t="shared" si="413"/>
        <v>0</v>
      </c>
      <c r="BH151" s="438">
        <f t="shared" si="414"/>
        <v>0</v>
      </c>
      <c r="BI151" s="438">
        <f t="shared" si="415"/>
        <v>0</v>
      </c>
      <c r="BJ151" s="438">
        <f t="shared" si="416"/>
        <v>0</v>
      </c>
      <c r="BK151" s="438">
        <f t="shared" si="417"/>
        <v>0</v>
      </c>
      <c r="BL151" s="438">
        <f t="shared" si="418"/>
        <v>0</v>
      </c>
      <c r="BM151" s="438">
        <f t="shared" si="419"/>
        <v>0</v>
      </c>
      <c r="BN151" s="438">
        <f t="shared" si="420"/>
        <v>0</v>
      </c>
      <c r="BO151" s="438">
        <f t="shared" si="421"/>
        <v>0</v>
      </c>
      <c r="BP151" s="439">
        <f t="shared" si="422"/>
        <v>0</v>
      </c>
      <c r="BR151" s="442">
        <f t="shared" si="423"/>
        <v>0</v>
      </c>
      <c r="BS151" s="442">
        <f t="shared" si="424"/>
        <v>0</v>
      </c>
      <c r="BT151" s="442">
        <f t="shared" si="425"/>
        <v>0</v>
      </c>
      <c r="BU151" s="442">
        <f t="shared" si="426"/>
        <v>0</v>
      </c>
      <c r="BV151" s="442">
        <f t="shared" si="427"/>
        <v>0</v>
      </c>
      <c r="BW151" s="442">
        <f t="shared" si="428"/>
        <v>0</v>
      </c>
      <c r="BX151" s="442">
        <f t="shared" si="429"/>
        <v>0</v>
      </c>
      <c r="BY151" s="442">
        <f t="shared" si="430"/>
        <v>0</v>
      </c>
      <c r="BZ151" s="442">
        <f t="shared" si="431"/>
        <v>0</v>
      </c>
      <c r="CA151" s="442">
        <f t="shared" si="432"/>
        <v>0</v>
      </c>
      <c r="CB151" s="443">
        <f t="shared" si="433"/>
        <v>0</v>
      </c>
      <c r="CD151" s="445">
        <f t="shared" si="434"/>
        <v>0</v>
      </c>
      <c r="CE151" s="445">
        <f t="shared" si="435"/>
        <v>0</v>
      </c>
      <c r="CF151" s="445">
        <f t="shared" si="436"/>
        <v>0</v>
      </c>
      <c r="CG151" s="445">
        <f t="shared" si="437"/>
        <v>0</v>
      </c>
      <c r="CH151" s="445">
        <f t="shared" si="438"/>
        <v>0</v>
      </c>
      <c r="CI151" s="445">
        <f t="shared" si="439"/>
        <v>0</v>
      </c>
      <c r="CJ151" s="445">
        <f t="shared" si="440"/>
        <v>0</v>
      </c>
      <c r="CK151" s="445">
        <f t="shared" si="441"/>
        <v>0</v>
      </c>
      <c r="CL151" s="445">
        <f t="shared" si="442"/>
        <v>0</v>
      </c>
      <c r="CM151" s="445">
        <f t="shared" si="443"/>
        <v>0</v>
      </c>
      <c r="CN151" s="443">
        <f t="shared" si="444"/>
        <v>0</v>
      </c>
      <c r="CP151" s="442">
        <f t="shared" si="445"/>
        <v>0</v>
      </c>
      <c r="CQ151" s="442">
        <f t="shared" si="446"/>
        <v>0</v>
      </c>
      <c r="CR151" s="442">
        <f t="shared" si="447"/>
        <v>0</v>
      </c>
      <c r="CS151" s="442">
        <f t="shared" si="448"/>
        <v>0</v>
      </c>
      <c r="CT151" s="442">
        <f t="shared" si="449"/>
        <v>0</v>
      </c>
      <c r="CU151" s="442">
        <f t="shared" si="450"/>
        <v>0</v>
      </c>
      <c r="CV151" s="442">
        <f t="shared" si="451"/>
        <v>0</v>
      </c>
      <c r="CW151" s="442">
        <f t="shared" si="452"/>
        <v>0</v>
      </c>
      <c r="CX151" s="442">
        <f t="shared" si="453"/>
        <v>0</v>
      </c>
      <c r="CY151" s="442">
        <f t="shared" si="454"/>
        <v>0</v>
      </c>
      <c r="CZ151" s="443">
        <f t="shared" si="455"/>
        <v>0</v>
      </c>
      <c r="DB151" s="442">
        <f t="shared" si="456"/>
        <v>0</v>
      </c>
      <c r="DC151" s="442">
        <f t="shared" si="457"/>
        <v>0</v>
      </c>
      <c r="DD151" s="442">
        <f t="shared" si="458"/>
        <v>0</v>
      </c>
      <c r="DE151" s="442">
        <f t="shared" si="459"/>
        <v>0</v>
      </c>
      <c r="DF151" s="442">
        <f t="shared" si="460"/>
        <v>0</v>
      </c>
      <c r="DG151" s="442">
        <f t="shared" si="461"/>
        <v>0</v>
      </c>
      <c r="DH151" s="442">
        <f t="shared" si="462"/>
        <v>0</v>
      </c>
      <c r="DI151" s="442">
        <f t="shared" si="463"/>
        <v>0</v>
      </c>
      <c r="DJ151" s="442">
        <f t="shared" si="464"/>
        <v>0</v>
      </c>
      <c r="DK151" s="442">
        <f t="shared" si="465"/>
        <v>0</v>
      </c>
      <c r="DL151" s="443">
        <f t="shared" si="466"/>
        <v>0</v>
      </c>
      <c r="DN151" s="442">
        <f>IF('2. START'!$C$14&gt;0,(AT151/(1+$AA151))*(1+'2. START'!$C$14),AT151)</f>
        <v>0</v>
      </c>
      <c r="DO151" s="442">
        <f>IF('2. START'!$C$14&gt;0,(AU151/(1+$AA151))*(1+'2. START'!$C$14),AU151)</f>
        <v>0</v>
      </c>
      <c r="DP151" s="442">
        <f>IF('2. START'!$C$14&gt;0,(AV151/(1+$AA151))*(1+'2. START'!$C$14),AV151)</f>
        <v>0</v>
      </c>
      <c r="DQ151" s="442">
        <f>IF('2. START'!$C$14&gt;0,(AW151/(1+$AA151))*(1+'2. START'!$C$14),AW151)</f>
        <v>0</v>
      </c>
      <c r="DR151" s="442">
        <f>IF('2. START'!$C$14&gt;0,(AX151/(1+$AA151))*(1+'2. START'!$C$14),AX151)</f>
        <v>0</v>
      </c>
      <c r="DS151" s="442">
        <f>IF('2. START'!$C$14&gt;0,(AY151/(1+$AA151))*(1+'2. START'!$C$14),AY151)</f>
        <v>0</v>
      </c>
      <c r="DT151" s="442">
        <f>IF('2. START'!$C$14&gt;0,(AZ151/(1+$AA151))*(1+'2. START'!$C$14),AZ151)</f>
        <v>0</v>
      </c>
      <c r="DU151" s="442">
        <f>IF('2. START'!$C$14&gt;0,(BA151/(1+$AA151))*(1+'2. START'!$C$14),BA151)</f>
        <v>0</v>
      </c>
      <c r="DV151" s="442">
        <f>IF('2. START'!$C$14&gt;0,(BB151/(1+$AA151))*(1+'2. START'!$C$14),BB151)</f>
        <v>0</v>
      </c>
      <c r="DW151" s="442">
        <f>IF('2. START'!$C$14&gt;0,(BC151/(1+$AA151))*(1+'2. START'!$C$14),BC151)</f>
        <v>0</v>
      </c>
      <c r="DX151" s="443">
        <f t="shared" si="467"/>
        <v>0</v>
      </c>
      <c r="DZ151" s="442">
        <f>IF('2. START'!$C$11="NO",(IF('2. START'!$C$14&gt;0,(DN151*$AD151),(AT151*$AD151))),(BR151+CP151))</f>
        <v>0</v>
      </c>
      <c r="EA151" s="442">
        <f>IF('2. START'!$C$11="NO",(IF('2. START'!$C$14&gt;0,(DO151*$AD151),(AU151*$AD151))),(BS151+CQ151))</f>
        <v>0</v>
      </c>
      <c r="EB151" s="442">
        <f>IF('2. START'!$C$11="NO",(IF('2. START'!$C$14&gt;0,(DP151*$AD151),(AV151*$AD151))),(BT151+CR151))</f>
        <v>0</v>
      </c>
      <c r="EC151" s="442">
        <f>IF('2. START'!$C$11="NO",(IF('2. START'!$C$14&gt;0,(DQ151*$AD151),(AW151*$AD151))),(BU151+CS151))</f>
        <v>0</v>
      </c>
      <c r="ED151" s="442">
        <f>IF('2. START'!$C$11="NO",(IF('2. START'!$C$14&gt;0,(DR151*$AD151),(AX151*$AD151))),(BV151+CT151))</f>
        <v>0</v>
      </c>
      <c r="EE151" s="442">
        <f>IF('2. START'!$C$11="NO",(IF('2. START'!$C$14&gt;0,(DS151*$AD151),(AY151*$AD151))),(BW151+CU151))</f>
        <v>0</v>
      </c>
      <c r="EF151" s="442">
        <f>IF('2. START'!$C$11="NO",(IF('2. START'!$C$14&gt;0,(DT151*$AD151),(AZ151*$AD151))),(BX151+CV151))</f>
        <v>0</v>
      </c>
      <c r="EG151" s="442">
        <f>IF('2. START'!$C$11="NO",(IF('2. START'!$C$14&gt;0,(DU151*$AD151),(BA151*$AD151))),(BY151+CW151))</f>
        <v>0</v>
      </c>
      <c r="EH151" s="442">
        <f>IF('2. START'!$C$11="NO",(IF('2. START'!$C$14&gt;0,(DV151*$AD151),(BB151*$AD151))),(BZ151+CX151))</f>
        <v>0</v>
      </c>
      <c r="EI151" s="442">
        <f>IF('2. START'!$C$11="NO",(IF('2. START'!$C$14&gt;0,(DW151*$AD151),(BC151*$AD151))),(CA151+CY151))</f>
        <v>0</v>
      </c>
      <c r="EJ151" s="443">
        <f t="shared" si="468"/>
        <v>0</v>
      </c>
      <c r="EL151" s="442">
        <f>(BR151+CP151-DZ151)+IF('2. START'!$C$14&gt;0,AT151-DN151,0)</f>
        <v>0</v>
      </c>
      <c r="EM151" s="442">
        <f>(BS151+CQ151-EA151)+IF('2. START'!$C$14&gt;0,AU151-DO151,0)</f>
        <v>0</v>
      </c>
      <c r="EN151" s="442">
        <f>(BT151+CR151-EB151)+IF('2. START'!$C$14&gt;0,AV151-DP151,0)</f>
        <v>0</v>
      </c>
      <c r="EO151" s="442">
        <f>(BU151+CS151-EC151)+IF('2. START'!$C$14&gt;0,AW151-DQ151,0)</f>
        <v>0</v>
      </c>
      <c r="EP151" s="442">
        <f>(BV151+CT151-ED151)+IF('2. START'!$C$14&gt;0,AX151-DR151,0)</f>
        <v>0</v>
      </c>
      <c r="EQ151" s="442">
        <f>(BW151+CU151-EE151)+IF('2. START'!$C$14&gt;0,AY151-DS151,0)</f>
        <v>0</v>
      </c>
      <c r="ER151" s="442">
        <f>(BX151+CV151-EF151)+IF('2. START'!$C$14&gt;0,AZ151-DT151,0)</f>
        <v>0</v>
      </c>
      <c r="ES151" s="442">
        <f>(BY151+CW151-EG151)+IF('2. START'!$C$14&gt;0,BA151-DU151,0)</f>
        <v>0</v>
      </c>
      <c r="ET151" s="442">
        <f>(BZ151+CX151-EH151)+IF('2. START'!$C$14&gt;0,BB151-DV151,0)</f>
        <v>0</v>
      </c>
      <c r="EU151" s="442">
        <f>(CA151+CY151-EI151)+IF('2. START'!$C$14&gt;0,BC151-DW151,0)</f>
        <v>0</v>
      </c>
      <c r="EV151" s="443">
        <f t="shared" si="469"/>
        <v>0</v>
      </c>
      <c r="EX151" s="442">
        <f t="shared" si="470"/>
        <v>0</v>
      </c>
      <c r="EY151" s="442">
        <f t="shared" si="471"/>
        <v>0</v>
      </c>
      <c r="EZ151" s="442">
        <f t="shared" si="472"/>
        <v>0</v>
      </c>
      <c r="FA151" s="442">
        <f t="shared" si="473"/>
        <v>0</v>
      </c>
      <c r="FB151" s="442">
        <f t="shared" si="474"/>
        <v>0</v>
      </c>
      <c r="FC151" s="442">
        <f t="shared" si="475"/>
        <v>0</v>
      </c>
      <c r="FD151" s="442">
        <f t="shared" si="476"/>
        <v>0</v>
      </c>
      <c r="FE151" s="442">
        <f t="shared" si="477"/>
        <v>0</v>
      </c>
      <c r="FF151" s="442">
        <f t="shared" si="478"/>
        <v>0</v>
      </c>
      <c r="FG151" s="442">
        <f t="shared" si="479"/>
        <v>0</v>
      </c>
      <c r="FH151" s="443">
        <f t="shared" si="480"/>
        <v>0</v>
      </c>
      <c r="FJ151" s="442">
        <f t="shared" si="481"/>
        <v>0</v>
      </c>
      <c r="FK151" s="442">
        <f t="shared" si="482"/>
        <v>0</v>
      </c>
      <c r="FL151" s="442">
        <f t="shared" si="483"/>
        <v>0</v>
      </c>
      <c r="FM151" s="442">
        <f t="shared" si="484"/>
        <v>0</v>
      </c>
      <c r="FN151" s="442">
        <f t="shared" si="485"/>
        <v>0</v>
      </c>
      <c r="FO151" s="442">
        <f t="shared" si="486"/>
        <v>0</v>
      </c>
      <c r="FP151" s="442">
        <f t="shared" si="487"/>
        <v>0</v>
      </c>
      <c r="FQ151" s="442">
        <f t="shared" si="488"/>
        <v>0</v>
      </c>
      <c r="FR151" s="442">
        <f t="shared" si="489"/>
        <v>0</v>
      </c>
      <c r="FS151" s="442">
        <f t="shared" si="490"/>
        <v>0</v>
      </c>
      <c r="FT151" s="443">
        <f t="shared" si="491"/>
        <v>0</v>
      </c>
    </row>
    <row r="152" spans="2:176" s="270" customFormat="1" ht="15" customHeight="1" x14ac:dyDescent="0.25">
      <c r="B152" s="446" t="str">
        <f>'2. START'!C$7</f>
        <v>100GEM</v>
      </c>
      <c r="C152" s="469"/>
      <c r="D152" s="589"/>
      <c r="E152" s="544">
        <v>0</v>
      </c>
      <c r="F152" s="448"/>
      <c r="G152" s="449"/>
      <c r="H152" s="449"/>
      <c r="I152" s="449"/>
      <c r="J152" s="449"/>
      <c r="K152" s="449"/>
      <c r="L152" s="449"/>
      <c r="M152" s="449"/>
      <c r="N152" s="449"/>
      <c r="O152" s="449"/>
      <c r="P152" s="449"/>
      <c r="Q152" s="546">
        <f>SUMIF('3. PARTNER'!$B$13:$B$80,$B152,'3. PARTNER'!$F$13:$F$80)</f>
        <v>0.02</v>
      </c>
      <c r="R152" s="450">
        <f t="shared" si="387"/>
        <v>0.02</v>
      </c>
      <c r="S152" s="450">
        <f t="shared" si="387"/>
        <v>0.02</v>
      </c>
      <c r="T152" s="450">
        <f t="shared" si="387"/>
        <v>0.02</v>
      </c>
      <c r="U152" s="450">
        <f t="shared" si="387"/>
        <v>0.02</v>
      </c>
      <c r="V152" s="450">
        <f t="shared" si="387"/>
        <v>0.02</v>
      </c>
      <c r="W152" s="450">
        <f t="shared" si="387"/>
        <v>0.02</v>
      </c>
      <c r="X152" s="450">
        <f t="shared" si="387"/>
        <v>0.02</v>
      </c>
      <c r="Y152" s="450">
        <f t="shared" si="387"/>
        <v>0.02</v>
      </c>
      <c r="Z152" s="450">
        <f t="shared" si="387"/>
        <v>0.02</v>
      </c>
      <c r="AA152" s="451">
        <f>SUMIF('3. PARTNER'!B$13:B$80,B152,'3. PARTNER'!E$13:E$80)</f>
        <v>0.5595</v>
      </c>
      <c r="AB152" s="452">
        <f>IF('2. START'!$C$20="UTB",(SUMIF('3. PARTNER'!B$13:B$80,B152,'3. PARTNER'!K$13:K$80))+(SUMIF('3. PARTNER'!B$13:B$80,B152,'3. PARTNER'!M$13:M$80)),(SUMIF('3. PARTNER'!B$13:B$80,B152,'3. PARTNER'!G$13:G$80))+(SUMIF('3. PARTNER'!B$13:B$80,B152,'3. PARTNER'!I$13:I$80)))</f>
        <v>0.16000843770704321</v>
      </c>
      <c r="AC152" s="452">
        <f>IF('2. START'!$C$20="UTB",(SUMIF('3. PARTNER'!B$13:B$80,B152,'3. PARTNER'!L$13:L$80))+(SUMIF('3. PARTNER'!B$13:B$80,B152,'3. PARTNER'!N$13:N$80)),(SUMIF('3. PARTNER'!B$13:B$80,B152,'3. PARTNER'!H$13:H$80))+(SUMIF('3. PARTNER'!B$13:B$80,B152,'3. PARTNER'!J$13:J$80)))</f>
        <v>0</v>
      </c>
      <c r="AD152" s="452">
        <f>IF('2. START'!C$11="NO",'2. START'!C$12,0)</f>
        <v>0</v>
      </c>
      <c r="AE152" s="453">
        <f t="shared" si="388"/>
        <v>0</v>
      </c>
      <c r="AF152" s="453">
        <f t="shared" si="389"/>
        <v>0</v>
      </c>
      <c r="AG152" s="454"/>
      <c r="AH152" s="455">
        <f t="shared" si="390"/>
        <v>0</v>
      </c>
      <c r="AI152" s="455">
        <f t="shared" si="391"/>
        <v>0</v>
      </c>
      <c r="AJ152" s="455">
        <f t="shared" si="392"/>
        <v>0</v>
      </c>
      <c r="AK152" s="455">
        <f t="shared" si="393"/>
        <v>0</v>
      </c>
      <c r="AL152" s="455">
        <f t="shared" si="394"/>
        <v>0</v>
      </c>
      <c r="AM152" s="455">
        <f t="shared" si="395"/>
        <v>0</v>
      </c>
      <c r="AN152" s="455">
        <f t="shared" si="396"/>
        <v>0</v>
      </c>
      <c r="AO152" s="455">
        <f t="shared" si="397"/>
        <v>0</v>
      </c>
      <c r="AP152" s="455">
        <f t="shared" si="398"/>
        <v>0</v>
      </c>
      <c r="AQ152" s="455">
        <f t="shared" si="399"/>
        <v>0</v>
      </c>
      <c r="AR152" s="456">
        <f t="shared" si="400"/>
        <v>0</v>
      </c>
      <c r="AS152" s="457"/>
      <c r="AT152" s="455">
        <f t="shared" si="401"/>
        <v>0</v>
      </c>
      <c r="AU152" s="455">
        <f t="shared" si="402"/>
        <v>0</v>
      </c>
      <c r="AV152" s="455">
        <f t="shared" si="403"/>
        <v>0</v>
      </c>
      <c r="AW152" s="455">
        <f t="shared" si="404"/>
        <v>0</v>
      </c>
      <c r="AX152" s="455">
        <f t="shared" si="405"/>
        <v>0</v>
      </c>
      <c r="AY152" s="455">
        <f t="shared" si="406"/>
        <v>0</v>
      </c>
      <c r="AZ152" s="455">
        <f t="shared" si="407"/>
        <v>0</v>
      </c>
      <c r="BA152" s="455">
        <f t="shared" si="408"/>
        <v>0</v>
      </c>
      <c r="BB152" s="455">
        <f t="shared" si="409"/>
        <v>0</v>
      </c>
      <c r="BC152" s="455">
        <f t="shared" si="410"/>
        <v>0</v>
      </c>
      <c r="BD152" s="456">
        <f t="shared" si="411"/>
        <v>0</v>
      </c>
      <c r="BE152" s="457"/>
      <c r="BF152" s="455">
        <f t="shared" si="412"/>
        <v>0</v>
      </c>
      <c r="BG152" s="455">
        <f t="shared" si="413"/>
        <v>0</v>
      </c>
      <c r="BH152" s="455">
        <f t="shared" si="414"/>
        <v>0</v>
      </c>
      <c r="BI152" s="455">
        <f t="shared" si="415"/>
        <v>0</v>
      </c>
      <c r="BJ152" s="455">
        <f t="shared" si="416"/>
        <v>0</v>
      </c>
      <c r="BK152" s="455">
        <f t="shared" si="417"/>
        <v>0</v>
      </c>
      <c r="BL152" s="455">
        <f t="shared" si="418"/>
        <v>0</v>
      </c>
      <c r="BM152" s="455">
        <f t="shared" si="419"/>
        <v>0</v>
      </c>
      <c r="BN152" s="455">
        <f t="shared" si="420"/>
        <v>0</v>
      </c>
      <c r="BO152" s="455">
        <f t="shared" si="421"/>
        <v>0</v>
      </c>
      <c r="BP152" s="456">
        <f t="shared" si="422"/>
        <v>0</v>
      </c>
      <c r="BQ152" s="463"/>
      <c r="BR152" s="459">
        <f t="shared" si="423"/>
        <v>0</v>
      </c>
      <c r="BS152" s="459">
        <f t="shared" si="424"/>
        <v>0</v>
      </c>
      <c r="BT152" s="459">
        <f t="shared" si="425"/>
        <v>0</v>
      </c>
      <c r="BU152" s="459">
        <f t="shared" si="426"/>
        <v>0</v>
      </c>
      <c r="BV152" s="459">
        <f t="shared" si="427"/>
        <v>0</v>
      </c>
      <c r="BW152" s="459">
        <f t="shared" si="428"/>
        <v>0</v>
      </c>
      <c r="BX152" s="459">
        <f t="shared" si="429"/>
        <v>0</v>
      </c>
      <c r="BY152" s="459">
        <f t="shared" si="430"/>
        <v>0</v>
      </c>
      <c r="BZ152" s="459">
        <f t="shared" si="431"/>
        <v>0</v>
      </c>
      <c r="CA152" s="459">
        <f t="shared" si="432"/>
        <v>0</v>
      </c>
      <c r="CB152" s="460">
        <f t="shared" si="433"/>
        <v>0</v>
      </c>
      <c r="CC152" s="463"/>
      <c r="CD152" s="462">
        <f t="shared" si="434"/>
        <v>0</v>
      </c>
      <c r="CE152" s="462">
        <f t="shared" si="435"/>
        <v>0</v>
      </c>
      <c r="CF152" s="462">
        <f t="shared" si="436"/>
        <v>0</v>
      </c>
      <c r="CG152" s="462">
        <f t="shared" si="437"/>
        <v>0</v>
      </c>
      <c r="CH152" s="462">
        <f t="shared" si="438"/>
        <v>0</v>
      </c>
      <c r="CI152" s="462">
        <f t="shared" si="439"/>
        <v>0</v>
      </c>
      <c r="CJ152" s="462">
        <f t="shared" si="440"/>
        <v>0</v>
      </c>
      <c r="CK152" s="462">
        <f t="shared" si="441"/>
        <v>0</v>
      </c>
      <c r="CL152" s="462">
        <f t="shared" si="442"/>
        <v>0</v>
      </c>
      <c r="CM152" s="462">
        <f t="shared" si="443"/>
        <v>0</v>
      </c>
      <c r="CN152" s="460">
        <f t="shared" si="444"/>
        <v>0</v>
      </c>
      <c r="CO152" s="463"/>
      <c r="CP152" s="459">
        <f t="shared" si="445"/>
        <v>0</v>
      </c>
      <c r="CQ152" s="459">
        <f t="shared" si="446"/>
        <v>0</v>
      </c>
      <c r="CR152" s="459">
        <f t="shared" si="447"/>
        <v>0</v>
      </c>
      <c r="CS152" s="459">
        <f t="shared" si="448"/>
        <v>0</v>
      </c>
      <c r="CT152" s="459">
        <f t="shared" si="449"/>
        <v>0</v>
      </c>
      <c r="CU152" s="459">
        <f t="shared" si="450"/>
        <v>0</v>
      </c>
      <c r="CV152" s="459">
        <f t="shared" si="451"/>
        <v>0</v>
      </c>
      <c r="CW152" s="459">
        <f t="shared" si="452"/>
        <v>0</v>
      </c>
      <c r="CX152" s="459">
        <f t="shared" si="453"/>
        <v>0</v>
      </c>
      <c r="CY152" s="459">
        <f t="shared" si="454"/>
        <v>0</v>
      </c>
      <c r="CZ152" s="460">
        <f t="shared" si="455"/>
        <v>0</v>
      </c>
      <c r="DA152" s="463"/>
      <c r="DB152" s="459">
        <f t="shared" si="456"/>
        <v>0</v>
      </c>
      <c r="DC152" s="459">
        <f t="shared" si="457"/>
        <v>0</v>
      </c>
      <c r="DD152" s="459">
        <f t="shared" si="458"/>
        <v>0</v>
      </c>
      <c r="DE152" s="459">
        <f t="shared" si="459"/>
        <v>0</v>
      </c>
      <c r="DF152" s="459">
        <f t="shared" si="460"/>
        <v>0</v>
      </c>
      <c r="DG152" s="459">
        <f t="shared" si="461"/>
        <v>0</v>
      </c>
      <c r="DH152" s="459">
        <f t="shared" si="462"/>
        <v>0</v>
      </c>
      <c r="DI152" s="459">
        <f t="shared" si="463"/>
        <v>0</v>
      </c>
      <c r="DJ152" s="459">
        <f t="shared" si="464"/>
        <v>0</v>
      </c>
      <c r="DK152" s="459">
        <f t="shared" si="465"/>
        <v>0</v>
      </c>
      <c r="DL152" s="460">
        <f t="shared" si="466"/>
        <v>0</v>
      </c>
      <c r="DM152" s="463"/>
      <c r="DN152" s="442">
        <f>IF('2. START'!$C$14&gt;0,(AT152/(1+$AA152))*(1+'2. START'!$C$14),AT152)</f>
        <v>0</v>
      </c>
      <c r="DO152" s="442">
        <f>IF('2. START'!$C$14&gt;0,(AU152/(1+$AA152))*(1+'2. START'!$C$14),AU152)</f>
        <v>0</v>
      </c>
      <c r="DP152" s="442">
        <f>IF('2. START'!$C$14&gt;0,(AV152/(1+$AA152))*(1+'2. START'!$C$14),AV152)</f>
        <v>0</v>
      </c>
      <c r="DQ152" s="442">
        <f>IF('2. START'!$C$14&gt;0,(AW152/(1+$AA152))*(1+'2. START'!$C$14),AW152)</f>
        <v>0</v>
      </c>
      <c r="DR152" s="442">
        <f>IF('2. START'!$C$14&gt;0,(AX152/(1+$AA152))*(1+'2. START'!$C$14),AX152)</f>
        <v>0</v>
      </c>
      <c r="DS152" s="442">
        <f>IF('2. START'!$C$14&gt;0,(AY152/(1+$AA152))*(1+'2. START'!$C$14),AY152)</f>
        <v>0</v>
      </c>
      <c r="DT152" s="442">
        <f>IF('2. START'!$C$14&gt;0,(AZ152/(1+$AA152))*(1+'2. START'!$C$14),AZ152)</f>
        <v>0</v>
      </c>
      <c r="DU152" s="442">
        <f>IF('2. START'!$C$14&gt;0,(BA152/(1+$AA152))*(1+'2. START'!$C$14),BA152)</f>
        <v>0</v>
      </c>
      <c r="DV152" s="442">
        <f>IF('2. START'!$C$14&gt;0,(BB152/(1+$AA152))*(1+'2. START'!$C$14),BB152)</f>
        <v>0</v>
      </c>
      <c r="DW152" s="442">
        <f>IF('2. START'!$C$14&gt;0,(BC152/(1+$AA152))*(1+'2. START'!$C$14),BC152)</f>
        <v>0</v>
      </c>
      <c r="DX152" s="460">
        <f t="shared" si="467"/>
        <v>0</v>
      </c>
      <c r="DY152" s="463"/>
      <c r="DZ152" s="459">
        <f>IF('2. START'!$C$11="NO",(IF('2. START'!$C$14&gt;0,(DN152*$AD152),(AT152*$AD152))),(BR152+CP152))</f>
        <v>0</v>
      </c>
      <c r="EA152" s="459">
        <f>IF('2. START'!$C$11="NO",(IF('2. START'!$C$14&gt;0,(DO152*$AD152),(AU152*$AD152))),(BS152+CQ152))</f>
        <v>0</v>
      </c>
      <c r="EB152" s="459">
        <f>IF('2. START'!$C$11="NO",(IF('2. START'!$C$14&gt;0,(DP152*$AD152),(AV152*$AD152))),(BT152+CR152))</f>
        <v>0</v>
      </c>
      <c r="EC152" s="459">
        <f>IF('2. START'!$C$11="NO",(IF('2. START'!$C$14&gt;0,(DQ152*$AD152),(AW152*$AD152))),(BU152+CS152))</f>
        <v>0</v>
      </c>
      <c r="ED152" s="459">
        <f>IF('2. START'!$C$11="NO",(IF('2. START'!$C$14&gt;0,(DR152*$AD152),(AX152*$AD152))),(BV152+CT152))</f>
        <v>0</v>
      </c>
      <c r="EE152" s="459">
        <f>IF('2. START'!$C$11="NO",(IF('2. START'!$C$14&gt;0,(DS152*$AD152),(AY152*$AD152))),(BW152+CU152))</f>
        <v>0</v>
      </c>
      <c r="EF152" s="459">
        <f>IF('2. START'!$C$11="NO",(IF('2. START'!$C$14&gt;0,(DT152*$AD152),(AZ152*$AD152))),(BX152+CV152))</f>
        <v>0</v>
      </c>
      <c r="EG152" s="459">
        <f>IF('2. START'!$C$11="NO",(IF('2. START'!$C$14&gt;0,(DU152*$AD152),(BA152*$AD152))),(BY152+CW152))</f>
        <v>0</v>
      </c>
      <c r="EH152" s="459">
        <f>IF('2. START'!$C$11="NO",(IF('2. START'!$C$14&gt;0,(DV152*$AD152),(BB152*$AD152))),(BZ152+CX152))</f>
        <v>0</v>
      </c>
      <c r="EI152" s="459">
        <f>IF('2. START'!$C$11="NO",(IF('2. START'!$C$14&gt;0,(DW152*$AD152),(BC152*$AD152))),(CA152+CY152))</f>
        <v>0</v>
      </c>
      <c r="EJ152" s="460">
        <f t="shared" si="468"/>
        <v>0</v>
      </c>
      <c r="EK152" s="463"/>
      <c r="EL152" s="459">
        <f>(BR152+CP152-DZ152)+IF('2. START'!$C$14&gt;0,AT152-DN152,0)</f>
        <v>0</v>
      </c>
      <c r="EM152" s="459">
        <f>(BS152+CQ152-EA152)+IF('2. START'!$C$14&gt;0,AU152-DO152,0)</f>
        <v>0</v>
      </c>
      <c r="EN152" s="459">
        <f>(BT152+CR152-EB152)+IF('2. START'!$C$14&gt;0,AV152-DP152,0)</f>
        <v>0</v>
      </c>
      <c r="EO152" s="459">
        <f>(BU152+CS152-EC152)+IF('2. START'!$C$14&gt;0,AW152-DQ152,0)</f>
        <v>0</v>
      </c>
      <c r="EP152" s="459">
        <f>(BV152+CT152-ED152)+IF('2. START'!$C$14&gt;0,AX152-DR152,0)</f>
        <v>0</v>
      </c>
      <c r="EQ152" s="459">
        <f>(BW152+CU152-EE152)+IF('2. START'!$C$14&gt;0,AY152-DS152,0)</f>
        <v>0</v>
      </c>
      <c r="ER152" s="459">
        <f>(BX152+CV152-EF152)+IF('2. START'!$C$14&gt;0,AZ152-DT152,0)</f>
        <v>0</v>
      </c>
      <c r="ES152" s="459">
        <f>(BY152+CW152-EG152)+IF('2. START'!$C$14&gt;0,BA152-DU152,0)</f>
        <v>0</v>
      </c>
      <c r="ET152" s="459">
        <f>(BZ152+CX152-EH152)+IF('2. START'!$C$14&gt;0,BB152-DV152,0)</f>
        <v>0</v>
      </c>
      <c r="EU152" s="459">
        <f>(CA152+CY152-EI152)+IF('2. START'!$C$14&gt;0,BC152-DW152,0)</f>
        <v>0</v>
      </c>
      <c r="EV152" s="460">
        <f t="shared" si="469"/>
        <v>0</v>
      </c>
      <c r="EW152" s="463"/>
      <c r="EX152" s="459">
        <f t="shared" si="470"/>
        <v>0</v>
      </c>
      <c r="EY152" s="459">
        <f t="shared" si="471"/>
        <v>0</v>
      </c>
      <c r="EZ152" s="459">
        <f t="shared" si="472"/>
        <v>0</v>
      </c>
      <c r="FA152" s="459">
        <f t="shared" si="473"/>
        <v>0</v>
      </c>
      <c r="FB152" s="459">
        <f t="shared" si="474"/>
        <v>0</v>
      </c>
      <c r="FC152" s="459">
        <f t="shared" si="475"/>
        <v>0</v>
      </c>
      <c r="FD152" s="459">
        <f t="shared" si="476"/>
        <v>0</v>
      </c>
      <c r="FE152" s="459">
        <f t="shared" si="477"/>
        <v>0</v>
      </c>
      <c r="FF152" s="459">
        <f t="shared" si="478"/>
        <v>0</v>
      </c>
      <c r="FG152" s="459">
        <f t="shared" si="479"/>
        <v>0</v>
      </c>
      <c r="FH152" s="460">
        <f t="shared" si="480"/>
        <v>0</v>
      </c>
      <c r="FI152" s="463"/>
      <c r="FJ152" s="459">
        <f t="shared" si="481"/>
        <v>0</v>
      </c>
      <c r="FK152" s="459">
        <f t="shared" si="482"/>
        <v>0</v>
      </c>
      <c r="FL152" s="459">
        <f t="shared" si="483"/>
        <v>0</v>
      </c>
      <c r="FM152" s="459">
        <f t="shared" si="484"/>
        <v>0</v>
      </c>
      <c r="FN152" s="459">
        <f t="shared" si="485"/>
        <v>0</v>
      </c>
      <c r="FO152" s="459">
        <f t="shared" si="486"/>
        <v>0</v>
      </c>
      <c r="FP152" s="459">
        <f t="shared" si="487"/>
        <v>0</v>
      </c>
      <c r="FQ152" s="459">
        <f t="shared" si="488"/>
        <v>0</v>
      </c>
      <c r="FR152" s="459">
        <f t="shared" si="489"/>
        <v>0</v>
      </c>
      <c r="FS152" s="459">
        <f t="shared" si="490"/>
        <v>0</v>
      </c>
      <c r="FT152" s="460">
        <f t="shared" si="491"/>
        <v>0</v>
      </c>
    </row>
    <row r="153" spans="2:176" s="270" customFormat="1" ht="15" customHeight="1" x14ac:dyDescent="0.25">
      <c r="B153" s="464" t="str">
        <f>'2. START'!C$7</f>
        <v>100GEM</v>
      </c>
      <c r="C153" s="470"/>
      <c r="D153" s="590"/>
      <c r="E153" s="514">
        <v>0</v>
      </c>
      <c r="F153" s="467"/>
      <c r="G153" s="432"/>
      <c r="H153" s="432"/>
      <c r="I153" s="432"/>
      <c r="J153" s="432"/>
      <c r="K153" s="432"/>
      <c r="L153" s="432"/>
      <c r="M153" s="432"/>
      <c r="N153" s="432"/>
      <c r="O153" s="432"/>
      <c r="P153" s="432"/>
      <c r="Q153" s="545">
        <f>SUMIF('3. PARTNER'!$B$13:$B$80,$B153,'3. PARTNER'!$F$13:$F$80)</f>
        <v>0.02</v>
      </c>
      <c r="R153" s="466">
        <f t="shared" si="387"/>
        <v>0.02</v>
      </c>
      <c r="S153" s="466">
        <f t="shared" si="387"/>
        <v>0.02</v>
      </c>
      <c r="T153" s="466">
        <f t="shared" si="387"/>
        <v>0.02</v>
      </c>
      <c r="U153" s="466">
        <f t="shared" si="387"/>
        <v>0.02</v>
      </c>
      <c r="V153" s="466">
        <f t="shared" si="387"/>
        <v>0.02</v>
      </c>
      <c r="W153" s="466">
        <f t="shared" si="387"/>
        <v>0.02</v>
      </c>
      <c r="X153" s="466">
        <f t="shared" si="387"/>
        <v>0.02</v>
      </c>
      <c r="Y153" s="466">
        <f t="shared" si="387"/>
        <v>0.02</v>
      </c>
      <c r="Z153" s="466">
        <f t="shared" si="387"/>
        <v>0.02</v>
      </c>
      <c r="AA153" s="434">
        <f>SUMIF('3. PARTNER'!B$13:B$80,B153,'3. PARTNER'!E$13:E$80)</f>
        <v>0.5595</v>
      </c>
      <c r="AB153" s="435">
        <f>IF('2. START'!$C$20="UTB",(SUMIF('3. PARTNER'!B$13:B$80,B153,'3. PARTNER'!K$13:K$80))+(SUMIF('3. PARTNER'!B$13:B$80,B153,'3. PARTNER'!M$13:M$80)),(SUMIF('3. PARTNER'!B$13:B$80,B153,'3. PARTNER'!G$13:G$80))+(SUMIF('3. PARTNER'!B$13:B$80,B153,'3. PARTNER'!I$13:I$80)))</f>
        <v>0.16000843770704321</v>
      </c>
      <c r="AC153" s="435">
        <f>IF('2. START'!$C$20="UTB",(SUMIF('3. PARTNER'!B$13:B$80,B153,'3. PARTNER'!L$13:L$80))+(SUMIF('3. PARTNER'!B$13:B$80,B153,'3. PARTNER'!N$13:N$80)),(SUMIF('3. PARTNER'!B$13:B$80,B153,'3. PARTNER'!H$13:H$80))+(SUMIF('3. PARTNER'!B$13:B$80,B153,'3. PARTNER'!J$13:J$80)))</f>
        <v>0</v>
      </c>
      <c r="AD153" s="435">
        <f>IF('2. START'!C$11="NO",'2. START'!C$12,0)</f>
        <v>0</v>
      </c>
      <c r="AE153" s="436">
        <f t="shared" si="388"/>
        <v>0</v>
      </c>
      <c r="AF153" s="436">
        <f t="shared" si="389"/>
        <v>0</v>
      </c>
      <c r="AG153" s="437"/>
      <c r="AH153" s="438">
        <f t="shared" si="390"/>
        <v>0</v>
      </c>
      <c r="AI153" s="438">
        <f t="shared" si="391"/>
        <v>0</v>
      </c>
      <c r="AJ153" s="438">
        <f t="shared" si="392"/>
        <v>0</v>
      </c>
      <c r="AK153" s="438">
        <f t="shared" si="393"/>
        <v>0</v>
      </c>
      <c r="AL153" s="438">
        <f t="shared" si="394"/>
        <v>0</v>
      </c>
      <c r="AM153" s="438">
        <f t="shared" si="395"/>
        <v>0</v>
      </c>
      <c r="AN153" s="438">
        <f t="shared" si="396"/>
        <v>0</v>
      </c>
      <c r="AO153" s="438">
        <f t="shared" si="397"/>
        <v>0</v>
      </c>
      <c r="AP153" s="438">
        <f t="shared" si="398"/>
        <v>0</v>
      </c>
      <c r="AQ153" s="438">
        <f t="shared" si="399"/>
        <v>0</v>
      </c>
      <c r="AR153" s="439">
        <f t="shared" si="400"/>
        <v>0</v>
      </c>
      <c r="AS153" s="440"/>
      <c r="AT153" s="438">
        <f t="shared" si="401"/>
        <v>0</v>
      </c>
      <c r="AU153" s="438">
        <f t="shared" si="402"/>
        <v>0</v>
      </c>
      <c r="AV153" s="438">
        <f t="shared" si="403"/>
        <v>0</v>
      </c>
      <c r="AW153" s="438">
        <f t="shared" si="404"/>
        <v>0</v>
      </c>
      <c r="AX153" s="438">
        <f t="shared" si="405"/>
        <v>0</v>
      </c>
      <c r="AY153" s="438">
        <f t="shared" si="406"/>
        <v>0</v>
      </c>
      <c r="AZ153" s="438">
        <f t="shared" si="407"/>
        <v>0</v>
      </c>
      <c r="BA153" s="438">
        <f t="shared" si="408"/>
        <v>0</v>
      </c>
      <c r="BB153" s="438">
        <f t="shared" si="409"/>
        <v>0</v>
      </c>
      <c r="BC153" s="438">
        <f t="shared" si="410"/>
        <v>0</v>
      </c>
      <c r="BD153" s="439">
        <f t="shared" si="411"/>
        <v>0</v>
      </c>
      <c r="BE153" s="440"/>
      <c r="BF153" s="438">
        <f t="shared" si="412"/>
        <v>0</v>
      </c>
      <c r="BG153" s="438">
        <f t="shared" si="413"/>
        <v>0</v>
      </c>
      <c r="BH153" s="438">
        <f t="shared" si="414"/>
        <v>0</v>
      </c>
      <c r="BI153" s="438">
        <f t="shared" si="415"/>
        <v>0</v>
      </c>
      <c r="BJ153" s="438">
        <f t="shared" si="416"/>
        <v>0</v>
      </c>
      <c r="BK153" s="438">
        <f t="shared" si="417"/>
        <v>0</v>
      </c>
      <c r="BL153" s="438">
        <f t="shared" si="418"/>
        <v>0</v>
      </c>
      <c r="BM153" s="438">
        <f t="shared" si="419"/>
        <v>0</v>
      </c>
      <c r="BN153" s="438">
        <f t="shared" si="420"/>
        <v>0</v>
      </c>
      <c r="BO153" s="438">
        <f t="shared" si="421"/>
        <v>0</v>
      </c>
      <c r="BP153" s="439">
        <f t="shared" si="422"/>
        <v>0</v>
      </c>
      <c r="BR153" s="442">
        <f t="shared" si="423"/>
        <v>0</v>
      </c>
      <c r="BS153" s="442">
        <f t="shared" si="424"/>
        <v>0</v>
      </c>
      <c r="BT153" s="442">
        <f t="shared" si="425"/>
        <v>0</v>
      </c>
      <c r="BU153" s="442">
        <f t="shared" si="426"/>
        <v>0</v>
      </c>
      <c r="BV153" s="442">
        <f t="shared" si="427"/>
        <v>0</v>
      </c>
      <c r="BW153" s="442">
        <f t="shared" si="428"/>
        <v>0</v>
      </c>
      <c r="BX153" s="442">
        <f t="shared" si="429"/>
        <v>0</v>
      </c>
      <c r="BY153" s="442">
        <f t="shared" si="430"/>
        <v>0</v>
      </c>
      <c r="BZ153" s="442">
        <f t="shared" si="431"/>
        <v>0</v>
      </c>
      <c r="CA153" s="442">
        <f t="shared" si="432"/>
        <v>0</v>
      </c>
      <c r="CB153" s="443">
        <f t="shared" si="433"/>
        <v>0</v>
      </c>
      <c r="CD153" s="445">
        <f t="shared" si="434"/>
        <v>0</v>
      </c>
      <c r="CE153" s="445">
        <f t="shared" si="435"/>
        <v>0</v>
      </c>
      <c r="CF153" s="445">
        <f t="shared" si="436"/>
        <v>0</v>
      </c>
      <c r="CG153" s="445">
        <f t="shared" si="437"/>
        <v>0</v>
      </c>
      <c r="CH153" s="445">
        <f t="shared" si="438"/>
        <v>0</v>
      </c>
      <c r="CI153" s="445">
        <f t="shared" si="439"/>
        <v>0</v>
      </c>
      <c r="CJ153" s="445">
        <f t="shared" si="440"/>
        <v>0</v>
      </c>
      <c r="CK153" s="445">
        <f t="shared" si="441"/>
        <v>0</v>
      </c>
      <c r="CL153" s="445">
        <f t="shared" si="442"/>
        <v>0</v>
      </c>
      <c r="CM153" s="445">
        <f t="shared" si="443"/>
        <v>0</v>
      </c>
      <c r="CN153" s="443">
        <f t="shared" si="444"/>
        <v>0</v>
      </c>
      <c r="CP153" s="442">
        <f t="shared" si="445"/>
        <v>0</v>
      </c>
      <c r="CQ153" s="442">
        <f t="shared" si="446"/>
        <v>0</v>
      </c>
      <c r="CR153" s="442">
        <f t="shared" si="447"/>
        <v>0</v>
      </c>
      <c r="CS153" s="442">
        <f t="shared" si="448"/>
        <v>0</v>
      </c>
      <c r="CT153" s="442">
        <f t="shared" si="449"/>
        <v>0</v>
      </c>
      <c r="CU153" s="442">
        <f t="shared" si="450"/>
        <v>0</v>
      </c>
      <c r="CV153" s="442">
        <f t="shared" si="451"/>
        <v>0</v>
      </c>
      <c r="CW153" s="442">
        <f t="shared" si="452"/>
        <v>0</v>
      </c>
      <c r="CX153" s="442">
        <f t="shared" si="453"/>
        <v>0</v>
      </c>
      <c r="CY153" s="442">
        <f t="shared" si="454"/>
        <v>0</v>
      </c>
      <c r="CZ153" s="443">
        <f t="shared" si="455"/>
        <v>0</v>
      </c>
      <c r="DB153" s="442">
        <f t="shared" si="456"/>
        <v>0</v>
      </c>
      <c r="DC153" s="442">
        <f t="shared" si="457"/>
        <v>0</v>
      </c>
      <c r="DD153" s="442">
        <f t="shared" si="458"/>
        <v>0</v>
      </c>
      <c r="DE153" s="442">
        <f t="shared" si="459"/>
        <v>0</v>
      </c>
      <c r="DF153" s="442">
        <f t="shared" si="460"/>
        <v>0</v>
      </c>
      <c r="DG153" s="442">
        <f t="shared" si="461"/>
        <v>0</v>
      </c>
      <c r="DH153" s="442">
        <f t="shared" si="462"/>
        <v>0</v>
      </c>
      <c r="DI153" s="442">
        <f t="shared" si="463"/>
        <v>0</v>
      </c>
      <c r="DJ153" s="442">
        <f t="shared" si="464"/>
        <v>0</v>
      </c>
      <c r="DK153" s="442">
        <f t="shared" si="465"/>
        <v>0</v>
      </c>
      <c r="DL153" s="443">
        <f t="shared" si="466"/>
        <v>0</v>
      </c>
      <c r="DN153" s="442">
        <f>IF('2. START'!$C$14&gt;0,(AT153/(1+$AA153))*(1+'2. START'!$C$14),AT153)</f>
        <v>0</v>
      </c>
      <c r="DO153" s="442">
        <f>IF('2. START'!$C$14&gt;0,(AU153/(1+$AA153))*(1+'2. START'!$C$14),AU153)</f>
        <v>0</v>
      </c>
      <c r="DP153" s="442">
        <f>IF('2. START'!$C$14&gt;0,(AV153/(1+$AA153))*(1+'2. START'!$C$14),AV153)</f>
        <v>0</v>
      </c>
      <c r="DQ153" s="442">
        <f>IF('2. START'!$C$14&gt;0,(AW153/(1+$AA153))*(1+'2. START'!$C$14),AW153)</f>
        <v>0</v>
      </c>
      <c r="DR153" s="442">
        <f>IF('2. START'!$C$14&gt;0,(AX153/(1+$AA153))*(1+'2. START'!$C$14),AX153)</f>
        <v>0</v>
      </c>
      <c r="DS153" s="442">
        <f>IF('2. START'!$C$14&gt;0,(AY153/(1+$AA153))*(1+'2. START'!$C$14),AY153)</f>
        <v>0</v>
      </c>
      <c r="DT153" s="442">
        <f>IF('2. START'!$C$14&gt;0,(AZ153/(1+$AA153))*(1+'2. START'!$C$14),AZ153)</f>
        <v>0</v>
      </c>
      <c r="DU153" s="442">
        <f>IF('2. START'!$C$14&gt;0,(BA153/(1+$AA153))*(1+'2. START'!$C$14),BA153)</f>
        <v>0</v>
      </c>
      <c r="DV153" s="442">
        <f>IF('2. START'!$C$14&gt;0,(BB153/(1+$AA153))*(1+'2. START'!$C$14),BB153)</f>
        <v>0</v>
      </c>
      <c r="DW153" s="442">
        <f>IF('2. START'!$C$14&gt;0,(BC153/(1+$AA153))*(1+'2. START'!$C$14),BC153)</f>
        <v>0</v>
      </c>
      <c r="DX153" s="443">
        <f t="shared" si="467"/>
        <v>0</v>
      </c>
      <c r="DZ153" s="442">
        <f>IF('2. START'!$C$11="NO",(IF('2. START'!$C$14&gt;0,(DN153*$AD153),(AT153*$AD153))),(BR153+CP153))</f>
        <v>0</v>
      </c>
      <c r="EA153" s="442">
        <f>IF('2. START'!$C$11="NO",(IF('2. START'!$C$14&gt;0,(DO153*$AD153),(AU153*$AD153))),(BS153+CQ153))</f>
        <v>0</v>
      </c>
      <c r="EB153" s="442">
        <f>IF('2. START'!$C$11="NO",(IF('2. START'!$C$14&gt;0,(DP153*$AD153),(AV153*$AD153))),(BT153+CR153))</f>
        <v>0</v>
      </c>
      <c r="EC153" s="442">
        <f>IF('2. START'!$C$11="NO",(IF('2. START'!$C$14&gt;0,(DQ153*$AD153),(AW153*$AD153))),(BU153+CS153))</f>
        <v>0</v>
      </c>
      <c r="ED153" s="442">
        <f>IF('2. START'!$C$11="NO",(IF('2. START'!$C$14&gt;0,(DR153*$AD153),(AX153*$AD153))),(BV153+CT153))</f>
        <v>0</v>
      </c>
      <c r="EE153" s="442">
        <f>IF('2. START'!$C$11="NO",(IF('2. START'!$C$14&gt;0,(DS153*$AD153),(AY153*$AD153))),(BW153+CU153))</f>
        <v>0</v>
      </c>
      <c r="EF153" s="442">
        <f>IF('2. START'!$C$11="NO",(IF('2. START'!$C$14&gt;0,(DT153*$AD153),(AZ153*$AD153))),(BX153+CV153))</f>
        <v>0</v>
      </c>
      <c r="EG153" s="442">
        <f>IF('2. START'!$C$11="NO",(IF('2. START'!$C$14&gt;0,(DU153*$AD153),(BA153*$AD153))),(BY153+CW153))</f>
        <v>0</v>
      </c>
      <c r="EH153" s="442">
        <f>IF('2. START'!$C$11="NO",(IF('2. START'!$C$14&gt;0,(DV153*$AD153),(BB153*$AD153))),(BZ153+CX153))</f>
        <v>0</v>
      </c>
      <c r="EI153" s="442">
        <f>IF('2. START'!$C$11="NO",(IF('2. START'!$C$14&gt;0,(DW153*$AD153),(BC153*$AD153))),(CA153+CY153))</f>
        <v>0</v>
      </c>
      <c r="EJ153" s="443">
        <f t="shared" si="468"/>
        <v>0</v>
      </c>
      <c r="EL153" s="442">
        <f>(BR153+CP153-DZ153)+IF('2. START'!$C$14&gt;0,AT153-DN153,0)</f>
        <v>0</v>
      </c>
      <c r="EM153" s="442">
        <f>(BS153+CQ153-EA153)+IF('2. START'!$C$14&gt;0,AU153-DO153,0)</f>
        <v>0</v>
      </c>
      <c r="EN153" s="442">
        <f>(BT153+CR153-EB153)+IF('2. START'!$C$14&gt;0,AV153-DP153,0)</f>
        <v>0</v>
      </c>
      <c r="EO153" s="442">
        <f>(BU153+CS153-EC153)+IF('2. START'!$C$14&gt;0,AW153-DQ153,0)</f>
        <v>0</v>
      </c>
      <c r="EP153" s="442">
        <f>(BV153+CT153-ED153)+IF('2. START'!$C$14&gt;0,AX153-DR153,0)</f>
        <v>0</v>
      </c>
      <c r="EQ153" s="442">
        <f>(BW153+CU153-EE153)+IF('2. START'!$C$14&gt;0,AY153-DS153,0)</f>
        <v>0</v>
      </c>
      <c r="ER153" s="442">
        <f>(BX153+CV153-EF153)+IF('2. START'!$C$14&gt;0,AZ153-DT153,0)</f>
        <v>0</v>
      </c>
      <c r="ES153" s="442">
        <f>(BY153+CW153-EG153)+IF('2. START'!$C$14&gt;0,BA153-DU153,0)</f>
        <v>0</v>
      </c>
      <c r="ET153" s="442">
        <f>(BZ153+CX153-EH153)+IF('2. START'!$C$14&gt;0,BB153-DV153,0)</f>
        <v>0</v>
      </c>
      <c r="EU153" s="442">
        <f>(CA153+CY153-EI153)+IF('2. START'!$C$14&gt;0,BC153-DW153,0)</f>
        <v>0</v>
      </c>
      <c r="EV153" s="443">
        <f t="shared" si="469"/>
        <v>0</v>
      </c>
      <c r="EX153" s="442">
        <f t="shared" si="470"/>
        <v>0</v>
      </c>
      <c r="EY153" s="442">
        <f t="shared" si="471"/>
        <v>0</v>
      </c>
      <c r="EZ153" s="442">
        <f t="shared" si="472"/>
        <v>0</v>
      </c>
      <c r="FA153" s="442">
        <f t="shared" si="473"/>
        <v>0</v>
      </c>
      <c r="FB153" s="442">
        <f t="shared" si="474"/>
        <v>0</v>
      </c>
      <c r="FC153" s="442">
        <f t="shared" si="475"/>
        <v>0</v>
      </c>
      <c r="FD153" s="442">
        <f t="shared" si="476"/>
        <v>0</v>
      </c>
      <c r="FE153" s="442">
        <f t="shared" si="477"/>
        <v>0</v>
      </c>
      <c r="FF153" s="442">
        <f t="shared" si="478"/>
        <v>0</v>
      </c>
      <c r="FG153" s="442">
        <f t="shared" si="479"/>
        <v>0</v>
      </c>
      <c r="FH153" s="443">
        <f t="shared" si="480"/>
        <v>0</v>
      </c>
      <c r="FJ153" s="442">
        <f t="shared" si="481"/>
        <v>0</v>
      </c>
      <c r="FK153" s="442">
        <f t="shared" si="482"/>
        <v>0</v>
      </c>
      <c r="FL153" s="442">
        <f t="shared" si="483"/>
        <v>0</v>
      </c>
      <c r="FM153" s="442">
        <f t="shared" si="484"/>
        <v>0</v>
      </c>
      <c r="FN153" s="442">
        <f t="shared" si="485"/>
        <v>0</v>
      </c>
      <c r="FO153" s="442">
        <f t="shared" si="486"/>
        <v>0</v>
      </c>
      <c r="FP153" s="442">
        <f t="shared" si="487"/>
        <v>0</v>
      </c>
      <c r="FQ153" s="442">
        <f t="shared" si="488"/>
        <v>0</v>
      </c>
      <c r="FR153" s="442">
        <f t="shared" si="489"/>
        <v>0</v>
      </c>
      <c r="FS153" s="442">
        <f t="shared" si="490"/>
        <v>0</v>
      </c>
      <c r="FT153" s="443">
        <f t="shared" si="491"/>
        <v>0</v>
      </c>
    </row>
    <row r="154" spans="2:176" s="270" customFormat="1" ht="15" customHeight="1" x14ac:dyDescent="0.25">
      <c r="B154" s="446" t="str">
        <f>'2. START'!C$7</f>
        <v>100GEM</v>
      </c>
      <c r="C154" s="469"/>
      <c r="D154" s="589"/>
      <c r="E154" s="544">
        <v>0</v>
      </c>
      <c r="F154" s="448"/>
      <c r="G154" s="449"/>
      <c r="H154" s="449"/>
      <c r="I154" s="449"/>
      <c r="J154" s="449"/>
      <c r="K154" s="449"/>
      <c r="L154" s="449"/>
      <c r="M154" s="449"/>
      <c r="N154" s="449"/>
      <c r="O154" s="449"/>
      <c r="P154" s="449"/>
      <c r="Q154" s="546">
        <f>SUMIF('3. PARTNER'!$B$13:$B$80,$B154,'3. PARTNER'!$F$13:$F$80)</f>
        <v>0.02</v>
      </c>
      <c r="R154" s="450">
        <f t="shared" si="387"/>
        <v>0.02</v>
      </c>
      <c r="S154" s="450">
        <f t="shared" si="387"/>
        <v>0.02</v>
      </c>
      <c r="T154" s="450">
        <f t="shared" si="387"/>
        <v>0.02</v>
      </c>
      <c r="U154" s="450">
        <f t="shared" si="387"/>
        <v>0.02</v>
      </c>
      <c r="V154" s="450">
        <f t="shared" si="387"/>
        <v>0.02</v>
      </c>
      <c r="W154" s="450">
        <f t="shared" si="387"/>
        <v>0.02</v>
      </c>
      <c r="X154" s="450">
        <f t="shared" si="387"/>
        <v>0.02</v>
      </c>
      <c r="Y154" s="450">
        <f t="shared" si="387"/>
        <v>0.02</v>
      </c>
      <c r="Z154" s="450">
        <f t="shared" si="387"/>
        <v>0.02</v>
      </c>
      <c r="AA154" s="451">
        <f>SUMIF('3. PARTNER'!B$13:B$80,B154,'3. PARTNER'!E$13:E$80)</f>
        <v>0.5595</v>
      </c>
      <c r="AB154" s="452">
        <f>IF('2. START'!$C$20="UTB",(SUMIF('3. PARTNER'!B$13:B$80,B154,'3. PARTNER'!K$13:K$80))+(SUMIF('3. PARTNER'!B$13:B$80,B154,'3. PARTNER'!M$13:M$80)),(SUMIF('3. PARTNER'!B$13:B$80,B154,'3. PARTNER'!G$13:G$80))+(SUMIF('3. PARTNER'!B$13:B$80,B154,'3. PARTNER'!I$13:I$80)))</f>
        <v>0.16000843770704321</v>
      </c>
      <c r="AC154" s="452">
        <f>IF('2. START'!$C$20="UTB",(SUMIF('3. PARTNER'!B$13:B$80,B154,'3. PARTNER'!L$13:L$80))+(SUMIF('3. PARTNER'!B$13:B$80,B154,'3. PARTNER'!N$13:N$80)),(SUMIF('3. PARTNER'!B$13:B$80,B154,'3. PARTNER'!H$13:H$80))+(SUMIF('3. PARTNER'!B$13:B$80,B154,'3. PARTNER'!J$13:J$80)))</f>
        <v>0</v>
      </c>
      <c r="AD154" s="452">
        <f>IF('2. START'!C$11="NO",'2. START'!C$12,0)</f>
        <v>0</v>
      </c>
      <c r="AE154" s="453">
        <f t="shared" si="388"/>
        <v>0</v>
      </c>
      <c r="AF154" s="453">
        <f t="shared" si="389"/>
        <v>0</v>
      </c>
      <c r="AG154" s="454"/>
      <c r="AH154" s="455">
        <f t="shared" si="390"/>
        <v>0</v>
      </c>
      <c r="AI154" s="455">
        <f t="shared" si="391"/>
        <v>0</v>
      </c>
      <c r="AJ154" s="455">
        <f t="shared" si="392"/>
        <v>0</v>
      </c>
      <c r="AK154" s="455">
        <f t="shared" si="393"/>
        <v>0</v>
      </c>
      <c r="AL154" s="455">
        <f t="shared" si="394"/>
        <v>0</v>
      </c>
      <c r="AM154" s="455">
        <f t="shared" si="395"/>
        <v>0</v>
      </c>
      <c r="AN154" s="455">
        <f t="shared" si="396"/>
        <v>0</v>
      </c>
      <c r="AO154" s="455">
        <f t="shared" si="397"/>
        <v>0</v>
      </c>
      <c r="AP154" s="455">
        <f t="shared" si="398"/>
        <v>0</v>
      </c>
      <c r="AQ154" s="455">
        <f t="shared" si="399"/>
        <v>0</v>
      </c>
      <c r="AR154" s="456">
        <f t="shared" si="400"/>
        <v>0</v>
      </c>
      <c r="AS154" s="457"/>
      <c r="AT154" s="455">
        <f t="shared" si="401"/>
        <v>0</v>
      </c>
      <c r="AU154" s="455">
        <f t="shared" si="402"/>
        <v>0</v>
      </c>
      <c r="AV154" s="455">
        <f t="shared" si="403"/>
        <v>0</v>
      </c>
      <c r="AW154" s="455">
        <f t="shared" si="404"/>
        <v>0</v>
      </c>
      <c r="AX154" s="455">
        <f t="shared" si="405"/>
        <v>0</v>
      </c>
      <c r="AY154" s="455">
        <f t="shared" si="406"/>
        <v>0</v>
      </c>
      <c r="AZ154" s="455">
        <f t="shared" si="407"/>
        <v>0</v>
      </c>
      <c r="BA154" s="455">
        <f t="shared" si="408"/>
        <v>0</v>
      </c>
      <c r="BB154" s="455">
        <f t="shared" si="409"/>
        <v>0</v>
      </c>
      <c r="BC154" s="455">
        <f t="shared" si="410"/>
        <v>0</v>
      </c>
      <c r="BD154" s="456">
        <f t="shared" si="411"/>
        <v>0</v>
      </c>
      <c r="BE154" s="457"/>
      <c r="BF154" s="455">
        <f t="shared" si="412"/>
        <v>0</v>
      </c>
      <c r="BG154" s="455">
        <f t="shared" si="413"/>
        <v>0</v>
      </c>
      <c r="BH154" s="455">
        <f t="shared" si="414"/>
        <v>0</v>
      </c>
      <c r="BI154" s="455">
        <f t="shared" si="415"/>
        <v>0</v>
      </c>
      <c r="BJ154" s="455">
        <f t="shared" si="416"/>
        <v>0</v>
      </c>
      <c r="BK154" s="455">
        <f t="shared" si="417"/>
        <v>0</v>
      </c>
      <c r="BL154" s="455">
        <f t="shared" si="418"/>
        <v>0</v>
      </c>
      <c r="BM154" s="455">
        <f t="shared" si="419"/>
        <v>0</v>
      </c>
      <c r="BN154" s="455">
        <f t="shared" si="420"/>
        <v>0</v>
      </c>
      <c r="BO154" s="455">
        <f t="shared" si="421"/>
        <v>0</v>
      </c>
      <c r="BP154" s="456">
        <f t="shared" si="422"/>
        <v>0</v>
      </c>
      <c r="BQ154" s="463"/>
      <c r="BR154" s="459">
        <f t="shared" si="423"/>
        <v>0</v>
      </c>
      <c r="BS154" s="459">
        <f t="shared" si="424"/>
        <v>0</v>
      </c>
      <c r="BT154" s="459">
        <f t="shared" si="425"/>
        <v>0</v>
      </c>
      <c r="BU154" s="459">
        <f t="shared" si="426"/>
        <v>0</v>
      </c>
      <c r="BV154" s="459">
        <f t="shared" si="427"/>
        <v>0</v>
      </c>
      <c r="BW154" s="459">
        <f t="shared" si="428"/>
        <v>0</v>
      </c>
      <c r="BX154" s="459">
        <f t="shared" si="429"/>
        <v>0</v>
      </c>
      <c r="BY154" s="459">
        <f t="shared" si="430"/>
        <v>0</v>
      </c>
      <c r="BZ154" s="459">
        <f t="shared" si="431"/>
        <v>0</v>
      </c>
      <c r="CA154" s="459">
        <f t="shared" si="432"/>
        <v>0</v>
      </c>
      <c r="CB154" s="460">
        <f t="shared" si="433"/>
        <v>0</v>
      </c>
      <c r="CC154" s="463"/>
      <c r="CD154" s="462">
        <f t="shared" si="434"/>
        <v>0</v>
      </c>
      <c r="CE154" s="462">
        <f t="shared" si="435"/>
        <v>0</v>
      </c>
      <c r="CF154" s="462">
        <f t="shared" si="436"/>
        <v>0</v>
      </c>
      <c r="CG154" s="462">
        <f t="shared" si="437"/>
        <v>0</v>
      </c>
      <c r="CH154" s="462">
        <f t="shared" si="438"/>
        <v>0</v>
      </c>
      <c r="CI154" s="462">
        <f t="shared" si="439"/>
        <v>0</v>
      </c>
      <c r="CJ154" s="462">
        <f t="shared" si="440"/>
        <v>0</v>
      </c>
      <c r="CK154" s="462">
        <f t="shared" si="441"/>
        <v>0</v>
      </c>
      <c r="CL154" s="462">
        <f t="shared" si="442"/>
        <v>0</v>
      </c>
      <c r="CM154" s="462">
        <f t="shared" si="443"/>
        <v>0</v>
      </c>
      <c r="CN154" s="460">
        <f t="shared" si="444"/>
        <v>0</v>
      </c>
      <c r="CO154" s="463"/>
      <c r="CP154" s="459">
        <f t="shared" si="445"/>
        <v>0</v>
      </c>
      <c r="CQ154" s="459">
        <f t="shared" si="446"/>
        <v>0</v>
      </c>
      <c r="CR154" s="459">
        <f t="shared" si="447"/>
        <v>0</v>
      </c>
      <c r="CS154" s="459">
        <f t="shared" si="448"/>
        <v>0</v>
      </c>
      <c r="CT154" s="459">
        <f t="shared" si="449"/>
        <v>0</v>
      </c>
      <c r="CU154" s="459">
        <f t="shared" si="450"/>
        <v>0</v>
      </c>
      <c r="CV154" s="459">
        <f t="shared" si="451"/>
        <v>0</v>
      </c>
      <c r="CW154" s="459">
        <f t="shared" si="452"/>
        <v>0</v>
      </c>
      <c r="CX154" s="459">
        <f t="shared" si="453"/>
        <v>0</v>
      </c>
      <c r="CY154" s="459">
        <f t="shared" si="454"/>
        <v>0</v>
      </c>
      <c r="CZ154" s="460">
        <f t="shared" si="455"/>
        <v>0</v>
      </c>
      <c r="DA154" s="463"/>
      <c r="DB154" s="459">
        <f t="shared" si="456"/>
        <v>0</v>
      </c>
      <c r="DC154" s="459">
        <f t="shared" si="457"/>
        <v>0</v>
      </c>
      <c r="DD154" s="459">
        <f t="shared" si="458"/>
        <v>0</v>
      </c>
      <c r="DE154" s="459">
        <f t="shared" si="459"/>
        <v>0</v>
      </c>
      <c r="DF154" s="459">
        <f t="shared" si="460"/>
        <v>0</v>
      </c>
      <c r="DG154" s="459">
        <f t="shared" si="461"/>
        <v>0</v>
      </c>
      <c r="DH154" s="459">
        <f t="shared" si="462"/>
        <v>0</v>
      </c>
      <c r="DI154" s="459">
        <f t="shared" si="463"/>
        <v>0</v>
      </c>
      <c r="DJ154" s="459">
        <f t="shared" si="464"/>
        <v>0</v>
      </c>
      <c r="DK154" s="459">
        <f t="shared" si="465"/>
        <v>0</v>
      </c>
      <c r="DL154" s="460">
        <f t="shared" si="466"/>
        <v>0</v>
      </c>
      <c r="DM154" s="463"/>
      <c r="DN154" s="442">
        <f>IF('2. START'!$C$14&gt;0,(AT154/(1+$AA154))*(1+'2. START'!$C$14),AT154)</f>
        <v>0</v>
      </c>
      <c r="DO154" s="442">
        <f>IF('2. START'!$C$14&gt;0,(AU154/(1+$AA154))*(1+'2. START'!$C$14),AU154)</f>
        <v>0</v>
      </c>
      <c r="DP154" s="442">
        <f>IF('2. START'!$C$14&gt;0,(AV154/(1+$AA154))*(1+'2. START'!$C$14),AV154)</f>
        <v>0</v>
      </c>
      <c r="DQ154" s="442">
        <f>IF('2. START'!$C$14&gt;0,(AW154/(1+$AA154))*(1+'2. START'!$C$14),AW154)</f>
        <v>0</v>
      </c>
      <c r="DR154" s="442">
        <f>IF('2. START'!$C$14&gt;0,(AX154/(1+$AA154))*(1+'2. START'!$C$14),AX154)</f>
        <v>0</v>
      </c>
      <c r="DS154" s="442">
        <f>IF('2. START'!$C$14&gt;0,(AY154/(1+$AA154))*(1+'2. START'!$C$14),AY154)</f>
        <v>0</v>
      </c>
      <c r="DT154" s="442">
        <f>IF('2. START'!$C$14&gt;0,(AZ154/(1+$AA154))*(1+'2. START'!$C$14),AZ154)</f>
        <v>0</v>
      </c>
      <c r="DU154" s="442">
        <f>IF('2. START'!$C$14&gt;0,(BA154/(1+$AA154))*(1+'2. START'!$C$14),BA154)</f>
        <v>0</v>
      </c>
      <c r="DV154" s="442">
        <f>IF('2. START'!$C$14&gt;0,(BB154/(1+$AA154))*(1+'2. START'!$C$14),BB154)</f>
        <v>0</v>
      </c>
      <c r="DW154" s="442">
        <f>IF('2. START'!$C$14&gt;0,(BC154/(1+$AA154))*(1+'2. START'!$C$14),BC154)</f>
        <v>0</v>
      </c>
      <c r="DX154" s="460">
        <f t="shared" si="467"/>
        <v>0</v>
      </c>
      <c r="DY154" s="463"/>
      <c r="DZ154" s="459">
        <f>IF('2. START'!$C$11="NO",(IF('2. START'!$C$14&gt;0,(DN154*$AD154),(AT154*$AD154))),(BR154+CP154))</f>
        <v>0</v>
      </c>
      <c r="EA154" s="459">
        <f>IF('2. START'!$C$11="NO",(IF('2. START'!$C$14&gt;0,(DO154*$AD154),(AU154*$AD154))),(BS154+CQ154))</f>
        <v>0</v>
      </c>
      <c r="EB154" s="459">
        <f>IF('2. START'!$C$11="NO",(IF('2. START'!$C$14&gt;0,(DP154*$AD154),(AV154*$AD154))),(BT154+CR154))</f>
        <v>0</v>
      </c>
      <c r="EC154" s="459">
        <f>IF('2. START'!$C$11="NO",(IF('2. START'!$C$14&gt;0,(DQ154*$AD154),(AW154*$AD154))),(BU154+CS154))</f>
        <v>0</v>
      </c>
      <c r="ED154" s="459">
        <f>IF('2. START'!$C$11="NO",(IF('2. START'!$C$14&gt;0,(DR154*$AD154),(AX154*$AD154))),(BV154+CT154))</f>
        <v>0</v>
      </c>
      <c r="EE154" s="459">
        <f>IF('2. START'!$C$11="NO",(IF('2. START'!$C$14&gt;0,(DS154*$AD154),(AY154*$AD154))),(BW154+CU154))</f>
        <v>0</v>
      </c>
      <c r="EF154" s="459">
        <f>IF('2. START'!$C$11="NO",(IF('2. START'!$C$14&gt;0,(DT154*$AD154),(AZ154*$AD154))),(BX154+CV154))</f>
        <v>0</v>
      </c>
      <c r="EG154" s="459">
        <f>IF('2. START'!$C$11="NO",(IF('2. START'!$C$14&gt;0,(DU154*$AD154),(BA154*$AD154))),(BY154+CW154))</f>
        <v>0</v>
      </c>
      <c r="EH154" s="459">
        <f>IF('2. START'!$C$11="NO",(IF('2. START'!$C$14&gt;0,(DV154*$AD154),(BB154*$AD154))),(BZ154+CX154))</f>
        <v>0</v>
      </c>
      <c r="EI154" s="459">
        <f>IF('2. START'!$C$11="NO",(IF('2. START'!$C$14&gt;0,(DW154*$AD154),(BC154*$AD154))),(CA154+CY154))</f>
        <v>0</v>
      </c>
      <c r="EJ154" s="460">
        <f t="shared" si="468"/>
        <v>0</v>
      </c>
      <c r="EK154" s="463"/>
      <c r="EL154" s="459">
        <f>(BR154+CP154-DZ154)+IF('2. START'!$C$14&gt;0,AT154-DN154,0)</f>
        <v>0</v>
      </c>
      <c r="EM154" s="459">
        <f>(BS154+CQ154-EA154)+IF('2. START'!$C$14&gt;0,AU154-DO154,0)</f>
        <v>0</v>
      </c>
      <c r="EN154" s="459">
        <f>(BT154+CR154-EB154)+IF('2. START'!$C$14&gt;0,AV154-DP154,0)</f>
        <v>0</v>
      </c>
      <c r="EO154" s="459">
        <f>(BU154+CS154-EC154)+IF('2. START'!$C$14&gt;0,AW154-DQ154,0)</f>
        <v>0</v>
      </c>
      <c r="EP154" s="459">
        <f>(BV154+CT154-ED154)+IF('2. START'!$C$14&gt;0,AX154-DR154,0)</f>
        <v>0</v>
      </c>
      <c r="EQ154" s="459">
        <f>(BW154+CU154-EE154)+IF('2. START'!$C$14&gt;0,AY154-DS154,0)</f>
        <v>0</v>
      </c>
      <c r="ER154" s="459">
        <f>(BX154+CV154-EF154)+IF('2. START'!$C$14&gt;0,AZ154-DT154,0)</f>
        <v>0</v>
      </c>
      <c r="ES154" s="459">
        <f>(BY154+CW154-EG154)+IF('2. START'!$C$14&gt;0,BA154-DU154,0)</f>
        <v>0</v>
      </c>
      <c r="ET154" s="459">
        <f>(BZ154+CX154-EH154)+IF('2. START'!$C$14&gt;0,BB154-DV154,0)</f>
        <v>0</v>
      </c>
      <c r="EU154" s="459">
        <f>(CA154+CY154-EI154)+IF('2. START'!$C$14&gt;0,BC154-DW154,0)</f>
        <v>0</v>
      </c>
      <c r="EV154" s="460">
        <f t="shared" si="469"/>
        <v>0</v>
      </c>
      <c r="EW154" s="463"/>
      <c r="EX154" s="459">
        <f t="shared" si="470"/>
        <v>0</v>
      </c>
      <c r="EY154" s="459">
        <f t="shared" si="471"/>
        <v>0</v>
      </c>
      <c r="EZ154" s="459">
        <f t="shared" si="472"/>
        <v>0</v>
      </c>
      <c r="FA154" s="459">
        <f t="shared" si="473"/>
        <v>0</v>
      </c>
      <c r="FB154" s="459">
        <f t="shared" si="474"/>
        <v>0</v>
      </c>
      <c r="FC154" s="459">
        <f t="shared" si="475"/>
        <v>0</v>
      </c>
      <c r="FD154" s="459">
        <f t="shared" si="476"/>
        <v>0</v>
      </c>
      <c r="FE154" s="459">
        <f t="shared" si="477"/>
        <v>0</v>
      </c>
      <c r="FF154" s="459">
        <f t="shared" si="478"/>
        <v>0</v>
      </c>
      <c r="FG154" s="459">
        <f t="shared" si="479"/>
        <v>0</v>
      </c>
      <c r="FH154" s="460">
        <f t="shared" si="480"/>
        <v>0</v>
      </c>
      <c r="FI154" s="463"/>
      <c r="FJ154" s="459">
        <f t="shared" si="481"/>
        <v>0</v>
      </c>
      <c r="FK154" s="459">
        <f t="shared" si="482"/>
        <v>0</v>
      </c>
      <c r="FL154" s="459">
        <f t="shared" si="483"/>
        <v>0</v>
      </c>
      <c r="FM154" s="459">
        <f t="shared" si="484"/>
        <v>0</v>
      </c>
      <c r="FN154" s="459">
        <f t="shared" si="485"/>
        <v>0</v>
      </c>
      <c r="FO154" s="459">
        <f t="shared" si="486"/>
        <v>0</v>
      </c>
      <c r="FP154" s="459">
        <f t="shared" si="487"/>
        <v>0</v>
      </c>
      <c r="FQ154" s="459">
        <f t="shared" si="488"/>
        <v>0</v>
      </c>
      <c r="FR154" s="459">
        <f t="shared" si="489"/>
        <v>0</v>
      </c>
      <c r="FS154" s="459">
        <f t="shared" si="490"/>
        <v>0</v>
      </c>
      <c r="FT154" s="460">
        <f t="shared" si="491"/>
        <v>0</v>
      </c>
    </row>
    <row r="155" spans="2:176" s="270" customFormat="1" ht="15" customHeight="1" x14ac:dyDescent="0.25">
      <c r="B155" s="464" t="str">
        <f>'2. START'!C$7</f>
        <v>100GEM</v>
      </c>
      <c r="C155" s="470"/>
      <c r="D155" s="590"/>
      <c r="E155" s="514">
        <v>0</v>
      </c>
      <c r="F155" s="467"/>
      <c r="G155" s="432"/>
      <c r="H155" s="432"/>
      <c r="I155" s="432"/>
      <c r="J155" s="432"/>
      <c r="K155" s="432"/>
      <c r="L155" s="432"/>
      <c r="M155" s="432"/>
      <c r="N155" s="432"/>
      <c r="O155" s="432"/>
      <c r="P155" s="432"/>
      <c r="Q155" s="545">
        <f>SUMIF('3. PARTNER'!$B$13:$B$80,$B155,'3. PARTNER'!$F$13:$F$80)</f>
        <v>0.02</v>
      </c>
      <c r="R155" s="466">
        <f t="shared" si="387"/>
        <v>0.02</v>
      </c>
      <c r="S155" s="466">
        <f t="shared" si="387"/>
        <v>0.02</v>
      </c>
      <c r="T155" s="466">
        <f t="shared" si="387"/>
        <v>0.02</v>
      </c>
      <c r="U155" s="466">
        <f t="shared" si="387"/>
        <v>0.02</v>
      </c>
      <c r="V155" s="466">
        <f t="shared" si="387"/>
        <v>0.02</v>
      </c>
      <c r="W155" s="466">
        <f t="shared" si="387"/>
        <v>0.02</v>
      </c>
      <c r="X155" s="466">
        <f t="shared" si="387"/>
        <v>0.02</v>
      </c>
      <c r="Y155" s="466">
        <f t="shared" si="387"/>
        <v>0.02</v>
      </c>
      <c r="Z155" s="466">
        <f t="shared" si="387"/>
        <v>0.02</v>
      </c>
      <c r="AA155" s="434">
        <f>SUMIF('3. PARTNER'!B$13:B$80,B155,'3. PARTNER'!E$13:E$80)</f>
        <v>0.5595</v>
      </c>
      <c r="AB155" s="435">
        <f>IF('2. START'!$C$20="UTB",(SUMIF('3. PARTNER'!B$13:B$80,B155,'3. PARTNER'!K$13:K$80))+(SUMIF('3. PARTNER'!B$13:B$80,B155,'3. PARTNER'!M$13:M$80)),(SUMIF('3. PARTNER'!B$13:B$80,B155,'3. PARTNER'!G$13:G$80))+(SUMIF('3. PARTNER'!B$13:B$80,B155,'3. PARTNER'!I$13:I$80)))</f>
        <v>0.16000843770704321</v>
      </c>
      <c r="AC155" s="435">
        <f>IF('2. START'!$C$20="UTB",(SUMIF('3. PARTNER'!B$13:B$80,B155,'3. PARTNER'!L$13:L$80))+(SUMIF('3. PARTNER'!B$13:B$80,B155,'3. PARTNER'!N$13:N$80)),(SUMIF('3. PARTNER'!B$13:B$80,B155,'3. PARTNER'!H$13:H$80))+(SUMIF('3. PARTNER'!B$13:B$80,B155,'3. PARTNER'!J$13:J$80)))</f>
        <v>0</v>
      </c>
      <c r="AD155" s="435">
        <f>IF('2. START'!C$11="NO",'2. START'!C$12,0)</f>
        <v>0</v>
      </c>
      <c r="AE155" s="436">
        <f t="shared" si="388"/>
        <v>0</v>
      </c>
      <c r="AF155" s="436">
        <f t="shared" si="389"/>
        <v>0</v>
      </c>
      <c r="AG155" s="437"/>
      <c r="AH155" s="438">
        <f t="shared" si="390"/>
        <v>0</v>
      </c>
      <c r="AI155" s="438">
        <f t="shared" si="391"/>
        <v>0</v>
      </c>
      <c r="AJ155" s="438">
        <f t="shared" si="392"/>
        <v>0</v>
      </c>
      <c r="AK155" s="438">
        <f t="shared" si="393"/>
        <v>0</v>
      </c>
      <c r="AL155" s="438">
        <f t="shared" si="394"/>
        <v>0</v>
      </c>
      <c r="AM155" s="438">
        <f t="shared" si="395"/>
        <v>0</v>
      </c>
      <c r="AN155" s="438">
        <f t="shared" si="396"/>
        <v>0</v>
      </c>
      <c r="AO155" s="438">
        <f t="shared" si="397"/>
        <v>0</v>
      </c>
      <c r="AP155" s="438">
        <f t="shared" si="398"/>
        <v>0</v>
      </c>
      <c r="AQ155" s="438">
        <f t="shared" si="399"/>
        <v>0</v>
      </c>
      <c r="AR155" s="439">
        <f t="shared" si="400"/>
        <v>0</v>
      </c>
      <c r="AS155" s="440"/>
      <c r="AT155" s="438">
        <f t="shared" si="401"/>
        <v>0</v>
      </c>
      <c r="AU155" s="438">
        <f t="shared" si="402"/>
        <v>0</v>
      </c>
      <c r="AV155" s="438">
        <f t="shared" si="403"/>
        <v>0</v>
      </c>
      <c r="AW155" s="438">
        <f t="shared" si="404"/>
        <v>0</v>
      </c>
      <c r="AX155" s="438">
        <f t="shared" si="405"/>
        <v>0</v>
      </c>
      <c r="AY155" s="438">
        <f t="shared" si="406"/>
        <v>0</v>
      </c>
      <c r="AZ155" s="438">
        <f t="shared" si="407"/>
        <v>0</v>
      </c>
      <c r="BA155" s="438">
        <f t="shared" si="408"/>
        <v>0</v>
      </c>
      <c r="BB155" s="438">
        <f t="shared" si="409"/>
        <v>0</v>
      </c>
      <c r="BC155" s="438">
        <f t="shared" si="410"/>
        <v>0</v>
      </c>
      <c r="BD155" s="439">
        <f t="shared" si="411"/>
        <v>0</v>
      </c>
      <c r="BE155" s="440"/>
      <c r="BF155" s="438">
        <f t="shared" si="412"/>
        <v>0</v>
      </c>
      <c r="BG155" s="438">
        <f t="shared" si="413"/>
        <v>0</v>
      </c>
      <c r="BH155" s="438">
        <f t="shared" si="414"/>
        <v>0</v>
      </c>
      <c r="BI155" s="438">
        <f t="shared" si="415"/>
        <v>0</v>
      </c>
      <c r="BJ155" s="438">
        <f t="shared" si="416"/>
        <v>0</v>
      </c>
      <c r="BK155" s="438">
        <f t="shared" si="417"/>
        <v>0</v>
      </c>
      <c r="BL155" s="438">
        <f t="shared" si="418"/>
        <v>0</v>
      </c>
      <c r="BM155" s="438">
        <f t="shared" si="419"/>
        <v>0</v>
      </c>
      <c r="BN155" s="438">
        <f t="shared" si="420"/>
        <v>0</v>
      </c>
      <c r="BO155" s="438">
        <f t="shared" si="421"/>
        <v>0</v>
      </c>
      <c r="BP155" s="439">
        <f t="shared" si="422"/>
        <v>0</v>
      </c>
      <c r="BR155" s="442">
        <f t="shared" si="423"/>
        <v>0</v>
      </c>
      <c r="BS155" s="442">
        <f t="shared" si="424"/>
        <v>0</v>
      </c>
      <c r="BT155" s="442">
        <f t="shared" si="425"/>
        <v>0</v>
      </c>
      <c r="BU155" s="442">
        <f t="shared" si="426"/>
        <v>0</v>
      </c>
      <c r="BV155" s="442">
        <f t="shared" si="427"/>
        <v>0</v>
      </c>
      <c r="BW155" s="442">
        <f t="shared" si="428"/>
        <v>0</v>
      </c>
      <c r="BX155" s="442">
        <f t="shared" si="429"/>
        <v>0</v>
      </c>
      <c r="BY155" s="442">
        <f t="shared" si="430"/>
        <v>0</v>
      </c>
      <c r="BZ155" s="442">
        <f t="shared" si="431"/>
        <v>0</v>
      </c>
      <c r="CA155" s="442">
        <f t="shared" si="432"/>
        <v>0</v>
      </c>
      <c r="CB155" s="443">
        <f t="shared" si="433"/>
        <v>0</v>
      </c>
      <c r="CD155" s="445">
        <f t="shared" si="434"/>
        <v>0</v>
      </c>
      <c r="CE155" s="445">
        <f t="shared" si="435"/>
        <v>0</v>
      </c>
      <c r="CF155" s="445">
        <f t="shared" si="436"/>
        <v>0</v>
      </c>
      <c r="CG155" s="445">
        <f t="shared" si="437"/>
        <v>0</v>
      </c>
      <c r="CH155" s="445">
        <f t="shared" si="438"/>
        <v>0</v>
      </c>
      <c r="CI155" s="445">
        <f t="shared" si="439"/>
        <v>0</v>
      </c>
      <c r="CJ155" s="445">
        <f t="shared" si="440"/>
        <v>0</v>
      </c>
      <c r="CK155" s="445">
        <f t="shared" si="441"/>
        <v>0</v>
      </c>
      <c r="CL155" s="445">
        <f t="shared" si="442"/>
        <v>0</v>
      </c>
      <c r="CM155" s="445">
        <f t="shared" si="443"/>
        <v>0</v>
      </c>
      <c r="CN155" s="443">
        <f t="shared" si="444"/>
        <v>0</v>
      </c>
      <c r="CP155" s="442">
        <f t="shared" si="445"/>
        <v>0</v>
      </c>
      <c r="CQ155" s="442">
        <f t="shared" si="446"/>
        <v>0</v>
      </c>
      <c r="CR155" s="442">
        <f t="shared" si="447"/>
        <v>0</v>
      </c>
      <c r="CS155" s="442">
        <f t="shared" si="448"/>
        <v>0</v>
      </c>
      <c r="CT155" s="442">
        <f t="shared" si="449"/>
        <v>0</v>
      </c>
      <c r="CU155" s="442">
        <f t="shared" si="450"/>
        <v>0</v>
      </c>
      <c r="CV155" s="442">
        <f t="shared" si="451"/>
        <v>0</v>
      </c>
      <c r="CW155" s="442">
        <f t="shared" si="452"/>
        <v>0</v>
      </c>
      <c r="CX155" s="442">
        <f t="shared" si="453"/>
        <v>0</v>
      </c>
      <c r="CY155" s="442">
        <f t="shared" si="454"/>
        <v>0</v>
      </c>
      <c r="CZ155" s="443">
        <f t="shared" si="455"/>
        <v>0</v>
      </c>
      <c r="DB155" s="442">
        <f t="shared" si="456"/>
        <v>0</v>
      </c>
      <c r="DC155" s="442">
        <f t="shared" si="457"/>
        <v>0</v>
      </c>
      <c r="DD155" s="442">
        <f t="shared" si="458"/>
        <v>0</v>
      </c>
      <c r="DE155" s="442">
        <f t="shared" si="459"/>
        <v>0</v>
      </c>
      <c r="DF155" s="442">
        <f t="shared" si="460"/>
        <v>0</v>
      </c>
      <c r="DG155" s="442">
        <f t="shared" si="461"/>
        <v>0</v>
      </c>
      <c r="DH155" s="442">
        <f t="shared" si="462"/>
        <v>0</v>
      </c>
      <c r="DI155" s="442">
        <f t="shared" si="463"/>
        <v>0</v>
      </c>
      <c r="DJ155" s="442">
        <f t="shared" si="464"/>
        <v>0</v>
      </c>
      <c r="DK155" s="442">
        <f t="shared" si="465"/>
        <v>0</v>
      </c>
      <c r="DL155" s="443">
        <f t="shared" si="466"/>
        <v>0</v>
      </c>
      <c r="DN155" s="442">
        <f>IF('2. START'!$C$14&gt;0,(AT155/(1+$AA155))*(1+'2. START'!$C$14),AT155)</f>
        <v>0</v>
      </c>
      <c r="DO155" s="442">
        <f>IF('2. START'!$C$14&gt;0,(AU155/(1+$AA155))*(1+'2. START'!$C$14),AU155)</f>
        <v>0</v>
      </c>
      <c r="DP155" s="442">
        <f>IF('2. START'!$C$14&gt;0,(AV155/(1+$AA155))*(1+'2. START'!$C$14),AV155)</f>
        <v>0</v>
      </c>
      <c r="DQ155" s="442">
        <f>IF('2. START'!$C$14&gt;0,(AW155/(1+$AA155))*(1+'2. START'!$C$14),AW155)</f>
        <v>0</v>
      </c>
      <c r="DR155" s="442">
        <f>IF('2. START'!$C$14&gt;0,(AX155/(1+$AA155))*(1+'2. START'!$C$14),AX155)</f>
        <v>0</v>
      </c>
      <c r="DS155" s="442">
        <f>IF('2. START'!$C$14&gt;0,(AY155/(1+$AA155))*(1+'2. START'!$C$14),AY155)</f>
        <v>0</v>
      </c>
      <c r="DT155" s="442">
        <f>IF('2. START'!$C$14&gt;0,(AZ155/(1+$AA155))*(1+'2. START'!$C$14),AZ155)</f>
        <v>0</v>
      </c>
      <c r="DU155" s="442">
        <f>IF('2. START'!$C$14&gt;0,(BA155/(1+$AA155))*(1+'2. START'!$C$14),BA155)</f>
        <v>0</v>
      </c>
      <c r="DV155" s="442">
        <f>IF('2. START'!$C$14&gt;0,(BB155/(1+$AA155))*(1+'2. START'!$C$14),BB155)</f>
        <v>0</v>
      </c>
      <c r="DW155" s="442">
        <f>IF('2. START'!$C$14&gt;0,(BC155/(1+$AA155))*(1+'2. START'!$C$14),BC155)</f>
        <v>0</v>
      </c>
      <c r="DX155" s="443">
        <f t="shared" si="467"/>
        <v>0</v>
      </c>
      <c r="DZ155" s="442">
        <f>IF('2. START'!$C$11="NO",(IF('2. START'!$C$14&gt;0,(DN155*$AD155),(AT155*$AD155))),(BR155+CP155))</f>
        <v>0</v>
      </c>
      <c r="EA155" s="442">
        <f>IF('2. START'!$C$11="NO",(IF('2. START'!$C$14&gt;0,(DO155*$AD155),(AU155*$AD155))),(BS155+CQ155))</f>
        <v>0</v>
      </c>
      <c r="EB155" s="442">
        <f>IF('2. START'!$C$11="NO",(IF('2. START'!$C$14&gt;0,(DP155*$AD155),(AV155*$AD155))),(BT155+CR155))</f>
        <v>0</v>
      </c>
      <c r="EC155" s="442">
        <f>IF('2. START'!$C$11="NO",(IF('2. START'!$C$14&gt;0,(DQ155*$AD155),(AW155*$AD155))),(BU155+CS155))</f>
        <v>0</v>
      </c>
      <c r="ED155" s="442">
        <f>IF('2. START'!$C$11="NO",(IF('2. START'!$C$14&gt;0,(DR155*$AD155),(AX155*$AD155))),(BV155+CT155))</f>
        <v>0</v>
      </c>
      <c r="EE155" s="442">
        <f>IF('2. START'!$C$11="NO",(IF('2. START'!$C$14&gt;0,(DS155*$AD155),(AY155*$AD155))),(BW155+CU155))</f>
        <v>0</v>
      </c>
      <c r="EF155" s="442">
        <f>IF('2. START'!$C$11="NO",(IF('2. START'!$C$14&gt;0,(DT155*$AD155),(AZ155*$AD155))),(BX155+CV155))</f>
        <v>0</v>
      </c>
      <c r="EG155" s="442">
        <f>IF('2. START'!$C$11="NO",(IF('2. START'!$C$14&gt;0,(DU155*$AD155),(BA155*$AD155))),(BY155+CW155))</f>
        <v>0</v>
      </c>
      <c r="EH155" s="442">
        <f>IF('2. START'!$C$11="NO",(IF('2. START'!$C$14&gt;0,(DV155*$AD155),(BB155*$AD155))),(BZ155+CX155))</f>
        <v>0</v>
      </c>
      <c r="EI155" s="442">
        <f>IF('2. START'!$C$11="NO",(IF('2. START'!$C$14&gt;0,(DW155*$AD155),(BC155*$AD155))),(CA155+CY155))</f>
        <v>0</v>
      </c>
      <c r="EJ155" s="443">
        <f t="shared" si="468"/>
        <v>0</v>
      </c>
      <c r="EL155" s="442">
        <f>(BR155+CP155-DZ155)+IF('2. START'!$C$14&gt;0,AT155-DN155,0)</f>
        <v>0</v>
      </c>
      <c r="EM155" s="442">
        <f>(BS155+CQ155-EA155)+IF('2. START'!$C$14&gt;0,AU155-DO155,0)</f>
        <v>0</v>
      </c>
      <c r="EN155" s="442">
        <f>(BT155+CR155-EB155)+IF('2. START'!$C$14&gt;0,AV155-DP155,0)</f>
        <v>0</v>
      </c>
      <c r="EO155" s="442">
        <f>(BU155+CS155-EC155)+IF('2. START'!$C$14&gt;0,AW155-DQ155,0)</f>
        <v>0</v>
      </c>
      <c r="EP155" s="442">
        <f>(BV155+CT155-ED155)+IF('2. START'!$C$14&gt;0,AX155-DR155,0)</f>
        <v>0</v>
      </c>
      <c r="EQ155" s="442">
        <f>(BW155+CU155-EE155)+IF('2. START'!$C$14&gt;0,AY155-DS155,0)</f>
        <v>0</v>
      </c>
      <c r="ER155" s="442">
        <f>(BX155+CV155-EF155)+IF('2. START'!$C$14&gt;0,AZ155-DT155,0)</f>
        <v>0</v>
      </c>
      <c r="ES155" s="442">
        <f>(BY155+CW155-EG155)+IF('2. START'!$C$14&gt;0,BA155-DU155,0)</f>
        <v>0</v>
      </c>
      <c r="ET155" s="442">
        <f>(BZ155+CX155-EH155)+IF('2. START'!$C$14&gt;0,BB155-DV155,0)</f>
        <v>0</v>
      </c>
      <c r="EU155" s="442">
        <f>(CA155+CY155-EI155)+IF('2. START'!$C$14&gt;0,BC155-DW155,0)</f>
        <v>0</v>
      </c>
      <c r="EV155" s="443">
        <f t="shared" si="469"/>
        <v>0</v>
      </c>
      <c r="EX155" s="442">
        <f t="shared" si="470"/>
        <v>0</v>
      </c>
      <c r="EY155" s="442">
        <f t="shared" si="471"/>
        <v>0</v>
      </c>
      <c r="EZ155" s="442">
        <f t="shared" si="472"/>
        <v>0</v>
      </c>
      <c r="FA155" s="442">
        <f t="shared" si="473"/>
        <v>0</v>
      </c>
      <c r="FB155" s="442">
        <f t="shared" si="474"/>
        <v>0</v>
      </c>
      <c r="FC155" s="442">
        <f t="shared" si="475"/>
        <v>0</v>
      </c>
      <c r="FD155" s="442">
        <f t="shared" si="476"/>
        <v>0</v>
      </c>
      <c r="FE155" s="442">
        <f t="shared" si="477"/>
        <v>0</v>
      </c>
      <c r="FF155" s="442">
        <f t="shared" si="478"/>
        <v>0</v>
      </c>
      <c r="FG155" s="442">
        <f t="shared" si="479"/>
        <v>0</v>
      </c>
      <c r="FH155" s="443">
        <f t="shared" si="480"/>
        <v>0</v>
      </c>
      <c r="FJ155" s="442">
        <f t="shared" si="481"/>
        <v>0</v>
      </c>
      <c r="FK155" s="442">
        <f t="shared" si="482"/>
        <v>0</v>
      </c>
      <c r="FL155" s="442">
        <f t="shared" si="483"/>
        <v>0</v>
      </c>
      <c r="FM155" s="442">
        <f t="shared" si="484"/>
        <v>0</v>
      </c>
      <c r="FN155" s="442">
        <f t="shared" si="485"/>
        <v>0</v>
      </c>
      <c r="FO155" s="442">
        <f t="shared" si="486"/>
        <v>0</v>
      </c>
      <c r="FP155" s="442">
        <f t="shared" si="487"/>
        <v>0</v>
      </c>
      <c r="FQ155" s="442">
        <f t="shared" si="488"/>
        <v>0</v>
      </c>
      <c r="FR155" s="442">
        <f t="shared" si="489"/>
        <v>0</v>
      </c>
      <c r="FS155" s="442">
        <f t="shared" si="490"/>
        <v>0</v>
      </c>
      <c r="FT155" s="443">
        <f t="shared" si="491"/>
        <v>0</v>
      </c>
    </row>
    <row r="156" spans="2:176" s="270" customFormat="1" ht="15" customHeight="1" x14ac:dyDescent="0.25">
      <c r="B156" s="446" t="str">
        <f>'2. START'!C$7</f>
        <v>100GEM</v>
      </c>
      <c r="C156" s="469"/>
      <c r="D156" s="589"/>
      <c r="E156" s="544">
        <v>0</v>
      </c>
      <c r="F156" s="448"/>
      <c r="G156" s="449"/>
      <c r="H156" s="449"/>
      <c r="I156" s="449"/>
      <c r="J156" s="449"/>
      <c r="K156" s="449"/>
      <c r="L156" s="449"/>
      <c r="M156" s="449"/>
      <c r="N156" s="449"/>
      <c r="O156" s="449"/>
      <c r="P156" s="449"/>
      <c r="Q156" s="546">
        <f>SUMIF('3. PARTNER'!$B$13:$B$80,$B156,'3. PARTNER'!$F$13:$F$80)</f>
        <v>0.02</v>
      </c>
      <c r="R156" s="450">
        <f t="shared" si="387"/>
        <v>0.02</v>
      </c>
      <c r="S156" s="450">
        <f t="shared" si="387"/>
        <v>0.02</v>
      </c>
      <c r="T156" s="450">
        <f t="shared" si="387"/>
        <v>0.02</v>
      </c>
      <c r="U156" s="450">
        <f t="shared" si="387"/>
        <v>0.02</v>
      </c>
      <c r="V156" s="450">
        <f t="shared" si="387"/>
        <v>0.02</v>
      </c>
      <c r="W156" s="450">
        <f t="shared" si="387"/>
        <v>0.02</v>
      </c>
      <c r="X156" s="450">
        <f t="shared" si="387"/>
        <v>0.02</v>
      </c>
      <c r="Y156" s="450">
        <f t="shared" si="387"/>
        <v>0.02</v>
      </c>
      <c r="Z156" s="450">
        <f t="shared" si="387"/>
        <v>0.02</v>
      </c>
      <c r="AA156" s="451">
        <f>SUMIF('3. PARTNER'!B$13:B$80,B156,'3. PARTNER'!E$13:E$80)</f>
        <v>0.5595</v>
      </c>
      <c r="AB156" s="452">
        <f>IF('2. START'!$C$20="UTB",(SUMIF('3. PARTNER'!B$13:B$80,B156,'3. PARTNER'!K$13:K$80))+(SUMIF('3. PARTNER'!B$13:B$80,B156,'3. PARTNER'!M$13:M$80)),(SUMIF('3. PARTNER'!B$13:B$80,B156,'3. PARTNER'!G$13:G$80))+(SUMIF('3. PARTNER'!B$13:B$80,B156,'3. PARTNER'!I$13:I$80)))</f>
        <v>0.16000843770704321</v>
      </c>
      <c r="AC156" s="452">
        <f>IF('2. START'!$C$20="UTB",(SUMIF('3. PARTNER'!B$13:B$80,B156,'3. PARTNER'!L$13:L$80))+(SUMIF('3. PARTNER'!B$13:B$80,B156,'3. PARTNER'!N$13:N$80)),(SUMIF('3. PARTNER'!B$13:B$80,B156,'3. PARTNER'!H$13:H$80))+(SUMIF('3. PARTNER'!B$13:B$80,B156,'3. PARTNER'!J$13:J$80)))</f>
        <v>0</v>
      </c>
      <c r="AD156" s="452">
        <f>IF('2. START'!C$11="NO",'2. START'!C$12,0)</f>
        <v>0</v>
      </c>
      <c r="AE156" s="453">
        <f t="shared" si="388"/>
        <v>0</v>
      </c>
      <c r="AF156" s="453">
        <f t="shared" si="389"/>
        <v>0</v>
      </c>
      <c r="AG156" s="454"/>
      <c r="AH156" s="455">
        <f t="shared" si="390"/>
        <v>0</v>
      </c>
      <c r="AI156" s="455">
        <f t="shared" si="391"/>
        <v>0</v>
      </c>
      <c r="AJ156" s="455">
        <f t="shared" si="392"/>
        <v>0</v>
      </c>
      <c r="AK156" s="455">
        <f t="shared" si="393"/>
        <v>0</v>
      </c>
      <c r="AL156" s="455">
        <f t="shared" si="394"/>
        <v>0</v>
      </c>
      <c r="AM156" s="455">
        <f t="shared" si="395"/>
        <v>0</v>
      </c>
      <c r="AN156" s="455">
        <f t="shared" si="396"/>
        <v>0</v>
      </c>
      <c r="AO156" s="455">
        <f t="shared" si="397"/>
        <v>0</v>
      </c>
      <c r="AP156" s="455">
        <f t="shared" si="398"/>
        <v>0</v>
      </c>
      <c r="AQ156" s="455">
        <f t="shared" si="399"/>
        <v>0</v>
      </c>
      <c r="AR156" s="456">
        <f t="shared" si="400"/>
        <v>0</v>
      </c>
      <c r="AS156" s="457"/>
      <c r="AT156" s="455">
        <f t="shared" si="401"/>
        <v>0</v>
      </c>
      <c r="AU156" s="455">
        <f t="shared" si="402"/>
        <v>0</v>
      </c>
      <c r="AV156" s="455">
        <f t="shared" si="403"/>
        <v>0</v>
      </c>
      <c r="AW156" s="455">
        <f t="shared" si="404"/>
        <v>0</v>
      </c>
      <c r="AX156" s="455">
        <f t="shared" si="405"/>
        <v>0</v>
      </c>
      <c r="AY156" s="455">
        <f t="shared" si="406"/>
        <v>0</v>
      </c>
      <c r="AZ156" s="455">
        <f t="shared" si="407"/>
        <v>0</v>
      </c>
      <c r="BA156" s="455">
        <f t="shared" si="408"/>
        <v>0</v>
      </c>
      <c r="BB156" s="455">
        <f t="shared" si="409"/>
        <v>0</v>
      </c>
      <c r="BC156" s="455">
        <f t="shared" si="410"/>
        <v>0</v>
      </c>
      <c r="BD156" s="456">
        <f t="shared" si="411"/>
        <v>0</v>
      </c>
      <c r="BE156" s="457"/>
      <c r="BF156" s="455">
        <f t="shared" si="412"/>
        <v>0</v>
      </c>
      <c r="BG156" s="455">
        <f t="shared" si="413"/>
        <v>0</v>
      </c>
      <c r="BH156" s="455">
        <f t="shared" si="414"/>
        <v>0</v>
      </c>
      <c r="BI156" s="455">
        <f t="shared" si="415"/>
        <v>0</v>
      </c>
      <c r="BJ156" s="455">
        <f t="shared" si="416"/>
        <v>0</v>
      </c>
      <c r="BK156" s="455">
        <f t="shared" si="417"/>
        <v>0</v>
      </c>
      <c r="BL156" s="455">
        <f t="shared" si="418"/>
        <v>0</v>
      </c>
      <c r="BM156" s="455">
        <f t="shared" si="419"/>
        <v>0</v>
      </c>
      <c r="BN156" s="455">
        <f t="shared" si="420"/>
        <v>0</v>
      </c>
      <c r="BO156" s="455">
        <f t="shared" si="421"/>
        <v>0</v>
      </c>
      <c r="BP156" s="456">
        <f t="shared" si="422"/>
        <v>0</v>
      </c>
      <c r="BQ156" s="463"/>
      <c r="BR156" s="459">
        <f t="shared" si="423"/>
        <v>0</v>
      </c>
      <c r="BS156" s="459">
        <f t="shared" si="424"/>
        <v>0</v>
      </c>
      <c r="BT156" s="459">
        <f t="shared" si="425"/>
        <v>0</v>
      </c>
      <c r="BU156" s="459">
        <f t="shared" si="426"/>
        <v>0</v>
      </c>
      <c r="BV156" s="459">
        <f t="shared" si="427"/>
        <v>0</v>
      </c>
      <c r="BW156" s="459">
        <f t="shared" si="428"/>
        <v>0</v>
      </c>
      <c r="BX156" s="459">
        <f t="shared" si="429"/>
        <v>0</v>
      </c>
      <c r="BY156" s="459">
        <f t="shared" si="430"/>
        <v>0</v>
      </c>
      <c r="BZ156" s="459">
        <f t="shared" si="431"/>
        <v>0</v>
      </c>
      <c r="CA156" s="459">
        <f t="shared" si="432"/>
        <v>0</v>
      </c>
      <c r="CB156" s="460">
        <f t="shared" si="433"/>
        <v>0</v>
      </c>
      <c r="CC156" s="463"/>
      <c r="CD156" s="462">
        <f t="shared" si="434"/>
        <v>0</v>
      </c>
      <c r="CE156" s="462">
        <f t="shared" si="435"/>
        <v>0</v>
      </c>
      <c r="CF156" s="462">
        <f t="shared" si="436"/>
        <v>0</v>
      </c>
      <c r="CG156" s="462">
        <f t="shared" si="437"/>
        <v>0</v>
      </c>
      <c r="CH156" s="462">
        <f t="shared" si="438"/>
        <v>0</v>
      </c>
      <c r="CI156" s="462">
        <f t="shared" si="439"/>
        <v>0</v>
      </c>
      <c r="CJ156" s="462">
        <f t="shared" si="440"/>
        <v>0</v>
      </c>
      <c r="CK156" s="462">
        <f t="shared" si="441"/>
        <v>0</v>
      </c>
      <c r="CL156" s="462">
        <f t="shared" si="442"/>
        <v>0</v>
      </c>
      <c r="CM156" s="462">
        <f t="shared" si="443"/>
        <v>0</v>
      </c>
      <c r="CN156" s="460">
        <f t="shared" si="444"/>
        <v>0</v>
      </c>
      <c r="CO156" s="463"/>
      <c r="CP156" s="459">
        <f t="shared" si="445"/>
        <v>0</v>
      </c>
      <c r="CQ156" s="459">
        <f t="shared" si="446"/>
        <v>0</v>
      </c>
      <c r="CR156" s="459">
        <f t="shared" si="447"/>
        <v>0</v>
      </c>
      <c r="CS156" s="459">
        <f t="shared" si="448"/>
        <v>0</v>
      </c>
      <c r="CT156" s="459">
        <f t="shared" si="449"/>
        <v>0</v>
      </c>
      <c r="CU156" s="459">
        <f t="shared" si="450"/>
        <v>0</v>
      </c>
      <c r="CV156" s="459">
        <f t="shared" si="451"/>
        <v>0</v>
      </c>
      <c r="CW156" s="459">
        <f t="shared" si="452"/>
        <v>0</v>
      </c>
      <c r="CX156" s="459">
        <f t="shared" si="453"/>
        <v>0</v>
      </c>
      <c r="CY156" s="459">
        <f t="shared" si="454"/>
        <v>0</v>
      </c>
      <c r="CZ156" s="460">
        <f t="shared" si="455"/>
        <v>0</v>
      </c>
      <c r="DA156" s="463"/>
      <c r="DB156" s="459">
        <f t="shared" si="456"/>
        <v>0</v>
      </c>
      <c r="DC156" s="459">
        <f t="shared" si="457"/>
        <v>0</v>
      </c>
      <c r="DD156" s="459">
        <f t="shared" si="458"/>
        <v>0</v>
      </c>
      <c r="DE156" s="459">
        <f t="shared" si="459"/>
        <v>0</v>
      </c>
      <c r="DF156" s="459">
        <f t="shared" si="460"/>
        <v>0</v>
      </c>
      <c r="DG156" s="459">
        <f t="shared" si="461"/>
        <v>0</v>
      </c>
      <c r="DH156" s="459">
        <f t="shared" si="462"/>
        <v>0</v>
      </c>
      <c r="DI156" s="459">
        <f t="shared" si="463"/>
        <v>0</v>
      </c>
      <c r="DJ156" s="459">
        <f t="shared" si="464"/>
        <v>0</v>
      </c>
      <c r="DK156" s="459">
        <f t="shared" si="465"/>
        <v>0</v>
      </c>
      <c r="DL156" s="460">
        <f t="shared" si="466"/>
        <v>0</v>
      </c>
      <c r="DM156" s="463"/>
      <c r="DN156" s="442">
        <f>IF('2. START'!$C$14&gt;0,(AT156/(1+$AA156))*(1+'2. START'!$C$14),AT156)</f>
        <v>0</v>
      </c>
      <c r="DO156" s="442">
        <f>IF('2. START'!$C$14&gt;0,(AU156/(1+$AA156))*(1+'2. START'!$C$14),AU156)</f>
        <v>0</v>
      </c>
      <c r="DP156" s="442">
        <f>IF('2. START'!$C$14&gt;0,(AV156/(1+$AA156))*(1+'2. START'!$C$14),AV156)</f>
        <v>0</v>
      </c>
      <c r="DQ156" s="442">
        <f>IF('2. START'!$C$14&gt;0,(AW156/(1+$AA156))*(1+'2. START'!$C$14),AW156)</f>
        <v>0</v>
      </c>
      <c r="DR156" s="442">
        <f>IF('2. START'!$C$14&gt;0,(AX156/(1+$AA156))*(1+'2. START'!$C$14),AX156)</f>
        <v>0</v>
      </c>
      <c r="DS156" s="442">
        <f>IF('2. START'!$C$14&gt;0,(AY156/(1+$AA156))*(1+'2. START'!$C$14),AY156)</f>
        <v>0</v>
      </c>
      <c r="DT156" s="442">
        <f>IF('2. START'!$C$14&gt;0,(AZ156/(1+$AA156))*(1+'2. START'!$C$14),AZ156)</f>
        <v>0</v>
      </c>
      <c r="DU156" s="442">
        <f>IF('2. START'!$C$14&gt;0,(BA156/(1+$AA156))*(1+'2. START'!$C$14),BA156)</f>
        <v>0</v>
      </c>
      <c r="DV156" s="442">
        <f>IF('2. START'!$C$14&gt;0,(BB156/(1+$AA156))*(1+'2. START'!$C$14),BB156)</f>
        <v>0</v>
      </c>
      <c r="DW156" s="442">
        <f>IF('2. START'!$C$14&gt;0,(BC156/(1+$AA156))*(1+'2. START'!$C$14),BC156)</f>
        <v>0</v>
      </c>
      <c r="DX156" s="460">
        <f t="shared" si="467"/>
        <v>0</v>
      </c>
      <c r="DY156" s="463"/>
      <c r="DZ156" s="459">
        <f>IF('2. START'!$C$11="NO",(IF('2. START'!$C$14&gt;0,(DN156*$AD156),(AT156*$AD156))),(BR156+CP156))</f>
        <v>0</v>
      </c>
      <c r="EA156" s="459">
        <f>IF('2. START'!$C$11="NO",(IF('2. START'!$C$14&gt;0,(DO156*$AD156),(AU156*$AD156))),(BS156+CQ156))</f>
        <v>0</v>
      </c>
      <c r="EB156" s="459">
        <f>IF('2. START'!$C$11="NO",(IF('2. START'!$C$14&gt;0,(DP156*$AD156),(AV156*$AD156))),(BT156+CR156))</f>
        <v>0</v>
      </c>
      <c r="EC156" s="459">
        <f>IF('2. START'!$C$11="NO",(IF('2. START'!$C$14&gt;0,(DQ156*$AD156),(AW156*$AD156))),(BU156+CS156))</f>
        <v>0</v>
      </c>
      <c r="ED156" s="459">
        <f>IF('2. START'!$C$11="NO",(IF('2. START'!$C$14&gt;0,(DR156*$AD156),(AX156*$AD156))),(BV156+CT156))</f>
        <v>0</v>
      </c>
      <c r="EE156" s="459">
        <f>IF('2. START'!$C$11="NO",(IF('2. START'!$C$14&gt;0,(DS156*$AD156),(AY156*$AD156))),(BW156+CU156))</f>
        <v>0</v>
      </c>
      <c r="EF156" s="459">
        <f>IF('2. START'!$C$11="NO",(IF('2. START'!$C$14&gt;0,(DT156*$AD156),(AZ156*$AD156))),(BX156+CV156))</f>
        <v>0</v>
      </c>
      <c r="EG156" s="459">
        <f>IF('2. START'!$C$11="NO",(IF('2. START'!$C$14&gt;0,(DU156*$AD156),(BA156*$AD156))),(BY156+CW156))</f>
        <v>0</v>
      </c>
      <c r="EH156" s="459">
        <f>IF('2. START'!$C$11="NO",(IF('2. START'!$C$14&gt;0,(DV156*$AD156),(BB156*$AD156))),(BZ156+CX156))</f>
        <v>0</v>
      </c>
      <c r="EI156" s="459">
        <f>IF('2. START'!$C$11="NO",(IF('2. START'!$C$14&gt;0,(DW156*$AD156),(BC156*$AD156))),(CA156+CY156))</f>
        <v>0</v>
      </c>
      <c r="EJ156" s="460">
        <f t="shared" si="468"/>
        <v>0</v>
      </c>
      <c r="EK156" s="463"/>
      <c r="EL156" s="459">
        <f>(BR156+CP156-DZ156)+IF('2. START'!$C$14&gt;0,AT156-DN156,0)</f>
        <v>0</v>
      </c>
      <c r="EM156" s="459">
        <f>(BS156+CQ156-EA156)+IF('2. START'!$C$14&gt;0,AU156-DO156,0)</f>
        <v>0</v>
      </c>
      <c r="EN156" s="459">
        <f>(BT156+CR156-EB156)+IF('2. START'!$C$14&gt;0,AV156-DP156,0)</f>
        <v>0</v>
      </c>
      <c r="EO156" s="459">
        <f>(BU156+CS156-EC156)+IF('2. START'!$C$14&gt;0,AW156-DQ156,0)</f>
        <v>0</v>
      </c>
      <c r="EP156" s="459">
        <f>(BV156+CT156-ED156)+IF('2. START'!$C$14&gt;0,AX156-DR156,0)</f>
        <v>0</v>
      </c>
      <c r="EQ156" s="459">
        <f>(BW156+CU156-EE156)+IF('2. START'!$C$14&gt;0,AY156-DS156,0)</f>
        <v>0</v>
      </c>
      <c r="ER156" s="459">
        <f>(BX156+CV156-EF156)+IF('2. START'!$C$14&gt;0,AZ156-DT156,0)</f>
        <v>0</v>
      </c>
      <c r="ES156" s="459">
        <f>(BY156+CW156-EG156)+IF('2. START'!$C$14&gt;0,BA156-DU156,0)</f>
        <v>0</v>
      </c>
      <c r="ET156" s="459">
        <f>(BZ156+CX156-EH156)+IF('2. START'!$C$14&gt;0,BB156-DV156,0)</f>
        <v>0</v>
      </c>
      <c r="EU156" s="459">
        <f>(CA156+CY156-EI156)+IF('2. START'!$C$14&gt;0,BC156-DW156,0)</f>
        <v>0</v>
      </c>
      <c r="EV156" s="460">
        <f t="shared" si="469"/>
        <v>0</v>
      </c>
      <c r="EW156" s="463"/>
      <c r="EX156" s="459">
        <f t="shared" si="470"/>
        <v>0</v>
      </c>
      <c r="EY156" s="459">
        <f t="shared" si="471"/>
        <v>0</v>
      </c>
      <c r="EZ156" s="459">
        <f t="shared" si="472"/>
        <v>0</v>
      </c>
      <c r="FA156" s="459">
        <f t="shared" si="473"/>
        <v>0</v>
      </c>
      <c r="FB156" s="459">
        <f t="shared" si="474"/>
        <v>0</v>
      </c>
      <c r="FC156" s="459">
        <f t="shared" si="475"/>
        <v>0</v>
      </c>
      <c r="FD156" s="459">
        <f t="shared" si="476"/>
        <v>0</v>
      </c>
      <c r="FE156" s="459">
        <f t="shared" si="477"/>
        <v>0</v>
      </c>
      <c r="FF156" s="459">
        <f t="shared" si="478"/>
        <v>0</v>
      </c>
      <c r="FG156" s="459">
        <f t="shared" si="479"/>
        <v>0</v>
      </c>
      <c r="FH156" s="460">
        <f t="shared" si="480"/>
        <v>0</v>
      </c>
      <c r="FI156" s="463"/>
      <c r="FJ156" s="459">
        <f t="shared" si="481"/>
        <v>0</v>
      </c>
      <c r="FK156" s="459">
        <f t="shared" si="482"/>
        <v>0</v>
      </c>
      <c r="FL156" s="459">
        <f t="shared" si="483"/>
        <v>0</v>
      </c>
      <c r="FM156" s="459">
        <f t="shared" si="484"/>
        <v>0</v>
      </c>
      <c r="FN156" s="459">
        <f t="shared" si="485"/>
        <v>0</v>
      </c>
      <c r="FO156" s="459">
        <f t="shared" si="486"/>
        <v>0</v>
      </c>
      <c r="FP156" s="459">
        <f t="shared" si="487"/>
        <v>0</v>
      </c>
      <c r="FQ156" s="459">
        <f t="shared" si="488"/>
        <v>0</v>
      </c>
      <c r="FR156" s="459">
        <f t="shared" si="489"/>
        <v>0</v>
      </c>
      <c r="FS156" s="459">
        <f t="shared" si="490"/>
        <v>0</v>
      </c>
      <c r="FT156" s="460">
        <f t="shared" si="491"/>
        <v>0</v>
      </c>
    </row>
    <row r="157" spans="2:176" s="270" customFormat="1" ht="15" customHeight="1" x14ac:dyDescent="0.25">
      <c r="B157" s="464" t="str">
        <f>'2. START'!C$7</f>
        <v>100GEM</v>
      </c>
      <c r="C157" s="470"/>
      <c r="D157" s="590"/>
      <c r="E157" s="514">
        <v>0</v>
      </c>
      <c r="F157" s="467"/>
      <c r="G157" s="432"/>
      <c r="H157" s="432"/>
      <c r="I157" s="432"/>
      <c r="J157" s="432"/>
      <c r="K157" s="432"/>
      <c r="L157" s="432"/>
      <c r="M157" s="432"/>
      <c r="N157" s="432"/>
      <c r="O157" s="432"/>
      <c r="P157" s="432"/>
      <c r="Q157" s="545">
        <f>SUMIF('3. PARTNER'!$B$13:$B$80,$B157,'3. PARTNER'!$F$13:$F$80)</f>
        <v>0.02</v>
      </c>
      <c r="R157" s="466">
        <f t="shared" si="387"/>
        <v>0.02</v>
      </c>
      <c r="S157" s="466">
        <f t="shared" si="387"/>
        <v>0.02</v>
      </c>
      <c r="T157" s="466">
        <f t="shared" si="387"/>
        <v>0.02</v>
      </c>
      <c r="U157" s="466">
        <f t="shared" si="387"/>
        <v>0.02</v>
      </c>
      <c r="V157" s="466">
        <f t="shared" si="387"/>
        <v>0.02</v>
      </c>
      <c r="W157" s="466">
        <f t="shared" si="387"/>
        <v>0.02</v>
      </c>
      <c r="X157" s="466">
        <f t="shared" si="387"/>
        <v>0.02</v>
      </c>
      <c r="Y157" s="466">
        <f t="shared" si="387"/>
        <v>0.02</v>
      </c>
      <c r="Z157" s="466">
        <f t="shared" si="387"/>
        <v>0.02</v>
      </c>
      <c r="AA157" s="434">
        <f>SUMIF('3. PARTNER'!B$13:B$80,B157,'3. PARTNER'!E$13:E$80)</f>
        <v>0.5595</v>
      </c>
      <c r="AB157" s="435">
        <f>IF('2. START'!$C$20="UTB",(SUMIF('3. PARTNER'!B$13:B$80,B157,'3. PARTNER'!K$13:K$80))+(SUMIF('3. PARTNER'!B$13:B$80,B157,'3. PARTNER'!M$13:M$80)),(SUMIF('3. PARTNER'!B$13:B$80,B157,'3. PARTNER'!G$13:G$80))+(SUMIF('3. PARTNER'!B$13:B$80,B157,'3. PARTNER'!I$13:I$80)))</f>
        <v>0.16000843770704321</v>
      </c>
      <c r="AC157" s="435">
        <f>IF('2. START'!$C$20="UTB",(SUMIF('3. PARTNER'!B$13:B$80,B157,'3. PARTNER'!L$13:L$80))+(SUMIF('3. PARTNER'!B$13:B$80,B157,'3. PARTNER'!N$13:N$80)),(SUMIF('3. PARTNER'!B$13:B$80,B157,'3. PARTNER'!H$13:H$80))+(SUMIF('3. PARTNER'!B$13:B$80,B157,'3. PARTNER'!J$13:J$80)))</f>
        <v>0</v>
      </c>
      <c r="AD157" s="435">
        <f>IF('2. START'!C$11="NO",'2. START'!C$12,0)</f>
        <v>0</v>
      </c>
      <c r="AE157" s="436">
        <f t="shared" si="388"/>
        <v>0</v>
      </c>
      <c r="AF157" s="436">
        <f t="shared" si="389"/>
        <v>0</v>
      </c>
      <c r="AG157" s="437"/>
      <c r="AH157" s="438">
        <f t="shared" si="390"/>
        <v>0</v>
      </c>
      <c r="AI157" s="438">
        <f t="shared" si="391"/>
        <v>0</v>
      </c>
      <c r="AJ157" s="438">
        <f t="shared" si="392"/>
        <v>0</v>
      </c>
      <c r="AK157" s="438">
        <f t="shared" si="393"/>
        <v>0</v>
      </c>
      <c r="AL157" s="438">
        <f t="shared" si="394"/>
        <v>0</v>
      </c>
      <c r="AM157" s="438">
        <f t="shared" si="395"/>
        <v>0</v>
      </c>
      <c r="AN157" s="438">
        <f t="shared" si="396"/>
        <v>0</v>
      </c>
      <c r="AO157" s="438">
        <f t="shared" si="397"/>
        <v>0</v>
      </c>
      <c r="AP157" s="438">
        <f t="shared" si="398"/>
        <v>0</v>
      </c>
      <c r="AQ157" s="438">
        <f t="shared" si="399"/>
        <v>0</v>
      </c>
      <c r="AR157" s="439">
        <f t="shared" si="400"/>
        <v>0</v>
      </c>
      <c r="AS157" s="440"/>
      <c r="AT157" s="438">
        <f t="shared" si="401"/>
        <v>0</v>
      </c>
      <c r="AU157" s="438">
        <f t="shared" si="402"/>
        <v>0</v>
      </c>
      <c r="AV157" s="438">
        <f t="shared" si="403"/>
        <v>0</v>
      </c>
      <c r="AW157" s="438">
        <f t="shared" si="404"/>
        <v>0</v>
      </c>
      <c r="AX157" s="438">
        <f t="shared" si="405"/>
        <v>0</v>
      </c>
      <c r="AY157" s="438">
        <f t="shared" si="406"/>
        <v>0</v>
      </c>
      <c r="AZ157" s="438">
        <f t="shared" si="407"/>
        <v>0</v>
      </c>
      <c r="BA157" s="438">
        <f t="shared" si="408"/>
        <v>0</v>
      </c>
      <c r="BB157" s="438">
        <f t="shared" si="409"/>
        <v>0</v>
      </c>
      <c r="BC157" s="438">
        <f t="shared" si="410"/>
        <v>0</v>
      </c>
      <c r="BD157" s="439">
        <f t="shared" si="411"/>
        <v>0</v>
      </c>
      <c r="BE157" s="440"/>
      <c r="BF157" s="438">
        <f t="shared" si="412"/>
        <v>0</v>
      </c>
      <c r="BG157" s="438">
        <f t="shared" si="413"/>
        <v>0</v>
      </c>
      <c r="BH157" s="438">
        <f t="shared" si="414"/>
        <v>0</v>
      </c>
      <c r="BI157" s="438">
        <f t="shared" si="415"/>
        <v>0</v>
      </c>
      <c r="BJ157" s="438">
        <f t="shared" si="416"/>
        <v>0</v>
      </c>
      <c r="BK157" s="438">
        <f t="shared" si="417"/>
        <v>0</v>
      </c>
      <c r="BL157" s="438">
        <f t="shared" si="418"/>
        <v>0</v>
      </c>
      <c r="BM157" s="438">
        <f t="shared" si="419"/>
        <v>0</v>
      </c>
      <c r="BN157" s="438">
        <f t="shared" si="420"/>
        <v>0</v>
      </c>
      <c r="BO157" s="438">
        <f t="shared" si="421"/>
        <v>0</v>
      </c>
      <c r="BP157" s="439">
        <f t="shared" si="422"/>
        <v>0</v>
      </c>
      <c r="BR157" s="442">
        <f t="shared" si="423"/>
        <v>0</v>
      </c>
      <c r="BS157" s="442">
        <f t="shared" si="424"/>
        <v>0</v>
      </c>
      <c r="BT157" s="442">
        <f t="shared" si="425"/>
        <v>0</v>
      </c>
      <c r="BU157" s="442">
        <f t="shared" si="426"/>
        <v>0</v>
      </c>
      <c r="BV157" s="442">
        <f t="shared" si="427"/>
        <v>0</v>
      </c>
      <c r="BW157" s="442">
        <f t="shared" si="428"/>
        <v>0</v>
      </c>
      <c r="BX157" s="442">
        <f t="shared" si="429"/>
        <v>0</v>
      </c>
      <c r="BY157" s="442">
        <f t="shared" si="430"/>
        <v>0</v>
      </c>
      <c r="BZ157" s="442">
        <f t="shared" si="431"/>
        <v>0</v>
      </c>
      <c r="CA157" s="442">
        <f t="shared" si="432"/>
        <v>0</v>
      </c>
      <c r="CB157" s="443">
        <f t="shared" si="433"/>
        <v>0</v>
      </c>
      <c r="CD157" s="445">
        <f t="shared" si="434"/>
        <v>0</v>
      </c>
      <c r="CE157" s="445">
        <f t="shared" si="435"/>
        <v>0</v>
      </c>
      <c r="CF157" s="445">
        <f t="shared" si="436"/>
        <v>0</v>
      </c>
      <c r="CG157" s="445">
        <f t="shared" si="437"/>
        <v>0</v>
      </c>
      <c r="CH157" s="445">
        <f t="shared" si="438"/>
        <v>0</v>
      </c>
      <c r="CI157" s="445">
        <f t="shared" si="439"/>
        <v>0</v>
      </c>
      <c r="CJ157" s="445">
        <f t="shared" si="440"/>
        <v>0</v>
      </c>
      <c r="CK157" s="445">
        <f t="shared" si="441"/>
        <v>0</v>
      </c>
      <c r="CL157" s="445">
        <f t="shared" si="442"/>
        <v>0</v>
      </c>
      <c r="CM157" s="445">
        <f t="shared" si="443"/>
        <v>0</v>
      </c>
      <c r="CN157" s="443">
        <f t="shared" si="444"/>
        <v>0</v>
      </c>
      <c r="CP157" s="442">
        <f t="shared" si="445"/>
        <v>0</v>
      </c>
      <c r="CQ157" s="442">
        <f t="shared" si="446"/>
        <v>0</v>
      </c>
      <c r="CR157" s="442">
        <f t="shared" si="447"/>
        <v>0</v>
      </c>
      <c r="CS157" s="442">
        <f t="shared" si="448"/>
        <v>0</v>
      </c>
      <c r="CT157" s="442">
        <f t="shared" si="449"/>
        <v>0</v>
      </c>
      <c r="CU157" s="442">
        <f t="shared" si="450"/>
        <v>0</v>
      </c>
      <c r="CV157" s="442">
        <f t="shared" si="451"/>
        <v>0</v>
      </c>
      <c r="CW157" s="442">
        <f t="shared" si="452"/>
        <v>0</v>
      </c>
      <c r="CX157" s="442">
        <f t="shared" si="453"/>
        <v>0</v>
      </c>
      <c r="CY157" s="442">
        <f t="shared" si="454"/>
        <v>0</v>
      </c>
      <c r="CZ157" s="443">
        <f t="shared" si="455"/>
        <v>0</v>
      </c>
      <c r="DB157" s="442">
        <f t="shared" si="456"/>
        <v>0</v>
      </c>
      <c r="DC157" s="442">
        <f t="shared" si="457"/>
        <v>0</v>
      </c>
      <c r="DD157" s="442">
        <f t="shared" si="458"/>
        <v>0</v>
      </c>
      <c r="DE157" s="442">
        <f t="shared" si="459"/>
        <v>0</v>
      </c>
      <c r="DF157" s="442">
        <f t="shared" si="460"/>
        <v>0</v>
      </c>
      <c r="DG157" s="442">
        <f t="shared" si="461"/>
        <v>0</v>
      </c>
      <c r="DH157" s="442">
        <f t="shared" si="462"/>
        <v>0</v>
      </c>
      <c r="DI157" s="442">
        <f t="shared" si="463"/>
        <v>0</v>
      </c>
      <c r="DJ157" s="442">
        <f t="shared" si="464"/>
        <v>0</v>
      </c>
      <c r="DK157" s="442">
        <f t="shared" si="465"/>
        <v>0</v>
      </c>
      <c r="DL157" s="443">
        <f t="shared" si="466"/>
        <v>0</v>
      </c>
      <c r="DN157" s="442">
        <f>IF('2. START'!$C$14&gt;0,(AT157/(1+$AA157))*(1+'2. START'!$C$14),AT157)</f>
        <v>0</v>
      </c>
      <c r="DO157" s="442">
        <f>IF('2. START'!$C$14&gt;0,(AU157/(1+$AA157))*(1+'2. START'!$C$14),AU157)</f>
        <v>0</v>
      </c>
      <c r="DP157" s="442">
        <f>IF('2. START'!$C$14&gt;0,(AV157/(1+$AA157))*(1+'2. START'!$C$14),AV157)</f>
        <v>0</v>
      </c>
      <c r="DQ157" s="442">
        <f>IF('2. START'!$C$14&gt;0,(AW157/(1+$AA157))*(1+'2. START'!$C$14),AW157)</f>
        <v>0</v>
      </c>
      <c r="DR157" s="442">
        <f>IF('2. START'!$C$14&gt;0,(AX157/(1+$AA157))*(1+'2. START'!$C$14),AX157)</f>
        <v>0</v>
      </c>
      <c r="DS157" s="442">
        <f>IF('2. START'!$C$14&gt;0,(AY157/(1+$AA157))*(1+'2. START'!$C$14),AY157)</f>
        <v>0</v>
      </c>
      <c r="DT157" s="442">
        <f>IF('2. START'!$C$14&gt;0,(AZ157/(1+$AA157))*(1+'2. START'!$C$14),AZ157)</f>
        <v>0</v>
      </c>
      <c r="DU157" s="442">
        <f>IF('2. START'!$C$14&gt;0,(BA157/(1+$AA157))*(1+'2. START'!$C$14),BA157)</f>
        <v>0</v>
      </c>
      <c r="DV157" s="442">
        <f>IF('2. START'!$C$14&gt;0,(BB157/(1+$AA157))*(1+'2. START'!$C$14),BB157)</f>
        <v>0</v>
      </c>
      <c r="DW157" s="442">
        <f>IF('2. START'!$C$14&gt;0,(BC157/(1+$AA157))*(1+'2. START'!$C$14),BC157)</f>
        <v>0</v>
      </c>
      <c r="DX157" s="443">
        <f t="shared" si="467"/>
        <v>0</v>
      </c>
      <c r="DZ157" s="442">
        <f>IF('2. START'!$C$11="NO",(IF('2. START'!$C$14&gt;0,(DN157*$AD157),(AT157*$AD157))),(BR157+CP157))</f>
        <v>0</v>
      </c>
      <c r="EA157" s="442">
        <f>IF('2. START'!$C$11="NO",(IF('2. START'!$C$14&gt;0,(DO157*$AD157),(AU157*$AD157))),(BS157+CQ157))</f>
        <v>0</v>
      </c>
      <c r="EB157" s="442">
        <f>IF('2. START'!$C$11="NO",(IF('2. START'!$C$14&gt;0,(DP157*$AD157),(AV157*$AD157))),(BT157+CR157))</f>
        <v>0</v>
      </c>
      <c r="EC157" s="442">
        <f>IF('2. START'!$C$11="NO",(IF('2. START'!$C$14&gt;0,(DQ157*$AD157),(AW157*$AD157))),(BU157+CS157))</f>
        <v>0</v>
      </c>
      <c r="ED157" s="442">
        <f>IF('2. START'!$C$11="NO",(IF('2. START'!$C$14&gt;0,(DR157*$AD157),(AX157*$AD157))),(BV157+CT157))</f>
        <v>0</v>
      </c>
      <c r="EE157" s="442">
        <f>IF('2. START'!$C$11="NO",(IF('2. START'!$C$14&gt;0,(DS157*$AD157),(AY157*$AD157))),(BW157+CU157))</f>
        <v>0</v>
      </c>
      <c r="EF157" s="442">
        <f>IF('2. START'!$C$11="NO",(IF('2. START'!$C$14&gt;0,(DT157*$AD157),(AZ157*$AD157))),(BX157+CV157))</f>
        <v>0</v>
      </c>
      <c r="EG157" s="442">
        <f>IF('2. START'!$C$11="NO",(IF('2. START'!$C$14&gt;0,(DU157*$AD157),(BA157*$AD157))),(BY157+CW157))</f>
        <v>0</v>
      </c>
      <c r="EH157" s="442">
        <f>IF('2. START'!$C$11="NO",(IF('2. START'!$C$14&gt;0,(DV157*$AD157),(BB157*$AD157))),(BZ157+CX157))</f>
        <v>0</v>
      </c>
      <c r="EI157" s="442">
        <f>IF('2. START'!$C$11="NO",(IF('2. START'!$C$14&gt;0,(DW157*$AD157),(BC157*$AD157))),(CA157+CY157))</f>
        <v>0</v>
      </c>
      <c r="EJ157" s="443">
        <f t="shared" si="468"/>
        <v>0</v>
      </c>
      <c r="EL157" s="442">
        <f>(BR157+CP157-DZ157)+IF('2. START'!$C$14&gt;0,AT157-DN157,0)</f>
        <v>0</v>
      </c>
      <c r="EM157" s="442">
        <f>(BS157+CQ157-EA157)+IF('2. START'!$C$14&gt;0,AU157-DO157,0)</f>
        <v>0</v>
      </c>
      <c r="EN157" s="442">
        <f>(BT157+CR157-EB157)+IF('2. START'!$C$14&gt;0,AV157-DP157,0)</f>
        <v>0</v>
      </c>
      <c r="EO157" s="442">
        <f>(BU157+CS157-EC157)+IF('2. START'!$C$14&gt;0,AW157-DQ157,0)</f>
        <v>0</v>
      </c>
      <c r="EP157" s="442">
        <f>(BV157+CT157-ED157)+IF('2. START'!$C$14&gt;0,AX157-DR157,0)</f>
        <v>0</v>
      </c>
      <c r="EQ157" s="442">
        <f>(BW157+CU157-EE157)+IF('2. START'!$C$14&gt;0,AY157-DS157,0)</f>
        <v>0</v>
      </c>
      <c r="ER157" s="442">
        <f>(BX157+CV157-EF157)+IF('2. START'!$C$14&gt;0,AZ157-DT157,0)</f>
        <v>0</v>
      </c>
      <c r="ES157" s="442">
        <f>(BY157+CW157-EG157)+IF('2. START'!$C$14&gt;0,BA157-DU157,0)</f>
        <v>0</v>
      </c>
      <c r="ET157" s="442">
        <f>(BZ157+CX157-EH157)+IF('2. START'!$C$14&gt;0,BB157-DV157,0)</f>
        <v>0</v>
      </c>
      <c r="EU157" s="442">
        <f>(CA157+CY157-EI157)+IF('2. START'!$C$14&gt;0,BC157-DW157,0)</f>
        <v>0</v>
      </c>
      <c r="EV157" s="443">
        <f t="shared" si="469"/>
        <v>0</v>
      </c>
      <c r="EX157" s="442">
        <f t="shared" si="470"/>
        <v>0</v>
      </c>
      <c r="EY157" s="442">
        <f t="shared" si="471"/>
        <v>0</v>
      </c>
      <c r="EZ157" s="442">
        <f t="shared" si="472"/>
        <v>0</v>
      </c>
      <c r="FA157" s="442">
        <f t="shared" si="473"/>
        <v>0</v>
      </c>
      <c r="FB157" s="442">
        <f t="shared" si="474"/>
        <v>0</v>
      </c>
      <c r="FC157" s="442">
        <f t="shared" si="475"/>
        <v>0</v>
      </c>
      <c r="FD157" s="442">
        <f t="shared" si="476"/>
        <v>0</v>
      </c>
      <c r="FE157" s="442">
        <f t="shared" si="477"/>
        <v>0</v>
      </c>
      <c r="FF157" s="442">
        <f t="shared" si="478"/>
        <v>0</v>
      </c>
      <c r="FG157" s="442">
        <f t="shared" si="479"/>
        <v>0</v>
      </c>
      <c r="FH157" s="443">
        <f t="shared" si="480"/>
        <v>0</v>
      </c>
      <c r="FJ157" s="442">
        <f t="shared" si="481"/>
        <v>0</v>
      </c>
      <c r="FK157" s="442">
        <f t="shared" si="482"/>
        <v>0</v>
      </c>
      <c r="FL157" s="442">
        <f t="shared" si="483"/>
        <v>0</v>
      </c>
      <c r="FM157" s="442">
        <f t="shared" si="484"/>
        <v>0</v>
      </c>
      <c r="FN157" s="442">
        <f t="shared" si="485"/>
        <v>0</v>
      </c>
      <c r="FO157" s="442">
        <f t="shared" si="486"/>
        <v>0</v>
      </c>
      <c r="FP157" s="442">
        <f t="shared" si="487"/>
        <v>0</v>
      </c>
      <c r="FQ157" s="442">
        <f t="shared" si="488"/>
        <v>0</v>
      </c>
      <c r="FR157" s="442">
        <f t="shared" si="489"/>
        <v>0</v>
      </c>
      <c r="FS157" s="442">
        <f t="shared" si="490"/>
        <v>0</v>
      </c>
      <c r="FT157" s="443">
        <f t="shared" si="491"/>
        <v>0</v>
      </c>
    </row>
    <row r="158" spans="2:176" s="270" customFormat="1" ht="15" customHeight="1" x14ac:dyDescent="0.25">
      <c r="B158" s="446" t="str">
        <f>'2. START'!C$7</f>
        <v>100GEM</v>
      </c>
      <c r="C158" s="469"/>
      <c r="D158" s="589"/>
      <c r="E158" s="544">
        <v>0</v>
      </c>
      <c r="F158" s="448"/>
      <c r="G158" s="449"/>
      <c r="H158" s="449"/>
      <c r="I158" s="449"/>
      <c r="J158" s="449"/>
      <c r="K158" s="449"/>
      <c r="L158" s="449"/>
      <c r="M158" s="449"/>
      <c r="N158" s="449"/>
      <c r="O158" s="449"/>
      <c r="P158" s="449"/>
      <c r="Q158" s="546">
        <f>SUMIF('3. PARTNER'!$B$13:$B$80,$B158,'3. PARTNER'!$F$13:$F$80)</f>
        <v>0.02</v>
      </c>
      <c r="R158" s="450">
        <f t="shared" si="387"/>
        <v>0.02</v>
      </c>
      <c r="S158" s="450">
        <f t="shared" si="387"/>
        <v>0.02</v>
      </c>
      <c r="T158" s="450">
        <f t="shared" si="387"/>
        <v>0.02</v>
      </c>
      <c r="U158" s="450">
        <f t="shared" si="387"/>
        <v>0.02</v>
      </c>
      <c r="V158" s="450">
        <f t="shared" si="387"/>
        <v>0.02</v>
      </c>
      <c r="W158" s="450">
        <f t="shared" si="387"/>
        <v>0.02</v>
      </c>
      <c r="X158" s="450">
        <f t="shared" si="387"/>
        <v>0.02</v>
      </c>
      <c r="Y158" s="450">
        <f t="shared" si="387"/>
        <v>0.02</v>
      </c>
      <c r="Z158" s="450">
        <f t="shared" si="387"/>
        <v>0.02</v>
      </c>
      <c r="AA158" s="451">
        <f>SUMIF('3. PARTNER'!B$13:B$80,B158,'3. PARTNER'!E$13:E$80)</f>
        <v>0.5595</v>
      </c>
      <c r="AB158" s="452">
        <f>IF('2. START'!$C$20="UTB",(SUMIF('3. PARTNER'!B$13:B$80,B158,'3. PARTNER'!K$13:K$80))+(SUMIF('3. PARTNER'!B$13:B$80,B158,'3. PARTNER'!M$13:M$80)),(SUMIF('3. PARTNER'!B$13:B$80,B158,'3. PARTNER'!G$13:G$80))+(SUMIF('3. PARTNER'!B$13:B$80,B158,'3. PARTNER'!I$13:I$80)))</f>
        <v>0.16000843770704321</v>
      </c>
      <c r="AC158" s="452">
        <f>IF('2. START'!$C$20="UTB",(SUMIF('3. PARTNER'!B$13:B$80,B158,'3. PARTNER'!L$13:L$80))+(SUMIF('3. PARTNER'!B$13:B$80,B158,'3. PARTNER'!N$13:N$80)),(SUMIF('3. PARTNER'!B$13:B$80,B158,'3. PARTNER'!H$13:H$80))+(SUMIF('3. PARTNER'!B$13:B$80,B158,'3. PARTNER'!J$13:J$80)))</f>
        <v>0</v>
      </c>
      <c r="AD158" s="452">
        <f>IF('2. START'!C$11="NO",'2. START'!C$12,0)</f>
        <v>0</v>
      </c>
      <c r="AE158" s="453">
        <f t="shared" si="388"/>
        <v>0</v>
      </c>
      <c r="AF158" s="453">
        <f t="shared" si="389"/>
        <v>0</v>
      </c>
      <c r="AG158" s="454"/>
      <c r="AH158" s="455">
        <f t="shared" si="390"/>
        <v>0</v>
      </c>
      <c r="AI158" s="455">
        <f t="shared" si="391"/>
        <v>0</v>
      </c>
      <c r="AJ158" s="455">
        <f t="shared" si="392"/>
        <v>0</v>
      </c>
      <c r="AK158" s="455">
        <f t="shared" si="393"/>
        <v>0</v>
      </c>
      <c r="AL158" s="455">
        <f t="shared" si="394"/>
        <v>0</v>
      </c>
      <c r="AM158" s="455">
        <f t="shared" si="395"/>
        <v>0</v>
      </c>
      <c r="AN158" s="455">
        <f t="shared" si="396"/>
        <v>0</v>
      </c>
      <c r="AO158" s="455">
        <f t="shared" si="397"/>
        <v>0</v>
      </c>
      <c r="AP158" s="455">
        <f t="shared" si="398"/>
        <v>0</v>
      </c>
      <c r="AQ158" s="455">
        <f t="shared" si="399"/>
        <v>0</v>
      </c>
      <c r="AR158" s="456">
        <f t="shared" si="400"/>
        <v>0</v>
      </c>
      <c r="AS158" s="457"/>
      <c r="AT158" s="455">
        <f t="shared" si="401"/>
        <v>0</v>
      </c>
      <c r="AU158" s="455">
        <f t="shared" si="402"/>
        <v>0</v>
      </c>
      <c r="AV158" s="455">
        <f t="shared" si="403"/>
        <v>0</v>
      </c>
      <c r="AW158" s="455">
        <f t="shared" si="404"/>
        <v>0</v>
      </c>
      <c r="AX158" s="455">
        <f t="shared" si="405"/>
        <v>0</v>
      </c>
      <c r="AY158" s="455">
        <f t="shared" si="406"/>
        <v>0</v>
      </c>
      <c r="AZ158" s="455">
        <f t="shared" si="407"/>
        <v>0</v>
      </c>
      <c r="BA158" s="455">
        <f t="shared" si="408"/>
        <v>0</v>
      </c>
      <c r="BB158" s="455">
        <f t="shared" si="409"/>
        <v>0</v>
      </c>
      <c r="BC158" s="455">
        <f t="shared" si="410"/>
        <v>0</v>
      </c>
      <c r="BD158" s="456">
        <f t="shared" si="411"/>
        <v>0</v>
      </c>
      <c r="BE158" s="457"/>
      <c r="BF158" s="455">
        <f t="shared" si="412"/>
        <v>0</v>
      </c>
      <c r="BG158" s="455">
        <f t="shared" si="413"/>
        <v>0</v>
      </c>
      <c r="BH158" s="455">
        <f t="shared" si="414"/>
        <v>0</v>
      </c>
      <c r="BI158" s="455">
        <f t="shared" si="415"/>
        <v>0</v>
      </c>
      <c r="BJ158" s="455">
        <f t="shared" si="416"/>
        <v>0</v>
      </c>
      <c r="BK158" s="455">
        <f t="shared" si="417"/>
        <v>0</v>
      </c>
      <c r="BL158" s="455">
        <f t="shared" si="418"/>
        <v>0</v>
      </c>
      <c r="BM158" s="455">
        <f t="shared" si="419"/>
        <v>0</v>
      </c>
      <c r="BN158" s="455">
        <f t="shared" si="420"/>
        <v>0</v>
      </c>
      <c r="BO158" s="455">
        <f t="shared" si="421"/>
        <v>0</v>
      </c>
      <c r="BP158" s="456">
        <f t="shared" si="422"/>
        <v>0</v>
      </c>
      <c r="BQ158" s="463"/>
      <c r="BR158" s="459">
        <f t="shared" si="423"/>
        <v>0</v>
      </c>
      <c r="BS158" s="459">
        <f t="shared" si="424"/>
        <v>0</v>
      </c>
      <c r="BT158" s="459">
        <f t="shared" si="425"/>
        <v>0</v>
      </c>
      <c r="BU158" s="459">
        <f t="shared" si="426"/>
        <v>0</v>
      </c>
      <c r="BV158" s="459">
        <f t="shared" si="427"/>
        <v>0</v>
      </c>
      <c r="BW158" s="459">
        <f t="shared" si="428"/>
        <v>0</v>
      </c>
      <c r="BX158" s="459">
        <f t="shared" si="429"/>
        <v>0</v>
      </c>
      <c r="BY158" s="459">
        <f t="shared" si="430"/>
        <v>0</v>
      </c>
      <c r="BZ158" s="459">
        <f t="shared" si="431"/>
        <v>0</v>
      </c>
      <c r="CA158" s="459">
        <f t="shared" si="432"/>
        <v>0</v>
      </c>
      <c r="CB158" s="460">
        <f t="shared" si="433"/>
        <v>0</v>
      </c>
      <c r="CC158" s="463"/>
      <c r="CD158" s="462">
        <f t="shared" si="434"/>
        <v>0</v>
      </c>
      <c r="CE158" s="462">
        <f t="shared" si="435"/>
        <v>0</v>
      </c>
      <c r="CF158" s="462">
        <f t="shared" si="436"/>
        <v>0</v>
      </c>
      <c r="CG158" s="462">
        <f t="shared" si="437"/>
        <v>0</v>
      </c>
      <c r="CH158" s="462">
        <f t="shared" si="438"/>
        <v>0</v>
      </c>
      <c r="CI158" s="462">
        <f t="shared" si="439"/>
        <v>0</v>
      </c>
      <c r="CJ158" s="462">
        <f t="shared" si="440"/>
        <v>0</v>
      </c>
      <c r="CK158" s="462">
        <f t="shared" si="441"/>
        <v>0</v>
      </c>
      <c r="CL158" s="462">
        <f t="shared" si="442"/>
        <v>0</v>
      </c>
      <c r="CM158" s="462">
        <f t="shared" si="443"/>
        <v>0</v>
      </c>
      <c r="CN158" s="460">
        <f t="shared" si="444"/>
        <v>0</v>
      </c>
      <c r="CO158" s="463"/>
      <c r="CP158" s="459">
        <f t="shared" si="445"/>
        <v>0</v>
      </c>
      <c r="CQ158" s="459">
        <f t="shared" si="446"/>
        <v>0</v>
      </c>
      <c r="CR158" s="459">
        <f t="shared" si="447"/>
        <v>0</v>
      </c>
      <c r="CS158" s="459">
        <f t="shared" si="448"/>
        <v>0</v>
      </c>
      <c r="CT158" s="459">
        <f t="shared" si="449"/>
        <v>0</v>
      </c>
      <c r="CU158" s="459">
        <f t="shared" si="450"/>
        <v>0</v>
      </c>
      <c r="CV158" s="459">
        <f t="shared" si="451"/>
        <v>0</v>
      </c>
      <c r="CW158" s="459">
        <f t="shared" si="452"/>
        <v>0</v>
      </c>
      <c r="CX158" s="459">
        <f t="shared" si="453"/>
        <v>0</v>
      </c>
      <c r="CY158" s="459">
        <f t="shared" si="454"/>
        <v>0</v>
      </c>
      <c r="CZ158" s="460">
        <f t="shared" si="455"/>
        <v>0</v>
      </c>
      <c r="DA158" s="463"/>
      <c r="DB158" s="459">
        <f t="shared" si="456"/>
        <v>0</v>
      </c>
      <c r="DC158" s="459">
        <f t="shared" si="457"/>
        <v>0</v>
      </c>
      <c r="DD158" s="459">
        <f t="shared" si="458"/>
        <v>0</v>
      </c>
      <c r="DE158" s="459">
        <f t="shared" si="459"/>
        <v>0</v>
      </c>
      <c r="DF158" s="459">
        <f t="shared" si="460"/>
        <v>0</v>
      </c>
      <c r="DG158" s="459">
        <f t="shared" si="461"/>
        <v>0</v>
      </c>
      <c r="DH158" s="459">
        <f t="shared" si="462"/>
        <v>0</v>
      </c>
      <c r="DI158" s="459">
        <f t="shared" si="463"/>
        <v>0</v>
      </c>
      <c r="DJ158" s="459">
        <f t="shared" si="464"/>
        <v>0</v>
      </c>
      <c r="DK158" s="459">
        <f t="shared" si="465"/>
        <v>0</v>
      </c>
      <c r="DL158" s="460">
        <f t="shared" si="466"/>
        <v>0</v>
      </c>
      <c r="DM158" s="463"/>
      <c r="DN158" s="442">
        <f>IF('2. START'!$C$14&gt;0,(AT158/(1+$AA158))*(1+'2. START'!$C$14),AT158)</f>
        <v>0</v>
      </c>
      <c r="DO158" s="442">
        <f>IF('2. START'!$C$14&gt;0,(AU158/(1+$AA158))*(1+'2. START'!$C$14),AU158)</f>
        <v>0</v>
      </c>
      <c r="DP158" s="442">
        <f>IF('2. START'!$C$14&gt;0,(AV158/(1+$AA158))*(1+'2. START'!$C$14),AV158)</f>
        <v>0</v>
      </c>
      <c r="DQ158" s="442">
        <f>IF('2. START'!$C$14&gt;0,(AW158/(1+$AA158))*(1+'2. START'!$C$14),AW158)</f>
        <v>0</v>
      </c>
      <c r="DR158" s="442">
        <f>IF('2. START'!$C$14&gt;0,(AX158/(1+$AA158))*(1+'2. START'!$C$14),AX158)</f>
        <v>0</v>
      </c>
      <c r="DS158" s="442">
        <f>IF('2. START'!$C$14&gt;0,(AY158/(1+$AA158))*(1+'2. START'!$C$14),AY158)</f>
        <v>0</v>
      </c>
      <c r="DT158" s="442">
        <f>IF('2. START'!$C$14&gt;0,(AZ158/(1+$AA158))*(1+'2. START'!$C$14),AZ158)</f>
        <v>0</v>
      </c>
      <c r="DU158" s="442">
        <f>IF('2. START'!$C$14&gt;0,(BA158/(1+$AA158))*(1+'2. START'!$C$14),BA158)</f>
        <v>0</v>
      </c>
      <c r="DV158" s="442">
        <f>IF('2. START'!$C$14&gt;0,(BB158/(1+$AA158))*(1+'2. START'!$C$14),BB158)</f>
        <v>0</v>
      </c>
      <c r="DW158" s="442">
        <f>IF('2. START'!$C$14&gt;0,(BC158/(1+$AA158))*(1+'2. START'!$C$14),BC158)</f>
        <v>0</v>
      </c>
      <c r="DX158" s="460">
        <f t="shared" si="467"/>
        <v>0</v>
      </c>
      <c r="DY158" s="463"/>
      <c r="DZ158" s="459">
        <f>IF('2. START'!$C$11="NO",(IF('2. START'!$C$14&gt;0,(DN158*$AD158),(AT158*$AD158))),(BR158+CP158))</f>
        <v>0</v>
      </c>
      <c r="EA158" s="459">
        <f>IF('2. START'!$C$11="NO",(IF('2. START'!$C$14&gt;0,(DO158*$AD158),(AU158*$AD158))),(BS158+CQ158))</f>
        <v>0</v>
      </c>
      <c r="EB158" s="459">
        <f>IF('2. START'!$C$11="NO",(IF('2. START'!$C$14&gt;0,(DP158*$AD158),(AV158*$AD158))),(BT158+CR158))</f>
        <v>0</v>
      </c>
      <c r="EC158" s="459">
        <f>IF('2. START'!$C$11="NO",(IF('2. START'!$C$14&gt;0,(DQ158*$AD158),(AW158*$AD158))),(BU158+CS158))</f>
        <v>0</v>
      </c>
      <c r="ED158" s="459">
        <f>IF('2. START'!$C$11="NO",(IF('2. START'!$C$14&gt;0,(DR158*$AD158),(AX158*$AD158))),(BV158+CT158))</f>
        <v>0</v>
      </c>
      <c r="EE158" s="459">
        <f>IF('2. START'!$C$11="NO",(IF('2. START'!$C$14&gt;0,(DS158*$AD158),(AY158*$AD158))),(BW158+CU158))</f>
        <v>0</v>
      </c>
      <c r="EF158" s="459">
        <f>IF('2. START'!$C$11="NO",(IF('2. START'!$C$14&gt;0,(DT158*$AD158),(AZ158*$AD158))),(BX158+CV158))</f>
        <v>0</v>
      </c>
      <c r="EG158" s="459">
        <f>IF('2. START'!$C$11="NO",(IF('2. START'!$C$14&gt;0,(DU158*$AD158),(BA158*$AD158))),(BY158+CW158))</f>
        <v>0</v>
      </c>
      <c r="EH158" s="459">
        <f>IF('2. START'!$C$11="NO",(IF('2. START'!$C$14&gt;0,(DV158*$AD158),(BB158*$AD158))),(BZ158+CX158))</f>
        <v>0</v>
      </c>
      <c r="EI158" s="459">
        <f>IF('2. START'!$C$11="NO",(IF('2. START'!$C$14&gt;0,(DW158*$AD158),(BC158*$AD158))),(CA158+CY158))</f>
        <v>0</v>
      </c>
      <c r="EJ158" s="460">
        <f t="shared" si="468"/>
        <v>0</v>
      </c>
      <c r="EK158" s="463"/>
      <c r="EL158" s="459">
        <f>(BR158+CP158-DZ158)+IF('2. START'!$C$14&gt;0,AT158-DN158,0)</f>
        <v>0</v>
      </c>
      <c r="EM158" s="459">
        <f>(BS158+CQ158-EA158)+IF('2. START'!$C$14&gt;0,AU158-DO158,0)</f>
        <v>0</v>
      </c>
      <c r="EN158" s="459">
        <f>(BT158+CR158-EB158)+IF('2. START'!$C$14&gt;0,AV158-DP158,0)</f>
        <v>0</v>
      </c>
      <c r="EO158" s="459">
        <f>(BU158+CS158-EC158)+IF('2. START'!$C$14&gt;0,AW158-DQ158,0)</f>
        <v>0</v>
      </c>
      <c r="EP158" s="459">
        <f>(BV158+CT158-ED158)+IF('2. START'!$C$14&gt;0,AX158-DR158,0)</f>
        <v>0</v>
      </c>
      <c r="EQ158" s="459">
        <f>(BW158+CU158-EE158)+IF('2. START'!$C$14&gt;0,AY158-DS158,0)</f>
        <v>0</v>
      </c>
      <c r="ER158" s="459">
        <f>(BX158+CV158-EF158)+IF('2. START'!$C$14&gt;0,AZ158-DT158,0)</f>
        <v>0</v>
      </c>
      <c r="ES158" s="459">
        <f>(BY158+CW158-EG158)+IF('2. START'!$C$14&gt;0,BA158-DU158,0)</f>
        <v>0</v>
      </c>
      <c r="ET158" s="459">
        <f>(BZ158+CX158-EH158)+IF('2. START'!$C$14&gt;0,BB158-DV158,0)</f>
        <v>0</v>
      </c>
      <c r="EU158" s="459">
        <f>(CA158+CY158-EI158)+IF('2. START'!$C$14&gt;0,BC158-DW158,0)</f>
        <v>0</v>
      </c>
      <c r="EV158" s="460">
        <f t="shared" si="469"/>
        <v>0</v>
      </c>
      <c r="EW158" s="463"/>
      <c r="EX158" s="459">
        <f t="shared" si="470"/>
        <v>0</v>
      </c>
      <c r="EY158" s="459">
        <f t="shared" si="471"/>
        <v>0</v>
      </c>
      <c r="EZ158" s="459">
        <f t="shared" si="472"/>
        <v>0</v>
      </c>
      <c r="FA158" s="459">
        <f t="shared" si="473"/>
        <v>0</v>
      </c>
      <c r="FB158" s="459">
        <f t="shared" si="474"/>
        <v>0</v>
      </c>
      <c r="FC158" s="459">
        <f t="shared" si="475"/>
        <v>0</v>
      </c>
      <c r="FD158" s="459">
        <f t="shared" si="476"/>
        <v>0</v>
      </c>
      <c r="FE158" s="459">
        <f t="shared" si="477"/>
        <v>0</v>
      </c>
      <c r="FF158" s="459">
        <f t="shared" si="478"/>
        <v>0</v>
      </c>
      <c r="FG158" s="459">
        <f t="shared" si="479"/>
        <v>0</v>
      </c>
      <c r="FH158" s="460">
        <f t="shared" si="480"/>
        <v>0</v>
      </c>
      <c r="FI158" s="463"/>
      <c r="FJ158" s="459">
        <f t="shared" si="481"/>
        <v>0</v>
      </c>
      <c r="FK158" s="459">
        <f t="shared" si="482"/>
        <v>0</v>
      </c>
      <c r="FL158" s="459">
        <f t="shared" si="483"/>
        <v>0</v>
      </c>
      <c r="FM158" s="459">
        <f t="shared" si="484"/>
        <v>0</v>
      </c>
      <c r="FN158" s="459">
        <f t="shared" si="485"/>
        <v>0</v>
      </c>
      <c r="FO158" s="459">
        <f t="shared" si="486"/>
        <v>0</v>
      </c>
      <c r="FP158" s="459">
        <f t="shared" si="487"/>
        <v>0</v>
      </c>
      <c r="FQ158" s="459">
        <f t="shared" si="488"/>
        <v>0</v>
      </c>
      <c r="FR158" s="459">
        <f t="shared" si="489"/>
        <v>0</v>
      </c>
      <c r="FS158" s="459">
        <f t="shared" si="490"/>
        <v>0</v>
      </c>
      <c r="FT158" s="460">
        <f t="shared" si="491"/>
        <v>0</v>
      </c>
    </row>
    <row r="159" spans="2:176" s="270" customFormat="1" ht="15" customHeight="1" x14ac:dyDescent="0.25">
      <c r="B159" s="464" t="str">
        <f>'2. START'!C$7</f>
        <v>100GEM</v>
      </c>
      <c r="C159" s="470"/>
      <c r="D159" s="590"/>
      <c r="E159" s="514">
        <v>0</v>
      </c>
      <c r="F159" s="467"/>
      <c r="G159" s="432"/>
      <c r="H159" s="432"/>
      <c r="I159" s="432"/>
      <c r="J159" s="432"/>
      <c r="K159" s="432"/>
      <c r="L159" s="432"/>
      <c r="M159" s="432"/>
      <c r="N159" s="432"/>
      <c r="O159" s="432"/>
      <c r="P159" s="432"/>
      <c r="Q159" s="545">
        <f>SUMIF('3. PARTNER'!$B$13:$B$80,$B159,'3. PARTNER'!$F$13:$F$80)</f>
        <v>0.02</v>
      </c>
      <c r="R159" s="466">
        <f t="shared" si="387"/>
        <v>0.02</v>
      </c>
      <c r="S159" s="466">
        <f t="shared" si="387"/>
        <v>0.02</v>
      </c>
      <c r="T159" s="466">
        <f t="shared" si="387"/>
        <v>0.02</v>
      </c>
      <c r="U159" s="466">
        <f t="shared" si="387"/>
        <v>0.02</v>
      </c>
      <c r="V159" s="466">
        <f t="shared" si="387"/>
        <v>0.02</v>
      </c>
      <c r="W159" s="466">
        <f t="shared" si="387"/>
        <v>0.02</v>
      </c>
      <c r="X159" s="466">
        <f t="shared" si="387"/>
        <v>0.02</v>
      </c>
      <c r="Y159" s="466">
        <f t="shared" si="387"/>
        <v>0.02</v>
      </c>
      <c r="Z159" s="466">
        <f t="shared" si="387"/>
        <v>0.02</v>
      </c>
      <c r="AA159" s="434">
        <f>SUMIF('3. PARTNER'!B$13:B$80,B159,'3. PARTNER'!E$13:E$80)</f>
        <v>0.5595</v>
      </c>
      <c r="AB159" s="435">
        <f>IF('2. START'!$C$20="UTB",(SUMIF('3. PARTNER'!B$13:B$80,B159,'3. PARTNER'!K$13:K$80))+(SUMIF('3. PARTNER'!B$13:B$80,B159,'3. PARTNER'!M$13:M$80)),(SUMIF('3. PARTNER'!B$13:B$80,B159,'3. PARTNER'!G$13:G$80))+(SUMIF('3. PARTNER'!B$13:B$80,B159,'3. PARTNER'!I$13:I$80)))</f>
        <v>0.16000843770704321</v>
      </c>
      <c r="AC159" s="435">
        <f>IF('2. START'!$C$20="UTB",(SUMIF('3. PARTNER'!B$13:B$80,B159,'3. PARTNER'!L$13:L$80))+(SUMIF('3. PARTNER'!B$13:B$80,B159,'3. PARTNER'!N$13:N$80)),(SUMIF('3. PARTNER'!B$13:B$80,B159,'3. PARTNER'!H$13:H$80))+(SUMIF('3. PARTNER'!B$13:B$80,B159,'3. PARTNER'!J$13:J$80)))</f>
        <v>0</v>
      </c>
      <c r="AD159" s="435">
        <f>IF('2. START'!C$11="NO",'2. START'!C$12,0)</f>
        <v>0</v>
      </c>
      <c r="AE159" s="436">
        <f t="shared" si="388"/>
        <v>0</v>
      </c>
      <c r="AF159" s="436">
        <f t="shared" si="389"/>
        <v>0</v>
      </c>
      <c r="AG159" s="437"/>
      <c r="AH159" s="438">
        <f t="shared" si="390"/>
        <v>0</v>
      </c>
      <c r="AI159" s="438">
        <f t="shared" si="391"/>
        <v>0</v>
      </c>
      <c r="AJ159" s="438">
        <f t="shared" si="392"/>
        <v>0</v>
      </c>
      <c r="AK159" s="438">
        <f t="shared" si="393"/>
        <v>0</v>
      </c>
      <c r="AL159" s="438">
        <f t="shared" si="394"/>
        <v>0</v>
      </c>
      <c r="AM159" s="438">
        <f t="shared" si="395"/>
        <v>0</v>
      </c>
      <c r="AN159" s="438">
        <f t="shared" si="396"/>
        <v>0</v>
      </c>
      <c r="AO159" s="438">
        <f t="shared" si="397"/>
        <v>0</v>
      </c>
      <c r="AP159" s="438">
        <f t="shared" si="398"/>
        <v>0</v>
      </c>
      <c r="AQ159" s="438">
        <f t="shared" si="399"/>
        <v>0</v>
      </c>
      <c r="AR159" s="439">
        <f t="shared" si="400"/>
        <v>0</v>
      </c>
      <c r="AS159" s="440"/>
      <c r="AT159" s="438">
        <f t="shared" si="401"/>
        <v>0</v>
      </c>
      <c r="AU159" s="438">
        <f t="shared" si="402"/>
        <v>0</v>
      </c>
      <c r="AV159" s="438">
        <f t="shared" si="403"/>
        <v>0</v>
      </c>
      <c r="AW159" s="438">
        <f t="shared" si="404"/>
        <v>0</v>
      </c>
      <c r="AX159" s="438">
        <f t="shared" si="405"/>
        <v>0</v>
      </c>
      <c r="AY159" s="438">
        <f t="shared" si="406"/>
        <v>0</v>
      </c>
      <c r="AZ159" s="438">
        <f t="shared" si="407"/>
        <v>0</v>
      </c>
      <c r="BA159" s="438">
        <f t="shared" si="408"/>
        <v>0</v>
      </c>
      <c r="BB159" s="438">
        <f t="shared" si="409"/>
        <v>0</v>
      </c>
      <c r="BC159" s="438">
        <f t="shared" si="410"/>
        <v>0</v>
      </c>
      <c r="BD159" s="439">
        <f t="shared" si="411"/>
        <v>0</v>
      </c>
      <c r="BE159" s="440"/>
      <c r="BF159" s="438">
        <f t="shared" si="412"/>
        <v>0</v>
      </c>
      <c r="BG159" s="438">
        <f t="shared" si="413"/>
        <v>0</v>
      </c>
      <c r="BH159" s="438">
        <f t="shared" si="414"/>
        <v>0</v>
      </c>
      <c r="BI159" s="438">
        <f t="shared" si="415"/>
        <v>0</v>
      </c>
      <c r="BJ159" s="438">
        <f t="shared" si="416"/>
        <v>0</v>
      </c>
      <c r="BK159" s="438">
        <f t="shared" si="417"/>
        <v>0</v>
      </c>
      <c r="BL159" s="438">
        <f t="shared" si="418"/>
        <v>0</v>
      </c>
      <c r="BM159" s="438">
        <f t="shared" si="419"/>
        <v>0</v>
      </c>
      <c r="BN159" s="438">
        <f t="shared" si="420"/>
        <v>0</v>
      </c>
      <c r="BO159" s="438">
        <f t="shared" si="421"/>
        <v>0</v>
      </c>
      <c r="BP159" s="439">
        <f t="shared" si="422"/>
        <v>0</v>
      </c>
      <c r="BR159" s="442">
        <f t="shared" si="423"/>
        <v>0</v>
      </c>
      <c r="BS159" s="442">
        <f t="shared" si="424"/>
        <v>0</v>
      </c>
      <c r="BT159" s="442">
        <f t="shared" si="425"/>
        <v>0</v>
      </c>
      <c r="BU159" s="442">
        <f t="shared" si="426"/>
        <v>0</v>
      </c>
      <c r="BV159" s="442">
        <f t="shared" si="427"/>
        <v>0</v>
      </c>
      <c r="BW159" s="442">
        <f t="shared" si="428"/>
        <v>0</v>
      </c>
      <c r="BX159" s="442">
        <f t="shared" si="429"/>
        <v>0</v>
      </c>
      <c r="BY159" s="442">
        <f t="shared" si="430"/>
        <v>0</v>
      </c>
      <c r="BZ159" s="442">
        <f t="shared" si="431"/>
        <v>0</v>
      </c>
      <c r="CA159" s="442">
        <f t="shared" si="432"/>
        <v>0</v>
      </c>
      <c r="CB159" s="443">
        <f t="shared" si="433"/>
        <v>0</v>
      </c>
      <c r="CD159" s="445">
        <f t="shared" si="434"/>
        <v>0</v>
      </c>
      <c r="CE159" s="445">
        <f t="shared" si="435"/>
        <v>0</v>
      </c>
      <c r="CF159" s="445">
        <f t="shared" si="436"/>
        <v>0</v>
      </c>
      <c r="CG159" s="445">
        <f t="shared" si="437"/>
        <v>0</v>
      </c>
      <c r="CH159" s="445">
        <f t="shared" si="438"/>
        <v>0</v>
      </c>
      <c r="CI159" s="445">
        <f t="shared" si="439"/>
        <v>0</v>
      </c>
      <c r="CJ159" s="445">
        <f t="shared" si="440"/>
        <v>0</v>
      </c>
      <c r="CK159" s="445">
        <f t="shared" si="441"/>
        <v>0</v>
      </c>
      <c r="CL159" s="445">
        <f t="shared" si="442"/>
        <v>0</v>
      </c>
      <c r="CM159" s="445">
        <f t="shared" si="443"/>
        <v>0</v>
      </c>
      <c r="CN159" s="443">
        <f t="shared" si="444"/>
        <v>0</v>
      </c>
      <c r="CP159" s="442">
        <f t="shared" si="445"/>
        <v>0</v>
      </c>
      <c r="CQ159" s="442">
        <f t="shared" si="446"/>
        <v>0</v>
      </c>
      <c r="CR159" s="442">
        <f t="shared" si="447"/>
        <v>0</v>
      </c>
      <c r="CS159" s="442">
        <f t="shared" si="448"/>
        <v>0</v>
      </c>
      <c r="CT159" s="442">
        <f t="shared" si="449"/>
        <v>0</v>
      </c>
      <c r="CU159" s="442">
        <f t="shared" si="450"/>
        <v>0</v>
      </c>
      <c r="CV159" s="442">
        <f t="shared" si="451"/>
        <v>0</v>
      </c>
      <c r="CW159" s="442">
        <f t="shared" si="452"/>
        <v>0</v>
      </c>
      <c r="CX159" s="442">
        <f t="shared" si="453"/>
        <v>0</v>
      </c>
      <c r="CY159" s="442">
        <f t="shared" si="454"/>
        <v>0</v>
      </c>
      <c r="CZ159" s="443">
        <f t="shared" si="455"/>
        <v>0</v>
      </c>
      <c r="DB159" s="442">
        <f t="shared" si="456"/>
        <v>0</v>
      </c>
      <c r="DC159" s="442">
        <f t="shared" si="457"/>
        <v>0</v>
      </c>
      <c r="DD159" s="442">
        <f t="shared" si="458"/>
        <v>0</v>
      </c>
      <c r="DE159" s="442">
        <f t="shared" si="459"/>
        <v>0</v>
      </c>
      <c r="DF159" s="442">
        <f t="shared" si="460"/>
        <v>0</v>
      </c>
      <c r="DG159" s="442">
        <f t="shared" si="461"/>
        <v>0</v>
      </c>
      <c r="DH159" s="442">
        <f t="shared" si="462"/>
        <v>0</v>
      </c>
      <c r="DI159" s="442">
        <f t="shared" si="463"/>
        <v>0</v>
      </c>
      <c r="DJ159" s="442">
        <f t="shared" si="464"/>
        <v>0</v>
      </c>
      <c r="DK159" s="442">
        <f t="shared" si="465"/>
        <v>0</v>
      </c>
      <c r="DL159" s="443">
        <f t="shared" si="466"/>
        <v>0</v>
      </c>
      <c r="DN159" s="442">
        <f>IF('2. START'!$C$14&gt;0,(AT159/(1+$AA159))*(1+'2. START'!$C$14),AT159)</f>
        <v>0</v>
      </c>
      <c r="DO159" s="442">
        <f>IF('2. START'!$C$14&gt;0,(AU159/(1+$AA159))*(1+'2. START'!$C$14),AU159)</f>
        <v>0</v>
      </c>
      <c r="DP159" s="442">
        <f>IF('2. START'!$C$14&gt;0,(AV159/(1+$AA159))*(1+'2. START'!$C$14),AV159)</f>
        <v>0</v>
      </c>
      <c r="DQ159" s="442">
        <f>IF('2. START'!$C$14&gt;0,(AW159/(1+$AA159))*(1+'2. START'!$C$14),AW159)</f>
        <v>0</v>
      </c>
      <c r="DR159" s="442">
        <f>IF('2. START'!$C$14&gt;0,(AX159/(1+$AA159))*(1+'2. START'!$C$14),AX159)</f>
        <v>0</v>
      </c>
      <c r="DS159" s="442">
        <f>IF('2. START'!$C$14&gt;0,(AY159/(1+$AA159))*(1+'2. START'!$C$14),AY159)</f>
        <v>0</v>
      </c>
      <c r="DT159" s="442">
        <f>IF('2. START'!$C$14&gt;0,(AZ159/(1+$AA159))*(1+'2. START'!$C$14),AZ159)</f>
        <v>0</v>
      </c>
      <c r="DU159" s="442">
        <f>IF('2. START'!$C$14&gt;0,(BA159/(1+$AA159))*(1+'2. START'!$C$14),BA159)</f>
        <v>0</v>
      </c>
      <c r="DV159" s="442">
        <f>IF('2. START'!$C$14&gt;0,(BB159/(1+$AA159))*(1+'2. START'!$C$14),BB159)</f>
        <v>0</v>
      </c>
      <c r="DW159" s="442">
        <f>IF('2. START'!$C$14&gt;0,(BC159/(1+$AA159))*(1+'2. START'!$C$14),BC159)</f>
        <v>0</v>
      </c>
      <c r="DX159" s="443">
        <f t="shared" si="467"/>
        <v>0</v>
      </c>
      <c r="DZ159" s="442">
        <f>IF('2. START'!$C$11="NO",(IF('2. START'!$C$14&gt;0,(DN159*$AD159),(AT159*$AD159))),(BR159+CP159))</f>
        <v>0</v>
      </c>
      <c r="EA159" s="442">
        <f>IF('2. START'!$C$11="NO",(IF('2. START'!$C$14&gt;0,(DO159*$AD159),(AU159*$AD159))),(BS159+CQ159))</f>
        <v>0</v>
      </c>
      <c r="EB159" s="442">
        <f>IF('2. START'!$C$11="NO",(IF('2. START'!$C$14&gt;0,(DP159*$AD159),(AV159*$AD159))),(BT159+CR159))</f>
        <v>0</v>
      </c>
      <c r="EC159" s="442">
        <f>IF('2. START'!$C$11="NO",(IF('2. START'!$C$14&gt;0,(DQ159*$AD159),(AW159*$AD159))),(BU159+CS159))</f>
        <v>0</v>
      </c>
      <c r="ED159" s="442">
        <f>IF('2. START'!$C$11="NO",(IF('2. START'!$C$14&gt;0,(DR159*$AD159),(AX159*$AD159))),(BV159+CT159))</f>
        <v>0</v>
      </c>
      <c r="EE159" s="442">
        <f>IF('2. START'!$C$11="NO",(IF('2. START'!$C$14&gt;0,(DS159*$AD159),(AY159*$AD159))),(BW159+CU159))</f>
        <v>0</v>
      </c>
      <c r="EF159" s="442">
        <f>IF('2. START'!$C$11="NO",(IF('2. START'!$C$14&gt;0,(DT159*$AD159),(AZ159*$AD159))),(BX159+CV159))</f>
        <v>0</v>
      </c>
      <c r="EG159" s="442">
        <f>IF('2. START'!$C$11="NO",(IF('2. START'!$C$14&gt;0,(DU159*$AD159),(BA159*$AD159))),(BY159+CW159))</f>
        <v>0</v>
      </c>
      <c r="EH159" s="442">
        <f>IF('2. START'!$C$11="NO",(IF('2. START'!$C$14&gt;0,(DV159*$AD159),(BB159*$AD159))),(BZ159+CX159))</f>
        <v>0</v>
      </c>
      <c r="EI159" s="442">
        <f>IF('2. START'!$C$11="NO",(IF('2. START'!$C$14&gt;0,(DW159*$AD159),(BC159*$AD159))),(CA159+CY159))</f>
        <v>0</v>
      </c>
      <c r="EJ159" s="443">
        <f t="shared" si="468"/>
        <v>0</v>
      </c>
      <c r="EL159" s="442">
        <f>(BR159+CP159-DZ159)+IF('2. START'!$C$14&gt;0,AT159-DN159,0)</f>
        <v>0</v>
      </c>
      <c r="EM159" s="442">
        <f>(BS159+CQ159-EA159)+IF('2. START'!$C$14&gt;0,AU159-DO159,0)</f>
        <v>0</v>
      </c>
      <c r="EN159" s="442">
        <f>(BT159+CR159-EB159)+IF('2. START'!$C$14&gt;0,AV159-DP159,0)</f>
        <v>0</v>
      </c>
      <c r="EO159" s="442">
        <f>(BU159+CS159-EC159)+IF('2. START'!$C$14&gt;0,AW159-DQ159,0)</f>
        <v>0</v>
      </c>
      <c r="EP159" s="442">
        <f>(BV159+CT159-ED159)+IF('2. START'!$C$14&gt;0,AX159-DR159,0)</f>
        <v>0</v>
      </c>
      <c r="EQ159" s="442">
        <f>(BW159+CU159-EE159)+IF('2. START'!$C$14&gt;0,AY159-DS159,0)</f>
        <v>0</v>
      </c>
      <c r="ER159" s="442">
        <f>(BX159+CV159-EF159)+IF('2. START'!$C$14&gt;0,AZ159-DT159,0)</f>
        <v>0</v>
      </c>
      <c r="ES159" s="442">
        <f>(BY159+CW159-EG159)+IF('2. START'!$C$14&gt;0,BA159-DU159,0)</f>
        <v>0</v>
      </c>
      <c r="ET159" s="442">
        <f>(BZ159+CX159-EH159)+IF('2. START'!$C$14&gt;0,BB159-DV159,0)</f>
        <v>0</v>
      </c>
      <c r="EU159" s="442">
        <f>(CA159+CY159-EI159)+IF('2. START'!$C$14&gt;0,BC159-DW159,0)</f>
        <v>0</v>
      </c>
      <c r="EV159" s="443">
        <f t="shared" si="469"/>
        <v>0</v>
      </c>
      <c r="EX159" s="442">
        <f t="shared" si="470"/>
        <v>0</v>
      </c>
      <c r="EY159" s="442">
        <f t="shared" si="471"/>
        <v>0</v>
      </c>
      <c r="EZ159" s="442">
        <f t="shared" si="472"/>
        <v>0</v>
      </c>
      <c r="FA159" s="442">
        <f t="shared" si="473"/>
        <v>0</v>
      </c>
      <c r="FB159" s="442">
        <f t="shared" si="474"/>
        <v>0</v>
      </c>
      <c r="FC159" s="442">
        <f t="shared" si="475"/>
        <v>0</v>
      </c>
      <c r="FD159" s="442">
        <f t="shared" si="476"/>
        <v>0</v>
      </c>
      <c r="FE159" s="442">
        <f t="shared" si="477"/>
        <v>0</v>
      </c>
      <c r="FF159" s="442">
        <f t="shared" si="478"/>
        <v>0</v>
      </c>
      <c r="FG159" s="442">
        <f t="shared" si="479"/>
        <v>0</v>
      </c>
      <c r="FH159" s="443">
        <f t="shared" si="480"/>
        <v>0</v>
      </c>
      <c r="FJ159" s="442">
        <f t="shared" si="481"/>
        <v>0</v>
      </c>
      <c r="FK159" s="442">
        <f t="shared" si="482"/>
        <v>0</v>
      </c>
      <c r="FL159" s="442">
        <f t="shared" si="483"/>
        <v>0</v>
      </c>
      <c r="FM159" s="442">
        <f t="shared" si="484"/>
        <v>0</v>
      </c>
      <c r="FN159" s="442">
        <f t="shared" si="485"/>
        <v>0</v>
      </c>
      <c r="FO159" s="442">
        <f t="shared" si="486"/>
        <v>0</v>
      </c>
      <c r="FP159" s="442">
        <f t="shared" si="487"/>
        <v>0</v>
      </c>
      <c r="FQ159" s="442">
        <f t="shared" si="488"/>
        <v>0</v>
      </c>
      <c r="FR159" s="442">
        <f t="shared" si="489"/>
        <v>0</v>
      </c>
      <c r="FS159" s="442">
        <f t="shared" si="490"/>
        <v>0</v>
      </c>
      <c r="FT159" s="443">
        <f t="shared" si="491"/>
        <v>0</v>
      </c>
    </row>
    <row r="160" spans="2:176" s="270" customFormat="1" ht="15" customHeight="1" x14ac:dyDescent="0.25">
      <c r="B160" s="446" t="str">
        <f>'2. START'!C$7</f>
        <v>100GEM</v>
      </c>
      <c r="C160" s="469"/>
      <c r="D160" s="589"/>
      <c r="E160" s="544">
        <v>0</v>
      </c>
      <c r="F160" s="448"/>
      <c r="G160" s="449"/>
      <c r="H160" s="449"/>
      <c r="I160" s="449"/>
      <c r="J160" s="449"/>
      <c r="K160" s="449"/>
      <c r="L160" s="449"/>
      <c r="M160" s="449"/>
      <c r="N160" s="449"/>
      <c r="O160" s="449"/>
      <c r="P160" s="449"/>
      <c r="Q160" s="546">
        <f>SUMIF('3. PARTNER'!$B$13:$B$80,$B160,'3. PARTNER'!$F$13:$F$80)</f>
        <v>0.02</v>
      </c>
      <c r="R160" s="450">
        <f t="shared" si="387"/>
        <v>0.02</v>
      </c>
      <c r="S160" s="450">
        <f t="shared" si="387"/>
        <v>0.02</v>
      </c>
      <c r="T160" s="450">
        <f t="shared" si="387"/>
        <v>0.02</v>
      </c>
      <c r="U160" s="450">
        <f t="shared" si="387"/>
        <v>0.02</v>
      </c>
      <c r="V160" s="450">
        <f t="shared" si="387"/>
        <v>0.02</v>
      </c>
      <c r="W160" s="450">
        <f t="shared" si="387"/>
        <v>0.02</v>
      </c>
      <c r="X160" s="450">
        <f t="shared" si="387"/>
        <v>0.02</v>
      </c>
      <c r="Y160" s="450">
        <f t="shared" si="387"/>
        <v>0.02</v>
      </c>
      <c r="Z160" s="450">
        <f t="shared" si="387"/>
        <v>0.02</v>
      </c>
      <c r="AA160" s="451">
        <f>SUMIF('3. PARTNER'!B$13:B$80,B160,'3. PARTNER'!E$13:E$80)</f>
        <v>0.5595</v>
      </c>
      <c r="AB160" s="452">
        <f>IF('2. START'!$C$20="UTB",(SUMIF('3. PARTNER'!B$13:B$80,B160,'3. PARTNER'!K$13:K$80))+(SUMIF('3. PARTNER'!B$13:B$80,B160,'3. PARTNER'!M$13:M$80)),(SUMIF('3. PARTNER'!B$13:B$80,B160,'3. PARTNER'!G$13:G$80))+(SUMIF('3. PARTNER'!B$13:B$80,B160,'3. PARTNER'!I$13:I$80)))</f>
        <v>0.16000843770704321</v>
      </c>
      <c r="AC160" s="452">
        <f>IF('2. START'!$C$20="UTB",(SUMIF('3. PARTNER'!B$13:B$80,B160,'3. PARTNER'!L$13:L$80))+(SUMIF('3. PARTNER'!B$13:B$80,B160,'3. PARTNER'!N$13:N$80)),(SUMIF('3. PARTNER'!B$13:B$80,B160,'3. PARTNER'!H$13:H$80))+(SUMIF('3. PARTNER'!B$13:B$80,B160,'3. PARTNER'!J$13:J$80)))</f>
        <v>0</v>
      </c>
      <c r="AD160" s="452">
        <f>IF('2. START'!C$11="NO",'2. START'!C$12,0)</f>
        <v>0</v>
      </c>
      <c r="AE160" s="453">
        <f t="shared" si="388"/>
        <v>0</v>
      </c>
      <c r="AF160" s="453">
        <f t="shared" si="389"/>
        <v>0</v>
      </c>
      <c r="AG160" s="454"/>
      <c r="AH160" s="455">
        <f t="shared" si="390"/>
        <v>0</v>
      </c>
      <c r="AI160" s="455">
        <f t="shared" si="391"/>
        <v>0</v>
      </c>
      <c r="AJ160" s="455">
        <f t="shared" si="392"/>
        <v>0</v>
      </c>
      <c r="AK160" s="455">
        <f t="shared" si="393"/>
        <v>0</v>
      </c>
      <c r="AL160" s="455">
        <f t="shared" si="394"/>
        <v>0</v>
      </c>
      <c r="AM160" s="455">
        <f t="shared" si="395"/>
        <v>0</v>
      </c>
      <c r="AN160" s="455">
        <f t="shared" si="396"/>
        <v>0</v>
      </c>
      <c r="AO160" s="455">
        <f t="shared" si="397"/>
        <v>0</v>
      </c>
      <c r="AP160" s="455">
        <f t="shared" si="398"/>
        <v>0</v>
      </c>
      <c r="AQ160" s="455">
        <f t="shared" si="399"/>
        <v>0</v>
      </c>
      <c r="AR160" s="456">
        <f t="shared" si="400"/>
        <v>0</v>
      </c>
      <c r="AS160" s="457"/>
      <c r="AT160" s="455">
        <f t="shared" si="401"/>
        <v>0</v>
      </c>
      <c r="AU160" s="455">
        <f t="shared" si="402"/>
        <v>0</v>
      </c>
      <c r="AV160" s="455">
        <f t="shared" si="403"/>
        <v>0</v>
      </c>
      <c r="AW160" s="455">
        <f t="shared" si="404"/>
        <v>0</v>
      </c>
      <c r="AX160" s="455">
        <f t="shared" si="405"/>
        <v>0</v>
      </c>
      <c r="AY160" s="455">
        <f t="shared" si="406"/>
        <v>0</v>
      </c>
      <c r="AZ160" s="455">
        <f t="shared" si="407"/>
        <v>0</v>
      </c>
      <c r="BA160" s="455">
        <f t="shared" si="408"/>
        <v>0</v>
      </c>
      <c r="BB160" s="455">
        <f t="shared" si="409"/>
        <v>0</v>
      </c>
      <c r="BC160" s="455">
        <f t="shared" si="410"/>
        <v>0</v>
      </c>
      <c r="BD160" s="456">
        <f t="shared" si="411"/>
        <v>0</v>
      </c>
      <c r="BE160" s="457"/>
      <c r="BF160" s="455">
        <f t="shared" si="412"/>
        <v>0</v>
      </c>
      <c r="BG160" s="455">
        <f t="shared" si="413"/>
        <v>0</v>
      </c>
      <c r="BH160" s="455">
        <f t="shared" si="414"/>
        <v>0</v>
      </c>
      <c r="BI160" s="455">
        <f t="shared" si="415"/>
        <v>0</v>
      </c>
      <c r="BJ160" s="455">
        <f t="shared" si="416"/>
        <v>0</v>
      </c>
      <c r="BK160" s="455">
        <f t="shared" si="417"/>
        <v>0</v>
      </c>
      <c r="BL160" s="455">
        <f t="shared" si="418"/>
        <v>0</v>
      </c>
      <c r="BM160" s="455">
        <f t="shared" si="419"/>
        <v>0</v>
      </c>
      <c r="BN160" s="455">
        <f t="shared" si="420"/>
        <v>0</v>
      </c>
      <c r="BO160" s="455">
        <f t="shared" si="421"/>
        <v>0</v>
      </c>
      <c r="BP160" s="456">
        <f t="shared" si="422"/>
        <v>0</v>
      </c>
      <c r="BQ160" s="463"/>
      <c r="BR160" s="459">
        <f t="shared" si="423"/>
        <v>0</v>
      </c>
      <c r="BS160" s="459">
        <f t="shared" si="424"/>
        <v>0</v>
      </c>
      <c r="BT160" s="459">
        <f t="shared" si="425"/>
        <v>0</v>
      </c>
      <c r="BU160" s="459">
        <f t="shared" si="426"/>
        <v>0</v>
      </c>
      <c r="BV160" s="459">
        <f t="shared" si="427"/>
        <v>0</v>
      </c>
      <c r="BW160" s="459">
        <f t="shared" si="428"/>
        <v>0</v>
      </c>
      <c r="BX160" s="459">
        <f t="shared" si="429"/>
        <v>0</v>
      </c>
      <c r="BY160" s="459">
        <f t="shared" si="430"/>
        <v>0</v>
      </c>
      <c r="BZ160" s="459">
        <f t="shared" si="431"/>
        <v>0</v>
      </c>
      <c r="CA160" s="459">
        <f t="shared" si="432"/>
        <v>0</v>
      </c>
      <c r="CB160" s="460">
        <f t="shared" si="433"/>
        <v>0</v>
      </c>
      <c r="CC160" s="463"/>
      <c r="CD160" s="462">
        <f t="shared" si="434"/>
        <v>0</v>
      </c>
      <c r="CE160" s="462">
        <f t="shared" si="435"/>
        <v>0</v>
      </c>
      <c r="CF160" s="462">
        <f t="shared" si="436"/>
        <v>0</v>
      </c>
      <c r="CG160" s="462">
        <f t="shared" si="437"/>
        <v>0</v>
      </c>
      <c r="CH160" s="462">
        <f t="shared" si="438"/>
        <v>0</v>
      </c>
      <c r="CI160" s="462">
        <f t="shared" si="439"/>
        <v>0</v>
      </c>
      <c r="CJ160" s="462">
        <f t="shared" si="440"/>
        <v>0</v>
      </c>
      <c r="CK160" s="462">
        <f t="shared" si="441"/>
        <v>0</v>
      </c>
      <c r="CL160" s="462">
        <f t="shared" si="442"/>
        <v>0</v>
      </c>
      <c r="CM160" s="462">
        <f t="shared" si="443"/>
        <v>0</v>
      </c>
      <c r="CN160" s="460">
        <f t="shared" si="444"/>
        <v>0</v>
      </c>
      <c r="CO160" s="463"/>
      <c r="CP160" s="459">
        <f t="shared" si="445"/>
        <v>0</v>
      </c>
      <c r="CQ160" s="459">
        <f t="shared" si="446"/>
        <v>0</v>
      </c>
      <c r="CR160" s="459">
        <f t="shared" si="447"/>
        <v>0</v>
      </c>
      <c r="CS160" s="459">
        <f t="shared" si="448"/>
        <v>0</v>
      </c>
      <c r="CT160" s="459">
        <f t="shared" si="449"/>
        <v>0</v>
      </c>
      <c r="CU160" s="459">
        <f t="shared" si="450"/>
        <v>0</v>
      </c>
      <c r="CV160" s="459">
        <f t="shared" si="451"/>
        <v>0</v>
      </c>
      <c r="CW160" s="459">
        <f t="shared" si="452"/>
        <v>0</v>
      </c>
      <c r="CX160" s="459">
        <f t="shared" si="453"/>
        <v>0</v>
      </c>
      <c r="CY160" s="459">
        <f t="shared" si="454"/>
        <v>0</v>
      </c>
      <c r="CZ160" s="460">
        <f t="shared" si="455"/>
        <v>0</v>
      </c>
      <c r="DA160" s="463"/>
      <c r="DB160" s="459">
        <f t="shared" si="456"/>
        <v>0</v>
      </c>
      <c r="DC160" s="459">
        <f t="shared" si="457"/>
        <v>0</v>
      </c>
      <c r="DD160" s="459">
        <f t="shared" si="458"/>
        <v>0</v>
      </c>
      <c r="DE160" s="459">
        <f t="shared" si="459"/>
        <v>0</v>
      </c>
      <c r="DF160" s="459">
        <f t="shared" si="460"/>
        <v>0</v>
      </c>
      <c r="DG160" s="459">
        <f t="shared" si="461"/>
        <v>0</v>
      </c>
      <c r="DH160" s="459">
        <f t="shared" si="462"/>
        <v>0</v>
      </c>
      <c r="DI160" s="459">
        <f t="shared" si="463"/>
        <v>0</v>
      </c>
      <c r="DJ160" s="459">
        <f t="shared" si="464"/>
        <v>0</v>
      </c>
      <c r="DK160" s="459">
        <f t="shared" si="465"/>
        <v>0</v>
      </c>
      <c r="DL160" s="460">
        <f t="shared" si="466"/>
        <v>0</v>
      </c>
      <c r="DM160" s="463"/>
      <c r="DN160" s="442">
        <f>IF('2. START'!$C$14&gt;0,(AT160/(1+$AA160))*(1+'2. START'!$C$14),AT160)</f>
        <v>0</v>
      </c>
      <c r="DO160" s="442">
        <f>IF('2. START'!$C$14&gt;0,(AU160/(1+$AA160))*(1+'2. START'!$C$14),AU160)</f>
        <v>0</v>
      </c>
      <c r="DP160" s="442">
        <f>IF('2. START'!$C$14&gt;0,(AV160/(1+$AA160))*(1+'2. START'!$C$14),AV160)</f>
        <v>0</v>
      </c>
      <c r="DQ160" s="442">
        <f>IF('2. START'!$C$14&gt;0,(AW160/(1+$AA160))*(1+'2. START'!$C$14),AW160)</f>
        <v>0</v>
      </c>
      <c r="DR160" s="442">
        <f>IF('2. START'!$C$14&gt;0,(AX160/(1+$AA160))*(1+'2. START'!$C$14),AX160)</f>
        <v>0</v>
      </c>
      <c r="DS160" s="442">
        <f>IF('2. START'!$C$14&gt;0,(AY160/(1+$AA160))*(1+'2. START'!$C$14),AY160)</f>
        <v>0</v>
      </c>
      <c r="DT160" s="442">
        <f>IF('2. START'!$C$14&gt;0,(AZ160/(1+$AA160))*(1+'2. START'!$C$14),AZ160)</f>
        <v>0</v>
      </c>
      <c r="DU160" s="442">
        <f>IF('2. START'!$C$14&gt;0,(BA160/(1+$AA160))*(1+'2. START'!$C$14),BA160)</f>
        <v>0</v>
      </c>
      <c r="DV160" s="442">
        <f>IF('2. START'!$C$14&gt;0,(BB160/(1+$AA160))*(1+'2. START'!$C$14),BB160)</f>
        <v>0</v>
      </c>
      <c r="DW160" s="442">
        <f>IF('2. START'!$C$14&gt;0,(BC160/(1+$AA160))*(1+'2. START'!$C$14),BC160)</f>
        <v>0</v>
      </c>
      <c r="DX160" s="460">
        <f t="shared" si="467"/>
        <v>0</v>
      </c>
      <c r="DY160" s="463"/>
      <c r="DZ160" s="459">
        <f>IF('2. START'!$C$11="NO",(IF('2. START'!$C$14&gt;0,(DN160*$AD160),(AT160*$AD160))),(BR160+CP160))</f>
        <v>0</v>
      </c>
      <c r="EA160" s="459">
        <f>IF('2. START'!$C$11="NO",(IF('2. START'!$C$14&gt;0,(DO160*$AD160),(AU160*$AD160))),(BS160+CQ160))</f>
        <v>0</v>
      </c>
      <c r="EB160" s="459">
        <f>IF('2. START'!$C$11="NO",(IF('2. START'!$C$14&gt;0,(DP160*$AD160),(AV160*$AD160))),(BT160+CR160))</f>
        <v>0</v>
      </c>
      <c r="EC160" s="459">
        <f>IF('2. START'!$C$11="NO",(IF('2. START'!$C$14&gt;0,(DQ160*$AD160),(AW160*$AD160))),(BU160+CS160))</f>
        <v>0</v>
      </c>
      <c r="ED160" s="459">
        <f>IF('2. START'!$C$11="NO",(IF('2. START'!$C$14&gt;0,(DR160*$AD160),(AX160*$AD160))),(BV160+CT160))</f>
        <v>0</v>
      </c>
      <c r="EE160" s="459">
        <f>IF('2. START'!$C$11="NO",(IF('2. START'!$C$14&gt;0,(DS160*$AD160),(AY160*$AD160))),(BW160+CU160))</f>
        <v>0</v>
      </c>
      <c r="EF160" s="459">
        <f>IF('2. START'!$C$11="NO",(IF('2. START'!$C$14&gt;0,(DT160*$AD160),(AZ160*$AD160))),(BX160+CV160))</f>
        <v>0</v>
      </c>
      <c r="EG160" s="459">
        <f>IF('2. START'!$C$11="NO",(IF('2. START'!$C$14&gt;0,(DU160*$AD160),(BA160*$AD160))),(BY160+CW160))</f>
        <v>0</v>
      </c>
      <c r="EH160" s="459">
        <f>IF('2. START'!$C$11="NO",(IF('2. START'!$C$14&gt;0,(DV160*$AD160),(BB160*$AD160))),(BZ160+CX160))</f>
        <v>0</v>
      </c>
      <c r="EI160" s="459">
        <f>IF('2. START'!$C$11="NO",(IF('2. START'!$C$14&gt;0,(DW160*$AD160),(BC160*$AD160))),(CA160+CY160))</f>
        <v>0</v>
      </c>
      <c r="EJ160" s="460">
        <f t="shared" si="468"/>
        <v>0</v>
      </c>
      <c r="EK160" s="463"/>
      <c r="EL160" s="459">
        <f>(BR160+CP160-DZ160)+IF('2. START'!$C$14&gt;0,AT160-DN160,0)</f>
        <v>0</v>
      </c>
      <c r="EM160" s="459">
        <f>(BS160+CQ160-EA160)+IF('2. START'!$C$14&gt;0,AU160-DO160,0)</f>
        <v>0</v>
      </c>
      <c r="EN160" s="459">
        <f>(BT160+CR160-EB160)+IF('2. START'!$C$14&gt;0,AV160-DP160,0)</f>
        <v>0</v>
      </c>
      <c r="EO160" s="459">
        <f>(BU160+CS160-EC160)+IF('2. START'!$C$14&gt;0,AW160-DQ160,0)</f>
        <v>0</v>
      </c>
      <c r="EP160" s="459">
        <f>(BV160+CT160-ED160)+IF('2. START'!$C$14&gt;0,AX160-DR160,0)</f>
        <v>0</v>
      </c>
      <c r="EQ160" s="459">
        <f>(BW160+CU160-EE160)+IF('2. START'!$C$14&gt;0,AY160-DS160,0)</f>
        <v>0</v>
      </c>
      <c r="ER160" s="459">
        <f>(BX160+CV160-EF160)+IF('2. START'!$C$14&gt;0,AZ160-DT160,0)</f>
        <v>0</v>
      </c>
      <c r="ES160" s="459">
        <f>(BY160+CW160-EG160)+IF('2. START'!$C$14&gt;0,BA160-DU160,0)</f>
        <v>0</v>
      </c>
      <c r="ET160" s="459">
        <f>(BZ160+CX160-EH160)+IF('2. START'!$C$14&gt;0,BB160-DV160,0)</f>
        <v>0</v>
      </c>
      <c r="EU160" s="459">
        <f>(CA160+CY160-EI160)+IF('2. START'!$C$14&gt;0,BC160-DW160,0)</f>
        <v>0</v>
      </c>
      <c r="EV160" s="460">
        <f t="shared" si="469"/>
        <v>0</v>
      </c>
      <c r="EW160" s="463"/>
      <c r="EX160" s="459">
        <f t="shared" si="470"/>
        <v>0</v>
      </c>
      <c r="EY160" s="459">
        <f t="shared" si="471"/>
        <v>0</v>
      </c>
      <c r="EZ160" s="459">
        <f t="shared" si="472"/>
        <v>0</v>
      </c>
      <c r="FA160" s="459">
        <f t="shared" si="473"/>
        <v>0</v>
      </c>
      <c r="FB160" s="459">
        <f t="shared" si="474"/>
        <v>0</v>
      </c>
      <c r="FC160" s="459">
        <f t="shared" si="475"/>
        <v>0</v>
      </c>
      <c r="FD160" s="459">
        <f t="shared" si="476"/>
        <v>0</v>
      </c>
      <c r="FE160" s="459">
        <f t="shared" si="477"/>
        <v>0</v>
      </c>
      <c r="FF160" s="459">
        <f t="shared" si="478"/>
        <v>0</v>
      </c>
      <c r="FG160" s="459">
        <f t="shared" si="479"/>
        <v>0</v>
      </c>
      <c r="FH160" s="460">
        <f t="shared" si="480"/>
        <v>0</v>
      </c>
      <c r="FI160" s="463"/>
      <c r="FJ160" s="459">
        <f t="shared" si="481"/>
        <v>0</v>
      </c>
      <c r="FK160" s="459">
        <f t="shared" si="482"/>
        <v>0</v>
      </c>
      <c r="FL160" s="459">
        <f t="shared" si="483"/>
        <v>0</v>
      </c>
      <c r="FM160" s="459">
        <f t="shared" si="484"/>
        <v>0</v>
      </c>
      <c r="FN160" s="459">
        <f t="shared" si="485"/>
        <v>0</v>
      </c>
      <c r="FO160" s="459">
        <f t="shared" si="486"/>
        <v>0</v>
      </c>
      <c r="FP160" s="459">
        <f t="shared" si="487"/>
        <v>0</v>
      </c>
      <c r="FQ160" s="459">
        <f t="shared" si="488"/>
        <v>0</v>
      </c>
      <c r="FR160" s="459">
        <f t="shared" si="489"/>
        <v>0</v>
      </c>
      <c r="FS160" s="459">
        <f t="shared" si="490"/>
        <v>0</v>
      </c>
      <c r="FT160" s="460">
        <f t="shared" si="491"/>
        <v>0</v>
      </c>
    </row>
    <row r="161" spans="2:176" s="270" customFormat="1" ht="15" customHeight="1" x14ac:dyDescent="0.25">
      <c r="B161" s="464" t="str">
        <f>'2. START'!C$7</f>
        <v>100GEM</v>
      </c>
      <c r="C161" s="470"/>
      <c r="D161" s="590"/>
      <c r="E161" s="514">
        <v>0</v>
      </c>
      <c r="F161" s="467"/>
      <c r="G161" s="432"/>
      <c r="H161" s="432"/>
      <c r="I161" s="432"/>
      <c r="J161" s="432"/>
      <c r="K161" s="432"/>
      <c r="L161" s="432"/>
      <c r="M161" s="432"/>
      <c r="N161" s="432"/>
      <c r="O161" s="432"/>
      <c r="P161" s="432"/>
      <c r="Q161" s="545">
        <f>SUMIF('3. PARTNER'!$B$13:$B$80,$B161,'3. PARTNER'!$F$13:$F$80)</f>
        <v>0.02</v>
      </c>
      <c r="R161" s="466">
        <f t="shared" si="387"/>
        <v>0.02</v>
      </c>
      <c r="S161" s="466">
        <f t="shared" si="387"/>
        <v>0.02</v>
      </c>
      <c r="T161" s="466">
        <f t="shared" si="387"/>
        <v>0.02</v>
      </c>
      <c r="U161" s="466">
        <f t="shared" si="387"/>
        <v>0.02</v>
      </c>
      <c r="V161" s="466">
        <f t="shared" si="387"/>
        <v>0.02</v>
      </c>
      <c r="W161" s="466">
        <f t="shared" si="387"/>
        <v>0.02</v>
      </c>
      <c r="X161" s="466">
        <f t="shared" si="387"/>
        <v>0.02</v>
      </c>
      <c r="Y161" s="466">
        <f t="shared" si="387"/>
        <v>0.02</v>
      </c>
      <c r="Z161" s="466">
        <f t="shared" si="387"/>
        <v>0.02</v>
      </c>
      <c r="AA161" s="434">
        <f>SUMIF('3. PARTNER'!B$13:B$80,B161,'3. PARTNER'!E$13:E$80)</f>
        <v>0.5595</v>
      </c>
      <c r="AB161" s="435">
        <f>IF('2. START'!$C$20="UTB",(SUMIF('3. PARTNER'!B$13:B$80,B161,'3. PARTNER'!K$13:K$80))+(SUMIF('3. PARTNER'!B$13:B$80,B161,'3. PARTNER'!M$13:M$80)),(SUMIF('3. PARTNER'!B$13:B$80,B161,'3. PARTNER'!G$13:G$80))+(SUMIF('3. PARTNER'!B$13:B$80,B161,'3. PARTNER'!I$13:I$80)))</f>
        <v>0.16000843770704321</v>
      </c>
      <c r="AC161" s="435">
        <f>IF('2. START'!$C$20="UTB",(SUMIF('3. PARTNER'!B$13:B$80,B161,'3. PARTNER'!L$13:L$80))+(SUMIF('3. PARTNER'!B$13:B$80,B161,'3. PARTNER'!N$13:N$80)),(SUMIF('3. PARTNER'!B$13:B$80,B161,'3. PARTNER'!H$13:H$80))+(SUMIF('3. PARTNER'!B$13:B$80,B161,'3. PARTNER'!J$13:J$80)))</f>
        <v>0</v>
      </c>
      <c r="AD161" s="435">
        <f>IF('2. START'!C$11="NO",'2. START'!C$12,0)</f>
        <v>0</v>
      </c>
      <c r="AE161" s="436">
        <f t="shared" si="388"/>
        <v>0</v>
      </c>
      <c r="AF161" s="436">
        <f t="shared" si="389"/>
        <v>0</v>
      </c>
      <c r="AG161" s="437"/>
      <c r="AH161" s="438">
        <f t="shared" si="390"/>
        <v>0</v>
      </c>
      <c r="AI161" s="438">
        <f t="shared" si="391"/>
        <v>0</v>
      </c>
      <c r="AJ161" s="438">
        <f t="shared" si="392"/>
        <v>0</v>
      </c>
      <c r="AK161" s="438">
        <f t="shared" si="393"/>
        <v>0</v>
      </c>
      <c r="AL161" s="438">
        <f t="shared" si="394"/>
        <v>0</v>
      </c>
      <c r="AM161" s="438">
        <f t="shared" si="395"/>
        <v>0</v>
      </c>
      <c r="AN161" s="438">
        <f t="shared" si="396"/>
        <v>0</v>
      </c>
      <c r="AO161" s="438">
        <f t="shared" si="397"/>
        <v>0</v>
      </c>
      <c r="AP161" s="438">
        <f t="shared" si="398"/>
        <v>0</v>
      </c>
      <c r="AQ161" s="438">
        <f t="shared" si="399"/>
        <v>0</v>
      </c>
      <c r="AR161" s="439">
        <f t="shared" si="400"/>
        <v>0</v>
      </c>
      <c r="AS161" s="440"/>
      <c r="AT161" s="438">
        <f t="shared" si="401"/>
        <v>0</v>
      </c>
      <c r="AU161" s="438">
        <f t="shared" si="402"/>
        <v>0</v>
      </c>
      <c r="AV161" s="438">
        <f t="shared" si="403"/>
        <v>0</v>
      </c>
      <c r="AW161" s="438">
        <f t="shared" si="404"/>
        <v>0</v>
      </c>
      <c r="AX161" s="438">
        <f t="shared" si="405"/>
        <v>0</v>
      </c>
      <c r="AY161" s="438">
        <f t="shared" si="406"/>
        <v>0</v>
      </c>
      <c r="AZ161" s="438">
        <f t="shared" si="407"/>
        <v>0</v>
      </c>
      <c r="BA161" s="438">
        <f t="shared" si="408"/>
        <v>0</v>
      </c>
      <c r="BB161" s="438">
        <f t="shared" si="409"/>
        <v>0</v>
      </c>
      <c r="BC161" s="438">
        <f t="shared" si="410"/>
        <v>0</v>
      </c>
      <c r="BD161" s="439">
        <f t="shared" si="411"/>
        <v>0</v>
      </c>
      <c r="BE161" s="440"/>
      <c r="BF161" s="438">
        <f t="shared" si="412"/>
        <v>0</v>
      </c>
      <c r="BG161" s="438">
        <f t="shared" si="413"/>
        <v>0</v>
      </c>
      <c r="BH161" s="438">
        <f t="shared" si="414"/>
        <v>0</v>
      </c>
      <c r="BI161" s="438">
        <f t="shared" si="415"/>
        <v>0</v>
      </c>
      <c r="BJ161" s="438">
        <f t="shared" si="416"/>
        <v>0</v>
      </c>
      <c r="BK161" s="438">
        <f t="shared" si="417"/>
        <v>0</v>
      </c>
      <c r="BL161" s="438">
        <f t="shared" si="418"/>
        <v>0</v>
      </c>
      <c r="BM161" s="438">
        <f t="shared" si="419"/>
        <v>0</v>
      </c>
      <c r="BN161" s="438">
        <f t="shared" si="420"/>
        <v>0</v>
      </c>
      <c r="BO161" s="438">
        <f t="shared" si="421"/>
        <v>0</v>
      </c>
      <c r="BP161" s="439">
        <f t="shared" si="422"/>
        <v>0</v>
      </c>
      <c r="BR161" s="442">
        <f t="shared" si="423"/>
        <v>0</v>
      </c>
      <c r="BS161" s="442">
        <f t="shared" si="424"/>
        <v>0</v>
      </c>
      <c r="BT161" s="442">
        <f t="shared" si="425"/>
        <v>0</v>
      </c>
      <c r="BU161" s="442">
        <f t="shared" si="426"/>
        <v>0</v>
      </c>
      <c r="BV161" s="442">
        <f t="shared" si="427"/>
        <v>0</v>
      </c>
      <c r="BW161" s="442">
        <f t="shared" si="428"/>
        <v>0</v>
      </c>
      <c r="BX161" s="442">
        <f t="shared" si="429"/>
        <v>0</v>
      </c>
      <c r="BY161" s="442">
        <f t="shared" si="430"/>
        <v>0</v>
      </c>
      <c r="BZ161" s="442">
        <f t="shared" si="431"/>
        <v>0</v>
      </c>
      <c r="CA161" s="442">
        <f t="shared" si="432"/>
        <v>0</v>
      </c>
      <c r="CB161" s="443">
        <f t="shared" si="433"/>
        <v>0</v>
      </c>
      <c r="CD161" s="445">
        <f t="shared" si="434"/>
        <v>0</v>
      </c>
      <c r="CE161" s="445">
        <f t="shared" si="435"/>
        <v>0</v>
      </c>
      <c r="CF161" s="445">
        <f t="shared" si="436"/>
        <v>0</v>
      </c>
      <c r="CG161" s="445">
        <f t="shared" si="437"/>
        <v>0</v>
      </c>
      <c r="CH161" s="445">
        <f t="shared" si="438"/>
        <v>0</v>
      </c>
      <c r="CI161" s="445">
        <f t="shared" si="439"/>
        <v>0</v>
      </c>
      <c r="CJ161" s="445">
        <f t="shared" si="440"/>
        <v>0</v>
      </c>
      <c r="CK161" s="445">
        <f t="shared" si="441"/>
        <v>0</v>
      </c>
      <c r="CL161" s="445">
        <f t="shared" si="442"/>
        <v>0</v>
      </c>
      <c r="CM161" s="445">
        <f t="shared" si="443"/>
        <v>0</v>
      </c>
      <c r="CN161" s="443">
        <f t="shared" si="444"/>
        <v>0</v>
      </c>
      <c r="CP161" s="442">
        <f t="shared" si="445"/>
        <v>0</v>
      </c>
      <c r="CQ161" s="442">
        <f t="shared" si="446"/>
        <v>0</v>
      </c>
      <c r="CR161" s="442">
        <f t="shared" si="447"/>
        <v>0</v>
      </c>
      <c r="CS161" s="442">
        <f t="shared" si="448"/>
        <v>0</v>
      </c>
      <c r="CT161" s="442">
        <f t="shared" si="449"/>
        <v>0</v>
      </c>
      <c r="CU161" s="442">
        <f t="shared" si="450"/>
        <v>0</v>
      </c>
      <c r="CV161" s="442">
        <f t="shared" si="451"/>
        <v>0</v>
      </c>
      <c r="CW161" s="442">
        <f t="shared" si="452"/>
        <v>0</v>
      </c>
      <c r="CX161" s="442">
        <f t="shared" si="453"/>
        <v>0</v>
      </c>
      <c r="CY161" s="442">
        <f t="shared" si="454"/>
        <v>0</v>
      </c>
      <c r="CZ161" s="443">
        <f t="shared" si="455"/>
        <v>0</v>
      </c>
      <c r="DB161" s="442">
        <f t="shared" si="456"/>
        <v>0</v>
      </c>
      <c r="DC161" s="442">
        <f t="shared" si="457"/>
        <v>0</v>
      </c>
      <c r="DD161" s="442">
        <f t="shared" si="458"/>
        <v>0</v>
      </c>
      <c r="DE161" s="442">
        <f t="shared" si="459"/>
        <v>0</v>
      </c>
      <c r="DF161" s="442">
        <f t="shared" si="460"/>
        <v>0</v>
      </c>
      <c r="DG161" s="442">
        <f t="shared" si="461"/>
        <v>0</v>
      </c>
      <c r="DH161" s="442">
        <f t="shared" si="462"/>
        <v>0</v>
      </c>
      <c r="DI161" s="442">
        <f t="shared" si="463"/>
        <v>0</v>
      </c>
      <c r="DJ161" s="442">
        <f t="shared" si="464"/>
        <v>0</v>
      </c>
      <c r="DK161" s="442">
        <f t="shared" si="465"/>
        <v>0</v>
      </c>
      <c r="DL161" s="443">
        <f t="shared" si="466"/>
        <v>0</v>
      </c>
      <c r="DN161" s="442">
        <f>IF('2. START'!$C$14&gt;0,(AT161/(1+$AA161))*(1+'2. START'!$C$14),AT161)</f>
        <v>0</v>
      </c>
      <c r="DO161" s="442">
        <f>IF('2. START'!$C$14&gt;0,(AU161/(1+$AA161))*(1+'2. START'!$C$14),AU161)</f>
        <v>0</v>
      </c>
      <c r="DP161" s="442">
        <f>IF('2. START'!$C$14&gt;0,(AV161/(1+$AA161))*(1+'2. START'!$C$14),AV161)</f>
        <v>0</v>
      </c>
      <c r="DQ161" s="442">
        <f>IF('2. START'!$C$14&gt;0,(AW161/(1+$AA161))*(1+'2. START'!$C$14),AW161)</f>
        <v>0</v>
      </c>
      <c r="DR161" s="442">
        <f>IF('2. START'!$C$14&gt;0,(AX161/(1+$AA161))*(1+'2. START'!$C$14),AX161)</f>
        <v>0</v>
      </c>
      <c r="DS161" s="442">
        <f>IF('2. START'!$C$14&gt;0,(AY161/(1+$AA161))*(1+'2. START'!$C$14),AY161)</f>
        <v>0</v>
      </c>
      <c r="DT161" s="442">
        <f>IF('2. START'!$C$14&gt;0,(AZ161/(1+$AA161))*(1+'2. START'!$C$14),AZ161)</f>
        <v>0</v>
      </c>
      <c r="DU161" s="442">
        <f>IF('2. START'!$C$14&gt;0,(BA161/(1+$AA161))*(1+'2. START'!$C$14),BA161)</f>
        <v>0</v>
      </c>
      <c r="DV161" s="442">
        <f>IF('2. START'!$C$14&gt;0,(BB161/(1+$AA161))*(1+'2. START'!$C$14),BB161)</f>
        <v>0</v>
      </c>
      <c r="DW161" s="442">
        <f>IF('2. START'!$C$14&gt;0,(BC161/(1+$AA161))*(1+'2. START'!$C$14),BC161)</f>
        <v>0</v>
      </c>
      <c r="DX161" s="443">
        <f t="shared" si="467"/>
        <v>0</v>
      </c>
      <c r="DZ161" s="442">
        <f>IF('2. START'!$C$11="NO",(IF('2. START'!$C$14&gt;0,(DN161*$AD161),(AT161*$AD161))),(BR161+CP161))</f>
        <v>0</v>
      </c>
      <c r="EA161" s="442">
        <f>IF('2. START'!$C$11="NO",(IF('2. START'!$C$14&gt;0,(DO161*$AD161),(AU161*$AD161))),(BS161+CQ161))</f>
        <v>0</v>
      </c>
      <c r="EB161" s="442">
        <f>IF('2. START'!$C$11="NO",(IF('2. START'!$C$14&gt;0,(DP161*$AD161),(AV161*$AD161))),(BT161+CR161))</f>
        <v>0</v>
      </c>
      <c r="EC161" s="442">
        <f>IF('2. START'!$C$11="NO",(IF('2. START'!$C$14&gt;0,(DQ161*$AD161),(AW161*$AD161))),(BU161+CS161))</f>
        <v>0</v>
      </c>
      <c r="ED161" s="442">
        <f>IF('2. START'!$C$11="NO",(IF('2. START'!$C$14&gt;0,(DR161*$AD161),(AX161*$AD161))),(BV161+CT161))</f>
        <v>0</v>
      </c>
      <c r="EE161" s="442">
        <f>IF('2. START'!$C$11="NO",(IF('2. START'!$C$14&gt;0,(DS161*$AD161),(AY161*$AD161))),(BW161+CU161))</f>
        <v>0</v>
      </c>
      <c r="EF161" s="442">
        <f>IF('2. START'!$C$11="NO",(IF('2. START'!$C$14&gt;0,(DT161*$AD161),(AZ161*$AD161))),(BX161+CV161))</f>
        <v>0</v>
      </c>
      <c r="EG161" s="442">
        <f>IF('2. START'!$C$11="NO",(IF('2. START'!$C$14&gt;0,(DU161*$AD161),(BA161*$AD161))),(BY161+CW161))</f>
        <v>0</v>
      </c>
      <c r="EH161" s="442">
        <f>IF('2. START'!$C$11="NO",(IF('2. START'!$C$14&gt;0,(DV161*$AD161),(BB161*$AD161))),(BZ161+CX161))</f>
        <v>0</v>
      </c>
      <c r="EI161" s="442">
        <f>IF('2. START'!$C$11="NO",(IF('2. START'!$C$14&gt;0,(DW161*$AD161),(BC161*$AD161))),(CA161+CY161))</f>
        <v>0</v>
      </c>
      <c r="EJ161" s="443">
        <f t="shared" si="468"/>
        <v>0</v>
      </c>
      <c r="EL161" s="442">
        <f>(BR161+CP161-DZ161)+IF('2. START'!$C$14&gt;0,AT161-DN161,0)</f>
        <v>0</v>
      </c>
      <c r="EM161" s="442">
        <f>(BS161+CQ161-EA161)+IF('2. START'!$C$14&gt;0,AU161-DO161,0)</f>
        <v>0</v>
      </c>
      <c r="EN161" s="442">
        <f>(BT161+CR161-EB161)+IF('2. START'!$C$14&gt;0,AV161-DP161,0)</f>
        <v>0</v>
      </c>
      <c r="EO161" s="442">
        <f>(BU161+CS161-EC161)+IF('2. START'!$C$14&gt;0,AW161-DQ161,0)</f>
        <v>0</v>
      </c>
      <c r="EP161" s="442">
        <f>(BV161+CT161-ED161)+IF('2. START'!$C$14&gt;0,AX161-DR161,0)</f>
        <v>0</v>
      </c>
      <c r="EQ161" s="442">
        <f>(BW161+CU161-EE161)+IF('2. START'!$C$14&gt;0,AY161-DS161,0)</f>
        <v>0</v>
      </c>
      <c r="ER161" s="442">
        <f>(BX161+CV161-EF161)+IF('2. START'!$C$14&gt;0,AZ161-DT161,0)</f>
        <v>0</v>
      </c>
      <c r="ES161" s="442">
        <f>(BY161+CW161-EG161)+IF('2. START'!$C$14&gt;0,BA161-DU161,0)</f>
        <v>0</v>
      </c>
      <c r="ET161" s="442">
        <f>(BZ161+CX161-EH161)+IF('2. START'!$C$14&gt;0,BB161-DV161,0)</f>
        <v>0</v>
      </c>
      <c r="EU161" s="442">
        <f>(CA161+CY161-EI161)+IF('2. START'!$C$14&gt;0,BC161-DW161,0)</f>
        <v>0</v>
      </c>
      <c r="EV161" s="443">
        <f t="shared" si="469"/>
        <v>0</v>
      </c>
      <c r="EX161" s="442">
        <f t="shared" si="470"/>
        <v>0</v>
      </c>
      <c r="EY161" s="442">
        <f t="shared" si="471"/>
        <v>0</v>
      </c>
      <c r="EZ161" s="442">
        <f t="shared" si="472"/>
        <v>0</v>
      </c>
      <c r="FA161" s="442">
        <f t="shared" si="473"/>
        <v>0</v>
      </c>
      <c r="FB161" s="442">
        <f t="shared" si="474"/>
        <v>0</v>
      </c>
      <c r="FC161" s="442">
        <f t="shared" si="475"/>
        <v>0</v>
      </c>
      <c r="FD161" s="442">
        <f t="shared" si="476"/>
        <v>0</v>
      </c>
      <c r="FE161" s="442">
        <f t="shared" si="477"/>
        <v>0</v>
      </c>
      <c r="FF161" s="442">
        <f t="shared" si="478"/>
        <v>0</v>
      </c>
      <c r="FG161" s="442">
        <f t="shared" si="479"/>
        <v>0</v>
      </c>
      <c r="FH161" s="443">
        <f t="shared" si="480"/>
        <v>0</v>
      </c>
      <c r="FJ161" s="442">
        <f t="shared" si="481"/>
        <v>0</v>
      </c>
      <c r="FK161" s="442">
        <f t="shared" si="482"/>
        <v>0</v>
      </c>
      <c r="FL161" s="442">
        <f t="shared" si="483"/>
        <v>0</v>
      </c>
      <c r="FM161" s="442">
        <f t="shared" si="484"/>
        <v>0</v>
      </c>
      <c r="FN161" s="442">
        <f t="shared" si="485"/>
        <v>0</v>
      </c>
      <c r="FO161" s="442">
        <f t="shared" si="486"/>
        <v>0</v>
      </c>
      <c r="FP161" s="442">
        <f t="shared" si="487"/>
        <v>0</v>
      </c>
      <c r="FQ161" s="442">
        <f t="shared" si="488"/>
        <v>0</v>
      </c>
      <c r="FR161" s="442">
        <f t="shared" si="489"/>
        <v>0</v>
      </c>
      <c r="FS161" s="442">
        <f t="shared" si="490"/>
        <v>0</v>
      </c>
      <c r="FT161" s="443">
        <f t="shared" si="491"/>
        <v>0</v>
      </c>
    </row>
    <row r="162" spans="2:176" s="270" customFormat="1" ht="15" customHeight="1" x14ac:dyDescent="0.25">
      <c r="B162" s="446" t="str">
        <f>'2. START'!C$7</f>
        <v>100GEM</v>
      </c>
      <c r="C162" s="469"/>
      <c r="D162" s="589"/>
      <c r="E162" s="544">
        <v>0</v>
      </c>
      <c r="F162" s="448"/>
      <c r="G162" s="449"/>
      <c r="H162" s="449"/>
      <c r="I162" s="449"/>
      <c r="J162" s="449"/>
      <c r="K162" s="449"/>
      <c r="L162" s="449"/>
      <c r="M162" s="449"/>
      <c r="N162" s="449"/>
      <c r="O162" s="449"/>
      <c r="P162" s="449"/>
      <c r="Q162" s="546">
        <f>SUMIF('3. PARTNER'!$B$13:$B$80,$B162,'3. PARTNER'!$F$13:$F$80)</f>
        <v>0.02</v>
      </c>
      <c r="R162" s="450">
        <f t="shared" si="387"/>
        <v>0.02</v>
      </c>
      <c r="S162" s="450">
        <f t="shared" si="387"/>
        <v>0.02</v>
      </c>
      <c r="T162" s="450">
        <f t="shared" si="387"/>
        <v>0.02</v>
      </c>
      <c r="U162" s="450">
        <f t="shared" si="387"/>
        <v>0.02</v>
      </c>
      <c r="V162" s="450">
        <f t="shared" si="387"/>
        <v>0.02</v>
      </c>
      <c r="W162" s="450">
        <f t="shared" si="387"/>
        <v>0.02</v>
      </c>
      <c r="X162" s="450">
        <f t="shared" si="387"/>
        <v>0.02</v>
      </c>
      <c r="Y162" s="450">
        <f t="shared" si="387"/>
        <v>0.02</v>
      </c>
      <c r="Z162" s="450">
        <f t="shared" si="387"/>
        <v>0.02</v>
      </c>
      <c r="AA162" s="451">
        <f>SUMIF('3. PARTNER'!B$13:B$80,B162,'3. PARTNER'!E$13:E$80)</f>
        <v>0.5595</v>
      </c>
      <c r="AB162" s="452">
        <f>IF('2. START'!$C$20="UTB",(SUMIF('3. PARTNER'!B$13:B$80,B162,'3. PARTNER'!K$13:K$80))+(SUMIF('3. PARTNER'!B$13:B$80,B162,'3. PARTNER'!M$13:M$80)),(SUMIF('3. PARTNER'!B$13:B$80,B162,'3. PARTNER'!G$13:G$80))+(SUMIF('3. PARTNER'!B$13:B$80,B162,'3. PARTNER'!I$13:I$80)))</f>
        <v>0.16000843770704321</v>
      </c>
      <c r="AC162" s="452">
        <f>IF('2. START'!$C$20="UTB",(SUMIF('3. PARTNER'!B$13:B$80,B162,'3. PARTNER'!L$13:L$80))+(SUMIF('3. PARTNER'!B$13:B$80,B162,'3. PARTNER'!N$13:N$80)),(SUMIF('3. PARTNER'!B$13:B$80,B162,'3. PARTNER'!H$13:H$80))+(SUMIF('3. PARTNER'!B$13:B$80,B162,'3. PARTNER'!J$13:J$80)))</f>
        <v>0</v>
      </c>
      <c r="AD162" s="452">
        <f>IF('2. START'!C$11="NO",'2. START'!C$12,0)</f>
        <v>0</v>
      </c>
      <c r="AE162" s="453">
        <f t="shared" si="388"/>
        <v>0</v>
      </c>
      <c r="AF162" s="453">
        <f t="shared" si="389"/>
        <v>0</v>
      </c>
      <c r="AG162" s="454"/>
      <c r="AH162" s="455">
        <f t="shared" si="390"/>
        <v>0</v>
      </c>
      <c r="AI162" s="455">
        <f t="shared" si="391"/>
        <v>0</v>
      </c>
      <c r="AJ162" s="455">
        <f t="shared" si="392"/>
        <v>0</v>
      </c>
      <c r="AK162" s="455">
        <f t="shared" si="393"/>
        <v>0</v>
      </c>
      <c r="AL162" s="455">
        <f t="shared" si="394"/>
        <v>0</v>
      </c>
      <c r="AM162" s="455">
        <f t="shared" si="395"/>
        <v>0</v>
      </c>
      <c r="AN162" s="455">
        <f t="shared" si="396"/>
        <v>0</v>
      </c>
      <c r="AO162" s="455">
        <f t="shared" si="397"/>
        <v>0</v>
      </c>
      <c r="AP162" s="455">
        <f t="shared" si="398"/>
        <v>0</v>
      </c>
      <c r="AQ162" s="455">
        <f t="shared" si="399"/>
        <v>0</v>
      </c>
      <c r="AR162" s="456">
        <f t="shared" si="400"/>
        <v>0</v>
      </c>
      <c r="AS162" s="457"/>
      <c r="AT162" s="455">
        <f t="shared" si="401"/>
        <v>0</v>
      </c>
      <c r="AU162" s="455">
        <f t="shared" si="402"/>
        <v>0</v>
      </c>
      <c r="AV162" s="455">
        <f t="shared" si="403"/>
        <v>0</v>
      </c>
      <c r="AW162" s="455">
        <f t="shared" si="404"/>
        <v>0</v>
      </c>
      <c r="AX162" s="455">
        <f t="shared" si="405"/>
        <v>0</v>
      </c>
      <c r="AY162" s="455">
        <f t="shared" si="406"/>
        <v>0</v>
      </c>
      <c r="AZ162" s="455">
        <f t="shared" si="407"/>
        <v>0</v>
      </c>
      <c r="BA162" s="455">
        <f t="shared" si="408"/>
        <v>0</v>
      </c>
      <c r="BB162" s="455">
        <f t="shared" si="409"/>
        <v>0</v>
      </c>
      <c r="BC162" s="455">
        <f t="shared" si="410"/>
        <v>0</v>
      </c>
      <c r="BD162" s="456">
        <f t="shared" si="411"/>
        <v>0</v>
      </c>
      <c r="BE162" s="457"/>
      <c r="BF162" s="455">
        <f t="shared" si="412"/>
        <v>0</v>
      </c>
      <c r="BG162" s="455">
        <f t="shared" si="413"/>
        <v>0</v>
      </c>
      <c r="BH162" s="455">
        <f t="shared" si="414"/>
        <v>0</v>
      </c>
      <c r="BI162" s="455">
        <f t="shared" si="415"/>
        <v>0</v>
      </c>
      <c r="BJ162" s="455">
        <f t="shared" si="416"/>
        <v>0</v>
      </c>
      <c r="BK162" s="455">
        <f t="shared" si="417"/>
        <v>0</v>
      </c>
      <c r="BL162" s="455">
        <f t="shared" si="418"/>
        <v>0</v>
      </c>
      <c r="BM162" s="455">
        <f t="shared" si="419"/>
        <v>0</v>
      </c>
      <c r="BN162" s="455">
        <f t="shared" si="420"/>
        <v>0</v>
      </c>
      <c r="BO162" s="455">
        <f t="shared" si="421"/>
        <v>0</v>
      </c>
      <c r="BP162" s="456">
        <f t="shared" si="422"/>
        <v>0</v>
      </c>
      <c r="BQ162" s="463"/>
      <c r="BR162" s="459">
        <f t="shared" si="423"/>
        <v>0</v>
      </c>
      <c r="BS162" s="459">
        <f t="shared" si="424"/>
        <v>0</v>
      </c>
      <c r="BT162" s="459">
        <f t="shared" si="425"/>
        <v>0</v>
      </c>
      <c r="BU162" s="459">
        <f t="shared" si="426"/>
        <v>0</v>
      </c>
      <c r="BV162" s="459">
        <f t="shared" si="427"/>
        <v>0</v>
      </c>
      <c r="BW162" s="459">
        <f t="shared" si="428"/>
        <v>0</v>
      </c>
      <c r="BX162" s="459">
        <f t="shared" si="429"/>
        <v>0</v>
      </c>
      <c r="BY162" s="459">
        <f t="shared" si="430"/>
        <v>0</v>
      </c>
      <c r="BZ162" s="459">
        <f t="shared" si="431"/>
        <v>0</v>
      </c>
      <c r="CA162" s="459">
        <f t="shared" si="432"/>
        <v>0</v>
      </c>
      <c r="CB162" s="460">
        <f t="shared" si="433"/>
        <v>0</v>
      </c>
      <c r="CC162" s="463"/>
      <c r="CD162" s="462">
        <f t="shared" si="434"/>
        <v>0</v>
      </c>
      <c r="CE162" s="462">
        <f t="shared" si="435"/>
        <v>0</v>
      </c>
      <c r="CF162" s="462">
        <f t="shared" si="436"/>
        <v>0</v>
      </c>
      <c r="CG162" s="462">
        <f t="shared" si="437"/>
        <v>0</v>
      </c>
      <c r="CH162" s="462">
        <f t="shared" si="438"/>
        <v>0</v>
      </c>
      <c r="CI162" s="462">
        <f t="shared" si="439"/>
        <v>0</v>
      </c>
      <c r="CJ162" s="462">
        <f t="shared" si="440"/>
        <v>0</v>
      </c>
      <c r="CK162" s="462">
        <f t="shared" si="441"/>
        <v>0</v>
      </c>
      <c r="CL162" s="462">
        <f t="shared" si="442"/>
        <v>0</v>
      </c>
      <c r="CM162" s="462">
        <f t="shared" si="443"/>
        <v>0</v>
      </c>
      <c r="CN162" s="460">
        <f t="shared" si="444"/>
        <v>0</v>
      </c>
      <c r="CO162" s="463"/>
      <c r="CP162" s="459">
        <f t="shared" si="445"/>
        <v>0</v>
      </c>
      <c r="CQ162" s="459">
        <f t="shared" si="446"/>
        <v>0</v>
      </c>
      <c r="CR162" s="459">
        <f t="shared" si="447"/>
        <v>0</v>
      </c>
      <c r="CS162" s="459">
        <f t="shared" si="448"/>
        <v>0</v>
      </c>
      <c r="CT162" s="459">
        <f t="shared" si="449"/>
        <v>0</v>
      </c>
      <c r="CU162" s="459">
        <f t="shared" si="450"/>
        <v>0</v>
      </c>
      <c r="CV162" s="459">
        <f t="shared" si="451"/>
        <v>0</v>
      </c>
      <c r="CW162" s="459">
        <f t="shared" si="452"/>
        <v>0</v>
      </c>
      <c r="CX162" s="459">
        <f t="shared" si="453"/>
        <v>0</v>
      </c>
      <c r="CY162" s="459">
        <f t="shared" si="454"/>
        <v>0</v>
      </c>
      <c r="CZ162" s="460">
        <f t="shared" si="455"/>
        <v>0</v>
      </c>
      <c r="DA162" s="463"/>
      <c r="DB162" s="459">
        <f t="shared" si="456"/>
        <v>0</v>
      </c>
      <c r="DC162" s="459">
        <f t="shared" si="457"/>
        <v>0</v>
      </c>
      <c r="DD162" s="459">
        <f t="shared" si="458"/>
        <v>0</v>
      </c>
      <c r="DE162" s="459">
        <f t="shared" si="459"/>
        <v>0</v>
      </c>
      <c r="DF162" s="459">
        <f t="shared" si="460"/>
        <v>0</v>
      </c>
      <c r="DG162" s="459">
        <f t="shared" si="461"/>
        <v>0</v>
      </c>
      <c r="DH162" s="459">
        <f t="shared" si="462"/>
        <v>0</v>
      </c>
      <c r="DI162" s="459">
        <f t="shared" si="463"/>
        <v>0</v>
      </c>
      <c r="DJ162" s="459">
        <f t="shared" si="464"/>
        <v>0</v>
      </c>
      <c r="DK162" s="459">
        <f t="shared" si="465"/>
        <v>0</v>
      </c>
      <c r="DL162" s="460">
        <f t="shared" si="466"/>
        <v>0</v>
      </c>
      <c r="DM162" s="463"/>
      <c r="DN162" s="442">
        <f>IF('2. START'!$C$14&gt;0,(AT162/(1+$AA162))*(1+'2. START'!$C$14),AT162)</f>
        <v>0</v>
      </c>
      <c r="DO162" s="442">
        <f>IF('2. START'!$C$14&gt;0,(AU162/(1+$AA162))*(1+'2. START'!$C$14),AU162)</f>
        <v>0</v>
      </c>
      <c r="DP162" s="442">
        <f>IF('2. START'!$C$14&gt;0,(AV162/(1+$AA162))*(1+'2. START'!$C$14),AV162)</f>
        <v>0</v>
      </c>
      <c r="DQ162" s="442">
        <f>IF('2. START'!$C$14&gt;0,(AW162/(1+$AA162))*(1+'2. START'!$C$14),AW162)</f>
        <v>0</v>
      </c>
      <c r="DR162" s="442">
        <f>IF('2. START'!$C$14&gt;0,(AX162/(1+$AA162))*(1+'2. START'!$C$14),AX162)</f>
        <v>0</v>
      </c>
      <c r="DS162" s="442">
        <f>IF('2. START'!$C$14&gt;0,(AY162/(1+$AA162))*(1+'2. START'!$C$14),AY162)</f>
        <v>0</v>
      </c>
      <c r="DT162" s="442">
        <f>IF('2. START'!$C$14&gt;0,(AZ162/(1+$AA162))*(1+'2. START'!$C$14),AZ162)</f>
        <v>0</v>
      </c>
      <c r="DU162" s="442">
        <f>IF('2. START'!$C$14&gt;0,(BA162/(1+$AA162))*(1+'2. START'!$C$14),BA162)</f>
        <v>0</v>
      </c>
      <c r="DV162" s="442">
        <f>IF('2. START'!$C$14&gt;0,(BB162/(1+$AA162))*(1+'2. START'!$C$14),BB162)</f>
        <v>0</v>
      </c>
      <c r="DW162" s="442">
        <f>IF('2. START'!$C$14&gt;0,(BC162/(1+$AA162))*(1+'2. START'!$C$14),BC162)</f>
        <v>0</v>
      </c>
      <c r="DX162" s="460">
        <f t="shared" si="467"/>
        <v>0</v>
      </c>
      <c r="DY162" s="463"/>
      <c r="DZ162" s="459">
        <f>IF('2. START'!$C$11="NO",(IF('2. START'!$C$14&gt;0,(DN162*$AD162),(AT162*$AD162))),(BR162+CP162))</f>
        <v>0</v>
      </c>
      <c r="EA162" s="459">
        <f>IF('2. START'!$C$11="NO",(IF('2. START'!$C$14&gt;0,(DO162*$AD162),(AU162*$AD162))),(BS162+CQ162))</f>
        <v>0</v>
      </c>
      <c r="EB162" s="459">
        <f>IF('2. START'!$C$11="NO",(IF('2. START'!$C$14&gt;0,(DP162*$AD162),(AV162*$AD162))),(BT162+CR162))</f>
        <v>0</v>
      </c>
      <c r="EC162" s="459">
        <f>IF('2. START'!$C$11="NO",(IF('2. START'!$C$14&gt;0,(DQ162*$AD162),(AW162*$AD162))),(BU162+CS162))</f>
        <v>0</v>
      </c>
      <c r="ED162" s="459">
        <f>IF('2. START'!$C$11="NO",(IF('2. START'!$C$14&gt;0,(DR162*$AD162),(AX162*$AD162))),(BV162+CT162))</f>
        <v>0</v>
      </c>
      <c r="EE162" s="459">
        <f>IF('2. START'!$C$11="NO",(IF('2. START'!$C$14&gt;0,(DS162*$AD162),(AY162*$AD162))),(BW162+CU162))</f>
        <v>0</v>
      </c>
      <c r="EF162" s="459">
        <f>IF('2. START'!$C$11="NO",(IF('2. START'!$C$14&gt;0,(DT162*$AD162),(AZ162*$AD162))),(BX162+CV162))</f>
        <v>0</v>
      </c>
      <c r="EG162" s="459">
        <f>IF('2. START'!$C$11="NO",(IF('2. START'!$C$14&gt;0,(DU162*$AD162),(BA162*$AD162))),(BY162+CW162))</f>
        <v>0</v>
      </c>
      <c r="EH162" s="459">
        <f>IF('2. START'!$C$11="NO",(IF('2. START'!$C$14&gt;0,(DV162*$AD162),(BB162*$AD162))),(BZ162+CX162))</f>
        <v>0</v>
      </c>
      <c r="EI162" s="459">
        <f>IF('2. START'!$C$11="NO",(IF('2. START'!$C$14&gt;0,(DW162*$AD162),(BC162*$AD162))),(CA162+CY162))</f>
        <v>0</v>
      </c>
      <c r="EJ162" s="460">
        <f t="shared" si="468"/>
        <v>0</v>
      </c>
      <c r="EK162" s="463"/>
      <c r="EL162" s="459">
        <f>(BR162+CP162-DZ162)+IF('2. START'!$C$14&gt;0,AT162-DN162,0)</f>
        <v>0</v>
      </c>
      <c r="EM162" s="459">
        <f>(BS162+CQ162-EA162)+IF('2. START'!$C$14&gt;0,AU162-DO162,0)</f>
        <v>0</v>
      </c>
      <c r="EN162" s="459">
        <f>(BT162+CR162-EB162)+IF('2. START'!$C$14&gt;0,AV162-DP162,0)</f>
        <v>0</v>
      </c>
      <c r="EO162" s="459">
        <f>(BU162+CS162-EC162)+IF('2. START'!$C$14&gt;0,AW162-DQ162,0)</f>
        <v>0</v>
      </c>
      <c r="EP162" s="459">
        <f>(BV162+CT162-ED162)+IF('2. START'!$C$14&gt;0,AX162-DR162,0)</f>
        <v>0</v>
      </c>
      <c r="EQ162" s="459">
        <f>(BW162+CU162-EE162)+IF('2. START'!$C$14&gt;0,AY162-DS162,0)</f>
        <v>0</v>
      </c>
      <c r="ER162" s="459">
        <f>(BX162+CV162-EF162)+IF('2. START'!$C$14&gt;0,AZ162-DT162,0)</f>
        <v>0</v>
      </c>
      <c r="ES162" s="459">
        <f>(BY162+CW162-EG162)+IF('2. START'!$C$14&gt;0,BA162-DU162,0)</f>
        <v>0</v>
      </c>
      <c r="ET162" s="459">
        <f>(BZ162+CX162-EH162)+IF('2. START'!$C$14&gt;0,BB162-DV162,0)</f>
        <v>0</v>
      </c>
      <c r="EU162" s="459">
        <f>(CA162+CY162-EI162)+IF('2. START'!$C$14&gt;0,BC162-DW162,0)</f>
        <v>0</v>
      </c>
      <c r="EV162" s="460">
        <f t="shared" si="469"/>
        <v>0</v>
      </c>
      <c r="EW162" s="463"/>
      <c r="EX162" s="459">
        <f t="shared" si="470"/>
        <v>0</v>
      </c>
      <c r="EY162" s="459">
        <f t="shared" si="471"/>
        <v>0</v>
      </c>
      <c r="EZ162" s="459">
        <f t="shared" si="472"/>
        <v>0</v>
      </c>
      <c r="FA162" s="459">
        <f t="shared" si="473"/>
        <v>0</v>
      </c>
      <c r="FB162" s="459">
        <f t="shared" si="474"/>
        <v>0</v>
      </c>
      <c r="FC162" s="459">
        <f t="shared" si="475"/>
        <v>0</v>
      </c>
      <c r="FD162" s="459">
        <f t="shared" si="476"/>
        <v>0</v>
      </c>
      <c r="FE162" s="459">
        <f t="shared" si="477"/>
        <v>0</v>
      </c>
      <c r="FF162" s="459">
        <f t="shared" si="478"/>
        <v>0</v>
      </c>
      <c r="FG162" s="459">
        <f t="shared" si="479"/>
        <v>0</v>
      </c>
      <c r="FH162" s="460">
        <f t="shared" si="480"/>
        <v>0</v>
      </c>
      <c r="FI162" s="463"/>
      <c r="FJ162" s="459">
        <f t="shared" si="481"/>
        <v>0</v>
      </c>
      <c r="FK162" s="459">
        <f t="shared" si="482"/>
        <v>0</v>
      </c>
      <c r="FL162" s="459">
        <f t="shared" si="483"/>
        <v>0</v>
      </c>
      <c r="FM162" s="459">
        <f t="shared" si="484"/>
        <v>0</v>
      </c>
      <c r="FN162" s="459">
        <f t="shared" si="485"/>
        <v>0</v>
      </c>
      <c r="FO162" s="459">
        <f t="shared" si="486"/>
        <v>0</v>
      </c>
      <c r="FP162" s="459">
        <f t="shared" si="487"/>
        <v>0</v>
      </c>
      <c r="FQ162" s="459">
        <f t="shared" si="488"/>
        <v>0</v>
      </c>
      <c r="FR162" s="459">
        <f t="shared" si="489"/>
        <v>0</v>
      </c>
      <c r="FS162" s="459">
        <f t="shared" si="490"/>
        <v>0</v>
      </c>
      <c r="FT162" s="460">
        <f t="shared" si="491"/>
        <v>0</v>
      </c>
    </row>
    <row r="163" spans="2:176" s="270" customFormat="1" ht="15" customHeight="1" x14ac:dyDescent="0.25">
      <c r="B163" s="464" t="str">
        <f>'2. START'!C$7</f>
        <v>100GEM</v>
      </c>
      <c r="C163" s="470"/>
      <c r="D163" s="590"/>
      <c r="E163" s="514">
        <v>0</v>
      </c>
      <c r="F163" s="467"/>
      <c r="G163" s="432"/>
      <c r="H163" s="432"/>
      <c r="I163" s="432"/>
      <c r="J163" s="432"/>
      <c r="K163" s="432"/>
      <c r="L163" s="432"/>
      <c r="M163" s="432"/>
      <c r="N163" s="432"/>
      <c r="O163" s="432"/>
      <c r="P163" s="432"/>
      <c r="Q163" s="545">
        <f>SUMIF('3. PARTNER'!$B$13:$B$80,$B163,'3. PARTNER'!$F$13:$F$80)</f>
        <v>0.02</v>
      </c>
      <c r="R163" s="466">
        <f t="shared" si="387"/>
        <v>0.02</v>
      </c>
      <c r="S163" s="466">
        <f t="shared" si="387"/>
        <v>0.02</v>
      </c>
      <c r="T163" s="466">
        <f t="shared" si="387"/>
        <v>0.02</v>
      </c>
      <c r="U163" s="466">
        <f t="shared" si="387"/>
        <v>0.02</v>
      </c>
      <c r="V163" s="466">
        <f t="shared" si="387"/>
        <v>0.02</v>
      </c>
      <c r="W163" s="466">
        <f t="shared" si="387"/>
        <v>0.02</v>
      </c>
      <c r="X163" s="466">
        <f t="shared" si="387"/>
        <v>0.02</v>
      </c>
      <c r="Y163" s="466">
        <f t="shared" si="387"/>
        <v>0.02</v>
      </c>
      <c r="Z163" s="466">
        <f t="shared" si="387"/>
        <v>0.02</v>
      </c>
      <c r="AA163" s="434">
        <f>SUMIF('3. PARTNER'!B$13:B$80,B163,'3. PARTNER'!E$13:E$80)</f>
        <v>0.5595</v>
      </c>
      <c r="AB163" s="435">
        <f>IF('2. START'!$C$20="UTB",(SUMIF('3. PARTNER'!B$13:B$80,B163,'3. PARTNER'!K$13:K$80))+(SUMIF('3. PARTNER'!B$13:B$80,B163,'3. PARTNER'!M$13:M$80)),(SUMIF('3. PARTNER'!B$13:B$80,B163,'3. PARTNER'!G$13:G$80))+(SUMIF('3. PARTNER'!B$13:B$80,B163,'3. PARTNER'!I$13:I$80)))</f>
        <v>0.16000843770704321</v>
      </c>
      <c r="AC163" s="435">
        <f>IF('2. START'!$C$20="UTB",(SUMIF('3. PARTNER'!B$13:B$80,B163,'3. PARTNER'!L$13:L$80))+(SUMIF('3. PARTNER'!B$13:B$80,B163,'3. PARTNER'!N$13:N$80)),(SUMIF('3. PARTNER'!B$13:B$80,B163,'3. PARTNER'!H$13:H$80))+(SUMIF('3. PARTNER'!B$13:B$80,B163,'3. PARTNER'!J$13:J$80)))</f>
        <v>0</v>
      </c>
      <c r="AD163" s="435">
        <f>IF('2. START'!C$11="NO",'2. START'!C$12,0)</f>
        <v>0</v>
      </c>
      <c r="AE163" s="436">
        <f t="shared" si="388"/>
        <v>0</v>
      </c>
      <c r="AF163" s="436">
        <f t="shared" si="389"/>
        <v>0</v>
      </c>
      <c r="AG163" s="437"/>
      <c r="AH163" s="438">
        <f t="shared" si="390"/>
        <v>0</v>
      </c>
      <c r="AI163" s="438">
        <f t="shared" si="391"/>
        <v>0</v>
      </c>
      <c r="AJ163" s="438">
        <f t="shared" si="392"/>
        <v>0</v>
      </c>
      <c r="AK163" s="438">
        <f t="shared" si="393"/>
        <v>0</v>
      </c>
      <c r="AL163" s="438">
        <f t="shared" si="394"/>
        <v>0</v>
      </c>
      <c r="AM163" s="438">
        <f t="shared" si="395"/>
        <v>0</v>
      </c>
      <c r="AN163" s="438">
        <f t="shared" si="396"/>
        <v>0</v>
      </c>
      <c r="AO163" s="438">
        <f t="shared" si="397"/>
        <v>0</v>
      </c>
      <c r="AP163" s="438">
        <f t="shared" si="398"/>
        <v>0</v>
      </c>
      <c r="AQ163" s="438">
        <f t="shared" si="399"/>
        <v>0</v>
      </c>
      <c r="AR163" s="439">
        <f t="shared" si="400"/>
        <v>0</v>
      </c>
      <c r="AS163" s="440"/>
      <c r="AT163" s="438">
        <f t="shared" si="401"/>
        <v>0</v>
      </c>
      <c r="AU163" s="438">
        <f t="shared" si="402"/>
        <v>0</v>
      </c>
      <c r="AV163" s="438">
        <f t="shared" si="403"/>
        <v>0</v>
      </c>
      <c r="AW163" s="438">
        <f t="shared" si="404"/>
        <v>0</v>
      </c>
      <c r="AX163" s="438">
        <f t="shared" si="405"/>
        <v>0</v>
      </c>
      <c r="AY163" s="438">
        <f t="shared" si="406"/>
        <v>0</v>
      </c>
      <c r="AZ163" s="438">
        <f t="shared" si="407"/>
        <v>0</v>
      </c>
      <c r="BA163" s="438">
        <f t="shared" si="408"/>
        <v>0</v>
      </c>
      <c r="BB163" s="438">
        <f t="shared" si="409"/>
        <v>0</v>
      </c>
      <c r="BC163" s="438">
        <f t="shared" si="410"/>
        <v>0</v>
      </c>
      <c r="BD163" s="439">
        <f t="shared" si="411"/>
        <v>0</v>
      </c>
      <c r="BE163" s="440"/>
      <c r="BF163" s="438">
        <f t="shared" si="412"/>
        <v>0</v>
      </c>
      <c r="BG163" s="438">
        <f t="shared" si="413"/>
        <v>0</v>
      </c>
      <c r="BH163" s="438">
        <f t="shared" si="414"/>
        <v>0</v>
      </c>
      <c r="BI163" s="438">
        <f t="shared" si="415"/>
        <v>0</v>
      </c>
      <c r="BJ163" s="438">
        <f t="shared" si="416"/>
        <v>0</v>
      </c>
      <c r="BK163" s="438">
        <f t="shared" si="417"/>
        <v>0</v>
      </c>
      <c r="BL163" s="438">
        <f t="shared" si="418"/>
        <v>0</v>
      </c>
      <c r="BM163" s="438">
        <f t="shared" si="419"/>
        <v>0</v>
      </c>
      <c r="BN163" s="438">
        <f t="shared" si="420"/>
        <v>0</v>
      </c>
      <c r="BO163" s="438">
        <f t="shared" si="421"/>
        <v>0</v>
      </c>
      <c r="BP163" s="439">
        <f t="shared" si="422"/>
        <v>0</v>
      </c>
      <c r="BR163" s="442">
        <f t="shared" si="423"/>
        <v>0</v>
      </c>
      <c r="BS163" s="442">
        <f t="shared" si="424"/>
        <v>0</v>
      </c>
      <c r="BT163" s="442">
        <f t="shared" si="425"/>
        <v>0</v>
      </c>
      <c r="BU163" s="442">
        <f t="shared" si="426"/>
        <v>0</v>
      </c>
      <c r="BV163" s="442">
        <f t="shared" si="427"/>
        <v>0</v>
      </c>
      <c r="BW163" s="442">
        <f t="shared" si="428"/>
        <v>0</v>
      </c>
      <c r="BX163" s="442">
        <f t="shared" si="429"/>
        <v>0</v>
      </c>
      <c r="BY163" s="442">
        <f t="shared" si="430"/>
        <v>0</v>
      </c>
      <c r="BZ163" s="442">
        <f t="shared" si="431"/>
        <v>0</v>
      </c>
      <c r="CA163" s="442">
        <f t="shared" si="432"/>
        <v>0</v>
      </c>
      <c r="CB163" s="443">
        <f t="shared" si="433"/>
        <v>0</v>
      </c>
      <c r="CD163" s="445">
        <f t="shared" si="434"/>
        <v>0</v>
      </c>
      <c r="CE163" s="445">
        <f t="shared" si="435"/>
        <v>0</v>
      </c>
      <c r="CF163" s="445">
        <f t="shared" si="436"/>
        <v>0</v>
      </c>
      <c r="CG163" s="445">
        <f t="shared" si="437"/>
        <v>0</v>
      </c>
      <c r="CH163" s="445">
        <f t="shared" si="438"/>
        <v>0</v>
      </c>
      <c r="CI163" s="445">
        <f t="shared" si="439"/>
        <v>0</v>
      </c>
      <c r="CJ163" s="445">
        <f t="shared" si="440"/>
        <v>0</v>
      </c>
      <c r="CK163" s="445">
        <f t="shared" si="441"/>
        <v>0</v>
      </c>
      <c r="CL163" s="445">
        <f t="shared" si="442"/>
        <v>0</v>
      </c>
      <c r="CM163" s="445">
        <f t="shared" si="443"/>
        <v>0</v>
      </c>
      <c r="CN163" s="443">
        <f t="shared" si="444"/>
        <v>0</v>
      </c>
      <c r="CP163" s="442">
        <f t="shared" si="445"/>
        <v>0</v>
      </c>
      <c r="CQ163" s="442">
        <f t="shared" si="446"/>
        <v>0</v>
      </c>
      <c r="CR163" s="442">
        <f t="shared" si="447"/>
        <v>0</v>
      </c>
      <c r="CS163" s="442">
        <f t="shared" si="448"/>
        <v>0</v>
      </c>
      <c r="CT163" s="442">
        <f t="shared" si="449"/>
        <v>0</v>
      </c>
      <c r="CU163" s="442">
        <f t="shared" si="450"/>
        <v>0</v>
      </c>
      <c r="CV163" s="442">
        <f t="shared" si="451"/>
        <v>0</v>
      </c>
      <c r="CW163" s="442">
        <f t="shared" si="452"/>
        <v>0</v>
      </c>
      <c r="CX163" s="442">
        <f t="shared" si="453"/>
        <v>0</v>
      </c>
      <c r="CY163" s="442">
        <f t="shared" si="454"/>
        <v>0</v>
      </c>
      <c r="CZ163" s="443">
        <f t="shared" si="455"/>
        <v>0</v>
      </c>
      <c r="DB163" s="442">
        <f t="shared" si="456"/>
        <v>0</v>
      </c>
      <c r="DC163" s="442">
        <f t="shared" si="457"/>
        <v>0</v>
      </c>
      <c r="DD163" s="442">
        <f t="shared" si="458"/>
        <v>0</v>
      </c>
      <c r="DE163" s="442">
        <f t="shared" si="459"/>
        <v>0</v>
      </c>
      <c r="DF163" s="442">
        <f t="shared" si="460"/>
        <v>0</v>
      </c>
      <c r="DG163" s="442">
        <f t="shared" si="461"/>
        <v>0</v>
      </c>
      <c r="DH163" s="442">
        <f t="shared" si="462"/>
        <v>0</v>
      </c>
      <c r="DI163" s="442">
        <f t="shared" si="463"/>
        <v>0</v>
      </c>
      <c r="DJ163" s="442">
        <f t="shared" si="464"/>
        <v>0</v>
      </c>
      <c r="DK163" s="442">
        <f t="shared" si="465"/>
        <v>0</v>
      </c>
      <c r="DL163" s="443">
        <f t="shared" si="466"/>
        <v>0</v>
      </c>
      <c r="DN163" s="442">
        <f>IF('2. START'!$C$14&gt;0,(AT163/(1+$AA163))*(1+'2. START'!$C$14),AT163)</f>
        <v>0</v>
      </c>
      <c r="DO163" s="442">
        <f>IF('2. START'!$C$14&gt;0,(AU163/(1+$AA163))*(1+'2. START'!$C$14),AU163)</f>
        <v>0</v>
      </c>
      <c r="DP163" s="442">
        <f>IF('2. START'!$C$14&gt;0,(AV163/(1+$AA163))*(1+'2. START'!$C$14),AV163)</f>
        <v>0</v>
      </c>
      <c r="DQ163" s="442">
        <f>IF('2. START'!$C$14&gt;0,(AW163/(1+$AA163))*(1+'2. START'!$C$14),AW163)</f>
        <v>0</v>
      </c>
      <c r="DR163" s="442">
        <f>IF('2. START'!$C$14&gt;0,(AX163/(1+$AA163))*(1+'2. START'!$C$14),AX163)</f>
        <v>0</v>
      </c>
      <c r="DS163" s="442">
        <f>IF('2. START'!$C$14&gt;0,(AY163/(1+$AA163))*(1+'2. START'!$C$14),AY163)</f>
        <v>0</v>
      </c>
      <c r="DT163" s="442">
        <f>IF('2. START'!$C$14&gt;0,(AZ163/(1+$AA163))*(1+'2. START'!$C$14),AZ163)</f>
        <v>0</v>
      </c>
      <c r="DU163" s="442">
        <f>IF('2. START'!$C$14&gt;0,(BA163/(1+$AA163))*(1+'2. START'!$C$14),BA163)</f>
        <v>0</v>
      </c>
      <c r="DV163" s="442">
        <f>IF('2. START'!$C$14&gt;0,(BB163/(1+$AA163))*(1+'2. START'!$C$14),BB163)</f>
        <v>0</v>
      </c>
      <c r="DW163" s="442">
        <f>IF('2. START'!$C$14&gt;0,(BC163/(1+$AA163))*(1+'2. START'!$C$14),BC163)</f>
        <v>0</v>
      </c>
      <c r="DX163" s="443">
        <f t="shared" si="467"/>
        <v>0</v>
      </c>
      <c r="DZ163" s="442">
        <f>IF('2. START'!$C$11="NO",(IF('2. START'!$C$14&gt;0,(DN163*$AD163),(AT163*$AD163))),(BR163+CP163))</f>
        <v>0</v>
      </c>
      <c r="EA163" s="442">
        <f>IF('2. START'!$C$11="NO",(IF('2. START'!$C$14&gt;0,(DO163*$AD163),(AU163*$AD163))),(BS163+CQ163))</f>
        <v>0</v>
      </c>
      <c r="EB163" s="442">
        <f>IF('2. START'!$C$11="NO",(IF('2. START'!$C$14&gt;0,(DP163*$AD163),(AV163*$AD163))),(BT163+CR163))</f>
        <v>0</v>
      </c>
      <c r="EC163" s="442">
        <f>IF('2. START'!$C$11="NO",(IF('2. START'!$C$14&gt;0,(DQ163*$AD163),(AW163*$AD163))),(BU163+CS163))</f>
        <v>0</v>
      </c>
      <c r="ED163" s="442">
        <f>IF('2. START'!$C$11="NO",(IF('2. START'!$C$14&gt;0,(DR163*$AD163),(AX163*$AD163))),(BV163+CT163))</f>
        <v>0</v>
      </c>
      <c r="EE163" s="442">
        <f>IF('2. START'!$C$11="NO",(IF('2. START'!$C$14&gt;0,(DS163*$AD163),(AY163*$AD163))),(BW163+CU163))</f>
        <v>0</v>
      </c>
      <c r="EF163" s="442">
        <f>IF('2. START'!$C$11="NO",(IF('2. START'!$C$14&gt;0,(DT163*$AD163),(AZ163*$AD163))),(BX163+CV163))</f>
        <v>0</v>
      </c>
      <c r="EG163" s="442">
        <f>IF('2. START'!$C$11="NO",(IF('2. START'!$C$14&gt;0,(DU163*$AD163),(BA163*$AD163))),(BY163+CW163))</f>
        <v>0</v>
      </c>
      <c r="EH163" s="442">
        <f>IF('2. START'!$C$11="NO",(IF('2. START'!$C$14&gt;0,(DV163*$AD163),(BB163*$AD163))),(BZ163+CX163))</f>
        <v>0</v>
      </c>
      <c r="EI163" s="442">
        <f>IF('2. START'!$C$11="NO",(IF('2. START'!$C$14&gt;0,(DW163*$AD163),(BC163*$AD163))),(CA163+CY163))</f>
        <v>0</v>
      </c>
      <c r="EJ163" s="443">
        <f t="shared" si="468"/>
        <v>0</v>
      </c>
      <c r="EL163" s="442">
        <f>(BR163+CP163-DZ163)+IF('2. START'!$C$14&gt;0,AT163-DN163,0)</f>
        <v>0</v>
      </c>
      <c r="EM163" s="442">
        <f>(BS163+CQ163-EA163)+IF('2. START'!$C$14&gt;0,AU163-DO163,0)</f>
        <v>0</v>
      </c>
      <c r="EN163" s="442">
        <f>(BT163+CR163-EB163)+IF('2. START'!$C$14&gt;0,AV163-DP163,0)</f>
        <v>0</v>
      </c>
      <c r="EO163" s="442">
        <f>(BU163+CS163-EC163)+IF('2. START'!$C$14&gt;0,AW163-DQ163,0)</f>
        <v>0</v>
      </c>
      <c r="EP163" s="442">
        <f>(BV163+CT163-ED163)+IF('2. START'!$C$14&gt;0,AX163-DR163,0)</f>
        <v>0</v>
      </c>
      <c r="EQ163" s="442">
        <f>(BW163+CU163-EE163)+IF('2. START'!$C$14&gt;0,AY163-DS163,0)</f>
        <v>0</v>
      </c>
      <c r="ER163" s="442">
        <f>(BX163+CV163-EF163)+IF('2. START'!$C$14&gt;0,AZ163-DT163,0)</f>
        <v>0</v>
      </c>
      <c r="ES163" s="442">
        <f>(BY163+CW163-EG163)+IF('2. START'!$C$14&gt;0,BA163-DU163,0)</f>
        <v>0</v>
      </c>
      <c r="ET163" s="442">
        <f>(BZ163+CX163-EH163)+IF('2. START'!$C$14&gt;0,BB163-DV163,0)</f>
        <v>0</v>
      </c>
      <c r="EU163" s="442">
        <f>(CA163+CY163-EI163)+IF('2. START'!$C$14&gt;0,BC163-DW163,0)</f>
        <v>0</v>
      </c>
      <c r="EV163" s="443">
        <f t="shared" si="469"/>
        <v>0</v>
      </c>
      <c r="EX163" s="442">
        <f t="shared" si="470"/>
        <v>0</v>
      </c>
      <c r="EY163" s="442">
        <f t="shared" si="471"/>
        <v>0</v>
      </c>
      <c r="EZ163" s="442">
        <f t="shared" si="472"/>
        <v>0</v>
      </c>
      <c r="FA163" s="442">
        <f t="shared" si="473"/>
        <v>0</v>
      </c>
      <c r="FB163" s="442">
        <f t="shared" si="474"/>
        <v>0</v>
      </c>
      <c r="FC163" s="442">
        <f t="shared" si="475"/>
        <v>0</v>
      </c>
      <c r="FD163" s="442">
        <f t="shared" si="476"/>
        <v>0</v>
      </c>
      <c r="FE163" s="442">
        <f t="shared" si="477"/>
        <v>0</v>
      </c>
      <c r="FF163" s="442">
        <f t="shared" si="478"/>
        <v>0</v>
      </c>
      <c r="FG163" s="442">
        <f t="shared" si="479"/>
        <v>0</v>
      </c>
      <c r="FH163" s="443">
        <f t="shared" si="480"/>
        <v>0</v>
      </c>
      <c r="FJ163" s="442">
        <f t="shared" si="481"/>
        <v>0</v>
      </c>
      <c r="FK163" s="442">
        <f t="shared" si="482"/>
        <v>0</v>
      </c>
      <c r="FL163" s="442">
        <f t="shared" si="483"/>
        <v>0</v>
      </c>
      <c r="FM163" s="442">
        <f t="shared" si="484"/>
        <v>0</v>
      </c>
      <c r="FN163" s="442">
        <f t="shared" si="485"/>
        <v>0</v>
      </c>
      <c r="FO163" s="442">
        <f t="shared" si="486"/>
        <v>0</v>
      </c>
      <c r="FP163" s="442">
        <f t="shared" si="487"/>
        <v>0</v>
      </c>
      <c r="FQ163" s="442">
        <f t="shared" si="488"/>
        <v>0</v>
      </c>
      <c r="FR163" s="442">
        <f t="shared" si="489"/>
        <v>0</v>
      </c>
      <c r="FS163" s="442">
        <f t="shared" si="490"/>
        <v>0</v>
      </c>
      <c r="FT163" s="443">
        <f t="shared" si="491"/>
        <v>0</v>
      </c>
    </row>
    <row r="164" spans="2:176" s="270" customFormat="1" ht="15" customHeight="1" x14ac:dyDescent="0.25">
      <c r="B164" s="446" t="str">
        <f>'2. START'!C$7</f>
        <v>100GEM</v>
      </c>
      <c r="C164" s="469"/>
      <c r="D164" s="589"/>
      <c r="E164" s="544">
        <v>0</v>
      </c>
      <c r="F164" s="448"/>
      <c r="G164" s="449"/>
      <c r="H164" s="449"/>
      <c r="I164" s="449"/>
      <c r="J164" s="449"/>
      <c r="K164" s="449"/>
      <c r="L164" s="449"/>
      <c r="M164" s="449"/>
      <c r="N164" s="449"/>
      <c r="O164" s="449"/>
      <c r="P164" s="449"/>
      <c r="Q164" s="546">
        <f>SUMIF('3. PARTNER'!$B$13:$B$80,$B164,'3. PARTNER'!$F$13:$F$80)</f>
        <v>0.02</v>
      </c>
      <c r="R164" s="450">
        <f t="shared" si="387"/>
        <v>0.02</v>
      </c>
      <c r="S164" s="450">
        <f t="shared" si="387"/>
        <v>0.02</v>
      </c>
      <c r="T164" s="450">
        <f t="shared" si="387"/>
        <v>0.02</v>
      </c>
      <c r="U164" s="450">
        <f t="shared" ref="R164:Z191" si="492">$Q164</f>
        <v>0.02</v>
      </c>
      <c r="V164" s="450">
        <f t="shared" si="492"/>
        <v>0.02</v>
      </c>
      <c r="W164" s="450">
        <f t="shared" si="492"/>
        <v>0.02</v>
      </c>
      <c r="X164" s="450">
        <f t="shared" si="492"/>
        <v>0.02</v>
      </c>
      <c r="Y164" s="450">
        <f t="shared" si="492"/>
        <v>0.02</v>
      </c>
      <c r="Z164" s="450">
        <f t="shared" si="492"/>
        <v>0.02</v>
      </c>
      <c r="AA164" s="451">
        <f>SUMIF('3. PARTNER'!B$13:B$80,B164,'3. PARTNER'!E$13:E$80)</f>
        <v>0.5595</v>
      </c>
      <c r="AB164" s="452">
        <f>IF('2. START'!$C$20="UTB",(SUMIF('3. PARTNER'!B$13:B$80,B164,'3. PARTNER'!K$13:K$80))+(SUMIF('3. PARTNER'!B$13:B$80,B164,'3. PARTNER'!M$13:M$80)),(SUMIF('3. PARTNER'!B$13:B$80,B164,'3. PARTNER'!G$13:G$80))+(SUMIF('3. PARTNER'!B$13:B$80,B164,'3. PARTNER'!I$13:I$80)))</f>
        <v>0.16000843770704321</v>
      </c>
      <c r="AC164" s="452">
        <f>IF('2. START'!$C$20="UTB",(SUMIF('3. PARTNER'!B$13:B$80,B164,'3. PARTNER'!L$13:L$80))+(SUMIF('3. PARTNER'!B$13:B$80,B164,'3. PARTNER'!N$13:N$80)),(SUMIF('3. PARTNER'!B$13:B$80,B164,'3. PARTNER'!H$13:H$80))+(SUMIF('3. PARTNER'!B$13:B$80,B164,'3. PARTNER'!J$13:J$80)))</f>
        <v>0</v>
      </c>
      <c r="AD164" s="452">
        <f>IF('2. START'!C$11="NO",'2. START'!C$12,0)</f>
        <v>0</v>
      </c>
      <c r="AE164" s="453">
        <f t="shared" si="388"/>
        <v>0</v>
      </c>
      <c r="AF164" s="453">
        <f t="shared" si="389"/>
        <v>0</v>
      </c>
      <c r="AG164" s="454"/>
      <c r="AH164" s="455">
        <f t="shared" si="390"/>
        <v>0</v>
      </c>
      <c r="AI164" s="455">
        <f t="shared" si="391"/>
        <v>0</v>
      </c>
      <c r="AJ164" s="455">
        <f t="shared" si="392"/>
        <v>0</v>
      </c>
      <c r="AK164" s="455">
        <f t="shared" si="393"/>
        <v>0</v>
      </c>
      <c r="AL164" s="455">
        <f t="shared" si="394"/>
        <v>0</v>
      </c>
      <c r="AM164" s="455">
        <f t="shared" si="395"/>
        <v>0</v>
      </c>
      <c r="AN164" s="455">
        <f t="shared" si="396"/>
        <v>0</v>
      </c>
      <c r="AO164" s="455">
        <f t="shared" si="397"/>
        <v>0</v>
      </c>
      <c r="AP164" s="455">
        <f t="shared" si="398"/>
        <v>0</v>
      </c>
      <c r="AQ164" s="455">
        <f t="shared" si="399"/>
        <v>0</v>
      </c>
      <c r="AR164" s="456">
        <f t="shared" si="400"/>
        <v>0</v>
      </c>
      <c r="AS164" s="457"/>
      <c r="AT164" s="455">
        <f t="shared" si="401"/>
        <v>0</v>
      </c>
      <c r="AU164" s="455">
        <f t="shared" si="402"/>
        <v>0</v>
      </c>
      <c r="AV164" s="455">
        <f t="shared" si="403"/>
        <v>0</v>
      </c>
      <c r="AW164" s="455">
        <f t="shared" si="404"/>
        <v>0</v>
      </c>
      <c r="AX164" s="455">
        <f t="shared" si="405"/>
        <v>0</v>
      </c>
      <c r="AY164" s="455">
        <f t="shared" si="406"/>
        <v>0</v>
      </c>
      <c r="AZ164" s="455">
        <f t="shared" si="407"/>
        <v>0</v>
      </c>
      <c r="BA164" s="455">
        <f t="shared" si="408"/>
        <v>0</v>
      </c>
      <c r="BB164" s="455">
        <f t="shared" si="409"/>
        <v>0</v>
      </c>
      <c r="BC164" s="455">
        <f t="shared" si="410"/>
        <v>0</v>
      </c>
      <c r="BD164" s="456">
        <f t="shared" si="411"/>
        <v>0</v>
      </c>
      <c r="BE164" s="457"/>
      <c r="BF164" s="455">
        <f t="shared" si="412"/>
        <v>0</v>
      </c>
      <c r="BG164" s="455">
        <f t="shared" si="413"/>
        <v>0</v>
      </c>
      <c r="BH164" s="455">
        <f t="shared" si="414"/>
        <v>0</v>
      </c>
      <c r="BI164" s="455">
        <f t="shared" si="415"/>
        <v>0</v>
      </c>
      <c r="BJ164" s="455">
        <f t="shared" si="416"/>
        <v>0</v>
      </c>
      <c r="BK164" s="455">
        <f t="shared" si="417"/>
        <v>0</v>
      </c>
      <c r="BL164" s="455">
        <f t="shared" si="418"/>
        <v>0</v>
      </c>
      <c r="BM164" s="455">
        <f t="shared" si="419"/>
        <v>0</v>
      </c>
      <c r="BN164" s="455">
        <f t="shared" si="420"/>
        <v>0</v>
      </c>
      <c r="BO164" s="455">
        <f t="shared" si="421"/>
        <v>0</v>
      </c>
      <c r="BP164" s="456">
        <f t="shared" si="422"/>
        <v>0</v>
      </c>
      <c r="BQ164" s="463"/>
      <c r="BR164" s="459">
        <f t="shared" si="423"/>
        <v>0</v>
      </c>
      <c r="BS164" s="459">
        <f t="shared" si="424"/>
        <v>0</v>
      </c>
      <c r="BT164" s="459">
        <f t="shared" si="425"/>
        <v>0</v>
      </c>
      <c r="BU164" s="459">
        <f t="shared" si="426"/>
        <v>0</v>
      </c>
      <c r="BV164" s="459">
        <f t="shared" si="427"/>
        <v>0</v>
      </c>
      <c r="BW164" s="459">
        <f t="shared" si="428"/>
        <v>0</v>
      </c>
      <c r="BX164" s="459">
        <f t="shared" si="429"/>
        <v>0</v>
      </c>
      <c r="BY164" s="459">
        <f t="shared" si="430"/>
        <v>0</v>
      </c>
      <c r="BZ164" s="459">
        <f t="shared" si="431"/>
        <v>0</v>
      </c>
      <c r="CA164" s="459">
        <f t="shared" si="432"/>
        <v>0</v>
      </c>
      <c r="CB164" s="460">
        <f t="shared" si="433"/>
        <v>0</v>
      </c>
      <c r="CC164" s="463"/>
      <c r="CD164" s="462">
        <f t="shared" si="434"/>
        <v>0</v>
      </c>
      <c r="CE164" s="462">
        <f t="shared" si="435"/>
        <v>0</v>
      </c>
      <c r="CF164" s="462">
        <f t="shared" si="436"/>
        <v>0</v>
      </c>
      <c r="CG164" s="462">
        <f t="shared" si="437"/>
        <v>0</v>
      </c>
      <c r="CH164" s="462">
        <f t="shared" si="438"/>
        <v>0</v>
      </c>
      <c r="CI164" s="462">
        <f t="shared" si="439"/>
        <v>0</v>
      </c>
      <c r="CJ164" s="462">
        <f t="shared" si="440"/>
        <v>0</v>
      </c>
      <c r="CK164" s="462">
        <f t="shared" si="441"/>
        <v>0</v>
      </c>
      <c r="CL164" s="462">
        <f t="shared" si="442"/>
        <v>0</v>
      </c>
      <c r="CM164" s="462">
        <f t="shared" si="443"/>
        <v>0</v>
      </c>
      <c r="CN164" s="460">
        <f t="shared" si="444"/>
        <v>0</v>
      </c>
      <c r="CO164" s="463"/>
      <c r="CP164" s="459">
        <f t="shared" si="445"/>
        <v>0</v>
      </c>
      <c r="CQ164" s="459">
        <f t="shared" si="446"/>
        <v>0</v>
      </c>
      <c r="CR164" s="459">
        <f t="shared" si="447"/>
        <v>0</v>
      </c>
      <c r="CS164" s="459">
        <f t="shared" si="448"/>
        <v>0</v>
      </c>
      <c r="CT164" s="459">
        <f t="shared" si="449"/>
        <v>0</v>
      </c>
      <c r="CU164" s="459">
        <f t="shared" si="450"/>
        <v>0</v>
      </c>
      <c r="CV164" s="459">
        <f t="shared" si="451"/>
        <v>0</v>
      </c>
      <c r="CW164" s="459">
        <f t="shared" si="452"/>
        <v>0</v>
      </c>
      <c r="CX164" s="459">
        <f t="shared" si="453"/>
        <v>0</v>
      </c>
      <c r="CY164" s="459">
        <f t="shared" si="454"/>
        <v>0</v>
      </c>
      <c r="CZ164" s="460">
        <f t="shared" si="455"/>
        <v>0</v>
      </c>
      <c r="DA164" s="463"/>
      <c r="DB164" s="459">
        <f t="shared" si="456"/>
        <v>0</v>
      </c>
      <c r="DC164" s="459">
        <f t="shared" si="457"/>
        <v>0</v>
      </c>
      <c r="DD164" s="459">
        <f t="shared" si="458"/>
        <v>0</v>
      </c>
      <c r="DE164" s="459">
        <f t="shared" si="459"/>
        <v>0</v>
      </c>
      <c r="DF164" s="459">
        <f t="shared" si="460"/>
        <v>0</v>
      </c>
      <c r="DG164" s="459">
        <f t="shared" si="461"/>
        <v>0</v>
      </c>
      <c r="DH164" s="459">
        <f t="shared" si="462"/>
        <v>0</v>
      </c>
      <c r="DI164" s="459">
        <f t="shared" si="463"/>
        <v>0</v>
      </c>
      <c r="DJ164" s="459">
        <f t="shared" si="464"/>
        <v>0</v>
      </c>
      <c r="DK164" s="459">
        <f t="shared" si="465"/>
        <v>0</v>
      </c>
      <c r="DL164" s="460">
        <f t="shared" si="466"/>
        <v>0</v>
      </c>
      <c r="DM164" s="463"/>
      <c r="DN164" s="442">
        <f>IF('2. START'!$C$14&gt;0,(AT164/(1+$AA164))*(1+'2. START'!$C$14),AT164)</f>
        <v>0</v>
      </c>
      <c r="DO164" s="442">
        <f>IF('2. START'!$C$14&gt;0,(AU164/(1+$AA164))*(1+'2. START'!$C$14),AU164)</f>
        <v>0</v>
      </c>
      <c r="DP164" s="442">
        <f>IF('2. START'!$C$14&gt;0,(AV164/(1+$AA164))*(1+'2. START'!$C$14),AV164)</f>
        <v>0</v>
      </c>
      <c r="DQ164" s="442">
        <f>IF('2. START'!$C$14&gt;0,(AW164/(1+$AA164))*(1+'2. START'!$C$14),AW164)</f>
        <v>0</v>
      </c>
      <c r="DR164" s="442">
        <f>IF('2. START'!$C$14&gt;0,(AX164/(1+$AA164))*(1+'2. START'!$C$14),AX164)</f>
        <v>0</v>
      </c>
      <c r="DS164" s="442">
        <f>IF('2. START'!$C$14&gt;0,(AY164/(1+$AA164))*(1+'2. START'!$C$14),AY164)</f>
        <v>0</v>
      </c>
      <c r="DT164" s="442">
        <f>IF('2. START'!$C$14&gt;0,(AZ164/(1+$AA164))*(1+'2. START'!$C$14),AZ164)</f>
        <v>0</v>
      </c>
      <c r="DU164" s="442">
        <f>IF('2. START'!$C$14&gt;0,(BA164/(1+$AA164))*(1+'2. START'!$C$14),BA164)</f>
        <v>0</v>
      </c>
      <c r="DV164" s="442">
        <f>IF('2. START'!$C$14&gt;0,(BB164/(1+$AA164))*(1+'2. START'!$C$14),BB164)</f>
        <v>0</v>
      </c>
      <c r="DW164" s="442">
        <f>IF('2. START'!$C$14&gt;0,(BC164/(1+$AA164))*(1+'2. START'!$C$14),BC164)</f>
        <v>0</v>
      </c>
      <c r="DX164" s="460">
        <f t="shared" si="467"/>
        <v>0</v>
      </c>
      <c r="DY164" s="463"/>
      <c r="DZ164" s="459">
        <f>IF('2. START'!$C$11="NO",(IF('2. START'!$C$14&gt;0,(DN164*$AD164),(AT164*$AD164))),(BR164+CP164))</f>
        <v>0</v>
      </c>
      <c r="EA164" s="459">
        <f>IF('2. START'!$C$11="NO",(IF('2. START'!$C$14&gt;0,(DO164*$AD164),(AU164*$AD164))),(BS164+CQ164))</f>
        <v>0</v>
      </c>
      <c r="EB164" s="459">
        <f>IF('2. START'!$C$11="NO",(IF('2. START'!$C$14&gt;0,(DP164*$AD164),(AV164*$AD164))),(BT164+CR164))</f>
        <v>0</v>
      </c>
      <c r="EC164" s="459">
        <f>IF('2. START'!$C$11="NO",(IF('2. START'!$C$14&gt;0,(DQ164*$AD164),(AW164*$AD164))),(BU164+CS164))</f>
        <v>0</v>
      </c>
      <c r="ED164" s="459">
        <f>IF('2. START'!$C$11="NO",(IF('2. START'!$C$14&gt;0,(DR164*$AD164),(AX164*$AD164))),(BV164+CT164))</f>
        <v>0</v>
      </c>
      <c r="EE164" s="459">
        <f>IF('2. START'!$C$11="NO",(IF('2. START'!$C$14&gt;0,(DS164*$AD164),(AY164*$AD164))),(BW164+CU164))</f>
        <v>0</v>
      </c>
      <c r="EF164" s="459">
        <f>IF('2. START'!$C$11="NO",(IF('2. START'!$C$14&gt;0,(DT164*$AD164),(AZ164*$AD164))),(BX164+CV164))</f>
        <v>0</v>
      </c>
      <c r="EG164" s="459">
        <f>IF('2. START'!$C$11="NO",(IF('2. START'!$C$14&gt;0,(DU164*$AD164),(BA164*$AD164))),(BY164+CW164))</f>
        <v>0</v>
      </c>
      <c r="EH164" s="459">
        <f>IF('2. START'!$C$11="NO",(IF('2. START'!$C$14&gt;0,(DV164*$AD164),(BB164*$AD164))),(BZ164+CX164))</f>
        <v>0</v>
      </c>
      <c r="EI164" s="459">
        <f>IF('2. START'!$C$11="NO",(IF('2. START'!$C$14&gt;0,(DW164*$AD164),(BC164*$AD164))),(CA164+CY164))</f>
        <v>0</v>
      </c>
      <c r="EJ164" s="460">
        <f t="shared" si="468"/>
        <v>0</v>
      </c>
      <c r="EK164" s="463"/>
      <c r="EL164" s="459">
        <f>(BR164+CP164-DZ164)+IF('2. START'!$C$14&gt;0,AT164-DN164,0)</f>
        <v>0</v>
      </c>
      <c r="EM164" s="459">
        <f>(BS164+CQ164-EA164)+IF('2. START'!$C$14&gt;0,AU164-DO164,0)</f>
        <v>0</v>
      </c>
      <c r="EN164" s="459">
        <f>(BT164+CR164-EB164)+IF('2. START'!$C$14&gt;0,AV164-DP164,0)</f>
        <v>0</v>
      </c>
      <c r="EO164" s="459">
        <f>(BU164+CS164-EC164)+IF('2. START'!$C$14&gt;0,AW164-DQ164,0)</f>
        <v>0</v>
      </c>
      <c r="EP164" s="459">
        <f>(BV164+CT164-ED164)+IF('2. START'!$C$14&gt;0,AX164-DR164,0)</f>
        <v>0</v>
      </c>
      <c r="EQ164" s="459">
        <f>(BW164+CU164-EE164)+IF('2. START'!$C$14&gt;0,AY164-DS164,0)</f>
        <v>0</v>
      </c>
      <c r="ER164" s="459">
        <f>(BX164+CV164-EF164)+IF('2. START'!$C$14&gt;0,AZ164-DT164,0)</f>
        <v>0</v>
      </c>
      <c r="ES164" s="459">
        <f>(BY164+CW164-EG164)+IF('2. START'!$C$14&gt;0,BA164-DU164,0)</f>
        <v>0</v>
      </c>
      <c r="ET164" s="459">
        <f>(BZ164+CX164-EH164)+IF('2. START'!$C$14&gt;0,BB164-DV164,0)</f>
        <v>0</v>
      </c>
      <c r="EU164" s="459">
        <f>(CA164+CY164-EI164)+IF('2. START'!$C$14&gt;0,BC164-DW164,0)</f>
        <v>0</v>
      </c>
      <c r="EV164" s="460">
        <f t="shared" si="469"/>
        <v>0</v>
      </c>
      <c r="EW164" s="463"/>
      <c r="EX164" s="459">
        <f t="shared" si="470"/>
        <v>0</v>
      </c>
      <c r="EY164" s="459">
        <f t="shared" si="471"/>
        <v>0</v>
      </c>
      <c r="EZ164" s="459">
        <f t="shared" si="472"/>
        <v>0</v>
      </c>
      <c r="FA164" s="459">
        <f t="shared" si="473"/>
        <v>0</v>
      </c>
      <c r="FB164" s="459">
        <f t="shared" si="474"/>
        <v>0</v>
      </c>
      <c r="FC164" s="459">
        <f t="shared" si="475"/>
        <v>0</v>
      </c>
      <c r="FD164" s="459">
        <f t="shared" si="476"/>
        <v>0</v>
      </c>
      <c r="FE164" s="459">
        <f t="shared" si="477"/>
        <v>0</v>
      </c>
      <c r="FF164" s="459">
        <f t="shared" si="478"/>
        <v>0</v>
      </c>
      <c r="FG164" s="459">
        <f t="shared" si="479"/>
        <v>0</v>
      </c>
      <c r="FH164" s="460">
        <f t="shared" si="480"/>
        <v>0</v>
      </c>
      <c r="FI164" s="463"/>
      <c r="FJ164" s="459">
        <f t="shared" si="481"/>
        <v>0</v>
      </c>
      <c r="FK164" s="459">
        <f t="shared" si="482"/>
        <v>0</v>
      </c>
      <c r="FL164" s="459">
        <f t="shared" si="483"/>
        <v>0</v>
      </c>
      <c r="FM164" s="459">
        <f t="shared" si="484"/>
        <v>0</v>
      </c>
      <c r="FN164" s="459">
        <f t="shared" si="485"/>
        <v>0</v>
      </c>
      <c r="FO164" s="459">
        <f t="shared" si="486"/>
        <v>0</v>
      </c>
      <c r="FP164" s="459">
        <f t="shared" si="487"/>
        <v>0</v>
      </c>
      <c r="FQ164" s="459">
        <f t="shared" si="488"/>
        <v>0</v>
      </c>
      <c r="FR164" s="459">
        <f t="shared" si="489"/>
        <v>0</v>
      </c>
      <c r="FS164" s="459">
        <f t="shared" si="490"/>
        <v>0</v>
      </c>
      <c r="FT164" s="460">
        <f t="shared" si="491"/>
        <v>0</v>
      </c>
    </row>
    <row r="165" spans="2:176" s="270" customFormat="1" ht="15" customHeight="1" x14ac:dyDescent="0.25">
      <c r="B165" s="464" t="str">
        <f>'2. START'!C$7</f>
        <v>100GEM</v>
      </c>
      <c r="C165" s="470"/>
      <c r="D165" s="590"/>
      <c r="E165" s="514">
        <v>0</v>
      </c>
      <c r="F165" s="467"/>
      <c r="G165" s="432"/>
      <c r="H165" s="432"/>
      <c r="I165" s="432"/>
      <c r="J165" s="432"/>
      <c r="K165" s="432"/>
      <c r="L165" s="432"/>
      <c r="M165" s="432"/>
      <c r="N165" s="432"/>
      <c r="O165" s="432"/>
      <c r="P165" s="432"/>
      <c r="Q165" s="545">
        <f>SUMIF('3. PARTNER'!$B$13:$B$80,$B165,'3. PARTNER'!$F$13:$F$80)</f>
        <v>0.02</v>
      </c>
      <c r="R165" s="466">
        <f t="shared" si="492"/>
        <v>0.02</v>
      </c>
      <c r="S165" s="466">
        <f t="shared" si="492"/>
        <v>0.02</v>
      </c>
      <c r="T165" s="466">
        <f t="shared" si="492"/>
        <v>0.02</v>
      </c>
      <c r="U165" s="466">
        <f t="shared" si="492"/>
        <v>0.02</v>
      </c>
      <c r="V165" s="466">
        <f t="shared" si="492"/>
        <v>0.02</v>
      </c>
      <c r="W165" s="466">
        <f t="shared" si="492"/>
        <v>0.02</v>
      </c>
      <c r="X165" s="466">
        <f t="shared" si="492"/>
        <v>0.02</v>
      </c>
      <c r="Y165" s="466">
        <f t="shared" si="492"/>
        <v>0.02</v>
      </c>
      <c r="Z165" s="466">
        <f t="shared" si="492"/>
        <v>0.02</v>
      </c>
      <c r="AA165" s="434">
        <f>SUMIF('3. PARTNER'!B$13:B$80,B165,'3. PARTNER'!E$13:E$80)</f>
        <v>0.5595</v>
      </c>
      <c r="AB165" s="435">
        <f>IF('2. START'!$C$20="UTB",(SUMIF('3. PARTNER'!B$13:B$80,B165,'3. PARTNER'!K$13:K$80))+(SUMIF('3. PARTNER'!B$13:B$80,B165,'3. PARTNER'!M$13:M$80)),(SUMIF('3. PARTNER'!B$13:B$80,B165,'3. PARTNER'!G$13:G$80))+(SUMIF('3. PARTNER'!B$13:B$80,B165,'3. PARTNER'!I$13:I$80)))</f>
        <v>0.16000843770704321</v>
      </c>
      <c r="AC165" s="435">
        <f>IF('2. START'!$C$20="UTB",(SUMIF('3. PARTNER'!B$13:B$80,B165,'3. PARTNER'!L$13:L$80))+(SUMIF('3. PARTNER'!B$13:B$80,B165,'3. PARTNER'!N$13:N$80)),(SUMIF('3. PARTNER'!B$13:B$80,B165,'3. PARTNER'!H$13:H$80))+(SUMIF('3. PARTNER'!B$13:B$80,B165,'3. PARTNER'!J$13:J$80)))</f>
        <v>0</v>
      </c>
      <c r="AD165" s="435">
        <f>IF('2. START'!C$11="NO",'2. START'!C$12,0)</f>
        <v>0</v>
      </c>
      <c r="AE165" s="436">
        <f t="shared" si="388"/>
        <v>0</v>
      </c>
      <c r="AF165" s="436">
        <f t="shared" si="389"/>
        <v>0</v>
      </c>
      <c r="AG165" s="437"/>
      <c r="AH165" s="438">
        <f t="shared" si="390"/>
        <v>0</v>
      </c>
      <c r="AI165" s="438">
        <f t="shared" si="391"/>
        <v>0</v>
      </c>
      <c r="AJ165" s="438">
        <f t="shared" si="392"/>
        <v>0</v>
      </c>
      <c r="AK165" s="438">
        <f t="shared" si="393"/>
        <v>0</v>
      </c>
      <c r="AL165" s="438">
        <f t="shared" si="394"/>
        <v>0</v>
      </c>
      <c r="AM165" s="438">
        <f t="shared" si="395"/>
        <v>0</v>
      </c>
      <c r="AN165" s="438">
        <f t="shared" si="396"/>
        <v>0</v>
      </c>
      <c r="AO165" s="438">
        <f t="shared" si="397"/>
        <v>0</v>
      </c>
      <c r="AP165" s="438">
        <f t="shared" si="398"/>
        <v>0</v>
      </c>
      <c r="AQ165" s="438">
        <f t="shared" si="399"/>
        <v>0</v>
      </c>
      <c r="AR165" s="439">
        <f t="shared" si="400"/>
        <v>0</v>
      </c>
      <c r="AS165" s="440"/>
      <c r="AT165" s="438">
        <f t="shared" si="401"/>
        <v>0</v>
      </c>
      <c r="AU165" s="438">
        <f t="shared" si="402"/>
        <v>0</v>
      </c>
      <c r="AV165" s="438">
        <f t="shared" si="403"/>
        <v>0</v>
      </c>
      <c r="AW165" s="438">
        <f t="shared" si="404"/>
        <v>0</v>
      </c>
      <c r="AX165" s="438">
        <f t="shared" si="405"/>
        <v>0</v>
      </c>
      <c r="AY165" s="438">
        <f t="shared" si="406"/>
        <v>0</v>
      </c>
      <c r="AZ165" s="438">
        <f t="shared" si="407"/>
        <v>0</v>
      </c>
      <c r="BA165" s="438">
        <f t="shared" si="408"/>
        <v>0</v>
      </c>
      <c r="BB165" s="438">
        <f t="shared" si="409"/>
        <v>0</v>
      </c>
      <c r="BC165" s="438">
        <f t="shared" si="410"/>
        <v>0</v>
      </c>
      <c r="BD165" s="439">
        <f t="shared" si="411"/>
        <v>0</v>
      </c>
      <c r="BE165" s="440"/>
      <c r="BF165" s="438">
        <f t="shared" si="412"/>
        <v>0</v>
      </c>
      <c r="BG165" s="438">
        <f t="shared" si="413"/>
        <v>0</v>
      </c>
      <c r="BH165" s="438">
        <f t="shared" si="414"/>
        <v>0</v>
      </c>
      <c r="BI165" s="438">
        <f t="shared" si="415"/>
        <v>0</v>
      </c>
      <c r="BJ165" s="438">
        <f t="shared" si="416"/>
        <v>0</v>
      </c>
      <c r="BK165" s="438">
        <f t="shared" si="417"/>
        <v>0</v>
      </c>
      <c r="BL165" s="438">
        <f t="shared" si="418"/>
        <v>0</v>
      </c>
      <c r="BM165" s="438">
        <f t="shared" si="419"/>
        <v>0</v>
      </c>
      <c r="BN165" s="438">
        <f t="shared" si="420"/>
        <v>0</v>
      </c>
      <c r="BO165" s="438">
        <f t="shared" si="421"/>
        <v>0</v>
      </c>
      <c r="BP165" s="439">
        <f t="shared" si="422"/>
        <v>0</v>
      </c>
      <c r="BR165" s="442">
        <f t="shared" si="423"/>
        <v>0</v>
      </c>
      <c r="BS165" s="442">
        <f t="shared" si="424"/>
        <v>0</v>
      </c>
      <c r="BT165" s="442">
        <f t="shared" si="425"/>
        <v>0</v>
      </c>
      <c r="BU165" s="442">
        <f t="shared" si="426"/>
        <v>0</v>
      </c>
      <c r="BV165" s="442">
        <f t="shared" si="427"/>
        <v>0</v>
      </c>
      <c r="BW165" s="442">
        <f t="shared" si="428"/>
        <v>0</v>
      </c>
      <c r="BX165" s="442">
        <f t="shared" si="429"/>
        <v>0</v>
      </c>
      <c r="BY165" s="442">
        <f t="shared" si="430"/>
        <v>0</v>
      </c>
      <c r="BZ165" s="442">
        <f t="shared" si="431"/>
        <v>0</v>
      </c>
      <c r="CA165" s="442">
        <f t="shared" si="432"/>
        <v>0</v>
      </c>
      <c r="CB165" s="443">
        <f t="shared" si="433"/>
        <v>0</v>
      </c>
      <c r="CD165" s="445">
        <f t="shared" si="434"/>
        <v>0</v>
      </c>
      <c r="CE165" s="445">
        <f t="shared" si="435"/>
        <v>0</v>
      </c>
      <c r="CF165" s="445">
        <f t="shared" si="436"/>
        <v>0</v>
      </c>
      <c r="CG165" s="445">
        <f t="shared" si="437"/>
        <v>0</v>
      </c>
      <c r="CH165" s="445">
        <f t="shared" si="438"/>
        <v>0</v>
      </c>
      <c r="CI165" s="445">
        <f t="shared" si="439"/>
        <v>0</v>
      </c>
      <c r="CJ165" s="445">
        <f t="shared" si="440"/>
        <v>0</v>
      </c>
      <c r="CK165" s="445">
        <f t="shared" si="441"/>
        <v>0</v>
      </c>
      <c r="CL165" s="445">
        <f t="shared" si="442"/>
        <v>0</v>
      </c>
      <c r="CM165" s="445">
        <f t="shared" si="443"/>
        <v>0</v>
      </c>
      <c r="CN165" s="443">
        <f t="shared" si="444"/>
        <v>0</v>
      </c>
      <c r="CP165" s="442">
        <f t="shared" si="445"/>
        <v>0</v>
      </c>
      <c r="CQ165" s="442">
        <f t="shared" si="446"/>
        <v>0</v>
      </c>
      <c r="CR165" s="442">
        <f t="shared" si="447"/>
        <v>0</v>
      </c>
      <c r="CS165" s="442">
        <f t="shared" si="448"/>
        <v>0</v>
      </c>
      <c r="CT165" s="442">
        <f t="shared" si="449"/>
        <v>0</v>
      </c>
      <c r="CU165" s="442">
        <f t="shared" si="450"/>
        <v>0</v>
      </c>
      <c r="CV165" s="442">
        <f t="shared" si="451"/>
        <v>0</v>
      </c>
      <c r="CW165" s="442">
        <f t="shared" si="452"/>
        <v>0</v>
      </c>
      <c r="CX165" s="442">
        <f t="shared" si="453"/>
        <v>0</v>
      </c>
      <c r="CY165" s="442">
        <f t="shared" si="454"/>
        <v>0</v>
      </c>
      <c r="CZ165" s="443">
        <f t="shared" si="455"/>
        <v>0</v>
      </c>
      <c r="DB165" s="442">
        <f t="shared" si="456"/>
        <v>0</v>
      </c>
      <c r="DC165" s="442">
        <f t="shared" si="457"/>
        <v>0</v>
      </c>
      <c r="DD165" s="442">
        <f t="shared" si="458"/>
        <v>0</v>
      </c>
      <c r="DE165" s="442">
        <f t="shared" si="459"/>
        <v>0</v>
      </c>
      <c r="DF165" s="442">
        <f t="shared" si="460"/>
        <v>0</v>
      </c>
      <c r="DG165" s="442">
        <f t="shared" si="461"/>
        <v>0</v>
      </c>
      <c r="DH165" s="442">
        <f t="shared" si="462"/>
        <v>0</v>
      </c>
      <c r="DI165" s="442">
        <f t="shared" si="463"/>
        <v>0</v>
      </c>
      <c r="DJ165" s="442">
        <f t="shared" si="464"/>
        <v>0</v>
      </c>
      <c r="DK165" s="442">
        <f t="shared" si="465"/>
        <v>0</v>
      </c>
      <c r="DL165" s="443">
        <f t="shared" si="466"/>
        <v>0</v>
      </c>
      <c r="DN165" s="442">
        <f>IF('2. START'!$C$14&gt;0,(AT165/(1+$AA165))*(1+'2. START'!$C$14),AT165)</f>
        <v>0</v>
      </c>
      <c r="DO165" s="442">
        <f>IF('2. START'!$C$14&gt;0,(AU165/(1+$AA165))*(1+'2. START'!$C$14),AU165)</f>
        <v>0</v>
      </c>
      <c r="DP165" s="442">
        <f>IF('2. START'!$C$14&gt;0,(AV165/(1+$AA165))*(1+'2. START'!$C$14),AV165)</f>
        <v>0</v>
      </c>
      <c r="DQ165" s="442">
        <f>IF('2. START'!$C$14&gt;0,(AW165/(1+$AA165))*(1+'2. START'!$C$14),AW165)</f>
        <v>0</v>
      </c>
      <c r="DR165" s="442">
        <f>IF('2. START'!$C$14&gt;0,(AX165/(1+$AA165))*(1+'2. START'!$C$14),AX165)</f>
        <v>0</v>
      </c>
      <c r="DS165" s="442">
        <f>IF('2. START'!$C$14&gt;0,(AY165/(1+$AA165))*(1+'2. START'!$C$14),AY165)</f>
        <v>0</v>
      </c>
      <c r="DT165" s="442">
        <f>IF('2. START'!$C$14&gt;0,(AZ165/(1+$AA165))*(1+'2. START'!$C$14),AZ165)</f>
        <v>0</v>
      </c>
      <c r="DU165" s="442">
        <f>IF('2. START'!$C$14&gt;0,(BA165/(1+$AA165))*(1+'2. START'!$C$14),BA165)</f>
        <v>0</v>
      </c>
      <c r="DV165" s="442">
        <f>IF('2. START'!$C$14&gt;0,(BB165/(1+$AA165))*(1+'2. START'!$C$14),BB165)</f>
        <v>0</v>
      </c>
      <c r="DW165" s="442">
        <f>IF('2. START'!$C$14&gt;0,(BC165/(1+$AA165))*(1+'2. START'!$C$14),BC165)</f>
        <v>0</v>
      </c>
      <c r="DX165" s="443">
        <f t="shared" si="467"/>
        <v>0</v>
      </c>
      <c r="DZ165" s="442">
        <f>IF('2. START'!$C$11="NO",(IF('2. START'!$C$14&gt;0,(DN165*$AD165),(AT165*$AD165))),(BR165+CP165))</f>
        <v>0</v>
      </c>
      <c r="EA165" s="442">
        <f>IF('2. START'!$C$11="NO",(IF('2. START'!$C$14&gt;0,(DO165*$AD165),(AU165*$AD165))),(BS165+CQ165))</f>
        <v>0</v>
      </c>
      <c r="EB165" s="442">
        <f>IF('2. START'!$C$11="NO",(IF('2. START'!$C$14&gt;0,(DP165*$AD165),(AV165*$AD165))),(BT165+CR165))</f>
        <v>0</v>
      </c>
      <c r="EC165" s="442">
        <f>IF('2. START'!$C$11="NO",(IF('2. START'!$C$14&gt;0,(DQ165*$AD165),(AW165*$AD165))),(BU165+CS165))</f>
        <v>0</v>
      </c>
      <c r="ED165" s="442">
        <f>IF('2. START'!$C$11="NO",(IF('2. START'!$C$14&gt;0,(DR165*$AD165),(AX165*$AD165))),(BV165+CT165))</f>
        <v>0</v>
      </c>
      <c r="EE165" s="442">
        <f>IF('2. START'!$C$11="NO",(IF('2. START'!$C$14&gt;0,(DS165*$AD165),(AY165*$AD165))),(BW165+CU165))</f>
        <v>0</v>
      </c>
      <c r="EF165" s="442">
        <f>IF('2. START'!$C$11="NO",(IF('2. START'!$C$14&gt;0,(DT165*$AD165),(AZ165*$AD165))),(BX165+CV165))</f>
        <v>0</v>
      </c>
      <c r="EG165" s="442">
        <f>IF('2. START'!$C$11="NO",(IF('2. START'!$C$14&gt;0,(DU165*$AD165),(BA165*$AD165))),(BY165+CW165))</f>
        <v>0</v>
      </c>
      <c r="EH165" s="442">
        <f>IF('2. START'!$C$11="NO",(IF('2. START'!$C$14&gt;0,(DV165*$AD165),(BB165*$AD165))),(BZ165+CX165))</f>
        <v>0</v>
      </c>
      <c r="EI165" s="442">
        <f>IF('2. START'!$C$11="NO",(IF('2. START'!$C$14&gt;0,(DW165*$AD165),(BC165*$AD165))),(CA165+CY165))</f>
        <v>0</v>
      </c>
      <c r="EJ165" s="443">
        <f t="shared" si="468"/>
        <v>0</v>
      </c>
      <c r="EL165" s="442">
        <f>(BR165+CP165-DZ165)+IF('2. START'!$C$14&gt;0,AT165-DN165,0)</f>
        <v>0</v>
      </c>
      <c r="EM165" s="442">
        <f>(BS165+CQ165-EA165)+IF('2. START'!$C$14&gt;0,AU165-DO165,0)</f>
        <v>0</v>
      </c>
      <c r="EN165" s="442">
        <f>(BT165+CR165-EB165)+IF('2. START'!$C$14&gt;0,AV165-DP165,0)</f>
        <v>0</v>
      </c>
      <c r="EO165" s="442">
        <f>(BU165+CS165-EC165)+IF('2. START'!$C$14&gt;0,AW165-DQ165,0)</f>
        <v>0</v>
      </c>
      <c r="EP165" s="442">
        <f>(BV165+CT165-ED165)+IF('2. START'!$C$14&gt;0,AX165-DR165,0)</f>
        <v>0</v>
      </c>
      <c r="EQ165" s="442">
        <f>(BW165+CU165-EE165)+IF('2. START'!$C$14&gt;0,AY165-DS165,0)</f>
        <v>0</v>
      </c>
      <c r="ER165" s="442">
        <f>(BX165+CV165-EF165)+IF('2. START'!$C$14&gt;0,AZ165-DT165,0)</f>
        <v>0</v>
      </c>
      <c r="ES165" s="442">
        <f>(BY165+CW165-EG165)+IF('2. START'!$C$14&gt;0,BA165-DU165,0)</f>
        <v>0</v>
      </c>
      <c r="ET165" s="442">
        <f>(BZ165+CX165-EH165)+IF('2. START'!$C$14&gt;0,BB165-DV165,0)</f>
        <v>0</v>
      </c>
      <c r="EU165" s="442">
        <f>(CA165+CY165-EI165)+IF('2. START'!$C$14&gt;0,BC165-DW165,0)</f>
        <v>0</v>
      </c>
      <c r="EV165" s="443">
        <f t="shared" si="469"/>
        <v>0</v>
      </c>
      <c r="EX165" s="442">
        <f t="shared" si="470"/>
        <v>0</v>
      </c>
      <c r="EY165" s="442">
        <f t="shared" si="471"/>
        <v>0</v>
      </c>
      <c r="EZ165" s="442">
        <f t="shared" si="472"/>
        <v>0</v>
      </c>
      <c r="FA165" s="442">
        <f t="shared" si="473"/>
        <v>0</v>
      </c>
      <c r="FB165" s="442">
        <f t="shared" si="474"/>
        <v>0</v>
      </c>
      <c r="FC165" s="442">
        <f t="shared" si="475"/>
        <v>0</v>
      </c>
      <c r="FD165" s="442">
        <f t="shared" si="476"/>
        <v>0</v>
      </c>
      <c r="FE165" s="442">
        <f t="shared" si="477"/>
        <v>0</v>
      </c>
      <c r="FF165" s="442">
        <f t="shared" si="478"/>
        <v>0</v>
      </c>
      <c r="FG165" s="442">
        <f t="shared" si="479"/>
        <v>0</v>
      </c>
      <c r="FH165" s="443">
        <f t="shared" si="480"/>
        <v>0</v>
      </c>
      <c r="FJ165" s="442">
        <f t="shared" si="481"/>
        <v>0</v>
      </c>
      <c r="FK165" s="442">
        <f t="shared" si="482"/>
        <v>0</v>
      </c>
      <c r="FL165" s="442">
        <f t="shared" si="483"/>
        <v>0</v>
      </c>
      <c r="FM165" s="442">
        <f t="shared" si="484"/>
        <v>0</v>
      </c>
      <c r="FN165" s="442">
        <f t="shared" si="485"/>
        <v>0</v>
      </c>
      <c r="FO165" s="442">
        <f t="shared" si="486"/>
        <v>0</v>
      </c>
      <c r="FP165" s="442">
        <f t="shared" si="487"/>
        <v>0</v>
      </c>
      <c r="FQ165" s="442">
        <f t="shared" si="488"/>
        <v>0</v>
      </c>
      <c r="FR165" s="442">
        <f t="shared" si="489"/>
        <v>0</v>
      </c>
      <c r="FS165" s="442">
        <f t="shared" si="490"/>
        <v>0</v>
      </c>
      <c r="FT165" s="443">
        <f t="shared" si="491"/>
        <v>0</v>
      </c>
    </row>
    <row r="166" spans="2:176" s="270" customFormat="1" ht="15" customHeight="1" x14ac:dyDescent="0.25">
      <c r="B166" s="446" t="str">
        <f>'2. START'!C$7</f>
        <v>100GEM</v>
      </c>
      <c r="C166" s="469"/>
      <c r="D166" s="589"/>
      <c r="E166" s="544">
        <v>0</v>
      </c>
      <c r="F166" s="448"/>
      <c r="G166" s="449"/>
      <c r="H166" s="449"/>
      <c r="I166" s="449"/>
      <c r="J166" s="449"/>
      <c r="K166" s="449"/>
      <c r="L166" s="449"/>
      <c r="M166" s="449"/>
      <c r="N166" s="449"/>
      <c r="O166" s="449"/>
      <c r="P166" s="449"/>
      <c r="Q166" s="546">
        <f>SUMIF('3. PARTNER'!$B$13:$B$80,$B166,'3. PARTNER'!$F$13:$F$80)</f>
        <v>0.02</v>
      </c>
      <c r="R166" s="450">
        <f t="shared" si="492"/>
        <v>0.02</v>
      </c>
      <c r="S166" s="450">
        <f t="shared" si="492"/>
        <v>0.02</v>
      </c>
      <c r="T166" s="450">
        <f t="shared" si="492"/>
        <v>0.02</v>
      </c>
      <c r="U166" s="450">
        <f t="shared" si="492"/>
        <v>0.02</v>
      </c>
      <c r="V166" s="450">
        <f t="shared" si="492"/>
        <v>0.02</v>
      </c>
      <c r="W166" s="450">
        <f t="shared" si="492"/>
        <v>0.02</v>
      </c>
      <c r="X166" s="450">
        <f t="shared" si="492"/>
        <v>0.02</v>
      </c>
      <c r="Y166" s="450">
        <f t="shared" si="492"/>
        <v>0.02</v>
      </c>
      <c r="Z166" s="450">
        <f t="shared" si="492"/>
        <v>0.02</v>
      </c>
      <c r="AA166" s="451">
        <f>SUMIF('3. PARTNER'!B$13:B$80,B166,'3. PARTNER'!E$13:E$80)</f>
        <v>0.5595</v>
      </c>
      <c r="AB166" s="452">
        <f>IF('2. START'!$C$20="UTB",(SUMIF('3. PARTNER'!B$13:B$80,B166,'3. PARTNER'!K$13:K$80))+(SUMIF('3. PARTNER'!B$13:B$80,B166,'3. PARTNER'!M$13:M$80)),(SUMIF('3. PARTNER'!B$13:B$80,B166,'3. PARTNER'!G$13:G$80))+(SUMIF('3. PARTNER'!B$13:B$80,B166,'3. PARTNER'!I$13:I$80)))</f>
        <v>0.16000843770704321</v>
      </c>
      <c r="AC166" s="452">
        <f>IF('2. START'!$C$20="UTB",(SUMIF('3. PARTNER'!B$13:B$80,B166,'3. PARTNER'!L$13:L$80))+(SUMIF('3. PARTNER'!B$13:B$80,B166,'3. PARTNER'!N$13:N$80)),(SUMIF('3. PARTNER'!B$13:B$80,B166,'3. PARTNER'!H$13:H$80))+(SUMIF('3. PARTNER'!B$13:B$80,B166,'3. PARTNER'!J$13:J$80)))</f>
        <v>0</v>
      </c>
      <c r="AD166" s="452">
        <f>IF('2. START'!C$11="NO",'2. START'!C$12,0)</f>
        <v>0</v>
      </c>
      <c r="AE166" s="453">
        <f t="shared" si="388"/>
        <v>0</v>
      </c>
      <c r="AF166" s="453">
        <f t="shared" si="389"/>
        <v>0</v>
      </c>
      <c r="AG166" s="454"/>
      <c r="AH166" s="455">
        <f t="shared" si="390"/>
        <v>0</v>
      </c>
      <c r="AI166" s="455">
        <f t="shared" si="391"/>
        <v>0</v>
      </c>
      <c r="AJ166" s="455">
        <f t="shared" si="392"/>
        <v>0</v>
      </c>
      <c r="AK166" s="455">
        <f t="shared" si="393"/>
        <v>0</v>
      </c>
      <c r="AL166" s="455">
        <f t="shared" si="394"/>
        <v>0</v>
      </c>
      <c r="AM166" s="455">
        <f t="shared" si="395"/>
        <v>0</v>
      </c>
      <c r="AN166" s="455">
        <f t="shared" si="396"/>
        <v>0</v>
      </c>
      <c r="AO166" s="455">
        <f t="shared" si="397"/>
        <v>0</v>
      </c>
      <c r="AP166" s="455">
        <f t="shared" si="398"/>
        <v>0</v>
      </c>
      <c r="AQ166" s="455">
        <f t="shared" si="399"/>
        <v>0</v>
      </c>
      <c r="AR166" s="456">
        <f t="shared" si="400"/>
        <v>0</v>
      </c>
      <c r="AS166" s="457"/>
      <c r="AT166" s="455">
        <f t="shared" si="401"/>
        <v>0</v>
      </c>
      <c r="AU166" s="455">
        <f t="shared" si="402"/>
        <v>0</v>
      </c>
      <c r="AV166" s="455">
        <f t="shared" si="403"/>
        <v>0</v>
      </c>
      <c r="AW166" s="455">
        <f t="shared" si="404"/>
        <v>0</v>
      </c>
      <c r="AX166" s="455">
        <f t="shared" si="405"/>
        <v>0</v>
      </c>
      <c r="AY166" s="455">
        <f t="shared" si="406"/>
        <v>0</v>
      </c>
      <c r="AZ166" s="455">
        <f t="shared" si="407"/>
        <v>0</v>
      </c>
      <c r="BA166" s="455">
        <f t="shared" si="408"/>
        <v>0</v>
      </c>
      <c r="BB166" s="455">
        <f t="shared" si="409"/>
        <v>0</v>
      </c>
      <c r="BC166" s="455">
        <f t="shared" si="410"/>
        <v>0</v>
      </c>
      <c r="BD166" s="456">
        <f t="shared" si="411"/>
        <v>0</v>
      </c>
      <c r="BE166" s="457"/>
      <c r="BF166" s="455">
        <f t="shared" si="412"/>
        <v>0</v>
      </c>
      <c r="BG166" s="455">
        <f t="shared" si="413"/>
        <v>0</v>
      </c>
      <c r="BH166" s="455">
        <f t="shared" si="414"/>
        <v>0</v>
      </c>
      <c r="BI166" s="455">
        <f t="shared" si="415"/>
        <v>0</v>
      </c>
      <c r="BJ166" s="455">
        <f t="shared" si="416"/>
        <v>0</v>
      </c>
      <c r="BK166" s="455">
        <f t="shared" si="417"/>
        <v>0</v>
      </c>
      <c r="BL166" s="455">
        <f t="shared" si="418"/>
        <v>0</v>
      </c>
      <c r="BM166" s="455">
        <f t="shared" si="419"/>
        <v>0</v>
      </c>
      <c r="BN166" s="455">
        <f t="shared" si="420"/>
        <v>0</v>
      </c>
      <c r="BO166" s="455">
        <f t="shared" si="421"/>
        <v>0</v>
      </c>
      <c r="BP166" s="456">
        <f t="shared" si="422"/>
        <v>0</v>
      </c>
      <c r="BQ166" s="463"/>
      <c r="BR166" s="459">
        <f t="shared" si="423"/>
        <v>0</v>
      </c>
      <c r="BS166" s="459">
        <f t="shared" si="424"/>
        <v>0</v>
      </c>
      <c r="BT166" s="459">
        <f t="shared" si="425"/>
        <v>0</v>
      </c>
      <c r="BU166" s="459">
        <f t="shared" si="426"/>
        <v>0</v>
      </c>
      <c r="BV166" s="459">
        <f t="shared" si="427"/>
        <v>0</v>
      </c>
      <c r="BW166" s="459">
        <f t="shared" si="428"/>
        <v>0</v>
      </c>
      <c r="BX166" s="459">
        <f t="shared" si="429"/>
        <v>0</v>
      </c>
      <c r="BY166" s="459">
        <f t="shared" si="430"/>
        <v>0</v>
      </c>
      <c r="BZ166" s="459">
        <f t="shared" si="431"/>
        <v>0</v>
      </c>
      <c r="CA166" s="459">
        <f t="shared" si="432"/>
        <v>0</v>
      </c>
      <c r="CB166" s="460">
        <f t="shared" si="433"/>
        <v>0</v>
      </c>
      <c r="CC166" s="463"/>
      <c r="CD166" s="462">
        <f t="shared" si="434"/>
        <v>0</v>
      </c>
      <c r="CE166" s="462">
        <f t="shared" si="435"/>
        <v>0</v>
      </c>
      <c r="CF166" s="462">
        <f t="shared" si="436"/>
        <v>0</v>
      </c>
      <c r="CG166" s="462">
        <f t="shared" si="437"/>
        <v>0</v>
      </c>
      <c r="CH166" s="462">
        <f t="shared" si="438"/>
        <v>0</v>
      </c>
      <c r="CI166" s="462">
        <f t="shared" si="439"/>
        <v>0</v>
      </c>
      <c r="CJ166" s="462">
        <f t="shared" si="440"/>
        <v>0</v>
      </c>
      <c r="CK166" s="462">
        <f t="shared" si="441"/>
        <v>0</v>
      </c>
      <c r="CL166" s="462">
        <f t="shared" si="442"/>
        <v>0</v>
      </c>
      <c r="CM166" s="462">
        <f t="shared" si="443"/>
        <v>0</v>
      </c>
      <c r="CN166" s="460">
        <f t="shared" si="444"/>
        <v>0</v>
      </c>
      <c r="CO166" s="463"/>
      <c r="CP166" s="459">
        <f t="shared" si="445"/>
        <v>0</v>
      </c>
      <c r="CQ166" s="459">
        <f t="shared" si="446"/>
        <v>0</v>
      </c>
      <c r="CR166" s="459">
        <f t="shared" si="447"/>
        <v>0</v>
      </c>
      <c r="CS166" s="459">
        <f t="shared" si="448"/>
        <v>0</v>
      </c>
      <c r="CT166" s="459">
        <f t="shared" si="449"/>
        <v>0</v>
      </c>
      <c r="CU166" s="459">
        <f t="shared" si="450"/>
        <v>0</v>
      </c>
      <c r="CV166" s="459">
        <f t="shared" si="451"/>
        <v>0</v>
      </c>
      <c r="CW166" s="459">
        <f t="shared" si="452"/>
        <v>0</v>
      </c>
      <c r="CX166" s="459">
        <f t="shared" si="453"/>
        <v>0</v>
      </c>
      <c r="CY166" s="459">
        <f t="shared" si="454"/>
        <v>0</v>
      </c>
      <c r="CZ166" s="460">
        <f t="shared" si="455"/>
        <v>0</v>
      </c>
      <c r="DA166" s="463"/>
      <c r="DB166" s="459">
        <f t="shared" si="456"/>
        <v>0</v>
      </c>
      <c r="DC166" s="459">
        <f t="shared" si="457"/>
        <v>0</v>
      </c>
      <c r="DD166" s="459">
        <f t="shared" si="458"/>
        <v>0</v>
      </c>
      <c r="DE166" s="459">
        <f t="shared" si="459"/>
        <v>0</v>
      </c>
      <c r="DF166" s="459">
        <f t="shared" si="460"/>
        <v>0</v>
      </c>
      <c r="DG166" s="459">
        <f t="shared" si="461"/>
        <v>0</v>
      </c>
      <c r="DH166" s="459">
        <f t="shared" si="462"/>
        <v>0</v>
      </c>
      <c r="DI166" s="459">
        <f t="shared" si="463"/>
        <v>0</v>
      </c>
      <c r="DJ166" s="459">
        <f t="shared" si="464"/>
        <v>0</v>
      </c>
      <c r="DK166" s="459">
        <f t="shared" si="465"/>
        <v>0</v>
      </c>
      <c r="DL166" s="460">
        <f t="shared" si="466"/>
        <v>0</v>
      </c>
      <c r="DM166" s="463"/>
      <c r="DN166" s="442">
        <f>IF('2. START'!$C$14&gt;0,(AT166/(1+$AA166))*(1+'2. START'!$C$14),AT166)</f>
        <v>0</v>
      </c>
      <c r="DO166" s="442">
        <f>IF('2. START'!$C$14&gt;0,(AU166/(1+$AA166))*(1+'2. START'!$C$14),AU166)</f>
        <v>0</v>
      </c>
      <c r="DP166" s="442">
        <f>IF('2. START'!$C$14&gt;0,(AV166/(1+$AA166))*(1+'2. START'!$C$14),AV166)</f>
        <v>0</v>
      </c>
      <c r="DQ166" s="442">
        <f>IF('2. START'!$C$14&gt;0,(AW166/(1+$AA166))*(1+'2. START'!$C$14),AW166)</f>
        <v>0</v>
      </c>
      <c r="DR166" s="442">
        <f>IF('2. START'!$C$14&gt;0,(AX166/(1+$AA166))*(1+'2. START'!$C$14),AX166)</f>
        <v>0</v>
      </c>
      <c r="DS166" s="442">
        <f>IF('2. START'!$C$14&gt;0,(AY166/(1+$AA166))*(1+'2. START'!$C$14),AY166)</f>
        <v>0</v>
      </c>
      <c r="DT166" s="442">
        <f>IF('2. START'!$C$14&gt;0,(AZ166/(1+$AA166))*(1+'2. START'!$C$14),AZ166)</f>
        <v>0</v>
      </c>
      <c r="DU166" s="442">
        <f>IF('2. START'!$C$14&gt;0,(BA166/(1+$AA166))*(1+'2. START'!$C$14),BA166)</f>
        <v>0</v>
      </c>
      <c r="DV166" s="442">
        <f>IF('2. START'!$C$14&gt;0,(BB166/(1+$AA166))*(1+'2. START'!$C$14),BB166)</f>
        <v>0</v>
      </c>
      <c r="DW166" s="442">
        <f>IF('2. START'!$C$14&gt;0,(BC166/(1+$AA166))*(1+'2. START'!$C$14),BC166)</f>
        <v>0</v>
      </c>
      <c r="DX166" s="460">
        <f t="shared" si="467"/>
        <v>0</v>
      </c>
      <c r="DY166" s="463"/>
      <c r="DZ166" s="459">
        <f>IF('2. START'!$C$11="NO",(IF('2. START'!$C$14&gt;0,(DN166*$AD166),(AT166*$AD166))),(BR166+CP166))</f>
        <v>0</v>
      </c>
      <c r="EA166" s="459">
        <f>IF('2. START'!$C$11="NO",(IF('2. START'!$C$14&gt;0,(DO166*$AD166),(AU166*$AD166))),(BS166+CQ166))</f>
        <v>0</v>
      </c>
      <c r="EB166" s="459">
        <f>IF('2. START'!$C$11="NO",(IF('2. START'!$C$14&gt;0,(DP166*$AD166),(AV166*$AD166))),(BT166+CR166))</f>
        <v>0</v>
      </c>
      <c r="EC166" s="459">
        <f>IF('2. START'!$C$11="NO",(IF('2. START'!$C$14&gt;0,(DQ166*$AD166),(AW166*$AD166))),(BU166+CS166))</f>
        <v>0</v>
      </c>
      <c r="ED166" s="459">
        <f>IF('2. START'!$C$11="NO",(IF('2. START'!$C$14&gt;0,(DR166*$AD166),(AX166*$AD166))),(BV166+CT166))</f>
        <v>0</v>
      </c>
      <c r="EE166" s="459">
        <f>IF('2. START'!$C$11="NO",(IF('2. START'!$C$14&gt;0,(DS166*$AD166),(AY166*$AD166))),(BW166+CU166))</f>
        <v>0</v>
      </c>
      <c r="EF166" s="459">
        <f>IF('2. START'!$C$11="NO",(IF('2. START'!$C$14&gt;0,(DT166*$AD166),(AZ166*$AD166))),(BX166+CV166))</f>
        <v>0</v>
      </c>
      <c r="EG166" s="459">
        <f>IF('2. START'!$C$11="NO",(IF('2. START'!$C$14&gt;0,(DU166*$AD166),(BA166*$AD166))),(BY166+CW166))</f>
        <v>0</v>
      </c>
      <c r="EH166" s="459">
        <f>IF('2. START'!$C$11="NO",(IF('2. START'!$C$14&gt;0,(DV166*$AD166),(BB166*$AD166))),(BZ166+CX166))</f>
        <v>0</v>
      </c>
      <c r="EI166" s="459">
        <f>IF('2. START'!$C$11="NO",(IF('2. START'!$C$14&gt;0,(DW166*$AD166),(BC166*$AD166))),(CA166+CY166))</f>
        <v>0</v>
      </c>
      <c r="EJ166" s="460">
        <f t="shared" si="468"/>
        <v>0</v>
      </c>
      <c r="EK166" s="463"/>
      <c r="EL166" s="459">
        <f>(BR166+CP166-DZ166)+IF('2. START'!$C$14&gt;0,AT166-DN166,0)</f>
        <v>0</v>
      </c>
      <c r="EM166" s="459">
        <f>(BS166+CQ166-EA166)+IF('2. START'!$C$14&gt;0,AU166-DO166,0)</f>
        <v>0</v>
      </c>
      <c r="EN166" s="459">
        <f>(BT166+CR166-EB166)+IF('2. START'!$C$14&gt;0,AV166-DP166,0)</f>
        <v>0</v>
      </c>
      <c r="EO166" s="459">
        <f>(BU166+CS166-EC166)+IF('2. START'!$C$14&gt;0,AW166-DQ166,0)</f>
        <v>0</v>
      </c>
      <c r="EP166" s="459">
        <f>(BV166+CT166-ED166)+IF('2. START'!$C$14&gt;0,AX166-DR166,0)</f>
        <v>0</v>
      </c>
      <c r="EQ166" s="459">
        <f>(BW166+CU166-EE166)+IF('2. START'!$C$14&gt;0,AY166-DS166,0)</f>
        <v>0</v>
      </c>
      <c r="ER166" s="459">
        <f>(BX166+CV166-EF166)+IF('2. START'!$C$14&gt;0,AZ166-DT166,0)</f>
        <v>0</v>
      </c>
      <c r="ES166" s="459">
        <f>(BY166+CW166-EG166)+IF('2. START'!$C$14&gt;0,BA166-DU166,0)</f>
        <v>0</v>
      </c>
      <c r="ET166" s="459">
        <f>(BZ166+CX166-EH166)+IF('2. START'!$C$14&gt;0,BB166-DV166,0)</f>
        <v>0</v>
      </c>
      <c r="EU166" s="459">
        <f>(CA166+CY166-EI166)+IF('2. START'!$C$14&gt;0,BC166-DW166,0)</f>
        <v>0</v>
      </c>
      <c r="EV166" s="460">
        <f t="shared" si="469"/>
        <v>0</v>
      </c>
      <c r="EW166" s="463"/>
      <c r="EX166" s="459">
        <f t="shared" si="470"/>
        <v>0</v>
      </c>
      <c r="EY166" s="459">
        <f t="shared" si="471"/>
        <v>0</v>
      </c>
      <c r="EZ166" s="459">
        <f t="shared" si="472"/>
        <v>0</v>
      </c>
      <c r="FA166" s="459">
        <f t="shared" si="473"/>
        <v>0</v>
      </c>
      <c r="FB166" s="459">
        <f t="shared" si="474"/>
        <v>0</v>
      </c>
      <c r="FC166" s="459">
        <f t="shared" si="475"/>
        <v>0</v>
      </c>
      <c r="FD166" s="459">
        <f t="shared" si="476"/>
        <v>0</v>
      </c>
      <c r="FE166" s="459">
        <f t="shared" si="477"/>
        <v>0</v>
      </c>
      <c r="FF166" s="459">
        <f t="shared" si="478"/>
        <v>0</v>
      </c>
      <c r="FG166" s="459">
        <f t="shared" si="479"/>
        <v>0</v>
      </c>
      <c r="FH166" s="460">
        <f t="shared" si="480"/>
        <v>0</v>
      </c>
      <c r="FI166" s="463"/>
      <c r="FJ166" s="459">
        <f t="shared" si="481"/>
        <v>0</v>
      </c>
      <c r="FK166" s="459">
        <f t="shared" si="482"/>
        <v>0</v>
      </c>
      <c r="FL166" s="459">
        <f t="shared" si="483"/>
        <v>0</v>
      </c>
      <c r="FM166" s="459">
        <f t="shared" si="484"/>
        <v>0</v>
      </c>
      <c r="FN166" s="459">
        <f t="shared" si="485"/>
        <v>0</v>
      </c>
      <c r="FO166" s="459">
        <f t="shared" si="486"/>
        <v>0</v>
      </c>
      <c r="FP166" s="459">
        <f t="shared" si="487"/>
        <v>0</v>
      </c>
      <c r="FQ166" s="459">
        <f t="shared" si="488"/>
        <v>0</v>
      </c>
      <c r="FR166" s="459">
        <f t="shared" si="489"/>
        <v>0</v>
      </c>
      <c r="FS166" s="459">
        <f t="shared" si="490"/>
        <v>0</v>
      </c>
      <c r="FT166" s="460">
        <f t="shared" si="491"/>
        <v>0</v>
      </c>
    </row>
    <row r="167" spans="2:176" s="270" customFormat="1" ht="15" customHeight="1" x14ac:dyDescent="0.25">
      <c r="B167" s="464" t="str">
        <f>'2. START'!C$7</f>
        <v>100GEM</v>
      </c>
      <c r="C167" s="470"/>
      <c r="D167" s="590"/>
      <c r="E167" s="514">
        <v>0</v>
      </c>
      <c r="F167" s="467"/>
      <c r="G167" s="432"/>
      <c r="H167" s="432"/>
      <c r="I167" s="432"/>
      <c r="J167" s="432"/>
      <c r="K167" s="432"/>
      <c r="L167" s="432"/>
      <c r="M167" s="432"/>
      <c r="N167" s="432"/>
      <c r="O167" s="432"/>
      <c r="P167" s="432"/>
      <c r="Q167" s="545">
        <f>SUMIF('3. PARTNER'!$B$13:$B$80,$B167,'3. PARTNER'!$F$13:$F$80)</f>
        <v>0.02</v>
      </c>
      <c r="R167" s="466">
        <f t="shared" si="492"/>
        <v>0.02</v>
      </c>
      <c r="S167" s="466">
        <f t="shared" si="492"/>
        <v>0.02</v>
      </c>
      <c r="T167" s="466">
        <f t="shared" si="492"/>
        <v>0.02</v>
      </c>
      <c r="U167" s="466">
        <f t="shared" si="492"/>
        <v>0.02</v>
      </c>
      <c r="V167" s="466">
        <f t="shared" si="492"/>
        <v>0.02</v>
      </c>
      <c r="W167" s="466">
        <f t="shared" si="492"/>
        <v>0.02</v>
      </c>
      <c r="X167" s="466">
        <f t="shared" si="492"/>
        <v>0.02</v>
      </c>
      <c r="Y167" s="466">
        <f t="shared" si="492"/>
        <v>0.02</v>
      </c>
      <c r="Z167" s="466">
        <f t="shared" si="492"/>
        <v>0.02</v>
      </c>
      <c r="AA167" s="434">
        <f>SUMIF('3. PARTNER'!B$13:B$80,B167,'3. PARTNER'!E$13:E$80)</f>
        <v>0.5595</v>
      </c>
      <c r="AB167" s="435">
        <f>IF('2. START'!$C$20="UTB",(SUMIF('3. PARTNER'!B$13:B$80,B167,'3. PARTNER'!K$13:K$80))+(SUMIF('3. PARTNER'!B$13:B$80,B167,'3. PARTNER'!M$13:M$80)),(SUMIF('3. PARTNER'!B$13:B$80,B167,'3. PARTNER'!G$13:G$80))+(SUMIF('3. PARTNER'!B$13:B$80,B167,'3. PARTNER'!I$13:I$80)))</f>
        <v>0.16000843770704321</v>
      </c>
      <c r="AC167" s="435">
        <f>IF('2. START'!$C$20="UTB",(SUMIF('3. PARTNER'!B$13:B$80,B167,'3. PARTNER'!L$13:L$80))+(SUMIF('3. PARTNER'!B$13:B$80,B167,'3. PARTNER'!N$13:N$80)),(SUMIF('3. PARTNER'!B$13:B$80,B167,'3. PARTNER'!H$13:H$80))+(SUMIF('3. PARTNER'!B$13:B$80,B167,'3. PARTNER'!J$13:J$80)))</f>
        <v>0</v>
      </c>
      <c r="AD167" s="435">
        <f>IF('2. START'!C$11="NO",'2. START'!C$12,0)</f>
        <v>0</v>
      </c>
      <c r="AE167" s="436">
        <f t="shared" si="388"/>
        <v>0</v>
      </c>
      <c r="AF167" s="436">
        <f t="shared" si="389"/>
        <v>0</v>
      </c>
      <c r="AG167" s="437"/>
      <c r="AH167" s="438">
        <f t="shared" si="390"/>
        <v>0</v>
      </c>
      <c r="AI167" s="438">
        <f t="shared" si="391"/>
        <v>0</v>
      </c>
      <c r="AJ167" s="438">
        <f t="shared" si="392"/>
        <v>0</v>
      </c>
      <c r="AK167" s="438">
        <f t="shared" si="393"/>
        <v>0</v>
      </c>
      <c r="AL167" s="438">
        <f t="shared" si="394"/>
        <v>0</v>
      </c>
      <c r="AM167" s="438">
        <f t="shared" si="395"/>
        <v>0</v>
      </c>
      <c r="AN167" s="438">
        <f t="shared" si="396"/>
        <v>0</v>
      </c>
      <c r="AO167" s="438">
        <f t="shared" si="397"/>
        <v>0</v>
      </c>
      <c r="AP167" s="438">
        <f t="shared" si="398"/>
        <v>0</v>
      </c>
      <c r="AQ167" s="438">
        <f t="shared" si="399"/>
        <v>0</v>
      </c>
      <c r="AR167" s="439">
        <f t="shared" si="400"/>
        <v>0</v>
      </c>
      <c r="AS167" s="440"/>
      <c r="AT167" s="438">
        <f t="shared" si="401"/>
        <v>0</v>
      </c>
      <c r="AU167" s="438">
        <f t="shared" si="402"/>
        <v>0</v>
      </c>
      <c r="AV167" s="438">
        <f t="shared" si="403"/>
        <v>0</v>
      </c>
      <c r="AW167" s="438">
        <f t="shared" si="404"/>
        <v>0</v>
      </c>
      <c r="AX167" s="438">
        <f t="shared" si="405"/>
        <v>0</v>
      </c>
      <c r="AY167" s="438">
        <f t="shared" si="406"/>
        <v>0</v>
      </c>
      <c r="AZ167" s="438">
        <f t="shared" si="407"/>
        <v>0</v>
      </c>
      <c r="BA167" s="438">
        <f t="shared" si="408"/>
        <v>0</v>
      </c>
      <c r="BB167" s="438">
        <f t="shared" si="409"/>
        <v>0</v>
      </c>
      <c r="BC167" s="438">
        <f t="shared" si="410"/>
        <v>0</v>
      </c>
      <c r="BD167" s="439">
        <f t="shared" si="411"/>
        <v>0</v>
      </c>
      <c r="BE167" s="440"/>
      <c r="BF167" s="438">
        <f t="shared" si="412"/>
        <v>0</v>
      </c>
      <c r="BG167" s="438">
        <f t="shared" si="413"/>
        <v>0</v>
      </c>
      <c r="BH167" s="438">
        <f t="shared" si="414"/>
        <v>0</v>
      </c>
      <c r="BI167" s="438">
        <f t="shared" si="415"/>
        <v>0</v>
      </c>
      <c r="BJ167" s="438">
        <f t="shared" si="416"/>
        <v>0</v>
      </c>
      <c r="BK167" s="438">
        <f t="shared" si="417"/>
        <v>0</v>
      </c>
      <c r="BL167" s="438">
        <f t="shared" si="418"/>
        <v>0</v>
      </c>
      <c r="BM167" s="438">
        <f t="shared" si="419"/>
        <v>0</v>
      </c>
      <c r="BN167" s="438">
        <f t="shared" si="420"/>
        <v>0</v>
      </c>
      <c r="BO167" s="438">
        <f t="shared" si="421"/>
        <v>0</v>
      </c>
      <c r="BP167" s="439">
        <f t="shared" si="422"/>
        <v>0</v>
      </c>
      <c r="BR167" s="442">
        <f t="shared" si="423"/>
        <v>0</v>
      </c>
      <c r="BS167" s="442">
        <f t="shared" si="424"/>
        <v>0</v>
      </c>
      <c r="BT167" s="442">
        <f t="shared" si="425"/>
        <v>0</v>
      </c>
      <c r="BU167" s="442">
        <f t="shared" si="426"/>
        <v>0</v>
      </c>
      <c r="BV167" s="442">
        <f t="shared" si="427"/>
        <v>0</v>
      </c>
      <c r="BW167" s="442">
        <f t="shared" si="428"/>
        <v>0</v>
      </c>
      <c r="BX167" s="442">
        <f t="shared" si="429"/>
        <v>0</v>
      </c>
      <c r="BY167" s="442">
        <f t="shared" si="430"/>
        <v>0</v>
      </c>
      <c r="BZ167" s="442">
        <f t="shared" si="431"/>
        <v>0</v>
      </c>
      <c r="CA167" s="442">
        <f t="shared" si="432"/>
        <v>0</v>
      </c>
      <c r="CB167" s="443">
        <f t="shared" si="433"/>
        <v>0</v>
      </c>
      <c r="CD167" s="445">
        <f t="shared" si="434"/>
        <v>0</v>
      </c>
      <c r="CE167" s="445">
        <f t="shared" si="435"/>
        <v>0</v>
      </c>
      <c r="CF167" s="445">
        <f t="shared" si="436"/>
        <v>0</v>
      </c>
      <c r="CG167" s="445">
        <f t="shared" si="437"/>
        <v>0</v>
      </c>
      <c r="CH167" s="445">
        <f t="shared" si="438"/>
        <v>0</v>
      </c>
      <c r="CI167" s="445">
        <f t="shared" si="439"/>
        <v>0</v>
      </c>
      <c r="CJ167" s="445">
        <f t="shared" si="440"/>
        <v>0</v>
      </c>
      <c r="CK167" s="445">
        <f t="shared" si="441"/>
        <v>0</v>
      </c>
      <c r="CL167" s="445">
        <f t="shared" si="442"/>
        <v>0</v>
      </c>
      <c r="CM167" s="445">
        <f t="shared" si="443"/>
        <v>0</v>
      </c>
      <c r="CN167" s="443">
        <f t="shared" si="444"/>
        <v>0</v>
      </c>
      <c r="CP167" s="442">
        <f t="shared" si="445"/>
        <v>0</v>
      </c>
      <c r="CQ167" s="442">
        <f t="shared" si="446"/>
        <v>0</v>
      </c>
      <c r="CR167" s="442">
        <f t="shared" si="447"/>
        <v>0</v>
      </c>
      <c r="CS167" s="442">
        <f t="shared" si="448"/>
        <v>0</v>
      </c>
      <c r="CT167" s="442">
        <f t="shared" si="449"/>
        <v>0</v>
      </c>
      <c r="CU167" s="442">
        <f t="shared" si="450"/>
        <v>0</v>
      </c>
      <c r="CV167" s="442">
        <f t="shared" si="451"/>
        <v>0</v>
      </c>
      <c r="CW167" s="442">
        <f t="shared" si="452"/>
        <v>0</v>
      </c>
      <c r="CX167" s="442">
        <f t="shared" si="453"/>
        <v>0</v>
      </c>
      <c r="CY167" s="442">
        <f t="shared" si="454"/>
        <v>0</v>
      </c>
      <c r="CZ167" s="443">
        <f t="shared" si="455"/>
        <v>0</v>
      </c>
      <c r="DB167" s="442">
        <f t="shared" si="456"/>
        <v>0</v>
      </c>
      <c r="DC167" s="442">
        <f t="shared" si="457"/>
        <v>0</v>
      </c>
      <c r="DD167" s="442">
        <f t="shared" si="458"/>
        <v>0</v>
      </c>
      <c r="DE167" s="442">
        <f t="shared" si="459"/>
        <v>0</v>
      </c>
      <c r="DF167" s="442">
        <f t="shared" si="460"/>
        <v>0</v>
      </c>
      <c r="DG167" s="442">
        <f t="shared" si="461"/>
        <v>0</v>
      </c>
      <c r="DH167" s="442">
        <f t="shared" si="462"/>
        <v>0</v>
      </c>
      <c r="DI167" s="442">
        <f t="shared" si="463"/>
        <v>0</v>
      </c>
      <c r="DJ167" s="442">
        <f t="shared" si="464"/>
        <v>0</v>
      </c>
      <c r="DK167" s="442">
        <f t="shared" si="465"/>
        <v>0</v>
      </c>
      <c r="DL167" s="443">
        <f t="shared" si="466"/>
        <v>0</v>
      </c>
      <c r="DN167" s="442">
        <f>IF('2. START'!$C$14&gt;0,(AT167/(1+$AA167))*(1+'2. START'!$C$14),AT167)</f>
        <v>0</v>
      </c>
      <c r="DO167" s="442">
        <f>IF('2. START'!$C$14&gt;0,(AU167/(1+$AA167))*(1+'2. START'!$C$14),AU167)</f>
        <v>0</v>
      </c>
      <c r="DP167" s="442">
        <f>IF('2. START'!$C$14&gt;0,(AV167/(1+$AA167))*(1+'2. START'!$C$14),AV167)</f>
        <v>0</v>
      </c>
      <c r="DQ167" s="442">
        <f>IF('2. START'!$C$14&gt;0,(AW167/(1+$AA167))*(1+'2. START'!$C$14),AW167)</f>
        <v>0</v>
      </c>
      <c r="DR167" s="442">
        <f>IF('2. START'!$C$14&gt;0,(AX167/(1+$AA167))*(1+'2. START'!$C$14),AX167)</f>
        <v>0</v>
      </c>
      <c r="DS167" s="442">
        <f>IF('2. START'!$C$14&gt;0,(AY167/(1+$AA167))*(1+'2. START'!$C$14),AY167)</f>
        <v>0</v>
      </c>
      <c r="DT167" s="442">
        <f>IF('2. START'!$C$14&gt;0,(AZ167/(1+$AA167))*(1+'2. START'!$C$14),AZ167)</f>
        <v>0</v>
      </c>
      <c r="DU167" s="442">
        <f>IF('2. START'!$C$14&gt;0,(BA167/(1+$AA167))*(1+'2. START'!$C$14),BA167)</f>
        <v>0</v>
      </c>
      <c r="DV167" s="442">
        <f>IF('2. START'!$C$14&gt;0,(BB167/(1+$AA167))*(1+'2. START'!$C$14),BB167)</f>
        <v>0</v>
      </c>
      <c r="DW167" s="442">
        <f>IF('2. START'!$C$14&gt;0,(BC167/(1+$AA167))*(1+'2. START'!$C$14),BC167)</f>
        <v>0</v>
      </c>
      <c r="DX167" s="443">
        <f t="shared" si="467"/>
        <v>0</v>
      </c>
      <c r="DZ167" s="442">
        <f>IF('2. START'!$C$11="NO",(IF('2. START'!$C$14&gt;0,(DN167*$AD167),(AT167*$AD167))),(BR167+CP167))</f>
        <v>0</v>
      </c>
      <c r="EA167" s="442">
        <f>IF('2. START'!$C$11="NO",(IF('2. START'!$C$14&gt;0,(DO167*$AD167),(AU167*$AD167))),(BS167+CQ167))</f>
        <v>0</v>
      </c>
      <c r="EB167" s="442">
        <f>IF('2. START'!$C$11="NO",(IF('2. START'!$C$14&gt;0,(DP167*$AD167),(AV167*$AD167))),(BT167+CR167))</f>
        <v>0</v>
      </c>
      <c r="EC167" s="442">
        <f>IF('2. START'!$C$11="NO",(IF('2. START'!$C$14&gt;0,(DQ167*$AD167),(AW167*$AD167))),(BU167+CS167))</f>
        <v>0</v>
      </c>
      <c r="ED167" s="442">
        <f>IF('2. START'!$C$11="NO",(IF('2. START'!$C$14&gt;0,(DR167*$AD167),(AX167*$AD167))),(BV167+CT167))</f>
        <v>0</v>
      </c>
      <c r="EE167" s="442">
        <f>IF('2. START'!$C$11="NO",(IF('2. START'!$C$14&gt;0,(DS167*$AD167),(AY167*$AD167))),(BW167+CU167))</f>
        <v>0</v>
      </c>
      <c r="EF167" s="442">
        <f>IF('2. START'!$C$11="NO",(IF('2. START'!$C$14&gt;0,(DT167*$AD167),(AZ167*$AD167))),(BX167+CV167))</f>
        <v>0</v>
      </c>
      <c r="EG167" s="442">
        <f>IF('2. START'!$C$11="NO",(IF('2. START'!$C$14&gt;0,(DU167*$AD167),(BA167*$AD167))),(BY167+CW167))</f>
        <v>0</v>
      </c>
      <c r="EH167" s="442">
        <f>IF('2. START'!$C$11="NO",(IF('2. START'!$C$14&gt;0,(DV167*$AD167),(BB167*$AD167))),(BZ167+CX167))</f>
        <v>0</v>
      </c>
      <c r="EI167" s="442">
        <f>IF('2. START'!$C$11="NO",(IF('2. START'!$C$14&gt;0,(DW167*$AD167),(BC167*$AD167))),(CA167+CY167))</f>
        <v>0</v>
      </c>
      <c r="EJ167" s="443">
        <f t="shared" si="468"/>
        <v>0</v>
      </c>
      <c r="EL167" s="442">
        <f>(BR167+CP167-DZ167)+IF('2. START'!$C$14&gt;0,AT167-DN167,0)</f>
        <v>0</v>
      </c>
      <c r="EM167" s="442">
        <f>(BS167+CQ167-EA167)+IF('2. START'!$C$14&gt;0,AU167-DO167,0)</f>
        <v>0</v>
      </c>
      <c r="EN167" s="442">
        <f>(BT167+CR167-EB167)+IF('2. START'!$C$14&gt;0,AV167-DP167,0)</f>
        <v>0</v>
      </c>
      <c r="EO167" s="442">
        <f>(BU167+CS167-EC167)+IF('2. START'!$C$14&gt;0,AW167-DQ167,0)</f>
        <v>0</v>
      </c>
      <c r="EP167" s="442">
        <f>(BV167+CT167-ED167)+IF('2. START'!$C$14&gt;0,AX167-DR167,0)</f>
        <v>0</v>
      </c>
      <c r="EQ167" s="442">
        <f>(BW167+CU167-EE167)+IF('2. START'!$C$14&gt;0,AY167-DS167,0)</f>
        <v>0</v>
      </c>
      <c r="ER167" s="442">
        <f>(BX167+CV167-EF167)+IF('2. START'!$C$14&gt;0,AZ167-DT167,0)</f>
        <v>0</v>
      </c>
      <c r="ES167" s="442">
        <f>(BY167+CW167-EG167)+IF('2. START'!$C$14&gt;0,BA167-DU167,0)</f>
        <v>0</v>
      </c>
      <c r="ET167" s="442">
        <f>(BZ167+CX167-EH167)+IF('2. START'!$C$14&gt;0,BB167-DV167,0)</f>
        <v>0</v>
      </c>
      <c r="EU167" s="442">
        <f>(CA167+CY167-EI167)+IF('2. START'!$C$14&gt;0,BC167-DW167,0)</f>
        <v>0</v>
      </c>
      <c r="EV167" s="443">
        <f t="shared" si="469"/>
        <v>0</v>
      </c>
      <c r="EX167" s="442">
        <f t="shared" si="470"/>
        <v>0</v>
      </c>
      <c r="EY167" s="442">
        <f t="shared" si="471"/>
        <v>0</v>
      </c>
      <c r="EZ167" s="442">
        <f t="shared" si="472"/>
        <v>0</v>
      </c>
      <c r="FA167" s="442">
        <f t="shared" si="473"/>
        <v>0</v>
      </c>
      <c r="FB167" s="442">
        <f t="shared" si="474"/>
        <v>0</v>
      </c>
      <c r="FC167" s="442">
        <f t="shared" si="475"/>
        <v>0</v>
      </c>
      <c r="FD167" s="442">
        <f t="shared" si="476"/>
        <v>0</v>
      </c>
      <c r="FE167" s="442">
        <f t="shared" si="477"/>
        <v>0</v>
      </c>
      <c r="FF167" s="442">
        <f t="shared" si="478"/>
        <v>0</v>
      </c>
      <c r="FG167" s="442">
        <f t="shared" si="479"/>
        <v>0</v>
      </c>
      <c r="FH167" s="443">
        <f t="shared" si="480"/>
        <v>0</v>
      </c>
      <c r="FJ167" s="442">
        <f t="shared" si="481"/>
        <v>0</v>
      </c>
      <c r="FK167" s="442">
        <f t="shared" si="482"/>
        <v>0</v>
      </c>
      <c r="FL167" s="442">
        <f t="shared" si="483"/>
        <v>0</v>
      </c>
      <c r="FM167" s="442">
        <f t="shared" si="484"/>
        <v>0</v>
      </c>
      <c r="FN167" s="442">
        <f t="shared" si="485"/>
        <v>0</v>
      </c>
      <c r="FO167" s="442">
        <f t="shared" si="486"/>
        <v>0</v>
      </c>
      <c r="FP167" s="442">
        <f t="shared" si="487"/>
        <v>0</v>
      </c>
      <c r="FQ167" s="442">
        <f t="shared" si="488"/>
        <v>0</v>
      </c>
      <c r="FR167" s="442">
        <f t="shared" si="489"/>
        <v>0</v>
      </c>
      <c r="FS167" s="442">
        <f t="shared" si="490"/>
        <v>0</v>
      </c>
      <c r="FT167" s="443">
        <f t="shared" si="491"/>
        <v>0</v>
      </c>
    </row>
    <row r="168" spans="2:176" s="270" customFormat="1" ht="15" customHeight="1" x14ac:dyDescent="0.25">
      <c r="B168" s="446" t="str">
        <f>'2. START'!C$7</f>
        <v>100GEM</v>
      </c>
      <c r="C168" s="469"/>
      <c r="D168" s="589"/>
      <c r="E168" s="544">
        <v>0</v>
      </c>
      <c r="F168" s="448"/>
      <c r="G168" s="449"/>
      <c r="H168" s="449"/>
      <c r="I168" s="449"/>
      <c r="J168" s="449"/>
      <c r="K168" s="449"/>
      <c r="L168" s="449"/>
      <c r="M168" s="449"/>
      <c r="N168" s="449"/>
      <c r="O168" s="449"/>
      <c r="P168" s="449"/>
      <c r="Q168" s="546">
        <f>SUMIF('3. PARTNER'!$B$13:$B$80,$B168,'3. PARTNER'!$F$13:$F$80)</f>
        <v>0.02</v>
      </c>
      <c r="R168" s="450">
        <f t="shared" si="492"/>
        <v>0.02</v>
      </c>
      <c r="S168" s="450">
        <f t="shared" si="492"/>
        <v>0.02</v>
      </c>
      <c r="T168" s="450">
        <f t="shared" si="492"/>
        <v>0.02</v>
      </c>
      <c r="U168" s="450">
        <f t="shared" si="492"/>
        <v>0.02</v>
      </c>
      <c r="V168" s="450">
        <f t="shared" si="492"/>
        <v>0.02</v>
      </c>
      <c r="W168" s="450">
        <f t="shared" si="492"/>
        <v>0.02</v>
      </c>
      <c r="X168" s="450">
        <f t="shared" si="492"/>
        <v>0.02</v>
      </c>
      <c r="Y168" s="450">
        <f t="shared" si="492"/>
        <v>0.02</v>
      </c>
      <c r="Z168" s="450">
        <f t="shared" si="492"/>
        <v>0.02</v>
      </c>
      <c r="AA168" s="451">
        <f>SUMIF('3. PARTNER'!B$13:B$80,B168,'3. PARTNER'!E$13:E$80)</f>
        <v>0.5595</v>
      </c>
      <c r="AB168" s="452">
        <f>IF('2. START'!$C$20="UTB",(SUMIF('3. PARTNER'!B$13:B$80,B168,'3. PARTNER'!K$13:K$80))+(SUMIF('3. PARTNER'!B$13:B$80,B168,'3. PARTNER'!M$13:M$80)),(SUMIF('3. PARTNER'!B$13:B$80,B168,'3. PARTNER'!G$13:G$80))+(SUMIF('3. PARTNER'!B$13:B$80,B168,'3. PARTNER'!I$13:I$80)))</f>
        <v>0.16000843770704321</v>
      </c>
      <c r="AC168" s="452">
        <f>IF('2. START'!$C$20="UTB",(SUMIF('3. PARTNER'!B$13:B$80,B168,'3. PARTNER'!L$13:L$80))+(SUMIF('3. PARTNER'!B$13:B$80,B168,'3. PARTNER'!N$13:N$80)),(SUMIF('3. PARTNER'!B$13:B$80,B168,'3. PARTNER'!H$13:H$80))+(SUMIF('3. PARTNER'!B$13:B$80,B168,'3. PARTNER'!J$13:J$80)))</f>
        <v>0</v>
      </c>
      <c r="AD168" s="452">
        <f>IF('2. START'!C$11="NO",'2. START'!C$12,0)</f>
        <v>0</v>
      </c>
      <c r="AE168" s="453">
        <f t="shared" si="388"/>
        <v>0</v>
      </c>
      <c r="AF168" s="453">
        <f t="shared" si="389"/>
        <v>0</v>
      </c>
      <c r="AG168" s="454"/>
      <c r="AH168" s="455">
        <f t="shared" si="390"/>
        <v>0</v>
      </c>
      <c r="AI168" s="455">
        <f t="shared" si="391"/>
        <v>0</v>
      </c>
      <c r="AJ168" s="455">
        <f t="shared" si="392"/>
        <v>0</v>
      </c>
      <c r="AK168" s="455">
        <f t="shared" si="393"/>
        <v>0</v>
      </c>
      <c r="AL168" s="455">
        <f t="shared" si="394"/>
        <v>0</v>
      </c>
      <c r="AM168" s="455">
        <f t="shared" si="395"/>
        <v>0</v>
      </c>
      <c r="AN168" s="455">
        <f t="shared" si="396"/>
        <v>0</v>
      </c>
      <c r="AO168" s="455">
        <f t="shared" si="397"/>
        <v>0</v>
      </c>
      <c r="AP168" s="455">
        <f t="shared" si="398"/>
        <v>0</v>
      </c>
      <c r="AQ168" s="455">
        <f t="shared" si="399"/>
        <v>0</v>
      </c>
      <c r="AR168" s="456">
        <f t="shared" si="400"/>
        <v>0</v>
      </c>
      <c r="AS168" s="457"/>
      <c r="AT168" s="455">
        <f t="shared" si="401"/>
        <v>0</v>
      </c>
      <c r="AU168" s="455">
        <f t="shared" si="402"/>
        <v>0</v>
      </c>
      <c r="AV168" s="455">
        <f t="shared" si="403"/>
        <v>0</v>
      </c>
      <c r="AW168" s="455">
        <f t="shared" si="404"/>
        <v>0</v>
      </c>
      <c r="AX168" s="455">
        <f t="shared" si="405"/>
        <v>0</v>
      </c>
      <c r="AY168" s="455">
        <f t="shared" si="406"/>
        <v>0</v>
      </c>
      <c r="AZ168" s="455">
        <f t="shared" si="407"/>
        <v>0</v>
      </c>
      <c r="BA168" s="455">
        <f t="shared" si="408"/>
        <v>0</v>
      </c>
      <c r="BB168" s="455">
        <f t="shared" si="409"/>
        <v>0</v>
      </c>
      <c r="BC168" s="455">
        <f t="shared" si="410"/>
        <v>0</v>
      </c>
      <c r="BD168" s="456">
        <f t="shared" si="411"/>
        <v>0</v>
      </c>
      <c r="BE168" s="457"/>
      <c r="BF168" s="455">
        <f t="shared" si="412"/>
        <v>0</v>
      </c>
      <c r="BG168" s="455">
        <f t="shared" si="413"/>
        <v>0</v>
      </c>
      <c r="BH168" s="455">
        <f t="shared" si="414"/>
        <v>0</v>
      </c>
      <c r="BI168" s="455">
        <f t="shared" si="415"/>
        <v>0</v>
      </c>
      <c r="BJ168" s="455">
        <f t="shared" si="416"/>
        <v>0</v>
      </c>
      <c r="BK168" s="455">
        <f t="shared" si="417"/>
        <v>0</v>
      </c>
      <c r="BL168" s="455">
        <f t="shared" si="418"/>
        <v>0</v>
      </c>
      <c r="BM168" s="455">
        <f t="shared" si="419"/>
        <v>0</v>
      </c>
      <c r="BN168" s="455">
        <f t="shared" si="420"/>
        <v>0</v>
      </c>
      <c r="BO168" s="455">
        <f t="shared" si="421"/>
        <v>0</v>
      </c>
      <c r="BP168" s="456">
        <f t="shared" si="422"/>
        <v>0</v>
      </c>
      <c r="BQ168" s="463"/>
      <c r="BR168" s="459">
        <f t="shared" si="423"/>
        <v>0</v>
      </c>
      <c r="BS168" s="459">
        <f t="shared" si="424"/>
        <v>0</v>
      </c>
      <c r="BT168" s="459">
        <f t="shared" si="425"/>
        <v>0</v>
      </c>
      <c r="BU168" s="459">
        <f t="shared" si="426"/>
        <v>0</v>
      </c>
      <c r="BV168" s="459">
        <f t="shared" si="427"/>
        <v>0</v>
      </c>
      <c r="BW168" s="459">
        <f t="shared" si="428"/>
        <v>0</v>
      </c>
      <c r="BX168" s="459">
        <f t="shared" si="429"/>
        <v>0</v>
      </c>
      <c r="BY168" s="459">
        <f t="shared" si="430"/>
        <v>0</v>
      </c>
      <c r="BZ168" s="459">
        <f t="shared" si="431"/>
        <v>0</v>
      </c>
      <c r="CA168" s="459">
        <f t="shared" si="432"/>
        <v>0</v>
      </c>
      <c r="CB168" s="460">
        <f t="shared" si="433"/>
        <v>0</v>
      </c>
      <c r="CC168" s="463"/>
      <c r="CD168" s="462">
        <f t="shared" si="434"/>
        <v>0</v>
      </c>
      <c r="CE168" s="462">
        <f t="shared" si="435"/>
        <v>0</v>
      </c>
      <c r="CF168" s="462">
        <f t="shared" si="436"/>
        <v>0</v>
      </c>
      <c r="CG168" s="462">
        <f t="shared" si="437"/>
        <v>0</v>
      </c>
      <c r="CH168" s="462">
        <f t="shared" si="438"/>
        <v>0</v>
      </c>
      <c r="CI168" s="462">
        <f t="shared" si="439"/>
        <v>0</v>
      </c>
      <c r="CJ168" s="462">
        <f t="shared" si="440"/>
        <v>0</v>
      </c>
      <c r="CK168" s="462">
        <f t="shared" si="441"/>
        <v>0</v>
      </c>
      <c r="CL168" s="462">
        <f t="shared" si="442"/>
        <v>0</v>
      </c>
      <c r="CM168" s="462">
        <f t="shared" si="443"/>
        <v>0</v>
      </c>
      <c r="CN168" s="460">
        <f t="shared" si="444"/>
        <v>0</v>
      </c>
      <c r="CO168" s="463"/>
      <c r="CP168" s="459">
        <f t="shared" si="445"/>
        <v>0</v>
      </c>
      <c r="CQ168" s="459">
        <f t="shared" si="446"/>
        <v>0</v>
      </c>
      <c r="CR168" s="459">
        <f t="shared" si="447"/>
        <v>0</v>
      </c>
      <c r="CS168" s="459">
        <f t="shared" si="448"/>
        <v>0</v>
      </c>
      <c r="CT168" s="459">
        <f t="shared" si="449"/>
        <v>0</v>
      </c>
      <c r="CU168" s="459">
        <f t="shared" si="450"/>
        <v>0</v>
      </c>
      <c r="CV168" s="459">
        <f t="shared" si="451"/>
        <v>0</v>
      </c>
      <c r="CW168" s="459">
        <f t="shared" si="452"/>
        <v>0</v>
      </c>
      <c r="CX168" s="459">
        <f t="shared" si="453"/>
        <v>0</v>
      </c>
      <c r="CY168" s="459">
        <f t="shared" si="454"/>
        <v>0</v>
      </c>
      <c r="CZ168" s="460">
        <f t="shared" si="455"/>
        <v>0</v>
      </c>
      <c r="DA168" s="463"/>
      <c r="DB168" s="459">
        <f t="shared" si="456"/>
        <v>0</v>
      </c>
      <c r="DC168" s="459">
        <f t="shared" si="457"/>
        <v>0</v>
      </c>
      <c r="DD168" s="459">
        <f t="shared" si="458"/>
        <v>0</v>
      </c>
      <c r="DE168" s="459">
        <f t="shared" si="459"/>
        <v>0</v>
      </c>
      <c r="DF168" s="459">
        <f t="shared" si="460"/>
        <v>0</v>
      </c>
      <c r="DG168" s="459">
        <f t="shared" si="461"/>
        <v>0</v>
      </c>
      <c r="DH168" s="459">
        <f t="shared" si="462"/>
        <v>0</v>
      </c>
      <c r="DI168" s="459">
        <f t="shared" si="463"/>
        <v>0</v>
      </c>
      <c r="DJ168" s="459">
        <f t="shared" si="464"/>
        <v>0</v>
      </c>
      <c r="DK168" s="459">
        <f t="shared" si="465"/>
        <v>0</v>
      </c>
      <c r="DL168" s="460">
        <f t="shared" si="466"/>
        <v>0</v>
      </c>
      <c r="DM168" s="463"/>
      <c r="DN168" s="442">
        <f>IF('2. START'!$C$14&gt;0,(AT168/(1+$AA168))*(1+'2. START'!$C$14),AT168)</f>
        <v>0</v>
      </c>
      <c r="DO168" s="442">
        <f>IF('2. START'!$C$14&gt;0,(AU168/(1+$AA168))*(1+'2. START'!$C$14),AU168)</f>
        <v>0</v>
      </c>
      <c r="DP168" s="442">
        <f>IF('2. START'!$C$14&gt;0,(AV168/(1+$AA168))*(1+'2. START'!$C$14),AV168)</f>
        <v>0</v>
      </c>
      <c r="DQ168" s="442">
        <f>IF('2. START'!$C$14&gt;0,(AW168/(1+$AA168))*(1+'2. START'!$C$14),AW168)</f>
        <v>0</v>
      </c>
      <c r="DR168" s="442">
        <f>IF('2. START'!$C$14&gt;0,(AX168/(1+$AA168))*(1+'2. START'!$C$14),AX168)</f>
        <v>0</v>
      </c>
      <c r="DS168" s="442">
        <f>IF('2. START'!$C$14&gt;0,(AY168/(1+$AA168))*(1+'2. START'!$C$14),AY168)</f>
        <v>0</v>
      </c>
      <c r="DT168" s="442">
        <f>IF('2. START'!$C$14&gt;0,(AZ168/(1+$AA168))*(1+'2. START'!$C$14),AZ168)</f>
        <v>0</v>
      </c>
      <c r="DU168" s="442">
        <f>IF('2. START'!$C$14&gt;0,(BA168/(1+$AA168))*(1+'2. START'!$C$14),BA168)</f>
        <v>0</v>
      </c>
      <c r="DV168" s="442">
        <f>IF('2. START'!$C$14&gt;0,(BB168/(1+$AA168))*(1+'2. START'!$C$14),BB168)</f>
        <v>0</v>
      </c>
      <c r="DW168" s="442">
        <f>IF('2. START'!$C$14&gt;0,(BC168/(1+$AA168))*(1+'2. START'!$C$14),BC168)</f>
        <v>0</v>
      </c>
      <c r="DX168" s="460">
        <f t="shared" si="467"/>
        <v>0</v>
      </c>
      <c r="DY168" s="463"/>
      <c r="DZ168" s="459">
        <f>IF('2. START'!$C$11="NO",(IF('2. START'!$C$14&gt;0,(DN168*$AD168),(AT168*$AD168))),(BR168+CP168))</f>
        <v>0</v>
      </c>
      <c r="EA168" s="459">
        <f>IF('2. START'!$C$11="NO",(IF('2. START'!$C$14&gt;0,(DO168*$AD168),(AU168*$AD168))),(BS168+CQ168))</f>
        <v>0</v>
      </c>
      <c r="EB168" s="459">
        <f>IF('2. START'!$C$11="NO",(IF('2. START'!$C$14&gt;0,(DP168*$AD168),(AV168*$AD168))),(BT168+CR168))</f>
        <v>0</v>
      </c>
      <c r="EC168" s="459">
        <f>IF('2. START'!$C$11="NO",(IF('2. START'!$C$14&gt;0,(DQ168*$AD168),(AW168*$AD168))),(BU168+CS168))</f>
        <v>0</v>
      </c>
      <c r="ED168" s="459">
        <f>IF('2. START'!$C$11="NO",(IF('2. START'!$C$14&gt;0,(DR168*$AD168),(AX168*$AD168))),(BV168+CT168))</f>
        <v>0</v>
      </c>
      <c r="EE168" s="459">
        <f>IF('2. START'!$C$11="NO",(IF('2. START'!$C$14&gt;0,(DS168*$AD168),(AY168*$AD168))),(BW168+CU168))</f>
        <v>0</v>
      </c>
      <c r="EF168" s="459">
        <f>IF('2. START'!$C$11="NO",(IF('2. START'!$C$14&gt;0,(DT168*$AD168),(AZ168*$AD168))),(BX168+CV168))</f>
        <v>0</v>
      </c>
      <c r="EG168" s="459">
        <f>IF('2. START'!$C$11="NO",(IF('2. START'!$C$14&gt;0,(DU168*$AD168),(BA168*$AD168))),(BY168+CW168))</f>
        <v>0</v>
      </c>
      <c r="EH168" s="459">
        <f>IF('2. START'!$C$11="NO",(IF('2. START'!$C$14&gt;0,(DV168*$AD168),(BB168*$AD168))),(BZ168+CX168))</f>
        <v>0</v>
      </c>
      <c r="EI168" s="459">
        <f>IF('2. START'!$C$11="NO",(IF('2. START'!$C$14&gt;0,(DW168*$AD168),(BC168*$AD168))),(CA168+CY168))</f>
        <v>0</v>
      </c>
      <c r="EJ168" s="460">
        <f t="shared" si="468"/>
        <v>0</v>
      </c>
      <c r="EK168" s="463"/>
      <c r="EL168" s="459">
        <f>(BR168+CP168-DZ168)+IF('2. START'!$C$14&gt;0,AT168-DN168,0)</f>
        <v>0</v>
      </c>
      <c r="EM168" s="459">
        <f>(BS168+CQ168-EA168)+IF('2. START'!$C$14&gt;0,AU168-DO168,0)</f>
        <v>0</v>
      </c>
      <c r="EN168" s="459">
        <f>(BT168+CR168-EB168)+IF('2. START'!$C$14&gt;0,AV168-DP168,0)</f>
        <v>0</v>
      </c>
      <c r="EO168" s="459">
        <f>(BU168+CS168-EC168)+IF('2. START'!$C$14&gt;0,AW168-DQ168,0)</f>
        <v>0</v>
      </c>
      <c r="EP168" s="459">
        <f>(BV168+CT168-ED168)+IF('2. START'!$C$14&gt;0,AX168-DR168,0)</f>
        <v>0</v>
      </c>
      <c r="EQ168" s="459">
        <f>(BW168+CU168-EE168)+IF('2. START'!$C$14&gt;0,AY168-DS168,0)</f>
        <v>0</v>
      </c>
      <c r="ER168" s="459">
        <f>(BX168+CV168-EF168)+IF('2. START'!$C$14&gt;0,AZ168-DT168,0)</f>
        <v>0</v>
      </c>
      <c r="ES168" s="459">
        <f>(BY168+CW168-EG168)+IF('2. START'!$C$14&gt;0,BA168-DU168,0)</f>
        <v>0</v>
      </c>
      <c r="ET168" s="459">
        <f>(BZ168+CX168-EH168)+IF('2. START'!$C$14&gt;0,BB168-DV168,0)</f>
        <v>0</v>
      </c>
      <c r="EU168" s="459">
        <f>(CA168+CY168-EI168)+IF('2. START'!$C$14&gt;0,BC168-DW168,0)</f>
        <v>0</v>
      </c>
      <c r="EV168" s="460">
        <f t="shared" si="469"/>
        <v>0</v>
      </c>
      <c r="EW168" s="463"/>
      <c r="EX168" s="459">
        <f t="shared" si="470"/>
        <v>0</v>
      </c>
      <c r="EY168" s="459">
        <f t="shared" si="471"/>
        <v>0</v>
      </c>
      <c r="EZ168" s="459">
        <f t="shared" si="472"/>
        <v>0</v>
      </c>
      <c r="FA168" s="459">
        <f t="shared" si="473"/>
        <v>0</v>
      </c>
      <c r="FB168" s="459">
        <f t="shared" si="474"/>
        <v>0</v>
      </c>
      <c r="FC168" s="459">
        <f t="shared" si="475"/>
        <v>0</v>
      </c>
      <c r="FD168" s="459">
        <f t="shared" si="476"/>
        <v>0</v>
      </c>
      <c r="FE168" s="459">
        <f t="shared" si="477"/>
        <v>0</v>
      </c>
      <c r="FF168" s="459">
        <f t="shared" si="478"/>
        <v>0</v>
      </c>
      <c r="FG168" s="459">
        <f t="shared" si="479"/>
        <v>0</v>
      </c>
      <c r="FH168" s="460">
        <f t="shared" si="480"/>
        <v>0</v>
      </c>
      <c r="FI168" s="463"/>
      <c r="FJ168" s="459">
        <f t="shared" si="481"/>
        <v>0</v>
      </c>
      <c r="FK168" s="459">
        <f t="shared" si="482"/>
        <v>0</v>
      </c>
      <c r="FL168" s="459">
        <f t="shared" si="483"/>
        <v>0</v>
      </c>
      <c r="FM168" s="459">
        <f t="shared" si="484"/>
        <v>0</v>
      </c>
      <c r="FN168" s="459">
        <f t="shared" si="485"/>
        <v>0</v>
      </c>
      <c r="FO168" s="459">
        <f t="shared" si="486"/>
        <v>0</v>
      </c>
      <c r="FP168" s="459">
        <f t="shared" si="487"/>
        <v>0</v>
      </c>
      <c r="FQ168" s="459">
        <f t="shared" si="488"/>
        <v>0</v>
      </c>
      <c r="FR168" s="459">
        <f t="shared" si="489"/>
        <v>0</v>
      </c>
      <c r="FS168" s="459">
        <f t="shared" si="490"/>
        <v>0</v>
      </c>
      <c r="FT168" s="460">
        <f t="shared" si="491"/>
        <v>0</v>
      </c>
    </row>
    <row r="169" spans="2:176" s="270" customFormat="1" ht="15" customHeight="1" x14ac:dyDescent="0.25">
      <c r="B169" s="464" t="str">
        <f>'2. START'!C$7</f>
        <v>100GEM</v>
      </c>
      <c r="C169" s="470"/>
      <c r="D169" s="590"/>
      <c r="E169" s="514">
        <v>0</v>
      </c>
      <c r="F169" s="467"/>
      <c r="G169" s="432"/>
      <c r="H169" s="432"/>
      <c r="I169" s="432"/>
      <c r="J169" s="432"/>
      <c r="K169" s="432"/>
      <c r="L169" s="432"/>
      <c r="M169" s="432"/>
      <c r="N169" s="432"/>
      <c r="O169" s="432"/>
      <c r="P169" s="432"/>
      <c r="Q169" s="545">
        <f>SUMIF('3. PARTNER'!$B$13:$B$80,$B169,'3. PARTNER'!$F$13:$F$80)</f>
        <v>0.02</v>
      </c>
      <c r="R169" s="466">
        <f t="shared" si="492"/>
        <v>0.02</v>
      </c>
      <c r="S169" s="466">
        <f t="shared" si="492"/>
        <v>0.02</v>
      </c>
      <c r="T169" s="466">
        <f t="shared" si="492"/>
        <v>0.02</v>
      </c>
      <c r="U169" s="466">
        <f t="shared" si="492"/>
        <v>0.02</v>
      </c>
      <c r="V169" s="466">
        <f t="shared" si="492"/>
        <v>0.02</v>
      </c>
      <c r="W169" s="466">
        <f t="shared" si="492"/>
        <v>0.02</v>
      </c>
      <c r="X169" s="466">
        <f t="shared" si="492"/>
        <v>0.02</v>
      </c>
      <c r="Y169" s="466">
        <f t="shared" si="492"/>
        <v>0.02</v>
      </c>
      <c r="Z169" s="466">
        <f t="shared" si="492"/>
        <v>0.02</v>
      </c>
      <c r="AA169" s="434">
        <f>SUMIF('3. PARTNER'!B$13:B$80,B169,'3. PARTNER'!E$13:E$80)</f>
        <v>0.5595</v>
      </c>
      <c r="AB169" s="435">
        <f>IF('2. START'!$C$20="UTB",(SUMIF('3. PARTNER'!B$13:B$80,B169,'3. PARTNER'!K$13:K$80))+(SUMIF('3. PARTNER'!B$13:B$80,B169,'3. PARTNER'!M$13:M$80)),(SUMIF('3. PARTNER'!B$13:B$80,B169,'3. PARTNER'!G$13:G$80))+(SUMIF('3. PARTNER'!B$13:B$80,B169,'3. PARTNER'!I$13:I$80)))</f>
        <v>0.16000843770704321</v>
      </c>
      <c r="AC169" s="435">
        <f>IF('2. START'!$C$20="UTB",(SUMIF('3. PARTNER'!B$13:B$80,B169,'3. PARTNER'!L$13:L$80))+(SUMIF('3. PARTNER'!B$13:B$80,B169,'3. PARTNER'!N$13:N$80)),(SUMIF('3. PARTNER'!B$13:B$80,B169,'3. PARTNER'!H$13:H$80))+(SUMIF('3. PARTNER'!B$13:B$80,B169,'3. PARTNER'!J$13:J$80)))</f>
        <v>0</v>
      </c>
      <c r="AD169" s="435">
        <f>IF('2. START'!C$11="NO",'2. START'!C$12,0)</f>
        <v>0</v>
      </c>
      <c r="AE169" s="436">
        <f t="shared" si="388"/>
        <v>0</v>
      </c>
      <c r="AF169" s="436">
        <f t="shared" si="389"/>
        <v>0</v>
      </c>
      <c r="AG169" s="437"/>
      <c r="AH169" s="438">
        <f t="shared" si="390"/>
        <v>0</v>
      </c>
      <c r="AI169" s="438">
        <f t="shared" si="391"/>
        <v>0</v>
      </c>
      <c r="AJ169" s="438">
        <f t="shared" si="392"/>
        <v>0</v>
      </c>
      <c r="AK169" s="438">
        <f t="shared" si="393"/>
        <v>0</v>
      </c>
      <c r="AL169" s="438">
        <f t="shared" si="394"/>
        <v>0</v>
      </c>
      <c r="AM169" s="438">
        <f t="shared" si="395"/>
        <v>0</v>
      </c>
      <c r="AN169" s="438">
        <f t="shared" si="396"/>
        <v>0</v>
      </c>
      <c r="AO169" s="438">
        <f t="shared" si="397"/>
        <v>0</v>
      </c>
      <c r="AP169" s="438">
        <f t="shared" si="398"/>
        <v>0</v>
      </c>
      <c r="AQ169" s="438">
        <f t="shared" si="399"/>
        <v>0</v>
      </c>
      <c r="AR169" s="439">
        <f t="shared" si="400"/>
        <v>0</v>
      </c>
      <c r="AS169" s="440"/>
      <c r="AT169" s="438">
        <f t="shared" si="401"/>
        <v>0</v>
      </c>
      <c r="AU169" s="438">
        <f t="shared" si="402"/>
        <v>0</v>
      </c>
      <c r="AV169" s="438">
        <f t="shared" si="403"/>
        <v>0</v>
      </c>
      <c r="AW169" s="438">
        <f t="shared" si="404"/>
        <v>0</v>
      </c>
      <c r="AX169" s="438">
        <f t="shared" si="405"/>
        <v>0</v>
      </c>
      <c r="AY169" s="438">
        <f t="shared" si="406"/>
        <v>0</v>
      </c>
      <c r="AZ169" s="438">
        <f t="shared" si="407"/>
        <v>0</v>
      </c>
      <c r="BA169" s="438">
        <f t="shared" si="408"/>
        <v>0</v>
      </c>
      <c r="BB169" s="438">
        <f t="shared" si="409"/>
        <v>0</v>
      </c>
      <c r="BC169" s="438">
        <f t="shared" si="410"/>
        <v>0</v>
      </c>
      <c r="BD169" s="439">
        <f t="shared" si="411"/>
        <v>0</v>
      </c>
      <c r="BE169" s="440"/>
      <c r="BF169" s="438">
        <f t="shared" si="412"/>
        <v>0</v>
      </c>
      <c r="BG169" s="438">
        <f t="shared" si="413"/>
        <v>0</v>
      </c>
      <c r="BH169" s="438">
        <f t="shared" si="414"/>
        <v>0</v>
      </c>
      <c r="BI169" s="438">
        <f t="shared" si="415"/>
        <v>0</v>
      </c>
      <c r="BJ169" s="438">
        <f t="shared" si="416"/>
        <v>0</v>
      </c>
      <c r="BK169" s="438">
        <f t="shared" si="417"/>
        <v>0</v>
      </c>
      <c r="BL169" s="438">
        <f t="shared" si="418"/>
        <v>0</v>
      </c>
      <c r="BM169" s="438">
        <f t="shared" si="419"/>
        <v>0</v>
      </c>
      <c r="BN169" s="438">
        <f t="shared" si="420"/>
        <v>0</v>
      </c>
      <c r="BO169" s="438">
        <f t="shared" si="421"/>
        <v>0</v>
      </c>
      <c r="BP169" s="439">
        <f t="shared" si="422"/>
        <v>0</v>
      </c>
      <c r="BR169" s="442">
        <f t="shared" si="423"/>
        <v>0</v>
      </c>
      <c r="BS169" s="442">
        <f t="shared" si="424"/>
        <v>0</v>
      </c>
      <c r="BT169" s="442">
        <f t="shared" si="425"/>
        <v>0</v>
      </c>
      <c r="BU169" s="442">
        <f t="shared" si="426"/>
        <v>0</v>
      </c>
      <c r="BV169" s="442">
        <f t="shared" si="427"/>
        <v>0</v>
      </c>
      <c r="BW169" s="442">
        <f t="shared" si="428"/>
        <v>0</v>
      </c>
      <c r="BX169" s="442">
        <f t="shared" si="429"/>
        <v>0</v>
      </c>
      <c r="BY169" s="442">
        <f t="shared" si="430"/>
        <v>0</v>
      </c>
      <c r="BZ169" s="442">
        <f t="shared" si="431"/>
        <v>0</v>
      </c>
      <c r="CA169" s="442">
        <f t="shared" si="432"/>
        <v>0</v>
      </c>
      <c r="CB169" s="443">
        <f t="shared" si="433"/>
        <v>0</v>
      </c>
      <c r="CD169" s="445">
        <f t="shared" si="434"/>
        <v>0</v>
      </c>
      <c r="CE169" s="445">
        <f t="shared" si="435"/>
        <v>0</v>
      </c>
      <c r="CF169" s="445">
        <f t="shared" si="436"/>
        <v>0</v>
      </c>
      <c r="CG169" s="445">
        <f t="shared" si="437"/>
        <v>0</v>
      </c>
      <c r="CH169" s="445">
        <f t="shared" si="438"/>
        <v>0</v>
      </c>
      <c r="CI169" s="445">
        <f t="shared" si="439"/>
        <v>0</v>
      </c>
      <c r="CJ169" s="445">
        <f t="shared" si="440"/>
        <v>0</v>
      </c>
      <c r="CK169" s="445">
        <f t="shared" si="441"/>
        <v>0</v>
      </c>
      <c r="CL169" s="445">
        <f t="shared" si="442"/>
        <v>0</v>
      </c>
      <c r="CM169" s="445">
        <f t="shared" si="443"/>
        <v>0</v>
      </c>
      <c r="CN169" s="443">
        <f t="shared" si="444"/>
        <v>0</v>
      </c>
      <c r="CP169" s="442">
        <f t="shared" si="445"/>
        <v>0</v>
      </c>
      <c r="CQ169" s="442">
        <f t="shared" si="446"/>
        <v>0</v>
      </c>
      <c r="CR169" s="442">
        <f t="shared" si="447"/>
        <v>0</v>
      </c>
      <c r="CS169" s="442">
        <f t="shared" si="448"/>
        <v>0</v>
      </c>
      <c r="CT169" s="442">
        <f t="shared" si="449"/>
        <v>0</v>
      </c>
      <c r="CU169" s="442">
        <f t="shared" si="450"/>
        <v>0</v>
      </c>
      <c r="CV169" s="442">
        <f t="shared" si="451"/>
        <v>0</v>
      </c>
      <c r="CW169" s="442">
        <f t="shared" si="452"/>
        <v>0</v>
      </c>
      <c r="CX169" s="442">
        <f t="shared" si="453"/>
        <v>0</v>
      </c>
      <c r="CY169" s="442">
        <f t="shared" si="454"/>
        <v>0</v>
      </c>
      <c r="CZ169" s="443">
        <f t="shared" si="455"/>
        <v>0</v>
      </c>
      <c r="DB169" s="442">
        <f t="shared" si="456"/>
        <v>0</v>
      </c>
      <c r="DC169" s="442">
        <f t="shared" si="457"/>
        <v>0</v>
      </c>
      <c r="DD169" s="442">
        <f t="shared" si="458"/>
        <v>0</v>
      </c>
      <c r="DE169" s="442">
        <f t="shared" si="459"/>
        <v>0</v>
      </c>
      <c r="DF169" s="442">
        <f t="shared" si="460"/>
        <v>0</v>
      </c>
      <c r="DG169" s="442">
        <f t="shared" si="461"/>
        <v>0</v>
      </c>
      <c r="DH169" s="442">
        <f t="shared" si="462"/>
        <v>0</v>
      </c>
      <c r="DI169" s="442">
        <f t="shared" si="463"/>
        <v>0</v>
      </c>
      <c r="DJ169" s="442">
        <f t="shared" si="464"/>
        <v>0</v>
      </c>
      <c r="DK169" s="442">
        <f t="shared" si="465"/>
        <v>0</v>
      </c>
      <c r="DL169" s="443">
        <f t="shared" si="466"/>
        <v>0</v>
      </c>
      <c r="DN169" s="442">
        <f>IF('2. START'!$C$14&gt;0,(AT169/(1+$AA169))*(1+'2. START'!$C$14),AT169)</f>
        <v>0</v>
      </c>
      <c r="DO169" s="442">
        <f>IF('2. START'!$C$14&gt;0,(AU169/(1+$AA169))*(1+'2. START'!$C$14),AU169)</f>
        <v>0</v>
      </c>
      <c r="DP169" s="442">
        <f>IF('2. START'!$C$14&gt;0,(AV169/(1+$AA169))*(1+'2. START'!$C$14),AV169)</f>
        <v>0</v>
      </c>
      <c r="DQ169" s="442">
        <f>IF('2. START'!$C$14&gt;0,(AW169/(1+$AA169))*(1+'2. START'!$C$14),AW169)</f>
        <v>0</v>
      </c>
      <c r="DR169" s="442">
        <f>IF('2. START'!$C$14&gt;0,(AX169/(1+$AA169))*(1+'2. START'!$C$14),AX169)</f>
        <v>0</v>
      </c>
      <c r="DS169" s="442">
        <f>IF('2. START'!$C$14&gt;0,(AY169/(1+$AA169))*(1+'2. START'!$C$14),AY169)</f>
        <v>0</v>
      </c>
      <c r="DT169" s="442">
        <f>IF('2. START'!$C$14&gt;0,(AZ169/(1+$AA169))*(1+'2. START'!$C$14),AZ169)</f>
        <v>0</v>
      </c>
      <c r="DU169" s="442">
        <f>IF('2. START'!$C$14&gt;0,(BA169/(1+$AA169))*(1+'2. START'!$C$14),BA169)</f>
        <v>0</v>
      </c>
      <c r="DV169" s="442">
        <f>IF('2. START'!$C$14&gt;0,(BB169/(1+$AA169))*(1+'2. START'!$C$14),BB169)</f>
        <v>0</v>
      </c>
      <c r="DW169" s="442">
        <f>IF('2. START'!$C$14&gt;0,(BC169/(1+$AA169))*(1+'2. START'!$C$14),BC169)</f>
        <v>0</v>
      </c>
      <c r="DX169" s="443">
        <f t="shared" si="467"/>
        <v>0</v>
      </c>
      <c r="DZ169" s="442">
        <f>IF('2. START'!$C$11="NO",(IF('2. START'!$C$14&gt;0,(DN169*$AD169),(AT169*$AD169))),(BR169+CP169))</f>
        <v>0</v>
      </c>
      <c r="EA169" s="442">
        <f>IF('2. START'!$C$11="NO",(IF('2. START'!$C$14&gt;0,(DO169*$AD169),(AU169*$AD169))),(BS169+CQ169))</f>
        <v>0</v>
      </c>
      <c r="EB169" s="442">
        <f>IF('2. START'!$C$11="NO",(IF('2. START'!$C$14&gt;0,(DP169*$AD169),(AV169*$AD169))),(BT169+CR169))</f>
        <v>0</v>
      </c>
      <c r="EC169" s="442">
        <f>IF('2. START'!$C$11="NO",(IF('2. START'!$C$14&gt;0,(DQ169*$AD169),(AW169*$AD169))),(BU169+CS169))</f>
        <v>0</v>
      </c>
      <c r="ED169" s="442">
        <f>IF('2. START'!$C$11="NO",(IF('2. START'!$C$14&gt;0,(DR169*$AD169),(AX169*$AD169))),(BV169+CT169))</f>
        <v>0</v>
      </c>
      <c r="EE169" s="442">
        <f>IF('2. START'!$C$11="NO",(IF('2. START'!$C$14&gt;0,(DS169*$AD169),(AY169*$AD169))),(BW169+CU169))</f>
        <v>0</v>
      </c>
      <c r="EF169" s="442">
        <f>IF('2. START'!$C$11="NO",(IF('2. START'!$C$14&gt;0,(DT169*$AD169),(AZ169*$AD169))),(BX169+CV169))</f>
        <v>0</v>
      </c>
      <c r="EG169" s="442">
        <f>IF('2. START'!$C$11="NO",(IF('2. START'!$C$14&gt;0,(DU169*$AD169),(BA169*$AD169))),(BY169+CW169))</f>
        <v>0</v>
      </c>
      <c r="EH169" s="442">
        <f>IF('2. START'!$C$11="NO",(IF('2. START'!$C$14&gt;0,(DV169*$AD169),(BB169*$AD169))),(BZ169+CX169))</f>
        <v>0</v>
      </c>
      <c r="EI169" s="442">
        <f>IF('2. START'!$C$11="NO",(IF('2. START'!$C$14&gt;0,(DW169*$AD169),(BC169*$AD169))),(CA169+CY169))</f>
        <v>0</v>
      </c>
      <c r="EJ169" s="443">
        <f t="shared" si="468"/>
        <v>0</v>
      </c>
      <c r="EL169" s="442">
        <f>(BR169+CP169-DZ169)+IF('2. START'!$C$14&gt;0,AT169-DN169,0)</f>
        <v>0</v>
      </c>
      <c r="EM169" s="442">
        <f>(BS169+CQ169-EA169)+IF('2. START'!$C$14&gt;0,AU169-DO169,0)</f>
        <v>0</v>
      </c>
      <c r="EN169" s="442">
        <f>(BT169+CR169-EB169)+IF('2. START'!$C$14&gt;0,AV169-DP169,0)</f>
        <v>0</v>
      </c>
      <c r="EO169" s="442">
        <f>(BU169+CS169-EC169)+IF('2. START'!$C$14&gt;0,AW169-DQ169,0)</f>
        <v>0</v>
      </c>
      <c r="EP169" s="442">
        <f>(BV169+CT169-ED169)+IF('2. START'!$C$14&gt;0,AX169-DR169,0)</f>
        <v>0</v>
      </c>
      <c r="EQ169" s="442">
        <f>(BW169+CU169-EE169)+IF('2. START'!$C$14&gt;0,AY169-DS169,0)</f>
        <v>0</v>
      </c>
      <c r="ER169" s="442">
        <f>(BX169+CV169-EF169)+IF('2. START'!$C$14&gt;0,AZ169-DT169,0)</f>
        <v>0</v>
      </c>
      <c r="ES169" s="442">
        <f>(BY169+CW169-EG169)+IF('2. START'!$C$14&gt;0,BA169-DU169,0)</f>
        <v>0</v>
      </c>
      <c r="ET169" s="442">
        <f>(BZ169+CX169-EH169)+IF('2. START'!$C$14&gt;0,BB169-DV169,0)</f>
        <v>0</v>
      </c>
      <c r="EU169" s="442">
        <f>(CA169+CY169-EI169)+IF('2. START'!$C$14&gt;0,BC169-DW169,0)</f>
        <v>0</v>
      </c>
      <c r="EV169" s="443">
        <f t="shared" si="469"/>
        <v>0</v>
      </c>
      <c r="EX169" s="442">
        <f t="shared" si="470"/>
        <v>0</v>
      </c>
      <c r="EY169" s="442">
        <f t="shared" si="471"/>
        <v>0</v>
      </c>
      <c r="EZ169" s="442">
        <f t="shared" si="472"/>
        <v>0</v>
      </c>
      <c r="FA169" s="442">
        <f t="shared" si="473"/>
        <v>0</v>
      </c>
      <c r="FB169" s="442">
        <f t="shared" si="474"/>
        <v>0</v>
      </c>
      <c r="FC169" s="442">
        <f t="shared" si="475"/>
        <v>0</v>
      </c>
      <c r="FD169" s="442">
        <f t="shared" si="476"/>
        <v>0</v>
      </c>
      <c r="FE169" s="442">
        <f t="shared" si="477"/>
        <v>0</v>
      </c>
      <c r="FF169" s="442">
        <f t="shared" si="478"/>
        <v>0</v>
      </c>
      <c r="FG169" s="442">
        <f t="shared" si="479"/>
        <v>0</v>
      </c>
      <c r="FH169" s="443">
        <f t="shared" si="480"/>
        <v>0</v>
      </c>
      <c r="FJ169" s="442">
        <f t="shared" si="481"/>
        <v>0</v>
      </c>
      <c r="FK169" s="442">
        <f t="shared" si="482"/>
        <v>0</v>
      </c>
      <c r="FL169" s="442">
        <f t="shared" si="483"/>
        <v>0</v>
      </c>
      <c r="FM169" s="442">
        <f t="shared" si="484"/>
        <v>0</v>
      </c>
      <c r="FN169" s="442">
        <f t="shared" si="485"/>
        <v>0</v>
      </c>
      <c r="FO169" s="442">
        <f t="shared" si="486"/>
        <v>0</v>
      </c>
      <c r="FP169" s="442">
        <f t="shared" si="487"/>
        <v>0</v>
      </c>
      <c r="FQ169" s="442">
        <f t="shared" si="488"/>
        <v>0</v>
      </c>
      <c r="FR169" s="442">
        <f t="shared" si="489"/>
        <v>0</v>
      </c>
      <c r="FS169" s="442">
        <f t="shared" si="490"/>
        <v>0</v>
      </c>
      <c r="FT169" s="443">
        <f t="shared" si="491"/>
        <v>0</v>
      </c>
    </row>
    <row r="170" spans="2:176" s="270" customFormat="1" ht="15" customHeight="1" x14ac:dyDescent="0.25">
      <c r="B170" s="446" t="str">
        <f>'2. START'!C$7</f>
        <v>100GEM</v>
      </c>
      <c r="C170" s="469"/>
      <c r="D170" s="589"/>
      <c r="E170" s="544">
        <v>0</v>
      </c>
      <c r="F170" s="448"/>
      <c r="G170" s="449"/>
      <c r="H170" s="449"/>
      <c r="I170" s="449"/>
      <c r="J170" s="449"/>
      <c r="K170" s="449"/>
      <c r="L170" s="449"/>
      <c r="M170" s="449"/>
      <c r="N170" s="449"/>
      <c r="O170" s="449"/>
      <c r="P170" s="449"/>
      <c r="Q170" s="546">
        <f>SUMIF('3. PARTNER'!$B$13:$B$80,$B170,'3. PARTNER'!$F$13:$F$80)</f>
        <v>0.02</v>
      </c>
      <c r="R170" s="450">
        <f t="shared" si="492"/>
        <v>0.02</v>
      </c>
      <c r="S170" s="450">
        <f t="shared" si="492"/>
        <v>0.02</v>
      </c>
      <c r="T170" s="450">
        <f t="shared" si="492"/>
        <v>0.02</v>
      </c>
      <c r="U170" s="450">
        <f t="shared" si="492"/>
        <v>0.02</v>
      </c>
      <c r="V170" s="450">
        <f t="shared" si="492"/>
        <v>0.02</v>
      </c>
      <c r="W170" s="450">
        <f t="shared" si="492"/>
        <v>0.02</v>
      </c>
      <c r="X170" s="450">
        <f t="shared" si="492"/>
        <v>0.02</v>
      </c>
      <c r="Y170" s="450">
        <f t="shared" si="492"/>
        <v>0.02</v>
      </c>
      <c r="Z170" s="450">
        <f t="shared" si="492"/>
        <v>0.02</v>
      </c>
      <c r="AA170" s="451">
        <f>SUMIF('3. PARTNER'!B$13:B$80,B170,'3. PARTNER'!E$13:E$80)</f>
        <v>0.5595</v>
      </c>
      <c r="AB170" s="452">
        <f>IF('2. START'!$C$20="UTB",(SUMIF('3. PARTNER'!B$13:B$80,B170,'3. PARTNER'!K$13:K$80))+(SUMIF('3. PARTNER'!B$13:B$80,B170,'3. PARTNER'!M$13:M$80)),(SUMIF('3. PARTNER'!B$13:B$80,B170,'3. PARTNER'!G$13:G$80))+(SUMIF('3. PARTNER'!B$13:B$80,B170,'3. PARTNER'!I$13:I$80)))</f>
        <v>0.16000843770704321</v>
      </c>
      <c r="AC170" s="452">
        <f>IF('2. START'!$C$20="UTB",(SUMIF('3. PARTNER'!B$13:B$80,B170,'3. PARTNER'!L$13:L$80))+(SUMIF('3. PARTNER'!B$13:B$80,B170,'3. PARTNER'!N$13:N$80)),(SUMIF('3. PARTNER'!B$13:B$80,B170,'3. PARTNER'!H$13:H$80))+(SUMIF('3. PARTNER'!B$13:B$80,B170,'3. PARTNER'!J$13:J$80)))</f>
        <v>0</v>
      </c>
      <c r="AD170" s="452">
        <f>IF('2. START'!C$11="NO",'2. START'!C$12,0)</f>
        <v>0</v>
      </c>
      <c r="AE170" s="453">
        <f t="shared" si="388"/>
        <v>0</v>
      </c>
      <c r="AF170" s="453">
        <f t="shared" si="389"/>
        <v>0</v>
      </c>
      <c r="AG170" s="454"/>
      <c r="AH170" s="455">
        <f t="shared" si="390"/>
        <v>0</v>
      </c>
      <c r="AI170" s="455">
        <f t="shared" si="391"/>
        <v>0</v>
      </c>
      <c r="AJ170" s="455">
        <f t="shared" si="392"/>
        <v>0</v>
      </c>
      <c r="AK170" s="455">
        <f t="shared" si="393"/>
        <v>0</v>
      </c>
      <c r="AL170" s="455">
        <f t="shared" si="394"/>
        <v>0</v>
      </c>
      <c r="AM170" s="455">
        <f t="shared" si="395"/>
        <v>0</v>
      </c>
      <c r="AN170" s="455">
        <f t="shared" si="396"/>
        <v>0</v>
      </c>
      <c r="AO170" s="455">
        <f t="shared" si="397"/>
        <v>0</v>
      </c>
      <c r="AP170" s="455">
        <f t="shared" si="398"/>
        <v>0</v>
      </c>
      <c r="AQ170" s="455">
        <f t="shared" si="399"/>
        <v>0</v>
      </c>
      <c r="AR170" s="456">
        <f t="shared" si="400"/>
        <v>0</v>
      </c>
      <c r="AS170" s="457"/>
      <c r="AT170" s="455">
        <f t="shared" si="401"/>
        <v>0</v>
      </c>
      <c r="AU170" s="455">
        <f t="shared" si="402"/>
        <v>0</v>
      </c>
      <c r="AV170" s="455">
        <f t="shared" si="403"/>
        <v>0</v>
      </c>
      <c r="AW170" s="455">
        <f t="shared" si="404"/>
        <v>0</v>
      </c>
      <c r="AX170" s="455">
        <f t="shared" si="405"/>
        <v>0</v>
      </c>
      <c r="AY170" s="455">
        <f t="shared" si="406"/>
        <v>0</v>
      </c>
      <c r="AZ170" s="455">
        <f t="shared" si="407"/>
        <v>0</v>
      </c>
      <c r="BA170" s="455">
        <f t="shared" si="408"/>
        <v>0</v>
      </c>
      <c r="BB170" s="455">
        <f t="shared" si="409"/>
        <v>0</v>
      </c>
      <c r="BC170" s="455">
        <f t="shared" si="410"/>
        <v>0</v>
      </c>
      <c r="BD170" s="456">
        <f t="shared" si="411"/>
        <v>0</v>
      </c>
      <c r="BE170" s="457"/>
      <c r="BF170" s="455">
        <f t="shared" si="412"/>
        <v>0</v>
      </c>
      <c r="BG170" s="455">
        <f t="shared" si="413"/>
        <v>0</v>
      </c>
      <c r="BH170" s="455">
        <f t="shared" si="414"/>
        <v>0</v>
      </c>
      <c r="BI170" s="455">
        <f t="shared" si="415"/>
        <v>0</v>
      </c>
      <c r="BJ170" s="455">
        <f t="shared" si="416"/>
        <v>0</v>
      </c>
      <c r="BK170" s="455">
        <f t="shared" si="417"/>
        <v>0</v>
      </c>
      <c r="BL170" s="455">
        <f t="shared" si="418"/>
        <v>0</v>
      </c>
      <c r="BM170" s="455">
        <f t="shared" si="419"/>
        <v>0</v>
      </c>
      <c r="BN170" s="455">
        <f t="shared" si="420"/>
        <v>0</v>
      </c>
      <c r="BO170" s="455">
        <f t="shared" si="421"/>
        <v>0</v>
      </c>
      <c r="BP170" s="456">
        <f t="shared" si="422"/>
        <v>0</v>
      </c>
      <c r="BQ170" s="463"/>
      <c r="BR170" s="459">
        <f t="shared" si="423"/>
        <v>0</v>
      </c>
      <c r="BS170" s="459">
        <f t="shared" si="424"/>
        <v>0</v>
      </c>
      <c r="BT170" s="459">
        <f t="shared" si="425"/>
        <v>0</v>
      </c>
      <c r="BU170" s="459">
        <f t="shared" si="426"/>
        <v>0</v>
      </c>
      <c r="BV170" s="459">
        <f t="shared" si="427"/>
        <v>0</v>
      </c>
      <c r="BW170" s="459">
        <f t="shared" si="428"/>
        <v>0</v>
      </c>
      <c r="BX170" s="459">
        <f t="shared" si="429"/>
        <v>0</v>
      </c>
      <c r="BY170" s="459">
        <f t="shared" si="430"/>
        <v>0</v>
      </c>
      <c r="BZ170" s="459">
        <f t="shared" si="431"/>
        <v>0</v>
      </c>
      <c r="CA170" s="459">
        <f t="shared" si="432"/>
        <v>0</v>
      </c>
      <c r="CB170" s="460">
        <f t="shared" si="433"/>
        <v>0</v>
      </c>
      <c r="CC170" s="463"/>
      <c r="CD170" s="462">
        <f t="shared" si="434"/>
        <v>0</v>
      </c>
      <c r="CE170" s="462">
        <f t="shared" si="435"/>
        <v>0</v>
      </c>
      <c r="CF170" s="462">
        <f t="shared" si="436"/>
        <v>0</v>
      </c>
      <c r="CG170" s="462">
        <f t="shared" si="437"/>
        <v>0</v>
      </c>
      <c r="CH170" s="462">
        <f t="shared" si="438"/>
        <v>0</v>
      </c>
      <c r="CI170" s="462">
        <f t="shared" si="439"/>
        <v>0</v>
      </c>
      <c r="CJ170" s="462">
        <f t="shared" si="440"/>
        <v>0</v>
      </c>
      <c r="CK170" s="462">
        <f t="shared" si="441"/>
        <v>0</v>
      </c>
      <c r="CL170" s="462">
        <f t="shared" si="442"/>
        <v>0</v>
      </c>
      <c r="CM170" s="462">
        <f t="shared" si="443"/>
        <v>0</v>
      </c>
      <c r="CN170" s="460">
        <f t="shared" si="444"/>
        <v>0</v>
      </c>
      <c r="CO170" s="463"/>
      <c r="CP170" s="459">
        <f t="shared" si="445"/>
        <v>0</v>
      </c>
      <c r="CQ170" s="459">
        <f t="shared" si="446"/>
        <v>0</v>
      </c>
      <c r="CR170" s="459">
        <f t="shared" si="447"/>
        <v>0</v>
      </c>
      <c r="CS170" s="459">
        <f t="shared" si="448"/>
        <v>0</v>
      </c>
      <c r="CT170" s="459">
        <f t="shared" si="449"/>
        <v>0</v>
      </c>
      <c r="CU170" s="459">
        <f t="shared" si="450"/>
        <v>0</v>
      </c>
      <c r="CV170" s="459">
        <f t="shared" si="451"/>
        <v>0</v>
      </c>
      <c r="CW170" s="459">
        <f t="shared" si="452"/>
        <v>0</v>
      </c>
      <c r="CX170" s="459">
        <f t="shared" si="453"/>
        <v>0</v>
      </c>
      <c r="CY170" s="459">
        <f t="shared" si="454"/>
        <v>0</v>
      </c>
      <c r="CZ170" s="460">
        <f t="shared" si="455"/>
        <v>0</v>
      </c>
      <c r="DA170" s="463"/>
      <c r="DB170" s="459">
        <f t="shared" si="456"/>
        <v>0</v>
      </c>
      <c r="DC170" s="459">
        <f t="shared" si="457"/>
        <v>0</v>
      </c>
      <c r="DD170" s="459">
        <f t="shared" si="458"/>
        <v>0</v>
      </c>
      <c r="DE170" s="459">
        <f t="shared" si="459"/>
        <v>0</v>
      </c>
      <c r="DF170" s="459">
        <f t="shared" si="460"/>
        <v>0</v>
      </c>
      <c r="DG170" s="459">
        <f t="shared" si="461"/>
        <v>0</v>
      </c>
      <c r="DH170" s="459">
        <f t="shared" si="462"/>
        <v>0</v>
      </c>
      <c r="DI170" s="459">
        <f t="shared" si="463"/>
        <v>0</v>
      </c>
      <c r="DJ170" s="459">
        <f t="shared" si="464"/>
        <v>0</v>
      </c>
      <c r="DK170" s="459">
        <f t="shared" si="465"/>
        <v>0</v>
      </c>
      <c r="DL170" s="460">
        <f t="shared" si="466"/>
        <v>0</v>
      </c>
      <c r="DM170" s="463"/>
      <c r="DN170" s="442">
        <f>IF('2. START'!$C$14&gt;0,(AT170/(1+$AA170))*(1+'2. START'!$C$14),AT170)</f>
        <v>0</v>
      </c>
      <c r="DO170" s="442">
        <f>IF('2. START'!$C$14&gt;0,(AU170/(1+$AA170))*(1+'2. START'!$C$14),AU170)</f>
        <v>0</v>
      </c>
      <c r="DP170" s="442">
        <f>IF('2. START'!$C$14&gt;0,(AV170/(1+$AA170))*(1+'2. START'!$C$14),AV170)</f>
        <v>0</v>
      </c>
      <c r="DQ170" s="442">
        <f>IF('2. START'!$C$14&gt;0,(AW170/(1+$AA170))*(1+'2. START'!$C$14),AW170)</f>
        <v>0</v>
      </c>
      <c r="DR170" s="442">
        <f>IF('2. START'!$C$14&gt;0,(AX170/(1+$AA170))*(1+'2. START'!$C$14),AX170)</f>
        <v>0</v>
      </c>
      <c r="DS170" s="442">
        <f>IF('2. START'!$C$14&gt;0,(AY170/(1+$AA170))*(1+'2. START'!$C$14),AY170)</f>
        <v>0</v>
      </c>
      <c r="DT170" s="442">
        <f>IF('2. START'!$C$14&gt;0,(AZ170/(1+$AA170))*(1+'2. START'!$C$14),AZ170)</f>
        <v>0</v>
      </c>
      <c r="DU170" s="442">
        <f>IF('2. START'!$C$14&gt;0,(BA170/(1+$AA170))*(1+'2. START'!$C$14),BA170)</f>
        <v>0</v>
      </c>
      <c r="DV170" s="442">
        <f>IF('2. START'!$C$14&gt;0,(BB170/(1+$AA170))*(1+'2. START'!$C$14),BB170)</f>
        <v>0</v>
      </c>
      <c r="DW170" s="442">
        <f>IF('2. START'!$C$14&gt;0,(BC170/(1+$AA170))*(1+'2. START'!$C$14),BC170)</f>
        <v>0</v>
      </c>
      <c r="DX170" s="460">
        <f t="shared" si="467"/>
        <v>0</v>
      </c>
      <c r="DY170" s="463"/>
      <c r="DZ170" s="459">
        <f>IF('2. START'!$C$11="NO",(IF('2. START'!$C$14&gt;0,(DN170*$AD170),(AT170*$AD170))),(BR170+CP170))</f>
        <v>0</v>
      </c>
      <c r="EA170" s="459">
        <f>IF('2. START'!$C$11="NO",(IF('2. START'!$C$14&gt;0,(DO170*$AD170),(AU170*$AD170))),(BS170+CQ170))</f>
        <v>0</v>
      </c>
      <c r="EB170" s="459">
        <f>IF('2. START'!$C$11="NO",(IF('2. START'!$C$14&gt;0,(DP170*$AD170),(AV170*$AD170))),(BT170+CR170))</f>
        <v>0</v>
      </c>
      <c r="EC170" s="459">
        <f>IF('2. START'!$C$11="NO",(IF('2. START'!$C$14&gt;0,(DQ170*$AD170),(AW170*$AD170))),(BU170+CS170))</f>
        <v>0</v>
      </c>
      <c r="ED170" s="459">
        <f>IF('2. START'!$C$11="NO",(IF('2. START'!$C$14&gt;0,(DR170*$AD170),(AX170*$AD170))),(BV170+CT170))</f>
        <v>0</v>
      </c>
      <c r="EE170" s="459">
        <f>IF('2. START'!$C$11="NO",(IF('2. START'!$C$14&gt;0,(DS170*$AD170),(AY170*$AD170))),(BW170+CU170))</f>
        <v>0</v>
      </c>
      <c r="EF170" s="459">
        <f>IF('2. START'!$C$11="NO",(IF('2. START'!$C$14&gt;0,(DT170*$AD170),(AZ170*$AD170))),(BX170+CV170))</f>
        <v>0</v>
      </c>
      <c r="EG170" s="459">
        <f>IF('2. START'!$C$11="NO",(IF('2. START'!$C$14&gt;0,(DU170*$AD170),(BA170*$AD170))),(BY170+CW170))</f>
        <v>0</v>
      </c>
      <c r="EH170" s="459">
        <f>IF('2. START'!$C$11="NO",(IF('2. START'!$C$14&gt;0,(DV170*$AD170),(BB170*$AD170))),(BZ170+CX170))</f>
        <v>0</v>
      </c>
      <c r="EI170" s="459">
        <f>IF('2. START'!$C$11="NO",(IF('2. START'!$C$14&gt;0,(DW170*$AD170),(BC170*$AD170))),(CA170+CY170))</f>
        <v>0</v>
      </c>
      <c r="EJ170" s="460">
        <f t="shared" si="468"/>
        <v>0</v>
      </c>
      <c r="EK170" s="463"/>
      <c r="EL170" s="459">
        <f>(BR170+CP170-DZ170)+IF('2. START'!$C$14&gt;0,AT170-DN170,0)</f>
        <v>0</v>
      </c>
      <c r="EM170" s="459">
        <f>(BS170+CQ170-EA170)+IF('2. START'!$C$14&gt;0,AU170-DO170,0)</f>
        <v>0</v>
      </c>
      <c r="EN170" s="459">
        <f>(BT170+CR170-EB170)+IF('2. START'!$C$14&gt;0,AV170-DP170,0)</f>
        <v>0</v>
      </c>
      <c r="EO170" s="459">
        <f>(BU170+CS170-EC170)+IF('2. START'!$C$14&gt;0,AW170-DQ170,0)</f>
        <v>0</v>
      </c>
      <c r="EP170" s="459">
        <f>(BV170+CT170-ED170)+IF('2. START'!$C$14&gt;0,AX170-DR170,0)</f>
        <v>0</v>
      </c>
      <c r="EQ170" s="459">
        <f>(BW170+CU170-EE170)+IF('2. START'!$C$14&gt;0,AY170-DS170,0)</f>
        <v>0</v>
      </c>
      <c r="ER170" s="459">
        <f>(BX170+CV170-EF170)+IF('2. START'!$C$14&gt;0,AZ170-DT170,0)</f>
        <v>0</v>
      </c>
      <c r="ES170" s="459">
        <f>(BY170+CW170-EG170)+IF('2. START'!$C$14&gt;0,BA170-DU170,0)</f>
        <v>0</v>
      </c>
      <c r="ET170" s="459">
        <f>(BZ170+CX170-EH170)+IF('2. START'!$C$14&gt;0,BB170-DV170,0)</f>
        <v>0</v>
      </c>
      <c r="EU170" s="459">
        <f>(CA170+CY170-EI170)+IF('2. START'!$C$14&gt;0,BC170-DW170,0)</f>
        <v>0</v>
      </c>
      <c r="EV170" s="460">
        <f t="shared" si="469"/>
        <v>0</v>
      </c>
      <c r="EW170" s="463"/>
      <c r="EX170" s="459">
        <f t="shared" si="470"/>
        <v>0</v>
      </c>
      <c r="EY170" s="459">
        <f t="shared" si="471"/>
        <v>0</v>
      </c>
      <c r="EZ170" s="459">
        <f t="shared" si="472"/>
        <v>0</v>
      </c>
      <c r="FA170" s="459">
        <f t="shared" si="473"/>
        <v>0</v>
      </c>
      <c r="FB170" s="459">
        <f t="shared" si="474"/>
        <v>0</v>
      </c>
      <c r="FC170" s="459">
        <f t="shared" si="475"/>
        <v>0</v>
      </c>
      <c r="FD170" s="459">
        <f t="shared" si="476"/>
        <v>0</v>
      </c>
      <c r="FE170" s="459">
        <f t="shared" si="477"/>
        <v>0</v>
      </c>
      <c r="FF170" s="459">
        <f t="shared" si="478"/>
        <v>0</v>
      </c>
      <c r="FG170" s="459">
        <f t="shared" si="479"/>
        <v>0</v>
      </c>
      <c r="FH170" s="460">
        <f t="shared" si="480"/>
        <v>0</v>
      </c>
      <c r="FI170" s="463"/>
      <c r="FJ170" s="459">
        <f t="shared" si="481"/>
        <v>0</v>
      </c>
      <c r="FK170" s="459">
        <f t="shared" si="482"/>
        <v>0</v>
      </c>
      <c r="FL170" s="459">
        <f t="shared" si="483"/>
        <v>0</v>
      </c>
      <c r="FM170" s="459">
        <f t="shared" si="484"/>
        <v>0</v>
      </c>
      <c r="FN170" s="459">
        <f t="shared" si="485"/>
        <v>0</v>
      </c>
      <c r="FO170" s="459">
        <f t="shared" si="486"/>
        <v>0</v>
      </c>
      <c r="FP170" s="459">
        <f t="shared" si="487"/>
        <v>0</v>
      </c>
      <c r="FQ170" s="459">
        <f t="shared" si="488"/>
        <v>0</v>
      </c>
      <c r="FR170" s="459">
        <f t="shared" si="489"/>
        <v>0</v>
      </c>
      <c r="FS170" s="459">
        <f t="shared" si="490"/>
        <v>0</v>
      </c>
      <c r="FT170" s="460">
        <f t="shared" si="491"/>
        <v>0</v>
      </c>
    </row>
    <row r="171" spans="2:176" s="270" customFormat="1" ht="15" customHeight="1" x14ac:dyDescent="0.25">
      <c r="B171" s="464" t="str">
        <f>'2. START'!C$7</f>
        <v>100GEM</v>
      </c>
      <c r="C171" s="470"/>
      <c r="D171" s="590"/>
      <c r="E171" s="514">
        <v>0</v>
      </c>
      <c r="F171" s="467"/>
      <c r="G171" s="432"/>
      <c r="H171" s="432"/>
      <c r="I171" s="432"/>
      <c r="J171" s="432"/>
      <c r="K171" s="432"/>
      <c r="L171" s="432"/>
      <c r="M171" s="432"/>
      <c r="N171" s="432"/>
      <c r="O171" s="432"/>
      <c r="P171" s="432"/>
      <c r="Q171" s="545">
        <f>SUMIF('3. PARTNER'!$B$13:$B$80,$B171,'3. PARTNER'!$F$13:$F$80)</f>
        <v>0.02</v>
      </c>
      <c r="R171" s="466">
        <f t="shared" si="492"/>
        <v>0.02</v>
      </c>
      <c r="S171" s="466">
        <f t="shared" si="492"/>
        <v>0.02</v>
      </c>
      <c r="T171" s="466">
        <f t="shared" si="492"/>
        <v>0.02</v>
      </c>
      <c r="U171" s="466">
        <f t="shared" si="492"/>
        <v>0.02</v>
      </c>
      <c r="V171" s="466">
        <f t="shared" si="492"/>
        <v>0.02</v>
      </c>
      <c r="W171" s="466">
        <f t="shared" si="492"/>
        <v>0.02</v>
      </c>
      <c r="X171" s="466">
        <f t="shared" si="492"/>
        <v>0.02</v>
      </c>
      <c r="Y171" s="466">
        <f t="shared" si="492"/>
        <v>0.02</v>
      </c>
      <c r="Z171" s="466">
        <f t="shared" si="492"/>
        <v>0.02</v>
      </c>
      <c r="AA171" s="434">
        <f>SUMIF('3. PARTNER'!B$13:B$80,B171,'3. PARTNER'!E$13:E$80)</f>
        <v>0.5595</v>
      </c>
      <c r="AB171" s="435">
        <f>IF('2. START'!$C$20="UTB",(SUMIF('3. PARTNER'!B$13:B$80,B171,'3. PARTNER'!K$13:K$80))+(SUMIF('3. PARTNER'!B$13:B$80,B171,'3. PARTNER'!M$13:M$80)),(SUMIF('3. PARTNER'!B$13:B$80,B171,'3. PARTNER'!G$13:G$80))+(SUMIF('3. PARTNER'!B$13:B$80,B171,'3. PARTNER'!I$13:I$80)))</f>
        <v>0.16000843770704321</v>
      </c>
      <c r="AC171" s="435">
        <f>IF('2. START'!$C$20="UTB",(SUMIF('3. PARTNER'!B$13:B$80,B171,'3. PARTNER'!L$13:L$80))+(SUMIF('3. PARTNER'!B$13:B$80,B171,'3. PARTNER'!N$13:N$80)),(SUMIF('3. PARTNER'!B$13:B$80,B171,'3. PARTNER'!H$13:H$80))+(SUMIF('3. PARTNER'!B$13:B$80,B171,'3. PARTNER'!J$13:J$80)))</f>
        <v>0</v>
      </c>
      <c r="AD171" s="435">
        <f>IF('2. START'!C$11="NO",'2. START'!C$12,0)</f>
        <v>0</v>
      </c>
      <c r="AE171" s="436">
        <f t="shared" si="388"/>
        <v>0</v>
      </c>
      <c r="AF171" s="436">
        <f t="shared" si="389"/>
        <v>0</v>
      </c>
      <c r="AG171" s="437"/>
      <c r="AH171" s="438">
        <f t="shared" si="390"/>
        <v>0</v>
      </c>
      <c r="AI171" s="438">
        <f t="shared" si="391"/>
        <v>0</v>
      </c>
      <c r="AJ171" s="438">
        <f t="shared" si="392"/>
        <v>0</v>
      </c>
      <c r="AK171" s="438">
        <f t="shared" si="393"/>
        <v>0</v>
      </c>
      <c r="AL171" s="438">
        <f t="shared" si="394"/>
        <v>0</v>
      </c>
      <c r="AM171" s="438">
        <f t="shared" si="395"/>
        <v>0</v>
      </c>
      <c r="AN171" s="438">
        <f t="shared" si="396"/>
        <v>0</v>
      </c>
      <c r="AO171" s="438">
        <f t="shared" si="397"/>
        <v>0</v>
      </c>
      <c r="AP171" s="438">
        <f t="shared" si="398"/>
        <v>0</v>
      </c>
      <c r="AQ171" s="438">
        <f t="shared" si="399"/>
        <v>0</v>
      </c>
      <c r="AR171" s="439">
        <f t="shared" si="400"/>
        <v>0</v>
      </c>
      <c r="AS171" s="440"/>
      <c r="AT171" s="438">
        <f t="shared" si="401"/>
        <v>0</v>
      </c>
      <c r="AU171" s="438">
        <f t="shared" si="402"/>
        <v>0</v>
      </c>
      <c r="AV171" s="438">
        <f t="shared" si="403"/>
        <v>0</v>
      </c>
      <c r="AW171" s="438">
        <f t="shared" si="404"/>
        <v>0</v>
      </c>
      <c r="AX171" s="438">
        <f t="shared" si="405"/>
        <v>0</v>
      </c>
      <c r="AY171" s="438">
        <f t="shared" si="406"/>
        <v>0</v>
      </c>
      <c r="AZ171" s="438">
        <f t="shared" si="407"/>
        <v>0</v>
      </c>
      <c r="BA171" s="438">
        <f t="shared" si="408"/>
        <v>0</v>
      </c>
      <c r="BB171" s="438">
        <f t="shared" si="409"/>
        <v>0</v>
      </c>
      <c r="BC171" s="438">
        <f t="shared" si="410"/>
        <v>0</v>
      </c>
      <c r="BD171" s="439">
        <f t="shared" si="411"/>
        <v>0</v>
      </c>
      <c r="BE171" s="440"/>
      <c r="BF171" s="438">
        <f t="shared" si="412"/>
        <v>0</v>
      </c>
      <c r="BG171" s="438">
        <f t="shared" si="413"/>
        <v>0</v>
      </c>
      <c r="BH171" s="438">
        <f t="shared" si="414"/>
        <v>0</v>
      </c>
      <c r="BI171" s="438">
        <f t="shared" si="415"/>
        <v>0</v>
      </c>
      <c r="BJ171" s="438">
        <f t="shared" si="416"/>
        <v>0</v>
      </c>
      <c r="BK171" s="438">
        <f t="shared" si="417"/>
        <v>0</v>
      </c>
      <c r="BL171" s="438">
        <f t="shared" si="418"/>
        <v>0</v>
      </c>
      <c r="BM171" s="438">
        <f t="shared" si="419"/>
        <v>0</v>
      </c>
      <c r="BN171" s="438">
        <f t="shared" si="420"/>
        <v>0</v>
      </c>
      <c r="BO171" s="438">
        <f t="shared" si="421"/>
        <v>0</v>
      </c>
      <c r="BP171" s="439">
        <f t="shared" si="422"/>
        <v>0</v>
      </c>
      <c r="BR171" s="442">
        <f t="shared" si="423"/>
        <v>0</v>
      </c>
      <c r="BS171" s="442">
        <f t="shared" si="424"/>
        <v>0</v>
      </c>
      <c r="BT171" s="442">
        <f t="shared" si="425"/>
        <v>0</v>
      </c>
      <c r="BU171" s="442">
        <f t="shared" si="426"/>
        <v>0</v>
      </c>
      <c r="BV171" s="442">
        <f t="shared" si="427"/>
        <v>0</v>
      </c>
      <c r="BW171" s="442">
        <f t="shared" si="428"/>
        <v>0</v>
      </c>
      <c r="BX171" s="442">
        <f t="shared" si="429"/>
        <v>0</v>
      </c>
      <c r="BY171" s="442">
        <f t="shared" si="430"/>
        <v>0</v>
      </c>
      <c r="BZ171" s="442">
        <f t="shared" si="431"/>
        <v>0</v>
      </c>
      <c r="CA171" s="442">
        <f t="shared" si="432"/>
        <v>0</v>
      </c>
      <c r="CB171" s="443">
        <f t="shared" si="433"/>
        <v>0</v>
      </c>
      <c r="CD171" s="445">
        <f t="shared" si="434"/>
        <v>0</v>
      </c>
      <c r="CE171" s="445">
        <f t="shared" si="435"/>
        <v>0</v>
      </c>
      <c r="CF171" s="445">
        <f t="shared" si="436"/>
        <v>0</v>
      </c>
      <c r="CG171" s="445">
        <f t="shared" si="437"/>
        <v>0</v>
      </c>
      <c r="CH171" s="445">
        <f t="shared" si="438"/>
        <v>0</v>
      </c>
      <c r="CI171" s="445">
        <f t="shared" si="439"/>
        <v>0</v>
      </c>
      <c r="CJ171" s="445">
        <f t="shared" si="440"/>
        <v>0</v>
      </c>
      <c r="CK171" s="445">
        <f t="shared" si="441"/>
        <v>0</v>
      </c>
      <c r="CL171" s="445">
        <f t="shared" si="442"/>
        <v>0</v>
      </c>
      <c r="CM171" s="445">
        <f t="shared" si="443"/>
        <v>0</v>
      </c>
      <c r="CN171" s="443">
        <f t="shared" si="444"/>
        <v>0</v>
      </c>
      <c r="CP171" s="442">
        <f t="shared" si="445"/>
        <v>0</v>
      </c>
      <c r="CQ171" s="442">
        <f t="shared" si="446"/>
        <v>0</v>
      </c>
      <c r="CR171" s="442">
        <f t="shared" si="447"/>
        <v>0</v>
      </c>
      <c r="CS171" s="442">
        <f t="shared" si="448"/>
        <v>0</v>
      </c>
      <c r="CT171" s="442">
        <f t="shared" si="449"/>
        <v>0</v>
      </c>
      <c r="CU171" s="442">
        <f t="shared" si="450"/>
        <v>0</v>
      </c>
      <c r="CV171" s="442">
        <f t="shared" si="451"/>
        <v>0</v>
      </c>
      <c r="CW171" s="442">
        <f t="shared" si="452"/>
        <v>0</v>
      </c>
      <c r="CX171" s="442">
        <f t="shared" si="453"/>
        <v>0</v>
      </c>
      <c r="CY171" s="442">
        <f t="shared" si="454"/>
        <v>0</v>
      </c>
      <c r="CZ171" s="443">
        <f t="shared" si="455"/>
        <v>0</v>
      </c>
      <c r="DB171" s="442">
        <f t="shared" si="456"/>
        <v>0</v>
      </c>
      <c r="DC171" s="442">
        <f t="shared" si="457"/>
        <v>0</v>
      </c>
      <c r="DD171" s="442">
        <f t="shared" si="458"/>
        <v>0</v>
      </c>
      <c r="DE171" s="442">
        <f t="shared" si="459"/>
        <v>0</v>
      </c>
      <c r="DF171" s="442">
        <f t="shared" si="460"/>
        <v>0</v>
      </c>
      <c r="DG171" s="442">
        <f t="shared" si="461"/>
        <v>0</v>
      </c>
      <c r="DH171" s="442">
        <f t="shared" si="462"/>
        <v>0</v>
      </c>
      <c r="DI171" s="442">
        <f t="shared" si="463"/>
        <v>0</v>
      </c>
      <c r="DJ171" s="442">
        <f t="shared" si="464"/>
        <v>0</v>
      </c>
      <c r="DK171" s="442">
        <f t="shared" si="465"/>
        <v>0</v>
      </c>
      <c r="DL171" s="443">
        <f t="shared" si="466"/>
        <v>0</v>
      </c>
      <c r="DN171" s="442">
        <f>IF('2. START'!$C$14&gt;0,(AT171/(1+$AA171))*(1+'2. START'!$C$14),AT171)</f>
        <v>0</v>
      </c>
      <c r="DO171" s="442">
        <f>IF('2. START'!$C$14&gt;0,(AU171/(1+$AA171))*(1+'2. START'!$C$14),AU171)</f>
        <v>0</v>
      </c>
      <c r="DP171" s="442">
        <f>IF('2. START'!$C$14&gt;0,(AV171/(1+$AA171))*(1+'2. START'!$C$14),AV171)</f>
        <v>0</v>
      </c>
      <c r="DQ171" s="442">
        <f>IF('2. START'!$C$14&gt;0,(AW171/(1+$AA171))*(1+'2. START'!$C$14),AW171)</f>
        <v>0</v>
      </c>
      <c r="DR171" s="442">
        <f>IF('2. START'!$C$14&gt;0,(AX171/(1+$AA171))*(1+'2. START'!$C$14),AX171)</f>
        <v>0</v>
      </c>
      <c r="DS171" s="442">
        <f>IF('2. START'!$C$14&gt;0,(AY171/(1+$AA171))*(1+'2. START'!$C$14),AY171)</f>
        <v>0</v>
      </c>
      <c r="DT171" s="442">
        <f>IF('2. START'!$C$14&gt;0,(AZ171/(1+$AA171))*(1+'2. START'!$C$14),AZ171)</f>
        <v>0</v>
      </c>
      <c r="DU171" s="442">
        <f>IF('2. START'!$C$14&gt;0,(BA171/(1+$AA171))*(1+'2. START'!$C$14),BA171)</f>
        <v>0</v>
      </c>
      <c r="DV171" s="442">
        <f>IF('2. START'!$C$14&gt;0,(BB171/(1+$AA171))*(1+'2. START'!$C$14),BB171)</f>
        <v>0</v>
      </c>
      <c r="DW171" s="442">
        <f>IF('2. START'!$C$14&gt;0,(BC171/(1+$AA171))*(1+'2. START'!$C$14),BC171)</f>
        <v>0</v>
      </c>
      <c r="DX171" s="443">
        <f t="shared" si="467"/>
        <v>0</v>
      </c>
      <c r="DZ171" s="442">
        <f>IF('2. START'!$C$11="NO",(IF('2. START'!$C$14&gt;0,(DN171*$AD171),(AT171*$AD171))),(BR171+CP171))</f>
        <v>0</v>
      </c>
      <c r="EA171" s="442">
        <f>IF('2. START'!$C$11="NO",(IF('2. START'!$C$14&gt;0,(DO171*$AD171),(AU171*$AD171))),(BS171+CQ171))</f>
        <v>0</v>
      </c>
      <c r="EB171" s="442">
        <f>IF('2. START'!$C$11="NO",(IF('2. START'!$C$14&gt;0,(DP171*$AD171),(AV171*$AD171))),(BT171+CR171))</f>
        <v>0</v>
      </c>
      <c r="EC171" s="442">
        <f>IF('2. START'!$C$11="NO",(IF('2. START'!$C$14&gt;0,(DQ171*$AD171),(AW171*$AD171))),(BU171+CS171))</f>
        <v>0</v>
      </c>
      <c r="ED171" s="442">
        <f>IF('2. START'!$C$11="NO",(IF('2. START'!$C$14&gt;0,(DR171*$AD171),(AX171*$AD171))),(BV171+CT171))</f>
        <v>0</v>
      </c>
      <c r="EE171" s="442">
        <f>IF('2. START'!$C$11="NO",(IF('2. START'!$C$14&gt;0,(DS171*$AD171),(AY171*$AD171))),(BW171+CU171))</f>
        <v>0</v>
      </c>
      <c r="EF171" s="442">
        <f>IF('2. START'!$C$11="NO",(IF('2. START'!$C$14&gt;0,(DT171*$AD171),(AZ171*$AD171))),(BX171+CV171))</f>
        <v>0</v>
      </c>
      <c r="EG171" s="442">
        <f>IF('2. START'!$C$11="NO",(IF('2. START'!$C$14&gt;0,(DU171*$AD171),(BA171*$AD171))),(BY171+CW171))</f>
        <v>0</v>
      </c>
      <c r="EH171" s="442">
        <f>IF('2. START'!$C$11="NO",(IF('2. START'!$C$14&gt;0,(DV171*$AD171),(BB171*$AD171))),(BZ171+CX171))</f>
        <v>0</v>
      </c>
      <c r="EI171" s="442">
        <f>IF('2. START'!$C$11="NO",(IF('2. START'!$C$14&gt;0,(DW171*$AD171),(BC171*$AD171))),(CA171+CY171))</f>
        <v>0</v>
      </c>
      <c r="EJ171" s="443">
        <f t="shared" si="468"/>
        <v>0</v>
      </c>
      <c r="EL171" s="442">
        <f>(BR171+CP171-DZ171)+IF('2. START'!$C$14&gt;0,AT171-DN171,0)</f>
        <v>0</v>
      </c>
      <c r="EM171" s="442">
        <f>(BS171+CQ171-EA171)+IF('2. START'!$C$14&gt;0,AU171-DO171,0)</f>
        <v>0</v>
      </c>
      <c r="EN171" s="442">
        <f>(BT171+CR171-EB171)+IF('2. START'!$C$14&gt;0,AV171-DP171,0)</f>
        <v>0</v>
      </c>
      <c r="EO171" s="442">
        <f>(BU171+CS171-EC171)+IF('2. START'!$C$14&gt;0,AW171-DQ171,0)</f>
        <v>0</v>
      </c>
      <c r="EP171" s="442">
        <f>(BV171+CT171-ED171)+IF('2. START'!$C$14&gt;0,AX171-DR171,0)</f>
        <v>0</v>
      </c>
      <c r="EQ171" s="442">
        <f>(BW171+CU171-EE171)+IF('2. START'!$C$14&gt;0,AY171-DS171,0)</f>
        <v>0</v>
      </c>
      <c r="ER171" s="442">
        <f>(BX171+CV171-EF171)+IF('2. START'!$C$14&gt;0,AZ171-DT171,0)</f>
        <v>0</v>
      </c>
      <c r="ES171" s="442">
        <f>(BY171+CW171-EG171)+IF('2. START'!$C$14&gt;0,BA171-DU171,0)</f>
        <v>0</v>
      </c>
      <c r="ET171" s="442">
        <f>(BZ171+CX171-EH171)+IF('2. START'!$C$14&gt;0,BB171-DV171,0)</f>
        <v>0</v>
      </c>
      <c r="EU171" s="442">
        <f>(CA171+CY171-EI171)+IF('2. START'!$C$14&gt;0,BC171-DW171,0)</f>
        <v>0</v>
      </c>
      <c r="EV171" s="443">
        <f t="shared" si="469"/>
        <v>0</v>
      </c>
      <c r="EX171" s="442">
        <f t="shared" si="470"/>
        <v>0</v>
      </c>
      <c r="EY171" s="442">
        <f t="shared" si="471"/>
        <v>0</v>
      </c>
      <c r="EZ171" s="442">
        <f t="shared" si="472"/>
        <v>0</v>
      </c>
      <c r="FA171" s="442">
        <f t="shared" si="473"/>
        <v>0</v>
      </c>
      <c r="FB171" s="442">
        <f t="shared" si="474"/>
        <v>0</v>
      </c>
      <c r="FC171" s="442">
        <f t="shared" si="475"/>
        <v>0</v>
      </c>
      <c r="FD171" s="442">
        <f t="shared" si="476"/>
        <v>0</v>
      </c>
      <c r="FE171" s="442">
        <f t="shared" si="477"/>
        <v>0</v>
      </c>
      <c r="FF171" s="442">
        <f t="shared" si="478"/>
        <v>0</v>
      </c>
      <c r="FG171" s="442">
        <f t="shared" si="479"/>
        <v>0</v>
      </c>
      <c r="FH171" s="443">
        <f t="shared" si="480"/>
        <v>0</v>
      </c>
      <c r="FJ171" s="442">
        <f t="shared" si="481"/>
        <v>0</v>
      </c>
      <c r="FK171" s="442">
        <f t="shared" si="482"/>
        <v>0</v>
      </c>
      <c r="FL171" s="442">
        <f t="shared" si="483"/>
        <v>0</v>
      </c>
      <c r="FM171" s="442">
        <f t="shared" si="484"/>
        <v>0</v>
      </c>
      <c r="FN171" s="442">
        <f t="shared" si="485"/>
        <v>0</v>
      </c>
      <c r="FO171" s="442">
        <f t="shared" si="486"/>
        <v>0</v>
      </c>
      <c r="FP171" s="442">
        <f t="shared" si="487"/>
        <v>0</v>
      </c>
      <c r="FQ171" s="442">
        <f t="shared" si="488"/>
        <v>0</v>
      </c>
      <c r="FR171" s="442">
        <f t="shared" si="489"/>
        <v>0</v>
      </c>
      <c r="FS171" s="442">
        <f t="shared" si="490"/>
        <v>0</v>
      </c>
      <c r="FT171" s="443">
        <f t="shared" si="491"/>
        <v>0</v>
      </c>
    </row>
    <row r="172" spans="2:176" s="270" customFormat="1" ht="15" customHeight="1" x14ac:dyDescent="0.25">
      <c r="B172" s="446" t="str">
        <f>'2. START'!C$7</f>
        <v>100GEM</v>
      </c>
      <c r="C172" s="469"/>
      <c r="D172" s="589"/>
      <c r="E172" s="544">
        <v>0</v>
      </c>
      <c r="F172" s="448"/>
      <c r="G172" s="449"/>
      <c r="H172" s="449"/>
      <c r="I172" s="449"/>
      <c r="J172" s="449"/>
      <c r="K172" s="449"/>
      <c r="L172" s="449"/>
      <c r="M172" s="449"/>
      <c r="N172" s="449"/>
      <c r="O172" s="449"/>
      <c r="P172" s="449"/>
      <c r="Q172" s="546">
        <f>SUMIF('3. PARTNER'!$B$13:$B$80,$B172,'3. PARTNER'!$F$13:$F$80)</f>
        <v>0.02</v>
      </c>
      <c r="R172" s="450">
        <f t="shared" si="492"/>
        <v>0.02</v>
      </c>
      <c r="S172" s="450">
        <f t="shared" si="492"/>
        <v>0.02</v>
      </c>
      <c r="T172" s="450">
        <f t="shared" si="492"/>
        <v>0.02</v>
      </c>
      <c r="U172" s="450">
        <f t="shared" si="492"/>
        <v>0.02</v>
      </c>
      <c r="V172" s="450">
        <f t="shared" si="492"/>
        <v>0.02</v>
      </c>
      <c r="W172" s="450">
        <f t="shared" si="492"/>
        <v>0.02</v>
      </c>
      <c r="X172" s="450">
        <f t="shared" si="492"/>
        <v>0.02</v>
      </c>
      <c r="Y172" s="450">
        <f t="shared" si="492"/>
        <v>0.02</v>
      </c>
      <c r="Z172" s="450">
        <f t="shared" si="492"/>
        <v>0.02</v>
      </c>
      <c r="AA172" s="451">
        <f>SUMIF('3. PARTNER'!B$13:B$80,B172,'3. PARTNER'!E$13:E$80)</f>
        <v>0.5595</v>
      </c>
      <c r="AB172" s="452">
        <f>IF('2. START'!$C$20="UTB",(SUMIF('3. PARTNER'!B$13:B$80,B172,'3. PARTNER'!K$13:K$80))+(SUMIF('3. PARTNER'!B$13:B$80,B172,'3. PARTNER'!M$13:M$80)),(SUMIF('3. PARTNER'!B$13:B$80,B172,'3. PARTNER'!G$13:G$80))+(SUMIF('3. PARTNER'!B$13:B$80,B172,'3. PARTNER'!I$13:I$80)))</f>
        <v>0.16000843770704321</v>
      </c>
      <c r="AC172" s="452">
        <f>IF('2. START'!$C$20="UTB",(SUMIF('3. PARTNER'!B$13:B$80,B172,'3. PARTNER'!L$13:L$80))+(SUMIF('3. PARTNER'!B$13:B$80,B172,'3. PARTNER'!N$13:N$80)),(SUMIF('3. PARTNER'!B$13:B$80,B172,'3. PARTNER'!H$13:H$80))+(SUMIF('3. PARTNER'!B$13:B$80,B172,'3. PARTNER'!J$13:J$80)))</f>
        <v>0</v>
      </c>
      <c r="AD172" s="452">
        <f>IF('2. START'!C$11="NO",'2. START'!C$12,0)</f>
        <v>0</v>
      </c>
      <c r="AE172" s="453">
        <f t="shared" si="388"/>
        <v>0</v>
      </c>
      <c r="AF172" s="453">
        <f t="shared" si="389"/>
        <v>0</v>
      </c>
      <c r="AG172" s="454"/>
      <c r="AH172" s="455">
        <f t="shared" si="390"/>
        <v>0</v>
      </c>
      <c r="AI172" s="455">
        <f t="shared" si="391"/>
        <v>0</v>
      </c>
      <c r="AJ172" s="455">
        <f t="shared" si="392"/>
        <v>0</v>
      </c>
      <c r="AK172" s="455">
        <f t="shared" si="393"/>
        <v>0</v>
      </c>
      <c r="AL172" s="455">
        <f t="shared" si="394"/>
        <v>0</v>
      </c>
      <c r="AM172" s="455">
        <f t="shared" si="395"/>
        <v>0</v>
      </c>
      <c r="AN172" s="455">
        <f t="shared" si="396"/>
        <v>0</v>
      </c>
      <c r="AO172" s="455">
        <f t="shared" si="397"/>
        <v>0</v>
      </c>
      <c r="AP172" s="455">
        <f t="shared" si="398"/>
        <v>0</v>
      </c>
      <c r="AQ172" s="455">
        <f t="shared" si="399"/>
        <v>0</v>
      </c>
      <c r="AR172" s="456">
        <f t="shared" si="400"/>
        <v>0</v>
      </c>
      <c r="AS172" s="457"/>
      <c r="AT172" s="455">
        <f t="shared" si="401"/>
        <v>0</v>
      </c>
      <c r="AU172" s="455">
        <f t="shared" si="402"/>
        <v>0</v>
      </c>
      <c r="AV172" s="455">
        <f t="shared" si="403"/>
        <v>0</v>
      </c>
      <c r="AW172" s="455">
        <f t="shared" si="404"/>
        <v>0</v>
      </c>
      <c r="AX172" s="455">
        <f t="shared" si="405"/>
        <v>0</v>
      </c>
      <c r="AY172" s="455">
        <f t="shared" si="406"/>
        <v>0</v>
      </c>
      <c r="AZ172" s="455">
        <f t="shared" si="407"/>
        <v>0</v>
      </c>
      <c r="BA172" s="455">
        <f t="shared" si="408"/>
        <v>0</v>
      </c>
      <c r="BB172" s="455">
        <f t="shared" si="409"/>
        <v>0</v>
      </c>
      <c r="BC172" s="455">
        <f t="shared" si="410"/>
        <v>0</v>
      </c>
      <c r="BD172" s="456">
        <f t="shared" si="411"/>
        <v>0</v>
      </c>
      <c r="BE172" s="457"/>
      <c r="BF172" s="455">
        <f t="shared" si="412"/>
        <v>0</v>
      </c>
      <c r="BG172" s="455">
        <f t="shared" si="413"/>
        <v>0</v>
      </c>
      <c r="BH172" s="455">
        <f t="shared" si="414"/>
        <v>0</v>
      </c>
      <c r="BI172" s="455">
        <f t="shared" si="415"/>
        <v>0</v>
      </c>
      <c r="BJ172" s="455">
        <f t="shared" si="416"/>
        <v>0</v>
      </c>
      <c r="BK172" s="455">
        <f t="shared" si="417"/>
        <v>0</v>
      </c>
      <c r="BL172" s="455">
        <f t="shared" si="418"/>
        <v>0</v>
      </c>
      <c r="BM172" s="455">
        <f t="shared" si="419"/>
        <v>0</v>
      </c>
      <c r="BN172" s="455">
        <f t="shared" si="420"/>
        <v>0</v>
      </c>
      <c r="BO172" s="455">
        <f t="shared" si="421"/>
        <v>0</v>
      </c>
      <c r="BP172" s="456">
        <f t="shared" si="422"/>
        <v>0</v>
      </c>
      <c r="BQ172" s="463"/>
      <c r="BR172" s="459">
        <f t="shared" si="423"/>
        <v>0</v>
      </c>
      <c r="BS172" s="459">
        <f t="shared" si="424"/>
        <v>0</v>
      </c>
      <c r="BT172" s="459">
        <f t="shared" si="425"/>
        <v>0</v>
      </c>
      <c r="BU172" s="459">
        <f t="shared" si="426"/>
        <v>0</v>
      </c>
      <c r="BV172" s="459">
        <f t="shared" si="427"/>
        <v>0</v>
      </c>
      <c r="BW172" s="459">
        <f t="shared" si="428"/>
        <v>0</v>
      </c>
      <c r="BX172" s="459">
        <f t="shared" si="429"/>
        <v>0</v>
      </c>
      <c r="BY172" s="459">
        <f t="shared" si="430"/>
        <v>0</v>
      </c>
      <c r="BZ172" s="459">
        <f t="shared" si="431"/>
        <v>0</v>
      </c>
      <c r="CA172" s="459">
        <f t="shared" si="432"/>
        <v>0</v>
      </c>
      <c r="CB172" s="460">
        <f t="shared" si="433"/>
        <v>0</v>
      </c>
      <c r="CC172" s="463"/>
      <c r="CD172" s="462">
        <f t="shared" si="434"/>
        <v>0</v>
      </c>
      <c r="CE172" s="462">
        <f t="shared" si="435"/>
        <v>0</v>
      </c>
      <c r="CF172" s="462">
        <f t="shared" si="436"/>
        <v>0</v>
      </c>
      <c r="CG172" s="462">
        <f t="shared" si="437"/>
        <v>0</v>
      </c>
      <c r="CH172" s="462">
        <f t="shared" si="438"/>
        <v>0</v>
      </c>
      <c r="CI172" s="462">
        <f t="shared" si="439"/>
        <v>0</v>
      </c>
      <c r="CJ172" s="462">
        <f t="shared" si="440"/>
        <v>0</v>
      </c>
      <c r="CK172" s="462">
        <f t="shared" si="441"/>
        <v>0</v>
      </c>
      <c r="CL172" s="462">
        <f t="shared" si="442"/>
        <v>0</v>
      </c>
      <c r="CM172" s="462">
        <f t="shared" si="443"/>
        <v>0</v>
      </c>
      <c r="CN172" s="460">
        <f t="shared" si="444"/>
        <v>0</v>
      </c>
      <c r="CO172" s="463"/>
      <c r="CP172" s="459">
        <f t="shared" si="445"/>
        <v>0</v>
      </c>
      <c r="CQ172" s="459">
        <f t="shared" si="446"/>
        <v>0</v>
      </c>
      <c r="CR172" s="459">
        <f t="shared" si="447"/>
        <v>0</v>
      </c>
      <c r="CS172" s="459">
        <f t="shared" si="448"/>
        <v>0</v>
      </c>
      <c r="CT172" s="459">
        <f t="shared" si="449"/>
        <v>0</v>
      </c>
      <c r="CU172" s="459">
        <f t="shared" si="450"/>
        <v>0</v>
      </c>
      <c r="CV172" s="459">
        <f t="shared" si="451"/>
        <v>0</v>
      </c>
      <c r="CW172" s="459">
        <f t="shared" si="452"/>
        <v>0</v>
      </c>
      <c r="CX172" s="459">
        <f t="shared" si="453"/>
        <v>0</v>
      </c>
      <c r="CY172" s="459">
        <f t="shared" si="454"/>
        <v>0</v>
      </c>
      <c r="CZ172" s="460">
        <f t="shared" si="455"/>
        <v>0</v>
      </c>
      <c r="DA172" s="463"/>
      <c r="DB172" s="459">
        <f t="shared" si="456"/>
        <v>0</v>
      </c>
      <c r="DC172" s="459">
        <f t="shared" si="457"/>
        <v>0</v>
      </c>
      <c r="DD172" s="459">
        <f t="shared" si="458"/>
        <v>0</v>
      </c>
      <c r="DE172" s="459">
        <f t="shared" si="459"/>
        <v>0</v>
      </c>
      <c r="DF172" s="459">
        <f t="shared" si="460"/>
        <v>0</v>
      </c>
      <c r="DG172" s="459">
        <f t="shared" si="461"/>
        <v>0</v>
      </c>
      <c r="DH172" s="459">
        <f t="shared" si="462"/>
        <v>0</v>
      </c>
      <c r="DI172" s="459">
        <f t="shared" si="463"/>
        <v>0</v>
      </c>
      <c r="DJ172" s="459">
        <f t="shared" si="464"/>
        <v>0</v>
      </c>
      <c r="DK172" s="459">
        <f t="shared" si="465"/>
        <v>0</v>
      </c>
      <c r="DL172" s="460">
        <f t="shared" si="466"/>
        <v>0</v>
      </c>
      <c r="DM172" s="463"/>
      <c r="DN172" s="442">
        <f>IF('2. START'!$C$14&gt;0,(AT172/(1+$AA172))*(1+'2. START'!$C$14),AT172)</f>
        <v>0</v>
      </c>
      <c r="DO172" s="442">
        <f>IF('2. START'!$C$14&gt;0,(AU172/(1+$AA172))*(1+'2. START'!$C$14),AU172)</f>
        <v>0</v>
      </c>
      <c r="DP172" s="442">
        <f>IF('2. START'!$C$14&gt;0,(AV172/(1+$AA172))*(1+'2. START'!$C$14),AV172)</f>
        <v>0</v>
      </c>
      <c r="DQ172" s="442">
        <f>IF('2. START'!$C$14&gt;0,(AW172/(1+$AA172))*(1+'2. START'!$C$14),AW172)</f>
        <v>0</v>
      </c>
      <c r="DR172" s="442">
        <f>IF('2. START'!$C$14&gt;0,(AX172/(1+$AA172))*(1+'2. START'!$C$14),AX172)</f>
        <v>0</v>
      </c>
      <c r="DS172" s="442">
        <f>IF('2. START'!$C$14&gt;0,(AY172/(1+$AA172))*(1+'2. START'!$C$14),AY172)</f>
        <v>0</v>
      </c>
      <c r="DT172" s="442">
        <f>IF('2. START'!$C$14&gt;0,(AZ172/(1+$AA172))*(1+'2. START'!$C$14),AZ172)</f>
        <v>0</v>
      </c>
      <c r="DU172" s="442">
        <f>IF('2. START'!$C$14&gt;0,(BA172/(1+$AA172))*(1+'2. START'!$C$14),BA172)</f>
        <v>0</v>
      </c>
      <c r="DV172" s="442">
        <f>IF('2. START'!$C$14&gt;0,(BB172/(1+$AA172))*(1+'2. START'!$C$14),BB172)</f>
        <v>0</v>
      </c>
      <c r="DW172" s="442">
        <f>IF('2. START'!$C$14&gt;0,(BC172/(1+$AA172))*(1+'2. START'!$C$14),BC172)</f>
        <v>0</v>
      </c>
      <c r="DX172" s="460">
        <f t="shared" si="467"/>
        <v>0</v>
      </c>
      <c r="DY172" s="463"/>
      <c r="DZ172" s="459">
        <f>IF('2. START'!$C$11="NO",(IF('2. START'!$C$14&gt;0,(DN172*$AD172),(AT172*$AD172))),(BR172+CP172))</f>
        <v>0</v>
      </c>
      <c r="EA172" s="459">
        <f>IF('2. START'!$C$11="NO",(IF('2. START'!$C$14&gt;0,(DO172*$AD172),(AU172*$AD172))),(BS172+CQ172))</f>
        <v>0</v>
      </c>
      <c r="EB172" s="459">
        <f>IF('2. START'!$C$11="NO",(IF('2. START'!$C$14&gt;0,(DP172*$AD172),(AV172*$AD172))),(BT172+CR172))</f>
        <v>0</v>
      </c>
      <c r="EC172" s="459">
        <f>IF('2. START'!$C$11="NO",(IF('2. START'!$C$14&gt;0,(DQ172*$AD172),(AW172*$AD172))),(BU172+CS172))</f>
        <v>0</v>
      </c>
      <c r="ED172" s="459">
        <f>IF('2. START'!$C$11="NO",(IF('2. START'!$C$14&gt;0,(DR172*$AD172),(AX172*$AD172))),(BV172+CT172))</f>
        <v>0</v>
      </c>
      <c r="EE172" s="459">
        <f>IF('2. START'!$C$11="NO",(IF('2. START'!$C$14&gt;0,(DS172*$AD172),(AY172*$AD172))),(BW172+CU172))</f>
        <v>0</v>
      </c>
      <c r="EF172" s="459">
        <f>IF('2. START'!$C$11="NO",(IF('2. START'!$C$14&gt;0,(DT172*$AD172),(AZ172*$AD172))),(BX172+CV172))</f>
        <v>0</v>
      </c>
      <c r="EG172" s="459">
        <f>IF('2. START'!$C$11="NO",(IF('2. START'!$C$14&gt;0,(DU172*$AD172),(BA172*$AD172))),(BY172+CW172))</f>
        <v>0</v>
      </c>
      <c r="EH172" s="459">
        <f>IF('2. START'!$C$11="NO",(IF('2. START'!$C$14&gt;0,(DV172*$AD172),(BB172*$AD172))),(BZ172+CX172))</f>
        <v>0</v>
      </c>
      <c r="EI172" s="459">
        <f>IF('2. START'!$C$11="NO",(IF('2. START'!$C$14&gt;0,(DW172*$AD172),(BC172*$AD172))),(CA172+CY172))</f>
        <v>0</v>
      </c>
      <c r="EJ172" s="460">
        <f t="shared" si="468"/>
        <v>0</v>
      </c>
      <c r="EK172" s="463"/>
      <c r="EL172" s="459">
        <f>(BR172+CP172-DZ172)+IF('2. START'!$C$14&gt;0,AT172-DN172,0)</f>
        <v>0</v>
      </c>
      <c r="EM172" s="459">
        <f>(BS172+CQ172-EA172)+IF('2. START'!$C$14&gt;0,AU172-DO172,0)</f>
        <v>0</v>
      </c>
      <c r="EN172" s="459">
        <f>(BT172+CR172-EB172)+IF('2. START'!$C$14&gt;0,AV172-DP172,0)</f>
        <v>0</v>
      </c>
      <c r="EO172" s="459">
        <f>(BU172+CS172-EC172)+IF('2. START'!$C$14&gt;0,AW172-DQ172,0)</f>
        <v>0</v>
      </c>
      <c r="EP172" s="459">
        <f>(BV172+CT172-ED172)+IF('2. START'!$C$14&gt;0,AX172-DR172,0)</f>
        <v>0</v>
      </c>
      <c r="EQ172" s="459">
        <f>(BW172+CU172-EE172)+IF('2. START'!$C$14&gt;0,AY172-DS172,0)</f>
        <v>0</v>
      </c>
      <c r="ER172" s="459">
        <f>(BX172+CV172-EF172)+IF('2. START'!$C$14&gt;0,AZ172-DT172,0)</f>
        <v>0</v>
      </c>
      <c r="ES172" s="459">
        <f>(BY172+CW172-EG172)+IF('2. START'!$C$14&gt;0,BA172-DU172,0)</f>
        <v>0</v>
      </c>
      <c r="ET172" s="459">
        <f>(BZ172+CX172-EH172)+IF('2. START'!$C$14&gt;0,BB172-DV172,0)</f>
        <v>0</v>
      </c>
      <c r="EU172" s="459">
        <f>(CA172+CY172-EI172)+IF('2. START'!$C$14&gt;0,BC172-DW172,0)</f>
        <v>0</v>
      </c>
      <c r="EV172" s="460">
        <f t="shared" si="469"/>
        <v>0</v>
      </c>
      <c r="EW172" s="463"/>
      <c r="EX172" s="459">
        <f t="shared" si="470"/>
        <v>0</v>
      </c>
      <c r="EY172" s="459">
        <f t="shared" si="471"/>
        <v>0</v>
      </c>
      <c r="EZ172" s="459">
        <f t="shared" si="472"/>
        <v>0</v>
      </c>
      <c r="FA172" s="459">
        <f t="shared" si="473"/>
        <v>0</v>
      </c>
      <c r="FB172" s="459">
        <f t="shared" si="474"/>
        <v>0</v>
      </c>
      <c r="FC172" s="459">
        <f t="shared" si="475"/>
        <v>0</v>
      </c>
      <c r="FD172" s="459">
        <f t="shared" si="476"/>
        <v>0</v>
      </c>
      <c r="FE172" s="459">
        <f t="shared" si="477"/>
        <v>0</v>
      </c>
      <c r="FF172" s="459">
        <f t="shared" si="478"/>
        <v>0</v>
      </c>
      <c r="FG172" s="459">
        <f t="shared" si="479"/>
        <v>0</v>
      </c>
      <c r="FH172" s="460">
        <f t="shared" si="480"/>
        <v>0</v>
      </c>
      <c r="FI172" s="463"/>
      <c r="FJ172" s="459">
        <f t="shared" si="481"/>
        <v>0</v>
      </c>
      <c r="FK172" s="459">
        <f t="shared" si="482"/>
        <v>0</v>
      </c>
      <c r="FL172" s="459">
        <f t="shared" si="483"/>
        <v>0</v>
      </c>
      <c r="FM172" s="459">
        <f t="shared" si="484"/>
        <v>0</v>
      </c>
      <c r="FN172" s="459">
        <f t="shared" si="485"/>
        <v>0</v>
      </c>
      <c r="FO172" s="459">
        <f t="shared" si="486"/>
        <v>0</v>
      </c>
      <c r="FP172" s="459">
        <f t="shared" si="487"/>
        <v>0</v>
      </c>
      <c r="FQ172" s="459">
        <f t="shared" si="488"/>
        <v>0</v>
      </c>
      <c r="FR172" s="459">
        <f t="shared" si="489"/>
        <v>0</v>
      </c>
      <c r="FS172" s="459">
        <f t="shared" si="490"/>
        <v>0</v>
      </c>
      <c r="FT172" s="460">
        <f t="shared" si="491"/>
        <v>0</v>
      </c>
    </row>
    <row r="173" spans="2:176" s="270" customFormat="1" ht="15" customHeight="1" x14ac:dyDescent="0.25">
      <c r="B173" s="464" t="str">
        <f>'2. START'!C$7</f>
        <v>100GEM</v>
      </c>
      <c r="C173" s="470"/>
      <c r="D173" s="590"/>
      <c r="E173" s="514">
        <v>0</v>
      </c>
      <c r="F173" s="467"/>
      <c r="G173" s="432"/>
      <c r="H173" s="432"/>
      <c r="I173" s="432"/>
      <c r="J173" s="432"/>
      <c r="K173" s="432"/>
      <c r="L173" s="432"/>
      <c r="M173" s="432"/>
      <c r="N173" s="432"/>
      <c r="O173" s="432"/>
      <c r="P173" s="432"/>
      <c r="Q173" s="545">
        <f>SUMIF('3. PARTNER'!$B$13:$B$80,$B173,'3. PARTNER'!$F$13:$F$80)</f>
        <v>0.02</v>
      </c>
      <c r="R173" s="466">
        <f t="shared" si="492"/>
        <v>0.02</v>
      </c>
      <c r="S173" s="466">
        <f t="shared" si="492"/>
        <v>0.02</v>
      </c>
      <c r="T173" s="466">
        <f t="shared" si="492"/>
        <v>0.02</v>
      </c>
      <c r="U173" s="466">
        <f t="shared" si="492"/>
        <v>0.02</v>
      </c>
      <c r="V173" s="466">
        <f t="shared" si="492"/>
        <v>0.02</v>
      </c>
      <c r="W173" s="466">
        <f t="shared" si="492"/>
        <v>0.02</v>
      </c>
      <c r="X173" s="466">
        <f t="shared" si="492"/>
        <v>0.02</v>
      </c>
      <c r="Y173" s="466">
        <f t="shared" si="492"/>
        <v>0.02</v>
      </c>
      <c r="Z173" s="466">
        <f t="shared" si="492"/>
        <v>0.02</v>
      </c>
      <c r="AA173" s="434">
        <f>SUMIF('3. PARTNER'!B$13:B$80,B173,'3. PARTNER'!E$13:E$80)</f>
        <v>0.5595</v>
      </c>
      <c r="AB173" s="435">
        <f>IF('2. START'!$C$20="UTB",(SUMIF('3. PARTNER'!B$13:B$80,B173,'3. PARTNER'!K$13:K$80))+(SUMIF('3. PARTNER'!B$13:B$80,B173,'3. PARTNER'!M$13:M$80)),(SUMIF('3. PARTNER'!B$13:B$80,B173,'3. PARTNER'!G$13:G$80))+(SUMIF('3. PARTNER'!B$13:B$80,B173,'3. PARTNER'!I$13:I$80)))</f>
        <v>0.16000843770704321</v>
      </c>
      <c r="AC173" s="435">
        <f>IF('2. START'!$C$20="UTB",(SUMIF('3. PARTNER'!B$13:B$80,B173,'3. PARTNER'!L$13:L$80))+(SUMIF('3. PARTNER'!B$13:B$80,B173,'3. PARTNER'!N$13:N$80)),(SUMIF('3. PARTNER'!B$13:B$80,B173,'3. PARTNER'!H$13:H$80))+(SUMIF('3. PARTNER'!B$13:B$80,B173,'3. PARTNER'!J$13:J$80)))</f>
        <v>0</v>
      </c>
      <c r="AD173" s="435">
        <f>IF('2. START'!C$11="NO",'2. START'!C$12,0)</f>
        <v>0</v>
      </c>
      <c r="AE173" s="436">
        <f t="shared" si="388"/>
        <v>0</v>
      </c>
      <c r="AF173" s="436">
        <f t="shared" si="389"/>
        <v>0</v>
      </c>
      <c r="AG173" s="437"/>
      <c r="AH173" s="438">
        <f t="shared" si="390"/>
        <v>0</v>
      </c>
      <c r="AI173" s="438">
        <f t="shared" si="391"/>
        <v>0</v>
      </c>
      <c r="AJ173" s="438">
        <f t="shared" si="392"/>
        <v>0</v>
      </c>
      <c r="AK173" s="438">
        <f t="shared" si="393"/>
        <v>0</v>
      </c>
      <c r="AL173" s="438">
        <f t="shared" si="394"/>
        <v>0</v>
      </c>
      <c r="AM173" s="438">
        <f t="shared" si="395"/>
        <v>0</v>
      </c>
      <c r="AN173" s="438">
        <f t="shared" si="396"/>
        <v>0</v>
      </c>
      <c r="AO173" s="438">
        <f t="shared" si="397"/>
        <v>0</v>
      </c>
      <c r="AP173" s="438">
        <f t="shared" si="398"/>
        <v>0</v>
      </c>
      <c r="AQ173" s="438">
        <f t="shared" si="399"/>
        <v>0</v>
      </c>
      <c r="AR173" s="439">
        <f t="shared" si="400"/>
        <v>0</v>
      </c>
      <c r="AS173" s="440"/>
      <c r="AT173" s="438">
        <f t="shared" si="401"/>
        <v>0</v>
      </c>
      <c r="AU173" s="438">
        <f t="shared" si="402"/>
        <v>0</v>
      </c>
      <c r="AV173" s="438">
        <f t="shared" si="403"/>
        <v>0</v>
      </c>
      <c r="AW173" s="438">
        <f t="shared" si="404"/>
        <v>0</v>
      </c>
      <c r="AX173" s="438">
        <f t="shared" si="405"/>
        <v>0</v>
      </c>
      <c r="AY173" s="438">
        <f t="shared" si="406"/>
        <v>0</v>
      </c>
      <c r="AZ173" s="438">
        <f t="shared" si="407"/>
        <v>0</v>
      </c>
      <c r="BA173" s="438">
        <f t="shared" si="408"/>
        <v>0</v>
      </c>
      <c r="BB173" s="438">
        <f t="shared" si="409"/>
        <v>0</v>
      </c>
      <c r="BC173" s="438">
        <f t="shared" si="410"/>
        <v>0</v>
      </c>
      <c r="BD173" s="439">
        <f t="shared" si="411"/>
        <v>0</v>
      </c>
      <c r="BE173" s="440"/>
      <c r="BF173" s="438">
        <f t="shared" si="412"/>
        <v>0</v>
      </c>
      <c r="BG173" s="438">
        <f t="shared" si="413"/>
        <v>0</v>
      </c>
      <c r="BH173" s="438">
        <f t="shared" si="414"/>
        <v>0</v>
      </c>
      <c r="BI173" s="438">
        <f t="shared" si="415"/>
        <v>0</v>
      </c>
      <c r="BJ173" s="438">
        <f t="shared" si="416"/>
        <v>0</v>
      </c>
      <c r="BK173" s="438">
        <f t="shared" si="417"/>
        <v>0</v>
      </c>
      <c r="BL173" s="438">
        <f t="shared" si="418"/>
        <v>0</v>
      </c>
      <c r="BM173" s="438">
        <f t="shared" si="419"/>
        <v>0</v>
      </c>
      <c r="BN173" s="438">
        <f t="shared" si="420"/>
        <v>0</v>
      </c>
      <c r="BO173" s="438">
        <f t="shared" si="421"/>
        <v>0</v>
      </c>
      <c r="BP173" s="439">
        <f t="shared" si="422"/>
        <v>0</v>
      </c>
      <c r="BR173" s="442">
        <f t="shared" si="423"/>
        <v>0</v>
      </c>
      <c r="BS173" s="442">
        <f t="shared" si="424"/>
        <v>0</v>
      </c>
      <c r="BT173" s="442">
        <f t="shared" si="425"/>
        <v>0</v>
      </c>
      <c r="BU173" s="442">
        <f t="shared" si="426"/>
        <v>0</v>
      </c>
      <c r="BV173" s="442">
        <f t="shared" si="427"/>
        <v>0</v>
      </c>
      <c r="BW173" s="442">
        <f t="shared" si="428"/>
        <v>0</v>
      </c>
      <c r="BX173" s="442">
        <f t="shared" si="429"/>
        <v>0</v>
      </c>
      <c r="BY173" s="442">
        <f t="shared" si="430"/>
        <v>0</v>
      </c>
      <c r="BZ173" s="442">
        <f t="shared" si="431"/>
        <v>0</v>
      </c>
      <c r="CA173" s="442">
        <f t="shared" si="432"/>
        <v>0</v>
      </c>
      <c r="CB173" s="443">
        <f t="shared" si="433"/>
        <v>0</v>
      </c>
      <c r="CD173" s="445">
        <f t="shared" si="434"/>
        <v>0</v>
      </c>
      <c r="CE173" s="445">
        <f t="shared" si="435"/>
        <v>0</v>
      </c>
      <c r="CF173" s="445">
        <f t="shared" si="436"/>
        <v>0</v>
      </c>
      <c r="CG173" s="445">
        <f t="shared" si="437"/>
        <v>0</v>
      </c>
      <c r="CH173" s="445">
        <f t="shared" si="438"/>
        <v>0</v>
      </c>
      <c r="CI173" s="445">
        <f t="shared" si="439"/>
        <v>0</v>
      </c>
      <c r="CJ173" s="445">
        <f t="shared" si="440"/>
        <v>0</v>
      </c>
      <c r="CK173" s="445">
        <f t="shared" si="441"/>
        <v>0</v>
      </c>
      <c r="CL173" s="445">
        <f t="shared" si="442"/>
        <v>0</v>
      </c>
      <c r="CM173" s="445">
        <f t="shared" si="443"/>
        <v>0</v>
      </c>
      <c r="CN173" s="443">
        <f t="shared" si="444"/>
        <v>0</v>
      </c>
      <c r="CP173" s="442">
        <f t="shared" si="445"/>
        <v>0</v>
      </c>
      <c r="CQ173" s="442">
        <f t="shared" si="446"/>
        <v>0</v>
      </c>
      <c r="CR173" s="442">
        <f t="shared" si="447"/>
        <v>0</v>
      </c>
      <c r="CS173" s="442">
        <f t="shared" si="448"/>
        <v>0</v>
      </c>
      <c r="CT173" s="442">
        <f t="shared" si="449"/>
        <v>0</v>
      </c>
      <c r="CU173" s="442">
        <f t="shared" si="450"/>
        <v>0</v>
      </c>
      <c r="CV173" s="442">
        <f t="shared" si="451"/>
        <v>0</v>
      </c>
      <c r="CW173" s="442">
        <f t="shared" si="452"/>
        <v>0</v>
      </c>
      <c r="CX173" s="442">
        <f t="shared" si="453"/>
        <v>0</v>
      </c>
      <c r="CY173" s="442">
        <f t="shared" si="454"/>
        <v>0</v>
      </c>
      <c r="CZ173" s="443">
        <f t="shared" si="455"/>
        <v>0</v>
      </c>
      <c r="DB173" s="442">
        <f t="shared" si="456"/>
        <v>0</v>
      </c>
      <c r="DC173" s="442">
        <f t="shared" si="457"/>
        <v>0</v>
      </c>
      <c r="DD173" s="442">
        <f t="shared" si="458"/>
        <v>0</v>
      </c>
      <c r="DE173" s="442">
        <f t="shared" si="459"/>
        <v>0</v>
      </c>
      <c r="DF173" s="442">
        <f t="shared" si="460"/>
        <v>0</v>
      </c>
      <c r="DG173" s="442">
        <f t="shared" si="461"/>
        <v>0</v>
      </c>
      <c r="DH173" s="442">
        <f t="shared" si="462"/>
        <v>0</v>
      </c>
      <c r="DI173" s="442">
        <f t="shared" si="463"/>
        <v>0</v>
      </c>
      <c r="DJ173" s="442">
        <f t="shared" si="464"/>
        <v>0</v>
      </c>
      <c r="DK173" s="442">
        <f t="shared" si="465"/>
        <v>0</v>
      </c>
      <c r="DL173" s="443">
        <f t="shared" si="466"/>
        <v>0</v>
      </c>
      <c r="DN173" s="442">
        <f>IF('2. START'!$C$14&gt;0,(AT173/(1+$AA173))*(1+'2. START'!$C$14),AT173)</f>
        <v>0</v>
      </c>
      <c r="DO173" s="442">
        <f>IF('2. START'!$C$14&gt;0,(AU173/(1+$AA173))*(1+'2. START'!$C$14),AU173)</f>
        <v>0</v>
      </c>
      <c r="DP173" s="442">
        <f>IF('2. START'!$C$14&gt;0,(AV173/(1+$AA173))*(1+'2. START'!$C$14),AV173)</f>
        <v>0</v>
      </c>
      <c r="DQ173" s="442">
        <f>IF('2. START'!$C$14&gt;0,(AW173/(1+$AA173))*(1+'2. START'!$C$14),AW173)</f>
        <v>0</v>
      </c>
      <c r="DR173" s="442">
        <f>IF('2. START'!$C$14&gt;0,(AX173/(1+$AA173))*(1+'2. START'!$C$14),AX173)</f>
        <v>0</v>
      </c>
      <c r="DS173" s="442">
        <f>IF('2. START'!$C$14&gt;0,(AY173/(1+$AA173))*(1+'2. START'!$C$14),AY173)</f>
        <v>0</v>
      </c>
      <c r="DT173" s="442">
        <f>IF('2. START'!$C$14&gt;0,(AZ173/(1+$AA173))*(1+'2. START'!$C$14),AZ173)</f>
        <v>0</v>
      </c>
      <c r="DU173" s="442">
        <f>IF('2. START'!$C$14&gt;0,(BA173/(1+$AA173))*(1+'2. START'!$C$14),BA173)</f>
        <v>0</v>
      </c>
      <c r="DV173" s="442">
        <f>IF('2. START'!$C$14&gt;0,(BB173/(1+$AA173))*(1+'2. START'!$C$14),BB173)</f>
        <v>0</v>
      </c>
      <c r="DW173" s="442">
        <f>IF('2. START'!$C$14&gt;0,(BC173/(1+$AA173))*(1+'2. START'!$C$14),BC173)</f>
        <v>0</v>
      </c>
      <c r="DX173" s="443">
        <f t="shared" si="467"/>
        <v>0</v>
      </c>
      <c r="DZ173" s="442">
        <f>IF('2. START'!$C$11="NO",(IF('2. START'!$C$14&gt;0,(DN173*$AD173),(AT173*$AD173))),(BR173+CP173))</f>
        <v>0</v>
      </c>
      <c r="EA173" s="442">
        <f>IF('2. START'!$C$11="NO",(IF('2. START'!$C$14&gt;0,(DO173*$AD173),(AU173*$AD173))),(BS173+CQ173))</f>
        <v>0</v>
      </c>
      <c r="EB173" s="442">
        <f>IF('2. START'!$C$11="NO",(IF('2. START'!$C$14&gt;0,(DP173*$AD173),(AV173*$AD173))),(BT173+CR173))</f>
        <v>0</v>
      </c>
      <c r="EC173" s="442">
        <f>IF('2. START'!$C$11="NO",(IF('2. START'!$C$14&gt;0,(DQ173*$AD173),(AW173*$AD173))),(BU173+CS173))</f>
        <v>0</v>
      </c>
      <c r="ED173" s="442">
        <f>IF('2. START'!$C$11="NO",(IF('2. START'!$C$14&gt;0,(DR173*$AD173),(AX173*$AD173))),(BV173+CT173))</f>
        <v>0</v>
      </c>
      <c r="EE173" s="442">
        <f>IF('2. START'!$C$11="NO",(IF('2. START'!$C$14&gt;0,(DS173*$AD173),(AY173*$AD173))),(BW173+CU173))</f>
        <v>0</v>
      </c>
      <c r="EF173" s="442">
        <f>IF('2. START'!$C$11="NO",(IF('2. START'!$C$14&gt;0,(DT173*$AD173),(AZ173*$AD173))),(BX173+CV173))</f>
        <v>0</v>
      </c>
      <c r="EG173" s="442">
        <f>IF('2. START'!$C$11="NO",(IF('2. START'!$C$14&gt;0,(DU173*$AD173),(BA173*$AD173))),(BY173+CW173))</f>
        <v>0</v>
      </c>
      <c r="EH173" s="442">
        <f>IF('2. START'!$C$11="NO",(IF('2. START'!$C$14&gt;0,(DV173*$AD173),(BB173*$AD173))),(BZ173+CX173))</f>
        <v>0</v>
      </c>
      <c r="EI173" s="442">
        <f>IF('2. START'!$C$11="NO",(IF('2. START'!$C$14&gt;0,(DW173*$AD173),(BC173*$AD173))),(CA173+CY173))</f>
        <v>0</v>
      </c>
      <c r="EJ173" s="443">
        <f t="shared" si="468"/>
        <v>0</v>
      </c>
      <c r="EL173" s="442">
        <f>(BR173+CP173-DZ173)+IF('2. START'!$C$14&gt;0,AT173-DN173,0)</f>
        <v>0</v>
      </c>
      <c r="EM173" s="442">
        <f>(BS173+CQ173-EA173)+IF('2. START'!$C$14&gt;0,AU173-DO173,0)</f>
        <v>0</v>
      </c>
      <c r="EN173" s="442">
        <f>(BT173+CR173-EB173)+IF('2. START'!$C$14&gt;0,AV173-DP173,0)</f>
        <v>0</v>
      </c>
      <c r="EO173" s="442">
        <f>(BU173+CS173-EC173)+IF('2. START'!$C$14&gt;0,AW173-DQ173,0)</f>
        <v>0</v>
      </c>
      <c r="EP173" s="442">
        <f>(BV173+CT173-ED173)+IF('2. START'!$C$14&gt;0,AX173-DR173,0)</f>
        <v>0</v>
      </c>
      <c r="EQ173" s="442">
        <f>(BW173+CU173-EE173)+IF('2. START'!$C$14&gt;0,AY173-DS173,0)</f>
        <v>0</v>
      </c>
      <c r="ER173" s="442">
        <f>(BX173+CV173-EF173)+IF('2. START'!$C$14&gt;0,AZ173-DT173,0)</f>
        <v>0</v>
      </c>
      <c r="ES173" s="442">
        <f>(BY173+CW173-EG173)+IF('2. START'!$C$14&gt;0,BA173-DU173,0)</f>
        <v>0</v>
      </c>
      <c r="ET173" s="442">
        <f>(BZ173+CX173-EH173)+IF('2. START'!$C$14&gt;0,BB173-DV173,0)</f>
        <v>0</v>
      </c>
      <c r="EU173" s="442">
        <f>(CA173+CY173-EI173)+IF('2. START'!$C$14&gt;0,BC173-DW173,0)</f>
        <v>0</v>
      </c>
      <c r="EV173" s="443">
        <f t="shared" si="469"/>
        <v>0</v>
      </c>
      <c r="EX173" s="442">
        <f t="shared" si="470"/>
        <v>0</v>
      </c>
      <c r="EY173" s="442">
        <f t="shared" si="471"/>
        <v>0</v>
      </c>
      <c r="EZ173" s="442">
        <f t="shared" si="472"/>
        <v>0</v>
      </c>
      <c r="FA173" s="442">
        <f t="shared" si="473"/>
        <v>0</v>
      </c>
      <c r="FB173" s="442">
        <f t="shared" si="474"/>
        <v>0</v>
      </c>
      <c r="FC173" s="442">
        <f t="shared" si="475"/>
        <v>0</v>
      </c>
      <c r="FD173" s="442">
        <f t="shared" si="476"/>
        <v>0</v>
      </c>
      <c r="FE173" s="442">
        <f t="shared" si="477"/>
        <v>0</v>
      </c>
      <c r="FF173" s="442">
        <f t="shared" si="478"/>
        <v>0</v>
      </c>
      <c r="FG173" s="442">
        <f t="shared" si="479"/>
        <v>0</v>
      </c>
      <c r="FH173" s="443">
        <f t="shared" si="480"/>
        <v>0</v>
      </c>
      <c r="FJ173" s="442">
        <f t="shared" si="481"/>
        <v>0</v>
      </c>
      <c r="FK173" s="442">
        <f t="shared" si="482"/>
        <v>0</v>
      </c>
      <c r="FL173" s="442">
        <f t="shared" si="483"/>
        <v>0</v>
      </c>
      <c r="FM173" s="442">
        <f t="shared" si="484"/>
        <v>0</v>
      </c>
      <c r="FN173" s="442">
        <f t="shared" si="485"/>
        <v>0</v>
      </c>
      <c r="FO173" s="442">
        <f t="shared" si="486"/>
        <v>0</v>
      </c>
      <c r="FP173" s="442">
        <f t="shared" si="487"/>
        <v>0</v>
      </c>
      <c r="FQ173" s="442">
        <f t="shared" si="488"/>
        <v>0</v>
      </c>
      <c r="FR173" s="442">
        <f t="shared" si="489"/>
        <v>0</v>
      </c>
      <c r="FS173" s="442">
        <f t="shared" si="490"/>
        <v>0</v>
      </c>
      <c r="FT173" s="443">
        <f t="shared" si="491"/>
        <v>0</v>
      </c>
    </row>
    <row r="174" spans="2:176" s="270" customFormat="1" ht="15" customHeight="1" x14ac:dyDescent="0.25">
      <c r="B174" s="446" t="str">
        <f>'2. START'!C$7</f>
        <v>100GEM</v>
      </c>
      <c r="C174" s="469"/>
      <c r="D174" s="589"/>
      <c r="E174" s="544">
        <v>0</v>
      </c>
      <c r="F174" s="448"/>
      <c r="G174" s="449"/>
      <c r="H174" s="449"/>
      <c r="I174" s="449"/>
      <c r="J174" s="449"/>
      <c r="K174" s="449"/>
      <c r="L174" s="449"/>
      <c r="M174" s="449"/>
      <c r="N174" s="449"/>
      <c r="O174" s="449"/>
      <c r="P174" s="449"/>
      <c r="Q174" s="546">
        <f>SUMIF('3. PARTNER'!$B$13:$B$80,$B174,'3. PARTNER'!$F$13:$F$80)</f>
        <v>0.02</v>
      </c>
      <c r="R174" s="450">
        <f t="shared" si="492"/>
        <v>0.02</v>
      </c>
      <c r="S174" s="450">
        <f t="shared" si="492"/>
        <v>0.02</v>
      </c>
      <c r="T174" s="450">
        <f t="shared" si="492"/>
        <v>0.02</v>
      </c>
      <c r="U174" s="450">
        <f t="shared" si="492"/>
        <v>0.02</v>
      </c>
      <c r="V174" s="450">
        <f t="shared" si="492"/>
        <v>0.02</v>
      </c>
      <c r="W174" s="450">
        <f t="shared" si="492"/>
        <v>0.02</v>
      </c>
      <c r="X174" s="450">
        <f t="shared" si="492"/>
        <v>0.02</v>
      </c>
      <c r="Y174" s="450">
        <f t="shared" si="492"/>
        <v>0.02</v>
      </c>
      <c r="Z174" s="450">
        <f t="shared" si="492"/>
        <v>0.02</v>
      </c>
      <c r="AA174" s="451">
        <f>SUMIF('3. PARTNER'!B$13:B$80,B174,'3. PARTNER'!E$13:E$80)</f>
        <v>0.5595</v>
      </c>
      <c r="AB174" s="452">
        <f>IF('2. START'!$C$20="UTB",(SUMIF('3. PARTNER'!B$13:B$80,B174,'3. PARTNER'!K$13:K$80))+(SUMIF('3. PARTNER'!B$13:B$80,B174,'3. PARTNER'!M$13:M$80)),(SUMIF('3. PARTNER'!B$13:B$80,B174,'3. PARTNER'!G$13:G$80))+(SUMIF('3. PARTNER'!B$13:B$80,B174,'3. PARTNER'!I$13:I$80)))</f>
        <v>0.16000843770704321</v>
      </c>
      <c r="AC174" s="452">
        <f>IF('2. START'!$C$20="UTB",(SUMIF('3. PARTNER'!B$13:B$80,B174,'3. PARTNER'!L$13:L$80))+(SUMIF('3. PARTNER'!B$13:B$80,B174,'3. PARTNER'!N$13:N$80)),(SUMIF('3. PARTNER'!B$13:B$80,B174,'3. PARTNER'!H$13:H$80))+(SUMIF('3. PARTNER'!B$13:B$80,B174,'3. PARTNER'!J$13:J$80)))</f>
        <v>0</v>
      </c>
      <c r="AD174" s="452">
        <f>IF('2. START'!C$11="NO",'2. START'!C$12,0)</f>
        <v>0</v>
      </c>
      <c r="AE174" s="453">
        <f t="shared" si="388"/>
        <v>0</v>
      </c>
      <c r="AF174" s="453">
        <f t="shared" si="389"/>
        <v>0</v>
      </c>
      <c r="AG174" s="454"/>
      <c r="AH174" s="455">
        <f t="shared" si="390"/>
        <v>0</v>
      </c>
      <c r="AI174" s="455">
        <f t="shared" si="391"/>
        <v>0</v>
      </c>
      <c r="AJ174" s="455">
        <f t="shared" si="392"/>
        <v>0</v>
      </c>
      <c r="AK174" s="455">
        <f t="shared" si="393"/>
        <v>0</v>
      </c>
      <c r="AL174" s="455">
        <f t="shared" si="394"/>
        <v>0</v>
      </c>
      <c r="AM174" s="455">
        <f t="shared" si="395"/>
        <v>0</v>
      </c>
      <c r="AN174" s="455">
        <f t="shared" si="396"/>
        <v>0</v>
      </c>
      <c r="AO174" s="455">
        <f t="shared" si="397"/>
        <v>0</v>
      </c>
      <c r="AP174" s="455">
        <f t="shared" si="398"/>
        <v>0</v>
      </c>
      <c r="AQ174" s="455">
        <f t="shared" si="399"/>
        <v>0</v>
      </c>
      <c r="AR174" s="456">
        <f t="shared" si="400"/>
        <v>0</v>
      </c>
      <c r="AS174" s="457"/>
      <c r="AT174" s="455">
        <f t="shared" si="401"/>
        <v>0</v>
      </c>
      <c r="AU174" s="455">
        <f t="shared" si="402"/>
        <v>0</v>
      </c>
      <c r="AV174" s="455">
        <f t="shared" si="403"/>
        <v>0</v>
      </c>
      <c r="AW174" s="455">
        <f t="shared" si="404"/>
        <v>0</v>
      </c>
      <c r="AX174" s="455">
        <f t="shared" si="405"/>
        <v>0</v>
      </c>
      <c r="AY174" s="455">
        <f t="shared" si="406"/>
        <v>0</v>
      </c>
      <c r="AZ174" s="455">
        <f t="shared" si="407"/>
        <v>0</v>
      </c>
      <c r="BA174" s="455">
        <f t="shared" si="408"/>
        <v>0</v>
      </c>
      <c r="BB174" s="455">
        <f t="shared" si="409"/>
        <v>0</v>
      </c>
      <c r="BC174" s="455">
        <f t="shared" si="410"/>
        <v>0</v>
      </c>
      <c r="BD174" s="456">
        <f t="shared" si="411"/>
        <v>0</v>
      </c>
      <c r="BE174" s="457"/>
      <c r="BF174" s="455">
        <f t="shared" si="412"/>
        <v>0</v>
      </c>
      <c r="BG174" s="455">
        <f t="shared" si="413"/>
        <v>0</v>
      </c>
      <c r="BH174" s="455">
        <f t="shared" si="414"/>
        <v>0</v>
      </c>
      <c r="BI174" s="455">
        <f t="shared" si="415"/>
        <v>0</v>
      </c>
      <c r="BJ174" s="455">
        <f t="shared" si="416"/>
        <v>0</v>
      </c>
      <c r="BK174" s="455">
        <f t="shared" si="417"/>
        <v>0</v>
      </c>
      <c r="BL174" s="455">
        <f t="shared" si="418"/>
        <v>0</v>
      </c>
      <c r="BM174" s="455">
        <f t="shared" si="419"/>
        <v>0</v>
      </c>
      <c r="BN174" s="455">
        <f t="shared" si="420"/>
        <v>0</v>
      </c>
      <c r="BO174" s="455">
        <f t="shared" si="421"/>
        <v>0</v>
      </c>
      <c r="BP174" s="456">
        <f t="shared" si="422"/>
        <v>0</v>
      </c>
      <c r="BQ174" s="463"/>
      <c r="BR174" s="459">
        <f t="shared" si="423"/>
        <v>0</v>
      </c>
      <c r="BS174" s="459">
        <f t="shared" si="424"/>
        <v>0</v>
      </c>
      <c r="BT174" s="459">
        <f t="shared" si="425"/>
        <v>0</v>
      </c>
      <c r="BU174" s="459">
        <f t="shared" si="426"/>
        <v>0</v>
      </c>
      <c r="BV174" s="459">
        <f t="shared" si="427"/>
        <v>0</v>
      </c>
      <c r="BW174" s="459">
        <f t="shared" si="428"/>
        <v>0</v>
      </c>
      <c r="BX174" s="459">
        <f t="shared" si="429"/>
        <v>0</v>
      </c>
      <c r="BY174" s="459">
        <f t="shared" si="430"/>
        <v>0</v>
      </c>
      <c r="BZ174" s="459">
        <f t="shared" si="431"/>
        <v>0</v>
      </c>
      <c r="CA174" s="459">
        <f t="shared" si="432"/>
        <v>0</v>
      </c>
      <c r="CB174" s="460">
        <f t="shared" si="433"/>
        <v>0</v>
      </c>
      <c r="CC174" s="463"/>
      <c r="CD174" s="462">
        <f t="shared" si="434"/>
        <v>0</v>
      </c>
      <c r="CE174" s="462">
        <f t="shared" si="435"/>
        <v>0</v>
      </c>
      <c r="CF174" s="462">
        <f t="shared" si="436"/>
        <v>0</v>
      </c>
      <c r="CG174" s="462">
        <f t="shared" si="437"/>
        <v>0</v>
      </c>
      <c r="CH174" s="462">
        <f t="shared" si="438"/>
        <v>0</v>
      </c>
      <c r="CI174" s="462">
        <f t="shared" si="439"/>
        <v>0</v>
      </c>
      <c r="CJ174" s="462">
        <f t="shared" si="440"/>
        <v>0</v>
      </c>
      <c r="CK174" s="462">
        <f t="shared" si="441"/>
        <v>0</v>
      </c>
      <c r="CL174" s="462">
        <f t="shared" si="442"/>
        <v>0</v>
      </c>
      <c r="CM174" s="462">
        <f t="shared" si="443"/>
        <v>0</v>
      </c>
      <c r="CN174" s="460">
        <f t="shared" si="444"/>
        <v>0</v>
      </c>
      <c r="CO174" s="463"/>
      <c r="CP174" s="459">
        <f t="shared" si="445"/>
        <v>0</v>
      </c>
      <c r="CQ174" s="459">
        <f t="shared" si="446"/>
        <v>0</v>
      </c>
      <c r="CR174" s="459">
        <f t="shared" si="447"/>
        <v>0</v>
      </c>
      <c r="CS174" s="459">
        <f t="shared" si="448"/>
        <v>0</v>
      </c>
      <c r="CT174" s="459">
        <f t="shared" si="449"/>
        <v>0</v>
      </c>
      <c r="CU174" s="459">
        <f t="shared" si="450"/>
        <v>0</v>
      </c>
      <c r="CV174" s="459">
        <f t="shared" si="451"/>
        <v>0</v>
      </c>
      <c r="CW174" s="459">
        <f t="shared" si="452"/>
        <v>0</v>
      </c>
      <c r="CX174" s="459">
        <f t="shared" si="453"/>
        <v>0</v>
      </c>
      <c r="CY174" s="459">
        <f t="shared" si="454"/>
        <v>0</v>
      </c>
      <c r="CZ174" s="460">
        <f t="shared" si="455"/>
        <v>0</v>
      </c>
      <c r="DA174" s="463"/>
      <c r="DB174" s="459">
        <f t="shared" si="456"/>
        <v>0</v>
      </c>
      <c r="DC174" s="459">
        <f t="shared" si="457"/>
        <v>0</v>
      </c>
      <c r="DD174" s="459">
        <f t="shared" si="458"/>
        <v>0</v>
      </c>
      <c r="DE174" s="459">
        <f t="shared" si="459"/>
        <v>0</v>
      </c>
      <c r="DF174" s="459">
        <f t="shared" si="460"/>
        <v>0</v>
      </c>
      <c r="DG174" s="459">
        <f t="shared" si="461"/>
        <v>0</v>
      </c>
      <c r="DH174" s="459">
        <f t="shared" si="462"/>
        <v>0</v>
      </c>
      <c r="DI174" s="459">
        <f t="shared" si="463"/>
        <v>0</v>
      </c>
      <c r="DJ174" s="459">
        <f t="shared" si="464"/>
        <v>0</v>
      </c>
      <c r="DK174" s="459">
        <f t="shared" si="465"/>
        <v>0</v>
      </c>
      <c r="DL174" s="460">
        <f t="shared" si="466"/>
        <v>0</v>
      </c>
      <c r="DM174" s="463"/>
      <c r="DN174" s="442">
        <f>IF('2. START'!$C$14&gt;0,(AT174/(1+$AA174))*(1+'2. START'!$C$14),AT174)</f>
        <v>0</v>
      </c>
      <c r="DO174" s="442">
        <f>IF('2. START'!$C$14&gt;0,(AU174/(1+$AA174))*(1+'2. START'!$C$14),AU174)</f>
        <v>0</v>
      </c>
      <c r="DP174" s="442">
        <f>IF('2. START'!$C$14&gt;0,(AV174/(1+$AA174))*(1+'2. START'!$C$14),AV174)</f>
        <v>0</v>
      </c>
      <c r="DQ174" s="442">
        <f>IF('2. START'!$C$14&gt;0,(AW174/(1+$AA174))*(1+'2. START'!$C$14),AW174)</f>
        <v>0</v>
      </c>
      <c r="DR174" s="442">
        <f>IF('2. START'!$C$14&gt;0,(AX174/(1+$AA174))*(1+'2. START'!$C$14),AX174)</f>
        <v>0</v>
      </c>
      <c r="DS174" s="442">
        <f>IF('2. START'!$C$14&gt;0,(AY174/(1+$AA174))*(1+'2. START'!$C$14),AY174)</f>
        <v>0</v>
      </c>
      <c r="DT174" s="442">
        <f>IF('2. START'!$C$14&gt;0,(AZ174/(1+$AA174))*(1+'2. START'!$C$14),AZ174)</f>
        <v>0</v>
      </c>
      <c r="DU174" s="442">
        <f>IF('2. START'!$C$14&gt;0,(BA174/(1+$AA174))*(1+'2. START'!$C$14),BA174)</f>
        <v>0</v>
      </c>
      <c r="DV174" s="442">
        <f>IF('2. START'!$C$14&gt;0,(BB174/(1+$AA174))*(1+'2. START'!$C$14),BB174)</f>
        <v>0</v>
      </c>
      <c r="DW174" s="442">
        <f>IF('2. START'!$C$14&gt;0,(BC174/(1+$AA174))*(1+'2. START'!$C$14),BC174)</f>
        <v>0</v>
      </c>
      <c r="DX174" s="460">
        <f t="shared" si="467"/>
        <v>0</v>
      </c>
      <c r="DY174" s="463"/>
      <c r="DZ174" s="459">
        <f>IF('2. START'!$C$11="NO",(IF('2. START'!$C$14&gt;0,(DN174*$AD174),(AT174*$AD174))),(BR174+CP174))</f>
        <v>0</v>
      </c>
      <c r="EA174" s="459">
        <f>IF('2. START'!$C$11="NO",(IF('2. START'!$C$14&gt;0,(DO174*$AD174),(AU174*$AD174))),(BS174+CQ174))</f>
        <v>0</v>
      </c>
      <c r="EB174" s="459">
        <f>IF('2. START'!$C$11="NO",(IF('2. START'!$C$14&gt;0,(DP174*$AD174),(AV174*$AD174))),(BT174+CR174))</f>
        <v>0</v>
      </c>
      <c r="EC174" s="459">
        <f>IF('2. START'!$C$11="NO",(IF('2. START'!$C$14&gt;0,(DQ174*$AD174),(AW174*$AD174))),(BU174+CS174))</f>
        <v>0</v>
      </c>
      <c r="ED174" s="459">
        <f>IF('2. START'!$C$11="NO",(IF('2. START'!$C$14&gt;0,(DR174*$AD174),(AX174*$AD174))),(BV174+CT174))</f>
        <v>0</v>
      </c>
      <c r="EE174" s="459">
        <f>IF('2. START'!$C$11="NO",(IF('2. START'!$C$14&gt;0,(DS174*$AD174),(AY174*$AD174))),(BW174+CU174))</f>
        <v>0</v>
      </c>
      <c r="EF174" s="459">
        <f>IF('2. START'!$C$11="NO",(IF('2. START'!$C$14&gt;0,(DT174*$AD174),(AZ174*$AD174))),(BX174+CV174))</f>
        <v>0</v>
      </c>
      <c r="EG174" s="459">
        <f>IF('2. START'!$C$11="NO",(IF('2. START'!$C$14&gt;0,(DU174*$AD174),(BA174*$AD174))),(BY174+CW174))</f>
        <v>0</v>
      </c>
      <c r="EH174" s="459">
        <f>IF('2. START'!$C$11="NO",(IF('2. START'!$C$14&gt;0,(DV174*$AD174),(BB174*$AD174))),(BZ174+CX174))</f>
        <v>0</v>
      </c>
      <c r="EI174" s="459">
        <f>IF('2. START'!$C$11="NO",(IF('2. START'!$C$14&gt;0,(DW174*$AD174),(BC174*$AD174))),(CA174+CY174))</f>
        <v>0</v>
      </c>
      <c r="EJ174" s="460">
        <f t="shared" si="468"/>
        <v>0</v>
      </c>
      <c r="EK174" s="463"/>
      <c r="EL174" s="459">
        <f>(BR174+CP174-DZ174)+IF('2. START'!$C$14&gt;0,AT174-DN174,0)</f>
        <v>0</v>
      </c>
      <c r="EM174" s="459">
        <f>(BS174+CQ174-EA174)+IF('2. START'!$C$14&gt;0,AU174-DO174,0)</f>
        <v>0</v>
      </c>
      <c r="EN174" s="459">
        <f>(BT174+CR174-EB174)+IF('2. START'!$C$14&gt;0,AV174-DP174,0)</f>
        <v>0</v>
      </c>
      <c r="EO174" s="459">
        <f>(BU174+CS174-EC174)+IF('2. START'!$C$14&gt;0,AW174-DQ174,0)</f>
        <v>0</v>
      </c>
      <c r="EP174" s="459">
        <f>(BV174+CT174-ED174)+IF('2. START'!$C$14&gt;0,AX174-DR174,0)</f>
        <v>0</v>
      </c>
      <c r="EQ174" s="459">
        <f>(BW174+CU174-EE174)+IF('2. START'!$C$14&gt;0,AY174-DS174,0)</f>
        <v>0</v>
      </c>
      <c r="ER174" s="459">
        <f>(BX174+CV174-EF174)+IF('2. START'!$C$14&gt;0,AZ174-DT174,0)</f>
        <v>0</v>
      </c>
      <c r="ES174" s="459">
        <f>(BY174+CW174-EG174)+IF('2. START'!$C$14&gt;0,BA174-DU174,0)</f>
        <v>0</v>
      </c>
      <c r="ET174" s="459">
        <f>(BZ174+CX174-EH174)+IF('2. START'!$C$14&gt;0,BB174-DV174,0)</f>
        <v>0</v>
      </c>
      <c r="EU174" s="459">
        <f>(CA174+CY174-EI174)+IF('2. START'!$C$14&gt;0,BC174-DW174,0)</f>
        <v>0</v>
      </c>
      <c r="EV174" s="460">
        <f t="shared" si="469"/>
        <v>0</v>
      </c>
      <c r="EW174" s="463"/>
      <c r="EX174" s="459">
        <f t="shared" si="470"/>
        <v>0</v>
      </c>
      <c r="EY174" s="459">
        <f t="shared" si="471"/>
        <v>0</v>
      </c>
      <c r="EZ174" s="459">
        <f t="shared" si="472"/>
        <v>0</v>
      </c>
      <c r="FA174" s="459">
        <f t="shared" si="473"/>
        <v>0</v>
      </c>
      <c r="FB174" s="459">
        <f t="shared" si="474"/>
        <v>0</v>
      </c>
      <c r="FC174" s="459">
        <f t="shared" si="475"/>
        <v>0</v>
      </c>
      <c r="FD174" s="459">
        <f t="shared" si="476"/>
        <v>0</v>
      </c>
      <c r="FE174" s="459">
        <f t="shared" si="477"/>
        <v>0</v>
      </c>
      <c r="FF174" s="459">
        <f t="shared" si="478"/>
        <v>0</v>
      </c>
      <c r="FG174" s="459">
        <f t="shared" si="479"/>
        <v>0</v>
      </c>
      <c r="FH174" s="460">
        <f t="shared" si="480"/>
        <v>0</v>
      </c>
      <c r="FI174" s="463"/>
      <c r="FJ174" s="459">
        <f t="shared" si="481"/>
        <v>0</v>
      </c>
      <c r="FK174" s="459">
        <f t="shared" si="482"/>
        <v>0</v>
      </c>
      <c r="FL174" s="459">
        <f t="shared" si="483"/>
        <v>0</v>
      </c>
      <c r="FM174" s="459">
        <f t="shared" si="484"/>
        <v>0</v>
      </c>
      <c r="FN174" s="459">
        <f t="shared" si="485"/>
        <v>0</v>
      </c>
      <c r="FO174" s="459">
        <f t="shared" si="486"/>
        <v>0</v>
      </c>
      <c r="FP174" s="459">
        <f t="shared" si="487"/>
        <v>0</v>
      </c>
      <c r="FQ174" s="459">
        <f t="shared" si="488"/>
        <v>0</v>
      </c>
      <c r="FR174" s="459">
        <f t="shared" si="489"/>
        <v>0</v>
      </c>
      <c r="FS174" s="459">
        <f t="shared" si="490"/>
        <v>0</v>
      </c>
      <c r="FT174" s="460">
        <f t="shared" si="491"/>
        <v>0</v>
      </c>
    </row>
    <row r="175" spans="2:176" s="270" customFormat="1" ht="15" customHeight="1" x14ac:dyDescent="0.25">
      <c r="B175" s="464" t="str">
        <f>'2. START'!C$7</f>
        <v>100GEM</v>
      </c>
      <c r="C175" s="470"/>
      <c r="D175" s="590"/>
      <c r="E175" s="514">
        <v>0</v>
      </c>
      <c r="F175" s="467"/>
      <c r="G175" s="432"/>
      <c r="H175" s="432"/>
      <c r="I175" s="432"/>
      <c r="J175" s="432"/>
      <c r="K175" s="432"/>
      <c r="L175" s="432"/>
      <c r="M175" s="432"/>
      <c r="N175" s="432"/>
      <c r="O175" s="432"/>
      <c r="P175" s="432"/>
      <c r="Q175" s="545">
        <f>SUMIF('3. PARTNER'!$B$13:$B$80,$B175,'3. PARTNER'!$F$13:$F$80)</f>
        <v>0.02</v>
      </c>
      <c r="R175" s="466">
        <f t="shared" si="492"/>
        <v>0.02</v>
      </c>
      <c r="S175" s="466">
        <f t="shared" si="492"/>
        <v>0.02</v>
      </c>
      <c r="T175" s="466">
        <f t="shared" si="492"/>
        <v>0.02</v>
      </c>
      <c r="U175" s="466">
        <f t="shared" si="492"/>
        <v>0.02</v>
      </c>
      <c r="V175" s="466">
        <f t="shared" si="492"/>
        <v>0.02</v>
      </c>
      <c r="W175" s="466">
        <f t="shared" si="492"/>
        <v>0.02</v>
      </c>
      <c r="X175" s="466">
        <f t="shared" si="492"/>
        <v>0.02</v>
      </c>
      <c r="Y175" s="466">
        <f t="shared" si="492"/>
        <v>0.02</v>
      </c>
      <c r="Z175" s="466">
        <f t="shared" si="492"/>
        <v>0.02</v>
      </c>
      <c r="AA175" s="434">
        <f>SUMIF('3. PARTNER'!B$13:B$80,B175,'3. PARTNER'!E$13:E$80)</f>
        <v>0.5595</v>
      </c>
      <c r="AB175" s="435">
        <f>IF('2. START'!$C$20="UTB",(SUMIF('3. PARTNER'!B$13:B$80,B175,'3. PARTNER'!K$13:K$80))+(SUMIF('3. PARTNER'!B$13:B$80,B175,'3. PARTNER'!M$13:M$80)),(SUMIF('3. PARTNER'!B$13:B$80,B175,'3. PARTNER'!G$13:G$80))+(SUMIF('3. PARTNER'!B$13:B$80,B175,'3. PARTNER'!I$13:I$80)))</f>
        <v>0.16000843770704321</v>
      </c>
      <c r="AC175" s="435">
        <f>IF('2. START'!$C$20="UTB",(SUMIF('3. PARTNER'!B$13:B$80,B175,'3. PARTNER'!L$13:L$80))+(SUMIF('3. PARTNER'!B$13:B$80,B175,'3. PARTNER'!N$13:N$80)),(SUMIF('3. PARTNER'!B$13:B$80,B175,'3. PARTNER'!H$13:H$80))+(SUMIF('3. PARTNER'!B$13:B$80,B175,'3. PARTNER'!J$13:J$80)))</f>
        <v>0</v>
      </c>
      <c r="AD175" s="435">
        <f>IF('2. START'!C$11="NO",'2. START'!C$12,0)</f>
        <v>0</v>
      </c>
      <c r="AE175" s="436">
        <f t="shared" si="388"/>
        <v>0</v>
      </c>
      <c r="AF175" s="436">
        <f t="shared" si="389"/>
        <v>0</v>
      </c>
      <c r="AG175" s="437"/>
      <c r="AH175" s="438">
        <f t="shared" si="390"/>
        <v>0</v>
      </c>
      <c r="AI175" s="438">
        <f t="shared" si="391"/>
        <v>0</v>
      </c>
      <c r="AJ175" s="438">
        <f t="shared" si="392"/>
        <v>0</v>
      </c>
      <c r="AK175" s="438">
        <f t="shared" si="393"/>
        <v>0</v>
      </c>
      <c r="AL175" s="438">
        <f t="shared" si="394"/>
        <v>0</v>
      </c>
      <c r="AM175" s="438">
        <f t="shared" si="395"/>
        <v>0</v>
      </c>
      <c r="AN175" s="438">
        <f t="shared" si="396"/>
        <v>0</v>
      </c>
      <c r="AO175" s="438">
        <f t="shared" si="397"/>
        <v>0</v>
      </c>
      <c r="AP175" s="438">
        <f t="shared" si="398"/>
        <v>0</v>
      </c>
      <c r="AQ175" s="438">
        <f t="shared" si="399"/>
        <v>0</v>
      </c>
      <c r="AR175" s="439">
        <f t="shared" si="400"/>
        <v>0</v>
      </c>
      <c r="AS175" s="440"/>
      <c r="AT175" s="438">
        <f t="shared" si="401"/>
        <v>0</v>
      </c>
      <c r="AU175" s="438">
        <f t="shared" si="402"/>
        <v>0</v>
      </c>
      <c r="AV175" s="438">
        <f t="shared" si="403"/>
        <v>0</v>
      </c>
      <c r="AW175" s="438">
        <f t="shared" si="404"/>
        <v>0</v>
      </c>
      <c r="AX175" s="438">
        <f t="shared" si="405"/>
        <v>0</v>
      </c>
      <c r="AY175" s="438">
        <f t="shared" si="406"/>
        <v>0</v>
      </c>
      <c r="AZ175" s="438">
        <f t="shared" si="407"/>
        <v>0</v>
      </c>
      <c r="BA175" s="438">
        <f t="shared" si="408"/>
        <v>0</v>
      </c>
      <c r="BB175" s="438">
        <f t="shared" si="409"/>
        <v>0</v>
      </c>
      <c r="BC175" s="438">
        <f t="shared" si="410"/>
        <v>0</v>
      </c>
      <c r="BD175" s="439">
        <f t="shared" si="411"/>
        <v>0</v>
      </c>
      <c r="BE175" s="440"/>
      <c r="BF175" s="438">
        <f t="shared" si="412"/>
        <v>0</v>
      </c>
      <c r="BG175" s="438">
        <f t="shared" si="413"/>
        <v>0</v>
      </c>
      <c r="BH175" s="438">
        <f t="shared" si="414"/>
        <v>0</v>
      </c>
      <c r="BI175" s="438">
        <f t="shared" si="415"/>
        <v>0</v>
      </c>
      <c r="BJ175" s="438">
        <f t="shared" si="416"/>
        <v>0</v>
      </c>
      <c r="BK175" s="438">
        <f t="shared" si="417"/>
        <v>0</v>
      </c>
      <c r="BL175" s="438">
        <f t="shared" si="418"/>
        <v>0</v>
      </c>
      <c r="BM175" s="438">
        <f t="shared" si="419"/>
        <v>0</v>
      </c>
      <c r="BN175" s="438">
        <f t="shared" si="420"/>
        <v>0</v>
      </c>
      <c r="BO175" s="438">
        <f t="shared" si="421"/>
        <v>0</v>
      </c>
      <c r="BP175" s="439">
        <f t="shared" si="422"/>
        <v>0</v>
      </c>
      <c r="BR175" s="442">
        <f t="shared" si="423"/>
        <v>0</v>
      </c>
      <c r="BS175" s="442">
        <f t="shared" si="424"/>
        <v>0</v>
      </c>
      <c r="BT175" s="442">
        <f t="shared" si="425"/>
        <v>0</v>
      </c>
      <c r="BU175" s="442">
        <f t="shared" si="426"/>
        <v>0</v>
      </c>
      <c r="BV175" s="442">
        <f t="shared" si="427"/>
        <v>0</v>
      </c>
      <c r="BW175" s="442">
        <f t="shared" si="428"/>
        <v>0</v>
      </c>
      <c r="BX175" s="442">
        <f t="shared" si="429"/>
        <v>0</v>
      </c>
      <c r="BY175" s="442">
        <f t="shared" si="430"/>
        <v>0</v>
      </c>
      <c r="BZ175" s="442">
        <f t="shared" si="431"/>
        <v>0</v>
      </c>
      <c r="CA175" s="442">
        <f t="shared" si="432"/>
        <v>0</v>
      </c>
      <c r="CB175" s="443">
        <f t="shared" si="433"/>
        <v>0</v>
      </c>
      <c r="CD175" s="445">
        <f t="shared" si="434"/>
        <v>0</v>
      </c>
      <c r="CE175" s="445">
        <f t="shared" si="435"/>
        <v>0</v>
      </c>
      <c r="CF175" s="445">
        <f t="shared" si="436"/>
        <v>0</v>
      </c>
      <c r="CG175" s="445">
        <f t="shared" si="437"/>
        <v>0</v>
      </c>
      <c r="CH175" s="445">
        <f t="shared" si="438"/>
        <v>0</v>
      </c>
      <c r="CI175" s="445">
        <f t="shared" si="439"/>
        <v>0</v>
      </c>
      <c r="CJ175" s="445">
        <f t="shared" si="440"/>
        <v>0</v>
      </c>
      <c r="CK175" s="445">
        <f t="shared" si="441"/>
        <v>0</v>
      </c>
      <c r="CL175" s="445">
        <f t="shared" si="442"/>
        <v>0</v>
      </c>
      <c r="CM175" s="445">
        <f t="shared" si="443"/>
        <v>0</v>
      </c>
      <c r="CN175" s="443">
        <f t="shared" si="444"/>
        <v>0</v>
      </c>
      <c r="CP175" s="442">
        <f t="shared" si="445"/>
        <v>0</v>
      </c>
      <c r="CQ175" s="442">
        <f t="shared" si="446"/>
        <v>0</v>
      </c>
      <c r="CR175" s="442">
        <f t="shared" si="447"/>
        <v>0</v>
      </c>
      <c r="CS175" s="442">
        <f t="shared" si="448"/>
        <v>0</v>
      </c>
      <c r="CT175" s="442">
        <f t="shared" si="449"/>
        <v>0</v>
      </c>
      <c r="CU175" s="442">
        <f t="shared" si="450"/>
        <v>0</v>
      </c>
      <c r="CV175" s="442">
        <f t="shared" si="451"/>
        <v>0</v>
      </c>
      <c r="CW175" s="442">
        <f t="shared" si="452"/>
        <v>0</v>
      </c>
      <c r="CX175" s="442">
        <f t="shared" si="453"/>
        <v>0</v>
      </c>
      <c r="CY175" s="442">
        <f t="shared" si="454"/>
        <v>0</v>
      </c>
      <c r="CZ175" s="443">
        <f t="shared" si="455"/>
        <v>0</v>
      </c>
      <c r="DB175" s="442">
        <f t="shared" si="456"/>
        <v>0</v>
      </c>
      <c r="DC175" s="442">
        <f t="shared" si="457"/>
        <v>0</v>
      </c>
      <c r="DD175" s="442">
        <f t="shared" si="458"/>
        <v>0</v>
      </c>
      <c r="DE175" s="442">
        <f t="shared" si="459"/>
        <v>0</v>
      </c>
      <c r="DF175" s="442">
        <f t="shared" si="460"/>
        <v>0</v>
      </c>
      <c r="DG175" s="442">
        <f t="shared" si="461"/>
        <v>0</v>
      </c>
      <c r="DH175" s="442">
        <f t="shared" si="462"/>
        <v>0</v>
      </c>
      <c r="DI175" s="442">
        <f t="shared" si="463"/>
        <v>0</v>
      </c>
      <c r="DJ175" s="442">
        <f t="shared" si="464"/>
        <v>0</v>
      </c>
      <c r="DK175" s="442">
        <f t="shared" si="465"/>
        <v>0</v>
      </c>
      <c r="DL175" s="443">
        <f t="shared" si="466"/>
        <v>0</v>
      </c>
      <c r="DN175" s="442">
        <f>IF('2. START'!$C$14&gt;0,(AT175/(1+$AA175))*(1+'2. START'!$C$14),AT175)</f>
        <v>0</v>
      </c>
      <c r="DO175" s="442">
        <f>IF('2. START'!$C$14&gt;0,(AU175/(1+$AA175))*(1+'2. START'!$C$14),AU175)</f>
        <v>0</v>
      </c>
      <c r="DP175" s="442">
        <f>IF('2. START'!$C$14&gt;0,(AV175/(1+$AA175))*(1+'2. START'!$C$14),AV175)</f>
        <v>0</v>
      </c>
      <c r="DQ175" s="442">
        <f>IF('2. START'!$C$14&gt;0,(AW175/(1+$AA175))*(1+'2. START'!$C$14),AW175)</f>
        <v>0</v>
      </c>
      <c r="DR175" s="442">
        <f>IF('2. START'!$C$14&gt;0,(AX175/(1+$AA175))*(1+'2. START'!$C$14),AX175)</f>
        <v>0</v>
      </c>
      <c r="DS175" s="442">
        <f>IF('2. START'!$C$14&gt;0,(AY175/(1+$AA175))*(1+'2. START'!$C$14),AY175)</f>
        <v>0</v>
      </c>
      <c r="DT175" s="442">
        <f>IF('2. START'!$C$14&gt;0,(AZ175/(1+$AA175))*(1+'2. START'!$C$14),AZ175)</f>
        <v>0</v>
      </c>
      <c r="DU175" s="442">
        <f>IF('2. START'!$C$14&gt;0,(BA175/(1+$AA175))*(1+'2. START'!$C$14),BA175)</f>
        <v>0</v>
      </c>
      <c r="DV175" s="442">
        <f>IF('2. START'!$C$14&gt;0,(BB175/(1+$AA175))*(1+'2. START'!$C$14),BB175)</f>
        <v>0</v>
      </c>
      <c r="DW175" s="442">
        <f>IF('2. START'!$C$14&gt;0,(BC175/(1+$AA175))*(1+'2. START'!$C$14),BC175)</f>
        <v>0</v>
      </c>
      <c r="DX175" s="443">
        <f t="shared" si="467"/>
        <v>0</v>
      </c>
      <c r="DZ175" s="442">
        <f>IF('2. START'!$C$11="NO",(IF('2. START'!$C$14&gt;0,(DN175*$AD175),(AT175*$AD175))),(BR175+CP175))</f>
        <v>0</v>
      </c>
      <c r="EA175" s="442">
        <f>IF('2. START'!$C$11="NO",(IF('2. START'!$C$14&gt;0,(DO175*$AD175),(AU175*$AD175))),(BS175+CQ175))</f>
        <v>0</v>
      </c>
      <c r="EB175" s="442">
        <f>IF('2. START'!$C$11="NO",(IF('2. START'!$C$14&gt;0,(DP175*$AD175),(AV175*$AD175))),(BT175+CR175))</f>
        <v>0</v>
      </c>
      <c r="EC175" s="442">
        <f>IF('2. START'!$C$11="NO",(IF('2. START'!$C$14&gt;0,(DQ175*$AD175),(AW175*$AD175))),(BU175+CS175))</f>
        <v>0</v>
      </c>
      <c r="ED175" s="442">
        <f>IF('2. START'!$C$11="NO",(IF('2. START'!$C$14&gt;0,(DR175*$AD175),(AX175*$AD175))),(BV175+CT175))</f>
        <v>0</v>
      </c>
      <c r="EE175" s="442">
        <f>IF('2. START'!$C$11="NO",(IF('2. START'!$C$14&gt;0,(DS175*$AD175),(AY175*$AD175))),(BW175+CU175))</f>
        <v>0</v>
      </c>
      <c r="EF175" s="442">
        <f>IF('2. START'!$C$11="NO",(IF('2. START'!$C$14&gt;0,(DT175*$AD175),(AZ175*$AD175))),(BX175+CV175))</f>
        <v>0</v>
      </c>
      <c r="EG175" s="442">
        <f>IF('2. START'!$C$11="NO",(IF('2. START'!$C$14&gt;0,(DU175*$AD175),(BA175*$AD175))),(BY175+CW175))</f>
        <v>0</v>
      </c>
      <c r="EH175" s="442">
        <f>IF('2. START'!$C$11="NO",(IF('2. START'!$C$14&gt;0,(DV175*$AD175),(BB175*$AD175))),(BZ175+CX175))</f>
        <v>0</v>
      </c>
      <c r="EI175" s="442">
        <f>IF('2. START'!$C$11="NO",(IF('2. START'!$C$14&gt;0,(DW175*$AD175),(BC175*$AD175))),(CA175+CY175))</f>
        <v>0</v>
      </c>
      <c r="EJ175" s="443">
        <f t="shared" si="468"/>
        <v>0</v>
      </c>
      <c r="EL175" s="442">
        <f>(BR175+CP175-DZ175)+IF('2. START'!$C$14&gt;0,AT175-DN175,0)</f>
        <v>0</v>
      </c>
      <c r="EM175" s="442">
        <f>(BS175+CQ175-EA175)+IF('2. START'!$C$14&gt;0,AU175-DO175,0)</f>
        <v>0</v>
      </c>
      <c r="EN175" s="442">
        <f>(BT175+CR175-EB175)+IF('2. START'!$C$14&gt;0,AV175-DP175,0)</f>
        <v>0</v>
      </c>
      <c r="EO175" s="442">
        <f>(BU175+CS175-EC175)+IF('2. START'!$C$14&gt;0,AW175-DQ175,0)</f>
        <v>0</v>
      </c>
      <c r="EP175" s="442">
        <f>(BV175+CT175-ED175)+IF('2. START'!$C$14&gt;0,AX175-DR175,0)</f>
        <v>0</v>
      </c>
      <c r="EQ175" s="442">
        <f>(BW175+CU175-EE175)+IF('2. START'!$C$14&gt;0,AY175-DS175,0)</f>
        <v>0</v>
      </c>
      <c r="ER175" s="442">
        <f>(BX175+CV175-EF175)+IF('2. START'!$C$14&gt;0,AZ175-DT175,0)</f>
        <v>0</v>
      </c>
      <c r="ES175" s="442">
        <f>(BY175+CW175-EG175)+IF('2. START'!$C$14&gt;0,BA175-DU175,0)</f>
        <v>0</v>
      </c>
      <c r="ET175" s="442">
        <f>(BZ175+CX175-EH175)+IF('2. START'!$C$14&gt;0,BB175-DV175,0)</f>
        <v>0</v>
      </c>
      <c r="EU175" s="442">
        <f>(CA175+CY175-EI175)+IF('2. START'!$C$14&gt;0,BC175-DW175,0)</f>
        <v>0</v>
      </c>
      <c r="EV175" s="443">
        <f t="shared" si="469"/>
        <v>0</v>
      </c>
      <c r="EX175" s="442">
        <f t="shared" si="470"/>
        <v>0</v>
      </c>
      <c r="EY175" s="442">
        <f t="shared" si="471"/>
        <v>0</v>
      </c>
      <c r="EZ175" s="442">
        <f t="shared" si="472"/>
        <v>0</v>
      </c>
      <c r="FA175" s="442">
        <f t="shared" si="473"/>
        <v>0</v>
      </c>
      <c r="FB175" s="442">
        <f t="shared" si="474"/>
        <v>0</v>
      </c>
      <c r="FC175" s="442">
        <f t="shared" si="475"/>
        <v>0</v>
      </c>
      <c r="FD175" s="442">
        <f t="shared" si="476"/>
        <v>0</v>
      </c>
      <c r="FE175" s="442">
        <f t="shared" si="477"/>
        <v>0</v>
      </c>
      <c r="FF175" s="442">
        <f t="shared" si="478"/>
        <v>0</v>
      </c>
      <c r="FG175" s="442">
        <f t="shared" si="479"/>
        <v>0</v>
      </c>
      <c r="FH175" s="443">
        <f t="shared" si="480"/>
        <v>0</v>
      </c>
      <c r="FJ175" s="442">
        <f t="shared" si="481"/>
        <v>0</v>
      </c>
      <c r="FK175" s="442">
        <f t="shared" si="482"/>
        <v>0</v>
      </c>
      <c r="FL175" s="442">
        <f t="shared" si="483"/>
        <v>0</v>
      </c>
      <c r="FM175" s="442">
        <f t="shared" si="484"/>
        <v>0</v>
      </c>
      <c r="FN175" s="442">
        <f t="shared" si="485"/>
        <v>0</v>
      </c>
      <c r="FO175" s="442">
        <f t="shared" si="486"/>
        <v>0</v>
      </c>
      <c r="FP175" s="442">
        <f t="shared" si="487"/>
        <v>0</v>
      </c>
      <c r="FQ175" s="442">
        <f t="shared" si="488"/>
        <v>0</v>
      </c>
      <c r="FR175" s="442">
        <f t="shared" si="489"/>
        <v>0</v>
      </c>
      <c r="FS175" s="442">
        <f t="shared" si="490"/>
        <v>0</v>
      </c>
      <c r="FT175" s="443">
        <f t="shared" si="491"/>
        <v>0</v>
      </c>
    </row>
    <row r="176" spans="2:176" s="270" customFormat="1" ht="15" customHeight="1" x14ac:dyDescent="0.25">
      <c r="B176" s="446" t="str">
        <f>'2. START'!C$7</f>
        <v>100GEM</v>
      </c>
      <c r="C176" s="469"/>
      <c r="D176" s="589"/>
      <c r="E176" s="544">
        <v>0</v>
      </c>
      <c r="F176" s="448"/>
      <c r="G176" s="449"/>
      <c r="H176" s="449"/>
      <c r="I176" s="449"/>
      <c r="J176" s="449"/>
      <c r="K176" s="449"/>
      <c r="L176" s="449"/>
      <c r="M176" s="449"/>
      <c r="N176" s="449"/>
      <c r="O176" s="449"/>
      <c r="P176" s="449"/>
      <c r="Q176" s="546">
        <f>SUMIF('3. PARTNER'!$B$13:$B$80,$B176,'3. PARTNER'!$F$13:$F$80)</f>
        <v>0.02</v>
      </c>
      <c r="R176" s="450">
        <f t="shared" si="492"/>
        <v>0.02</v>
      </c>
      <c r="S176" s="450">
        <f t="shared" si="492"/>
        <v>0.02</v>
      </c>
      <c r="T176" s="450">
        <f t="shared" si="492"/>
        <v>0.02</v>
      </c>
      <c r="U176" s="450">
        <f t="shared" si="492"/>
        <v>0.02</v>
      </c>
      <c r="V176" s="450">
        <f t="shared" si="492"/>
        <v>0.02</v>
      </c>
      <c r="W176" s="450">
        <f t="shared" si="492"/>
        <v>0.02</v>
      </c>
      <c r="X176" s="450">
        <f t="shared" si="492"/>
        <v>0.02</v>
      </c>
      <c r="Y176" s="450">
        <f t="shared" si="492"/>
        <v>0.02</v>
      </c>
      <c r="Z176" s="450">
        <f t="shared" si="492"/>
        <v>0.02</v>
      </c>
      <c r="AA176" s="451">
        <f>SUMIF('3. PARTNER'!B$13:B$80,B176,'3. PARTNER'!E$13:E$80)</f>
        <v>0.5595</v>
      </c>
      <c r="AB176" s="452">
        <f>IF('2. START'!$C$20="UTB",(SUMIF('3. PARTNER'!B$13:B$80,B176,'3. PARTNER'!K$13:K$80))+(SUMIF('3. PARTNER'!B$13:B$80,B176,'3. PARTNER'!M$13:M$80)),(SUMIF('3. PARTNER'!B$13:B$80,B176,'3. PARTNER'!G$13:G$80))+(SUMIF('3. PARTNER'!B$13:B$80,B176,'3. PARTNER'!I$13:I$80)))</f>
        <v>0.16000843770704321</v>
      </c>
      <c r="AC176" s="452">
        <f>IF('2. START'!$C$20="UTB",(SUMIF('3. PARTNER'!B$13:B$80,B176,'3. PARTNER'!L$13:L$80))+(SUMIF('3. PARTNER'!B$13:B$80,B176,'3. PARTNER'!N$13:N$80)),(SUMIF('3. PARTNER'!B$13:B$80,B176,'3. PARTNER'!H$13:H$80))+(SUMIF('3. PARTNER'!B$13:B$80,B176,'3. PARTNER'!J$13:J$80)))</f>
        <v>0</v>
      </c>
      <c r="AD176" s="452">
        <f>IF('2. START'!C$11="NO",'2. START'!C$12,0)</f>
        <v>0</v>
      </c>
      <c r="AE176" s="453">
        <f t="shared" si="388"/>
        <v>0</v>
      </c>
      <c r="AF176" s="453">
        <f t="shared" si="389"/>
        <v>0</v>
      </c>
      <c r="AG176" s="454"/>
      <c r="AH176" s="455">
        <f t="shared" si="390"/>
        <v>0</v>
      </c>
      <c r="AI176" s="455">
        <f t="shared" si="391"/>
        <v>0</v>
      </c>
      <c r="AJ176" s="455">
        <f t="shared" si="392"/>
        <v>0</v>
      </c>
      <c r="AK176" s="455">
        <f t="shared" si="393"/>
        <v>0</v>
      </c>
      <c r="AL176" s="455">
        <f t="shared" si="394"/>
        <v>0</v>
      </c>
      <c r="AM176" s="455">
        <f t="shared" si="395"/>
        <v>0</v>
      </c>
      <c r="AN176" s="455">
        <f t="shared" si="396"/>
        <v>0</v>
      </c>
      <c r="AO176" s="455">
        <f t="shared" si="397"/>
        <v>0</v>
      </c>
      <c r="AP176" s="455">
        <f t="shared" si="398"/>
        <v>0</v>
      </c>
      <c r="AQ176" s="455">
        <f t="shared" si="399"/>
        <v>0</v>
      </c>
      <c r="AR176" s="456">
        <f t="shared" si="400"/>
        <v>0</v>
      </c>
      <c r="AS176" s="457"/>
      <c r="AT176" s="455">
        <f t="shared" si="401"/>
        <v>0</v>
      </c>
      <c r="AU176" s="455">
        <f t="shared" si="402"/>
        <v>0</v>
      </c>
      <c r="AV176" s="455">
        <f t="shared" si="403"/>
        <v>0</v>
      </c>
      <c r="AW176" s="455">
        <f t="shared" si="404"/>
        <v>0</v>
      </c>
      <c r="AX176" s="455">
        <f t="shared" si="405"/>
        <v>0</v>
      </c>
      <c r="AY176" s="455">
        <f t="shared" si="406"/>
        <v>0</v>
      </c>
      <c r="AZ176" s="455">
        <f t="shared" si="407"/>
        <v>0</v>
      </c>
      <c r="BA176" s="455">
        <f t="shared" si="408"/>
        <v>0</v>
      </c>
      <c r="BB176" s="455">
        <f t="shared" si="409"/>
        <v>0</v>
      </c>
      <c r="BC176" s="455">
        <f t="shared" si="410"/>
        <v>0</v>
      </c>
      <c r="BD176" s="456">
        <f t="shared" si="411"/>
        <v>0</v>
      </c>
      <c r="BE176" s="457"/>
      <c r="BF176" s="455">
        <f t="shared" si="412"/>
        <v>0</v>
      </c>
      <c r="BG176" s="455">
        <f t="shared" si="413"/>
        <v>0</v>
      </c>
      <c r="BH176" s="455">
        <f t="shared" si="414"/>
        <v>0</v>
      </c>
      <c r="BI176" s="455">
        <f t="shared" si="415"/>
        <v>0</v>
      </c>
      <c r="BJ176" s="455">
        <f t="shared" si="416"/>
        <v>0</v>
      </c>
      <c r="BK176" s="455">
        <f t="shared" si="417"/>
        <v>0</v>
      </c>
      <c r="BL176" s="455">
        <f t="shared" si="418"/>
        <v>0</v>
      </c>
      <c r="BM176" s="455">
        <f t="shared" si="419"/>
        <v>0</v>
      </c>
      <c r="BN176" s="455">
        <f t="shared" si="420"/>
        <v>0</v>
      </c>
      <c r="BO176" s="455">
        <f t="shared" si="421"/>
        <v>0</v>
      </c>
      <c r="BP176" s="456">
        <f t="shared" si="422"/>
        <v>0</v>
      </c>
      <c r="BQ176" s="463"/>
      <c r="BR176" s="459">
        <f t="shared" si="423"/>
        <v>0</v>
      </c>
      <c r="BS176" s="459">
        <f t="shared" si="424"/>
        <v>0</v>
      </c>
      <c r="BT176" s="459">
        <f t="shared" si="425"/>
        <v>0</v>
      </c>
      <c r="BU176" s="459">
        <f t="shared" si="426"/>
        <v>0</v>
      </c>
      <c r="BV176" s="459">
        <f t="shared" si="427"/>
        <v>0</v>
      </c>
      <c r="BW176" s="459">
        <f t="shared" si="428"/>
        <v>0</v>
      </c>
      <c r="BX176" s="459">
        <f t="shared" si="429"/>
        <v>0</v>
      </c>
      <c r="BY176" s="459">
        <f t="shared" si="430"/>
        <v>0</v>
      </c>
      <c r="BZ176" s="459">
        <f t="shared" si="431"/>
        <v>0</v>
      </c>
      <c r="CA176" s="459">
        <f t="shared" si="432"/>
        <v>0</v>
      </c>
      <c r="CB176" s="460">
        <f t="shared" si="433"/>
        <v>0</v>
      </c>
      <c r="CC176" s="463"/>
      <c r="CD176" s="462">
        <f t="shared" si="434"/>
        <v>0</v>
      </c>
      <c r="CE176" s="462">
        <f t="shared" si="435"/>
        <v>0</v>
      </c>
      <c r="CF176" s="462">
        <f t="shared" si="436"/>
        <v>0</v>
      </c>
      <c r="CG176" s="462">
        <f t="shared" si="437"/>
        <v>0</v>
      </c>
      <c r="CH176" s="462">
        <f t="shared" si="438"/>
        <v>0</v>
      </c>
      <c r="CI176" s="462">
        <f t="shared" si="439"/>
        <v>0</v>
      </c>
      <c r="CJ176" s="462">
        <f t="shared" si="440"/>
        <v>0</v>
      </c>
      <c r="CK176" s="462">
        <f t="shared" si="441"/>
        <v>0</v>
      </c>
      <c r="CL176" s="462">
        <f t="shared" si="442"/>
        <v>0</v>
      </c>
      <c r="CM176" s="462">
        <f t="shared" si="443"/>
        <v>0</v>
      </c>
      <c r="CN176" s="460">
        <f t="shared" si="444"/>
        <v>0</v>
      </c>
      <c r="CO176" s="463"/>
      <c r="CP176" s="459">
        <f t="shared" si="445"/>
        <v>0</v>
      </c>
      <c r="CQ176" s="459">
        <f t="shared" si="446"/>
        <v>0</v>
      </c>
      <c r="CR176" s="459">
        <f t="shared" si="447"/>
        <v>0</v>
      </c>
      <c r="CS176" s="459">
        <f t="shared" si="448"/>
        <v>0</v>
      </c>
      <c r="CT176" s="459">
        <f t="shared" si="449"/>
        <v>0</v>
      </c>
      <c r="CU176" s="459">
        <f t="shared" si="450"/>
        <v>0</v>
      </c>
      <c r="CV176" s="459">
        <f t="shared" si="451"/>
        <v>0</v>
      </c>
      <c r="CW176" s="459">
        <f t="shared" si="452"/>
        <v>0</v>
      </c>
      <c r="CX176" s="459">
        <f t="shared" si="453"/>
        <v>0</v>
      </c>
      <c r="CY176" s="459">
        <f t="shared" si="454"/>
        <v>0</v>
      </c>
      <c r="CZ176" s="460">
        <f t="shared" si="455"/>
        <v>0</v>
      </c>
      <c r="DA176" s="463"/>
      <c r="DB176" s="459">
        <f t="shared" si="456"/>
        <v>0</v>
      </c>
      <c r="DC176" s="459">
        <f t="shared" si="457"/>
        <v>0</v>
      </c>
      <c r="DD176" s="459">
        <f t="shared" si="458"/>
        <v>0</v>
      </c>
      <c r="DE176" s="459">
        <f t="shared" si="459"/>
        <v>0</v>
      </c>
      <c r="DF176" s="459">
        <f t="shared" si="460"/>
        <v>0</v>
      </c>
      <c r="DG176" s="459">
        <f t="shared" si="461"/>
        <v>0</v>
      </c>
      <c r="DH176" s="459">
        <f t="shared" si="462"/>
        <v>0</v>
      </c>
      <c r="DI176" s="459">
        <f t="shared" si="463"/>
        <v>0</v>
      </c>
      <c r="DJ176" s="459">
        <f t="shared" si="464"/>
        <v>0</v>
      </c>
      <c r="DK176" s="459">
        <f t="shared" si="465"/>
        <v>0</v>
      </c>
      <c r="DL176" s="460">
        <f t="shared" si="466"/>
        <v>0</v>
      </c>
      <c r="DM176" s="463"/>
      <c r="DN176" s="442">
        <f>IF('2. START'!$C$14&gt;0,(AT176/(1+$AA176))*(1+'2. START'!$C$14),AT176)</f>
        <v>0</v>
      </c>
      <c r="DO176" s="442">
        <f>IF('2. START'!$C$14&gt;0,(AU176/(1+$AA176))*(1+'2. START'!$C$14),AU176)</f>
        <v>0</v>
      </c>
      <c r="DP176" s="442">
        <f>IF('2. START'!$C$14&gt;0,(AV176/(1+$AA176))*(1+'2. START'!$C$14),AV176)</f>
        <v>0</v>
      </c>
      <c r="DQ176" s="442">
        <f>IF('2. START'!$C$14&gt;0,(AW176/(1+$AA176))*(1+'2. START'!$C$14),AW176)</f>
        <v>0</v>
      </c>
      <c r="DR176" s="442">
        <f>IF('2. START'!$C$14&gt;0,(AX176/(1+$AA176))*(1+'2. START'!$C$14),AX176)</f>
        <v>0</v>
      </c>
      <c r="DS176" s="442">
        <f>IF('2. START'!$C$14&gt;0,(AY176/(1+$AA176))*(1+'2. START'!$C$14),AY176)</f>
        <v>0</v>
      </c>
      <c r="DT176" s="442">
        <f>IF('2. START'!$C$14&gt;0,(AZ176/(1+$AA176))*(1+'2. START'!$C$14),AZ176)</f>
        <v>0</v>
      </c>
      <c r="DU176" s="442">
        <f>IF('2. START'!$C$14&gt;0,(BA176/(1+$AA176))*(1+'2. START'!$C$14),BA176)</f>
        <v>0</v>
      </c>
      <c r="DV176" s="442">
        <f>IF('2. START'!$C$14&gt;0,(BB176/(1+$AA176))*(1+'2. START'!$C$14),BB176)</f>
        <v>0</v>
      </c>
      <c r="DW176" s="442">
        <f>IF('2. START'!$C$14&gt;0,(BC176/(1+$AA176))*(1+'2. START'!$C$14),BC176)</f>
        <v>0</v>
      </c>
      <c r="DX176" s="460">
        <f t="shared" si="467"/>
        <v>0</v>
      </c>
      <c r="DY176" s="463"/>
      <c r="DZ176" s="459">
        <f>IF('2. START'!$C$11="NO",(IF('2. START'!$C$14&gt;0,(DN176*$AD176),(AT176*$AD176))),(BR176+CP176))</f>
        <v>0</v>
      </c>
      <c r="EA176" s="459">
        <f>IF('2. START'!$C$11="NO",(IF('2. START'!$C$14&gt;0,(DO176*$AD176),(AU176*$AD176))),(BS176+CQ176))</f>
        <v>0</v>
      </c>
      <c r="EB176" s="459">
        <f>IF('2. START'!$C$11="NO",(IF('2. START'!$C$14&gt;0,(DP176*$AD176),(AV176*$AD176))),(BT176+CR176))</f>
        <v>0</v>
      </c>
      <c r="EC176" s="459">
        <f>IF('2. START'!$C$11="NO",(IF('2. START'!$C$14&gt;0,(DQ176*$AD176),(AW176*$AD176))),(BU176+CS176))</f>
        <v>0</v>
      </c>
      <c r="ED176" s="459">
        <f>IF('2. START'!$C$11="NO",(IF('2. START'!$C$14&gt;0,(DR176*$AD176),(AX176*$AD176))),(BV176+CT176))</f>
        <v>0</v>
      </c>
      <c r="EE176" s="459">
        <f>IF('2. START'!$C$11="NO",(IF('2. START'!$C$14&gt;0,(DS176*$AD176),(AY176*$AD176))),(BW176+CU176))</f>
        <v>0</v>
      </c>
      <c r="EF176" s="459">
        <f>IF('2. START'!$C$11="NO",(IF('2. START'!$C$14&gt;0,(DT176*$AD176),(AZ176*$AD176))),(BX176+CV176))</f>
        <v>0</v>
      </c>
      <c r="EG176" s="459">
        <f>IF('2. START'!$C$11="NO",(IF('2. START'!$C$14&gt;0,(DU176*$AD176),(BA176*$AD176))),(BY176+CW176))</f>
        <v>0</v>
      </c>
      <c r="EH176" s="459">
        <f>IF('2. START'!$C$11="NO",(IF('2. START'!$C$14&gt;0,(DV176*$AD176),(BB176*$AD176))),(BZ176+CX176))</f>
        <v>0</v>
      </c>
      <c r="EI176" s="459">
        <f>IF('2. START'!$C$11="NO",(IF('2. START'!$C$14&gt;0,(DW176*$AD176),(BC176*$AD176))),(CA176+CY176))</f>
        <v>0</v>
      </c>
      <c r="EJ176" s="460">
        <f t="shared" si="468"/>
        <v>0</v>
      </c>
      <c r="EK176" s="463"/>
      <c r="EL176" s="459">
        <f>(BR176+CP176-DZ176)+IF('2. START'!$C$14&gt;0,AT176-DN176,0)</f>
        <v>0</v>
      </c>
      <c r="EM176" s="459">
        <f>(BS176+CQ176-EA176)+IF('2. START'!$C$14&gt;0,AU176-DO176,0)</f>
        <v>0</v>
      </c>
      <c r="EN176" s="459">
        <f>(BT176+CR176-EB176)+IF('2. START'!$C$14&gt;0,AV176-DP176,0)</f>
        <v>0</v>
      </c>
      <c r="EO176" s="459">
        <f>(BU176+CS176-EC176)+IF('2. START'!$C$14&gt;0,AW176-DQ176,0)</f>
        <v>0</v>
      </c>
      <c r="EP176" s="459">
        <f>(BV176+CT176-ED176)+IF('2. START'!$C$14&gt;0,AX176-DR176,0)</f>
        <v>0</v>
      </c>
      <c r="EQ176" s="459">
        <f>(BW176+CU176-EE176)+IF('2. START'!$C$14&gt;0,AY176-DS176,0)</f>
        <v>0</v>
      </c>
      <c r="ER176" s="459">
        <f>(BX176+CV176-EF176)+IF('2. START'!$C$14&gt;0,AZ176-DT176,0)</f>
        <v>0</v>
      </c>
      <c r="ES176" s="459">
        <f>(BY176+CW176-EG176)+IF('2. START'!$C$14&gt;0,BA176-DU176,0)</f>
        <v>0</v>
      </c>
      <c r="ET176" s="459">
        <f>(BZ176+CX176-EH176)+IF('2. START'!$C$14&gt;0,BB176-DV176,0)</f>
        <v>0</v>
      </c>
      <c r="EU176" s="459">
        <f>(CA176+CY176-EI176)+IF('2. START'!$C$14&gt;0,BC176-DW176,0)</f>
        <v>0</v>
      </c>
      <c r="EV176" s="460">
        <f t="shared" si="469"/>
        <v>0</v>
      </c>
      <c r="EW176" s="463"/>
      <c r="EX176" s="459">
        <f t="shared" si="470"/>
        <v>0</v>
      </c>
      <c r="EY176" s="459">
        <f t="shared" si="471"/>
        <v>0</v>
      </c>
      <c r="EZ176" s="459">
        <f t="shared" si="472"/>
        <v>0</v>
      </c>
      <c r="FA176" s="459">
        <f t="shared" si="473"/>
        <v>0</v>
      </c>
      <c r="FB176" s="459">
        <f t="shared" si="474"/>
        <v>0</v>
      </c>
      <c r="FC176" s="459">
        <f t="shared" si="475"/>
        <v>0</v>
      </c>
      <c r="FD176" s="459">
        <f t="shared" si="476"/>
        <v>0</v>
      </c>
      <c r="FE176" s="459">
        <f t="shared" si="477"/>
        <v>0</v>
      </c>
      <c r="FF176" s="459">
        <f t="shared" si="478"/>
        <v>0</v>
      </c>
      <c r="FG176" s="459">
        <f t="shared" si="479"/>
        <v>0</v>
      </c>
      <c r="FH176" s="460">
        <f t="shared" si="480"/>
        <v>0</v>
      </c>
      <c r="FI176" s="463"/>
      <c r="FJ176" s="459">
        <f t="shared" si="481"/>
        <v>0</v>
      </c>
      <c r="FK176" s="459">
        <f t="shared" si="482"/>
        <v>0</v>
      </c>
      <c r="FL176" s="459">
        <f t="shared" si="483"/>
        <v>0</v>
      </c>
      <c r="FM176" s="459">
        <f t="shared" si="484"/>
        <v>0</v>
      </c>
      <c r="FN176" s="459">
        <f t="shared" si="485"/>
        <v>0</v>
      </c>
      <c r="FO176" s="459">
        <f t="shared" si="486"/>
        <v>0</v>
      </c>
      <c r="FP176" s="459">
        <f t="shared" si="487"/>
        <v>0</v>
      </c>
      <c r="FQ176" s="459">
        <f t="shared" si="488"/>
        <v>0</v>
      </c>
      <c r="FR176" s="459">
        <f t="shared" si="489"/>
        <v>0</v>
      </c>
      <c r="FS176" s="459">
        <f t="shared" si="490"/>
        <v>0</v>
      </c>
      <c r="FT176" s="460">
        <f t="shared" si="491"/>
        <v>0</v>
      </c>
    </row>
    <row r="177" spans="2:176" s="270" customFormat="1" ht="15" customHeight="1" x14ac:dyDescent="0.25">
      <c r="B177" s="464" t="str">
        <f>'2. START'!C$7</f>
        <v>100GEM</v>
      </c>
      <c r="C177" s="470"/>
      <c r="D177" s="590"/>
      <c r="E177" s="514">
        <v>0</v>
      </c>
      <c r="F177" s="467"/>
      <c r="G177" s="432"/>
      <c r="H177" s="432"/>
      <c r="I177" s="432"/>
      <c r="J177" s="432"/>
      <c r="K177" s="432"/>
      <c r="L177" s="432"/>
      <c r="M177" s="432"/>
      <c r="N177" s="432"/>
      <c r="O177" s="432"/>
      <c r="P177" s="432"/>
      <c r="Q177" s="545">
        <f>SUMIF('3. PARTNER'!$B$13:$B$80,$B177,'3. PARTNER'!$F$13:$F$80)</f>
        <v>0.02</v>
      </c>
      <c r="R177" s="466">
        <f t="shared" si="492"/>
        <v>0.02</v>
      </c>
      <c r="S177" s="466">
        <f t="shared" si="492"/>
        <v>0.02</v>
      </c>
      <c r="T177" s="466">
        <f t="shared" si="492"/>
        <v>0.02</v>
      </c>
      <c r="U177" s="466">
        <f t="shared" si="492"/>
        <v>0.02</v>
      </c>
      <c r="V177" s="466">
        <f t="shared" si="492"/>
        <v>0.02</v>
      </c>
      <c r="W177" s="466">
        <f t="shared" si="492"/>
        <v>0.02</v>
      </c>
      <c r="X177" s="466">
        <f t="shared" si="492"/>
        <v>0.02</v>
      </c>
      <c r="Y177" s="466">
        <f t="shared" si="492"/>
        <v>0.02</v>
      </c>
      <c r="Z177" s="466">
        <f t="shared" si="492"/>
        <v>0.02</v>
      </c>
      <c r="AA177" s="434">
        <f>SUMIF('3. PARTNER'!B$13:B$80,B177,'3. PARTNER'!E$13:E$80)</f>
        <v>0.5595</v>
      </c>
      <c r="AB177" s="435">
        <f>IF('2. START'!$C$20="UTB",(SUMIF('3. PARTNER'!B$13:B$80,B177,'3. PARTNER'!K$13:K$80))+(SUMIF('3. PARTNER'!B$13:B$80,B177,'3. PARTNER'!M$13:M$80)),(SUMIF('3. PARTNER'!B$13:B$80,B177,'3. PARTNER'!G$13:G$80))+(SUMIF('3. PARTNER'!B$13:B$80,B177,'3. PARTNER'!I$13:I$80)))</f>
        <v>0.16000843770704321</v>
      </c>
      <c r="AC177" s="435">
        <f>IF('2. START'!$C$20="UTB",(SUMIF('3. PARTNER'!B$13:B$80,B177,'3. PARTNER'!L$13:L$80))+(SUMIF('3. PARTNER'!B$13:B$80,B177,'3. PARTNER'!N$13:N$80)),(SUMIF('3. PARTNER'!B$13:B$80,B177,'3. PARTNER'!H$13:H$80))+(SUMIF('3. PARTNER'!B$13:B$80,B177,'3. PARTNER'!J$13:J$80)))</f>
        <v>0</v>
      </c>
      <c r="AD177" s="435">
        <f>IF('2. START'!C$11="NO",'2. START'!C$12,0)</f>
        <v>0</v>
      </c>
      <c r="AE177" s="436">
        <f t="shared" si="388"/>
        <v>0</v>
      </c>
      <c r="AF177" s="436">
        <f t="shared" si="389"/>
        <v>0</v>
      </c>
      <c r="AG177" s="437"/>
      <c r="AH177" s="438">
        <f t="shared" si="390"/>
        <v>0</v>
      </c>
      <c r="AI177" s="438">
        <f t="shared" si="391"/>
        <v>0</v>
      </c>
      <c r="AJ177" s="438">
        <f t="shared" si="392"/>
        <v>0</v>
      </c>
      <c r="AK177" s="438">
        <f t="shared" si="393"/>
        <v>0</v>
      </c>
      <c r="AL177" s="438">
        <f t="shared" si="394"/>
        <v>0</v>
      </c>
      <c r="AM177" s="438">
        <f t="shared" si="395"/>
        <v>0</v>
      </c>
      <c r="AN177" s="438">
        <f t="shared" si="396"/>
        <v>0</v>
      </c>
      <c r="AO177" s="438">
        <f t="shared" si="397"/>
        <v>0</v>
      </c>
      <c r="AP177" s="438">
        <f t="shared" si="398"/>
        <v>0</v>
      </c>
      <c r="AQ177" s="438">
        <f t="shared" si="399"/>
        <v>0</v>
      </c>
      <c r="AR177" s="439">
        <f t="shared" si="400"/>
        <v>0</v>
      </c>
      <c r="AS177" s="440"/>
      <c r="AT177" s="438">
        <f t="shared" si="401"/>
        <v>0</v>
      </c>
      <c r="AU177" s="438">
        <f t="shared" si="402"/>
        <v>0</v>
      </c>
      <c r="AV177" s="438">
        <f t="shared" si="403"/>
        <v>0</v>
      </c>
      <c r="AW177" s="438">
        <f t="shared" si="404"/>
        <v>0</v>
      </c>
      <c r="AX177" s="438">
        <f t="shared" si="405"/>
        <v>0</v>
      </c>
      <c r="AY177" s="438">
        <f t="shared" si="406"/>
        <v>0</v>
      </c>
      <c r="AZ177" s="438">
        <f t="shared" si="407"/>
        <v>0</v>
      </c>
      <c r="BA177" s="438">
        <f t="shared" si="408"/>
        <v>0</v>
      </c>
      <c r="BB177" s="438">
        <f t="shared" si="409"/>
        <v>0</v>
      </c>
      <c r="BC177" s="438">
        <f t="shared" si="410"/>
        <v>0</v>
      </c>
      <c r="BD177" s="439">
        <f t="shared" si="411"/>
        <v>0</v>
      </c>
      <c r="BE177" s="440"/>
      <c r="BF177" s="438">
        <f t="shared" si="412"/>
        <v>0</v>
      </c>
      <c r="BG177" s="438">
        <f t="shared" si="413"/>
        <v>0</v>
      </c>
      <c r="BH177" s="438">
        <f t="shared" si="414"/>
        <v>0</v>
      </c>
      <c r="BI177" s="438">
        <f t="shared" si="415"/>
        <v>0</v>
      </c>
      <c r="BJ177" s="438">
        <f t="shared" si="416"/>
        <v>0</v>
      </c>
      <c r="BK177" s="438">
        <f t="shared" si="417"/>
        <v>0</v>
      </c>
      <c r="BL177" s="438">
        <f t="shared" si="418"/>
        <v>0</v>
      </c>
      <c r="BM177" s="438">
        <f t="shared" si="419"/>
        <v>0</v>
      </c>
      <c r="BN177" s="438">
        <f t="shared" si="420"/>
        <v>0</v>
      </c>
      <c r="BO177" s="438">
        <f t="shared" si="421"/>
        <v>0</v>
      </c>
      <c r="BP177" s="439">
        <f t="shared" si="422"/>
        <v>0</v>
      </c>
      <c r="BR177" s="442">
        <f t="shared" si="423"/>
        <v>0</v>
      </c>
      <c r="BS177" s="442">
        <f t="shared" si="424"/>
        <v>0</v>
      </c>
      <c r="BT177" s="442">
        <f t="shared" si="425"/>
        <v>0</v>
      </c>
      <c r="BU177" s="442">
        <f t="shared" si="426"/>
        <v>0</v>
      </c>
      <c r="BV177" s="442">
        <f t="shared" si="427"/>
        <v>0</v>
      </c>
      <c r="BW177" s="442">
        <f t="shared" si="428"/>
        <v>0</v>
      </c>
      <c r="BX177" s="442">
        <f t="shared" si="429"/>
        <v>0</v>
      </c>
      <c r="BY177" s="442">
        <f t="shared" si="430"/>
        <v>0</v>
      </c>
      <c r="BZ177" s="442">
        <f t="shared" si="431"/>
        <v>0</v>
      </c>
      <c r="CA177" s="442">
        <f t="shared" si="432"/>
        <v>0</v>
      </c>
      <c r="CB177" s="443">
        <f t="shared" si="433"/>
        <v>0</v>
      </c>
      <c r="CD177" s="445">
        <f t="shared" si="434"/>
        <v>0</v>
      </c>
      <c r="CE177" s="445">
        <f t="shared" si="435"/>
        <v>0</v>
      </c>
      <c r="CF177" s="445">
        <f t="shared" si="436"/>
        <v>0</v>
      </c>
      <c r="CG177" s="445">
        <f t="shared" si="437"/>
        <v>0</v>
      </c>
      <c r="CH177" s="445">
        <f t="shared" si="438"/>
        <v>0</v>
      </c>
      <c r="CI177" s="445">
        <f t="shared" si="439"/>
        <v>0</v>
      </c>
      <c r="CJ177" s="445">
        <f t="shared" si="440"/>
        <v>0</v>
      </c>
      <c r="CK177" s="445">
        <f t="shared" si="441"/>
        <v>0</v>
      </c>
      <c r="CL177" s="445">
        <f t="shared" si="442"/>
        <v>0</v>
      </c>
      <c r="CM177" s="445">
        <f t="shared" si="443"/>
        <v>0</v>
      </c>
      <c r="CN177" s="443">
        <f t="shared" si="444"/>
        <v>0</v>
      </c>
      <c r="CP177" s="442">
        <f t="shared" si="445"/>
        <v>0</v>
      </c>
      <c r="CQ177" s="442">
        <f t="shared" si="446"/>
        <v>0</v>
      </c>
      <c r="CR177" s="442">
        <f t="shared" si="447"/>
        <v>0</v>
      </c>
      <c r="CS177" s="442">
        <f t="shared" si="448"/>
        <v>0</v>
      </c>
      <c r="CT177" s="442">
        <f t="shared" si="449"/>
        <v>0</v>
      </c>
      <c r="CU177" s="442">
        <f t="shared" si="450"/>
        <v>0</v>
      </c>
      <c r="CV177" s="442">
        <f t="shared" si="451"/>
        <v>0</v>
      </c>
      <c r="CW177" s="442">
        <f t="shared" si="452"/>
        <v>0</v>
      </c>
      <c r="CX177" s="442">
        <f t="shared" si="453"/>
        <v>0</v>
      </c>
      <c r="CY177" s="442">
        <f t="shared" si="454"/>
        <v>0</v>
      </c>
      <c r="CZ177" s="443">
        <f t="shared" si="455"/>
        <v>0</v>
      </c>
      <c r="DB177" s="442">
        <f t="shared" si="456"/>
        <v>0</v>
      </c>
      <c r="DC177" s="442">
        <f t="shared" si="457"/>
        <v>0</v>
      </c>
      <c r="DD177" s="442">
        <f t="shared" si="458"/>
        <v>0</v>
      </c>
      <c r="DE177" s="442">
        <f t="shared" si="459"/>
        <v>0</v>
      </c>
      <c r="DF177" s="442">
        <f t="shared" si="460"/>
        <v>0</v>
      </c>
      <c r="DG177" s="442">
        <f t="shared" si="461"/>
        <v>0</v>
      </c>
      <c r="DH177" s="442">
        <f t="shared" si="462"/>
        <v>0</v>
      </c>
      <c r="DI177" s="442">
        <f t="shared" si="463"/>
        <v>0</v>
      </c>
      <c r="DJ177" s="442">
        <f t="shared" si="464"/>
        <v>0</v>
      </c>
      <c r="DK177" s="442">
        <f t="shared" si="465"/>
        <v>0</v>
      </c>
      <c r="DL177" s="443">
        <f t="shared" si="466"/>
        <v>0</v>
      </c>
      <c r="DN177" s="442">
        <f>IF('2. START'!$C$14&gt;0,(AT177/(1+$AA177))*(1+'2. START'!$C$14),AT177)</f>
        <v>0</v>
      </c>
      <c r="DO177" s="442">
        <f>IF('2. START'!$C$14&gt;0,(AU177/(1+$AA177))*(1+'2. START'!$C$14),AU177)</f>
        <v>0</v>
      </c>
      <c r="DP177" s="442">
        <f>IF('2. START'!$C$14&gt;0,(AV177/(1+$AA177))*(1+'2. START'!$C$14),AV177)</f>
        <v>0</v>
      </c>
      <c r="DQ177" s="442">
        <f>IF('2. START'!$C$14&gt;0,(AW177/(1+$AA177))*(1+'2. START'!$C$14),AW177)</f>
        <v>0</v>
      </c>
      <c r="DR177" s="442">
        <f>IF('2. START'!$C$14&gt;0,(AX177/(1+$AA177))*(1+'2. START'!$C$14),AX177)</f>
        <v>0</v>
      </c>
      <c r="DS177" s="442">
        <f>IF('2. START'!$C$14&gt;0,(AY177/(1+$AA177))*(1+'2. START'!$C$14),AY177)</f>
        <v>0</v>
      </c>
      <c r="DT177" s="442">
        <f>IF('2. START'!$C$14&gt;0,(AZ177/(1+$AA177))*(1+'2. START'!$C$14),AZ177)</f>
        <v>0</v>
      </c>
      <c r="DU177" s="442">
        <f>IF('2. START'!$C$14&gt;0,(BA177/(1+$AA177))*(1+'2. START'!$C$14),BA177)</f>
        <v>0</v>
      </c>
      <c r="DV177" s="442">
        <f>IF('2. START'!$C$14&gt;0,(BB177/(1+$AA177))*(1+'2. START'!$C$14),BB177)</f>
        <v>0</v>
      </c>
      <c r="DW177" s="442">
        <f>IF('2. START'!$C$14&gt;0,(BC177/(1+$AA177))*(1+'2. START'!$C$14),BC177)</f>
        <v>0</v>
      </c>
      <c r="DX177" s="443">
        <f t="shared" si="467"/>
        <v>0</v>
      </c>
      <c r="DZ177" s="442">
        <f>IF('2. START'!$C$11="NO",(IF('2. START'!$C$14&gt;0,(DN177*$AD177),(AT177*$AD177))),(BR177+CP177))</f>
        <v>0</v>
      </c>
      <c r="EA177" s="442">
        <f>IF('2. START'!$C$11="NO",(IF('2. START'!$C$14&gt;0,(DO177*$AD177),(AU177*$AD177))),(BS177+CQ177))</f>
        <v>0</v>
      </c>
      <c r="EB177" s="442">
        <f>IF('2. START'!$C$11="NO",(IF('2. START'!$C$14&gt;0,(DP177*$AD177),(AV177*$AD177))),(BT177+CR177))</f>
        <v>0</v>
      </c>
      <c r="EC177" s="442">
        <f>IF('2. START'!$C$11="NO",(IF('2. START'!$C$14&gt;0,(DQ177*$AD177),(AW177*$AD177))),(BU177+CS177))</f>
        <v>0</v>
      </c>
      <c r="ED177" s="442">
        <f>IF('2. START'!$C$11="NO",(IF('2. START'!$C$14&gt;0,(DR177*$AD177),(AX177*$AD177))),(BV177+CT177))</f>
        <v>0</v>
      </c>
      <c r="EE177" s="442">
        <f>IF('2. START'!$C$11="NO",(IF('2. START'!$C$14&gt;0,(DS177*$AD177),(AY177*$AD177))),(BW177+CU177))</f>
        <v>0</v>
      </c>
      <c r="EF177" s="442">
        <f>IF('2. START'!$C$11="NO",(IF('2. START'!$C$14&gt;0,(DT177*$AD177),(AZ177*$AD177))),(BX177+CV177))</f>
        <v>0</v>
      </c>
      <c r="EG177" s="442">
        <f>IF('2. START'!$C$11="NO",(IF('2. START'!$C$14&gt;0,(DU177*$AD177),(BA177*$AD177))),(BY177+CW177))</f>
        <v>0</v>
      </c>
      <c r="EH177" s="442">
        <f>IF('2. START'!$C$11="NO",(IF('2. START'!$C$14&gt;0,(DV177*$AD177),(BB177*$AD177))),(BZ177+CX177))</f>
        <v>0</v>
      </c>
      <c r="EI177" s="442">
        <f>IF('2. START'!$C$11="NO",(IF('2. START'!$C$14&gt;0,(DW177*$AD177),(BC177*$AD177))),(CA177+CY177))</f>
        <v>0</v>
      </c>
      <c r="EJ177" s="443">
        <f t="shared" si="468"/>
        <v>0</v>
      </c>
      <c r="EL177" s="442">
        <f>(BR177+CP177-DZ177)+IF('2. START'!$C$14&gt;0,AT177-DN177,0)</f>
        <v>0</v>
      </c>
      <c r="EM177" s="442">
        <f>(BS177+CQ177-EA177)+IF('2. START'!$C$14&gt;0,AU177-DO177,0)</f>
        <v>0</v>
      </c>
      <c r="EN177" s="442">
        <f>(BT177+CR177-EB177)+IF('2. START'!$C$14&gt;0,AV177-DP177,0)</f>
        <v>0</v>
      </c>
      <c r="EO177" s="442">
        <f>(BU177+CS177-EC177)+IF('2. START'!$C$14&gt;0,AW177-DQ177,0)</f>
        <v>0</v>
      </c>
      <c r="EP177" s="442">
        <f>(BV177+CT177-ED177)+IF('2. START'!$C$14&gt;0,AX177-DR177,0)</f>
        <v>0</v>
      </c>
      <c r="EQ177" s="442">
        <f>(BW177+CU177-EE177)+IF('2. START'!$C$14&gt;0,AY177-DS177,0)</f>
        <v>0</v>
      </c>
      <c r="ER177" s="442">
        <f>(BX177+CV177-EF177)+IF('2. START'!$C$14&gt;0,AZ177-DT177,0)</f>
        <v>0</v>
      </c>
      <c r="ES177" s="442">
        <f>(BY177+CW177-EG177)+IF('2. START'!$C$14&gt;0,BA177-DU177,0)</f>
        <v>0</v>
      </c>
      <c r="ET177" s="442">
        <f>(BZ177+CX177-EH177)+IF('2. START'!$C$14&gt;0,BB177-DV177,0)</f>
        <v>0</v>
      </c>
      <c r="EU177" s="442">
        <f>(CA177+CY177-EI177)+IF('2. START'!$C$14&gt;0,BC177-DW177,0)</f>
        <v>0</v>
      </c>
      <c r="EV177" s="443">
        <f t="shared" si="469"/>
        <v>0</v>
      </c>
      <c r="EX177" s="442">
        <f t="shared" si="470"/>
        <v>0</v>
      </c>
      <c r="EY177" s="442">
        <f t="shared" si="471"/>
        <v>0</v>
      </c>
      <c r="EZ177" s="442">
        <f t="shared" si="472"/>
        <v>0</v>
      </c>
      <c r="FA177" s="442">
        <f t="shared" si="473"/>
        <v>0</v>
      </c>
      <c r="FB177" s="442">
        <f t="shared" si="474"/>
        <v>0</v>
      </c>
      <c r="FC177" s="442">
        <f t="shared" si="475"/>
        <v>0</v>
      </c>
      <c r="FD177" s="442">
        <f t="shared" si="476"/>
        <v>0</v>
      </c>
      <c r="FE177" s="442">
        <f t="shared" si="477"/>
        <v>0</v>
      </c>
      <c r="FF177" s="442">
        <f t="shared" si="478"/>
        <v>0</v>
      </c>
      <c r="FG177" s="442">
        <f t="shared" si="479"/>
        <v>0</v>
      </c>
      <c r="FH177" s="443">
        <f t="shared" si="480"/>
        <v>0</v>
      </c>
      <c r="FJ177" s="442">
        <f t="shared" si="481"/>
        <v>0</v>
      </c>
      <c r="FK177" s="442">
        <f t="shared" si="482"/>
        <v>0</v>
      </c>
      <c r="FL177" s="442">
        <f t="shared" si="483"/>
        <v>0</v>
      </c>
      <c r="FM177" s="442">
        <f t="shared" si="484"/>
        <v>0</v>
      </c>
      <c r="FN177" s="442">
        <f t="shared" si="485"/>
        <v>0</v>
      </c>
      <c r="FO177" s="442">
        <f t="shared" si="486"/>
        <v>0</v>
      </c>
      <c r="FP177" s="442">
        <f t="shared" si="487"/>
        <v>0</v>
      </c>
      <c r="FQ177" s="442">
        <f t="shared" si="488"/>
        <v>0</v>
      </c>
      <c r="FR177" s="442">
        <f t="shared" si="489"/>
        <v>0</v>
      </c>
      <c r="FS177" s="442">
        <f t="shared" si="490"/>
        <v>0</v>
      </c>
      <c r="FT177" s="443">
        <f t="shared" si="491"/>
        <v>0</v>
      </c>
    </row>
    <row r="178" spans="2:176" s="270" customFormat="1" ht="15" customHeight="1" x14ac:dyDescent="0.25">
      <c r="B178" s="446" t="str">
        <f>'2. START'!C$7</f>
        <v>100GEM</v>
      </c>
      <c r="C178" s="469"/>
      <c r="D178" s="589"/>
      <c r="E178" s="544">
        <v>0</v>
      </c>
      <c r="F178" s="448"/>
      <c r="G178" s="449"/>
      <c r="H178" s="449"/>
      <c r="I178" s="449"/>
      <c r="J178" s="449"/>
      <c r="K178" s="449"/>
      <c r="L178" s="449"/>
      <c r="M178" s="449"/>
      <c r="N178" s="449"/>
      <c r="O178" s="449"/>
      <c r="P178" s="449"/>
      <c r="Q178" s="546">
        <f>SUMIF('3. PARTNER'!$B$13:$B$80,$B178,'3. PARTNER'!$F$13:$F$80)</f>
        <v>0.02</v>
      </c>
      <c r="R178" s="450">
        <f t="shared" si="492"/>
        <v>0.02</v>
      </c>
      <c r="S178" s="450">
        <f t="shared" si="492"/>
        <v>0.02</v>
      </c>
      <c r="T178" s="450">
        <f t="shared" si="492"/>
        <v>0.02</v>
      </c>
      <c r="U178" s="450">
        <f t="shared" si="492"/>
        <v>0.02</v>
      </c>
      <c r="V178" s="450">
        <f t="shared" si="492"/>
        <v>0.02</v>
      </c>
      <c r="W178" s="450">
        <f t="shared" si="492"/>
        <v>0.02</v>
      </c>
      <c r="X178" s="450">
        <f t="shared" si="492"/>
        <v>0.02</v>
      </c>
      <c r="Y178" s="450">
        <f t="shared" si="492"/>
        <v>0.02</v>
      </c>
      <c r="Z178" s="450">
        <f t="shared" si="492"/>
        <v>0.02</v>
      </c>
      <c r="AA178" s="451">
        <f>SUMIF('3. PARTNER'!B$13:B$80,B178,'3. PARTNER'!E$13:E$80)</f>
        <v>0.5595</v>
      </c>
      <c r="AB178" s="452">
        <f>IF('2. START'!$C$20="UTB",(SUMIF('3. PARTNER'!B$13:B$80,B178,'3. PARTNER'!K$13:K$80))+(SUMIF('3. PARTNER'!B$13:B$80,B178,'3. PARTNER'!M$13:M$80)),(SUMIF('3. PARTNER'!B$13:B$80,B178,'3. PARTNER'!G$13:G$80))+(SUMIF('3. PARTNER'!B$13:B$80,B178,'3. PARTNER'!I$13:I$80)))</f>
        <v>0.16000843770704321</v>
      </c>
      <c r="AC178" s="452">
        <f>IF('2. START'!$C$20="UTB",(SUMIF('3. PARTNER'!B$13:B$80,B178,'3. PARTNER'!L$13:L$80))+(SUMIF('3. PARTNER'!B$13:B$80,B178,'3. PARTNER'!N$13:N$80)),(SUMIF('3. PARTNER'!B$13:B$80,B178,'3. PARTNER'!H$13:H$80))+(SUMIF('3. PARTNER'!B$13:B$80,B178,'3. PARTNER'!J$13:J$80)))</f>
        <v>0</v>
      </c>
      <c r="AD178" s="452">
        <f>IF('2. START'!C$11="NO",'2. START'!C$12,0)</f>
        <v>0</v>
      </c>
      <c r="AE178" s="453">
        <f t="shared" si="388"/>
        <v>0</v>
      </c>
      <c r="AF178" s="453">
        <f t="shared" si="389"/>
        <v>0</v>
      </c>
      <c r="AG178" s="454"/>
      <c r="AH178" s="455">
        <f t="shared" si="390"/>
        <v>0</v>
      </c>
      <c r="AI178" s="455">
        <f t="shared" si="391"/>
        <v>0</v>
      </c>
      <c r="AJ178" s="455">
        <f t="shared" si="392"/>
        <v>0</v>
      </c>
      <c r="AK178" s="455">
        <f t="shared" si="393"/>
        <v>0</v>
      </c>
      <c r="AL178" s="455">
        <f t="shared" si="394"/>
        <v>0</v>
      </c>
      <c r="AM178" s="455">
        <f t="shared" si="395"/>
        <v>0</v>
      </c>
      <c r="AN178" s="455">
        <f t="shared" si="396"/>
        <v>0</v>
      </c>
      <c r="AO178" s="455">
        <f t="shared" si="397"/>
        <v>0</v>
      </c>
      <c r="AP178" s="455">
        <f t="shared" si="398"/>
        <v>0</v>
      </c>
      <c r="AQ178" s="455">
        <f t="shared" si="399"/>
        <v>0</v>
      </c>
      <c r="AR178" s="456">
        <f t="shared" si="400"/>
        <v>0</v>
      </c>
      <c r="AS178" s="457"/>
      <c r="AT178" s="455">
        <f t="shared" si="401"/>
        <v>0</v>
      </c>
      <c r="AU178" s="455">
        <f t="shared" si="402"/>
        <v>0</v>
      </c>
      <c r="AV178" s="455">
        <f t="shared" si="403"/>
        <v>0</v>
      </c>
      <c r="AW178" s="455">
        <f t="shared" si="404"/>
        <v>0</v>
      </c>
      <c r="AX178" s="455">
        <f t="shared" si="405"/>
        <v>0</v>
      </c>
      <c r="AY178" s="455">
        <f t="shared" si="406"/>
        <v>0</v>
      </c>
      <c r="AZ178" s="455">
        <f t="shared" si="407"/>
        <v>0</v>
      </c>
      <c r="BA178" s="455">
        <f t="shared" si="408"/>
        <v>0</v>
      </c>
      <c r="BB178" s="455">
        <f t="shared" si="409"/>
        <v>0</v>
      </c>
      <c r="BC178" s="455">
        <f t="shared" si="410"/>
        <v>0</v>
      </c>
      <c r="BD178" s="456">
        <f t="shared" si="411"/>
        <v>0</v>
      </c>
      <c r="BE178" s="457"/>
      <c r="BF178" s="455">
        <f t="shared" si="412"/>
        <v>0</v>
      </c>
      <c r="BG178" s="455">
        <f t="shared" si="413"/>
        <v>0</v>
      </c>
      <c r="BH178" s="455">
        <f t="shared" si="414"/>
        <v>0</v>
      </c>
      <c r="BI178" s="455">
        <f t="shared" si="415"/>
        <v>0</v>
      </c>
      <c r="BJ178" s="455">
        <f t="shared" si="416"/>
        <v>0</v>
      </c>
      <c r="BK178" s="455">
        <f t="shared" si="417"/>
        <v>0</v>
      </c>
      <c r="BL178" s="455">
        <f t="shared" si="418"/>
        <v>0</v>
      </c>
      <c r="BM178" s="455">
        <f t="shared" si="419"/>
        <v>0</v>
      </c>
      <c r="BN178" s="455">
        <f t="shared" si="420"/>
        <v>0</v>
      </c>
      <c r="BO178" s="455">
        <f t="shared" si="421"/>
        <v>0</v>
      </c>
      <c r="BP178" s="456">
        <f t="shared" si="422"/>
        <v>0</v>
      </c>
      <c r="BQ178" s="463"/>
      <c r="BR178" s="459">
        <f t="shared" si="423"/>
        <v>0</v>
      </c>
      <c r="BS178" s="459">
        <f t="shared" si="424"/>
        <v>0</v>
      </c>
      <c r="BT178" s="459">
        <f t="shared" si="425"/>
        <v>0</v>
      </c>
      <c r="BU178" s="459">
        <f t="shared" si="426"/>
        <v>0</v>
      </c>
      <c r="BV178" s="459">
        <f t="shared" si="427"/>
        <v>0</v>
      </c>
      <c r="BW178" s="459">
        <f t="shared" si="428"/>
        <v>0</v>
      </c>
      <c r="BX178" s="459">
        <f t="shared" si="429"/>
        <v>0</v>
      </c>
      <c r="BY178" s="459">
        <f t="shared" si="430"/>
        <v>0</v>
      </c>
      <c r="BZ178" s="459">
        <f t="shared" si="431"/>
        <v>0</v>
      </c>
      <c r="CA178" s="459">
        <f t="shared" si="432"/>
        <v>0</v>
      </c>
      <c r="CB178" s="460">
        <f t="shared" si="433"/>
        <v>0</v>
      </c>
      <c r="CC178" s="463"/>
      <c r="CD178" s="462">
        <f t="shared" si="434"/>
        <v>0</v>
      </c>
      <c r="CE178" s="462">
        <f t="shared" si="435"/>
        <v>0</v>
      </c>
      <c r="CF178" s="462">
        <f t="shared" si="436"/>
        <v>0</v>
      </c>
      <c r="CG178" s="462">
        <f t="shared" si="437"/>
        <v>0</v>
      </c>
      <c r="CH178" s="462">
        <f t="shared" si="438"/>
        <v>0</v>
      </c>
      <c r="CI178" s="462">
        <f t="shared" si="439"/>
        <v>0</v>
      </c>
      <c r="CJ178" s="462">
        <f t="shared" si="440"/>
        <v>0</v>
      </c>
      <c r="CK178" s="462">
        <f t="shared" si="441"/>
        <v>0</v>
      </c>
      <c r="CL178" s="462">
        <f t="shared" si="442"/>
        <v>0</v>
      </c>
      <c r="CM178" s="462">
        <f t="shared" si="443"/>
        <v>0</v>
      </c>
      <c r="CN178" s="460">
        <f t="shared" si="444"/>
        <v>0</v>
      </c>
      <c r="CO178" s="463"/>
      <c r="CP178" s="459">
        <f t="shared" si="445"/>
        <v>0</v>
      </c>
      <c r="CQ178" s="459">
        <f t="shared" si="446"/>
        <v>0</v>
      </c>
      <c r="CR178" s="459">
        <f t="shared" si="447"/>
        <v>0</v>
      </c>
      <c r="CS178" s="459">
        <f t="shared" si="448"/>
        <v>0</v>
      </c>
      <c r="CT178" s="459">
        <f t="shared" si="449"/>
        <v>0</v>
      </c>
      <c r="CU178" s="459">
        <f t="shared" si="450"/>
        <v>0</v>
      </c>
      <c r="CV178" s="459">
        <f t="shared" si="451"/>
        <v>0</v>
      </c>
      <c r="CW178" s="459">
        <f t="shared" si="452"/>
        <v>0</v>
      </c>
      <c r="CX178" s="459">
        <f t="shared" si="453"/>
        <v>0</v>
      </c>
      <c r="CY178" s="459">
        <f t="shared" si="454"/>
        <v>0</v>
      </c>
      <c r="CZ178" s="460">
        <f t="shared" si="455"/>
        <v>0</v>
      </c>
      <c r="DA178" s="463"/>
      <c r="DB178" s="459">
        <f t="shared" si="456"/>
        <v>0</v>
      </c>
      <c r="DC178" s="459">
        <f t="shared" si="457"/>
        <v>0</v>
      </c>
      <c r="DD178" s="459">
        <f t="shared" si="458"/>
        <v>0</v>
      </c>
      <c r="DE178" s="459">
        <f t="shared" si="459"/>
        <v>0</v>
      </c>
      <c r="DF178" s="459">
        <f t="shared" si="460"/>
        <v>0</v>
      </c>
      <c r="DG178" s="459">
        <f t="shared" si="461"/>
        <v>0</v>
      </c>
      <c r="DH178" s="459">
        <f t="shared" si="462"/>
        <v>0</v>
      </c>
      <c r="DI178" s="459">
        <f t="shared" si="463"/>
        <v>0</v>
      </c>
      <c r="DJ178" s="459">
        <f t="shared" si="464"/>
        <v>0</v>
      </c>
      <c r="DK178" s="459">
        <f t="shared" si="465"/>
        <v>0</v>
      </c>
      <c r="DL178" s="460">
        <f t="shared" si="466"/>
        <v>0</v>
      </c>
      <c r="DM178" s="463"/>
      <c r="DN178" s="442">
        <f>IF('2. START'!$C$14&gt;0,(AT178/(1+$AA178))*(1+'2. START'!$C$14),AT178)</f>
        <v>0</v>
      </c>
      <c r="DO178" s="442">
        <f>IF('2. START'!$C$14&gt;0,(AU178/(1+$AA178))*(1+'2. START'!$C$14),AU178)</f>
        <v>0</v>
      </c>
      <c r="DP178" s="442">
        <f>IF('2. START'!$C$14&gt;0,(AV178/(1+$AA178))*(1+'2. START'!$C$14),AV178)</f>
        <v>0</v>
      </c>
      <c r="DQ178" s="442">
        <f>IF('2. START'!$C$14&gt;0,(AW178/(1+$AA178))*(1+'2. START'!$C$14),AW178)</f>
        <v>0</v>
      </c>
      <c r="DR178" s="442">
        <f>IF('2. START'!$C$14&gt;0,(AX178/(1+$AA178))*(1+'2. START'!$C$14),AX178)</f>
        <v>0</v>
      </c>
      <c r="DS178" s="442">
        <f>IF('2. START'!$C$14&gt;0,(AY178/(1+$AA178))*(1+'2. START'!$C$14),AY178)</f>
        <v>0</v>
      </c>
      <c r="DT178" s="442">
        <f>IF('2. START'!$C$14&gt;0,(AZ178/(1+$AA178))*(1+'2. START'!$C$14),AZ178)</f>
        <v>0</v>
      </c>
      <c r="DU178" s="442">
        <f>IF('2. START'!$C$14&gt;0,(BA178/(1+$AA178))*(1+'2. START'!$C$14),BA178)</f>
        <v>0</v>
      </c>
      <c r="DV178" s="442">
        <f>IF('2. START'!$C$14&gt;0,(BB178/(1+$AA178))*(1+'2. START'!$C$14),BB178)</f>
        <v>0</v>
      </c>
      <c r="DW178" s="442">
        <f>IF('2. START'!$C$14&gt;0,(BC178/(1+$AA178))*(1+'2. START'!$C$14),BC178)</f>
        <v>0</v>
      </c>
      <c r="DX178" s="460">
        <f t="shared" si="467"/>
        <v>0</v>
      </c>
      <c r="DY178" s="463"/>
      <c r="DZ178" s="459">
        <f>IF('2. START'!$C$11="NO",(IF('2. START'!$C$14&gt;0,(DN178*$AD178),(AT178*$AD178))),(BR178+CP178))</f>
        <v>0</v>
      </c>
      <c r="EA178" s="459">
        <f>IF('2. START'!$C$11="NO",(IF('2. START'!$C$14&gt;0,(DO178*$AD178),(AU178*$AD178))),(BS178+CQ178))</f>
        <v>0</v>
      </c>
      <c r="EB178" s="459">
        <f>IF('2. START'!$C$11="NO",(IF('2. START'!$C$14&gt;0,(DP178*$AD178),(AV178*$AD178))),(BT178+CR178))</f>
        <v>0</v>
      </c>
      <c r="EC178" s="459">
        <f>IF('2. START'!$C$11="NO",(IF('2. START'!$C$14&gt;0,(DQ178*$AD178),(AW178*$AD178))),(BU178+CS178))</f>
        <v>0</v>
      </c>
      <c r="ED178" s="459">
        <f>IF('2. START'!$C$11="NO",(IF('2. START'!$C$14&gt;0,(DR178*$AD178),(AX178*$AD178))),(BV178+CT178))</f>
        <v>0</v>
      </c>
      <c r="EE178" s="459">
        <f>IF('2. START'!$C$11="NO",(IF('2. START'!$C$14&gt;0,(DS178*$AD178),(AY178*$AD178))),(BW178+CU178))</f>
        <v>0</v>
      </c>
      <c r="EF178" s="459">
        <f>IF('2. START'!$C$11="NO",(IF('2. START'!$C$14&gt;0,(DT178*$AD178),(AZ178*$AD178))),(BX178+CV178))</f>
        <v>0</v>
      </c>
      <c r="EG178" s="459">
        <f>IF('2. START'!$C$11="NO",(IF('2. START'!$C$14&gt;0,(DU178*$AD178),(BA178*$AD178))),(BY178+CW178))</f>
        <v>0</v>
      </c>
      <c r="EH178" s="459">
        <f>IF('2. START'!$C$11="NO",(IF('2. START'!$C$14&gt;0,(DV178*$AD178),(BB178*$AD178))),(BZ178+CX178))</f>
        <v>0</v>
      </c>
      <c r="EI178" s="459">
        <f>IF('2. START'!$C$11="NO",(IF('2. START'!$C$14&gt;0,(DW178*$AD178),(BC178*$AD178))),(CA178+CY178))</f>
        <v>0</v>
      </c>
      <c r="EJ178" s="460">
        <f t="shared" si="468"/>
        <v>0</v>
      </c>
      <c r="EK178" s="463"/>
      <c r="EL178" s="459">
        <f>(BR178+CP178-DZ178)+IF('2. START'!$C$14&gt;0,AT178-DN178,0)</f>
        <v>0</v>
      </c>
      <c r="EM178" s="459">
        <f>(BS178+CQ178-EA178)+IF('2. START'!$C$14&gt;0,AU178-DO178,0)</f>
        <v>0</v>
      </c>
      <c r="EN178" s="459">
        <f>(BT178+CR178-EB178)+IF('2. START'!$C$14&gt;0,AV178-DP178,0)</f>
        <v>0</v>
      </c>
      <c r="EO178" s="459">
        <f>(BU178+CS178-EC178)+IF('2. START'!$C$14&gt;0,AW178-DQ178,0)</f>
        <v>0</v>
      </c>
      <c r="EP178" s="459">
        <f>(BV178+CT178-ED178)+IF('2. START'!$C$14&gt;0,AX178-DR178,0)</f>
        <v>0</v>
      </c>
      <c r="EQ178" s="459">
        <f>(BW178+CU178-EE178)+IF('2. START'!$C$14&gt;0,AY178-DS178,0)</f>
        <v>0</v>
      </c>
      <c r="ER178" s="459">
        <f>(BX178+CV178-EF178)+IF('2. START'!$C$14&gt;0,AZ178-DT178,0)</f>
        <v>0</v>
      </c>
      <c r="ES178" s="459">
        <f>(BY178+CW178-EG178)+IF('2. START'!$C$14&gt;0,BA178-DU178,0)</f>
        <v>0</v>
      </c>
      <c r="ET178" s="459">
        <f>(BZ178+CX178-EH178)+IF('2. START'!$C$14&gt;0,BB178-DV178,0)</f>
        <v>0</v>
      </c>
      <c r="EU178" s="459">
        <f>(CA178+CY178-EI178)+IF('2. START'!$C$14&gt;0,BC178-DW178,0)</f>
        <v>0</v>
      </c>
      <c r="EV178" s="460">
        <f t="shared" si="469"/>
        <v>0</v>
      </c>
      <c r="EW178" s="463"/>
      <c r="EX178" s="459">
        <f t="shared" si="470"/>
        <v>0</v>
      </c>
      <c r="EY178" s="459">
        <f t="shared" si="471"/>
        <v>0</v>
      </c>
      <c r="EZ178" s="459">
        <f t="shared" si="472"/>
        <v>0</v>
      </c>
      <c r="FA178" s="459">
        <f t="shared" si="473"/>
        <v>0</v>
      </c>
      <c r="FB178" s="459">
        <f t="shared" si="474"/>
        <v>0</v>
      </c>
      <c r="FC178" s="459">
        <f t="shared" si="475"/>
        <v>0</v>
      </c>
      <c r="FD178" s="459">
        <f t="shared" si="476"/>
        <v>0</v>
      </c>
      <c r="FE178" s="459">
        <f t="shared" si="477"/>
        <v>0</v>
      </c>
      <c r="FF178" s="459">
        <f t="shared" si="478"/>
        <v>0</v>
      </c>
      <c r="FG178" s="459">
        <f t="shared" si="479"/>
        <v>0</v>
      </c>
      <c r="FH178" s="460">
        <f t="shared" si="480"/>
        <v>0</v>
      </c>
      <c r="FI178" s="463"/>
      <c r="FJ178" s="459">
        <f t="shared" si="481"/>
        <v>0</v>
      </c>
      <c r="FK178" s="459">
        <f t="shared" si="482"/>
        <v>0</v>
      </c>
      <c r="FL178" s="459">
        <f t="shared" si="483"/>
        <v>0</v>
      </c>
      <c r="FM178" s="459">
        <f t="shared" si="484"/>
        <v>0</v>
      </c>
      <c r="FN178" s="459">
        <f t="shared" si="485"/>
        <v>0</v>
      </c>
      <c r="FO178" s="459">
        <f t="shared" si="486"/>
        <v>0</v>
      </c>
      <c r="FP178" s="459">
        <f t="shared" si="487"/>
        <v>0</v>
      </c>
      <c r="FQ178" s="459">
        <f t="shared" si="488"/>
        <v>0</v>
      </c>
      <c r="FR178" s="459">
        <f t="shared" si="489"/>
        <v>0</v>
      </c>
      <c r="FS178" s="459">
        <f t="shared" si="490"/>
        <v>0</v>
      </c>
      <c r="FT178" s="460">
        <f t="shared" si="491"/>
        <v>0</v>
      </c>
    </row>
    <row r="179" spans="2:176" s="270" customFormat="1" ht="15" customHeight="1" x14ac:dyDescent="0.25">
      <c r="B179" s="464" t="str">
        <f>'2. START'!C$7</f>
        <v>100GEM</v>
      </c>
      <c r="C179" s="470"/>
      <c r="D179" s="590"/>
      <c r="E179" s="514">
        <v>0</v>
      </c>
      <c r="F179" s="467"/>
      <c r="G179" s="432"/>
      <c r="H179" s="432"/>
      <c r="I179" s="432"/>
      <c r="J179" s="432"/>
      <c r="K179" s="432"/>
      <c r="L179" s="432"/>
      <c r="M179" s="432"/>
      <c r="N179" s="432"/>
      <c r="O179" s="432"/>
      <c r="P179" s="432"/>
      <c r="Q179" s="545">
        <f>SUMIF('3. PARTNER'!$B$13:$B$80,$B179,'3. PARTNER'!$F$13:$F$80)</f>
        <v>0.02</v>
      </c>
      <c r="R179" s="466">
        <f t="shared" si="492"/>
        <v>0.02</v>
      </c>
      <c r="S179" s="466">
        <f t="shared" si="492"/>
        <v>0.02</v>
      </c>
      <c r="T179" s="466">
        <f t="shared" si="492"/>
        <v>0.02</v>
      </c>
      <c r="U179" s="466">
        <f t="shared" si="492"/>
        <v>0.02</v>
      </c>
      <c r="V179" s="466">
        <f t="shared" si="492"/>
        <v>0.02</v>
      </c>
      <c r="W179" s="466">
        <f t="shared" si="492"/>
        <v>0.02</v>
      </c>
      <c r="X179" s="466">
        <f t="shared" si="492"/>
        <v>0.02</v>
      </c>
      <c r="Y179" s="466">
        <f t="shared" si="492"/>
        <v>0.02</v>
      </c>
      <c r="Z179" s="466">
        <f t="shared" si="492"/>
        <v>0.02</v>
      </c>
      <c r="AA179" s="434">
        <f>SUMIF('3. PARTNER'!B$13:B$80,B179,'3. PARTNER'!E$13:E$80)</f>
        <v>0.5595</v>
      </c>
      <c r="AB179" s="435">
        <f>IF('2. START'!$C$20="UTB",(SUMIF('3. PARTNER'!B$13:B$80,B179,'3. PARTNER'!K$13:K$80))+(SUMIF('3. PARTNER'!B$13:B$80,B179,'3. PARTNER'!M$13:M$80)),(SUMIF('3. PARTNER'!B$13:B$80,B179,'3. PARTNER'!G$13:G$80))+(SUMIF('3. PARTNER'!B$13:B$80,B179,'3. PARTNER'!I$13:I$80)))</f>
        <v>0.16000843770704321</v>
      </c>
      <c r="AC179" s="435">
        <f>IF('2. START'!$C$20="UTB",(SUMIF('3. PARTNER'!B$13:B$80,B179,'3. PARTNER'!L$13:L$80))+(SUMIF('3. PARTNER'!B$13:B$80,B179,'3. PARTNER'!N$13:N$80)),(SUMIF('3. PARTNER'!B$13:B$80,B179,'3. PARTNER'!H$13:H$80))+(SUMIF('3. PARTNER'!B$13:B$80,B179,'3. PARTNER'!J$13:J$80)))</f>
        <v>0</v>
      </c>
      <c r="AD179" s="435">
        <f>IF('2. START'!C$11="NO",'2. START'!C$12,0)</f>
        <v>0</v>
      </c>
      <c r="AE179" s="436">
        <f t="shared" si="388"/>
        <v>0</v>
      </c>
      <c r="AF179" s="436">
        <f t="shared" si="389"/>
        <v>0</v>
      </c>
      <c r="AG179" s="437"/>
      <c r="AH179" s="438">
        <f t="shared" si="390"/>
        <v>0</v>
      </c>
      <c r="AI179" s="438">
        <f t="shared" si="391"/>
        <v>0</v>
      </c>
      <c r="AJ179" s="438">
        <f t="shared" si="392"/>
        <v>0</v>
      </c>
      <c r="AK179" s="438">
        <f t="shared" si="393"/>
        <v>0</v>
      </c>
      <c r="AL179" s="438">
        <f t="shared" si="394"/>
        <v>0</v>
      </c>
      <c r="AM179" s="438">
        <f t="shared" si="395"/>
        <v>0</v>
      </c>
      <c r="AN179" s="438">
        <f t="shared" si="396"/>
        <v>0</v>
      </c>
      <c r="AO179" s="438">
        <f t="shared" si="397"/>
        <v>0</v>
      </c>
      <c r="AP179" s="438">
        <f t="shared" si="398"/>
        <v>0</v>
      </c>
      <c r="AQ179" s="438">
        <f t="shared" si="399"/>
        <v>0</v>
      </c>
      <c r="AR179" s="439">
        <f t="shared" si="400"/>
        <v>0</v>
      </c>
      <c r="AS179" s="440"/>
      <c r="AT179" s="438">
        <f t="shared" si="401"/>
        <v>0</v>
      </c>
      <c r="AU179" s="438">
        <f t="shared" si="402"/>
        <v>0</v>
      </c>
      <c r="AV179" s="438">
        <f t="shared" si="403"/>
        <v>0</v>
      </c>
      <c r="AW179" s="438">
        <f t="shared" si="404"/>
        <v>0</v>
      </c>
      <c r="AX179" s="438">
        <f t="shared" si="405"/>
        <v>0</v>
      </c>
      <c r="AY179" s="438">
        <f t="shared" si="406"/>
        <v>0</v>
      </c>
      <c r="AZ179" s="438">
        <f t="shared" si="407"/>
        <v>0</v>
      </c>
      <c r="BA179" s="438">
        <f t="shared" si="408"/>
        <v>0</v>
      </c>
      <c r="BB179" s="438">
        <f t="shared" si="409"/>
        <v>0</v>
      </c>
      <c r="BC179" s="438">
        <f t="shared" si="410"/>
        <v>0</v>
      </c>
      <c r="BD179" s="439">
        <f t="shared" si="411"/>
        <v>0</v>
      </c>
      <c r="BE179" s="440"/>
      <c r="BF179" s="438">
        <f t="shared" si="412"/>
        <v>0</v>
      </c>
      <c r="BG179" s="438">
        <f t="shared" si="413"/>
        <v>0</v>
      </c>
      <c r="BH179" s="438">
        <f t="shared" si="414"/>
        <v>0</v>
      </c>
      <c r="BI179" s="438">
        <f t="shared" si="415"/>
        <v>0</v>
      </c>
      <c r="BJ179" s="438">
        <f t="shared" si="416"/>
        <v>0</v>
      </c>
      <c r="BK179" s="438">
        <f t="shared" si="417"/>
        <v>0</v>
      </c>
      <c r="BL179" s="438">
        <f t="shared" si="418"/>
        <v>0</v>
      </c>
      <c r="BM179" s="438">
        <f t="shared" si="419"/>
        <v>0</v>
      </c>
      <c r="BN179" s="438">
        <f t="shared" si="420"/>
        <v>0</v>
      </c>
      <c r="BO179" s="438">
        <f t="shared" si="421"/>
        <v>0</v>
      </c>
      <c r="BP179" s="439">
        <f t="shared" si="422"/>
        <v>0</v>
      </c>
      <c r="BR179" s="442">
        <f t="shared" si="423"/>
        <v>0</v>
      </c>
      <c r="BS179" s="442">
        <f t="shared" si="424"/>
        <v>0</v>
      </c>
      <c r="BT179" s="442">
        <f t="shared" si="425"/>
        <v>0</v>
      </c>
      <c r="BU179" s="442">
        <f t="shared" si="426"/>
        <v>0</v>
      </c>
      <c r="BV179" s="442">
        <f t="shared" si="427"/>
        <v>0</v>
      </c>
      <c r="BW179" s="442">
        <f t="shared" si="428"/>
        <v>0</v>
      </c>
      <c r="BX179" s="442">
        <f t="shared" si="429"/>
        <v>0</v>
      </c>
      <c r="BY179" s="442">
        <f t="shared" si="430"/>
        <v>0</v>
      </c>
      <c r="BZ179" s="442">
        <f t="shared" si="431"/>
        <v>0</v>
      </c>
      <c r="CA179" s="442">
        <f t="shared" si="432"/>
        <v>0</v>
      </c>
      <c r="CB179" s="443">
        <f t="shared" si="433"/>
        <v>0</v>
      </c>
      <c r="CD179" s="445">
        <f t="shared" si="434"/>
        <v>0</v>
      </c>
      <c r="CE179" s="445">
        <f t="shared" si="435"/>
        <v>0</v>
      </c>
      <c r="CF179" s="445">
        <f t="shared" si="436"/>
        <v>0</v>
      </c>
      <c r="CG179" s="445">
        <f t="shared" si="437"/>
        <v>0</v>
      </c>
      <c r="CH179" s="445">
        <f t="shared" si="438"/>
        <v>0</v>
      </c>
      <c r="CI179" s="445">
        <f t="shared" si="439"/>
        <v>0</v>
      </c>
      <c r="CJ179" s="445">
        <f t="shared" si="440"/>
        <v>0</v>
      </c>
      <c r="CK179" s="445">
        <f t="shared" si="441"/>
        <v>0</v>
      </c>
      <c r="CL179" s="445">
        <f t="shared" si="442"/>
        <v>0</v>
      </c>
      <c r="CM179" s="445">
        <f t="shared" si="443"/>
        <v>0</v>
      </c>
      <c r="CN179" s="443">
        <f t="shared" si="444"/>
        <v>0</v>
      </c>
      <c r="CP179" s="442">
        <f t="shared" si="445"/>
        <v>0</v>
      </c>
      <c r="CQ179" s="442">
        <f t="shared" si="446"/>
        <v>0</v>
      </c>
      <c r="CR179" s="442">
        <f t="shared" si="447"/>
        <v>0</v>
      </c>
      <c r="CS179" s="442">
        <f t="shared" si="448"/>
        <v>0</v>
      </c>
      <c r="CT179" s="442">
        <f t="shared" si="449"/>
        <v>0</v>
      </c>
      <c r="CU179" s="442">
        <f t="shared" si="450"/>
        <v>0</v>
      </c>
      <c r="CV179" s="442">
        <f t="shared" si="451"/>
        <v>0</v>
      </c>
      <c r="CW179" s="442">
        <f t="shared" si="452"/>
        <v>0</v>
      </c>
      <c r="CX179" s="442">
        <f t="shared" si="453"/>
        <v>0</v>
      </c>
      <c r="CY179" s="442">
        <f t="shared" si="454"/>
        <v>0</v>
      </c>
      <c r="CZ179" s="443">
        <f t="shared" si="455"/>
        <v>0</v>
      </c>
      <c r="DB179" s="442">
        <f t="shared" si="456"/>
        <v>0</v>
      </c>
      <c r="DC179" s="442">
        <f t="shared" si="457"/>
        <v>0</v>
      </c>
      <c r="DD179" s="442">
        <f t="shared" si="458"/>
        <v>0</v>
      </c>
      <c r="DE179" s="442">
        <f t="shared" si="459"/>
        <v>0</v>
      </c>
      <c r="DF179" s="442">
        <f t="shared" si="460"/>
        <v>0</v>
      </c>
      <c r="DG179" s="442">
        <f t="shared" si="461"/>
        <v>0</v>
      </c>
      <c r="DH179" s="442">
        <f t="shared" si="462"/>
        <v>0</v>
      </c>
      <c r="DI179" s="442">
        <f t="shared" si="463"/>
        <v>0</v>
      </c>
      <c r="DJ179" s="442">
        <f t="shared" si="464"/>
        <v>0</v>
      </c>
      <c r="DK179" s="442">
        <f t="shared" si="465"/>
        <v>0</v>
      </c>
      <c r="DL179" s="443">
        <f t="shared" si="466"/>
        <v>0</v>
      </c>
      <c r="DN179" s="442">
        <f>IF('2. START'!$C$14&gt;0,(AT179/(1+$AA179))*(1+'2. START'!$C$14),AT179)</f>
        <v>0</v>
      </c>
      <c r="DO179" s="442">
        <f>IF('2. START'!$C$14&gt;0,(AU179/(1+$AA179))*(1+'2. START'!$C$14),AU179)</f>
        <v>0</v>
      </c>
      <c r="DP179" s="442">
        <f>IF('2. START'!$C$14&gt;0,(AV179/(1+$AA179))*(1+'2. START'!$C$14),AV179)</f>
        <v>0</v>
      </c>
      <c r="DQ179" s="442">
        <f>IF('2. START'!$C$14&gt;0,(AW179/(1+$AA179))*(1+'2. START'!$C$14),AW179)</f>
        <v>0</v>
      </c>
      <c r="DR179" s="442">
        <f>IF('2. START'!$C$14&gt;0,(AX179/(1+$AA179))*(1+'2. START'!$C$14),AX179)</f>
        <v>0</v>
      </c>
      <c r="DS179" s="442">
        <f>IF('2. START'!$C$14&gt;0,(AY179/(1+$AA179))*(1+'2. START'!$C$14),AY179)</f>
        <v>0</v>
      </c>
      <c r="DT179" s="442">
        <f>IF('2. START'!$C$14&gt;0,(AZ179/(1+$AA179))*(1+'2. START'!$C$14),AZ179)</f>
        <v>0</v>
      </c>
      <c r="DU179" s="442">
        <f>IF('2. START'!$C$14&gt;0,(BA179/(1+$AA179))*(1+'2. START'!$C$14),BA179)</f>
        <v>0</v>
      </c>
      <c r="DV179" s="442">
        <f>IF('2. START'!$C$14&gt;0,(BB179/(1+$AA179))*(1+'2. START'!$C$14),BB179)</f>
        <v>0</v>
      </c>
      <c r="DW179" s="442">
        <f>IF('2. START'!$C$14&gt;0,(BC179/(1+$AA179))*(1+'2. START'!$C$14),BC179)</f>
        <v>0</v>
      </c>
      <c r="DX179" s="443">
        <f t="shared" si="467"/>
        <v>0</v>
      </c>
      <c r="DZ179" s="442">
        <f>IF('2. START'!$C$11="NO",(IF('2. START'!$C$14&gt;0,(DN179*$AD179),(AT179*$AD179))),(BR179+CP179))</f>
        <v>0</v>
      </c>
      <c r="EA179" s="442">
        <f>IF('2. START'!$C$11="NO",(IF('2. START'!$C$14&gt;0,(DO179*$AD179),(AU179*$AD179))),(BS179+CQ179))</f>
        <v>0</v>
      </c>
      <c r="EB179" s="442">
        <f>IF('2. START'!$C$11="NO",(IF('2. START'!$C$14&gt;0,(DP179*$AD179),(AV179*$AD179))),(BT179+CR179))</f>
        <v>0</v>
      </c>
      <c r="EC179" s="442">
        <f>IF('2. START'!$C$11="NO",(IF('2. START'!$C$14&gt;0,(DQ179*$AD179),(AW179*$AD179))),(BU179+CS179))</f>
        <v>0</v>
      </c>
      <c r="ED179" s="442">
        <f>IF('2. START'!$C$11="NO",(IF('2. START'!$C$14&gt;0,(DR179*$AD179),(AX179*$AD179))),(BV179+CT179))</f>
        <v>0</v>
      </c>
      <c r="EE179" s="442">
        <f>IF('2. START'!$C$11="NO",(IF('2. START'!$C$14&gt;0,(DS179*$AD179),(AY179*$AD179))),(BW179+CU179))</f>
        <v>0</v>
      </c>
      <c r="EF179" s="442">
        <f>IF('2. START'!$C$11="NO",(IF('2. START'!$C$14&gt;0,(DT179*$AD179),(AZ179*$AD179))),(BX179+CV179))</f>
        <v>0</v>
      </c>
      <c r="EG179" s="442">
        <f>IF('2. START'!$C$11="NO",(IF('2. START'!$C$14&gt;0,(DU179*$AD179),(BA179*$AD179))),(BY179+CW179))</f>
        <v>0</v>
      </c>
      <c r="EH179" s="442">
        <f>IF('2. START'!$C$11="NO",(IF('2. START'!$C$14&gt;0,(DV179*$AD179),(BB179*$AD179))),(BZ179+CX179))</f>
        <v>0</v>
      </c>
      <c r="EI179" s="442">
        <f>IF('2. START'!$C$11="NO",(IF('2. START'!$C$14&gt;0,(DW179*$AD179),(BC179*$AD179))),(CA179+CY179))</f>
        <v>0</v>
      </c>
      <c r="EJ179" s="443">
        <f t="shared" si="468"/>
        <v>0</v>
      </c>
      <c r="EL179" s="442">
        <f>(BR179+CP179-DZ179)+IF('2. START'!$C$14&gt;0,AT179-DN179,0)</f>
        <v>0</v>
      </c>
      <c r="EM179" s="442">
        <f>(BS179+CQ179-EA179)+IF('2. START'!$C$14&gt;0,AU179-DO179,0)</f>
        <v>0</v>
      </c>
      <c r="EN179" s="442">
        <f>(BT179+CR179-EB179)+IF('2. START'!$C$14&gt;0,AV179-DP179,0)</f>
        <v>0</v>
      </c>
      <c r="EO179" s="442">
        <f>(BU179+CS179-EC179)+IF('2. START'!$C$14&gt;0,AW179-DQ179,0)</f>
        <v>0</v>
      </c>
      <c r="EP179" s="442">
        <f>(BV179+CT179-ED179)+IF('2. START'!$C$14&gt;0,AX179-DR179,0)</f>
        <v>0</v>
      </c>
      <c r="EQ179" s="442">
        <f>(BW179+CU179-EE179)+IF('2. START'!$C$14&gt;0,AY179-DS179,0)</f>
        <v>0</v>
      </c>
      <c r="ER179" s="442">
        <f>(BX179+CV179-EF179)+IF('2. START'!$C$14&gt;0,AZ179-DT179,0)</f>
        <v>0</v>
      </c>
      <c r="ES179" s="442">
        <f>(BY179+CW179-EG179)+IF('2. START'!$C$14&gt;0,BA179-DU179,0)</f>
        <v>0</v>
      </c>
      <c r="ET179" s="442">
        <f>(BZ179+CX179-EH179)+IF('2. START'!$C$14&gt;0,BB179-DV179,0)</f>
        <v>0</v>
      </c>
      <c r="EU179" s="442">
        <f>(CA179+CY179-EI179)+IF('2. START'!$C$14&gt;0,BC179-DW179,0)</f>
        <v>0</v>
      </c>
      <c r="EV179" s="443">
        <f t="shared" si="469"/>
        <v>0</v>
      </c>
      <c r="EX179" s="442">
        <f t="shared" si="470"/>
        <v>0</v>
      </c>
      <c r="EY179" s="442">
        <f t="shared" si="471"/>
        <v>0</v>
      </c>
      <c r="EZ179" s="442">
        <f t="shared" si="472"/>
        <v>0</v>
      </c>
      <c r="FA179" s="442">
        <f t="shared" si="473"/>
        <v>0</v>
      </c>
      <c r="FB179" s="442">
        <f t="shared" si="474"/>
        <v>0</v>
      </c>
      <c r="FC179" s="442">
        <f t="shared" si="475"/>
        <v>0</v>
      </c>
      <c r="FD179" s="442">
        <f t="shared" si="476"/>
        <v>0</v>
      </c>
      <c r="FE179" s="442">
        <f t="shared" si="477"/>
        <v>0</v>
      </c>
      <c r="FF179" s="442">
        <f t="shared" si="478"/>
        <v>0</v>
      </c>
      <c r="FG179" s="442">
        <f t="shared" si="479"/>
        <v>0</v>
      </c>
      <c r="FH179" s="443">
        <f t="shared" si="480"/>
        <v>0</v>
      </c>
      <c r="FJ179" s="442">
        <f t="shared" si="481"/>
        <v>0</v>
      </c>
      <c r="FK179" s="442">
        <f t="shared" si="482"/>
        <v>0</v>
      </c>
      <c r="FL179" s="442">
        <f t="shared" si="483"/>
        <v>0</v>
      </c>
      <c r="FM179" s="442">
        <f t="shared" si="484"/>
        <v>0</v>
      </c>
      <c r="FN179" s="442">
        <f t="shared" si="485"/>
        <v>0</v>
      </c>
      <c r="FO179" s="442">
        <f t="shared" si="486"/>
        <v>0</v>
      </c>
      <c r="FP179" s="442">
        <f t="shared" si="487"/>
        <v>0</v>
      </c>
      <c r="FQ179" s="442">
        <f t="shared" si="488"/>
        <v>0</v>
      </c>
      <c r="FR179" s="442">
        <f t="shared" si="489"/>
        <v>0</v>
      </c>
      <c r="FS179" s="442">
        <f t="shared" si="490"/>
        <v>0</v>
      </c>
      <c r="FT179" s="443">
        <f t="shared" si="491"/>
        <v>0</v>
      </c>
    </row>
    <row r="180" spans="2:176" s="270" customFormat="1" ht="15" customHeight="1" x14ac:dyDescent="0.25">
      <c r="B180" s="446" t="str">
        <f>'2. START'!C$7</f>
        <v>100GEM</v>
      </c>
      <c r="C180" s="469"/>
      <c r="D180" s="589"/>
      <c r="E180" s="544">
        <v>0</v>
      </c>
      <c r="F180" s="448"/>
      <c r="G180" s="449"/>
      <c r="H180" s="449"/>
      <c r="I180" s="449"/>
      <c r="J180" s="449"/>
      <c r="K180" s="449"/>
      <c r="L180" s="449"/>
      <c r="M180" s="449"/>
      <c r="N180" s="449"/>
      <c r="O180" s="449"/>
      <c r="P180" s="449"/>
      <c r="Q180" s="546">
        <f>SUMIF('3. PARTNER'!$B$13:$B$80,$B180,'3. PARTNER'!$F$13:$F$80)</f>
        <v>0.02</v>
      </c>
      <c r="R180" s="450">
        <f t="shared" si="492"/>
        <v>0.02</v>
      </c>
      <c r="S180" s="450">
        <f t="shared" si="492"/>
        <v>0.02</v>
      </c>
      <c r="T180" s="450">
        <f t="shared" si="492"/>
        <v>0.02</v>
      </c>
      <c r="U180" s="450">
        <f t="shared" si="492"/>
        <v>0.02</v>
      </c>
      <c r="V180" s="450">
        <f t="shared" si="492"/>
        <v>0.02</v>
      </c>
      <c r="W180" s="450">
        <f t="shared" si="492"/>
        <v>0.02</v>
      </c>
      <c r="X180" s="450">
        <f t="shared" si="492"/>
        <v>0.02</v>
      </c>
      <c r="Y180" s="450">
        <f t="shared" si="492"/>
        <v>0.02</v>
      </c>
      <c r="Z180" s="450">
        <f t="shared" si="492"/>
        <v>0.02</v>
      </c>
      <c r="AA180" s="451">
        <f>SUMIF('3. PARTNER'!B$13:B$80,B180,'3. PARTNER'!E$13:E$80)</f>
        <v>0.5595</v>
      </c>
      <c r="AB180" s="452">
        <f>IF('2. START'!$C$20="UTB",(SUMIF('3. PARTNER'!B$13:B$80,B180,'3. PARTNER'!K$13:K$80))+(SUMIF('3. PARTNER'!B$13:B$80,B180,'3. PARTNER'!M$13:M$80)),(SUMIF('3. PARTNER'!B$13:B$80,B180,'3. PARTNER'!G$13:G$80))+(SUMIF('3. PARTNER'!B$13:B$80,B180,'3. PARTNER'!I$13:I$80)))</f>
        <v>0.16000843770704321</v>
      </c>
      <c r="AC180" s="452">
        <f>IF('2. START'!$C$20="UTB",(SUMIF('3. PARTNER'!B$13:B$80,B180,'3. PARTNER'!L$13:L$80))+(SUMIF('3. PARTNER'!B$13:B$80,B180,'3. PARTNER'!N$13:N$80)),(SUMIF('3. PARTNER'!B$13:B$80,B180,'3. PARTNER'!H$13:H$80))+(SUMIF('3. PARTNER'!B$13:B$80,B180,'3. PARTNER'!J$13:J$80)))</f>
        <v>0</v>
      </c>
      <c r="AD180" s="452">
        <f>IF('2. START'!C$11="NO",'2. START'!C$12,0)</f>
        <v>0</v>
      </c>
      <c r="AE180" s="453">
        <f t="shared" si="388"/>
        <v>0</v>
      </c>
      <c r="AF180" s="453">
        <f t="shared" si="389"/>
        <v>0</v>
      </c>
      <c r="AG180" s="454"/>
      <c r="AH180" s="455">
        <f t="shared" si="390"/>
        <v>0</v>
      </c>
      <c r="AI180" s="455">
        <f t="shared" si="391"/>
        <v>0</v>
      </c>
      <c r="AJ180" s="455">
        <f t="shared" si="392"/>
        <v>0</v>
      </c>
      <c r="AK180" s="455">
        <f t="shared" si="393"/>
        <v>0</v>
      </c>
      <c r="AL180" s="455">
        <f t="shared" si="394"/>
        <v>0</v>
      </c>
      <c r="AM180" s="455">
        <f t="shared" si="395"/>
        <v>0</v>
      </c>
      <c r="AN180" s="455">
        <f t="shared" si="396"/>
        <v>0</v>
      </c>
      <c r="AO180" s="455">
        <f t="shared" si="397"/>
        <v>0</v>
      </c>
      <c r="AP180" s="455">
        <f t="shared" si="398"/>
        <v>0</v>
      </c>
      <c r="AQ180" s="455">
        <f t="shared" si="399"/>
        <v>0</v>
      </c>
      <c r="AR180" s="456">
        <f t="shared" si="400"/>
        <v>0</v>
      </c>
      <c r="AS180" s="457"/>
      <c r="AT180" s="455">
        <f t="shared" si="401"/>
        <v>0</v>
      </c>
      <c r="AU180" s="455">
        <f t="shared" si="402"/>
        <v>0</v>
      </c>
      <c r="AV180" s="455">
        <f t="shared" si="403"/>
        <v>0</v>
      </c>
      <c r="AW180" s="455">
        <f t="shared" si="404"/>
        <v>0</v>
      </c>
      <c r="AX180" s="455">
        <f t="shared" si="405"/>
        <v>0</v>
      </c>
      <c r="AY180" s="455">
        <f t="shared" si="406"/>
        <v>0</v>
      </c>
      <c r="AZ180" s="455">
        <f t="shared" si="407"/>
        <v>0</v>
      </c>
      <c r="BA180" s="455">
        <f t="shared" si="408"/>
        <v>0</v>
      </c>
      <c r="BB180" s="455">
        <f t="shared" si="409"/>
        <v>0</v>
      </c>
      <c r="BC180" s="455">
        <f t="shared" si="410"/>
        <v>0</v>
      </c>
      <c r="BD180" s="456">
        <f t="shared" si="411"/>
        <v>0</v>
      </c>
      <c r="BE180" s="457"/>
      <c r="BF180" s="455">
        <f t="shared" si="412"/>
        <v>0</v>
      </c>
      <c r="BG180" s="455">
        <f t="shared" si="413"/>
        <v>0</v>
      </c>
      <c r="BH180" s="455">
        <f t="shared" si="414"/>
        <v>0</v>
      </c>
      <c r="BI180" s="455">
        <f t="shared" si="415"/>
        <v>0</v>
      </c>
      <c r="BJ180" s="455">
        <f t="shared" si="416"/>
        <v>0</v>
      </c>
      <c r="BK180" s="455">
        <f t="shared" si="417"/>
        <v>0</v>
      </c>
      <c r="BL180" s="455">
        <f t="shared" si="418"/>
        <v>0</v>
      </c>
      <c r="BM180" s="455">
        <f t="shared" si="419"/>
        <v>0</v>
      </c>
      <c r="BN180" s="455">
        <f t="shared" si="420"/>
        <v>0</v>
      </c>
      <c r="BO180" s="455">
        <f t="shared" si="421"/>
        <v>0</v>
      </c>
      <c r="BP180" s="456">
        <f t="shared" si="422"/>
        <v>0</v>
      </c>
      <c r="BQ180" s="463"/>
      <c r="BR180" s="459">
        <f t="shared" si="423"/>
        <v>0</v>
      </c>
      <c r="BS180" s="459">
        <f t="shared" si="424"/>
        <v>0</v>
      </c>
      <c r="BT180" s="459">
        <f t="shared" si="425"/>
        <v>0</v>
      </c>
      <c r="BU180" s="459">
        <f t="shared" si="426"/>
        <v>0</v>
      </c>
      <c r="BV180" s="459">
        <f t="shared" si="427"/>
        <v>0</v>
      </c>
      <c r="BW180" s="459">
        <f t="shared" si="428"/>
        <v>0</v>
      </c>
      <c r="BX180" s="459">
        <f t="shared" si="429"/>
        <v>0</v>
      </c>
      <c r="BY180" s="459">
        <f t="shared" si="430"/>
        <v>0</v>
      </c>
      <c r="BZ180" s="459">
        <f t="shared" si="431"/>
        <v>0</v>
      </c>
      <c r="CA180" s="459">
        <f t="shared" si="432"/>
        <v>0</v>
      </c>
      <c r="CB180" s="460">
        <f t="shared" si="433"/>
        <v>0</v>
      </c>
      <c r="CC180" s="463"/>
      <c r="CD180" s="462">
        <f t="shared" si="434"/>
        <v>0</v>
      </c>
      <c r="CE180" s="462">
        <f t="shared" si="435"/>
        <v>0</v>
      </c>
      <c r="CF180" s="462">
        <f t="shared" si="436"/>
        <v>0</v>
      </c>
      <c r="CG180" s="462">
        <f t="shared" si="437"/>
        <v>0</v>
      </c>
      <c r="CH180" s="462">
        <f t="shared" si="438"/>
        <v>0</v>
      </c>
      <c r="CI180" s="462">
        <f t="shared" si="439"/>
        <v>0</v>
      </c>
      <c r="CJ180" s="462">
        <f t="shared" si="440"/>
        <v>0</v>
      </c>
      <c r="CK180" s="462">
        <f t="shared" si="441"/>
        <v>0</v>
      </c>
      <c r="CL180" s="462">
        <f t="shared" si="442"/>
        <v>0</v>
      </c>
      <c r="CM180" s="462">
        <f t="shared" si="443"/>
        <v>0</v>
      </c>
      <c r="CN180" s="460">
        <f t="shared" si="444"/>
        <v>0</v>
      </c>
      <c r="CO180" s="463"/>
      <c r="CP180" s="459">
        <f t="shared" si="445"/>
        <v>0</v>
      </c>
      <c r="CQ180" s="459">
        <f t="shared" si="446"/>
        <v>0</v>
      </c>
      <c r="CR180" s="459">
        <f t="shared" si="447"/>
        <v>0</v>
      </c>
      <c r="CS180" s="459">
        <f t="shared" si="448"/>
        <v>0</v>
      </c>
      <c r="CT180" s="459">
        <f t="shared" si="449"/>
        <v>0</v>
      </c>
      <c r="CU180" s="459">
        <f t="shared" si="450"/>
        <v>0</v>
      </c>
      <c r="CV180" s="459">
        <f t="shared" si="451"/>
        <v>0</v>
      </c>
      <c r="CW180" s="459">
        <f t="shared" si="452"/>
        <v>0</v>
      </c>
      <c r="CX180" s="459">
        <f t="shared" si="453"/>
        <v>0</v>
      </c>
      <c r="CY180" s="459">
        <f t="shared" si="454"/>
        <v>0</v>
      </c>
      <c r="CZ180" s="460">
        <f t="shared" si="455"/>
        <v>0</v>
      </c>
      <c r="DA180" s="463"/>
      <c r="DB180" s="459">
        <f t="shared" si="456"/>
        <v>0</v>
      </c>
      <c r="DC180" s="459">
        <f t="shared" si="457"/>
        <v>0</v>
      </c>
      <c r="DD180" s="459">
        <f t="shared" si="458"/>
        <v>0</v>
      </c>
      <c r="DE180" s="459">
        <f t="shared" si="459"/>
        <v>0</v>
      </c>
      <c r="DF180" s="459">
        <f t="shared" si="460"/>
        <v>0</v>
      </c>
      <c r="DG180" s="459">
        <f t="shared" si="461"/>
        <v>0</v>
      </c>
      <c r="DH180" s="459">
        <f t="shared" si="462"/>
        <v>0</v>
      </c>
      <c r="DI180" s="459">
        <f t="shared" si="463"/>
        <v>0</v>
      </c>
      <c r="DJ180" s="459">
        <f t="shared" si="464"/>
        <v>0</v>
      </c>
      <c r="DK180" s="459">
        <f t="shared" si="465"/>
        <v>0</v>
      </c>
      <c r="DL180" s="460">
        <f t="shared" si="466"/>
        <v>0</v>
      </c>
      <c r="DM180" s="463"/>
      <c r="DN180" s="442">
        <f>IF('2. START'!$C$14&gt;0,(AT180/(1+$AA180))*(1+'2. START'!$C$14),AT180)</f>
        <v>0</v>
      </c>
      <c r="DO180" s="442">
        <f>IF('2. START'!$C$14&gt;0,(AU180/(1+$AA180))*(1+'2. START'!$C$14),AU180)</f>
        <v>0</v>
      </c>
      <c r="DP180" s="442">
        <f>IF('2. START'!$C$14&gt;0,(AV180/(1+$AA180))*(1+'2. START'!$C$14),AV180)</f>
        <v>0</v>
      </c>
      <c r="DQ180" s="442">
        <f>IF('2. START'!$C$14&gt;0,(AW180/(1+$AA180))*(1+'2. START'!$C$14),AW180)</f>
        <v>0</v>
      </c>
      <c r="DR180" s="442">
        <f>IF('2. START'!$C$14&gt;0,(AX180/(1+$AA180))*(1+'2. START'!$C$14),AX180)</f>
        <v>0</v>
      </c>
      <c r="DS180" s="442">
        <f>IF('2. START'!$C$14&gt;0,(AY180/(1+$AA180))*(1+'2. START'!$C$14),AY180)</f>
        <v>0</v>
      </c>
      <c r="DT180" s="442">
        <f>IF('2. START'!$C$14&gt;0,(AZ180/(1+$AA180))*(1+'2. START'!$C$14),AZ180)</f>
        <v>0</v>
      </c>
      <c r="DU180" s="442">
        <f>IF('2. START'!$C$14&gt;0,(BA180/(1+$AA180))*(1+'2. START'!$C$14),BA180)</f>
        <v>0</v>
      </c>
      <c r="DV180" s="442">
        <f>IF('2. START'!$C$14&gt;0,(BB180/(1+$AA180))*(1+'2. START'!$C$14),BB180)</f>
        <v>0</v>
      </c>
      <c r="DW180" s="442">
        <f>IF('2. START'!$C$14&gt;0,(BC180/(1+$AA180))*(1+'2. START'!$C$14),BC180)</f>
        <v>0</v>
      </c>
      <c r="DX180" s="460">
        <f t="shared" si="467"/>
        <v>0</v>
      </c>
      <c r="DY180" s="463"/>
      <c r="DZ180" s="459">
        <f>IF('2. START'!$C$11="NO",(IF('2. START'!$C$14&gt;0,(DN180*$AD180),(AT180*$AD180))),(BR180+CP180))</f>
        <v>0</v>
      </c>
      <c r="EA180" s="459">
        <f>IF('2. START'!$C$11="NO",(IF('2. START'!$C$14&gt;0,(DO180*$AD180),(AU180*$AD180))),(BS180+CQ180))</f>
        <v>0</v>
      </c>
      <c r="EB180" s="459">
        <f>IF('2. START'!$C$11="NO",(IF('2. START'!$C$14&gt;0,(DP180*$AD180),(AV180*$AD180))),(BT180+CR180))</f>
        <v>0</v>
      </c>
      <c r="EC180" s="459">
        <f>IF('2. START'!$C$11="NO",(IF('2. START'!$C$14&gt;0,(DQ180*$AD180),(AW180*$AD180))),(BU180+CS180))</f>
        <v>0</v>
      </c>
      <c r="ED180" s="459">
        <f>IF('2. START'!$C$11="NO",(IF('2. START'!$C$14&gt;0,(DR180*$AD180),(AX180*$AD180))),(BV180+CT180))</f>
        <v>0</v>
      </c>
      <c r="EE180" s="459">
        <f>IF('2. START'!$C$11="NO",(IF('2. START'!$C$14&gt;0,(DS180*$AD180),(AY180*$AD180))),(BW180+CU180))</f>
        <v>0</v>
      </c>
      <c r="EF180" s="459">
        <f>IF('2. START'!$C$11="NO",(IF('2. START'!$C$14&gt;0,(DT180*$AD180),(AZ180*$AD180))),(BX180+CV180))</f>
        <v>0</v>
      </c>
      <c r="EG180" s="459">
        <f>IF('2. START'!$C$11="NO",(IF('2. START'!$C$14&gt;0,(DU180*$AD180),(BA180*$AD180))),(BY180+CW180))</f>
        <v>0</v>
      </c>
      <c r="EH180" s="459">
        <f>IF('2. START'!$C$11="NO",(IF('2. START'!$C$14&gt;0,(DV180*$AD180),(BB180*$AD180))),(BZ180+CX180))</f>
        <v>0</v>
      </c>
      <c r="EI180" s="459">
        <f>IF('2. START'!$C$11="NO",(IF('2. START'!$C$14&gt;0,(DW180*$AD180),(BC180*$AD180))),(CA180+CY180))</f>
        <v>0</v>
      </c>
      <c r="EJ180" s="460">
        <f t="shared" si="468"/>
        <v>0</v>
      </c>
      <c r="EK180" s="463"/>
      <c r="EL180" s="459">
        <f>(BR180+CP180-DZ180)+IF('2. START'!$C$14&gt;0,AT180-DN180,0)</f>
        <v>0</v>
      </c>
      <c r="EM180" s="459">
        <f>(BS180+CQ180-EA180)+IF('2. START'!$C$14&gt;0,AU180-DO180,0)</f>
        <v>0</v>
      </c>
      <c r="EN180" s="459">
        <f>(BT180+CR180-EB180)+IF('2. START'!$C$14&gt;0,AV180-DP180,0)</f>
        <v>0</v>
      </c>
      <c r="EO180" s="459">
        <f>(BU180+CS180-EC180)+IF('2. START'!$C$14&gt;0,AW180-DQ180,0)</f>
        <v>0</v>
      </c>
      <c r="EP180" s="459">
        <f>(BV180+CT180-ED180)+IF('2. START'!$C$14&gt;0,AX180-DR180,0)</f>
        <v>0</v>
      </c>
      <c r="EQ180" s="459">
        <f>(BW180+CU180-EE180)+IF('2. START'!$C$14&gt;0,AY180-DS180,0)</f>
        <v>0</v>
      </c>
      <c r="ER180" s="459">
        <f>(BX180+CV180-EF180)+IF('2. START'!$C$14&gt;0,AZ180-DT180,0)</f>
        <v>0</v>
      </c>
      <c r="ES180" s="459">
        <f>(BY180+CW180-EG180)+IF('2. START'!$C$14&gt;0,BA180-DU180,0)</f>
        <v>0</v>
      </c>
      <c r="ET180" s="459">
        <f>(BZ180+CX180-EH180)+IF('2. START'!$C$14&gt;0,BB180-DV180,0)</f>
        <v>0</v>
      </c>
      <c r="EU180" s="459">
        <f>(CA180+CY180-EI180)+IF('2. START'!$C$14&gt;0,BC180-DW180,0)</f>
        <v>0</v>
      </c>
      <c r="EV180" s="460">
        <f t="shared" si="469"/>
        <v>0</v>
      </c>
      <c r="EW180" s="463"/>
      <c r="EX180" s="459">
        <f t="shared" si="470"/>
        <v>0</v>
      </c>
      <c r="EY180" s="459">
        <f t="shared" si="471"/>
        <v>0</v>
      </c>
      <c r="EZ180" s="459">
        <f t="shared" si="472"/>
        <v>0</v>
      </c>
      <c r="FA180" s="459">
        <f t="shared" si="473"/>
        <v>0</v>
      </c>
      <c r="FB180" s="459">
        <f t="shared" si="474"/>
        <v>0</v>
      </c>
      <c r="FC180" s="459">
        <f t="shared" si="475"/>
        <v>0</v>
      </c>
      <c r="FD180" s="459">
        <f t="shared" si="476"/>
        <v>0</v>
      </c>
      <c r="FE180" s="459">
        <f t="shared" si="477"/>
        <v>0</v>
      </c>
      <c r="FF180" s="459">
        <f t="shared" si="478"/>
        <v>0</v>
      </c>
      <c r="FG180" s="459">
        <f t="shared" si="479"/>
        <v>0</v>
      </c>
      <c r="FH180" s="460">
        <f t="shared" si="480"/>
        <v>0</v>
      </c>
      <c r="FI180" s="463"/>
      <c r="FJ180" s="459">
        <f t="shared" si="481"/>
        <v>0</v>
      </c>
      <c r="FK180" s="459">
        <f t="shared" si="482"/>
        <v>0</v>
      </c>
      <c r="FL180" s="459">
        <f t="shared" si="483"/>
        <v>0</v>
      </c>
      <c r="FM180" s="459">
        <f t="shared" si="484"/>
        <v>0</v>
      </c>
      <c r="FN180" s="459">
        <f t="shared" si="485"/>
        <v>0</v>
      </c>
      <c r="FO180" s="459">
        <f t="shared" si="486"/>
        <v>0</v>
      </c>
      <c r="FP180" s="459">
        <f t="shared" si="487"/>
        <v>0</v>
      </c>
      <c r="FQ180" s="459">
        <f t="shared" si="488"/>
        <v>0</v>
      </c>
      <c r="FR180" s="459">
        <f t="shared" si="489"/>
        <v>0</v>
      </c>
      <c r="FS180" s="459">
        <f t="shared" si="490"/>
        <v>0</v>
      </c>
      <c r="FT180" s="460">
        <f t="shared" si="491"/>
        <v>0</v>
      </c>
    </row>
    <row r="181" spans="2:176" s="270" customFormat="1" ht="15" customHeight="1" x14ac:dyDescent="0.25">
      <c r="B181" s="464" t="str">
        <f>'2. START'!C$7</f>
        <v>100GEM</v>
      </c>
      <c r="C181" s="470"/>
      <c r="D181" s="590"/>
      <c r="E181" s="514">
        <v>0</v>
      </c>
      <c r="F181" s="467"/>
      <c r="G181" s="432"/>
      <c r="H181" s="432"/>
      <c r="I181" s="432"/>
      <c r="J181" s="432"/>
      <c r="K181" s="432"/>
      <c r="L181" s="432"/>
      <c r="M181" s="432"/>
      <c r="N181" s="432"/>
      <c r="O181" s="432"/>
      <c r="P181" s="432"/>
      <c r="Q181" s="545">
        <f>SUMIF('3. PARTNER'!$B$13:$B$80,$B181,'3. PARTNER'!$F$13:$F$80)</f>
        <v>0.02</v>
      </c>
      <c r="R181" s="466">
        <f t="shared" si="492"/>
        <v>0.02</v>
      </c>
      <c r="S181" s="466">
        <f t="shared" si="492"/>
        <v>0.02</v>
      </c>
      <c r="T181" s="466">
        <f t="shared" si="492"/>
        <v>0.02</v>
      </c>
      <c r="U181" s="466">
        <f t="shared" si="492"/>
        <v>0.02</v>
      </c>
      <c r="V181" s="466">
        <f t="shared" si="492"/>
        <v>0.02</v>
      </c>
      <c r="W181" s="466">
        <f t="shared" si="492"/>
        <v>0.02</v>
      </c>
      <c r="X181" s="466">
        <f t="shared" si="492"/>
        <v>0.02</v>
      </c>
      <c r="Y181" s="466">
        <f t="shared" si="492"/>
        <v>0.02</v>
      </c>
      <c r="Z181" s="466">
        <f t="shared" si="492"/>
        <v>0.02</v>
      </c>
      <c r="AA181" s="434">
        <f>SUMIF('3. PARTNER'!B$13:B$80,B181,'3. PARTNER'!E$13:E$80)</f>
        <v>0.5595</v>
      </c>
      <c r="AB181" s="435">
        <f>IF('2. START'!$C$20="UTB",(SUMIF('3. PARTNER'!B$13:B$80,B181,'3. PARTNER'!K$13:K$80))+(SUMIF('3. PARTNER'!B$13:B$80,B181,'3. PARTNER'!M$13:M$80)),(SUMIF('3. PARTNER'!B$13:B$80,B181,'3. PARTNER'!G$13:G$80))+(SUMIF('3. PARTNER'!B$13:B$80,B181,'3. PARTNER'!I$13:I$80)))</f>
        <v>0.16000843770704321</v>
      </c>
      <c r="AC181" s="435">
        <f>IF('2. START'!$C$20="UTB",(SUMIF('3. PARTNER'!B$13:B$80,B181,'3. PARTNER'!L$13:L$80))+(SUMIF('3. PARTNER'!B$13:B$80,B181,'3. PARTNER'!N$13:N$80)),(SUMIF('3. PARTNER'!B$13:B$80,B181,'3. PARTNER'!H$13:H$80))+(SUMIF('3. PARTNER'!B$13:B$80,B181,'3. PARTNER'!J$13:J$80)))</f>
        <v>0</v>
      </c>
      <c r="AD181" s="435">
        <f>IF('2. START'!C$11="NO",'2. START'!C$12,0)</f>
        <v>0</v>
      </c>
      <c r="AE181" s="436">
        <f t="shared" si="388"/>
        <v>0</v>
      </c>
      <c r="AF181" s="436">
        <f t="shared" si="389"/>
        <v>0</v>
      </c>
      <c r="AG181" s="437"/>
      <c r="AH181" s="438">
        <f t="shared" si="390"/>
        <v>0</v>
      </c>
      <c r="AI181" s="438">
        <f t="shared" si="391"/>
        <v>0</v>
      </c>
      <c r="AJ181" s="438">
        <f t="shared" si="392"/>
        <v>0</v>
      </c>
      <c r="AK181" s="438">
        <f t="shared" si="393"/>
        <v>0</v>
      </c>
      <c r="AL181" s="438">
        <f t="shared" si="394"/>
        <v>0</v>
      </c>
      <c r="AM181" s="438">
        <f t="shared" si="395"/>
        <v>0</v>
      </c>
      <c r="AN181" s="438">
        <f t="shared" si="396"/>
        <v>0</v>
      </c>
      <c r="AO181" s="438">
        <f t="shared" si="397"/>
        <v>0</v>
      </c>
      <c r="AP181" s="438">
        <f t="shared" si="398"/>
        <v>0</v>
      </c>
      <c r="AQ181" s="438">
        <f t="shared" si="399"/>
        <v>0</v>
      </c>
      <c r="AR181" s="439">
        <f t="shared" si="400"/>
        <v>0</v>
      </c>
      <c r="AS181" s="440"/>
      <c r="AT181" s="438">
        <f t="shared" si="401"/>
        <v>0</v>
      </c>
      <c r="AU181" s="438">
        <f t="shared" si="402"/>
        <v>0</v>
      </c>
      <c r="AV181" s="438">
        <f t="shared" si="403"/>
        <v>0</v>
      </c>
      <c r="AW181" s="438">
        <f t="shared" si="404"/>
        <v>0</v>
      </c>
      <c r="AX181" s="438">
        <f t="shared" si="405"/>
        <v>0</v>
      </c>
      <c r="AY181" s="438">
        <f t="shared" si="406"/>
        <v>0</v>
      </c>
      <c r="AZ181" s="438">
        <f t="shared" si="407"/>
        <v>0</v>
      </c>
      <c r="BA181" s="438">
        <f t="shared" si="408"/>
        <v>0</v>
      </c>
      <c r="BB181" s="438">
        <f t="shared" si="409"/>
        <v>0</v>
      </c>
      <c r="BC181" s="438">
        <f t="shared" si="410"/>
        <v>0</v>
      </c>
      <c r="BD181" s="439">
        <f t="shared" si="411"/>
        <v>0</v>
      </c>
      <c r="BE181" s="440"/>
      <c r="BF181" s="438">
        <f t="shared" si="412"/>
        <v>0</v>
      </c>
      <c r="BG181" s="438">
        <f t="shared" si="413"/>
        <v>0</v>
      </c>
      <c r="BH181" s="438">
        <f t="shared" si="414"/>
        <v>0</v>
      </c>
      <c r="BI181" s="438">
        <f t="shared" si="415"/>
        <v>0</v>
      </c>
      <c r="BJ181" s="438">
        <f t="shared" si="416"/>
        <v>0</v>
      </c>
      <c r="BK181" s="438">
        <f t="shared" si="417"/>
        <v>0</v>
      </c>
      <c r="BL181" s="438">
        <f t="shared" si="418"/>
        <v>0</v>
      </c>
      <c r="BM181" s="438">
        <f t="shared" si="419"/>
        <v>0</v>
      </c>
      <c r="BN181" s="438">
        <f t="shared" si="420"/>
        <v>0</v>
      </c>
      <c r="BO181" s="438">
        <f t="shared" si="421"/>
        <v>0</v>
      </c>
      <c r="BP181" s="439">
        <f t="shared" si="422"/>
        <v>0</v>
      </c>
      <c r="BR181" s="442">
        <f t="shared" si="423"/>
        <v>0</v>
      </c>
      <c r="BS181" s="442">
        <f t="shared" si="424"/>
        <v>0</v>
      </c>
      <c r="BT181" s="442">
        <f t="shared" si="425"/>
        <v>0</v>
      </c>
      <c r="BU181" s="442">
        <f t="shared" si="426"/>
        <v>0</v>
      </c>
      <c r="BV181" s="442">
        <f t="shared" si="427"/>
        <v>0</v>
      </c>
      <c r="BW181" s="442">
        <f t="shared" si="428"/>
        <v>0</v>
      </c>
      <c r="BX181" s="442">
        <f t="shared" si="429"/>
        <v>0</v>
      </c>
      <c r="BY181" s="442">
        <f t="shared" si="430"/>
        <v>0</v>
      </c>
      <c r="BZ181" s="442">
        <f t="shared" si="431"/>
        <v>0</v>
      </c>
      <c r="CA181" s="442">
        <f t="shared" si="432"/>
        <v>0</v>
      </c>
      <c r="CB181" s="443">
        <f t="shared" si="433"/>
        <v>0</v>
      </c>
      <c r="CD181" s="445">
        <f t="shared" si="434"/>
        <v>0</v>
      </c>
      <c r="CE181" s="445">
        <f t="shared" si="435"/>
        <v>0</v>
      </c>
      <c r="CF181" s="445">
        <f t="shared" si="436"/>
        <v>0</v>
      </c>
      <c r="CG181" s="445">
        <f t="shared" si="437"/>
        <v>0</v>
      </c>
      <c r="CH181" s="445">
        <f t="shared" si="438"/>
        <v>0</v>
      </c>
      <c r="CI181" s="445">
        <f t="shared" si="439"/>
        <v>0</v>
      </c>
      <c r="CJ181" s="445">
        <f t="shared" si="440"/>
        <v>0</v>
      </c>
      <c r="CK181" s="445">
        <f t="shared" si="441"/>
        <v>0</v>
      </c>
      <c r="CL181" s="445">
        <f t="shared" si="442"/>
        <v>0</v>
      </c>
      <c r="CM181" s="445">
        <f t="shared" si="443"/>
        <v>0</v>
      </c>
      <c r="CN181" s="443">
        <f t="shared" si="444"/>
        <v>0</v>
      </c>
      <c r="CP181" s="442">
        <f t="shared" si="445"/>
        <v>0</v>
      </c>
      <c r="CQ181" s="442">
        <f t="shared" si="446"/>
        <v>0</v>
      </c>
      <c r="CR181" s="442">
        <f t="shared" si="447"/>
        <v>0</v>
      </c>
      <c r="CS181" s="442">
        <f t="shared" si="448"/>
        <v>0</v>
      </c>
      <c r="CT181" s="442">
        <f t="shared" si="449"/>
        <v>0</v>
      </c>
      <c r="CU181" s="442">
        <f t="shared" si="450"/>
        <v>0</v>
      </c>
      <c r="CV181" s="442">
        <f t="shared" si="451"/>
        <v>0</v>
      </c>
      <c r="CW181" s="442">
        <f t="shared" si="452"/>
        <v>0</v>
      </c>
      <c r="CX181" s="442">
        <f t="shared" si="453"/>
        <v>0</v>
      </c>
      <c r="CY181" s="442">
        <f t="shared" si="454"/>
        <v>0</v>
      </c>
      <c r="CZ181" s="443">
        <f t="shared" si="455"/>
        <v>0</v>
      </c>
      <c r="DB181" s="442">
        <f t="shared" si="456"/>
        <v>0</v>
      </c>
      <c r="DC181" s="442">
        <f t="shared" si="457"/>
        <v>0</v>
      </c>
      <c r="DD181" s="442">
        <f t="shared" si="458"/>
        <v>0</v>
      </c>
      <c r="DE181" s="442">
        <f t="shared" si="459"/>
        <v>0</v>
      </c>
      <c r="DF181" s="442">
        <f t="shared" si="460"/>
        <v>0</v>
      </c>
      <c r="DG181" s="442">
        <f t="shared" si="461"/>
        <v>0</v>
      </c>
      <c r="DH181" s="442">
        <f t="shared" si="462"/>
        <v>0</v>
      </c>
      <c r="DI181" s="442">
        <f t="shared" si="463"/>
        <v>0</v>
      </c>
      <c r="DJ181" s="442">
        <f t="shared" si="464"/>
        <v>0</v>
      </c>
      <c r="DK181" s="442">
        <f t="shared" si="465"/>
        <v>0</v>
      </c>
      <c r="DL181" s="443">
        <f t="shared" si="466"/>
        <v>0</v>
      </c>
      <c r="DN181" s="442">
        <f>IF('2. START'!$C$14&gt;0,(AT181/(1+$AA181))*(1+'2. START'!$C$14),AT181)</f>
        <v>0</v>
      </c>
      <c r="DO181" s="442">
        <f>IF('2. START'!$C$14&gt;0,(AU181/(1+$AA181))*(1+'2. START'!$C$14),AU181)</f>
        <v>0</v>
      </c>
      <c r="DP181" s="442">
        <f>IF('2. START'!$C$14&gt;0,(AV181/(1+$AA181))*(1+'2. START'!$C$14),AV181)</f>
        <v>0</v>
      </c>
      <c r="DQ181" s="442">
        <f>IF('2. START'!$C$14&gt;0,(AW181/(1+$AA181))*(1+'2. START'!$C$14),AW181)</f>
        <v>0</v>
      </c>
      <c r="DR181" s="442">
        <f>IF('2. START'!$C$14&gt;0,(AX181/(1+$AA181))*(1+'2. START'!$C$14),AX181)</f>
        <v>0</v>
      </c>
      <c r="DS181" s="442">
        <f>IF('2. START'!$C$14&gt;0,(AY181/(1+$AA181))*(1+'2. START'!$C$14),AY181)</f>
        <v>0</v>
      </c>
      <c r="DT181" s="442">
        <f>IF('2. START'!$C$14&gt;0,(AZ181/(1+$AA181))*(1+'2. START'!$C$14),AZ181)</f>
        <v>0</v>
      </c>
      <c r="DU181" s="442">
        <f>IF('2. START'!$C$14&gt;0,(BA181/(1+$AA181))*(1+'2. START'!$C$14),BA181)</f>
        <v>0</v>
      </c>
      <c r="DV181" s="442">
        <f>IF('2. START'!$C$14&gt;0,(BB181/(1+$AA181))*(1+'2. START'!$C$14),BB181)</f>
        <v>0</v>
      </c>
      <c r="DW181" s="442">
        <f>IF('2. START'!$C$14&gt;0,(BC181/(1+$AA181))*(1+'2. START'!$C$14),BC181)</f>
        <v>0</v>
      </c>
      <c r="DX181" s="443">
        <f t="shared" si="467"/>
        <v>0</v>
      </c>
      <c r="DZ181" s="442">
        <f>IF('2. START'!$C$11="NO",(IF('2. START'!$C$14&gt;0,(DN181*$AD181),(AT181*$AD181))),(BR181+CP181))</f>
        <v>0</v>
      </c>
      <c r="EA181" s="442">
        <f>IF('2. START'!$C$11="NO",(IF('2. START'!$C$14&gt;0,(DO181*$AD181),(AU181*$AD181))),(BS181+CQ181))</f>
        <v>0</v>
      </c>
      <c r="EB181" s="442">
        <f>IF('2. START'!$C$11="NO",(IF('2. START'!$C$14&gt;0,(DP181*$AD181),(AV181*$AD181))),(BT181+CR181))</f>
        <v>0</v>
      </c>
      <c r="EC181" s="442">
        <f>IF('2. START'!$C$11="NO",(IF('2. START'!$C$14&gt;0,(DQ181*$AD181),(AW181*$AD181))),(BU181+CS181))</f>
        <v>0</v>
      </c>
      <c r="ED181" s="442">
        <f>IF('2. START'!$C$11="NO",(IF('2. START'!$C$14&gt;0,(DR181*$AD181),(AX181*$AD181))),(BV181+CT181))</f>
        <v>0</v>
      </c>
      <c r="EE181" s="442">
        <f>IF('2. START'!$C$11="NO",(IF('2. START'!$C$14&gt;0,(DS181*$AD181),(AY181*$AD181))),(BW181+CU181))</f>
        <v>0</v>
      </c>
      <c r="EF181" s="442">
        <f>IF('2. START'!$C$11="NO",(IF('2. START'!$C$14&gt;0,(DT181*$AD181),(AZ181*$AD181))),(BX181+CV181))</f>
        <v>0</v>
      </c>
      <c r="EG181" s="442">
        <f>IF('2. START'!$C$11="NO",(IF('2. START'!$C$14&gt;0,(DU181*$AD181),(BA181*$AD181))),(BY181+CW181))</f>
        <v>0</v>
      </c>
      <c r="EH181" s="442">
        <f>IF('2. START'!$C$11="NO",(IF('2. START'!$C$14&gt;0,(DV181*$AD181),(BB181*$AD181))),(BZ181+CX181))</f>
        <v>0</v>
      </c>
      <c r="EI181" s="442">
        <f>IF('2. START'!$C$11="NO",(IF('2. START'!$C$14&gt;0,(DW181*$AD181),(BC181*$AD181))),(CA181+CY181))</f>
        <v>0</v>
      </c>
      <c r="EJ181" s="443">
        <f t="shared" si="468"/>
        <v>0</v>
      </c>
      <c r="EL181" s="442">
        <f>(BR181+CP181-DZ181)+IF('2. START'!$C$14&gt;0,AT181-DN181,0)</f>
        <v>0</v>
      </c>
      <c r="EM181" s="442">
        <f>(BS181+CQ181-EA181)+IF('2. START'!$C$14&gt;0,AU181-DO181,0)</f>
        <v>0</v>
      </c>
      <c r="EN181" s="442">
        <f>(BT181+CR181-EB181)+IF('2. START'!$C$14&gt;0,AV181-DP181,0)</f>
        <v>0</v>
      </c>
      <c r="EO181" s="442">
        <f>(BU181+CS181-EC181)+IF('2. START'!$C$14&gt;0,AW181-DQ181,0)</f>
        <v>0</v>
      </c>
      <c r="EP181" s="442">
        <f>(BV181+CT181-ED181)+IF('2. START'!$C$14&gt;0,AX181-DR181,0)</f>
        <v>0</v>
      </c>
      <c r="EQ181" s="442">
        <f>(BW181+CU181-EE181)+IF('2. START'!$C$14&gt;0,AY181-DS181,0)</f>
        <v>0</v>
      </c>
      <c r="ER181" s="442">
        <f>(BX181+CV181-EF181)+IF('2. START'!$C$14&gt;0,AZ181-DT181,0)</f>
        <v>0</v>
      </c>
      <c r="ES181" s="442">
        <f>(BY181+CW181-EG181)+IF('2. START'!$C$14&gt;0,BA181-DU181,0)</f>
        <v>0</v>
      </c>
      <c r="ET181" s="442">
        <f>(BZ181+CX181-EH181)+IF('2. START'!$C$14&gt;0,BB181-DV181,0)</f>
        <v>0</v>
      </c>
      <c r="EU181" s="442">
        <f>(CA181+CY181-EI181)+IF('2. START'!$C$14&gt;0,BC181-DW181,0)</f>
        <v>0</v>
      </c>
      <c r="EV181" s="443">
        <f t="shared" si="469"/>
        <v>0</v>
      </c>
      <c r="EX181" s="442">
        <f t="shared" si="470"/>
        <v>0</v>
      </c>
      <c r="EY181" s="442">
        <f t="shared" si="471"/>
        <v>0</v>
      </c>
      <c r="EZ181" s="442">
        <f t="shared" si="472"/>
        <v>0</v>
      </c>
      <c r="FA181" s="442">
        <f t="shared" si="473"/>
        <v>0</v>
      </c>
      <c r="FB181" s="442">
        <f t="shared" si="474"/>
        <v>0</v>
      </c>
      <c r="FC181" s="442">
        <f t="shared" si="475"/>
        <v>0</v>
      </c>
      <c r="FD181" s="442">
        <f t="shared" si="476"/>
        <v>0</v>
      </c>
      <c r="FE181" s="442">
        <f t="shared" si="477"/>
        <v>0</v>
      </c>
      <c r="FF181" s="442">
        <f t="shared" si="478"/>
        <v>0</v>
      </c>
      <c r="FG181" s="442">
        <f t="shared" si="479"/>
        <v>0</v>
      </c>
      <c r="FH181" s="443">
        <f t="shared" si="480"/>
        <v>0</v>
      </c>
      <c r="FJ181" s="442">
        <f t="shared" si="481"/>
        <v>0</v>
      </c>
      <c r="FK181" s="442">
        <f t="shared" si="482"/>
        <v>0</v>
      </c>
      <c r="FL181" s="442">
        <f t="shared" si="483"/>
        <v>0</v>
      </c>
      <c r="FM181" s="442">
        <f t="shared" si="484"/>
        <v>0</v>
      </c>
      <c r="FN181" s="442">
        <f t="shared" si="485"/>
        <v>0</v>
      </c>
      <c r="FO181" s="442">
        <f t="shared" si="486"/>
        <v>0</v>
      </c>
      <c r="FP181" s="442">
        <f t="shared" si="487"/>
        <v>0</v>
      </c>
      <c r="FQ181" s="442">
        <f t="shared" si="488"/>
        <v>0</v>
      </c>
      <c r="FR181" s="442">
        <f t="shared" si="489"/>
        <v>0</v>
      </c>
      <c r="FS181" s="442">
        <f t="shared" si="490"/>
        <v>0</v>
      </c>
      <c r="FT181" s="443">
        <f t="shared" si="491"/>
        <v>0</v>
      </c>
    </row>
    <row r="182" spans="2:176" s="270" customFormat="1" ht="15" customHeight="1" x14ac:dyDescent="0.25">
      <c r="B182" s="446" t="str">
        <f>'2. START'!C$7</f>
        <v>100GEM</v>
      </c>
      <c r="C182" s="469"/>
      <c r="D182" s="589"/>
      <c r="E182" s="544">
        <v>0</v>
      </c>
      <c r="F182" s="448"/>
      <c r="G182" s="449"/>
      <c r="H182" s="449"/>
      <c r="I182" s="449"/>
      <c r="J182" s="449"/>
      <c r="K182" s="449"/>
      <c r="L182" s="449"/>
      <c r="M182" s="449"/>
      <c r="N182" s="449"/>
      <c r="O182" s="449"/>
      <c r="P182" s="449"/>
      <c r="Q182" s="546">
        <f>SUMIF('3. PARTNER'!$B$13:$B$80,$B182,'3. PARTNER'!$F$13:$F$80)</f>
        <v>0.02</v>
      </c>
      <c r="R182" s="450">
        <f t="shared" si="492"/>
        <v>0.02</v>
      </c>
      <c r="S182" s="450">
        <f t="shared" si="492"/>
        <v>0.02</v>
      </c>
      <c r="T182" s="450">
        <f t="shared" si="492"/>
        <v>0.02</v>
      </c>
      <c r="U182" s="450">
        <f t="shared" si="492"/>
        <v>0.02</v>
      </c>
      <c r="V182" s="450">
        <f t="shared" si="492"/>
        <v>0.02</v>
      </c>
      <c r="W182" s="450">
        <f t="shared" si="492"/>
        <v>0.02</v>
      </c>
      <c r="X182" s="450">
        <f t="shared" si="492"/>
        <v>0.02</v>
      </c>
      <c r="Y182" s="450">
        <f t="shared" si="492"/>
        <v>0.02</v>
      </c>
      <c r="Z182" s="450">
        <f t="shared" si="492"/>
        <v>0.02</v>
      </c>
      <c r="AA182" s="451">
        <f>SUMIF('3. PARTNER'!B$13:B$80,B182,'3. PARTNER'!E$13:E$80)</f>
        <v>0.5595</v>
      </c>
      <c r="AB182" s="452">
        <f>IF('2. START'!$C$20="UTB",(SUMIF('3. PARTNER'!B$13:B$80,B182,'3. PARTNER'!K$13:K$80))+(SUMIF('3. PARTNER'!B$13:B$80,B182,'3. PARTNER'!M$13:M$80)),(SUMIF('3. PARTNER'!B$13:B$80,B182,'3. PARTNER'!G$13:G$80))+(SUMIF('3. PARTNER'!B$13:B$80,B182,'3. PARTNER'!I$13:I$80)))</f>
        <v>0.16000843770704321</v>
      </c>
      <c r="AC182" s="452">
        <f>IF('2. START'!$C$20="UTB",(SUMIF('3. PARTNER'!B$13:B$80,B182,'3. PARTNER'!L$13:L$80))+(SUMIF('3. PARTNER'!B$13:B$80,B182,'3. PARTNER'!N$13:N$80)),(SUMIF('3. PARTNER'!B$13:B$80,B182,'3. PARTNER'!H$13:H$80))+(SUMIF('3. PARTNER'!B$13:B$80,B182,'3. PARTNER'!J$13:J$80)))</f>
        <v>0</v>
      </c>
      <c r="AD182" s="452">
        <f>IF('2. START'!C$11="NO",'2. START'!C$12,0)</f>
        <v>0</v>
      </c>
      <c r="AE182" s="453">
        <f t="shared" si="388"/>
        <v>0</v>
      </c>
      <c r="AF182" s="453">
        <f t="shared" si="389"/>
        <v>0</v>
      </c>
      <c r="AG182" s="454"/>
      <c r="AH182" s="455">
        <f t="shared" si="390"/>
        <v>0</v>
      </c>
      <c r="AI182" s="455">
        <f t="shared" si="391"/>
        <v>0</v>
      </c>
      <c r="AJ182" s="455">
        <f t="shared" si="392"/>
        <v>0</v>
      </c>
      <c r="AK182" s="455">
        <f t="shared" si="393"/>
        <v>0</v>
      </c>
      <c r="AL182" s="455">
        <f t="shared" si="394"/>
        <v>0</v>
      </c>
      <c r="AM182" s="455">
        <f t="shared" si="395"/>
        <v>0</v>
      </c>
      <c r="AN182" s="455">
        <f t="shared" si="396"/>
        <v>0</v>
      </c>
      <c r="AO182" s="455">
        <f t="shared" si="397"/>
        <v>0</v>
      </c>
      <c r="AP182" s="455">
        <f t="shared" si="398"/>
        <v>0</v>
      </c>
      <c r="AQ182" s="455">
        <f t="shared" si="399"/>
        <v>0</v>
      </c>
      <c r="AR182" s="456">
        <f t="shared" si="400"/>
        <v>0</v>
      </c>
      <c r="AS182" s="457"/>
      <c r="AT182" s="455">
        <f t="shared" si="401"/>
        <v>0</v>
      </c>
      <c r="AU182" s="455">
        <f t="shared" si="402"/>
        <v>0</v>
      </c>
      <c r="AV182" s="455">
        <f t="shared" si="403"/>
        <v>0</v>
      </c>
      <c r="AW182" s="455">
        <f t="shared" si="404"/>
        <v>0</v>
      </c>
      <c r="AX182" s="455">
        <f t="shared" si="405"/>
        <v>0</v>
      </c>
      <c r="AY182" s="455">
        <f t="shared" si="406"/>
        <v>0</v>
      </c>
      <c r="AZ182" s="455">
        <f t="shared" si="407"/>
        <v>0</v>
      </c>
      <c r="BA182" s="455">
        <f t="shared" si="408"/>
        <v>0</v>
      </c>
      <c r="BB182" s="455">
        <f t="shared" si="409"/>
        <v>0</v>
      </c>
      <c r="BC182" s="455">
        <f t="shared" si="410"/>
        <v>0</v>
      </c>
      <c r="BD182" s="456">
        <f t="shared" si="411"/>
        <v>0</v>
      </c>
      <c r="BE182" s="457"/>
      <c r="BF182" s="455">
        <f t="shared" si="412"/>
        <v>0</v>
      </c>
      <c r="BG182" s="455">
        <f t="shared" si="413"/>
        <v>0</v>
      </c>
      <c r="BH182" s="455">
        <f t="shared" si="414"/>
        <v>0</v>
      </c>
      <c r="BI182" s="455">
        <f t="shared" si="415"/>
        <v>0</v>
      </c>
      <c r="BJ182" s="455">
        <f t="shared" si="416"/>
        <v>0</v>
      </c>
      <c r="BK182" s="455">
        <f t="shared" si="417"/>
        <v>0</v>
      </c>
      <c r="BL182" s="455">
        <f t="shared" si="418"/>
        <v>0</v>
      </c>
      <c r="BM182" s="455">
        <f t="shared" si="419"/>
        <v>0</v>
      </c>
      <c r="BN182" s="455">
        <f t="shared" si="420"/>
        <v>0</v>
      </c>
      <c r="BO182" s="455">
        <f t="shared" si="421"/>
        <v>0</v>
      </c>
      <c r="BP182" s="456">
        <f t="shared" si="422"/>
        <v>0</v>
      </c>
      <c r="BQ182" s="463"/>
      <c r="BR182" s="459">
        <f t="shared" si="423"/>
        <v>0</v>
      </c>
      <c r="BS182" s="459">
        <f t="shared" si="424"/>
        <v>0</v>
      </c>
      <c r="BT182" s="459">
        <f t="shared" si="425"/>
        <v>0</v>
      </c>
      <c r="BU182" s="459">
        <f t="shared" si="426"/>
        <v>0</v>
      </c>
      <c r="BV182" s="459">
        <f t="shared" si="427"/>
        <v>0</v>
      </c>
      <c r="BW182" s="459">
        <f t="shared" si="428"/>
        <v>0</v>
      </c>
      <c r="BX182" s="459">
        <f t="shared" si="429"/>
        <v>0</v>
      </c>
      <c r="BY182" s="459">
        <f t="shared" si="430"/>
        <v>0</v>
      </c>
      <c r="BZ182" s="459">
        <f t="shared" si="431"/>
        <v>0</v>
      </c>
      <c r="CA182" s="459">
        <f t="shared" si="432"/>
        <v>0</v>
      </c>
      <c r="CB182" s="460">
        <f t="shared" si="433"/>
        <v>0</v>
      </c>
      <c r="CC182" s="463"/>
      <c r="CD182" s="462">
        <f t="shared" si="434"/>
        <v>0</v>
      </c>
      <c r="CE182" s="462">
        <f t="shared" si="435"/>
        <v>0</v>
      </c>
      <c r="CF182" s="462">
        <f t="shared" si="436"/>
        <v>0</v>
      </c>
      <c r="CG182" s="462">
        <f t="shared" si="437"/>
        <v>0</v>
      </c>
      <c r="CH182" s="462">
        <f t="shared" si="438"/>
        <v>0</v>
      </c>
      <c r="CI182" s="462">
        <f t="shared" si="439"/>
        <v>0</v>
      </c>
      <c r="CJ182" s="462">
        <f t="shared" si="440"/>
        <v>0</v>
      </c>
      <c r="CK182" s="462">
        <f t="shared" si="441"/>
        <v>0</v>
      </c>
      <c r="CL182" s="462">
        <f t="shared" si="442"/>
        <v>0</v>
      </c>
      <c r="CM182" s="462">
        <f t="shared" si="443"/>
        <v>0</v>
      </c>
      <c r="CN182" s="460">
        <f t="shared" si="444"/>
        <v>0</v>
      </c>
      <c r="CO182" s="463"/>
      <c r="CP182" s="459">
        <f t="shared" si="445"/>
        <v>0</v>
      </c>
      <c r="CQ182" s="459">
        <f t="shared" si="446"/>
        <v>0</v>
      </c>
      <c r="CR182" s="459">
        <f t="shared" si="447"/>
        <v>0</v>
      </c>
      <c r="CS182" s="459">
        <f t="shared" si="448"/>
        <v>0</v>
      </c>
      <c r="CT182" s="459">
        <f t="shared" si="449"/>
        <v>0</v>
      </c>
      <c r="CU182" s="459">
        <f t="shared" si="450"/>
        <v>0</v>
      </c>
      <c r="CV182" s="459">
        <f t="shared" si="451"/>
        <v>0</v>
      </c>
      <c r="CW182" s="459">
        <f t="shared" si="452"/>
        <v>0</v>
      </c>
      <c r="CX182" s="459">
        <f t="shared" si="453"/>
        <v>0</v>
      </c>
      <c r="CY182" s="459">
        <f t="shared" si="454"/>
        <v>0</v>
      </c>
      <c r="CZ182" s="460">
        <f t="shared" si="455"/>
        <v>0</v>
      </c>
      <c r="DA182" s="463"/>
      <c r="DB182" s="459">
        <f t="shared" si="456"/>
        <v>0</v>
      </c>
      <c r="DC182" s="459">
        <f t="shared" si="457"/>
        <v>0</v>
      </c>
      <c r="DD182" s="459">
        <f t="shared" si="458"/>
        <v>0</v>
      </c>
      <c r="DE182" s="459">
        <f t="shared" si="459"/>
        <v>0</v>
      </c>
      <c r="DF182" s="459">
        <f t="shared" si="460"/>
        <v>0</v>
      </c>
      <c r="DG182" s="459">
        <f t="shared" si="461"/>
        <v>0</v>
      </c>
      <c r="DH182" s="459">
        <f t="shared" si="462"/>
        <v>0</v>
      </c>
      <c r="DI182" s="459">
        <f t="shared" si="463"/>
        <v>0</v>
      </c>
      <c r="DJ182" s="459">
        <f t="shared" si="464"/>
        <v>0</v>
      </c>
      <c r="DK182" s="459">
        <f t="shared" si="465"/>
        <v>0</v>
      </c>
      <c r="DL182" s="460">
        <f t="shared" si="466"/>
        <v>0</v>
      </c>
      <c r="DM182" s="463"/>
      <c r="DN182" s="442">
        <f>IF('2. START'!$C$14&gt;0,(AT182/(1+$AA182))*(1+'2. START'!$C$14),AT182)</f>
        <v>0</v>
      </c>
      <c r="DO182" s="442">
        <f>IF('2. START'!$C$14&gt;0,(AU182/(1+$AA182))*(1+'2. START'!$C$14),AU182)</f>
        <v>0</v>
      </c>
      <c r="DP182" s="442">
        <f>IF('2. START'!$C$14&gt;0,(AV182/(1+$AA182))*(1+'2. START'!$C$14),AV182)</f>
        <v>0</v>
      </c>
      <c r="DQ182" s="442">
        <f>IF('2. START'!$C$14&gt;0,(AW182/(1+$AA182))*(1+'2. START'!$C$14),AW182)</f>
        <v>0</v>
      </c>
      <c r="DR182" s="442">
        <f>IF('2. START'!$C$14&gt;0,(AX182/(1+$AA182))*(1+'2. START'!$C$14),AX182)</f>
        <v>0</v>
      </c>
      <c r="DS182" s="442">
        <f>IF('2. START'!$C$14&gt;0,(AY182/(1+$AA182))*(1+'2. START'!$C$14),AY182)</f>
        <v>0</v>
      </c>
      <c r="DT182" s="442">
        <f>IF('2. START'!$C$14&gt;0,(AZ182/(1+$AA182))*(1+'2. START'!$C$14),AZ182)</f>
        <v>0</v>
      </c>
      <c r="DU182" s="442">
        <f>IF('2. START'!$C$14&gt;0,(BA182/(1+$AA182))*(1+'2. START'!$C$14),BA182)</f>
        <v>0</v>
      </c>
      <c r="DV182" s="442">
        <f>IF('2. START'!$C$14&gt;0,(BB182/(1+$AA182))*(1+'2. START'!$C$14),BB182)</f>
        <v>0</v>
      </c>
      <c r="DW182" s="442">
        <f>IF('2. START'!$C$14&gt;0,(BC182/(1+$AA182))*(1+'2. START'!$C$14),BC182)</f>
        <v>0</v>
      </c>
      <c r="DX182" s="460">
        <f t="shared" si="467"/>
        <v>0</v>
      </c>
      <c r="DY182" s="463"/>
      <c r="DZ182" s="459">
        <f>IF('2. START'!$C$11="NO",(IF('2. START'!$C$14&gt;0,(DN182*$AD182),(AT182*$AD182))),(BR182+CP182))</f>
        <v>0</v>
      </c>
      <c r="EA182" s="459">
        <f>IF('2. START'!$C$11="NO",(IF('2. START'!$C$14&gt;0,(DO182*$AD182),(AU182*$AD182))),(BS182+CQ182))</f>
        <v>0</v>
      </c>
      <c r="EB182" s="459">
        <f>IF('2. START'!$C$11="NO",(IF('2. START'!$C$14&gt;0,(DP182*$AD182),(AV182*$AD182))),(BT182+CR182))</f>
        <v>0</v>
      </c>
      <c r="EC182" s="459">
        <f>IF('2. START'!$C$11="NO",(IF('2. START'!$C$14&gt;0,(DQ182*$AD182),(AW182*$AD182))),(BU182+CS182))</f>
        <v>0</v>
      </c>
      <c r="ED182" s="459">
        <f>IF('2. START'!$C$11="NO",(IF('2. START'!$C$14&gt;0,(DR182*$AD182),(AX182*$AD182))),(BV182+CT182))</f>
        <v>0</v>
      </c>
      <c r="EE182" s="459">
        <f>IF('2. START'!$C$11="NO",(IF('2. START'!$C$14&gt;0,(DS182*$AD182),(AY182*$AD182))),(BW182+CU182))</f>
        <v>0</v>
      </c>
      <c r="EF182" s="459">
        <f>IF('2. START'!$C$11="NO",(IF('2. START'!$C$14&gt;0,(DT182*$AD182),(AZ182*$AD182))),(BX182+CV182))</f>
        <v>0</v>
      </c>
      <c r="EG182" s="459">
        <f>IF('2. START'!$C$11="NO",(IF('2. START'!$C$14&gt;0,(DU182*$AD182),(BA182*$AD182))),(BY182+CW182))</f>
        <v>0</v>
      </c>
      <c r="EH182" s="459">
        <f>IF('2. START'!$C$11="NO",(IF('2. START'!$C$14&gt;0,(DV182*$AD182),(BB182*$AD182))),(BZ182+CX182))</f>
        <v>0</v>
      </c>
      <c r="EI182" s="459">
        <f>IF('2. START'!$C$11="NO",(IF('2. START'!$C$14&gt;0,(DW182*$AD182),(BC182*$AD182))),(CA182+CY182))</f>
        <v>0</v>
      </c>
      <c r="EJ182" s="460">
        <f t="shared" si="468"/>
        <v>0</v>
      </c>
      <c r="EK182" s="463"/>
      <c r="EL182" s="459">
        <f>(BR182+CP182-DZ182)+IF('2. START'!$C$14&gt;0,AT182-DN182,0)</f>
        <v>0</v>
      </c>
      <c r="EM182" s="459">
        <f>(BS182+CQ182-EA182)+IF('2. START'!$C$14&gt;0,AU182-DO182,0)</f>
        <v>0</v>
      </c>
      <c r="EN182" s="459">
        <f>(BT182+CR182-EB182)+IF('2. START'!$C$14&gt;0,AV182-DP182,0)</f>
        <v>0</v>
      </c>
      <c r="EO182" s="459">
        <f>(BU182+CS182-EC182)+IF('2. START'!$C$14&gt;0,AW182-DQ182,0)</f>
        <v>0</v>
      </c>
      <c r="EP182" s="459">
        <f>(BV182+CT182-ED182)+IF('2. START'!$C$14&gt;0,AX182-DR182,0)</f>
        <v>0</v>
      </c>
      <c r="EQ182" s="459">
        <f>(BW182+CU182-EE182)+IF('2. START'!$C$14&gt;0,AY182-DS182,0)</f>
        <v>0</v>
      </c>
      <c r="ER182" s="459">
        <f>(BX182+CV182-EF182)+IF('2. START'!$C$14&gt;0,AZ182-DT182,0)</f>
        <v>0</v>
      </c>
      <c r="ES182" s="459">
        <f>(BY182+CW182-EG182)+IF('2. START'!$C$14&gt;0,BA182-DU182,0)</f>
        <v>0</v>
      </c>
      <c r="ET182" s="459">
        <f>(BZ182+CX182-EH182)+IF('2. START'!$C$14&gt;0,BB182-DV182,0)</f>
        <v>0</v>
      </c>
      <c r="EU182" s="459">
        <f>(CA182+CY182-EI182)+IF('2. START'!$C$14&gt;0,BC182-DW182,0)</f>
        <v>0</v>
      </c>
      <c r="EV182" s="460">
        <f t="shared" si="469"/>
        <v>0</v>
      </c>
      <c r="EW182" s="463"/>
      <c r="EX182" s="459">
        <f t="shared" si="470"/>
        <v>0</v>
      </c>
      <c r="EY182" s="459">
        <f t="shared" si="471"/>
        <v>0</v>
      </c>
      <c r="EZ182" s="459">
        <f t="shared" si="472"/>
        <v>0</v>
      </c>
      <c r="FA182" s="459">
        <f t="shared" si="473"/>
        <v>0</v>
      </c>
      <c r="FB182" s="459">
        <f t="shared" si="474"/>
        <v>0</v>
      </c>
      <c r="FC182" s="459">
        <f t="shared" si="475"/>
        <v>0</v>
      </c>
      <c r="FD182" s="459">
        <f t="shared" si="476"/>
        <v>0</v>
      </c>
      <c r="FE182" s="459">
        <f t="shared" si="477"/>
        <v>0</v>
      </c>
      <c r="FF182" s="459">
        <f t="shared" si="478"/>
        <v>0</v>
      </c>
      <c r="FG182" s="459">
        <f t="shared" si="479"/>
        <v>0</v>
      </c>
      <c r="FH182" s="460">
        <f t="shared" si="480"/>
        <v>0</v>
      </c>
      <c r="FI182" s="463"/>
      <c r="FJ182" s="459">
        <f t="shared" si="481"/>
        <v>0</v>
      </c>
      <c r="FK182" s="459">
        <f t="shared" si="482"/>
        <v>0</v>
      </c>
      <c r="FL182" s="459">
        <f t="shared" si="483"/>
        <v>0</v>
      </c>
      <c r="FM182" s="459">
        <f t="shared" si="484"/>
        <v>0</v>
      </c>
      <c r="FN182" s="459">
        <f t="shared" si="485"/>
        <v>0</v>
      </c>
      <c r="FO182" s="459">
        <f t="shared" si="486"/>
        <v>0</v>
      </c>
      <c r="FP182" s="459">
        <f t="shared" si="487"/>
        <v>0</v>
      </c>
      <c r="FQ182" s="459">
        <f t="shared" si="488"/>
        <v>0</v>
      </c>
      <c r="FR182" s="459">
        <f t="shared" si="489"/>
        <v>0</v>
      </c>
      <c r="FS182" s="459">
        <f t="shared" si="490"/>
        <v>0</v>
      </c>
      <c r="FT182" s="460">
        <f t="shared" si="491"/>
        <v>0</v>
      </c>
    </row>
    <row r="183" spans="2:176" s="270" customFormat="1" ht="15" customHeight="1" x14ac:dyDescent="0.25">
      <c r="B183" s="464" t="str">
        <f>'2. START'!C$7</f>
        <v>100GEM</v>
      </c>
      <c r="C183" s="470"/>
      <c r="D183" s="590"/>
      <c r="E183" s="514">
        <v>0</v>
      </c>
      <c r="F183" s="467"/>
      <c r="G183" s="432"/>
      <c r="H183" s="432"/>
      <c r="I183" s="432"/>
      <c r="J183" s="432"/>
      <c r="K183" s="432"/>
      <c r="L183" s="432"/>
      <c r="M183" s="432"/>
      <c r="N183" s="432"/>
      <c r="O183" s="432"/>
      <c r="P183" s="432"/>
      <c r="Q183" s="545">
        <f>SUMIF('3. PARTNER'!$B$13:$B$80,$B183,'3. PARTNER'!$F$13:$F$80)</f>
        <v>0.02</v>
      </c>
      <c r="R183" s="466">
        <f t="shared" si="492"/>
        <v>0.02</v>
      </c>
      <c r="S183" s="466">
        <f t="shared" si="492"/>
        <v>0.02</v>
      </c>
      <c r="T183" s="466">
        <f t="shared" si="492"/>
        <v>0.02</v>
      </c>
      <c r="U183" s="466">
        <f t="shared" si="492"/>
        <v>0.02</v>
      </c>
      <c r="V183" s="466">
        <f t="shared" si="492"/>
        <v>0.02</v>
      </c>
      <c r="W183" s="466">
        <f t="shared" si="492"/>
        <v>0.02</v>
      </c>
      <c r="X183" s="466">
        <f t="shared" si="492"/>
        <v>0.02</v>
      </c>
      <c r="Y183" s="466">
        <f t="shared" si="492"/>
        <v>0.02</v>
      </c>
      <c r="Z183" s="466">
        <f t="shared" si="492"/>
        <v>0.02</v>
      </c>
      <c r="AA183" s="434">
        <f>SUMIF('3. PARTNER'!B$13:B$80,B183,'3. PARTNER'!E$13:E$80)</f>
        <v>0.5595</v>
      </c>
      <c r="AB183" s="435">
        <f>IF('2. START'!$C$20="UTB",(SUMIF('3. PARTNER'!B$13:B$80,B183,'3. PARTNER'!K$13:K$80))+(SUMIF('3. PARTNER'!B$13:B$80,B183,'3. PARTNER'!M$13:M$80)),(SUMIF('3. PARTNER'!B$13:B$80,B183,'3. PARTNER'!G$13:G$80))+(SUMIF('3. PARTNER'!B$13:B$80,B183,'3. PARTNER'!I$13:I$80)))</f>
        <v>0.16000843770704321</v>
      </c>
      <c r="AC183" s="435">
        <f>IF('2. START'!$C$20="UTB",(SUMIF('3. PARTNER'!B$13:B$80,B183,'3. PARTNER'!L$13:L$80))+(SUMIF('3. PARTNER'!B$13:B$80,B183,'3. PARTNER'!N$13:N$80)),(SUMIF('3. PARTNER'!B$13:B$80,B183,'3. PARTNER'!H$13:H$80))+(SUMIF('3. PARTNER'!B$13:B$80,B183,'3. PARTNER'!J$13:J$80)))</f>
        <v>0</v>
      </c>
      <c r="AD183" s="435">
        <f>IF('2. START'!C$11="NO",'2. START'!C$12,0)</f>
        <v>0</v>
      </c>
      <c r="AE183" s="436">
        <f t="shared" si="388"/>
        <v>0</v>
      </c>
      <c r="AF183" s="436">
        <f t="shared" si="389"/>
        <v>0</v>
      </c>
      <c r="AG183" s="437"/>
      <c r="AH183" s="438">
        <f t="shared" si="390"/>
        <v>0</v>
      </c>
      <c r="AI183" s="438">
        <f t="shared" si="391"/>
        <v>0</v>
      </c>
      <c r="AJ183" s="438">
        <f t="shared" si="392"/>
        <v>0</v>
      </c>
      <c r="AK183" s="438">
        <f t="shared" si="393"/>
        <v>0</v>
      </c>
      <c r="AL183" s="438">
        <f t="shared" si="394"/>
        <v>0</v>
      </c>
      <c r="AM183" s="438">
        <f t="shared" si="395"/>
        <v>0</v>
      </c>
      <c r="AN183" s="438">
        <f t="shared" si="396"/>
        <v>0</v>
      </c>
      <c r="AO183" s="438">
        <f t="shared" si="397"/>
        <v>0</v>
      </c>
      <c r="AP183" s="438">
        <f t="shared" si="398"/>
        <v>0</v>
      </c>
      <c r="AQ183" s="438">
        <f t="shared" si="399"/>
        <v>0</v>
      </c>
      <c r="AR183" s="439">
        <f t="shared" si="400"/>
        <v>0</v>
      </c>
      <c r="AS183" s="440"/>
      <c r="AT183" s="438">
        <f t="shared" si="401"/>
        <v>0</v>
      </c>
      <c r="AU183" s="438">
        <f t="shared" si="402"/>
        <v>0</v>
      </c>
      <c r="AV183" s="438">
        <f t="shared" si="403"/>
        <v>0</v>
      </c>
      <c r="AW183" s="438">
        <f t="shared" si="404"/>
        <v>0</v>
      </c>
      <c r="AX183" s="438">
        <f t="shared" si="405"/>
        <v>0</v>
      </c>
      <c r="AY183" s="438">
        <f t="shared" si="406"/>
        <v>0</v>
      </c>
      <c r="AZ183" s="438">
        <f t="shared" si="407"/>
        <v>0</v>
      </c>
      <c r="BA183" s="438">
        <f t="shared" si="408"/>
        <v>0</v>
      </c>
      <c r="BB183" s="438">
        <f t="shared" si="409"/>
        <v>0</v>
      </c>
      <c r="BC183" s="438">
        <f t="shared" si="410"/>
        <v>0</v>
      </c>
      <c r="BD183" s="439">
        <f t="shared" si="411"/>
        <v>0</v>
      </c>
      <c r="BE183" s="440"/>
      <c r="BF183" s="438">
        <f t="shared" si="412"/>
        <v>0</v>
      </c>
      <c r="BG183" s="438">
        <f t="shared" si="413"/>
        <v>0</v>
      </c>
      <c r="BH183" s="438">
        <f t="shared" si="414"/>
        <v>0</v>
      </c>
      <c r="BI183" s="438">
        <f t="shared" si="415"/>
        <v>0</v>
      </c>
      <c r="BJ183" s="438">
        <f t="shared" si="416"/>
        <v>0</v>
      </c>
      <c r="BK183" s="438">
        <f t="shared" si="417"/>
        <v>0</v>
      </c>
      <c r="BL183" s="438">
        <f t="shared" si="418"/>
        <v>0</v>
      </c>
      <c r="BM183" s="438">
        <f t="shared" si="419"/>
        <v>0</v>
      </c>
      <c r="BN183" s="438">
        <f t="shared" si="420"/>
        <v>0</v>
      </c>
      <c r="BO183" s="438">
        <f t="shared" si="421"/>
        <v>0</v>
      </c>
      <c r="BP183" s="439">
        <f t="shared" si="422"/>
        <v>0</v>
      </c>
      <c r="BR183" s="442">
        <f t="shared" si="423"/>
        <v>0</v>
      </c>
      <c r="BS183" s="442">
        <f t="shared" si="424"/>
        <v>0</v>
      </c>
      <c r="BT183" s="442">
        <f t="shared" si="425"/>
        <v>0</v>
      </c>
      <c r="BU183" s="442">
        <f t="shared" si="426"/>
        <v>0</v>
      </c>
      <c r="BV183" s="442">
        <f t="shared" si="427"/>
        <v>0</v>
      </c>
      <c r="BW183" s="442">
        <f t="shared" si="428"/>
        <v>0</v>
      </c>
      <c r="BX183" s="442">
        <f t="shared" si="429"/>
        <v>0</v>
      </c>
      <c r="BY183" s="442">
        <f t="shared" si="430"/>
        <v>0</v>
      </c>
      <c r="BZ183" s="442">
        <f t="shared" si="431"/>
        <v>0</v>
      </c>
      <c r="CA183" s="442">
        <f t="shared" si="432"/>
        <v>0</v>
      </c>
      <c r="CB183" s="443">
        <f t="shared" si="433"/>
        <v>0</v>
      </c>
      <c r="CD183" s="445">
        <f t="shared" si="434"/>
        <v>0</v>
      </c>
      <c r="CE183" s="445">
        <f t="shared" si="435"/>
        <v>0</v>
      </c>
      <c r="CF183" s="445">
        <f t="shared" si="436"/>
        <v>0</v>
      </c>
      <c r="CG183" s="445">
        <f t="shared" si="437"/>
        <v>0</v>
      </c>
      <c r="CH183" s="445">
        <f t="shared" si="438"/>
        <v>0</v>
      </c>
      <c r="CI183" s="445">
        <f t="shared" si="439"/>
        <v>0</v>
      </c>
      <c r="CJ183" s="445">
        <f t="shared" si="440"/>
        <v>0</v>
      </c>
      <c r="CK183" s="445">
        <f t="shared" si="441"/>
        <v>0</v>
      </c>
      <c r="CL183" s="445">
        <f t="shared" si="442"/>
        <v>0</v>
      </c>
      <c r="CM183" s="445">
        <f t="shared" si="443"/>
        <v>0</v>
      </c>
      <c r="CN183" s="443">
        <f t="shared" si="444"/>
        <v>0</v>
      </c>
      <c r="CP183" s="442">
        <f t="shared" si="445"/>
        <v>0</v>
      </c>
      <c r="CQ183" s="442">
        <f t="shared" si="446"/>
        <v>0</v>
      </c>
      <c r="CR183" s="442">
        <f t="shared" si="447"/>
        <v>0</v>
      </c>
      <c r="CS183" s="442">
        <f t="shared" si="448"/>
        <v>0</v>
      </c>
      <c r="CT183" s="442">
        <f t="shared" si="449"/>
        <v>0</v>
      </c>
      <c r="CU183" s="442">
        <f t="shared" si="450"/>
        <v>0</v>
      </c>
      <c r="CV183" s="442">
        <f t="shared" si="451"/>
        <v>0</v>
      </c>
      <c r="CW183" s="442">
        <f t="shared" si="452"/>
        <v>0</v>
      </c>
      <c r="CX183" s="442">
        <f t="shared" si="453"/>
        <v>0</v>
      </c>
      <c r="CY183" s="442">
        <f t="shared" si="454"/>
        <v>0</v>
      </c>
      <c r="CZ183" s="443">
        <f t="shared" si="455"/>
        <v>0</v>
      </c>
      <c r="DB183" s="442">
        <f t="shared" si="456"/>
        <v>0</v>
      </c>
      <c r="DC183" s="442">
        <f t="shared" si="457"/>
        <v>0</v>
      </c>
      <c r="DD183" s="442">
        <f t="shared" si="458"/>
        <v>0</v>
      </c>
      <c r="DE183" s="442">
        <f t="shared" si="459"/>
        <v>0</v>
      </c>
      <c r="DF183" s="442">
        <f t="shared" si="460"/>
        <v>0</v>
      </c>
      <c r="DG183" s="442">
        <f t="shared" si="461"/>
        <v>0</v>
      </c>
      <c r="DH183" s="442">
        <f t="shared" si="462"/>
        <v>0</v>
      </c>
      <c r="DI183" s="442">
        <f t="shared" si="463"/>
        <v>0</v>
      </c>
      <c r="DJ183" s="442">
        <f t="shared" si="464"/>
        <v>0</v>
      </c>
      <c r="DK183" s="442">
        <f t="shared" si="465"/>
        <v>0</v>
      </c>
      <c r="DL183" s="443">
        <f t="shared" si="466"/>
        <v>0</v>
      </c>
      <c r="DN183" s="442">
        <f>IF('2. START'!$C$14&gt;0,(AT183/(1+$AA183))*(1+'2. START'!$C$14),AT183)</f>
        <v>0</v>
      </c>
      <c r="DO183" s="442">
        <f>IF('2. START'!$C$14&gt;0,(AU183/(1+$AA183))*(1+'2. START'!$C$14),AU183)</f>
        <v>0</v>
      </c>
      <c r="DP183" s="442">
        <f>IF('2. START'!$C$14&gt;0,(AV183/(1+$AA183))*(1+'2. START'!$C$14),AV183)</f>
        <v>0</v>
      </c>
      <c r="DQ183" s="442">
        <f>IF('2. START'!$C$14&gt;0,(AW183/(1+$AA183))*(1+'2. START'!$C$14),AW183)</f>
        <v>0</v>
      </c>
      <c r="DR183" s="442">
        <f>IF('2. START'!$C$14&gt;0,(AX183/(1+$AA183))*(1+'2. START'!$C$14),AX183)</f>
        <v>0</v>
      </c>
      <c r="DS183" s="442">
        <f>IF('2. START'!$C$14&gt;0,(AY183/(1+$AA183))*(1+'2. START'!$C$14),AY183)</f>
        <v>0</v>
      </c>
      <c r="DT183" s="442">
        <f>IF('2. START'!$C$14&gt;0,(AZ183/(1+$AA183))*(1+'2. START'!$C$14),AZ183)</f>
        <v>0</v>
      </c>
      <c r="DU183" s="442">
        <f>IF('2. START'!$C$14&gt;0,(BA183/(1+$AA183))*(1+'2. START'!$C$14),BA183)</f>
        <v>0</v>
      </c>
      <c r="DV183" s="442">
        <f>IF('2. START'!$C$14&gt;0,(BB183/(1+$AA183))*(1+'2. START'!$C$14),BB183)</f>
        <v>0</v>
      </c>
      <c r="DW183" s="442">
        <f>IF('2. START'!$C$14&gt;0,(BC183/(1+$AA183))*(1+'2. START'!$C$14),BC183)</f>
        <v>0</v>
      </c>
      <c r="DX183" s="443">
        <f t="shared" si="467"/>
        <v>0</v>
      </c>
      <c r="DZ183" s="442">
        <f>IF('2. START'!$C$11="NO",(IF('2. START'!$C$14&gt;0,(DN183*$AD183),(AT183*$AD183))),(BR183+CP183))</f>
        <v>0</v>
      </c>
      <c r="EA183" s="442">
        <f>IF('2. START'!$C$11="NO",(IF('2. START'!$C$14&gt;0,(DO183*$AD183),(AU183*$AD183))),(BS183+CQ183))</f>
        <v>0</v>
      </c>
      <c r="EB183" s="442">
        <f>IF('2. START'!$C$11="NO",(IF('2. START'!$C$14&gt;0,(DP183*$AD183),(AV183*$AD183))),(BT183+CR183))</f>
        <v>0</v>
      </c>
      <c r="EC183" s="442">
        <f>IF('2. START'!$C$11="NO",(IF('2. START'!$C$14&gt;0,(DQ183*$AD183),(AW183*$AD183))),(BU183+CS183))</f>
        <v>0</v>
      </c>
      <c r="ED183" s="442">
        <f>IF('2. START'!$C$11="NO",(IF('2. START'!$C$14&gt;0,(DR183*$AD183),(AX183*$AD183))),(BV183+CT183))</f>
        <v>0</v>
      </c>
      <c r="EE183" s="442">
        <f>IF('2. START'!$C$11="NO",(IF('2. START'!$C$14&gt;0,(DS183*$AD183),(AY183*$AD183))),(BW183+CU183))</f>
        <v>0</v>
      </c>
      <c r="EF183" s="442">
        <f>IF('2. START'!$C$11="NO",(IF('2. START'!$C$14&gt;0,(DT183*$AD183),(AZ183*$AD183))),(BX183+CV183))</f>
        <v>0</v>
      </c>
      <c r="EG183" s="442">
        <f>IF('2. START'!$C$11="NO",(IF('2. START'!$C$14&gt;0,(DU183*$AD183),(BA183*$AD183))),(BY183+CW183))</f>
        <v>0</v>
      </c>
      <c r="EH183" s="442">
        <f>IF('2. START'!$C$11="NO",(IF('2. START'!$C$14&gt;0,(DV183*$AD183),(BB183*$AD183))),(BZ183+CX183))</f>
        <v>0</v>
      </c>
      <c r="EI183" s="442">
        <f>IF('2. START'!$C$11="NO",(IF('2. START'!$C$14&gt;0,(DW183*$AD183),(BC183*$AD183))),(CA183+CY183))</f>
        <v>0</v>
      </c>
      <c r="EJ183" s="443">
        <f t="shared" si="468"/>
        <v>0</v>
      </c>
      <c r="EL183" s="442">
        <f>(BR183+CP183-DZ183)+IF('2. START'!$C$14&gt;0,AT183-DN183,0)</f>
        <v>0</v>
      </c>
      <c r="EM183" s="442">
        <f>(BS183+CQ183-EA183)+IF('2. START'!$C$14&gt;0,AU183-DO183,0)</f>
        <v>0</v>
      </c>
      <c r="EN183" s="442">
        <f>(BT183+CR183-EB183)+IF('2. START'!$C$14&gt;0,AV183-DP183,0)</f>
        <v>0</v>
      </c>
      <c r="EO183" s="442">
        <f>(BU183+CS183-EC183)+IF('2. START'!$C$14&gt;0,AW183-DQ183,0)</f>
        <v>0</v>
      </c>
      <c r="EP183" s="442">
        <f>(BV183+CT183-ED183)+IF('2. START'!$C$14&gt;0,AX183-DR183,0)</f>
        <v>0</v>
      </c>
      <c r="EQ183" s="442">
        <f>(BW183+CU183-EE183)+IF('2. START'!$C$14&gt;0,AY183-DS183,0)</f>
        <v>0</v>
      </c>
      <c r="ER183" s="442">
        <f>(BX183+CV183-EF183)+IF('2. START'!$C$14&gt;0,AZ183-DT183,0)</f>
        <v>0</v>
      </c>
      <c r="ES183" s="442">
        <f>(BY183+CW183-EG183)+IF('2. START'!$C$14&gt;0,BA183-DU183,0)</f>
        <v>0</v>
      </c>
      <c r="ET183" s="442">
        <f>(BZ183+CX183-EH183)+IF('2. START'!$C$14&gt;0,BB183-DV183,0)</f>
        <v>0</v>
      </c>
      <c r="EU183" s="442">
        <f>(CA183+CY183-EI183)+IF('2. START'!$C$14&gt;0,BC183-DW183,0)</f>
        <v>0</v>
      </c>
      <c r="EV183" s="443">
        <f t="shared" si="469"/>
        <v>0</v>
      </c>
      <c r="EX183" s="442">
        <f t="shared" si="470"/>
        <v>0</v>
      </c>
      <c r="EY183" s="442">
        <f t="shared" si="471"/>
        <v>0</v>
      </c>
      <c r="EZ183" s="442">
        <f t="shared" si="472"/>
        <v>0</v>
      </c>
      <c r="FA183" s="442">
        <f t="shared" si="473"/>
        <v>0</v>
      </c>
      <c r="FB183" s="442">
        <f t="shared" si="474"/>
        <v>0</v>
      </c>
      <c r="FC183" s="442">
        <f t="shared" si="475"/>
        <v>0</v>
      </c>
      <c r="FD183" s="442">
        <f t="shared" si="476"/>
        <v>0</v>
      </c>
      <c r="FE183" s="442">
        <f t="shared" si="477"/>
        <v>0</v>
      </c>
      <c r="FF183" s="442">
        <f t="shared" si="478"/>
        <v>0</v>
      </c>
      <c r="FG183" s="442">
        <f t="shared" si="479"/>
        <v>0</v>
      </c>
      <c r="FH183" s="443">
        <f t="shared" si="480"/>
        <v>0</v>
      </c>
      <c r="FJ183" s="442">
        <f t="shared" si="481"/>
        <v>0</v>
      </c>
      <c r="FK183" s="442">
        <f t="shared" si="482"/>
        <v>0</v>
      </c>
      <c r="FL183" s="442">
        <f t="shared" si="483"/>
        <v>0</v>
      </c>
      <c r="FM183" s="442">
        <f t="shared" si="484"/>
        <v>0</v>
      </c>
      <c r="FN183" s="442">
        <f t="shared" si="485"/>
        <v>0</v>
      </c>
      <c r="FO183" s="442">
        <f t="shared" si="486"/>
        <v>0</v>
      </c>
      <c r="FP183" s="442">
        <f t="shared" si="487"/>
        <v>0</v>
      </c>
      <c r="FQ183" s="442">
        <f t="shared" si="488"/>
        <v>0</v>
      </c>
      <c r="FR183" s="442">
        <f t="shared" si="489"/>
        <v>0</v>
      </c>
      <c r="FS183" s="442">
        <f t="shared" si="490"/>
        <v>0</v>
      </c>
      <c r="FT183" s="443">
        <f t="shared" si="491"/>
        <v>0</v>
      </c>
    </row>
    <row r="184" spans="2:176" s="270" customFormat="1" ht="15" customHeight="1" x14ac:dyDescent="0.25">
      <c r="B184" s="446" t="str">
        <f>'2. START'!C$7</f>
        <v>100GEM</v>
      </c>
      <c r="C184" s="469"/>
      <c r="D184" s="589"/>
      <c r="E184" s="544">
        <v>0</v>
      </c>
      <c r="F184" s="448"/>
      <c r="G184" s="449"/>
      <c r="H184" s="449"/>
      <c r="I184" s="449"/>
      <c r="J184" s="449"/>
      <c r="K184" s="449"/>
      <c r="L184" s="449"/>
      <c r="M184" s="449"/>
      <c r="N184" s="449"/>
      <c r="O184" s="449"/>
      <c r="P184" s="449"/>
      <c r="Q184" s="546">
        <f>SUMIF('3. PARTNER'!$B$13:$B$80,$B184,'3. PARTNER'!$F$13:$F$80)</f>
        <v>0.02</v>
      </c>
      <c r="R184" s="450">
        <f t="shared" si="492"/>
        <v>0.02</v>
      </c>
      <c r="S184" s="450">
        <f t="shared" si="492"/>
        <v>0.02</v>
      </c>
      <c r="T184" s="450">
        <f t="shared" si="492"/>
        <v>0.02</v>
      </c>
      <c r="U184" s="450">
        <f t="shared" si="492"/>
        <v>0.02</v>
      </c>
      <c r="V184" s="450">
        <f t="shared" si="492"/>
        <v>0.02</v>
      </c>
      <c r="W184" s="450">
        <f t="shared" si="492"/>
        <v>0.02</v>
      </c>
      <c r="X184" s="450">
        <f t="shared" si="492"/>
        <v>0.02</v>
      </c>
      <c r="Y184" s="450">
        <f t="shared" si="492"/>
        <v>0.02</v>
      </c>
      <c r="Z184" s="450">
        <f t="shared" si="492"/>
        <v>0.02</v>
      </c>
      <c r="AA184" s="451">
        <f>SUMIF('3. PARTNER'!B$13:B$80,B184,'3. PARTNER'!E$13:E$80)</f>
        <v>0.5595</v>
      </c>
      <c r="AB184" s="452">
        <f>IF('2. START'!$C$20="UTB",(SUMIF('3. PARTNER'!B$13:B$80,B184,'3. PARTNER'!K$13:K$80))+(SUMIF('3. PARTNER'!B$13:B$80,B184,'3. PARTNER'!M$13:M$80)),(SUMIF('3. PARTNER'!B$13:B$80,B184,'3. PARTNER'!G$13:G$80))+(SUMIF('3. PARTNER'!B$13:B$80,B184,'3. PARTNER'!I$13:I$80)))</f>
        <v>0.16000843770704321</v>
      </c>
      <c r="AC184" s="452">
        <f>IF('2. START'!$C$20="UTB",(SUMIF('3. PARTNER'!B$13:B$80,B184,'3. PARTNER'!L$13:L$80))+(SUMIF('3. PARTNER'!B$13:B$80,B184,'3. PARTNER'!N$13:N$80)),(SUMIF('3. PARTNER'!B$13:B$80,B184,'3. PARTNER'!H$13:H$80))+(SUMIF('3. PARTNER'!B$13:B$80,B184,'3. PARTNER'!J$13:J$80)))</f>
        <v>0</v>
      </c>
      <c r="AD184" s="452">
        <f>IF('2. START'!C$11="NO",'2. START'!C$12,0)</f>
        <v>0</v>
      </c>
      <c r="AE184" s="453">
        <f t="shared" si="388"/>
        <v>0</v>
      </c>
      <c r="AF184" s="453">
        <f t="shared" si="389"/>
        <v>0</v>
      </c>
      <c r="AG184" s="454"/>
      <c r="AH184" s="455">
        <f t="shared" si="390"/>
        <v>0</v>
      </c>
      <c r="AI184" s="455">
        <f t="shared" si="391"/>
        <v>0</v>
      </c>
      <c r="AJ184" s="455">
        <f t="shared" si="392"/>
        <v>0</v>
      </c>
      <c r="AK184" s="455">
        <f t="shared" si="393"/>
        <v>0</v>
      </c>
      <c r="AL184" s="455">
        <f t="shared" si="394"/>
        <v>0</v>
      </c>
      <c r="AM184" s="455">
        <f t="shared" si="395"/>
        <v>0</v>
      </c>
      <c r="AN184" s="455">
        <f t="shared" si="396"/>
        <v>0</v>
      </c>
      <c r="AO184" s="455">
        <f t="shared" si="397"/>
        <v>0</v>
      </c>
      <c r="AP184" s="455">
        <f t="shared" si="398"/>
        <v>0</v>
      </c>
      <c r="AQ184" s="455">
        <f t="shared" si="399"/>
        <v>0</v>
      </c>
      <c r="AR184" s="456">
        <f t="shared" si="400"/>
        <v>0</v>
      </c>
      <c r="AS184" s="457"/>
      <c r="AT184" s="455">
        <f t="shared" si="401"/>
        <v>0</v>
      </c>
      <c r="AU184" s="455">
        <f t="shared" si="402"/>
        <v>0</v>
      </c>
      <c r="AV184" s="455">
        <f t="shared" si="403"/>
        <v>0</v>
      </c>
      <c r="AW184" s="455">
        <f t="shared" si="404"/>
        <v>0</v>
      </c>
      <c r="AX184" s="455">
        <f t="shared" si="405"/>
        <v>0</v>
      </c>
      <c r="AY184" s="455">
        <f t="shared" si="406"/>
        <v>0</v>
      </c>
      <c r="AZ184" s="455">
        <f t="shared" si="407"/>
        <v>0</v>
      </c>
      <c r="BA184" s="455">
        <f t="shared" si="408"/>
        <v>0</v>
      </c>
      <c r="BB184" s="455">
        <f t="shared" si="409"/>
        <v>0</v>
      </c>
      <c r="BC184" s="455">
        <f t="shared" si="410"/>
        <v>0</v>
      </c>
      <c r="BD184" s="456">
        <f t="shared" si="411"/>
        <v>0</v>
      </c>
      <c r="BE184" s="457"/>
      <c r="BF184" s="455">
        <f t="shared" si="412"/>
        <v>0</v>
      </c>
      <c r="BG184" s="455">
        <f t="shared" si="413"/>
        <v>0</v>
      </c>
      <c r="BH184" s="455">
        <f t="shared" si="414"/>
        <v>0</v>
      </c>
      <c r="BI184" s="455">
        <f t="shared" si="415"/>
        <v>0</v>
      </c>
      <c r="BJ184" s="455">
        <f t="shared" si="416"/>
        <v>0</v>
      </c>
      <c r="BK184" s="455">
        <f t="shared" si="417"/>
        <v>0</v>
      </c>
      <c r="BL184" s="455">
        <f t="shared" si="418"/>
        <v>0</v>
      </c>
      <c r="BM184" s="455">
        <f t="shared" si="419"/>
        <v>0</v>
      </c>
      <c r="BN184" s="455">
        <f t="shared" si="420"/>
        <v>0</v>
      </c>
      <c r="BO184" s="455">
        <f t="shared" si="421"/>
        <v>0</v>
      </c>
      <c r="BP184" s="456">
        <f t="shared" si="422"/>
        <v>0</v>
      </c>
      <c r="BQ184" s="463"/>
      <c r="BR184" s="459">
        <f t="shared" si="423"/>
        <v>0</v>
      </c>
      <c r="BS184" s="459">
        <f t="shared" si="424"/>
        <v>0</v>
      </c>
      <c r="BT184" s="459">
        <f t="shared" si="425"/>
        <v>0</v>
      </c>
      <c r="BU184" s="459">
        <f t="shared" si="426"/>
        <v>0</v>
      </c>
      <c r="BV184" s="459">
        <f t="shared" si="427"/>
        <v>0</v>
      </c>
      <c r="BW184" s="459">
        <f t="shared" si="428"/>
        <v>0</v>
      </c>
      <c r="BX184" s="459">
        <f t="shared" si="429"/>
        <v>0</v>
      </c>
      <c r="BY184" s="459">
        <f t="shared" si="430"/>
        <v>0</v>
      </c>
      <c r="BZ184" s="459">
        <f t="shared" si="431"/>
        <v>0</v>
      </c>
      <c r="CA184" s="459">
        <f t="shared" si="432"/>
        <v>0</v>
      </c>
      <c r="CB184" s="460">
        <f t="shared" si="433"/>
        <v>0</v>
      </c>
      <c r="CC184" s="463"/>
      <c r="CD184" s="462">
        <f t="shared" si="434"/>
        <v>0</v>
      </c>
      <c r="CE184" s="462">
        <f t="shared" si="435"/>
        <v>0</v>
      </c>
      <c r="CF184" s="462">
        <f t="shared" si="436"/>
        <v>0</v>
      </c>
      <c r="CG184" s="462">
        <f t="shared" si="437"/>
        <v>0</v>
      </c>
      <c r="CH184" s="462">
        <f t="shared" si="438"/>
        <v>0</v>
      </c>
      <c r="CI184" s="462">
        <f t="shared" si="439"/>
        <v>0</v>
      </c>
      <c r="CJ184" s="462">
        <f t="shared" si="440"/>
        <v>0</v>
      </c>
      <c r="CK184" s="462">
        <f t="shared" si="441"/>
        <v>0</v>
      </c>
      <c r="CL184" s="462">
        <f t="shared" si="442"/>
        <v>0</v>
      </c>
      <c r="CM184" s="462">
        <f t="shared" si="443"/>
        <v>0</v>
      </c>
      <c r="CN184" s="460">
        <f t="shared" si="444"/>
        <v>0</v>
      </c>
      <c r="CO184" s="463"/>
      <c r="CP184" s="459">
        <f t="shared" si="445"/>
        <v>0</v>
      </c>
      <c r="CQ184" s="459">
        <f t="shared" si="446"/>
        <v>0</v>
      </c>
      <c r="CR184" s="459">
        <f t="shared" si="447"/>
        <v>0</v>
      </c>
      <c r="CS184" s="459">
        <f t="shared" si="448"/>
        <v>0</v>
      </c>
      <c r="CT184" s="459">
        <f t="shared" si="449"/>
        <v>0</v>
      </c>
      <c r="CU184" s="459">
        <f t="shared" si="450"/>
        <v>0</v>
      </c>
      <c r="CV184" s="459">
        <f t="shared" si="451"/>
        <v>0</v>
      </c>
      <c r="CW184" s="459">
        <f t="shared" si="452"/>
        <v>0</v>
      </c>
      <c r="CX184" s="459">
        <f t="shared" si="453"/>
        <v>0</v>
      </c>
      <c r="CY184" s="459">
        <f t="shared" si="454"/>
        <v>0</v>
      </c>
      <c r="CZ184" s="460">
        <f t="shared" si="455"/>
        <v>0</v>
      </c>
      <c r="DA184" s="463"/>
      <c r="DB184" s="459">
        <f t="shared" si="456"/>
        <v>0</v>
      </c>
      <c r="DC184" s="459">
        <f t="shared" si="457"/>
        <v>0</v>
      </c>
      <c r="DD184" s="459">
        <f t="shared" si="458"/>
        <v>0</v>
      </c>
      <c r="DE184" s="459">
        <f t="shared" si="459"/>
        <v>0</v>
      </c>
      <c r="DF184" s="459">
        <f t="shared" si="460"/>
        <v>0</v>
      </c>
      <c r="DG184" s="459">
        <f t="shared" si="461"/>
        <v>0</v>
      </c>
      <c r="DH184" s="459">
        <f t="shared" si="462"/>
        <v>0</v>
      </c>
      <c r="DI184" s="459">
        <f t="shared" si="463"/>
        <v>0</v>
      </c>
      <c r="DJ184" s="459">
        <f t="shared" si="464"/>
        <v>0</v>
      </c>
      <c r="DK184" s="459">
        <f t="shared" si="465"/>
        <v>0</v>
      </c>
      <c r="DL184" s="460">
        <f t="shared" si="466"/>
        <v>0</v>
      </c>
      <c r="DM184" s="463"/>
      <c r="DN184" s="442">
        <f>IF('2. START'!$C$14&gt;0,(AT184/(1+$AA184))*(1+'2. START'!$C$14),AT184)</f>
        <v>0</v>
      </c>
      <c r="DO184" s="442">
        <f>IF('2. START'!$C$14&gt;0,(AU184/(1+$AA184))*(1+'2. START'!$C$14),AU184)</f>
        <v>0</v>
      </c>
      <c r="DP184" s="442">
        <f>IF('2. START'!$C$14&gt;0,(AV184/(1+$AA184))*(1+'2. START'!$C$14),AV184)</f>
        <v>0</v>
      </c>
      <c r="DQ184" s="442">
        <f>IF('2. START'!$C$14&gt;0,(AW184/(1+$AA184))*(1+'2. START'!$C$14),AW184)</f>
        <v>0</v>
      </c>
      <c r="DR184" s="442">
        <f>IF('2. START'!$C$14&gt;0,(AX184/(1+$AA184))*(1+'2. START'!$C$14),AX184)</f>
        <v>0</v>
      </c>
      <c r="DS184" s="442">
        <f>IF('2. START'!$C$14&gt;0,(AY184/(1+$AA184))*(1+'2. START'!$C$14),AY184)</f>
        <v>0</v>
      </c>
      <c r="DT184" s="442">
        <f>IF('2. START'!$C$14&gt;0,(AZ184/(1+$AA184))*(1+'2. START'!$C$14),AZ184)</f>
        <v>0</v>
      </c>
      <c r="DU184" s="442">
        <f>IF('2. START'!$C$14&gt;0,(BA184/(1+$AA184))*(1+'2. START'!$C$14),BA184)</f>
        <v>0</v>
      </c>
      <c r="DV184" s="442">
        <f>IF('2. START'!$C$14&gt;0,(BB184/(1+$AA184))*(1+'2. START'!$C$14),BB184)</f>
        <v>0</v>
      </c>
      <c r="DW184" s="442">
        <f>IF('2. START'!$C$14&gt;0,(BC184/(1+$AA184))*(1+'2. START'!$C$14),BC184)</f>
        <v>0</v>
      </c>
      <c r="DX184" s="460">
        <f t="shared" si="467"/>
        <v>0</v>
      </c>
      <c r="DY184" s="463"/>
      <c r="DZ184" s="459">
        <f>IF('2. START'!$C$11="NO",(IF('2. START'!$C$14&gt;0,(DN184*$AD184),(AT184*$AD184))),(BR184+CP184))</f>
        <v>0</v>
      </c>
      <c r="EA184" s="459">
        <f>IF('2. START'!$C$11="NO",(IF('2. START'!$C$14&gt;0,(DO184*$AD184),(AU184*$AD184))),(BS184+CQ184))</f>
        <v>0</v>
      </c>
      <c r="EB184" s="459">
        <f>IF('2. START'!$C$11="NO",(IF('2. START'!$C$14&gt;0,(DP184*$AD184),(AV184*$AD184))),(BT184+CR184))</f>
        <v>0</v>
      </c>
      <c r="EC184" s="459">
        <f>IF('2. START'!$C$11="NO",(IF('2. START'!$C$14&gt;0,(DQ184*$AD184),(AW184*$AD184))),(BU184+CS184))</f>
        <v>0</v>
      </c>
      <c r="ED184" s="459">
        <f>IF('2. START'!$C$11="NO",(IF('2. START'!$C$14&gt;0,(DR184*$AD184),(AX184*$AD184))),(BV184+CT184))</f>
        <v>0</v>
      </c>
      <c r="EE184" s="459">
        <f>IF('2. START'!$C$11="NO",(IF('2. START'!$C$14&gt;0,(DS184*$AD184),(AY184*$AD184))),(BW184+CU184))</f>
        <v>0</v>
      </c>
      <c r="EF184" s="459">
        <f>IF('2. START'!$C$11="NO",(IF('2. START'!$C$14&gt;0,(DT184*$AD184),(AZ184*$AD184))),(BX184+CV184))</f>
        <v>0</v>
      </c>
      <c r="EG184" s="459">
        <f>IF('2. START'!$C$11="NO",(IF('2. START'!$C$14&gt;0,(DU184*$AD184),(BA184*$AD184))),(BY184+CW184))</f>
        <v>0</v>
      </c>
      <c r="EH184" s="459">
        <f>IF('2. START'!$C$11="NO",(IF('2. START'!$C$14&gt;0,(DV184*$AD184),(BB184*$AD184))),(BZ184+CX184))</f>
        <v>0</v>
      </c>
      <c r="EI184" s="459">
        <f>IF('2. START'!$C$11="NO",(IF('2. START'!$C$14&gt;0,(DW184*$AD184),(BC184*$AD184))),(CA184+CY184))</f>
        <v>0</v>
      </c>
      <c r="EJ184" s="460">
        <f t="shared" si="468"/>
        <v>0</v>
      </c>
      <c r="EK184" s="463"/>
      <c r="EL184" s="459">
        <f>(BR184+CP184-DZ184)+IF('2. START'!$C$14&gt;0,AT184-DN184,0)</f>
        <v>0</v>
      </c>
      <c r="EM184" s="459">
        <f>(BS184+CQ184-EA184)+IF('2. START'!$C$14&gt;0,AU184-DO184,0)</f>
        <v>0</v>
      </c>
      <c r="EN184" s="459">
        <f>(BT184+CR184-EB184)+IF('2. START'!$C$14&gt;0,AV184-DP184,0)</f>
        <v>0</v>
      </c>
      <c r="EO184" s="459">
        <f>(BU184+CS184-EC184)+IF('2. START'!$C$14&gt;0,AW184-DQ184,0)</f>
        <v>0</v>
      </c>
      <c r="EP184" s="459">
        <f>(BV184+CT184-ED184)+IF('2. START'!$C$14&gt;0,AX184-DR184,0)</f>
        <v>0</v>
      </c>
      <c r="EQ184" s="459">
        <f>(BW184+CU184-EE184)+IF('2. START'!$C$14&gt;0,AY184-DS184,0)</f>
        <v>0</v>
      </c>
      <c r="ER184" s="459">
        <f>(BX184+CV184-EF184)+IF('2. START'!$C$14&gt;0,AZ184-DT184,0)</f>
        <v>0</v>
      </c>
      <c r="ES184" s="459">
        <f>(BY184+CW184-EG184)+IF('2. START'!$C$14&gt;0,BA184-DU184,0)</f>
        <v>0</v>
      </c>
      <c r="ET184" s="459">
        <f>(BZ184+CX184-EH184)+IF('2. START'!$C$14&gt;0,BB184-DV184,0)</f>
        <v>0</v>
      </c>
      <c r="EU184" s="459">
        <f>(CA184+CY184-EI184)+IF('2. START'!$C$14&gt;0,BC184-DW184,0)</f>
        <v>0</v>
      </c>
      <c r="EV184" s="460">
        <f t="shared" si="469"/>
        <v>0</v>
      </c>
      <c r="EW184" s="463"/>
      <c r="EX184" s="459">
        <f t="shared" si="470"/>
        <v>0</v>
      </c>
      <c r="EY184" s="459">
        <f t="shared" si="471"/>
        <v>0</v>
      </c>
      <c r="EZ184" s="459">
        <f t="shared" si="472"/>
        <v>0</v>
      </c>
      <c r="FA184" s="459">
        <f t="shared" si="473"/>
        <v>0</v>
      </c>
      <c r="FB184" s="459">
        <f t="shared" si="474"/>
        <v>0</v>
      </c>
      <c r="FC184" s="459">
        <f t="shared" si="475"/>
        <v>0</v>
      </c>
      <c r="FD184" s="459">
        <f t="shared" si="476"/>
        <v>0</v>
      </c>
      <c r="FE184" s="459">
        <f t="shared" si="477"/>
        <v>0</v>
      </c>
      <c r="FF184" s="459">
        <f t="shared" si="478"/>
        <v>0</v>
      </c>
      <c r="FG184" s="459">
        <f t="shared" si="479"/>
        <v>0</v>
      </c>
      <c r="FH184" s="460">
        <f t="shared" si="480"/>
        <v>0</v>
      </c>
      <c r="FI184" s="463"/>
      <c r="FJ184" s="459">
        <f t="shared" si="481"/>
        <v>0</v>
      </c>
      <c r="FK184" s="459">
        <f t="shared" si="482"/>
        <v>0</v>
      </c>
      <c r="FL184" s="459">
        <f t="shared" si="483"/>
        <v>0</v>
      </c>
      <c r="FM184" s="459">
        <f t="shared" si="484"/>
        <v>0</v>
      </c>
      <c r="FN184" s="459">
        <f t="shared" si="485"/>
        <v>0</v>
      </c>
      <c r="FO184" s="459">
        <f t="shared" si="486"/>
        <v>0</v>
      </c>
      <c r="FP184" s="459">
        <f t="shared" si="487"/>
        <v>0</v>
      </c>
      <c r="FQ184" s="459">
        <f t="shared" si="488"/>
        <v>0</v>
      </c>
      <c r="FR184" s="459">
        <f t="shared" si="489"/>
        <v>0</v>
      </c>
      <c r="FS184" s="459">
        <f t="shared" si="490"/>
        <v>0</v>
      </c>
      <c r="FT184" s="460">
        <f t="shared" si="491"/>
        <v>0</v>
      </c>
    </row>
    <row r="185" spans="2:176" s="270" customFormat="1" ht="15" customHeight="1" x14ac:dyDescent="0.25">
      <c r="B185" s="464" t="str">
        <f>'2. START'!C$7</f>
        <v>100GEM</v>
      </c>
      <c r="C185" s="470"/>
      <c r="D185" s="590"/>
      <c r="E185" s="514">
        <v>0</v>
      </c>
      <c r="F185" s="467"/>
      <c r="G185" s="432"/>
      <c r="H185" s="432"/>
      <c r="I185" s="432"/>
      <c r="J185" s="432"/>
      <c r="K185" s="432"/>
      <c r="L185" s="432"/>
      <c r="M185" s="432"/>
      <c r="N185" s="432"/>
      <c r="O185" s="432"/>
      <c r="P185" s="432"/>
      <c r="Q185" s="545">
        <f>SUMIF('3. PARTNER'!$B$13:$B$80,$B185,'3. PARTNER'!$F$13:$F$80)</f>
        <v>0.02</v>
      </c>
      <c r="R185" s="466">
        <f t="shared" si="492"/>
        <v>0.02</v>
      </c>
      <c r="S185" s="466">
        <f t="shared" si="492"/>
        <v>0.02</v>
      </c>
      <c r="T185" s="466">
        <f t="shared" si="492"/>
        <v>0.02</v>
      </c>
      <c r="U185" s="466">
        <f t="shared" si="492"/>
        <v>0.02</v>
      </c>
      <c r="V185" s="466">
        <f t="shared" si="492"/>
        <v>0.02</v>
      </c>
      <c r="W185" s="466">
        <f t="shared" si="492"/>
        <v>0.02</v>
      </c>
      <c r="X185" s="466">
        <f t="shared" si="492"/>
        <v>0.02</v>
      </c>
      <c r="Y185" s="466">
        <f t="shared" si="492"/>
        <v>0.02</v>
      </c>
      <c r="Z185" s="466">
        <f t="shared" si="492"/>
        <v>0.02</v>
      </c>
      <c r="AA185" s="434">
        <f>SUMIF('3. PARTNER'!B$13:B$80,B185,'3. PARTNER'!E$13:E$80)</f>
        <v>0.5595</v>
      </c>
      <c r="AB185" s="435">
        <f>IF('2. START'!$C$20="UTB",(SUMIF('3. PARTNER'!B$13:B$80,B185,'3. PARTNER'!K$13:K$80))+(SUMIF('3. PARTNER'!B$13:B$80,B185,'3. PARTNER'!M$13:M$80)),(SUMIF('3. PARTNER'!B$13:B$80,B185,'3. PARTNER'!G$13:G$80))+(SUMIF('3. PARTNER'!B$13:B$80,B185,'3. PARTNER'!I$13:I$80)))</f>
        <v>0.16000843770704321</v>
      </c>
      <c r="AC185" s="435">
        <f>IF('2. START'!$C$20="UTB",(SUMIF('3. PARTNER'!B$13:B$80,B185,'3. PARTNER'!L$13:L$80))+(SUMIF('3. PARTNER'!B$13:B$80,B185,'3. PARTNER'!N$13:N$80)),(SUMIF('3. PARTNER'!B$13:B$80,B185,'3. PARTNER'!H$13:H$80))+(SUMIF('3. PARTNER'!B$13:B$80,B185,'3. PARTNER'!J$13:J$80)))</f>
        <v>0</v>
      </c>
      <c r="AD185" s="435">
        <f>IF('2. START'!C$11="NO",'2. START'!C$12,0)</f>
        <v>0</v>
      </c>
      <c r="AE185" s="436">
        <f t="shared" si="388"/>
        <v>0</v>
      </c>
      <c r="AF185" s="436">
        <f t="shared" si="389"/>
        <v>0</v>
      </c>
      <c r="AG185" s="437"/>
      <c r="AH185" s="438">
        <f t="shared" si="390"/>
        <v>0</v>
      </c>
      <c r="AI185" s="438">
        <f t="shared" si="391"/>
        <v>0</v>
      </c>
      <c r="AJ185" s="438">
        <f t="shared" si="392"/>
        <v>0</v>
      </c>
      <c r="AK185" s="438">
        <f t="shared" si="393"/>
        <v>0</v>
      </c>
      <c r="AL185" s="438">
        <f t="shared" si="394"/>
        <v>0</v>
      </c>
      <c r="AM185" s="438">
        <f t="shared" si="395"/>
        <v>0</v>
      </c>
      <c r="AN185" s="438">
        <f t="shared" si="396"/>
        <v>0</v>
      </c>
      <c r="AO185" s="438">
        <f t="shared" si="397"/>
        <v>0</v>
      </c>
      <c r="AP185" s="438">
        <f t="shared" si="398"/>
        <v>0</v>
      </c>
      <c r="AQ185" s="438">
        <f t="shared" si="399"/>
        <v>0</v>
      </c>
      <c r="AR185" s="439">
        <f t="shared" si="400"/>
        <v>0</v>
      </c>
      <c r="AS185" s="440"/>
      <c r="AT185" s="438">
        <f t="shared" si="401"/>
        <v>0</v>
      </c>
      <c r="AU185" s="438">
        <f t="shared" si="402"/>
        <v>0</v>
      </c>
      <c r="AV185" s="438">
        <f t="shared" si="403"/>
        <v>0</v>
      </c>
      <c r="AW185" s="438">
        <f t="shared" si="404"/>
        <v>0</v>
      </c>
      <c r="AX185" s="438">
        <f t="shared" si="405"/>
        <v>0</v>
      </c>
      <c r="AY185" s="438">
        <f t="shared" si="406"/>
        <v>0</v>
      </c>
      <c r="AZ185" s="438">
        <f t="shared" si="407"/>
        <v>0</v>
      </c>
      <c r="BA185" s="438">
        <f t="shared" si="408"/>
        <v>0</v>
      </c>
      <c r="BB185" s="438">
        <f t="shared" si="409"/>
        <v>0</v>
      </c>
      <c r="BC185" s="438">
        <f t="shared" si="410"/>
        <v>0</v>
      </c>
      <c r="BD185" s="439">
        <f t="shared" si="411"/>
        <v>0</v>
      </c>
      <c r="BE185" s="440"/>
      <c r="BF185" s="438">
        <f t="shared" si="412"/>
        <v>0</v>
      </c>
      <c r="BG185" s="438">
        <f t="shared" si="413"/>
        <v>0</v>
      </c>
      <c r="BH185" s="438">
        <f t="shared" si="414"/>
        <v>0</v>
      </c>
      <c r="BI185" s="438">
        <f t="shared" si="415"/>
        <v>0</v>
      </c>
      <c r="BJ185" s="438">
        <f t="shared" si="416"/>
        <v>0</v>
      </c>
      <c r="BK185" s="438">
        <f t="shared" si="417"/>
        <v>0</v>
      </c>
      <c r="BL185" s="438">
        <f t="shared" si="418"/>
        <v>0</v>
      </c>
      <c r="BM185" s="438">
        <f t="shared" si="419"/>
        <v>0</v>
      </c>
      <c r="BN185" s="438">
        <f t="shared" si="420"/>
        <v>0</v>
      </c>
      <c r="BO185" s="438">
        <f t="shared" si="421"/>
        <v>0</v>
      </c>
      <c r="BP185" s="439">
        <f t="shared" si="422"/>
        <v>0</v>
      </c>
      <c r="BR185" s="442">
        <f t="shared" si="423"/>
        <v>0</v>
      </c>
      <c r="BS185" s="442">
        <f t="shared" si="424"/>
        <v>0</v>
      </c>
      <c r="BT185" s="442">
        <f t="shared" si="425"/>
        <v>0</v>
      </c>
      <c r="BU185" s="442">
        <f t="shared" si="426"/>
        <v>0</v>
      </c>
      <c r="BV185" s="442">
        <f t="shared" si="427"/>
        <v>0</v>
      </c>
      <c r="BW185" s="442">
        <f t="shared" si="428"/>
        <v>0</v>
      </c>
      <c r="BX185" s="442">
        <f t="shared" si="429"/>
        <v>0</v>
      </c>
      <c r="BY185" s="442">
        <f t="shared" si="430"/>
        <v>0</v>
      </c>
      <c r="BZ185" s="442">
        <f t="shared" si="431"/>
        <v>0</v>
      </c>
      <c r="CA185" s="442">
        <f t="shared" si="432"/>
        <v>0</v>
      </c>
      <c r="CB185" s="443">
        <f t="shared" si="433"/>
        <v>0</v>
      </c>
      <c r="CD185" s="445">
        <f t="shared" si="434"/>
        <v>0</v>
      </c>
      <c r="CE185" s="445">
        <f t="shared" si="435"/>
        <v>0</v>
      </c>
      <c r="CF185" s="445">
        <f t="shared" si="436"/>
        <v>0</v>
      </c>
      <c r="CG185" s="445">
        <f t="shared" si="437"/>
        <v>0</v>
      </c>
      <c r="CH185" s="445">
        <f t="shared" si="438"/>
        <v>0</v>
      </c>
      <c r="CI185" s="445">
        <f t="shared" si="439"/>
        <v>0</v>
      </c>
      <c r="CJ185" s="445">
        <f t="shared" si="440"/>
        <v>0</v>
      </c>
      <c r="CK185" s="445">
        <f t="shared" si="441"/>
        <v>0</v>
      </c>
      <c r="CL185" s="445">
        <f t="shared" si="442"/>
        <v>0</v>
      </c>
      <c r="CM185" s="445">
        <f t="shared" si="443"/>
        <v>0</v>
      </c>
      <c r="CN185" s="443">
        <f t="shared" si="444"/>
        <v>0</v>
      </c>
      <c r="CP185" s="442">
        <f t="shared" si="445"/>
        <v>0</v>
      </c>
      <c r="CQ185" s="442">
        <f t="shared" si="446"/>
        <v>0</v>
      </c>
      <c r="CR185" s="442">
        <f t="shared" si="447"/>
        <v>0</v>
      </c>
      <c r="CS185" s="442">
        <f t="shared" si="448"/>
        <v>0</v>
      </c>
      <c r="CT185" s="442">
        <f t="shared" si="449"/>
        <v>0</v>
      </c>
      <c r="CU185" s="442">
        <f t="shared" si="450"/>
        <v>0</v>
      </c>
      <c r="CV185" s="442">
        <f t="shared" si="451"/>
        <v>0</v>
      </c>
      <c r="CW185" s="442">
        <f t="shared" si="452"/>
        <v>0</v>
      </c>
      <c r="CX185" s="442">
        <f t="shared" si="453"/>
        <v>0</v>
      </c>
      <c r="CY185" s="442">
        <f t="shared" si="454"/>
        <v>0</v>
      </c>
      <c r="CZ185" s="443">
        <f t="shared" si="455"/>
        <v>0</v>
      </c>
      <c r="DB185" s="442">
        <f t="shared" si="456"/>
        <v>0</v>
      </c>
      <c r="DC185" s="442">
        <f t="shared" si="457"/>
        <v>0</v>
      </c>
      <c r="DD185" s="442">
        <f t="shared" si="458"/>
        <v>0</v>
      </c>
      <c r="DE185" s="442">
        <f t="shared" si="459"/>
        <v>0</v>
      </c>
      <c r="DF185" s="442">
        <f t="shared" si="460"/>
        <v>0</v>
      </c>
      <c r="DG185" s="442">
        <f t="shared" si="461"/>
        <v>0</v>
      </c>
      <c r="DH185" s="442">
        <f t="shared" si="462"/>
        <v>0</v>
      </c>
      <c r="DI185" s="442">
        <f t="shared" si="463"/>
        <v>0</v>
      </c>
      <c r="DJ185" s="442">
        <f t="shared" si="464"/>
        <v>0</v>
      </c>
      <c r="DK185" s="442">
        <f t="shared" si="465"/>
        <v>0</v>
      </c>
      <c r="DL185" s="443">
        <f t="shared" si="466"/>
        <v>0</v>
      </c>
      <c r="DN185" s="442">
        <f>IF('2. START'!$C$14&gt;0,(AT185/(1+$AA185))*(1+'2. START'!$C$14),AT185)</f>
        <v>0</v>
      </c>
      <c r="DO185" s="442">
        <f>IF('2. START'!$C$14&gt;0,(AU185/(1+$AA185))*(1+'2. START'!$C$14),AU185)</f>
        <v>0</v>
      </c>
      <c r="DP185" s="442">
        <f>IF('2. START'!$C$14&gt;0,(AV185/(1+$AA185))*(1+'2. START'!$C$14),AV185)</f>
        <v>0</v>
      </c>
      <c r="DQ185" s="442">
        <f>IF('2. START'!$C$14&gt;0,(AW185/(1+$AA185))*(1+'2. START'!$C$14),AW185)</f>
        <v>0</v>
      </c>
      <c r="DR185" s="442">
        <f>IF('2. START'!$C$14&gt;0,(AX185/(1+$AA185))*(1+'2. START'!$C$14),AX185)</f>
        <v>0</v>
      </c>
      <c r="DS185" s="442">
        <f>IF('2. START'!$C$14&gt;0,(AY185/(1+$AA185))*(1+'2. START'!$C$14),AY185)</f>
        <v>0</v>
      </c>
      <c r="DT185" s="442">
        <f>IF('2. START'!$C$14&gt;0,(AZ185/(1+$AA185))*(1+'2. START'!$C$14),AZ185)</f>
        <v>0</v>
      </c>
      <c r="DU185" s="442">
        <f>IF('2. START'!$C$14&gt;0,(BA185/(1+$AA185))*(1+'2. START'!$C$14),BA185)</f>
        <v>0</v>
      </c>
      <c r="DV185" s="442">
        <f>IF('2. START'!$C$14&gt;0,(BB185/(1+$AA185))*(1+'2. START'!$C$14),BB185)</f>
        <v>0</v>
      </c>
      <c r="DW185" s="442">
        <f>IF('2. START'!$C$14&gt;0,(BC185/(1+$AA185))*(1+'2. START'!$C$14),BC185)</f>
        <v>0</v>
      </c>
      <c r="DX185" s="443">
        <f t="shared" si="467"/>
        <v>0</v>
      </c>
      <c r="DZ185" s="442">
        <f>IF('2. START'!$C$11="NO",(IF('2. START'!$C$14&gt;0,(DN185*$AD185),(AT185*$AD185))),(BR185+CP185))</f>
        <v>0</v>
      </c>
      <c r="EA185" s="442">
        <f>IF('2. START'!$C$11="NO",(IF('2. START'!$C$14&gt;0,(DO185*$AD185),(AU185*$AD185))),(BS185+CQ185))</f>
        <v>0</v>
      </c>
      <c r="EB185" s="442">
        <f>IF('2. START'!$C$11="NO",(IF('2. START'!$C$14&gt;0,(DP185*$AD185),(AV185*$AD185))),(BT185+CR185))</f>
        <v>0</v>
      </c>
      <c r="EC185" s="442">
        <f>IF('2. START'!$C$11="NO",(IF('2. START'!$C$14&gt;0,(DQ185*$AD185),(AW185*$AD185))),(BU185+CS185))</f>
        <v>0</v>
      </c>
      <c r="ED185" s="442">
        <f>IF('2. START'!$C$11="NO",(IF('2. START'!$C$14&gt;0,(DR185*$AD185),(AX185*$AD185))),(BV185+CT185))</f>
        <v>0</v>
      </c>
      <c r="EE185" s="442">
        <f>IF('2. START'!$C$11="NO",(IF('2. START'!$C$14&gt;0,(DS185*$AD185),(AY185*$AD185))),(BW185+CU185))</f>
        <v>0</v>
      </c>
      <c r="EF185" s="442">
        <f>IF('2. START'!$C$11="NO",(IF('2. START'!$C$14&gt;0,(DT185*$AD185),(AZ185*$AD185))),(BX185+CV185))</f>
        <v>0</v>
      </c>
      <c r="EG185" s="442">
        <f>IF('2. START'!$C$11="NO",(IF('2. START'!$C$14&gt;0,(DU185*$AD185),(BA185*$AD185))),(BY185+CW185))</f>
        <v>0</v>
      </c>
      <c r="EH185" s="442">
        <f>IF('2. START'!$C$11="NO",(IF('2. START'!$C$14&gt;0,(DV185*$AD185),(BB185*$AD185))),(BZ185+CX185))</f>
        <v>0</v>
      </c>
      <c r="EI185" s="442">
        <f>IF('2. START'!$C$11="NO",(IF('2. START'!$C$14&gt;0,(DW185*$AD185),(BC185*$AD185))),(CA185+CY185))</f>
        <v>0</v>
      </c>
      <c r="EJ185" s="443">
        <f t="shared" si="468"/>
        <v>0</v>
      </c>
      <c r="EL185" s="442">
        <f>(BR185+CP185-DZ185)+IF('2. START'!$C$14&gt;0,AT185-DN185,0)</f>
        <v>0</v>
      </c>
      <c r="EM185" s="442">
        <f>(BS185+CQ185-EA185)+IF('2. START'!$C$14&gt;0,AU185-DO185,0)</f>
        <v>0</v>
      </c>
      <c r="EN185" s="442">
        <f>(BT185+CR185-EB185)+IF('2. START'!$C$14&gt;0,AV185-DP185,0)</f>
        <v>0</v>
      </c>
      <c r="EO185" s="442">
        <f>(BU185+CS185-EC185)+IF('2. START'!$C$14&gt;0,AW185-DQ185,0)</f>
        <v>0</v>
      </c>
      <c r="EP185" s="442">
        <f>(BV185+CT185-ED185)+IF('2. START'!$C$14&gt;0,AX185-DR185,0)</f>
        <v>0</v>
      </c>
      <c r="EQ185" s="442">
        <f>(BW185+CU185-EE185)+IF('2. START'!$C$14&gt;0,AY185-DS185,0)</f>
        <v>0</v>
      </c>
      <c r="ER185" s="442">
        <f>(BX185+CV185-EF185)+IF('2. START'!$C$14&gt;0,AZ185-DT185,0)</f>
        <v>0</v>
      </c>
      <c r="ES185" s="442">
        <f>(BY185+CW185-EG185)+IF('2. START'!$C$14&gt;0,BA185-DU185,0)</f>
        <v>0</v>
      </c>
      <c r="ET185" s="442">
        <f>(BZ185+CX185-EH185)+IF('2. START'!$C$14&gt;0,BB185-DV185,0)</f>
        <v>0</v>
      </c>
      <c r="EU185" s="442">
        <f>(CA185+CY185-EI185)+IF('2. START'!$C$14&gt;0,BC185-DW185,0)</f>
        <v>0</v>
      </c>
      <c r="EV185" s="443">
        <f t="shared" si="469"/>
        <v>0</v>
      </c>
      <c r="EX185" s="442">
        <f t="shared" si="470"/>
        <v>0</v>
      </c>
      <c r="EY185" s="442">
        <f t="shared" si="471"/>
        <v>0</v>
      </c>
      <c r="EZ185" s="442">
        <f t="shared" si="472"/>
        <v>0</v>
      </c>
      <c r="FA185" s="442">
        <f t="shared" si="473"/>
        <v>0</v>
      </c>
      <c r="FB185" s="442">
        <f t="shared" si="474"/>
        <v>0</v>
      </c>
      <c r="FC185" s="442">
        <f t="shared" si="475"/>
        <v>0</v>
      </c>
      <c r="FD185" s="442">
        <f t="shared" si="476"/>
        <v>0</v>
      </c>
      <c r="FE185" s="442">
        <f t="shared" si="477"/>
        <v>0</v>
      </c>
      <c r="FF185" s="442">
        <f t="shared" si="478"/>
        <v>0</v>
      </c>
      <c r="FG185" s="442">
        <f t="shared" si="479"/>
        <v>0</v>
      </c>
      <c r="FH185" s="443">
        <f t="shared" si="480"/>
        <v>0</v>
      </c>
      <c r="FJ185" s="442">
        <f t="shared" si="481"/>
        <v>0</v>
      </c>
      <c r="FK185" s="442">
        <f t="shared" si="482"/>
        <v>0</v>
      </c>
      <c r="FL185" s="442">
        <f t="shared" si="483"/>
        <v>0</v>
      </c>
      <c r="FM185" s="442">
        <f t="shared" si="484"/>
        <v>0</v>
      </c>
      <c r="FN185" s="442">
        <f t="shared" si="485"/>
        <v>0</v>
      </c>
      <c r="FO185" s="442">
        <f t="shared" si="486"/>
        <v>0</v>
      </c>
      <c r="FP185" s="442">
        <f t="shared" si="487"/>
        <v>0</v>
      </c>
      <c r="FQ185" s="442">
        <f t="shared" si="488"/>
        <v>0</v>
      </c>
      <c r="FR185" s="442">
        <f t="shared" si="489"/>
        <v>0</v>
      </c>
      <c r="FS185" s="442">
        <f t="shared" si="490"/>
        <v>0</v>
      </c>
      <c r="FT185" s="443">
        <f t="shared" si="491"/>
        <v>0</v>
      </c>
    </row>
    <row r="186" spans="2:176" s="270" customFormat="1" ht="15" customHeight="1" x14ac:dyDescent="0.25">
      <c r="B186" s="446" t="str">
        <f>'2. START'!C$7</f>
        <v>100GEM</v>
      </c>
      <c r="C186" s="469"/>
      <c r="D186" s="589"/>
      <c r="E186" s="544">
        <v>0</v>
      </c>
      <c r="F186" s="448"/>
      <c r="G186" s="449"/>
      <c r="H186" s="449"/>
      <c r="I186" s="449"/>
      <c r="J186" s="449"/>
      <c r="K186" s="449"/>
      <c r="L186" s="449"/>
      <c r="M186" s="449"/>
      <c r="N186" s="449"/>
      <c r="O186" s="449"/>
      <c r="P186" s="449"/>
      <c r="Q186" s="546">
        <f>SUMIF('3. PARTNER'!$B$13:$B$80,$B186,'3. PARTNER'!$F$13:$F$80)</f>
        <v>0.02</v>
      </c>
      <c r="R186" s="450">
        <f t="shared" si="492"/>
        <v>0.02</v>
      </c>
      <c r="S186" s="450">
        <f t="shared" si="492"/>
        <v>0.02</v>
      </c>
      <c r="T186" s="450">
        <f t="shared" si="492"/>
        <v>0.02</v>
      </c>
      <c r="U186" s="450">
        <f t="shared" si="492"/>
        <v>0.02</v>
      </c>
      <c r="V186" s="450">
        <f t="shared" si="492"/>
        <v>0.02</v>
      </c>
      <c r="W186" s="450">
        <f t="shared" si="492"/>
        <v>0.02</v>
      </c>
      <c r="X186" s="450">
        <f t="shared" si="492"/>
        <v>0.02</v>
      </c>
      <c r="Y186" s="450">
        <f t="shared" si="492"/>
        <v>0.02</v>
      </c>
      <c r="Z186" s="450">
        <f t="shared" si="492"/>
        <v>0.02</v>
      </c>
      <c r="AA186" s="451">
        <f>SUMIF('3. PARTNER'!B$13:B$80,B186,'3. PARTNER'!E$13:E$80)</f>
        <v>0.5595</v>
      </c>
      <c r="AB186" s="452">
        <f>IF('2. START'!$C$20="UTB",(SUMIF('3. PARTNER'!B$13:B$80,B186,'3. PARTNER'!K$13:K$80))+(SUMIF('3. PARTNER'!B$13:B$80,B186,'3. PARTNER'!M$13:M$80)),(SUMIF('3. PARTNER'!B$13:B$80,B186,'3. PARTNER'!G$13:G$80))+(SUMIF('3. PARTNER'!B$13:B$80,B186,'3. PARTNER'!I$13:I$80)))</f>
        <v>0.16000843770704321</v>
      </c>
      <c r="AC186" s="452">
        <f>IF('2. START'!$C$20="UTB",(SUMIF('3. PARTNER'!B$13:B$80,B186,'3. PARTNER'!L$13:L$80))+(SUMIF('3. PARTNER'!B$13:B$80,B186,'3. PARTNER'!N$13:N$80)),(SUMIF('3. PARTNER'!B$13:B$80,B186,'3. PARTNER'!H$13:H$80))+(SUMIF('3. PARTNER'!B$13:B$80,B186,'3. PARTNER'!J$13:J$80)))</f>
        <v>0</v>
      </c>
      <c r="AD186" s="452">
        <f>IF('2. START'!C$11="NO",'2. START'!C$12,0)</f>
        <v>0</v>
      </c>
      <c r="AE186" s="453">
        <f t="shared" si="388"/>
        <v>0</v>
      </c>
      <c r="AF186" s="453">
        <f t="shared" si="389"/>
        <v>0</v>
      </c>
      <c r="AG186" s="454"/>
      <c r="AH186" s="455">
        <f t="shared" si="390"/>
        <v>0</v>
      </c>
      <c r="AI186" s="455">
        <f t="shared" si="391"/>
        <v>0</v>
      </c>
      <c r="AJ186" s="455">
        <f t="shared" si="392"/>
        <v>0</v>
      </c>
      <c r="AK186" s="455">
        <f t="shared" si="393"/>
        <v>0</v>
      </c>
      <c r="AL186" s="455">
        <f t="shared" si="394"/>
        <v>0</v>
      </c>
      <c r="AM186" s="455">
        <f t="shared" si="395"/>
        <v>0</v>
      </c>
      <c r="AN186" s="455">
        <f t="shared" si="396"/>
        <v>0</v>
      </c>
      <c r="AO186" s="455">
        <f t="shared" si="397"/>
        <v>0</v>
      </c>
      <c r="AP186" s="455">
        <f t="shared" si="398"/>
        <v>0</v>
      </c>
      <c r="AQ186" s="455">
        <f t="shared" si="399"/>
        <v>0</v>
      </c>
      <c r="AR186" s="456">
        <f t="shared" si="400"/>
        <v>0</v>
      </c>
      <c r="AS186" s="457"/>
      <c r="AT186" s="455">
        <f t="shared" si="401"/>
        <v>0</v>
      </c>
      <c r="AU186" s="455">
        <f t="shared" si="402"/>
        <v>0</v>
      </c>
      <c r="AV186" s="455">
        <f t="shared" si="403"/>
        <v>0</v>
      </c>
      <c r="AW186" s="455">
        <f t="shared" si="404"/>
        <v>0</v>
      </c>
      <c r="AX186" s="455">
        <f t="shared" si="405"/>
        <v>0</v>
      </c>
      <c r="AY186" s="455">
        <f t="shared" si="406"/>
        <v>0</v>
      </c>
      <c r="AZ186" s="455">
        <f t="shared" si="407"/>
        <v>0</v>
      </c>
      <c r="BA186" s="455">
        <f t="shared" si="408"/>
        <v>0</v>
      </c>
      <c r="BB186" s="455">
        <f t="shared" si="409"/>
        <v>0</v>
      </c>
      <c r="BC186" s="455">
        <f t="shared" si="410"/>
        <v>0</v>
      </c>
      <c r="BD186" s="456">
        <f t="shared" si="411"/>
        <v>0</v>
      </c>
      <c r="BE186" s="457"/>
      <c r="BF186" s="455">
        <f t="shared" si="412"/>
        <v>0</v>
      </c>
      <c r="BG186" s="455">
        <f t="shared" si="413"/>
        <v>0</v>
      </c>
      <c r="BH186" s="455">
        <f t="shared" si="414"/>
        <v>0</v>
      </c>
      <c r="BI186" s="455">
        <f t="shared" si="415"/>
        <v>0</v>
      </c>
      <c r="BJ186" s="455">
        <f t="shared" si="416"/>
        <v>0</v>
      </c>
      <c r="BK186" s="455">
        <f t="shared" si="417"/>
        <v>0</v>
      </c>
      <c r="BL186" s="455">
        <f t="shared" si="418"/>
        <v>0</v>
      </c>
      <c r="BM186" s="455">
        <f t="shared" si="419"/>
        <v>0</v>
      </c>
      <c r="BN186" s="455">
        <f t="shared" si="420"/>
        <v>0</v>
      </c>
      <c r="BO186" s="455">
        <f t="shared" si="421"/>
        <v>0</v>
      </c>
      <c r="BP186" s="456">
        <f t="shared" si="422"/>
        <v>0</v>
      </c>
      <c r="BQ186" s="463"/>
      <c r="BR186" s="459">
        <f t="shared" si="423"/>
        <v>0</v>
      </c>
      <c r="BS186" s="459">
        <f t="shared" si="424"/>
        <v>0</v>
      </c>
      <c r="BT186" s="459">
        <f t="shared" si="425"/>
        <v>0</v>
      </c>
      <c r="BU186" s="459">
        <f t="shared" si="426"/>
        <v>0</v>
      </c>
      <c r="BV186" s="459">
        <f t="shared" si="427"/>
        <v>0</v>
      </c>
      <c r="BW186" s="459">
        <f t="shared" si="428"/>
        <v>0</v>
      </c>
      <c r="BX186" s="459">
        <f t="shared" si="429"/>
        <v>0</v>
      </c>
      <c r="BY186" s="459">
        <f t="shared" si="430"/>
        <v>0</v>
      </c>
      <c r="BZ186" s="459">
        <f t="shared" si="431"/>
        <v>0</v>
      </c>
      <c r="CA186" s="459">
        <f t="shared" si="432"/>
        <v>0</v>
      </c>
      <c r="CB186" s="460">
        <f t="shared" si="433"/>
        <v>0</v>
      </c>
      <c r="CC186" s="463"/>
      <c r="CD186" s="462">
        <f t="shared" si="434"/>
        <v>0</v>
      </c>
      <c r="CE186" s="462">
        <f t="shared" si="435"/>
        <v>0</v>
      </c>
      <c r="CF186" s="462">
        <f t="shared" si="436"/>
        <v>0</v>
      </c>
      <c r="CG186" s="462">
        <f t="shared" si="437"/>
        <v>0</v>
      </c>
      <c r="CH186" s="462">
        <f t="shared" si="438"/>
        <v>0</v>
      </c>
      <c r="CI186" s="462">
        <f t="shared" si="439"/>
        <v>0</v>
      </c>
      <c r="CJ186" s="462">
        <f t="shared" si="440"/>
        <v>0</v>
      </c>
      <c r="CK186" s="462">
        <f t="shared" si="441"/>
        <v>0</v>
      </c>
      <c r="CL186" s="462">
        <f t="shared" si="442"/>
        <v>0</v>
      </c>
      <c r="CM186" s="462">
        <f t="shared" si="443"/>
        <v>0</v>
      </c>
      <c r="CN186" s="460">
        <f t="shared" si="444"/>
        <v>0</v>
      </c>
      <c r="CO186" s="463"/>
      <c r="CP186" s="459">
        <f t="shared" si="445"/>
        <v>0</v>
      </c>
      <c r="CQ186" s="459">
        <f t="shared" si="446"/>
        <v>0</v>
      </c>
      <c r="CR186" s="459">
        <f t="shared" si="447"/>
        <v>0</v>
      </c>
      <c r="CS186" s="459">
        <f t="shared" si="448"/>
        <v>0</v>
      </c>
      <c r="CT186" s="459">
        <f t="shared" si="449"/>
        <v>0</v>
      </c>
      <c r="CU186" s="459">
        <f t="shared" si="450"/>
        <v>0</v>
      </c>
      <c r="CV186" s="459">
        <f t="shared" si="451"/>
        <v>0</v>
      </c>
      <c r="CW186" s="459">
        <f t="shared" si="452"/>
        <v>0</v>
      </c>
      <c r="CX186" s="459">
        <f t="shared" si="453"/>
        <v>0</v>
      </c>
      <c r="CY186" s="459">
        <f t="shared" si="454"/>
        <v>0</v>
      </c>
      <c r="CZ186" s="460">
        <f t="shared" si="455"/>
        <v>0</v>
      </c>
      <c r="DA186" s="463"/>
      <c r="DB186" s="459">
        <f t="shared" si="456"/>
        <v>0</v>
      </c>
      <c r="DC186" s="459">
        <f t="shared" si="457"/>
        <v>0</v>
      </c>
      <c r="DD186" s="459">
        <f t="shared" si="458"/>
        <v>0</v>
      </c>
      <c r="DE186" s="459">
        <f t="shared" si="459"/>
        <v>0</v>
      </c>
      <c r="DF186" s="459">
        <f t="shared" si="460"/>
        <v>0</v>
      </c>
      <c r="DG186" s="459">
        <f t="shared" si="461"/>
        <v>0</v>
      </c>
      <c r="DH186" s="459">
        <f t="shared" si="462"/>
        <v>0</v>
      </c>
      <c r="DI186" s="459">
        <f t="shared" si="463"/>
        <v>0</v>
      </c>
      <c r="DJ186" s="459">
        <f t="shared" si="464"/>
        <v>0</v>
      </c>
      <c r="DK186" s="459">
        <f t="shared" si="465"/>
        <v>0</v>
      </c>
      <c r="DL186" s="460">
        <f t="shared" si="466"/>
        <v>0</v>
      </c>
      <c r="DM186" s="463"/>
      <c r="DN186" s="442">
        <f>IF('2. START'!$C$14&gt;0,(AT186/(1+$AA186))*(1+'2. START'!$C$14),AT186)</f>
        <v>0</v>
      </c>
      <c r="DO186" s="442">
        <f>IF('2. START'!$C$14&gt;0,(AU186/(1+$AA186))*(1+'2. START'!$C$14),AU186)</f>
        <v>0</v>
      </c>
      <c r="DP186" s="442">
        <f>IF('2. START'!$C$14&gt;0,(AV186/(1+$AA186))*(1+'2. START'!$C$14),AV186)</f>
        <v>0</v>
      </c>
      <c r="DQ186" s="442">
        <f>IF('2. START'!$C$14&gt;0,(AW186/(1+$AA186))*(1+'2. START'!$C$14),AW186)</f>
        <v>0</v>
      </c>
      <c r="DR186" s="442">
        <f>IF('2. START'!$C$14&gt;0,(AX186/(1+$AA186))*(1+'2. START'!$C$14),AX186)</f>
        <v>0</v>
      </c>
      <c r="DS186" s="442">
        <f>IF('2. START'!$C$14&gt;0,(AY186/(1+$AA186))*(1+'2. START'!$C$14),AY186)</f>
        <v>0</v>
      </c>
      <c r="DT186" s="442">
        <f>IF('2. START'!$C$14&gt;0,(AZ186/(1+$AA186))*(1+'2. START'!$C$14),AZ186)</f>
        <v>0</v>
      </c>
      <c r="DU186" s="442">
        <f>IF('2. START'!$C$14&gt;0,(BA186/(1+$AA186))*(1+'2. START'!$C$14),BA186)</f>
        <v>0</v>
      </c>
      <c r="DV186" s="442">
        <f>IF('2. START'!$C$14&gt;0,(BB186/(1+$AA186))*(1+'2. START'!$C$14),BB186)</f>
        <v>0</v>
      </c>
      <c r="DW186" s="442">
        <f>IF('2. START'!$C$14&gt;0,(BC186/(1+$AA186))*(1+'2. START'!$C$14),BC186)</f>
        <v>0</v>
      </c>
      <c r="DX186" s="460">
        <f t="shared" si="467"/>
        <v>0</v>
      </c>
      <c r="DY186" s="463"/>
      <c r="DZ186" s="459">
        <f>IF('2. START'!$C$11="NO",(IF('2. START'!$C$14&gt;0,(DN186*$AD186),(AT186*$AD186))),(BR186+CP186))</f>
        <v>0</v>
      </c>
      <c r="EA186" s="459">
        <f>IF('2. START'!$C$11="NO",(IF('2. START'!$C$14&gt;0,(DO186*$AD186),(AU186*$AD186))),(BS186+CQ186))</f>
        <v>0</v>
      </c>
      <c r="EB186" s="459">
        <f>IF('2. START'!$C$11="NO",(IF('2. START'!$C$14&gt;0,(DP186*$AD186),(AV186*$AD186))),(BT186+CR186))</f>
        <v>0</v>
      </c>
      <c r="EC186" s="459">
        <f>IF('2. START'!$C$11="NO",(IF('2. START'!$C$14&gt;0,(DQ186*$AD186),(AW186*$AD186))),(BU186+CS186))</f>
        <v>0</v>
      </c>
      <c r="ED186" s="459">
        <f>IF('2. START'!$C$11="NO",(IF('2. START'!$C$14&gt;0,(DR186*$AD186),(AX186*$AD186))),(BV186+CT186))</f>
        <v>0</v>
      </c>
      <c r="EE186" s="459">
        <f>IF('2. START'!$C$11="NO",(IF('2. START'!$C$14&gt;0,(DS186*$AD186),(AY186*$AD186))),(BW186+CU186))</f>
        <v>0</v>
      </c>
      <c r="EF186" s="459">
        <f>IF('2. START'!$C$11="NO",(IF('2. START'!$C$14&gt;0,(DT186*$AD186),(AZ186*$AD186))),(BX186+CV186))</f>
        <v>0</v>
      </c>
      <c r="EG186" s="459">
        <f>IF('2. START'!$C$11="NO",(IF('2. START'!$C$14&gt;0,(DU186*$AD186),(BA186*$AD186))),(BY186+CW186))</f>
        <v>0</v>
      </c>
      <c r="EH186" s="459">
        <f>IF('2. START'!$C$11="NO",(IF('2. START'!$C$14&gt;0,(DV186*$AD186),(BB186*$AD186))),(BZ186+CX186))</f>
        <v>0</v>
      </c>
      <c r="EI186" s="459">
        <f>IF('2. START'!$C$11="NO",(IF('2. START'!$C$14&gt;0,(DW186*$AD186),(BC186*$AD186))),(CA186+CY186))</f>
        <v>0</v>
      </c>
      <c r="EJ186" s="460">
        <f t="shared" si="468"/>
        <v>0</v>
      </c>
      <c r="EK186" s="463"/>
      <c r="EL186" s="459">
        <f>(BR186+CP186-DZ186)+IF('2. START'!$C$14&gt;0,AT186-DN186,0)</f>
        <v>0</v>
      </c>
      <c r="EM186" s="459">
        <f>(BS186+CQ186-EA186)+IF('2. START'!$C$14&gt;0,AU186-DO186,0)</f>
        <v>0</v>
      </c>
      <c r="EN186" s="459">
        <f>(BT186+CR186-EB186)+IF('2. START'!$C$14&gt;0,AV186-DP186,0)</f>
        <v>0</v>
      </c>
      <c r="EO186" s="459">
        <f>(BU186+CS186-EC186)+IF('2. START'!$C$14&gt;0,AW186-DQ186,0)</f>
        <v>0</v>
      </c>
      <c r="EP186" s="459">
        <f>(BV186+CT186-ED186)+IF('2. START'!$C$14&gt;0,AX186-DR186,0)</f>
        <v>0</v>
      </c>
      <c r="EQ186" s="459">
        <f>(BW186+CU186-EE186)+IF('2. START'!$C$14&gt;0,AY186-DS186,0)</f>
        <v>0</v>
      </c>
      <c r="ER186" s="459">
        <f>(BX186+CV186-EF186)+IF('2. START'!$C$14&gt;0,AZ186-DT186,0)</f>
        <v>0</v>
      </c>
      <c r="ES186" s="459">
        <f>(BY186+CW186-EG186)+IF('2. START'!$C$14&gt;0,BA186-DU186,0)</f>
        <v>0</v>
      </c>
      <c r="ET186" s="459">
        <f>(BZ186+CX186-EH186)+IF('2. START'!$C$14&gt;0,BB186-DV186,0)</f>
        <v>0</v>
      </c>
      <c r="EU186" s="459">
        <f>(CA186+CY186-EI186)+IF('2. START'!$C$14&gt;0,BC186-DW186,0)</f>
        <v>0</v>
      </c>
      <c r="EV186" s="460">
        <f t="shared" si="469"/>
        <v>0</v>
      </c>
      <c r="EW186" s="463"/>
      <c r="EX186" s="459">
        <f t="shared" si="470"/>
        <v>0</v>
      </c>
      <c r="EY186" s="459">
        <f t="shared" si="471"/>
        <v>0</v>
      </c>
      <c r="EZ186" s="459">
        <f t="shared" si="472"/>
        <v>0</v>
      </c>
      <c r="FA186" s="459">
        <f t="shared" si="473"/>
        <v>0</v>
      </c>
      <c r="FB186" s="459">
        <f t="shared" si="474"/>
        <v>0</v>
      </c>
      <c r="FC186" s="459">
        <f t="shared" si="475"/>
        <v>0</v>
      </c>
      <c r="FD186" s="459">
        <f t="shared" si="476"/>
        <v>0</v>
      </c>
      <c r="FE186" s="459">
        <f t="shared" si="477"/>
        <v>0</v>
      </c>
      <c r="FF186" s="459">
        <f t="shared" si="478"/>
        <v>0</v>
      </c>
      <c r="FG186" s="459">
        <f t="shared" si="479"/>
        <v>0</v>
      </c>
      <c r="FH186" s="460">
        <f t="shared" si="480"/>
        <v>0</v>
      </c>
      <c r="FI186" s="463"/>
      <c r="FJ186" s="459">
        <f t="shared" si="481"/>
        <v>0</v>
      </c>
      <c r="FK186" s="459">
        <f t="shared" si="482"/>
        <v>0</v>
      </c>
      <c r="FL186" s="459">
        <f t="shared" si="483"/>
        <v>0</v>
      </c>
      <c r="FM186" s="459">
        <f t="shared" si="484"/>
        <v>0</v>
      </c>
      <c r="FN186" s="459">
        <f t="shared" si="485"/>
        <v>0</v>
      </c>
      <c r="FO186" s="459">
        <f t="shared" si="486"/>
        <v>0</v>
      </c>
      <c r="FP186" s="459">
        <f t="shared" si="487"/>
        <v>0</v>
      </c>
      <c r="FQ186" s="459">
        <f t="shared" si="488"/>
        <v>0</v>
      </c>
      <c r="FR186" s="459">
        <f t="shared" si="489"/>
        <v>0</v>
      </c>
      <c r="FS186" s="459">
        <f t="shared" si="490"/>
        <v>0</v>
      </c>
      <c r="FT186" s="460">
        <f t="shared" si="491"/>
        <v>0</v>
      </c>
    </row>
    <row r="187" spans="2:176" s="270" customFormat="1" ht="15" customHeight="1" x14ac:dyDescent="0.25">
      <c r="B187" s="464" t="str">
        <f>'2. START'!C$7</f>
        <v>100GEM</v>
      </c>
      <c r="C187" s="470"/>
      <c r="D187" s="590"/>
      <c r="E187" s="514">
        <v>0</v>
      </c>
      <c r="F187" s="467"/>
      <c r="G187" s="432"/>
      <c r="H187" s="432"/>
      <c r="I187" s="432"/>
      <c r="J187" s="432"/>
      <c r="K187" s="432"/>
      <c r="L187" s="432"/>
      <c r="M187" s="432"/>
      <c r="N187" s="432"/>
      <c r="O187" s="432"/>
      <c r="P187" s="432"/>
      <c r="Q187" s="545">
        <f>SUMIF('3. PARTNER'!$B$13:$B$80,$B187,'3. PARTNER'!$F$13:$F$80)</f>
        <v>0.02</v>
      </c>
      <c r="R187" s="466">
        <f t="shared" si="492"/>
        <v>0.02</v>
      </c>
      <c r="S187" s="466">
        <f t="shared" si="492"/>
        <v>0.02</v>
      </c>
      <c r="T187" s="466">
        <f t="shared" si="492"/>
        <v>0.02</v>
      </c>
      <c r="U187" s="466">
        <f t="shared" si="492"/>
        <v>0.02</v>
      </c>
      <c r="V187" s="466">
        <f t="shared" si="492"/>
        <v>0.02</v>
      </c>
      <c r="W187" s="466">
        <f t="shared" si="492"/>
        <v>0.02</v>
      </c>
      <c r="X187" s="466">
        <f t="shared" si="492"/>
        <v>0.02</v>
      </c>
      <c r="Y187" s="466">
        <f t="shared" si="492"/>
        <v>0.02</v>
      </c>
      <c r="Z187" s="466">
        <f t="shared" si="492"/>
        <v>0.02</v>
      </c>
      <c r="AA187" s="434">
        <f>SUMIF('3. PARTNER'!B$13:B$80,B187,'3. PARTNER'!E$13:E$80)</f>
        <v>0.5595</v>
      </c>
      <c r="AB187" s="435">
        <f>IF('2. START'!$C$20="UTB",(SUMIF('3. PARTNER'!B$13:B$80,B187,'3. PARTNER'!K$13:K$80))+(SUMIF('3. PARTNER'!B$13:B$80,B187,'3. PARTNER'!M$13:M$80)),(SUMIF('3. PARTNER'!B$13:B$80,B187,'3. PARTNER'!G$13:G$80))+(SUMIF('3. PARTNER'!B$13:B$80,B187,'3. PARTNER'!I$13:I$80)))</f>
        <v>0.16000843770704321</v>
      </c>
      <c r="AC187" s="435">
        <f>IF('2. START'!$C$20="UTB",(SUMIF('3. PARTNER'!B$13:B$80,B187,'3. PARTNER'!L$13:L$80))+(SUMIF('3. PARTNER'!B$13:B$80,B187,'3. PARTNER'!N$13:N$80)),(SUMIF('3. PARTNER'!B$13:B$80,B187,'3. PARTNER'!H$13:H$80))+(SUMIF('3. PARTNER'!B$13:B$80,B187,'3. PARTNER'!J$13:J$80)))</f>
        <v>0</v>
      </c>
      <c r="AD187" s="435">
        <f>IF('2. START'!C$11="NO",'2. START'!C$12,0)</f>
        <v>0</v>
      </c>
      <c r="AE187" s="436">
        <f t="shared" si="388"/>
        <v>0</v>
      </c>
      <c r="AF187" s="436">
        <f t="shared" si="389"/>
        <v>0</v>
      </c>
      <c r="AG187" s="437"/>
      <c r="AH187" s="438">
        <f t="shared" si="390"/>
        <v>0</v>
      </c>
      <c r="AI187" s="438">
        <f t="shared" si="391"/>
        <v>0</v>
      </c>
      <c r="AJ187" s="438">
        <f t="shared" si="392"/>
        <v>0</v>
      </c>
      <c r="AK187" s="438">
        <f t="shared" si="393"/>
        <v>0</v>
      </c>
      <c r="AL187" s="438">
        <f t="shared" si="394"/>
        <v>0</v>
      </c>
      <c r="AM187" s="438">
        <f t="shared" si="395"/>
        <v>0</v>
      </c>
      <c r="AN187" s="438">
        <f t="shared" si="396"/>
        <v>0</v>
      </c>
      <c r="AO187" s="438">
        <f t="shared" si="397"/>
        <v>0</v>
      </c>
      <c r="AP187" s="438">
        <f t="shared" si="398"/>
        <v>0</v>
      </c>
      <c r="AQ187" s="438">
        <f t="shared" si="399"/>
        <v>0</v>
      </c>
      <c r="AR187" s="439">
        <f t="shared" si="400"/>
        <v>0</v>
      </c>
      <c r="AS187" s="440"/>
      <c r="AT187" s="438">
        <f t="shared" si="401"/>
        <v>0</v>
      </c>
      <c r="AU187" s="438">
        <f t="shared" si="402"/>
        <v>0</v>
      </c>
      <c r="AV187" s="438">
        <f t="shared" si="403"/>
        <v>0</v>
      </c>
      <c r="AW187" s="438">
        <f t="shared" si="404"/>
        <v>0</v>
      </c>
      <c r="AX187" s="438">
        <f t="shared" si="405"/>
        <v>0</v>
      </c>
      <c r="AY187" s="438">
        <f t="shared" si="406"/>
        <v>0</v>
      </c>
      <c r="AZ187" s="438">
        <f t="shared" si="407"/>
        <v>0</v>
      </c>
      <c r="BA187" s="438">
        <f t="shared" si="408"/>
        <v>0</v>
      </c>
      <c r="BB187" s="438">
        <f t="shared" si="409"/>
        <v>0</v>
      </c>
      <c r="BC187" s="438">
        <f t="shared" si="410"/>
        <v>0</v>
      </c>
      <c r="BD187" s="439">
        <f t="shared" si="411"/>
        <v>0</v>
      </c>
      <c r="BE187" s="440"/>
      <c r="BF187" s="438">
        <f t="shared" si="412"/>
        <v>0</v>
      </c>
      <c r="BG187" s="438">
        <f t="shared" si="413"/>
        <v>0</v>
      </c>
      <c r="BH187" s="438">
        <f t="shared" si="414"/>
        <v>0</v>
      </c>
      <c r="BI187" s="438">
        <f t="shared" si="415"/>
        <v>0</v>
      </c>
      <c r="BJ187" s="438">
        <f t="shared" si="416"/>
        <v>0</v>
      </c>
      <c r="BK187" s="438">
        <f t="shared" si="417"/>
        <v>0</v>
      </c>
      <c r="BL187" s="438">
        <f t="shared" si="418"/>
        <v>0</v>
      </c>
      <c r="BM187" s="438">
        <f t="shared" si="419"/>
        <v>0</v>
      </c>
      <c r="BN187" s="438">
        <f t="shared" si="420"/>
        <v>0</v>
      </c>
      <c r="BO187" s="438">
        <f t="shared" si="421"/>
        <v>0</v>
      </c>
      <c r="BP187" s="439">
        <f t="shared" si="422"/>
        <v>0</v>
      </c>
      <c r="BR187" s="442">
        <f t="shared" si="423"/>
        <v>0</v>
      </c>
      <c r="BS187" s="442">
        <f t="shared" si="424"/>
        <v>0</v>
      </c>
      <c r="BT187" s="442">
        <f t="shared" si="425"/>
        <v>0</v>
      </c>
      <c r="BU187" s="442">
        <f t="shared" si="426"/>
        <v>0</v>
      </c>
      <c r="BV187" s="442">
        <f t="shared" si="427"/>
        <v>0</v>
      </c>
      <c r="BW187" s="442">
        <f t="shared" si="428"/>
        <v>0</v>
      </c>
      <c r="BX187" s="442">
        <f t="shared" si="429"/>
        <v>0</v>
      </c>
      <c r="BY187" s="442">
        <f t="shared" si="430"/>
        <v>0</v>
      </c>
      <c r="BZ187" s="442">
        <f t="shared" si="431"/>
        <v>0</v>
      </c>
      <c r="CA187" s="442">
        <f t="shared" si="432"/>
        <v>0</v>
      </c>
      <c r="CB187" s="443">
        <f t="shared" si="433"/>
        <v>0</v>
      </c>
      <c r="CD187" s="445">
        <f t="shared" si="434"/>
        <v>0</v>
      </c>
      <c r="CE187" s="445">
        <f t="shared" si="435"/>
        <v>0</v>
      </c>
      <c r="CF187" s="445">
        <f t="shared" si="436"/>
        <v>0</v>
      </c>
      <c r="CG187" s="445">
        <f t="shared" si="437"/>
        <v>0</v>
      </c>
      <c r="CH187" s="445">
        <f t="shared" si="438"/>
        <v>0</v>
      </c>
      <c r="CI187" s="445">
        <f t="shared" si="439"/>
        <v>0</v>
      </c>
      <c r="CJ187" s="445">
        <f t="shared" si="440"/>
        <v>0</v>
      </c>
      <c r="CK187" s="445">
        <f t="shared" si="441"/>
        <v>0</v>
      </c>
      <c r="CL187" s="445">
        <f t="shared" si="442"/>
        <v>0</v>
      </c>
      <c r="CM187" s="445">
        <f t="shared" si="443"/>
        <v>0</v>
      </c>
      <c r="CN187" s="443">
        <f t="shared" si="444"/>
        <v>0</v>
      </c>
      <c r="CP187" s="442">
        <f t="shared" si="445"/>
        <v>0</v>
      </c>
      <c r="CQ187" s="442">
        <f t="shared" si="446"/>
        <v>0</v>
      </c>
      <c r="CR187" s="442">
        <f t="shared" si="447"/>
        <v>0</v>
      </c>
      <c r="CS187" s="442">
        <f t="shared" si="448"/>
        <v>0</v>
      </c>
      <c r="CT187" s="442">
        <f t="shared" si="449"/>
        <v>0</v>
      </c>
      <c r="CU187" s="442">
        <f t="shared" si="450"/>
        <v>0</v>
      </c>
      <c r="CV187" s="442">
        <f t="shared" si="451"/>
        <v>0</v>
      </c>
      <c r="CW187" s="442">
        <f t="shared" si="452"/>
        <v>0</v>
      </c>
      <c r="CX187" s="442">
        <f t="shared" si="453"/>
        <v>0</v>
      </c>
      <c r="CY187" s="442">
        <f t="shared" si="454"/>
        <v>0</v>
      </c>
      <c r="CZ187" s="443">
        <f t="shared" si="455"/>
        <v>0</v>
      </c>
      <c r="DB187" s="442">
        <f t="shared" si="456"/>
        <v>0</v>
      </c>
      <c r="DC187" s="442">
        <f t="shared" si="457"/>
        <v>0</v>
      </c>
      <c r="DD187" s="442">
        <f t="shared" si="458"/>
        <v>0</v>
      </c>
      <c r="DE187" s="442">
        <f t="shared" si="459"/>
        <v>0</v>
      </c>
      <c r="DF187" s="442">
        <f t="shared" si="460"/>
        <v>0</v>
      </c>
      <c r="DG187" s="442">
        <f t="shared" si="461"/>
        <v>0</v>
      </c>
      <c r="DH187" s="442">
        <f t="shared" si="462"/>
        <v>0</v>
      </c>
      <c r="DI187" s="442">
        <f t="shared" si="463"/>
        <v>0</v>
      </c>
      <c r="DJ187" s="442">
        <f t="shared" si="464"/>
        <v>0</v>
      </c>
      <c r="DK187" s="442">
        <f t="shared" si="465"/>
        <v>0</v>
      </c>
      <c r="DL187" s="443">
        <f t="shared" si="466"/>
        <v>0</v>
      </c>
      <c r="DN187" s="442">
        <f>IF('2. START'!$C$14&gt;0,(AT187/(1+$AA187))*(1+'2. START'!$C$14),AT187)</f>
        <v>0</v>
      </c>
      <c r="DO187" s="442">
        <f>IF('2. START'!$C$14&gt;0,(AU187/(1+$AA187))*(1+'2. START'!$C$14),AU187)</f>
        <v>0</v>
      </c>
      <c r="DP187" s="442">
        <f>IF('2. START'!$C$14&gt;0,(AV187/(1+$AA187))*(1+'2. START'!$C$14),AV187)</f>
        <v>0</v>
      </c>
      <c r="DQ187" s="442">
        <f>IF('2. START'!$C$14&gt;0,(AW187/(1+$AA187))*(1+'2. START'!$C$14),AW187)</f>
        <v>0</v>
      </c>
      <c r="DR187" s="442">
        <f>IF('2. START'!$C$14&gt;0,(AX187/(1+$AA187))*(1+'2. START'!$C$14),AX187)</f>
        <v>0</v>
      </c>
      <c r="DS187" s="442">
        <f>IF('2. START'!$C$14&gt;0,(AY187/(1+$AA187))*(1+'2. START'!$C$14),AY187)</f>
        <v>0</v>
      </c>
      <c r="DT187" s="442">
        <f>IF('2. START'!$C$14&gt;0,(AZ187/(1+$AA187))*(1+'2. START'!$C$14),AZ187)</f>
        <v>0</v>
      </c>
      <c r="DU187" s="442">
        <f>IF('2. START'!$C$14&gt;0,(BA187/(1+$AA187))*(1+'2. START'!$C$14),BA187)</f>
        <v>0</v>
      </c>
      <c r="DV187" s="442">
        <f>IF('2. START'!$C$14&gt;0,(BB187/(1+$AA187))*(1+'2. START'!$C$14),BB187)</f>
        <v>0</v>
      </c>
      <c r="DW187" s="442">
        <f>IF('2. START'!$C$14&gt;0,(BC187/(1+$AA187))*(1+'2. START'!$C$14),BC187)</f>
        <v>0</v>
      </c>
      <c r="DX187" s="443">
        <f t="shared" si="467"/>
        <v>0</v>
      </c>
      <c r="DZ187" s="442">
        <f>IF('2. START'!$C$11="NO",(IF('2. START'!$C$14&gt;0,(DN187*$AD187),(AT187*$AD187))),(BR187+CP187))</f>
        <v>0</v>
      </c>
      <c r="EA187" s="442">
        <f>IF('2. START'!$C$11="NO",(IF('2. START'!$C$14&gt;0,(DO187*$AD187),(AU187*$AD187))),(BS187+CQ187))</f>
        <v>0</v>
      </c>
      <c r="EB187" s="442">
        <f>IF('2. START'!$C$11="NO",(IF('2. START'!$C$14&gt;0,(DP187*$AD187),(AV187*$AD187))),(BT187+CR187))</f>
        <v>0</v>
      </c>
      <c r="EC187" s="442">
        <f>IF('2. START'!$C$11="NO",(IF('2. START'!$C$14&gt;0,(DQ187*$AD187),(AW187*$AD187))),(BU187+CS187))</f>
        <v>0</v>
      </c>
      <c r="ED187" s="442">
        <f>IF('2. START'!$C$11="NO",(IF('2. START'!$C$14&gt;0,(DR187*$AD187),(AX187*$AD187))),(BV187+CT187))</f>
        <v>0</v>
      </c>
      <c r="EE187" s="442">
        <f>IF('2. START'!$C$11="NO",(IF('2. START'!$C$14&gt;0,(DS187*$AD187),(AY187*$AD187))),(BW187+CU187))</f>
        <v>0</v>
      </c>
      <c r="EF187" s="442">
        <f>IF('2. START'!$C$11="NO",(IF('2. START'!$C$14&gt;0,(DT187*$AD187),(AZ187*$AD187))),(BX187+CV187))</f>
        <v>0</v>
      </c>
      <c r="EG187" s="442">
        <f>IF('2. START'!$C$11="NO",(IF('2. START'!$C$14&gt;0,(DU187*$AD187),(BA187*$AD187))),(BY187+CW187))</f>
        <v>0</v>
      </c>
      <c r="EH187" s="442">
        <f>IF('2. START'!$C$11="NO",(IF('2. START'!$C$14&gt;0,(DV187*$AD187),(BB187*$AD187))),(BZ187+CX187))</f>
        <v>0</v>
      </c>
      <c r="EI187" s="442">
        <f>IF('2. START'!$C$11="NO",(IF('2. START'!$C$14&gt;0,(DW187*$AD187),(BC187*$AD187))),(CA187+CY187))</f>
        <v>0</v>
      </c>
      <c r="EJ187" s="443">
        <f t="shared" si="468"/>
        <v>0</v>
      </c>
      <c r="EL187" s="442">
        <f>(BR187+CP187-DZ187)+IF('2. START'!$C$14&gt;0,AT187-DN187,0)</f>
        <v>0</v>
      </c>
      <c r="EM187" s="442">
        <f>(BS187+CQ187-EA187)+IF('2. START'!$C$14&gt;0,AU187-DO187,0)</f>
        <v>0</v>
      </c>
      <c r="EN187" s="442">
        <f>(BT187+CR187-EB187)+IF('2. START'!$C$14&gt;0,AV187-DP187,0)</f>
        <v>0</v>
      </c>
      <c r="EO187" s="442">
        <f>(BU187+CS187-EC187)+IF('2. START'!$C$14&gt;0,AW187-DQ187,0)</f>
        <v>0</v>
      </c>
      <c r="EP187" s="442">
        <f>(BV187+CT187-ED187)+IF('2. START'!$C$14&gt;0,AX187-DR187,0)</f>
        <v>0</v>
      </c>
      <c r="EQ187" s="442">
        <f>(BW187+CU187-EE187)+IF('2. START'!$C$14&gt;0,AY187-DS187,0)</f>
        <v>0</v>
      </c>
      <c r="ER187" s="442">
        <f>(BX187+CV187-EF187)+IF('2. START'!$C$14&gt;0,AZ187-DT187,0)</f>
        <v>0</v>
      </c>
      <c r="ES187" s="442">
        <f>(BY187+CW187-EG187)+IF('2. START'!$C$14&gt;0,BA187-DU187,0)</f>
        <v>0</v>
      </c>
      <c r="ET187" s="442">
        <f>(BZ187+CX187-EH187)+IF('2. START'!$C$14&gt;0,BB187-DV187,0)</f>
        <v>0</v>
      </c>
      <c r="EU187" s="442">
        <f>(CA187+CY187-EI187)+IF('2. START'!$C$14&gt;0,BC187-DW187,0)</f>
        <v>0</v>
      </c>
      <c r="EV187" s="443">
        <f t="shared" si="469"/>
        <v>0</v>
      </c>
      <c r="EX187" s="442">
        <f t="shared" si="470"/>
        <v>0</v>
      </c>
      <c r="EY187" s="442">
        <f t="shared" si="471"/>
        <v>0</v>
      </c>
      <c r="EZ187" s="442">
        <f t="shared" si="472"/>
        <v>0</v>
      </c>
      <c r="FA187" s="442">
        <f t="shared" si="473"/>
        <v>0</v>
      </c>
      <c r="FB187" s="442">
        <f t="shared" si="474"/>
        <v>0</v>
      </c>
      <c r="FC187" s="442">
        <f t="shared" si="475"/>
        <v>0</v>
      </c>
      <c r="FD187" s="442">
        <f t="shared" si="476"/>
        <v>0</v>
      </c>
      <c r="FE187" s="442">
        <f t="shared" si="477"/>
        <v>0</v>
      </c>
      <c r="FF187" s="442">
        <f t="shared" si="478"/>
        <v>0</v>
      </c>
      <c r="FG187" s="442">
        <f t="shared" si="479"/>
        <v>0</v>
      </c>
      <c r="FH187" s="443">
        <f t="shared" si="480"/>
        <v>0</v>
      </c>
      <c r="FJ187" s="442">
        <f t="shared" si="481"/>
        <v>0</v>
      </c>
      <c r="FK187" s="442">
        <f t="shared" si="482"/>
        <v>0</v>
      </c>
      <c r="FL187" s="442">
        <f t="shared" si="483"/>
        <v>0</v>
      </c>
      <c r="FM187" s="442">
        <f t="shared" si="484"/>
        <v>0</v>
      </c>
      <c r="FN187" s="442">
        <f t="shared" si="485"/>
        <v>0</v>
      </c>
      <c r="FO187" s="442">
        <f t="shared" si="486"/>
        <v>0</v>
      </c>
      <c r="FP187" s="442">
        <f t="shared" si="487"/>
        <v>0</v>
      </c>
      <c r="FQ187" s="442">
        <f t="shared" si="488"/>
        <v>0</v>
      </c>
      <c r="FR187" s="442">
        <f t="shared" si="489"/>
        <v>0</v>
      </c>
      <c r="FS187" s="442">
        <f t="shared" si="490"/>
        <v>0</v>
      </c>
      <c r="FT187" s="443">
        <f t="shared" si="491"/>
        <v>0</v>
      </c>
    </row>
    <row r="188" spans="2:176" s="270" customFormat="1" ht="15" customHeight="1" x14ac:dyDescent="0.25">
      <c r="B188" s="446" t="str">
        <f>'2. START'!C$7</f>
        <v>100GEM</v>
      </c>
      <c r="C188" s="469"/>
      <c r="D188" s="589"/>
      <c r="E188" s="544">
        <v>0</v>
      </c>
      <c r="F188" s="448"/>
      <c r="G188" s="449"/>
      <c r="H188" s="449"/>
      <c r="I188" s="449"/>
      <c r="J188" s="449"/>
      <c r="K188" s="449"/>
      <c r="L188" s="449"/>
      <c r="M188" s="449"/>
      <c r="N188" s="449"/>
      <c r="O188" s="449"/>
      <c r="P188" s="449"/>
      <c r="Q188" s="546">
        <f>SUMIF('3. PARTNER'!$B$13:$B$80,$B188,'3. PARTNER'!$F$13:$F$80)</f>
        <v>0.02</v>
      </c>
      <c r="R188" s="450">
        <f t="shared" si="492"/>
        <v>0.02</v>
      </c>
      <c r="S188" s="450">
        <f t="shared" si="492"/>
        <v>0.02</v>
      </c>
      <c r="T188" s="450">
        <f t="shared" si="492"/>
        <v>0.02</v>
      </c>
      <c r="U188" s="450">
        <f t="shared" si="492"/>
        <v>0.02</v>
      </c>
      <c r="V188" s="450">
        <f t="shared" si="492"/>
        <v>0.02</v>
      </c>
      <c r="W188" s="450">
        <f t="shared" si="492"/>
        <v>0.02</v>
      </c>
      <c r="X188" s="450">
        <f t="shared" si="492"/>
        <v>0.02</v>
      </c>
      <c r="Y188" s="450">
        <f t="shared" si="492"/>
        <v>0.02</v>
      </c>
      <c r="Z188" s="450">
        <f t="shared" si="492"/>
        <v>0.02</v>
      </c>
      <c r="AA188" s="451">
        <f>SUMIF('3. PARTNER'!B$13:B$80,B188,'3. PARTNER'!E$13:E$80)</f>
        <v>0.5595</v>
      </c>
      <c r="AB188" s="452">
        <f>IF('2. START'!$C$20="UTB",(SUMIF('3. PARTNER'!B$13:B$80,B188,'3. PARTNER'!K$13:K$80))+(SUMIF('3. PARTNER'!B$13:B$80,B188,'3. PARTNER'!M$13:M$80)),(SUMIF('3. PARTNER'!B$13:B$80,B188,'3. PARTNER'!G$13:G$80))+(SUMIF('3. PARTNER'!B$13:B$80,B188,'3. PARTNER'!I$13:I$80)))</f>
        <v>0.16000843770704321</v>
      </c>
      <c r="AC188" s="452">
        <f>IF('2. START'!$C$20="UTB",(SUMIF('3. PARTNER'!B$13:B$80,B188,'3. PARTNER'!L$13:L$80))+(SUMIF('3. PARTNER'!B$13:B$80,B188,'3. PARTNER'!N$13:N$80)),(SUMIF('3. PARTNER'!B$13:B$80,B188,'3. PARTNER'!H$13:H$80))+(SUMIF('3. PARTNER'!B$13:B$80,B188,'3. PARTNER'!J$13:J$80)))</f>
        <v>0</v>
      </c>
      <c r="AD188" s="452">
        <f>IF('2. START'!C$11="NO",'2. START'!C$12,0)</f>
        <v>0</v>
      </c>
      <c r="AE188" s="453">
        <f t="shared" si="388"/>
        <v>0</v>
      </c>
      <c r="AF188" s="453">
        <f t="shared" si="389"/>
        <v>0</v>
      </c>
      <c r="AG188" s="454"/>
      <c r="AH188" s="455">
        <f t="shared" si="390"/>
        <v>0</v>
      </c>
      <c r="AI188" s="455">
        <f t="shared" si="391"/>
        <v>0</v>
      </c>
      <c r="AJ188" s="455">
        <f t="shared" si="392"/>
        <v>0</v>
      </c>
      <c r="AK188" s="455">
        <f t="shared" si="393"/>
        <v>0</v>
      </c>
      <c r="AL188" s="455">
        <f t="shared" si="394"/>
        <v>0</v>
      </c>
      <c r="AM188" s="455">
        <f t="shared" si="395"/>
        <v>0</v>
      </c>
      <c r="AN188" s="455">
        <f t="shared" si="396"/>
        <v>0</v>
      </c>
      <c r="AO188" s="455">
        <f t="shared" si="397"/>
        <v>0</v>
      </c>
      <c r="AP188" s="455">
        <f t="shared" si="398"/>
        <v>0</v>
      </c>
      <c r="AQ188" s="455">
        <f t="shared" si="399"/>
        <v>0</v>
      </c>
      <c r="AR188" s="456">
        <f t="shared" si="400"/>
        <v>0</v>
      </c>
      <c r="AS188" s="457"/>
      <c r="AT188" s="455">
        <f t="shared" si="401"/>
        <v>0</v>
      </c>
      <c r="AU188" s="455">
        <f t="shared" si="402"/>
        <v>0</v>
      </c>
      <c r="AV188" s="455">
        <f t="shared" si="403"/>
        <v>0</v>
      </c>
      <c r="AW188" s="455">
        <f t="shared" si="404"/>
        <v>0</v>
      </c>
      <c r="AX188" s="455">
        <f t="shared" si="405"/>
        <v>0</v>
      </c>
      <c r="AY188" s="455">
        <f t="shared" si="406"/>
        <v>0</v>
      </c>
      <c r="AZ188" s="455">
        <f t="shared" si="407"/>
        <v>0</v>
      </c>
      <c r="BA188" s="455">
        <f t="shared" si="408"/>
        <v>0</v>
      </c>
      <c r="BB188" s="455">
        <f t="shared" si="409"/>
        <v>0</v>
      </c>
      <c r="BC188" s="455">
        <f t="shared" si="410"/>
        <v>0</v>
      </c>
      <c r="BD188" s="456">
        <f t="shared" si="411"/>
        <v>0</v>
      </c>
      <c r="BE188" s="457"/>
      <c r="BF188" s="455">
        <f t="shared" si="412"/>
        <v>0</v>
      </c>
      <c r="BG188" s="455">
        <f t="shared" si="413"/>
        <v>0</v>
      </c>
      <c r="BH188" s="455">
        <f t="shared" si="414"/>
        <v>0</v>
      </c>
      <c r="BI188" s="455">
        <f t="shared" si="415"/>
        <v>0</v>
      </c>
      <c r="BJ188" s="455">
        <f t="shared" si="416"/>
        <v>0</v>
      </c>
      <c r="BK188" s="455">
        <f t="shared" si="417"/>
        <v>0</v>
      </c>
      <c r="BL188" s="455">
        <f t="shared" si="418"/>
        <v>0</v>
      </c>
      <c r="BM188" s="455">
        <f t="shared" si="419"/>
        <v>0</v>
      </c>
      <c r="BN188" s="455">
        <f t="shared" si="420"/>
        <v>0</v>
      </c>
      <c r="BO188" s="455">
        <f t="shared" si="421"/>
        <v>0</v>
      </c>
      <c r="BP188" s="456">
        <f t="shared" si="422"/>
        <v>0</v>
      </c>
      <c r="BQ188" s="463"/>
      <c r="BR188" s="459">
        <f t="shared" si="423"/>
        <v>0</v>
      </c>
      <c r="BS188" s="459">
        <f t="shared" si="424"/>
        <v>0</v>
      </c>
      <c r="BT188" s="459">
        <f t="shared" si="425"/>
        <v>0</v>
      </c>
      <c r="BU188" s="459">
        <f t="shared" si="426"/>
        <v>0</v>
      </c>
      <c r="BV188" s="459">
        <f t="shared" si="427"/>
        <v>0</v>
      </c>
      <c r="BW188" s="459">
        <f t="shared" si="428"/>
        <v>0</v>
      </c>
      <c r="BX188" s="459">
        <f t="shared" si="429"/>
        <v>0</v>
      </c>
      <c r="BY188" s="459">
        <f t="shared" si="430"/>
        <v>0</v>
      </c>
      <c r="BZ188" s="459">
        <f t="shared" si="431"/>
        <v>0</v>
      </c>
      <c r="CA188" s="459">
        <f t="shared" si="432"/>
        <v>0</v>
      </c>
      <c r="CB188" s="460">
        <f t="shared" si="433"/>
        <v>0</v>
      </c>
      <c r="CC188" s="463"/>
      <c r="CD188" s="462">
        <f t="shared" si="434"/>
        <v>0</v>
      </c>
      <c r="CE188" s="462">
        <f t="shared" si="435"/>
        <v>0</v>
      </c>
      <c r="CF188" s="462">
        <f t="shared" si="436"/>
        <v>0</v>
      </c>
      <c r="CG188" s="462">
        <f t="shared" si="437"/>
        <v>0</v>
      </c>
      <c r="CH188" s="462">
        <f t="shared" si="438"/>
        <v>0</v>
      </c>
      <c r="CI188" s="462">
        <f t="shared" si="439"/>
        <v>0</v>
      </c>
      <c r="CJ188" s="462">
        <f t="shared" si="440"/>
        <v>0</v>
      </c>
      <c r="CK188" s="462">
        <f t="shared" si="441"/>
        <v>0</v>
      </c>
      <c r="CL188" s="462">
        <f t="shared" si="442"/>
        <v>0</v>
      </c>
      <c r="CM188" s="462">
        <f t="shared" si="443"/>
        <v>0</v>
      </c>
      <c r="CN188" s="460">
        <f t="shared" si="444"/>
        <v>0</v>
      </c>
      <c r="CO188" s="463"/>
      <c r="CP188" s="459">
        <f t="shared" si="445"/>
        <v>0</v>
      </c>
      <c r="CQ188" s="459">
        <f t="shared" si="446"/>
        <v>0</v>
      </c>
      <c r="CR188" s="459">
        <f t="shared" si="447"/>
        <v>0</v>
      </c>
      <c r="CS188" s="459">
        <f t="shared" si="448"/>
        <v>0</v>
      </c>
      <c r="CT188" s="459">
        <f t="shared" si="449"/>
        <v>0</v>
      </c>
      <c r="CU188" s="459">
        <f t="shared" si="450"/>
        <v>0</v>
      </c>
      <c r="CV188" s="459">
        <f t="shared" si="451"/>
        <v>0</v>
      </c>
      <c r="CW188" s="459">
        <f t="shared" si="452"/>
        <v>0</v>
      </c>
      <c r="CX188" s="459">
        <f t="shared" si="453"/>
        <v>0</v>
      </c>
      <c r="CY188" s="459">
        <f t="shared" si="454"/>
        <v>0</v>
      </c>
      <c r="CZ188" s="460">
        <f t="shared" si="455"/>
        <v>0</v>
      </c>
      <c r="DA188" s="463"/>
      <c r="DB188" s="459">
        <f t="shared" si="456"/>
        <v>0</v>
      </c>
      <c r="DC188" s="459">
        <f t="shared" si="457"/>
        <v>0</v>
      </c>
      <c r="DD188" s="459">
        <f t="shared" si="458"/>
        <v>0</v>
      </c>
      <c r="DE188" s="459">
        <f t="shared" si="459"/>
        <v>0</v>
      </c>
      <c r="DF188" s="459">
        <f t="shared" si="460"/>
        <v>0</v>
      </c>
      <c r="DG188" s="459">
        <f t="shared" si="461"/>
        <v>0</v>
      </c>
      <c r="DH188" s="459">
        <f t="shared" si="462"/>
        <v>0</v>
      </c>
      <c r="DI188" s="459">
        <f t="shared" si="463"/>
        <v>0</v>
      </c>
      <c r="DJ188" s="459">
        <f t="shared" si="464"/>
        <v>0</v>
      </c>
      <c r="DK188" s="459">
        <f t="shared" si="465"/>
        <v>0</v>
      </c>
      <c r="DL188" s="460">
        <f t="shared" si="466"/>
        <v>0</v>
      </c>
      <c r="DM188" s="463"/>
      <c r="DN188" s="442">
        <f>IF('2. START'!$C$14&gt;0,(AT188/(1+$AA188))*(1+'2. START'!$C$14),AT188)</f>
        <v>0</v>
      </c>
      <c r="DO188" s="442">
        <f>IF('2. START'!$C$14&gt;0,(AU188/(1+$AA188))*(1+'2. START'!$C$14),AU188)</f>
        <v>0</v>
      </c>
      <c r="DP188" s="442">
        <f>IF('2. START'!$C$14&gt;0,(AV188/(1+$AA188))*(1+'2. START'!$C$14),AV188)</f>
        <v>0</v>
      </c>
      <c r="DQ188" s="442">
        <f>IF('2. START'!$C$14&gt;0,(AW188/(1+$AA188))*(1+'2. START'!$C$14),AW188)</f>
        <v>0</v>
      </c>
      <c r="DR188" s="442">
        <f>IF('2. START'!$C$14&gt;0,(AX188/(1+$AA188))*(1+'2. START'!$C$14),AX188)</f>
        <v>0</v>
      </c>
      <c r="DS188" s="442">
        <f>IF('2. START'!$C$14&gt;0,(AY188/(1+$AA188))*(1+'2. START'!$C$14),AY188)</f>
        <v>0</v>
      </c>
      <c r="DT188" s="442">
        <f>IF('2. START'!$C$14&gt;0,(AZ188/(1+$AA188))*(1+'2. START'!$C$14),AZ188)</f>
        <v>0</v>
      </c>
      <c r="DU188" s="442">
        <f>IF('2. START'!$C$14&gt;0,(BA188/(1+$AA188))*(1+'2. START'!$C$14),BA188)</f>
        <v>0</v>
      </c>
      <c r="DV188" s="442">
        <f>IF('2. START'!$C$14&gt;0,(BB188/(1+$AA188))*(1+'2. START'!$C$14),BB188)</f>
        <v>0</v>
      </c>
      <c r="DW188" s="442">
        <f>IF('2. START'!$C$14&gt;0,(BC188/(1+$AA188))*(1+'2. START'!$C$14),BC188)</f>
        <v>0</v>
      </c>
      <c r="DX188" s="460">
        <f t="shared" si="467"/>
        <v>0</v>
      </c>
      <c r="DY188" s="463"/>
      <c r="DZ188" s="459">
        <f>IF('2. START'!$C$11="NO",(IF('2. START'!$C$14&gt;0,(DN188*$AD188),(AT188*$AD188))),(BR188+CP188))</f>
        <v>0</v>
      </c>
      <c r="EA188" s="459">
        <f>IF('2. START'!$C$11="NO",(IF('2. START'!$C$14&gt;0,(DO188*$AD188),(AU188*$AD188))),(BS188+CQ188))</f>
        <v>0</v>
      </c>
      <c r="EB188" s="459">
        <f>IF('2. START'!$C$11="NO",(IF('2. START'!$C$14&gt;0,(DP188*$AD188),(AV188*$AD188))),(BT188+CR188))</f>
        <v>0</v>
      </c>
      <c r="EC188" s="459">
        <f>IF('2. START'!$C$11="NO",(IF('2. START'!$C$14&gt;0,(DQ188*$AD188),(AW188*$AD188))),(BU188+CS188))</f>
        <v>0</v>
      </c>
      <c r="ED188" s="459">
        <f>IF('2. START'!$C$11="NO",(IF('2. START'!$C$14&gt;0,(DR188*$AD188),(AX188*$AD188))),(BV188+CT188))</f>
        <v>0</v>
      </c>
      <c r="EE188" s="459">
        <f>IF('2. START'!$C$11="NO",(IF('2. START'!$C$14&gt;0,(DS188*$AD188),(AY188*$AD188))),(BW188+CU188))</f>
        <v>0</v>
      </c>
      <c r="EF188" s="459">
        <f>IF('2. START'!$C$11="NO",(IF('2. START'!$C$14&gt;0,(DT188*$AD188),(AZ188*$AD188))),(BX188+CV188))</f>
        <v>0</v>
      </c>
      <c r="EG188" s="459">
        <f>IF('2. START'!$C$11="NO",(IF('2. START'!$C$14&gt;0,(DU188*$AD188),(BA188*$AD188))),(BY188+CW188))</f>
        <v>0</v>
      </c>
      <c r="EH188" s="459">
        <f>IF('2. START'!$C$11="NO",(IF('2. START'!$C$14&gt;0,(DV188*$AD188),(BB188*$AD188))),(BZ188+CX188))</f>
        <v>0</v>
      </c>
      <c r="EI188" s="459">
        <f>IF('2. START'!$C$11="NO",(IF('2. START'!$C$14&gt;0,(DW188*$AD188),(BC188*$AD188))),(CA188+CY188))</f>
        <v>0</v>
      </c>
      <c r="EJ188" s="460">
        <f t="shared" si="468"/>
        <v>0</v>
      </c>
      <c r="EK188" s="463"/>
      <c r="EL188" s="459">
        <f>(BR188+CP188-DZ188)+IF('2. START'!$C$14&gt;0,AT188-DN188,0)</f>
        <v>0</v>
      </c>
      <c r="EM188" s="459">
        <f>(BS188+CQ188-EA188)+IF('2. START'!$C$14&gt;0,AU188-DO188,0)</f>
        <v>0</v>
      </c>
      <c r="EN188" s="459">
        <f>(BT188+CR188-EB188)+IF('2. START'!$C$14&gt;0,AV188-DP188,0)</f>
        <v>0</v>
      </c>
      <c r="EO188" s="459">
        <f>(BU188+CS188-EC188)+IF('2. START'!$C$14&gt;0,AW188-DQ188,0)</f>
        <v>0</v>
      </c>
      <c r="EP188" s="459">
        <f>(BV188+CT188-ED188)+IF('2. START'!$C$14&gt;0,AX188-DR188,0)</f>
        <v>0</v>
      </c>
      <c r="EQ188" s="459">
        <f>(BW188+CU188-EE188)+IF('2. START'!$C$14&gt;0,AY188-DS188,0)</f>
        <v>0</v>
      </c>
      <c r="ER188" s="459">
        <f>(BX188+CV188-EF188)+IF('2. START'!$C$14&gt;0,AZ188-DT188,0)</f>
        <v>0</v>
      </c>
      <c r="ES188" s="459">
        <f>(BY188+CW188-EG188)+IF('2. START'!$C$14&gt;0,BA188-DU188,0)</f>
        <v>0</v>
      </c>
      <c r="ET188" s="459">
        <f>(BZ188+CX188-EH188)+IF('2. START'!$C$14&gt;0,BB188-DV188,0)</f>
        <v>0</v>
      </c>
      <c r="EU188" s="459">
        <f>(CA188+CY188-EI188)+IF('2. START'!$C$14&gt;0,BC188-DW188,0)</f>
        <v>0</v>
      </c>
      <c r="EV188" s="460">
        <f t="shared" si="469"/>
        <v>0</v>
      </c>
      <c r="EW188" s="463"/>
      <c r="EX188" s="459">
        <f t="shared" si="470"/>
        <v>0</v>
      </c>
      <c r="EY188" s="459">
        <f t="shared" si="471"/>
        <v>0</v>
      </c>
      <c r="EZ188" s="459">
        <f t="shared" si="472"/>
        <v>0</v>
      </c>
      <c r="FA188" s="459">
        <f t="shared" si="473"/>
        <v>0</v>
      </c>
      <c r="FB188" s="459">
        <f t="shared" si="474"/>
        <v>0</v>
      </c>
      <c r="FC188" s="459">
        <f t="shared" si="475"/>
        <v>0</v>
      </c>
      <c r="FD188" s="459">
        <f t="shared" si="476"/>
        <v>0</v>
      </c>
      <c r="FE188" s="459">
        <f t="shared" si="477"/>
        <v>0</v>
      </c>
      <c r="FF188" s="459">
        <f t="shared" si="478"/>
        <v>0</v>
      </c>
      <c r="FG188" s="459">
        <f t="shared" si="479"/>
        <v>0</v>
      </c>
      <c r="FH188" s="460">
        <f t="shared" si="480"/>
        <v>0</v>
      </c>
      <c r="FI188" s="463"/>
      <c r="FJ188" s="459">
        <f t="shared" si="481"/>
        <v>0</v>
      </c>
      <c r="FK188" s="459">
        <f t="shared" si="482"/>
        <v>0</v>
      </c>
      <c r="FL188" s="459">
        <f t="shared" si="483"/>
        <v>0</v>
      </c>
      <c r="FM188" s="459">
        <f t="shared" si="484"/>
        <v>0</v>
      </c>
      <c r="FN188" s="459">
        <f t="shared" si="485"/>
        <v>0</v>
      </c>
      <c r="FO188" s="459">
        <f t="shared" si="486"/>
        <v>0</v>
      </c>
      <c r="FP188" s="459">
        <f t="shared" si="487"/>
        <v>0</v>
      </c>
      <c r="FQ188" s="459">
        <f t="shared" si="488"/>
        <v>0</v>
      </c>
      <c r="FR188" s="459">
        <f t="shared" si="489"/>
        <v>0</v>
      </c>
      <c r="FS188" s="459">
        <f t="shared" si="490"/>
        <v>0</v>
      </c>
      <c r="FT188" s="460">
        <f t="shared" si="491"/>
        <v>0</v>
      </c>
    </row>
    <row r="189" spans="2:176" s="270" customFormat="1" ht="15" customHeight="1" x14ac:dyDescent="0.25">
      <c r="B189" s="464" t="str">
        <f>'2. START'!C$7</f>
        <v>100GEM</v>
      </c>
      <c r="C189" s="470"/>
      <c r="D189" s="590"/>
      <c r="E189" s="514">
        <v>0</v>
      </c>
      <c r="F189" s="467"/>
      <c r="G189" s="432"/>
      <c r="H189" s="432"/>
      <c r="I189" s="432"/>
      <c r="J189" s="432"/>
      <c r="K189" s="432"/>
      <c r="L189" s="432"/>
      <c r="M189" s="432"/>
      <c r="N189" s="432"/>
      <c r="O189" s="432"/>
      <c r="P189" s="432"/>
      <c r="Q189" s="545">
        <f>SUMIF('3. PARTNER'!$B$13:$B$80,$B189,'3. PARTNER'!$F$13:$F$80)</f>
        <v>0.02</v>
      </c>
      <c r="R189" s="466">
        <f t="shared" si="492"/>
        <v>0.02</v>
      </c>
      <c r="S189" s="466">
        <f t="shared" si="492"/>
        <v>0.02</v>
      </c>
      <c r="T189" s="466">
        <f t="shared" si="492"/>
        <v>0.02</v>
      </c>
      <c r="U189" s="466">
        <f t="shared" si="492"/>
        <v>0.02</v>
      </c>
      <c r="V189" s="466">
        <f t="shared" si="492"/>
        <v>0.02</v>
      </c>
      <c r="W189" s="466">
        <f t="shared" si="492"/>
        <v>0.02</v>
      </c>
      <c r="X189" s="466">
        <f t="shared" si="492"/>
        <v>0.02</v>
      </c>
      <c r="Y189" s="466">
        <f t="shared" si="492"/>
        <v>0.02</v>
      </c>
      <c r="Z189" s="466">
        <f t="shared" si="492"/>
        <v>0.02</v>
      </c>
      <c r="AA189" s="434">
        <f>SUMIF('3. PARTNER'!B$13:B$80,B189,'3. PARTNER'!E$13:E$80)</f>
        <v>0.5595</v>
      </c>
      <c r="AB189" s="435">
        <f>IF('2. START'!$C$20="UTB",(SUMIF('3. PARTNER'!B$13:B$80,B189,'3. PARTNER'!K$13:K$80))+(SUMIF('3. PARTNER'!B$13:B$80,B189,'3. PARTNER'!M$13:M$80)),(SUMIF('3. PARTNER'!B$13:B$80,B189,'3. PARTNER'!G$13:G$80))+(SUMIF('3. PARTNER'!B$13:B$80,B189,'3. PARTNER'!I$13:I$80)))</f>
        <v>0.16000843770704321</v>
      </c>
      <c r="AC189" s="435">
        <f>IF('2. START'!$C$20="UTB",(SUMIF('3. PARTNER'!B$13:B$80,B189,'3. PARTNER'!L$13:L$80))+(SUMIF('3. PARTNER'!B$13:B$80,B189,'3. PARTNER'!N$13:N$80)),(SUMIF('3. PARTNER'!B$13:B$80,B189,'3. PARTNER'!H$13:H$80))+(SUMIF('3. PARTNER'!B$13:B$80,B189,'3. PARTNER'!J$13:J$80)))</f>
        <v>0</v>
      </c>
      <c r="AD189" s="435">
        <f>IF('2. START'!C$11="NO",'2. START'!C$12,0)</f>
        <v>0</v>
      </c>
      <c r="AE189" s="436">
        <f t="shared" si="388"/>
        <v>0</v>
      </c>
      <c r="AF189" s="436">
        <f t="shared" si="389"/>
        <v>0</v>
      </c>
      <c r="AG189" s="437"/>
      <c r="AH189" s="438">
        <f t="shared" si="390"/>
        <v>0</v>
      </c>
      <c r="AI189" s="438">
        <f t="shared" si="391"/>
        <v>0</v>
      </c>
      <c r="AJ189" s="438">
        <f t="shared" si="392"/>
        <v>0</v>
      </c>
      <c r="AK189" s="438">
        <f t="shared" si="393"/>
        <v>0</v>
      </c>
      <c r="AL189" s="438">
        <f t="shared" si="394"/>
        <v>0</v>
      </c>
      <c r="AM189" s="438">
        <f t="shared" si="395"/>
        <v>0</v>
      </c>
      <c r="AN189" s="438">
        <f t="shared" si="396"/>
        <v>0</v>
      </c>
      <c r="AO189" s="438">
        <f t="shared" si="397"/>
        <v>0</v>
      </c>
      <c r="AP189" s="438">
        <f t="shared" si="398"/>
        <v>0</v>
      </c>
      <c r="AQ189" s="438">
        <f t="shared" si="399"/>
        <v>0</v>
      </c>
      <c r="AR189" s="439">
        <f t="shared" si="400"/>
        <v>0</v>
      </c>
      <c r="AS189" s="440"/>
      <c r="AT189" s="438">
        <f t="shared" si="401"/>
        <v>0</v>
      </c>
      <c r="AU189" s="438">
        <f t="shared" si="402"/>
        <v>0</v>
      </c>
      <c r="AV189" s="438">
        <f t="shared" si="403"/>
        <v>0</v>
      </c>
      <c r="AW189" s="438">
        <f t="shared" si="404"/>
        <v>0</v>
      </c>
      <c r="AX189" s="438">
        <f t="shared" si="405"/>
        <v>0</v>
      </c>
      <c r="AY189" s="438">
        <f t="shared" si="406"/>
        <v>0</v>
      </c>
      <c r="AZ189" s="438">
        <f t="shared" si="407"/>
        <v>0</v>
      </c>
      <c r="BA189" s="438">
        <f t="shared" si="408"/>
        <v>0</v>
      </c>
      <c r="BB189" s="438">
        <f t="shared" si="409"/>
        <v>0</v>
      </c>
      <c r="BC189" s="438">
        <f t="shared" si="410"/>
        <v>0</v>
      </c>
      <c r="BD189" s="439">
        <f t="shared" si="411"/>
        <v>0</v>
      </c>
      <c r="BE189" s="440"/>
      <c r="BF189" s="438">
        <f t="shared" si="412"/>
        <v>0</v>
      </c>
      <c r="BG189" s="438">
        <f t="shared" si="413"/>
        <v>0</v>
      </c>
      <c r="BH189" s="438">
        <f t="shared" si="414"/>
        <v>0</v>
      </c>
      <c r="BI189" s="438">
        <f t="shared" si="415"/>
        <v>0</v>
      </c>
      <c r="BJ189" s="438">
        <f t="shared" si="416"/>
        <v>0</v>
      </c>
      <c r="BK189" s="438">
        <f t="shared" si="417"/>
        <v>0</v>
      </c>
      <c r="BL189" s="438">
        <f t="shared" si="418"/>
        <v>0</v>
      </c>
      <c r="BM189" s="438">
        <f t="shared" si="419"/>
        <v>0</v>
      </c>
      <c r="BN189" s="438">
        <f t="shared" si="420"/>
        <v>0</v>
      </c>
      <c r="BO189" s="438">
        <f t="shared" si="421"/>
        <v>0</v>
      </c>
      <c r="BP189" s="439">
        <f t="shared" si="422"/>
        <v>0</v>
      </c>
      <c r="BR189" s="442">
        <f t="shared" si="423"/>
        <v>0</v>
      </c>
      <c r="BS189" s="442">
        <f t="shared" si="424"/>
        <v>0</v>
      </c>
      <c r="BT189" s="442">
        <f t="shared" si="425"/>
        <v>0</v>
      </c>
      <c r="BU189" s="442">
        <f t="shared" si="426"/>
        <v>0</v>
      </c>
      <c r="BV189" s="442">
        <f t="shared" si="427"/>
        <v>0</v>
      </c>
      <c r="BW189" s="442">
        <f t="shared" si="428"/>
        <v>0</v>
      </c>
      <c r="BX189" s="442">
        <f t="shared" si="429"/>
        <v>0</v>
      </c>
      <c r="BY189" s="442">
        <f t="shared" si="430"/>
        <v>0</v>
      </c>
      <c r="BZ189" s="442">
        <f t="shared" si="431"/>
        <v>0</v>
      </c>
      <c r="CA189" s="442">
        <f t="shared" si="432"/>
        <v>0</v>
      </c>
      <c r="CB189" s="443">
        <f t="shared" si="433"/>
        <v>0</v>
      </c>
      <c r="CD189" s="445">
        <f t="shared" si="434"/>
        <v>0</v>
      </c>
      <c r="CE189" s="445">
        <f t="shared" si="435"/>
        <v>0</v>
      </c>
      <c r="CF189" s="445">
        <f t="shared" si="436"/>
        <v>0</v>
      </c>
      <c r="CG189" s="445">
        <f t="shared" si="437"/>
        <v>0</v>
      </c>
      <c r="CH189" s="445">
        <f t="shared" si="438"/>
        <v>0</v>
      </c>
      <c r="CI189" s="445">
        <f t="shared" si="439"/>
        <v>0</v>
      </c>
      <c r="CJ189" s="445">
        <f t="shared" si="440"/>
        <v>0</v>
      </c>
      <c r="CK189" s="445">
        <f t="shared" si="441"/>
        <v>0</v>
      </c>
      <c r="CL189" s="445">
        <f t="shared" si="442"/>
        <v>0</v>
      </c>
      <c r="CM189" s="445">
        <f t="shared" si="443"/>
        <v>0</v>
      </c>
      <c r="CN189" s="443">
        <f t="shared" si="444"/>
        <v>0</v>
      </c>
      <c r="CP189" s="442">
        <f t="shared" si="445"/>
        <v>0</v>
      </c>
      <c r="CQ189" s="442">
        <f t="shared" si="446"/>
        <v>0</v>
      </c>
      <c r="CR189" s="442">
        <f t="shared" si="447"/>
        <v>0</v>
      </c>
      <c r="CS189" s="442">
        <f t="shared" si="448"/>
        <v>0</v>
      </c>
      <c r="CT189" s="442">
        <f t="shared" si="449"/>
        <v>0</v>
      </c>
      <c r="CU189" s="442">
        <f t="shared" si="450"/>
        <v>0</v>
      </c>
      <c r="CV189" s="442">
        <f t="shared" si="451"/>
        <v>0</v>
      </c>
      <c r="CW189" s="442">
        <f t="shared" si="452"/>
        <v>0</v>
      </c>
      <c r="CX189" s="442">
        <f t="shared" si="453"/>
        <v>0</v>
      </c>
      <c r="CY189" s="442">
        <f t="shared" si="454"/>
        <v>0</v>
      </c>
      <c r="CZ189" s="443">
        <f t="shared" si="455"/>
        <v>0</v>
      </c>
      <c r="DB189" s="442">
        <f t="shared" si="456"/>
        <v>0</v>
      </c>
      <c r="DC189" s="442">
        <f t="shared" si="457"/>
        <v>0</v>
      </c>
      <c r="DD189" s="442">
        <f t="shared" si="458"/>
        <v>0</v>
      </c>
      <c r="DE189" s="442">
        <f t="shared" si="459"/>
        <v>0</v>
      </c>
      <c r="DF189" s="442">
        <f t="shared" si="460"/>
        <v>0</v>
      </c>
      <c r="DG189" s="442">
        <f t="shared" si="461"/>
        <v>0</v>
      </c>
      <c r="DH189" s="442">
        <f t="shared" si="462"/>
        <v>0</v>
      </c>
      <c r="DI189" s="442">
        <f t="shared" si="463"/>
        <v>0</v>
      </c>
      <c r="DJ189" s="442">
        <f t="shared" si="464"/>
        <v>0</v>
      </c>
      <c r="DK189" s="442">
        <f t="shared" si="465"/>
        <v>0</v>
      </c>
      <c r="DL189" s="443">
        <f t="shared" si="466"/>
        <v>0</v>
      </c>
      <c r="DN189" s="442">
        <f>IF('2. START'!$C$14&gt;0,(AT189/(1+$AA189))*(1+'2. START'!$C$14),AT189)</f>
        <v>0</v>
      </c>
      <c r="DO189" s="442">
        <f>IF('2. START'!$C$14&gt;0,(AU189/(1+$AA189))*(1+'2. START'!$C$14),AU189)</f>
        <v>0</v>
      </c>
      <c r="DP189" s="442">
        <f>IF('2. START'!$C$14&gt;0,(AV189/(1+$AA189))*(1+'2. START'!$C$14),AV189)</f>
        <v>0</v>
      </c>
      <c r="DQ189" s="442">
        <f>IF('2. START'!$C$14&gt;0,(AW189/(1+$AA189))*(1+'2. START'!$C$14),AW189)</f>
        <v>0</v>
      </c>
      <c r="DR189" s="442">
        <f>IF('2. START'!$C$14&gt;0,(AX189/(1+$AA189))*(1+'2. START'!$C$14),AX189)</f>
        <v>0</v>
      </c>
      <c r="DS189" s="442">
        <f>IF('2. START'!$C$14&gt;0,(AY189/(1+$AA189))*(1+'2. START'!$C$14),AY189)</f>
        <v>0</v>
      </c>
      <c r="DT189" s="442">
        <f>IF('2. START'!$C$14&gt;0,(AZ189/(1+$AA189))*(1+'2. START'!$C$14),AZ189)</f>
        <v>0</v>
      </c>
      <c r="DU189" s="442">
        <f>IF('2. START'!$C$14&gt;0,(BA189/(1+$AA189))*(1+'2. START'!$C$14),BA189)</f>
        <v>0</v>
      </c>
      <c r="DV189" s="442">
        <f>IF('2. START'!$C$14&gt;0,(BB189/(1+$AA189))*(1+'2. START'!$C$14),BB189)</f>
        <v>0</v>
      </c>
      <c r="DW189" s="442">
        <f>IF('2. START'!$C$14&gt;0,(BC189/(1+$AA189))*(1+'2. START'!$C$14),BC189)</f>
        <v>0</v>
      </c>
      <c r="DX189" s="443">
        <f t="shared" si="467"/>
        <v>0</v>
      </c>
      <c r="DZ189" s="442">
        <f>IF('2. START'!$C$11="NO",(IF('2. START'!$C$14&gt;0,(DN189*$AD189),(AT189*$AD189))),(BR189+CP189))</f>
        <v>0</v>
      </c>
      <c r="EA189" s="442">
        <f>IF('2. START'!$C$11="NO",(IF('2. START'!$C$14&gt;0,(DO189*$AD189),(AU189*$AD189))),(BS189+CQ189))</f>
        <v>0</v>
      </c>
      <c r="EB189" s="442">
        <f>IF('2. START'!$C$11="NO",(IF('2. START'!$C$14&gt;0,(DP189*$AD189),(AV189*$AD189))),(BT189+CR189))</f>
        <v>0</v>
      </c>
      <c r="EC189" s="442">
        <f>IF('2. START'!$C$11="NO",(IF('2. START'!$C$14&gt;0,(DQ189*$AD189),(AW189*$AD189))),(BU189+CS189))</f>
        <v>0</v>
      </c>
      <c r="ED189" s="442">
        <f>IF('2. START'!$C$11="NO",(IF('2. START'!$C$14&gt;0,(DR189*$AD189),(AX189*$AD189))),(BV189+CT189))</f>
        <v>0</v>
      </c>
      <c r="EE189" s="442">
        <f>IF('2. START'!$C$11="NO",(IF('2. START'!$C$14&gt;0,(DS189*$AD189),(AY189*$AD189))),(BW189+CU189))</f>
        <v>0</v>
      </c>
      <c r="EF189" s="442">
        <f>IF('2. START'!$C$11="NO",(IF('2. START'!$C$14&gt;0,(DT189*$AD189),(AZ189*$AD189))),(BX189+CV189))</f>
        <v>0</v>
      </c>
      <c r="EG189" s="442">
        <f>IF('2. START'!$C$11="NO",(IF('2. START'!$C$14&gt;0,(DU189*$AD189),(BA189*$AD189))),(BY189+CW189))</f>
        <v>0</v>
      </c>
      <c r="EH189" s="442">
        <f>IF('2. START'!$C$11="NO",(IF('2. START'!$C$14&gt;0,(DV189*$AD189),(BB189*$AD189))),(BZ189+CX189))</f>
        <v>0</v>
      </c>
      <c r="EI189" s="442">
        <f>IF('2. START'!$C$11="NO",(IF('2. START'!$C$14&gt;0,(DW189*$AD189),(BC189*$AD189))),(CA189+CY189))</f>
        <v>0</v>
      </c>
      <c r="EJ189" s="443">
        <f t="shared" si="468"/>
        <v>0</v>
      </c>
      <c r="EL189" s="442">
        <f>(BR189+CP189-DZ189)+IF('2. START'!$C$14&gt;0,AT189-DN189,0)</f>
        <v>0</v>
      </c>
      <c r="EM189" s="442">
        <f>(BS189+CQ189-EA189)+IF('2. START'!$C$14&gt;0,AU189-DO189,0)</f>
        <v>0</v>
      </c>
      <c r="EN189" s="442">
        <f>(BT189+CR189-EB189)+IF('2. START'!$C$14&gt;0,AV189-DP189,0)</f>
        <v>0</v>
      </c>
      <c r="EO189" s="442">
        <f>(BU189+CS189-EC189)+IF('2. START'!$C$14&gt;0,AW189-DQ189,0)</f>
        <v>0</v>
      </c>
      <c r="EP189" s="442">
        <f>(BV189+CT189-ED189)+IF('2. START'!$C$14&gt;0,AX189-DR189,0)</f>
        <v>0</v>
      </c>
      <c r="EQ189" s="442">
        <f>(BW189+CU189-EE189)+IF('2. START'!$C$14&gt;0,AY189-DS189,0)</f>
        <v>0</v>
      </c>
      <c r="ER189" s="442">
        <f>(BX189+CV189-EF189)+IF('2. START'!$C$14&gt;0,AZ189-DT189,0)</f>
        <v>0</v>
      </c>
      <c r="ES189" s="442">
        <f>(BY189+CW189-EG189)+IF('2. START'!$C$14&gt;0,BA189-DU189,0)</f>
        <v>0</v>
      </c>
      <c r="ET189" s="442">
        <f>(BZ189+CX189-EH189)+IF('2. START'!$C$14&gt;0,BB189-DV189,0)</f>
        <v>0</v>
      </c>
      <c r="EU189" s="442">
        <f>(CA189+CY189-EI189)+IF('2. START'!$C$14&gt;0,BC189-DW189,0)</f>
        <v>0</v>
      </c>
      <c r="EV189" s="443">
        <f t="shared" si="469"/>
        <v>0</v>
      </c>
      <c r="EX189" s="442">
        <f t="shared" si="470"/>
        <v>0</v>
      </c>
      <c r="EY189" s="442">
        <f t="shared" si="471"/>
        <v>0</v>
      </c>
      <c r="EZ189" s="442">
        <f t="shared" si="472"/>
        <v>0</v>
      </c>
      <c r="FA189" s="442">
        <f t="shared" si="473"/>
        <v>0</v>
      </c>
      <c r="FB189" s="442">
        <f t="shared" si="474"/>
        <v>0</v>
      </c>
      <c r="FC189" s="442">
        <f t="shared" si="475"/>
        <v>0</v>
      </c>
      <c r="FD189" s="442">
        <f t="shared" si="476"/>
        <v>0</v>
      </c>
      <c r="FE189" s="442">
        <f t="shared" si="477"/>
        <v>0</v>
      </c>
      <c r="FF189" s="442">
        <f t="shared" si="478"/>
        <v>0</v>
      </c>
      <c r="FG189" s="442">
        <f t="shared" si="479"/>
        <v>0</v>
      </c>
      <c r="FH189" s="443">
        <f t="shared" si="480"/>
        <v>0</v>
      </c>
      <c r="FJ189" s="442">
        <f t="shared" si="481"/>
        <v>0</v>
      </c>
      <c r="FK189" s="442">
        <f t="shared" si="482"/>
        <v>0</v>
      </c>
      <c r="FL189" s="442">
        <f t="shared" si="483"/>
        <v>0</v>
      </c>
      <c r="FM189" s="442">
        <f t="shared" si="484"/>
        <v>0</v>
      </c>
      <c r="FN189" s="442">
        <f t="shared" si="485"/>
        <v>0</v>
      </c>
      <c r="FO189" s="442">
        <f t="shared" si="486"/>
        <v>0</v>
      </c>
      <c r="FP189" s="442">
        <f t="shared" si="487"/>
        <v>0</v>
      </c>
      <c r="FQ189" s="442">
        <f t="shared" si="488"/>
        <v>0</v>
      </c>
      <c r="FR189" s="442">
        <f t="shared" si="489"/>
        <v>0</v>
      </c>
      <c r="FS189" s="442">
        <f t="shared" si="490"/>
        <v>0</v>
      </c>
      <c r="FT189" s="443">
        <f t="shared" si="491"/>
        <v>0</v>
      </c>
    </row>
    <row r="190" spans="2:176" s="270" customFormat="1" ht="15" customHeight="1" x14ac:dyDescent="0.25">
      <c r="B190" s="446" t="str">
        <f>'2. START'!C$7</f>
        <v>100GEM</v>
      </c>
      <c r="C190" s="469"/>
      <c r="D190" s="589"/>
      <c r="E190" s="544">
        <v>0</v>
      </c>
      <c r="F190" s="448"/>
      <c r="G190" s="449"/>
      <c r="H190" s="449"/>
      <c r="I190" s="449"/>
      <c r="J190" s="449"/>
      <c r="K190" s="449"/>
      <c r="L190" s="449"/>
      <c r="M190" s="449"/>
      <c r="N190" s="449"/>
      <c r="O190" s="449"/>
      <c r="P190" s="449"/>
      <c r="Q190" s="546">
        <f>SUMIF('3. PARTNER'!$B$13:$B$80,$B190,'3. PARTNER'!$F$13:$F$80)</f>
        <v>0.02</v>
      </c>
      <c r="R190" s="450">
        <f t="shared" si="492"/>
        <v>0.02</v>
      </c>
      <c r="S190" s="450">
        <f t="shared" si="492"/>
        <v>0.02</v>
      </c>
      <c r="T190" s="450">
        <f t="shared" si="492"/>
        <v>0.02</v>
      </c>
      <c r="U190" s="450">
        <f t="shared" si="492"/>
        <v>0.02</v>
      </c>
      <c r="V190" s="450">
        <f t="shared" si="492"/>
        <v>0.02</v>
      </c>
      <c r="W190" s="450">
        <f t="shared" si="492"/>
        <v>0.02</v>
      </c>
      <c r="X190" s="450">
        <f t="shared" si="492"/>
        <v>0.02</v>
      </c>
      <c r="Y190" s="450">
        <f t="shared" si="492"/>
        <v>0.02</v>
      </c>
      <c r="Z190" s="450">
        <f t="shared" si="492"/>
        <v>0.02</v>
      </c>
      <c r="AA190" s="451">
        <f>SUMIF('3. PARTNER'!B$13:B$80,B190,'3. PARTNER'!E$13:E$80)</f>
        <v>0.5595</v>
      </c>
      <c r="AB190" s="452">
        <f>IF('2. START'!$C$20="UTB",(SUMIF('3. PARTNER'!B$13:B$80,B190,'3. PARTNER'!K$13:K$80))+(SUMIF('3. PARTNER'!B$13:B$80,B190,'3. PARTNER'!M$13:M$80)),(SUMIF('3. PARTNER'!B$13:B$80,B190,'3. PARTNER'!G$13:G$80))+(SUMIF('3. PARTNER'!B$13:B$80,B190,'3. PARTNER'!I$13:I$80)))</f>
        <v>0.16000843770704321</v>
      </c>
      <c r="AC190" s="452">
        <f>IF('2. START'!$C$20="UTB",(SUMIF('3. PARTNER'!B$13:B$80,B190,'3. PARTNER'!L$13:L$80))+(SUMIF('3. PARTNER'!B$13:B$80,B190,'3. PARTNER'!N$13:N$80)),(SUMIF('3. PARTNER'!B$13:B$80,B190,'3. PARTNER'!H$13:H$80))+(SUMIF('3. PARTNER'!B$13:B$80,B190,'3. PARTNER'!J$13:J$80)))</f>
        <v>0</v>
      </c>
      <c r="AD190" s="452">
        <f>IF('2. START'!C$11="NO",'2. START'!C$12,0)</f>
        <v>0</v>
      </c>
      <c r="AE190" s="453">
        <f t="shared" si="388"/>
        <v>0</v>
      </c>
      <c r="AF190" s="453">
        <f t="shared" si="389"/>
        <v>0</v>
      </c>
      <c r="AG190" s="454"/>
      <c r="AH190" s="455">
        <f t="shared" si="390"/>
        <v>0</v>
      </c>
      <c r="AI190" s="455">
        <f t="shared" si="391"/>
        <v>0</v>
      </c>
      <c r="AJ190" s="455">
        <f t="shared" si="392"/>
        <v>0</v>
      </c>
      <c r="AK190" s="455">
        <f t="shared" si="393"/>
        <v>0</v>
      </c>
      <c r="AL190" s="455">
        <f t="shared" si="394"/>
        <v>0</v>
      </c>
      <c r="AM190" s="455">
        <f t="shared" si="395"/>
        <v>0</v>
      </c>
      <c r="AN190" s="455">
        <f t="shared" si="396"/>
        <v>0</v>
      </c>
      <c r="AO190" s="455">
        <f t="shared" si="397"/>
        <v>0</v>
      </c>
      <c r="AP190" s="455">
        <f t="shared" si="398"/>
        <v>0</v>
      </c>
      <c r="AQ190" s="455">
        <f t="shared" si="399"/>
        <v>0</v>
      </c>
      <c r="AR190" s="456">
        <f t="shared" si="400"/>
        <v>0</v>
      </c>
      <c r="AS190" s="457"/>
      <c r="AT190" s="455">
        <f t="shared" si="401"/>
        <v>0</v>
      </c>
      <c r="AU190" s="455">
        <f t="shared" si="402"/>
        <v>0</v>
      </c>
      <c r="AV190" s="455">
        <f t="shared" si="403"/>
        <v>0</v>
      </c>
      <c r="AW190" s="455">
        <f t="shared" si="404"/>
        <v>0</v>
      </c>
      <c r="AX190" s="455">
        <f t="shared" si="405"/>
        <v>0</v>
      </c>
      <c r="AY190" s="455">
        <f t="shared" si="406"/>
        <v>0</v>
      </c>
      <c r="AZ190" s="455">
        <f t="shared" si="407"/>
        <v>0</v>
      </c>
      <c r="BA190" s="455">
        <f t="shared" si="408"/>
        <v>0</v>
      </c>
      <c r="BB190" s="455">
        <f t="shared" si="409"/>
        <v>0</v>
      </c>
      <c r="BC190" s="455">
        <f t="shared" si="410"/>
        <v>0</v>
      </c>
      <c r="BD190" s="456">
        <f t="shared" si="411"/>
        <v>0</v>
      </c>
      <c r="BE190" s="457"/>
      <c r="BF190" s="455">
        <f t="shared" si="412"/>
        <v>0</v>
      </c>
      <c r="BG190" s="455">
        <f t="shared" si="413"/>
        <v>0</v>
      </c>
      <c r="BH190" s="455">
        <f t="shared" si="414"/>
        <v>0</v>
      </c>
      <c r="BI190" s="455">
        <f t="shared" si="415"/>
        <v>0</v>
      </c>
      <c r="BJ190" s="455">
        <f t="shared" si="416"/>
        <v>0</v>
      </c>
      <c r="BK190" s="455">
        <f t="shared" si="417"/>
        <v>0</v>
      </c>
      <c r="BL190" s="455">
        <f t="shared" si="418"/>
        <v>0</v>
      </c>
      <c r="BM190" s="455">
        <f t="shared" si="419"/>
        <v>0</v>
      </c>
      <c r="BN190" s="455">
        <f t="shared" si="420"/>
        <v>0</v>
      </c>
      <c r="BO190" s="455">
        <f t="shared" si="421"/>
        <v>0</v>
      </c>
      <c r="BP190" s="456">
        <f t="shared" si="422"/>
        <v>0</v>
      </c>
      <c r="BQ190" s="463"/>
      <c r="BR190" s="459">
        <f t="shared" si="423"/>
        <v>0</v>
      </c>
      <c r="BS190" s="459">
        <f t="shared" si="424"/>
        <v>0</v>
      </c>
      <c r="BT190" s="459">
        <f t="shared" si="425"/>
        <v>0</v>
      </c>
      <c r="BU190" s="459">
        <f t="shared" si="426"/>
        <v>0</v>
      </c>
      <c r="BV190" s="459">
        <f t="shared" si="427"/>
        <v>0</v>
      </c>
      <c r="BW190" s="459">
        <f t="shared" si="428"/>
        <v>0</v>
      </c>
      <c r="BX190" s="459">
        <f t="shared" si="429"/>
        <v>0</v>
      </c>
      <c r="BY190" s="459">
        <f t="shared" si="430"/>
        <v>0</v>
      </c>
      <c r="BZ190" s="459">
        <f t="shared" si="431"/>
        <v>0</v>
      </c>
      <c r="CA190" s="459">
        <f t="shared" si="432"/>
        <v>0</v>
      </c>
      <c r="CB190" s="460">
        <f t="shared" si="433"/>
        <v>0</v>
      </c>
      <c r="CC190" s="463"/>
      <c r="CD190" s="462">
        <f t="shared" si="434"/>
        <v>0</v>
      </c>
      <c r="CE190" s="462">
        <f t="shared" si="435"/>
        <v>0</v>
      </c>
      <c r="CF190" s="462">
        <f t="shared" si="436"/>
        <v>0</v>
      </c>
      <c r="CG190" s="462">
        <f t="shared" si="437"/>
        <v>0</v>
      </c>
      <c r="CH190" s="462">
        <f t="shared" si="438"/>
        <v>0</v>
      </c>
      <c r="CI190" s="462">
        <f t="shared" si="439"/>
        <v>0</v>
      </c>
      <c r="CJ190" s="462">
        <f t="shared" si="440"/>
        <v>0</v>
      </c>
      <c r="CK190" s="462">
        <f t="shared" si="441"/>
        <v>0</v>
      </c>
      <c r="CL190" s="462">
        <f t="shared" si="442"/>
        <v>0</v>
      </c>
      <c r="CM190" s="462">
        <f t="shared" si="443"/>
        <v>0</v>
      </c>
      <c r="CN190" s="460">
        <f t="shared" si="444"/>
        <v>0</v>
      </c>
      <c r="CO190" s="463"/>
      <c r="CP190" s="459">
        <f t="shared" si="445"/>
        <v>0</v>
      </c>
      <c r="CQ190" s="459">
        <f t="shared" si="446"/>
        <v>0</v>
      </c>
      <c r="CR190" s="459">
        <f t="shared" si="447"/>
        <v>0</v>
      </c>
      <c r="CS190" s="459">
        <f t="shared" si="448"/>
        <v>0</v>
      </c>
      <c r="CT190" s="459">
        <f t="shared" si="449"/>
        <v>0</v>
      </c>
      <c r="CU190" s="459">
        <f t="shared" si="450"/>
        <v>0</v>
      </c>
      <c r="CV190" s="459">
        <f t="shared" si="451"/>
        <v>0</v>
      </c>
      <c r="CW190" s="459">
        <f t="shared" si="452"/>
        <v>0</v>
      </c>
      <c r="CX190" s="459">
        <f t="shared" si="453"/>
        <v>0</v>
      </c>
      <c r="CY190" s="459">
        <f t="shared" si="454"/>
        <v>0</v>
      </c>
      <c r="CZ190" s="460">
        <f t="shared" si="455"/>
        <v>0</v>
      </c>
      <c r="DA190" s="463"/>
      <c r="DB190" s="459">
        <f t="shared" si="456"/>
        <v>0</v>
      </c>
      <c r="DC190" s="459">
        <f t="shared" si="457"/>
        <v>0</v>
      </c>
      <c r="DD190" s="459">
        <f t="shared" si="458"/>
        <v>0</v>
      </c>
      <c r="DE190" s="459">
        <f t="shared" si="459"/>
        <v>0</v>
      </c>
      <c r="DF190" s="459">
        <f t="shared" si="460"/>
        <v>0</v>
      </c>
      <c r="DG190" s="459">
        <f t="shared" si="461"/>
        <v>0</v>
      </c>
      <c r="DH190" s="459">
        <f t="shared" si="462"/>
        <v>0</v>
      </c>
      <c r="DI190" s="459">
        <f t="shared" si="463"/>
        <v>0</v>
      </c>
      <c r="DJ190" s="459">
        <f t="shared" si="464"/>
        <v>0</v>
      </c>
      <c r="DK190" s="459">
        <f t="shared" si="465"/>
        <v>0</v>
      </c>
      <c r="DL190" s="460">
        <f t="shared" si="466"/>
        <v>0</v>
      </c>
      <c r="DM190" s="463"/>
      <c r="DN190" s="442">
        <f>IF('2. START'!$C$14&gt;0,(AT190/(1+$AA190))*(1+'2. START'!$C$14),AT190)</f>
        <v>0</v>
      </c>
      <c r="DO190" s="442">
        <f>IF('2. START'!$C$14&gt;0,(AU190/(1+$AA190))*(1+'2. START'!$C$14),AU190)</f>
        <v>0</v>
      </c>
      <c r="DP190" s="442">
        <f>IF('2. START'!$C$14&gt;0,(AV190/(1+$AA190))*(1+'2. START'!$C$14),AV190)</f>
        <v>0</v>
      </c>
      <c r="DQ190" s="442">
        <f>IF('2. START'!$C$14&gt;0,(AW190/(1+$AA190))*(1+'2. START'!$C$14),AW190)</f>
        <v>0</v>
      </c>
      <c r="DR190" s="442">
        <f>IF('2. START'!$C$14&gt;0,(AX190/(1+$AA190))*(1+'2. START'!$C$14),AX190)</f>
        <v>0</v>
      </c>
      <c r="DS190" s="442">
        <f>IF('2. START'!$C$14&gt;0,(AY190/(1+$AA190))*(1+'2. START'!$C$14),AY190)</f>
        <v>0</v>
      </c>
      <c r="DT190" s="442">
        <f>IF('2. START'!$C$14&gt;0,(AZ190/(1+$AA190))*(1+'2. START'!$C$14),AZ190)</f>
        <v>0</v>
      </c>
      <c r="DU190" s="442">
        <f>IF('2. START'!$C$14&gt;0,(BA190/(1+$AA190))*(1+'2. START'!$C$14),BA190)</f>
        <v>0</v>
      </c>
      <c r="DV190" s="442">
        <f>IF('2. START'!$C$14&gt;0,(BB190/(1+$AA190))*(1+'2. START'!$C$14),BB190)</f>
        <v>0</v>
      </c>
      <c r="DW190" s="442">
        <f>IF('2. START'!$C$14&gt;0,(BC190/(1+$AA190))*(1+'2. START'!$C$14),BC190)</f>
        <v>0</v>
      </c>
      <c r="DX190" s="460">
        <f t="shared" si="467"/>
        <v>0</v>
      </c>
      <c r="DY190" s="463"/>
      <c r="DZ190" s="459">
        <f>IF('2. START'!$C$11="NO",(IF('2. START'!$C$14&gt;0,(DN190*$AD190),(AT190*$AD190))),(BR190+CP190))</f>
        <v>0</v>
      </c>
      <c r="EA190" s="459">
        <f>IF('2. START'!$C$11="NO",(IF('2. START'!$C$14&gt;0,(DO190*$AD190),(AU190*$AD190))),(BS190+CQ190))</f>
        <v>0</v>
      </c>
      <c r="EB190" s="459">
        <f>IF('2. START'!$C$11="NO",(IF('2. START'!$C$14&gt;0,(DP190*$AD190),(AV190*$AD190))),(BT190+CR190))</f>
        <v>0</v>
      </c>
      <c r="EC190" s="459">
        <f>IF('2. START'!$C$11="NO",(IF('2. START'!$C$14&gt;0,(DQ190*$AD190),(AW190*$AD190))),(BU190+CS190))</f>
        <v>0</v>
      </c>
      <c r="ED190" s="459">
        <f>IF('2. START'!$C$11="NO",(IF('2. START'!$C$14&gt;0,(DR190*$AD190),(AX190*$AD190))),(BV190+CT190))</f>
        <v>0</v>
      </c>
      <c r="EE190" s="459">
        <f>IF('2. START'!$C$11="NO",(IF('2. START'!$C$14&gt;0,(DS190*$AD190),(AY190*$AD190))),(BW190+CU190))</f>
        <v>0</v>
      </c>
      <c r="EF190" s="459">
        <f>IF('2. START'!$C$11="NO",(IF('2. START'!$C$14&gt;0,(DT190*$AD190),(AZ190*$AD190))),(BX190+CV190))</f>
        <v>0</v>
      </c>
      <c r="EG190" s="459">
        <f>IF('2. START'!$C$11="NO",(IF('2. START'!$C$14&gt;0,(DU190*$AD190),(BA190*$AD190))),(BY190+CW190))</f>
        <v>0</v>
      </c>
      <c r="EH190" s="459">
        <f>IF('2. START'!$C$11="NO",(IF('2. START'!$C$14&gt;0,(DV190*$AD190),(BB190*$AD190))),(BZ190+CX190))</f>
        <v>0</v>
      </c>
      <c r="EI190" s="459">
        <f>IF('2. START'!$C$11="NO",(IF('2. START'!$C$14&gt;0,(DW190*$AD190),(BC190*$AD190))),(CA190+CY190))</f>
        <v>0</v>
      </c>
      <c r="EJ190" s="460">
        <f t="shared" si="468"/>
        <v>0</v>
      </c>
      <c r="EK190" s="463"/>
      <c r="EL190" s="459">
        <f>(BR190+CP190-DZ190)+IF('2. START'!$C$14&gt;0,AT190-DN190,0)</f>
        <v>0</v>
      </c>
      <c r="EM190" s="459">
        <f>(BS190+CQ190-EA190)+IF('2. START'!$C$14&gt;0,AU190-DO190,0)</f>
        <v>0</v>
      </c>
      <c r="EN190" s="459">
        <f>(BT190+CR190-EB190)+IF('2. START'!$C$14&gt;0,AV190-DP190,0)</f>
        <v>0</v>
      </c>
      <c r="EO190" s="459">
        <f>(BU190+CS190-EC190)+IF('2. START'!$C$14&gt;0,AW190-DQ190,0)</f>
        <v>0</v>
      </c>
      <c r="EP190" s="459">
        <f>(BV190+CT190-ED190)+IF('2. START'!$C$14&gt;0,AX190-DR190,0)</f>
        <v>0</v>
      </c>
      <c r="EQ190" s="459">
        <f>(BW190+CU190-EE190)+IF('2. START'!$C$14&gt;0,AY190-DS190,0)</f>
        <v>0</v>
      </c>
      <c r="ER190" s="459">
        <f>(BX190+CV190-EF190)+IF('2. START'!$C$14&gt;0,AZ190-DT190,0)</f>
        <v>0</v>
      </c>
      <c r="ES190" s="459">
        <f>(BY190+CW190-EG190)+IF('2. START'!$C$14&gt;0,BA190-DU190,0)</f>
        <v>0</v>
      </c>
      <c r="ET190" s="459">
        <f>(BZ190+CX190-EH190)+IF('2. START'!$C$14&gt;0,BB190-DV190,0)</f>
        <v>0</v>
      </c>
      <c r="EU190" s="459">
        <f>(CA190+CY190-EI190)+IF('2. START'!$C$14&gt;0,BC190-DW190,0)</f>
        <v>0</v>
      </c>
      <c r="EV190" s="460">
        <f t="shared" si="469"/>
        <v>0</v>
      </c>
      <c r="EW190" s="463"/>
      <c r="EX190" s="459">
        <f t="shared" si="470"/>
        <v>0</v>
      </c>
      <c r="EY190" s="459">
        <f t="shared" si="471"/>
        <v>0</v>
      </c>
      <c r="EZ190" s="459">
        <f t="shared" si="472"/>
        <v>0</v>
      </c>
      <c r="FA190" s="459">
        <f t="shared" si="473"/>
        <v>0</v>
      </c>
      <c r="FB190" s="459">
        <f t="shared" si="474"/>
        <v>0</v>
      </c>
      <c r="FC190" s="459">
        <f t="shared" si="475"/>
        <v>0</v>
      </c>
      <c r="FD190" s="459">
        <f t="shared" si="476"/>
        <v>0</v>
      </c>
      <c r="FE190" s="459">
        <f t="shared" si="477"/>
        <v>0</v>
      </c>
      <c r="FF190" s="459">
        <f t="shared" si="478"/>
        <v>0</v>
      </c>
      <c r="FG190" s="459">
        <f t="shared" si="479"/>
        <v>0</v>
      </c>
      <c r="FH190" s="460">
        <f t="shared" si="480"/>
        <v>0</v>
      </c>
      <c r="FI190" s="463"/>
      <c r="FJ190" s="459">
        <f t="shared" si="481"/>
        <v>0</v>
      </c>
      <c r="FK190" s="459">
        <f t="shared" si="482"/>
        <v>0</v>
      </c>
      <c r="FL190" s="459">
        <f t="shared" si="483"/>
        <v>0</v>
      </c>
      <c r="FM190" s="459">
        <f t="shared" si="484"/>
        <v>0</v>
      </c>
      <c r="FN190" s="459">
        <f t="shared" si="485"/>
        <v>0</v>
      </c>
      <c r="FO190" s="459">
        <f t="shared" si="486"/>
        <v>0</v>
      </c>
      <c r="FP190" s="459">
        <f t="shared" si="487"/>
        <v>0</v>
      </c>
      <c r="FQ190" s="459">
        <f t="shared" si="488"/>
        <v>0</v>
      </c>
      <c r="FR190" s="459">
        <f t="shared" si="489"/>
        <v>0</v>
      </c>
      <c r="FS190" s="459">
        <f t="shared" si="490"/>
        <v>0</v>
      </c>
      <c r="FT190" s="460">
        <f t="shared" si="491"/>
        <v>0</v>
      </c>
    </row>
    <row r="191" spans="2:176" s="270" customFormat="1" ht="15" customHeight="1" x14ac:dyDescent="0.25">
      <c r="B191" s="464" t="str">
        <f>'2. START'!C$7</f>
        <v>100GEM</v>
      </c>
      <c r="C191" s="470"/>
      <c r="D191" s="590"/>
      <c r="E191" s="514">
        <v>0</v>
      </c>
      <c r="F191" s="467"/>
      <c r="G191" s="432"/>
      <c r="H191" s="432"/>
      <c r="I191" s="432"/>
      <c r="J191" s="432"/>
      <c r="K191" s="432"/>
      <c r="L191" s="432"/>
      <c r="M191" s="432"/>
      <c r="N191" s="432"/>
      <c r="O191" s="432"/>
      <c r="P191" s="432"/>
      <c r="Q191" s="545">
        <f>SUMIF('3. PARTNER'!$B$13:$B$80,$B191,'3. PARTNER'!$F$13:$F$80)</f>
        <v>0.02</v>
      </c>
      <c r="R191" s="466">
        <f t="shared" si="492"/>
        <v>0.02</v>
      </c>
      <c r="S191" s="466">
        <f t="shared" si="492"/>
        <v>0.02</v>
      </c>
      <c r="T191" s="466">
        <f t="shared" si="492"/>
        <v>0.02</v>
      </c>
      <c r="U191" s="466">
        <f t="shared" si="492"/>
        <v>0.02</v>
      </c>
      <c r="V191" s="466">
        <f t="shared" si="492"/>
        <v>0.02</v>
      </c>
      <c r="W191" s="466">
        <f t="shared" si="492"/>
        <v>0.02</v>
      </c>
      <c r="X191" s="466">
        <f t="shared" si="492"/>
        <v>0.02</v>
      </c>
      <c r="Y191" s="466">
        <f t="shared" si="492"/>
        <v>0.02</v>
      </c>
      <c r="Z191" s="466">
        <f t="shared" si="492"/>
        <v>0.02</v>
      </c>
      <c r="AA191" s="434">
        <f>SUMIF('3. PARTNER'!B$13:B$80,B191,'3. PARTNER'!E$13:E$80)</f>
        <v>0.5595</v>
      </c>
      <c r="AB191" s="435">
        <f>IF('2. START'!$C$20="UTB",(SUMIF('3. PARTNER'!B$13:B$80,B191,'3. PARTNER'!K$13:K$80))+(SUMIF('3. PARTNER'!B$13:B$80,B191,'3. PARTNER'!M$13:M$80)),(SUMIF('3. PARTNER'!B$13:B$80,B191,'3. PARTNER'!G$13:G$80))+(SUMIF('3. PARTNER'!B$13:B$80,B191,'3. PARTNER'!I$13:I$80)))</f>
        <v>0.16000843770704321</v>
      </c>
      <c r="AC191" s="435">
        <f>IF('2. START'!$C$20="UTB",(SUMIF('3. PARTNER'!B$13:B$80,B191,'3. PARTNER'!L$13:L$80))+(SUMIF('3. PARTNER'!B$13:B$80,B191,'3. PARTNER'!N$13:N$80)),(SUMIF('3. PARTNER'!B$13:B$80,B191,'3. PARTNER'!H$13:H$80))+(SUMIF('3. PARTNER'!B$13:B$80,B191,'3. PARTNER'!J$13:J$80)))</f>
        <v>0</v>
      </c>
      <c r="AD191" s="435">
        <f>IF('2. START'!C$11="NO",'2. START'!C$12,0)</f>
        <v>0</v>
      </c>
      <c r="AE191" s="436">
        <f t="shared" si="388"/>
        <v>0</v>
      </c>
      <c r="AF191" s="436">
        <f t="shared" si="389"/>
        <v>0</v>
      </c>
      <c r="AG191" s="437"/>
      <c r="AH191" s="438">
        <f t="shared" si="390"/>
        <v>0</v>
      </c>
      <c r="AI191" s="438">
        <f t="shared" si="391"/>
        <v>0</v>
      </c>
      <c r="AJ191" s="438">
        <f t="shared" si="392"/>
        <v>0</v>
      </c>
      <c r="AK191" s="438">
        <f t="shared" si="393"/>
        <v>0</v>
      </c>
      <c r="AL191" s="438">
        <f t="shared" si="394"/>
        <v>0</v>
      </c>
      <c r="AM191" s="438">
        <f t="shared" si="395"/>
        <v>0</v>
      </c>
      <c r="AN191" s="438">
        <f t="shared" si="396"/>
        <v>0</v>
      </c>
      <c r="AO191" s="438">
        <f t="shared" si="397"/>
        <v>0</v>
      </c>
      <c r="AP191" s="438">
        <f t="shared" si="398"/>
        <v>0</v>
      </c>
      <c r="AQ191" s="438">
        <f t="shared" si="399"/>
        <v>0</v>
      </c>
      <c r="AR191" s="439">
        <f t="shared" si="400"/>
        <v>0</v>
      </c>
      <c r="AS191" s="440"/>
      <c r="AT191" s="438">
        <f t="shared" si="401"/>
        <v>0</v>
      </c>
      <c r="AU191" s="438">
        <f t="shared" si="402"/>
        <v>0</v>
      </c>
      <c r="AV191" s="438">
        <f t="shared" si="403"/>
        <v>0</v>
      </c>
      <c r="AW191" s="438">
        <f t="shared" si="404"/>
        <v>0</v>
      </c>
      <c r="AX191" s="438">
        <f t="shared" si="405"/>
        <v>0</v>
      </c>
      <c r="AY191" s="438">
        <f t="shared" si="406"/>
        <v>0</v>
      </c>
      <c r="AZ191" s="438">
        <f t="shared" si="407"/>
        <v>0</v>
      </c>
      <c r="BA191" s="438">
        <f t="shared" si="408"/>
        <v>0</v>
      </c>
      <c r="BB191" s="438">
        <f t="shared" si="409"/>
        <v>0</v>
      </c>
      <c r="BC191" s="438">
        <f t="shared" si="410"/>
        <v>0</v>
      </c>
      <c r="BD191" s="439">
        <f t="shared" si="411"/>
        <v>0</v>
      </c>
      <c r="BE191" s="440"/>
      <c r="BF191" s="438">
        <f t="shared" si="412"/>
        <v>0</v>
      </c>
      <c r="BG191" s="438">
        <f t="shared" si="413"/>
        <v>0</v>
      </c>
      <c r="BH191" s="438">
        <f t="shared" si="414"/>
        <v>0</v>
      </c>
      <c r="BI191" s="438">
        <f t="shared" si="415"/>
        <v>0</v>
      </c>
      <c r="BJ191" s="438">
        <f t="shared" si="416"/>
        <v>0</v>
      </c>
      <c r="BK191" s="438">
        <f t="shared" si="417"/>
        <v>0</v>
      </c>
      <c r="BL191" s="438">
        <f t="shared" si="418"/>
        <v>0</v>
      </c>
      <c r="BM191" s="438">
        <f t="shared" si="419"/>
        <v>0</v>
      </c>
      <c r="BN191" s="438">
        <f t="shared" si="420"/>
        <v>0</v>
      </c>
      <c r="BO191" s="438">
        <f t="shared" si="421"/>
        <v>0</v>
      </c>
      <c r="BP191" s="439">
        <f t="shared" si="422"/>
        <v>0</v>
      </c>
      <c r="BR191" s="442">
        <f t="shared" si="423"/>
        <v>0</v>
      </c>
      <c r="BS191" s="442">
        <f t="shared" si="424"/>
        <v>0</v>
      </c>
      <c r="BT191" s="442">
        <f t="shared" si="425"/>
        <v>0</v>
      </c>
      <c r="BU191" s="442">
        <f t="shared" si="426"/>
        <v>0</v>
      </c>
      <c r="BV191" s="442">
        <f t="shared" si="427"/>
        <v>0</v>
      </c>
      <c r="BW191" s="442">
        <f t="shared" si="428"/>
        <v>0</v>
      </c>
      <c r="BX191" s="442">
        <f t="shared" si="429"/>
        <v>0</v>
      </c>
      <c r="BY191" s="442">
        <f t="shared" si="430"/>
        <v>0</v>
      </c>
      <c r="BZ191" s="442">
        <f t="shared" si="431"/>
        <v>0</v>
      </c>
      <c r="CA191" s="442">
        <f t="shared" si="432"/>
        <v>0</v>
      </c>
      <c r="CB191" s="443">
        <f t="shared" si="433"/>
        <v>0</v>
      </c>
      <c r="CD191" s="445">
        <f t="shared" si="434"/>
        <v>0</v>
      </c>
      <c r="CE191" s="445">
        <f t="shared" si="435"/>
        <v>0</v>
      </c>
      <c r="CF191" s="445">
        <f t="shared" si="436"/>
        <v>0</v>
      </c>
      <c r="CG191" s="445">
        <f t="shared" si="437"/>
        <v>0</v>
      </c>
      <c r="CH191" s="445">
        <f t="shared" si="438"/>
        <v>0</v>
      </c>
      <c r="CI191" s="445">
        <f t="shared" si="439"/>
        <v>0</v>
      </c>
      <c r="CJ191" s="445">
        <f t="shared" si="440"/>
        <v>0</v>
      </c>
      <c r="CK191" s="445">
        <f t="shared" si="441"/>
        <v>0</v>
      </c>
      <c r="CL191" s="445">
        <f t="shared" si="442"/>
        <v>0</v>
      </c>
      <c r="CM191" s="445">
        <f t="shared" si="443"/>
        <v>0</v>
      </c>
      <c r="CN191" s="443">
        <f t="shared" si="444"/>
        <v>0</v>
      </c>
      <c r="CP191" s="442">
        <f t="shared" si="445"/>
        <v>0</v>
      </c>
      <c r="CQ191" s="442">
        <f t="shared" si="446"/>
        <v>0</v>
      </c>
      <c r="CR191" s="442">
        <f t="shared" si="447"/>
        <v>0</v>
      </c>
      <c r="CS191" s="442">
        <f t="shared" si="448"/>
        <v>0</v>
      </c>
      <c r="CT191" s="442">
        <f t="shared" si="449"/>
        <v>0</v>
      </c>
      <c r="CU191" s="442">
        <f t="shared" si="450"/>
        <v>0</v>
      </c>
      <c r="CV191" s="442">
        <f t="shared" si="451"/>
        <v>0</v>
      </c>
      <c r="CW191" s="442">
        <f t="shared" si="452"/>
        <v>0</v>
      </c>
      <c r="CX191" s="442">
        <f t="shared" si="453"/>
        <v>0</v>
      </c>
      <c r="CY191" s="442">
        <f t="shared" si="454"/>
        <v>0</v>
      </c>
      <c r="CZ191" s="443">
        <f t="shared" si="455"/>
        <v>0</v>
      </c>
      <c r="DB191" s="442">
        <f t="shared" si="456"/>
        <v>0</v>
      </c>
      <c r="DC191" s="442">
        <f t="shared" si="457"/>
        <v>0</v>
      </c>
      <c r="DD191" s="442">
        <f t="shared" si="458"/>
        <v>0</v>
      </c>
      <c r="DE191" s="442">
        <f t="shared" si="459"/>
        <v>0</v>
      </c>
      <c r="DF191" s="442">
        <f t="shared" si="460"/>
        <v>0</v>
      </c>
      <c r="DG191" s="442">
        <f t="shared" si="461"/>
        <v>0</v>
      </c>
      <c r="DH191" s="442">
        <f t="shared" si="462"/>
        <v>0</v>
      </c>
      <c r="DI191" s="442">
        <f t="shared" si="463"/>
        <v>0</v>
      </c>
      <c r="DJ191" s="442">
        <f t="shared" si="464"/>
        <v>0</v>
      </c>
      <c r="DK191" s="442">
        <f t="shared" si="465"/>
        <v>0</v>
      </c>
      <c r="DL191" s="443">
        <f t="shared" si="466"/>
        <v>0</v>
      </c>
      <c r="DN191" s="442">
        <f>IF('2. START'!$C$14&gt;0,(AT191/(1+$AA191))*(1+'2. START'!$C$14),AT191)</f>
        <v>0</v>
      </c>
      <c r="DO191" s="442">
        <f>IF('2. START'!$C$14&gt;0,(AU191/(1+$AA191))*(1+'2. START'!$C$14),AU191)</f>
        <v>0</v>
      </c>
      <c r="DP191" s="442">
        <f>IF('2. START'!$C$14&gt;0,(AV191/(1+$AA191))*(1+'2. START'!$C$14),AV191)</f>
        <v>0</v>
      </c>
      <c r="DQ191" s="442">
        <f>IF('2. START'!$C$14&gt;0,(AW191/(1+$AA191))*(1+'2. START'!$C$14),AW191)</f>
        <v>0</v>
      </c>
      <c r="DR191" s="442">
        <f>IF('2. START'!$C$14&gt;0,(AX191/(1+$AA191))*(1+'2. START'!$C$14),AX191)</f>
        <v>0</v>
      </c>
      <c r="DS191" s="442">
        <f>IF('2. START'!$C$14&gt;0,(AY191/(1+$AA191))*(1+'2. START'!$C$14),AY191)</f>
        <v>0</v>
      </c>
      <c r="DT191" s="442">
        <f>IF('2. START'!$C$14&gt;0,(AZ191/(1+$AA191))*(1+'2. START'!$C$14),AZ191)</f>
        <v>0</v>
      </c>
      <c r="DU191" s="442">
        <f>IF('2. START'!$C$14&gt;0,(BA191/(1+$AA191))*(1+'2. START'!$C$14),BA191)</f>
        <v>0</v>
      </c>
      <c r="DV191" s="442">
        <f>IF('2. START'!$C$14&gt;0,(BB191/(1+$AA191))*(1+'2. START'!$C$14),BB191)</f>
        <v>0</v>
      </c>
      <c r="DW191" s="442">
        <f>IF('2. START'!$C$14&gt;0,(BC191/(1+$AA191))*(1+'2. START'!$C$14),BC191)</f>
        <v>0</v>
      </c>
      <c r="DX191" s="443">
        <f t="shared" si="467"/>
        <v>0</v>
      </c>
      <c r="DZ191" s="442">
        <f>IF('2. START'!$C$11="NO",(IF('2. START'!$C$14&gt;0,(DN191*$AD191),(AT191*$AD191))),(BR191+CP191))</f>
        <v>0</v>
      </c>
      <c r="EA191" s="442">
        <f>IF('2. START'!$C$11="NO",(IF('2. START'!$C$14&gt;0,(DO191*$AD191),(AU191*$AD191))),(BS191+CQ191))</f>
        <v>0</v>
      </c>
      <c r="EB191" s="442">
        <f>IF('2. START'!$C$11="NO",(IF('2. START'!$C$14&gt;0,(DP191*$AD191),(AV191*$AD191))),(BT191+CR191))</f>
        <v>0</v>
      </c>
      <c r="EC191" s="442">
        <f>IF('2. START'!$C$11="NO",(IF('2. START'!$C$14&gt;0,(DQ191*$AD191),(AW191*$AD191))),(BU191+CS191))</f>
        <v>0</v>
      </c>
      <c r="ED191" s="442">
        <f>IF('2. START'!$C$11="NO",(IF('2. START'!$C$14&gt;0,(DR191*$AD191),(AX191*$AD191))),(BV191+CT191))</f>
        <v>0</v>
      </c>
      <c r="EE191" s="442">
        <f>IF('2. START'!$C$11="NO",(IF('2. START'!$C$14&gt;0,(DS191*$AD191),(AY191*$AD191))),(BW191+CU191))</f>
        <v>0</v>
      </c>
      <c r="EF191" s="442">
        <f>IF('2. START'!$C$11="NO",(IF('2. START'!$C$14&gt;0,(DT191*$AD191),(AZ191*$AD191))),(BX191+CV191))</f>
        <v>0</v>
      </c>
      <c r="EG191" s="442">
        <f>IF('2. START'!$C$11="NO",(IF('2. START'!$C$14&gt;0,(DU191*$AD191),(BA191*$AD191))),(BY191+CW191))</f>
        <v>0</v>
      </c>
      <c r="EH191" s="442">
        <f>IF('2. START'!$C$11="NO",(IF('2. START'!$C$14&gt;0,(DV191*$AD191),(BB191*$AD191))),(BZ191+CX191))</f>
        <v>0</v>
      </c>
      <c r="EI191" s="442">
        <f>IF('2. START'!$C$11="NO",(IF('2. START'!$C$14&gt;0,(DW191*$AD191),(BC191*$AD191))),(CA191+CY191))</f>
        <v>0</v>
      </c>
      <c r="EJ191" s="443">
        <f t="shared" si="468"/>
        <v>0</v>
      </c>
      <c r="EL191" s="442">
        <f>(BR191+CP191-DZ191)+IF('2. START'!$C$14&gt;0,AT191-DN191,0)</f>
        <v>0</v>
      </c>
      <c r="EM191" s="442">
        <f>(BS191+CQ191-EA191)+IF('2. START'!$C$14&gt;0,AU191-DO191,0)</f>
        <v>0</v>
      </c>
      <c r="EN191" s="442">
        <f>(BT191+CR191-EB191)+IF('2. START'!$C$14&gt;0,AV191-DP191,0)</f>
        <v>0</v>
      </c>
      <c r="EO191" s="442">
        <f>(BU191+CS191-EC191)+IF('2. START'!$C$14&gt;0,AW191-DQ191,0)</f>
        <v>0</v>
      </c>
      <c r="EP191" s="442">
        <f>(BV191+CT191-ED191)+IF('2. START'!$C$14&gt;0,AX191-DR191,0)</f>
        <v>0</v>
      </c>
      <c r="EQ191" s="442">
        <f>(BW191+CU191-EE191)+IF('2. START'!$C$14&gt;0,AY191-DS191,0)</f>
        <v>0</v>
      </c>
      <c r="ER191" s="442">
        <f>(BX191+CV191-EF191)+IF('2. START'!$C$14&gt;0,AZ191-DT191,0)</f>
        <v>0</v>
      </c>
      <c r="ES191" s="442">
        <f>(BY191+CW191-EG191)+IF('2. START'!$C$14&gt;0,BA191-DU191,0)</f>
        <v>0</v>
      </c>
      <c r="ET191" s="442">
        <f>(BZ191+CX191-EH191)+IF('2. START'!$C$14&gt;0,BB191-DV191,0)</f>
        <v>0</v>
      </c>
      <c r="EU191" s="442">
        <f>(CA191+CY191-EI191)+IF('2. START'!$C$14&gt;0,BC191-DW191,0)</f>
        <v>0</v>
      </c>
      <c r="EV191" s="443">
        <f t="shared" si="469"/>
        <v>0</v>
      </c>
      <c r="EX191" s="442">
        <f t="shared" si="470"/>
        <v>0</v>
      </c>
      <c r="EY191" s="442">
        <f t="shared" si="471"/>
        <v>0</v>
      </c>
      <c r="EZ191" s="442">
        <f t="shared" si="472"/>
        <v>0</v>
      </c>
      <c r="FA191" s="442">
        <f t="shared" si="473"/>
        <v>0</v>
      </c>
      <c r="FB191" s="442">
        <f t="shared" si="474"/>
        <v>0</v>
      </c>
      <c r="FC191" s="442">
        <f t="shared" si="475"/>
        <v>0</v>
      </c>
      <c r="FD191" s="442">
        <f t="shared" si="476"/>
        <v>0</v>
      </c>
      <c r="FE191" s="442">
        <f t="shared" si="477"/>
        <v>0</v>
      </c>
      <c r="FF191" s="442">
        <f t="shared" si="478"/>
        <v>0</v>
      </c>
      <c r="FG191" s="442">
        <f t="shared" si="479"/>
        <v>0</v>
      </c>
      <c r="FH191" s="443">
        <f t="shared" si="480"/>
        <v>0</v>
      </c>
      <c r="FJ191" s="442">
        <f t="shared" si="481"/>
        <v>0</v>
      </c>
      <c r="FK191" s="442">
        <f t="shared" si="482"/>
        <v>0</v>
      </c>
      <c r="FL191" s="442">
        <f t="shared" si="483"/>
        <v>0</v>
      </c>
      <c r="FM191" s="442">
        <f t="shared" si="484"/>
        <v>0</v>
      </c>
      <c r="FN191" s="442">
        <f t="shared" si="485"/>
        <v>0</v>
      </c>
      <c r="FO191" s="442">
        <f t="shared" si="486"/>
        <v>0</v>
      </c>
      <c r="FP191" s="442">
        <f t="shared" si="487"/>
        <v>0</v>
      </c>
      <c r="FQ191" s="442">
        <f t="shared" si="488"/>
        <v>0</v>
      </c>
      <c r="FR191" s="442">
        <f t="shared" si="489"/>
        <v>0</v>
      </c>
      <c r="FS191" s="442">
        <f t="shared" si="490"/>
        <v>0</v>
      </c>
      <c r="FT191" s="443">
        <f t="shared" si="491"/>
        <v>0</v>
      </c>
    </row>
    <row r="192" spans="2:176" s="270" customFormat="1" ht="15" customHeight="1" x14ac:dyDescent="0.25">
      <c r="B192" s="446" t="str">
        <f>'2. START'!C$7</f>
        <v>100GEM</v>
      </c>
      <c r="C192" s="469"/>
      <c r="D192" s="589"/>
      <c r="E192" s="544">
        <v>0</v>
      </c>
      <c r="F192" s="448"/>
      <c r="G192" s="449"/>
      <c r="H192" s="449"/>
      <c r="I192" s="449"/>
      <c r="J192" s="449"/>
      <c r="K192" s="449"/>
      <c r="L192" s="449"/>
      <c r="M192" s="449"/>
      <c r="N192" s="449"/>
      <c r="O192" s="449"/>
      <c r="P192" s="449"/>
      <c r="Q192" s="546">
        <f>SUMIF('3. PARTNER'!$B$13:$B$80,$B192,'3. PARTNER'!$F$13:$F$80)</f>
        <v>0.02</v>
      </c>
      <c r="R192" s="450">
        <f t="shared" si="387"/>
        <v>0.02</v>
      </c>
      <c r="S192" s="450">
        <f t="shared" si="387"/>
        <v>0.02</v>
      </c>
      <c r="T192" s="450">
        <f t="shared" si="387"/>
        <v>0.02</v>
      </c>
      <c r="U192" s="450">
        <f t="shared" si="387"/>
        <v>0.02</v>
      </c>
      <c r="V192" s="450">
        <f t="shared" si="387"/>
        <v>0.02</v>
      </c>
      <c r="W192" s="450">
        <f t="shared" si="387"/>
        <v>0.02</v>
      </c>
      <c r="X192" s="450">
        <f t="shared" si="387"/>
        <v>0.02</v>
      </c>
      <c r="Y192" s="450">
        <f t="shared" si="387"/>
        <v>0.02</v>
      </c>
      <c r="Z192" s="450">
        <f t="shared" si="387"/>
        <v>0.02</v>
      </c>
      <c r="AA192" s="451">
        <f>SUMIF('3. PARTNER'!B$13:B$80,B192,'3. PARTNER'!E$13:E$80)</f>
        <v>0.5595</v>
      </c>
      <c r="AB192" s="452">
        <f>IF('2. START'!$C$20="UTB",(SUMIF('3. PARTNER'!B$13:B$80,B192,'3. PARTNER'!K$13:K$80))+(SUMIF('3. PARTNER'!B$13:B$80,B192,'3. PARTNER'!M$13:M$80)),(SUMIF('3. PARTNER'!B$13:B$80,B192,'3. PARTNER'!G$13:G$80))+(SUMIF('3. PARTNER'!B$13:B$80,B192,'3. PARTNER'!I$13:I$80)))</f>
        <v>0.16000843770704321</v>
      </c>
      <c r="AC192" s="452">
        <f>IF('2. START'!$C$20="UTB",(SUMIF('3. PARTNER'!B$13:B$80,B192,'3. PARTNER'!L$13:L$80))+(SUMIF('3. PARTNER'!B$13:B$80,B192,'3. PARTNER'!N$13:N$80)),(SUMIF('3. PARTNER'!B$13:B$80,B192,'3. PARTNER'!H$13:H$80))+(SUMIF('3. PARTNER'!B$13:B$80,B192,'3. PARTNER'!J$13:J$80)))</f>
        <v>0</v>
      </c>
      <c r="AD192" s="452">
        <f>IF('2. START'!C$11="NO",'2. START'!C$12,0)</f>
        <v>0</v>
      </c>
      <c r="AE192" s="453">
        <f t="shared" si="278"/>
        <v>0</v>
      </c>
      <c r="AF192" s="453">
        <f t="shared" si="279"/>
        <v>0</v>
      </c>
      <c r="AG192" s="454"/>
      <c r="AH192" s="455">
        <f t="shared" si="315"/>
        <v>0</v>
      </c>
      <c r="AI192" s="455">
        <f t="shared" si="316"/>
        <v>0</v>
      </c>
      <c r="AJ192" s="455">
        <f t="shared" si="317"/>
        <v>0</v>
      </c>
      <c r="AK192" s="455">
        <f t="shared" si="318"/>
        <v>0</v>
      </c>
      <c r="AL192" s="455">
        <f t="shared" si="319"/>
        <v>0</v>
      </c>
      <c r="AM192" s="455">
        <f t="shared" si="320"/>
        <v>0</v>
      </c>
      <c r="AN192" s="455">
        <f t="shared" si="321"/>
        <v>0</v>
      </c>
      <c r="AO192" s="455">
        <f t="shared" si="322"/>
        <v>0</v>
      </c>
      <c r="AP192" s="455">
        <f t="shared" si="323"/>
        <v>0</v>
      </c>
      <c r="AQ192" s="455">
        <f t="shared" si="324"/>
        <v>0</v>
      </c>
      <c r="AR192" s="456">
        <f t="shared" si="280"/>
        <v>0</v>
      </c>
      <c r="AS192" s="457"/>
      <c r="AT192" s="455">
        <f t="shared" si="325"/>
        <v>0</v>
      </c>
      <c r="AU192" s="455">
        <f t="shared" si="326"/>
        <v>0</v>
      </c>
      <c r="AV192" s="455">
        <f t="shared" si="327"/>
        <v>0</v>
      </c>
      <c r="AW192" s="455">
        <f t="shared" si="328"/>
        <v>0</v>
      </c>
      <c r="AX192" s="455">
        <f t="shared" si="329"/>
        <v>0</v>
      </c>
      <c r="AY192" s="455">
        <f t="shared" si="330"/>
        <v>0</v>
      </c>
      <c r="AZ192" s="455">
        <f t="shared" si="331"/>
        <v>0</v>
      </c>
      <c r="BA192" s="455">
        <f t="shared" si="332"/>
        <v>0</v>
      </c>
      <c r="BB192" s="455">
        <f t="shared" si="333"/>
        <v>0</v>
      </c>
      <c r="BC192" s="455">
        <f t="shared" si="334"/>
        <v>0</v>
      </c>
      <c r="BD192" s="456">
        <f t="shared" si="281"/>
        <v>0</v>
      </c>
      <c r="BE192" s="457"/>
      <c r="BF192" s="455">
        <f t="shared" si="335"/>
        <v>0</v>
      </c>
      <c r="BG192" s="455">
        <f t="shared" si="336"/>
        <v>0</v>
      </c>
      <c r="BH192" s="455">
        <f t="shared" si="337"/>
        <v>0</v>
      </c>
      <c r="BI192" s="455">
        <f t="shared" si="338"/>
        <v>0</v>
      </c>
      <c r="BJ192" s="455">
        <f t="shared" si="339"/>
        <v>0</v>
      </c>
      <c r="BK192" s="455">
        <f t="shared" si="340"/>
        <v>0</v>
      </c>
      <c r="BL192" s="455">
        <f t="shared" si="341"/>
        <v>0</v>
      </c>
      <c r="BM192" s="455">
        <f t="shared" si="342"/>
        <v>0</v>
      </c>
      <c r="BN192" s="455">
        <f t="shared" si="343"/>
        <v>0</v>
      </c>
      <c r="BO192" s="455">
        <f t="shared" si="344"/>
        <v>0</v>
      </c>
      <c r="BP192" s="456">
        <f t="shared" si="282"/>
        <v>0</v>
      </c>
      <c r="BQ192" s="463"/>
      <c r="BR192" s="459">
        <f t="shared" si="345"/>
        <v>0</v>
      </c>
      <c r="BS192" s="459">
        <f t="shared" si="346"/>
        <v>0</v>
      </c>
      <c r="BT192" s="459">
        <f t="shared" si="347"/>
        <v>0</v>
      </c>
      <c r="BU192" s="459">
        <f t="shared" si="348"/>
        <v>0</v>
      </c>
      <c r="BV192" s="459">
        <f t="shared" si="349"/>
        <v>0</v>
      </c>
      <c r="BW192" s="459">
        <f t="shared" si="350"/>
        <v>0</v>
      </c>
      <c r="BX192" s="459">
        <f t="shared" si="351"/>
        <v>0</v>
      </c>
      <c r="BY192" s="459">
        <f t="shared" si="352"/>
        <v>0</v>
      </c>
      <c r="BZ192" s="459">
        <f t="shared" si="353"/>
        <v>0</v>
      </c>
      <c r="CA192" s="459">
        <f t="shared" si="354"/>
        <v>0</v>
      </c>
      <c r="CB192" s="460">
        <f t="shared" si="283"/>
        <v>0</v>
      </c>
      <c r="CC192" s="463"/>
      <c r="CD192" s="462">
        <f t="shared" si="355"/>
        <v>0</v>
      </c>
      <c r="CE192" s="462">
        <f t="shared" si="356"/>
        <v>0</v>
      </c>
      <c r="CF192" s="462">
        <f t="shared" si="357"/>
        <v>0</v>
      </c>
      <c r="CG192" s="462">
        <f t="shared" si="358"/>
        <v>0</v>
      </c>
      <c r="CH192" s="462">
        <f t="shared" si="359"/>
        <v>0</v>
      </c>
      <c r="CI192" s="462">
        <f t="shared" si="360"/>
        <v>0</v>
      </c>
      <c r="CJ192" s="462">
        <f t="shared" si="361"/>
        <v>0</v>
      </c>
      <c r="CK192" s="462">
        <f t="shared" si="362"/>
        <v>0</v>
      </c>
      <c r="CL192" s="462">
        <f t="shared" si="363"/>
        <v>0</v>
      </c>
      <c r="CM192" s="462">
        <f t="shared" si="364"/>
        <v>0</v>
      </c>
      <c r="CN192" s="460">
        <f t="shared" si="284"/>
        <v>0</v>
      </c>
      <c r="CO192" s="463"/>
      <c r="CP192" s="459">
        <f t="shared" si="365"/>
        <v>0</v>
      </c>
      <c r="CQ192" s="459">
        <f t="shared" si="366"/>
        <v>0</v>
      </c>
      <c r="CR192" s="459">
        <f t="shared" si="367"/>
        <v>0</v>
      </c>
      <c r="CS192" s="459">
        <f t="shared" si="368"/>
        <v>0</v>
      </c>
      <c r="CT192" s="459">
        <f t="shared" si="369"/>
        <v>0</v>
      </c>
      <c r="CU192" s="459">
        <f t="shared" si="370"/>
        <v>0</v>
      </c>
      <c r="CV192" s="459">
        <f t="shared" si="371"/>
        <v>0</v>
      </c>
      <c r="CW192" s="459">
        <f t="shared" si="372"/>
        <v>0</v>
      </c>
      <c r="CX192" s="459">
        <f t="shared" si="373"/>
        <v>0</v>
      </c>
      <c r="CY192" s="459">
        <f t="shared" si="374"/>
        <v>0</v>
      </c>
      <c r="CZ192" s="460">
        <f t="shared" si="285"/>
        <v>0</v>
      </c>
      <c r="DA192" s="463"/>
      <c r="DB192" s="459">
        <f t="shared" si="375"/>
        <v>0</v>
      </c>
      <c r="DC192" s="459">
        <f t="shared" si="376"/>
        <v>0</v>
      </c>
      <c r="DD192" s="459">
        <f t="shared" si="377"/>
        <v>0</v>
      </c>
      <c r="DE192" s="459">
        <f t="shared" si="378"/>
        <v>0</v>
      </c>
      <c r="DF192" s="459">
        <f t="shared" si="379"/>
        <v>0</v>
      </c>
      <c r="DG192" s="459">
        <f t="shared" si="380"/>
        <v>0</v>
      </c>
      <c r="DH192" s="459">
        <f t="shared" si="381"/>
        <v>0</v>
      </c>
      <c r="DI192" s="459">
        <f t="shared" si="382"/>
        <v>0</v>
      </c>
      <c r="DJ192" s="459">
        <f t="shared" si="383"/>
        <v>0</v>
      </c>
      <c r="DK192" s="459">
        <f t="shared" si="384"/>
        <v>0</v>
      </c>
      <c r="DL192" s="460">
        <f t="shared" si="286"/>
        <v>0</v>
      </c>
      <c r="DM192" s="463"/>
      <c r="DN192" s="459">
        <f>IF('2. START'!$C$14&gt;0,(AT192/(1+$AA192))*(1+'2. START'!$C$14),AT192)</f>
        <v>0</v>
      </c>
      <c r="DO192" s="459">
        <f>IF('2. START'!$C$14&gt;0,(AU192/(1+$AA192))*(1+'2. START'!$C$14),AU192)</f>
        <v>0</v>
      </c>
      <c r="DP192" s="459">
        <f>IF('2. START'!$C$14&gt;0,(AV192/(1+$AA192))*(1+'2. START'!$C$14),AV192)</f>
        <v>0</v>
      </c>
      <c r="DQ192" s="459">
        <f>IF('2. START'!$C$14&gt;0,(AW192/(1+$AA192))*(1+'2. START'!$C$14),AW192)</f>
        <v>0</v>
      </c>
      <c r="DR192" s="459">
        <f>IF('2. START'!$C$14&gt;0,(AX192/(1+$AA192))*(1+'2. START'!$C$14),AX192)</f>
        <v>0</v>
      </c>
      <c r="DS192" s="459">
        <f>IF('2. START'!$C$14&gt;0,(AY192/(1+$AA192))*(1+'2. START'!$C$14),AY192)</f>
        <v>0</v>
      </c>
      <c r="DT192" s="459">
        <f>IF('2. START'!$C$14&gt;0,(AZ192/(1+$AA192))*(1+'2. START'!$C$14),AZ192)</f>
        <v>0</v>
      </c>
      <c r="DU192" s="459">
        <f>IF('2. START'!$C$14&gt;0,(BA192/(1+$AA192))*(1+'2. START'!$C$14),BA192)</f>
        <v>0</v>
      </c>
      <c r="DV192" s="459">
        <f>IF('2. START'!$C$14&gt;0,(BB192/(1+$AA192))*(1+'2. START'!$C$14),BB192)</f>
        <v>0</v>
      </c>
      <c r="DW192" s="459">
        <f>IF('2. START'!$C$14&gt;0,(BC192/(1+$AA192))*(1+'2. START'!$C$14),BC192)</f>
        <v>0</v>
      </c>
      <c r="DX192" s="460">
        <f t="shared" si="287"/>
        <v>0</v>
      </c>
      <c r="DY192" s="463"/>
      <c r="DZ192" s="459">
        <f>IF('2. START'!$C$11="NO",(IF('2. START'!$C$14&gt;0,(DN192*$AD192),(AT192*$AD192))),(BR192+CP192))</f>
        <v>0</v>
      </c>
      <c r="EA192" s="459">
        <f>IF('2. START'!$C$11="NO",(IF('2. START'!$C$14&gt;0,(DO192*$AD192),(AU192*$AD192))),(BS192+CQ192))</f>
        <v>0</v>
      </c>
      <c r="EB192" s="459">
        <f>IF('2. START'!$C$11="NO",(IF('2. START'!$C$14&gt;0,(DP192*$AD192),(AV192*$AD192))),(BT192+CR192))</f>
        <v>0</v>
      </c>
      <c r="EC192" s="459">
        <f>IF('2. START'!$C$11="NO",(IF('2. START'!$C$14&gt;0,(DQ192*$AD192),(AW192*$AD192))),(BU192+CS192))</f>
        <v>0</v>
      </c>
      <c r="ED192" s="459">
        <f>IF('2. START'!$C$11="NO",(IF('2. START'!$C$14&gt;0,(DR192*$AD192),(AX192*$AD192))),(BV192+CT192))</f>
        <v>0</v>
      </c>
      <c r="EE192" s="459">
        <f>IF('2. START'!$C$11="NO",(IF('2. START'!$C$14&gt;0,(DS192*$AD192),(AY192*$AD192))),(BW192+CU192))</f>
        <v>0</v>
      </c>
      <c r="EF192" s="459">
        <f>IF('2. START'!$C$11="NO",(IF('2. START'!$C$14&gt;0,(DT192*$AD192),(AZ192*$AD192))),(BX192+CV192))</f>
        <v>0</v>
      </c>
      <c r="EG192" s="459">
        <f>IF('2. START'!$C$11="NO",(IF('2. START'!$C$14&gt;0,(DU192*$AD192),(BA192*$AD192))),(BY192+CW192))</f>
        <v>0</v>
      </c>
      <c r="EH192" s="459">
        <f>IF('2. START'!$C$11="NO",(IF('2. START'!$C$14&gt;0,(DV192*$AD192),(BB192*$AD192))),(BZ192+CX192))</f>
        <v>0</v>
      </c>
      <c r="EI192" s="459">
        <f>IF('2. START'!$C$11="NO",(IF('2. START'!$C$14&gt;0,(DW192*$AD192),(BC192*$AD192))),(CA192+CY192))</f>
        <v>0</v>
      </c>
      <c r="EJ192" s="460">
        <f t="shared" si="288"/>
        <v>0</v>
      </c>
      <c r="EK192" s="463"/>
      <c r="EL192" s="459">
        <f>(BR192+CP192-DZ192)+IF('2. START'!$C$14&gt;0,AT192-DN192,0)</f>
        <v>0</v>
      </c>
      <c r="EM192" s="459">
        <f>(BS192+CQ192-EA192)+IF('2. START'!$C$14&gt;0,AU192-DO192,0)</f>
        <v>0</v>
      </c>
      <c r="EN192" s="459">
        <f>(BT192+CR192-EB192)+IF('2. START'!$C$14&gt;0,AV192-DP192,0)</f>
        <v>0</v>
      </c>
      <c r="EO192" s="459">
        <f>(BU192+CS192-EC192)+IF('2. START'!$C$14&gt;0,AW192-DQ192,0)</f>
        <v>0</v>
      </c>
      <c r="EP192" s="459">
        <f>(BV192+CT192-ED192)+IF('2. START'!$C$14&gt;0,AX192-DR192,0)</f>
        <v>0</v>
      </c>
      <c r="EQ192" s="459">
        <f>(BW192+CU192-EE192)+IF('2. START'!$C$14&gt;0,AY192-DS192,0)</f>
        <v>0</v>
      </c>
      <c r="ER192" s="459">
        <f>(BX192+CV192-EF192)+IF('2. START'!$C$14&gt;0,AZ192-DT192,0)</f>
        <v>0</v>
      </c>
      <c r="ES192" s="459">
        <f>(BY192+CW192-EG192)+IF('2. START'!$C$14&gt;0,BA192-DU192,0)</f>
        <v>0</v>
      </c>
      <c r="ET192" s="459">
        <f>(BZ192+CX192-EH192)+IF('2. START'!$C$14&gt;0,BB192-DV192,0)</f>
        <v>0</v>
      </c>
      <c r="EU192" s="459">
        <f>(CA192+CY192-EI192)+IF('2. START'!$C$14&gt;0,BC192-DW192,0)</f>
        <v>0</v>
      </c>
      <c r="EV192" s="460">
        <f t="shared" si="289"/>
        <v>0</v>
      </c>
      <c r="EW192" s="463"/>
      <c r="EX192" s="459">
        <f t="shared" si="290"/>
        <v>0</v>
      </c>
      <c r="EY192" s="459">
        <f t="shared" si="291"/>
        <v>0</v>
      </c>
      <c r="EZ192" s="459">
        <f t="shared" si="292"/>
        <v>0</v>
      </c>
      <c r="FA192" s="459">
        <f t="shared" si="293"/>
        <v>0</v>
      </c>
      <c r="FB192" s="459">
        <f t="shared" si="294"/>
        <v>0</v>
      </c>
      <c r="FC192" s="459">
        <f t="shared" si="295"/>
        <v>0</v>
      </c>
      <c r="FD192" s="459">
        <f t="shared" si="296"/>
        <v>0</v>
      </c>
      <c r="FE192" s="459">
        <f t="shared" si="297"/>
        <v>0</v>
      </c>
      <c r="FF192" s="459">
        <f t="shared" si="298"/>
        <v>0</v>
      </c>
      <c r="FG192" s="459">
        <f t="shared" si="299"/>
        <v>0</v>
      </c>
      <c r="FH192" s="460">
        <f t="shared" si="300"/>
        <v>0</v>
      </c>
      <c r="FI192" s="463"/>
      <c r="FJ192" s="459">
        <f t="shared" si="301"/>
        <v>0</v>
      </c>
      <c r="FK192" s="459">
        <f t="shared" si="302"/>
        <v>0</v>
      </c>
      <c r="FL192" s="459">
        <f t="shared" si="303"/>
        <v>0</v>
      </c>
      <c r="FM192" s="459">
        <f t="shared" si="304"/>
        <v>0</v>
      </c>
      <c r="FN192" s="459">
        <f t="shared" si="305"/>
        <v>0</v>
      </c>
      <c r="FO192" s="459">
        <f t="shared" si="306"/>
        <v>0</v>
      </c>
      <c r="FP192" s="459">
        <f t="shared" si="307"/>
        <v>0</v>
      </c>
      <c r="FQ192" s="459">
        <f t="shared" si="308"/>
        <v>0</v>
      </c>
      <c r="FR192" s="459">
        <f t="shared" si="309"/>
        <v>0</v>
      </c>
      <c r="FS192" s="459">
        <f t="shared" si="310"/>
        <v>0</v>
      </c>
      <c r="FT192" s="460">
        <f t="shared" si="311"/>
        <v>0</v>
      </c>
    </row>
    <row r="193" spans="2:176" s="268" customFormat="1" ht="15" customHeight="1" x14ac:dyDescent="0.25">
      <c r="B193" s="471" t="str">
        <f>B16</f>
        <v>SUMS &gt;&gt;</v>
      </c>
      <c r="C193" s="472"/>
      <c r="D193" s="472"/>
      <c r="E193" s="472"/>
      <c r="F193" s="473"/>
      <c r="G193" s="474">
        <f t="shared" ref="G193:P193" si="493">SUM(G17:G192)</f>
        <v>0</v>
      </c>
      <c r="H193" s="474">
        <f t="shared" si="493"/>
        <v>0</v>
      </c>
      <c r="I193" s="474">
        <f t="shared" si="493"/>
        <v>0</v>
      </c>
      <c r="J193" s="474">
        <f t="shared" si="493"/>
        <v>0</v>
      </c>
      <c r="K193" s="474">
        <f t="shared" si="493"/>
        <v>0</v>
      </c>
      <c r="L193" s="474">
        <f t="shared" si="493"/>
        <v>0</v>
      </c>
      <c r="M193" s="474">
        <f t="shared" si="493"/>
        <v>0</v>
      </c>
      <c r="N193" s="474">
        <f t="shared" si="493"/>
        <v>0</v>
      </c>
      <c r="O193" s="474">
        <f t="shared" si="493"/>
        <v>0</v>
      </c>
      <c r="P193" s="474">
        <f t="shared" si="493"/>
        <v>0</v>
      </c>
      <c r="Q193" s="472"/>
      <c r="R193" s="472"/>
      <c r="S193" s="472"/>
      <c r="T193" s="472"/>
      <c r="U193" s="472"/>
      <c r="V193" s="472"/>
      <c r="W193" s="472"/>
      <c r="X193" s="472"/>
      <c r="Y193" s="472"/>
      <c r="Z193" s="472"/>
      <c r="AA193" s="472"/>
      <c r="AB193" s="472"/>
      <c r="AC193" s="472"/>
      <c r="AD193" s="473"/>
      <c r="AE193" s="253">
        <f>SUM(AE17:AE192)</f>
        <v>0</v>
      </c>
      <c r="AF193" s="253">
        <f>SUM(AF17:AF192)</f>
        <v>0</v>
      </c>
      <c r="AG193" s="473"/>
      <c r="AH193" s="426">
        <f t="shared" ref="AH193:AR193" si="494">SUM(AH17:AH192)</f>
        <v>0</v>
      </c>
      <c r="AI193" s="426">
        <f t="shared" si="494"/>
        <v>0</v>
      </c>
      <c r="AJ193" s="426">
        <f t="shared" si="494"/>
        <v>0</v>
      </c>
      <c r="AK193" s="426">
        <f t="shared" si="494"/>
        <v>0</v>
      </c>
      <c r="AL193" s="426">
        <f t="shared" si="494"/>
        <v>0</v>
      </c>
      <c r="AM193" s="426">
        <f t="shared" si="494"/>
        <v>0</v>
      </c>
      <c r="AN193" s="426">
        <f t="shared" si="494"/>
        <v>0</v>
      </c>
      <c r="AO193" s="426">
        <f t="shared" si="494"/>
        <v>0</v>
      </c>
      <c r="AP193" s="426">
        <f t="shared" si="494"/>
        <v>0</v>
      </c>
      <c r="AQ193" s="426">
        <f t="shared" si="494"/>
        <v>0</v>
      </c>
      <c r="AR193" s="426">
        <f t="shared" si="494"/>
        <v>0</v>
      </c>
      <c r="AS193" s="475"/>
      <c r="AT193" s="426">
        <f t="shared" ref="AT193:BD193" si="495">SUM(AT17:AT192)</f>
        <v>0</v>
      </c>
      <c r="AU193" s="426">
        <f t="shared" si="495"/>
        <v>0</v>
      </c>
      <c r="AV193" s="426">
        <f t="shared" si="495"/>
        <v>0</v>
      </c>
      <c r="AW193" s="426">
        <f t="shared" si="495"/>
        <v>0</v>
      </c>
      <c r="AX193" s="426">
        <f t="shared" si="495"/>
        <v>0</v>
      </c>
      <c r="AY193" s="426">
        <f t="shared" si="495"/>
        <v>0</v>
      </c>
      <c r="AZ193" s="426">
        <f t="shared" si="495"/>
        <v>0</v>
      </c>
      <c r="BA193" s="426">
        <f t="shared" si="495"/>
        <v>0</v>
      </c>
      <c r="BB193" s="426">
        <f t="shared" si="495"/>
        <v>0</v>
      </c>
      <c r="BC193" s="426">
        <f t="shared" si="495"/>
        <v>0</v>
      </c>
      <c r="BD193" s="426">
        <f t="shared" si="495"/>
        <v>0</v>
      </c>
      <c r="BE193" s="475"/>
      <c r="BF193" s="426">
        <f t="shared" ref="BF193:BP193" si="496">SUM(BF17:BF192)</f>
        <v>0</v>
      </c>
      <c r="BG193" s="426">
        <f t="shared" si="496"/>
        <v>0</v>
      </c>
      <c r="BH193" s="426">
        <f t="shared" si="496"/>
        <v>0</v>
      </c>
      <c r="BI193" s="426">
        <f t="shared" si="496"/>
        <v>0</v>
      </c>
      <c r="BJ193" s="426">
        <f t="shared" si="496"/>
        <v>0</v>
      </c>
      <c r="BK193" s="426">
        <f t="shared" si="496"/>
        <v>0</v>
      </c>
      <c r="BL193" s="426">
        <f t="shared" si="496"/>
        <v>0</v>
      </c>
      <c r="BM193" s="426">
        <f t="shared" si="496"/>
        <v>0</v>
      </c>
      <c r="BN193" s="426">
        <f t="shared" si="496"/>
        <v>0</v>
      </c>
      <c r="BO193" s="426">
        <f t="shared" si="496"/>
        <v>0</v>
      </c>
      <c r="BP193" s="426">
        <f t="shared" si="496"/>
        <v>0</v>
      </c>
      <c r="BQ193" s="475"/>
      <c r="BR193" s="426">
        <f t="shared" ref="BR193:CB193" si="497">SUM(BR17:BR192)</f>
        <v>0</v>
      </c>
      <c r="BS193" s="426">
        <f t="shared" si="497"/>
        <v>0</v>
      </c>
      <c r="BT193" s="426">
        <f t="shared" si="497"/>
        <v>0</v>
      </c>
      <c r="BU193" s="426">
        <f t="shared" si="497"/>
        <v>0</v>
      </c>
      <c r="BV193" s="426">
        <f t="shared" si="497"/>
        <v>0</v>
      </c>
      <c r="BW193" s="426">
        <f t="shared" si="497"/>
        <v>0</v>
      </c>
      <c r="BX193" s="426">
        <f t="shared" si="497"/>
        <v>0</v>
      </c>
      <c r="BY193" s="426">
        <f t="shared" si="497"/>
        <v>0</v>
      </c>
      <c r="BZ193" s="426">
        <f t="shared" si="497"/>
        <v>0</v>
      </c>
      <c r="CA193" s="426">
        <f t="shared" si="497"/>
        <v>0</v>
      </c>
      <c r="CB193" s="426">
        <f t="shared" si="497"/>
        <v>0</v>
      </c>
      <c r="CC193" s="475"/>
      <c r="CD193" s="426">
        <f t="shared" ref="CD193:CN193" si="498">SUM(CD17:CD192)</f>
        <v>0</v>
      </c>
      <c r="CE193" s="426">
        <f t="shared" si="498"/>
        <v>0</v>
      </c>
      <c r="CF193" s="426">
        <f t="shared" si="498"/>
        <v>0</v>
      </c>
      <c r="CG193" s="426">
        <f t="shared" si="498"/>
        <v>0</v>
      </c>
      <c r="CH193" s="426">
        <f t="shared" si="498"/>
        <v>0</v>
      </c>
      <c r="CI193" s="426">
        <f t="shared" si="498"/>
        <v>0</v>
      </c>
      <c r="CJ193" s="426">
        <f t="shared" si="498"/>
        <v>0</v>
      </c>
      <c r="CK193" s="426">
        <f t="shared" si="498"/>
        <v>0</v>
      </c>
      <c r="CL193" s="426">
        <f t="shared" si="498"/>
        <v>0</v>
      </c>
      <c r="CM193" s="426">
        <f t="shared" si="498"/>
        <v>0</v>
      </c>
      <c r="CN193" s="426">
        <f t="shared" si="498"/>
        <v>0</v>
      </c>
      <c r="CO193" s="475"/>
      <c r="CP193" s="426">
        <f t="shared" ref="CP193:CZ193" si="499">SUM(CP17:CP192)</f>
        <v>0</v>
      </c>
      <c r="CQ193" s="426">
        <f t="shared" si="499"/>
        <v>0</v>
      </c>
      <c r="CR193" s="426">
        <f t="shared" si="499"/>
        <v>0</v>
      </c>
      <c r="CS193" s="426">
        <f t="shared" si="499"/>
        <v>0</v>
      </c>
      <c r="CT193" s="426">
        <f t="shared" si="499"/>
        <v>0</v>
      </c>
      <c r="CU193" s="426">
        <f t="shared" si="499"/>
        <v>0</v>
      </c>
      <c r="CV193" s="426">
        <f t="shared" si="499"/>
        <v>0</v>
      </c>
      <c r="CW193" s="426">
        <f t="shared" si="499"/>
        <v>0</v>
      </c>
      <c r="CX193" s="426">
        <f t="shared" si="499"/>
        <v>0</v>
      </c>
      <c r="CY193" s="426">
        <f t="shared" si="499"/>
        <v>0</v>
      </c>
      <c r="CZ193" s="426">
        <f t="shared" si="499"/>
        <v>0</v>
      </c>
      <c r="DA193" s="475"/>
      <c r="DB193" s="426">
        <f t="shared" ref="DB193:DL193" si="500">SUM(DB17:DB192)</f>
        <v>0</v>
      </c>
      <c r="DC193" s="426">
        <f t="shared" si="500"/>
        <v>0</v>
      </c>
      <c r="DD193" s="426">
        <f t="shared" si="500"/>
        <v>0</v>
      </c>
      <c r="DE193" s="426">
        <f t="shared" si="500"/>
        <v>0</v>
      </c>
      <c r="DF193" s="426">
        <f t="shared" si="500"/>
        <v>0</v>
      </c>
      <c r="DG193" s="426">
        <f t="shared" si="500"/>
        <v>0</v>
      </c>
      <c r="DH193" s="426">
        <f t="shared" si="500"/>
        <v>0</v>
      </c>
      <c r="DI193" s="426">
        <f t="shared" si="500"/>
        <v>0</v>
      </c>
      <c r="DJ193" s="426">
        <f t="shared" si="500"/>
        <v>0</v>
      </c>
      <c r="DK193" s="426">
        <f t="shared" si="500"/>
        <v>0</v>
      </c>
      <c r="DL193" s="426">
        <f t="shared" si="500"/>
        <v>0</v>
      </c>
      <c r="DM193" s="475"/>
      <c r="DN193" s="426">
        <f t="shared" ref="DN193:DX193" si="501">SUM(DN17:DN192)</f>
        <v>0</v>
      </c>
      <c r="DO193" s="426">
        <f t="shared" si="501"/>
        <v>0</v>
      </c>
      <c r="DP193" s="426">
        <f t="shared" si="501"/>
        <v>0</v>
      </c>
      <c r="DQ193" s="426">
        <f t="shared" si="501"/>
        <v>0</v>
      </c>
      <c r="DR193" s="426">
        <f t="shared" si="501"/>
        <v>0</v>
      </c>
      <c r="DS193" s="426">
        <f t="shared" si="501"/>
        <v>0</v>
      </c>
      <c r="DT193" s="426">
        <f t="shared" si="501"/>
        <v>0</v>
      </c>
      <c r="DU193" s="426">
        <f t="shared" si="501"/>
        <v>0</v>
      </c>
      <c r="DV193" s="426">
        <f t="shared" si="501"/>
        <v>0</v>
      </c>
      <c r="DW193" s="426">
        <f t="shared" si="501"/>
        <v>0</v>
      </c>
      <c r="DX193" s="426">
        <f t="shared" si="501"/>
        <v>0</v>
      </c>
      <c r="DY193" s="475"/>
      <c r="DZ193" s="426">
        <f t="shared" ref="DZ193:EJ193" si="502">SUM(DZ17:DZ192)</f>
        <v>0</v>
      </c>
      <c r="EA193" s="426">
        <f t="shared" si="502"/>
        <v>0</v>
      </c>
      <c r="EB193" s="426">
        <f t="shared" si="502"/>
        <v>0</v>
      </c>
      <c r="EC193" s="426">
        <f t="shared" si="502"/>
        <v>0</v>
      </c>
      <c r="ED193" s="426">
        <f t="shared" si="502"/>
        <v>0</v>
      </c>
      <c r="EE193" s="426">
        <f t="shared" si="502"/>
        <v>0</v>
      </c>
      <c r="EF193" s="426">
        <f t="shared" si="502"/>
        <v>0</v>
      </c>
      <c r="EG193" s="426">
        <f t="shared" si="502"/>
        <v>0</v>
      </c>
      <c r="EH193" s="426">
        <f t="shared" si="502"/>
        <v>0</v>
      </c>
      <c r="EI193" s="426">
        <f t="shared" si="502"/>
        <v>0</v>
      </c>
      <c r="EJ193" s="426">
        <f t="shared" si="502"/>
        <v>0</v>
      </c>
      <c r="EK193" s="475"/>
      <c r="EL193" s="426">
        <f t="shared" ref="EL193:EV193" si="503">SUM(EL17:EL192)</f>
        <v>0</v>
      </c>
      <c r="EM193" s="426">
        <f t="shared" si="503"/>
        <v>0</v>
      </c>
      <c r="EN193" s="426">
        <f t="shared" si="503"/>
        <v>0</v>
      </c>
      <c r="EO193" s="426">
        <f t="shared" si="503"/>
        <v>0</v>
      </c>
      <c r="EP193" s="426">
        <f t="shared" si="503"/>
        <v>0</v>
      </c>
      <c r="EQ193" s="426">
        <f t="shared" si="503"/>
        <v>0</v>
      </c>
      <c r="ER193" s="426">
        <f t="shared" si="503"/>
        <v>0</v>
      </c>
      <c r="ES193" s="426">
        <f t="shared" si="503"/>
        <v>0</v>
      </c>
      <c r="ET193" s="426">
        <f t="shared" si="503"/>
        <v>0</v>
      </c>
      <c r="EU193" s="426">
        <f t="shared" si="503"/>
        <v>0</v>
      </c>
      <c r="EV193" s="426">
        <f t="shared" si="503"/>
        <v>0</v>
      </c>
      <c r="EW193" s="475"/>
      <c r="EX193" s="426">
        <f t="shared" ref="EX193:FH193" si="504">SUM(EX17:EX192)</f>
        <v>0</v>
      </c>
      <c r="EY193" s="426">
        <f t="shared" si="504"/>
        <v>0</v>
      </c>
      <c r="EZ193" s="426">
        <f t="shared" si="504"/>
        <v>0</v>
      </c>
      <c r="FA193" s="426">
        <f t="shared" si="504"/>
        <v>0</v>
      </c>
      <c r="FB193" s="426">
        <f t="shared" si="504"/>
        <v>0</v>
      </c>
      <c r="FC193" s="426">
        <f t="shared" si="504"/>
        <v>0</v>
      </c>
      <c r="FD193" s="426">
        <f t="shared" si="504"/>
        <v>0</v>
      </c>
      <c r="FE193" s="426">
        <f t="shared" si="504"/>
        <v>0</v>
      </c>
      <c r="FF193" s="426">
        <f t="shared" si="504"/>
        <v>0</v>
      </c>
      <c r="FG193" s="426">
        <f t="shared" si="504"/>
        <v>0</v>
      </c>
      <c r="FH193" s="426">
        <f t="shared" si="504"/>
        <v>0</v>
      </c>
      <c r="FI193" s="475"/>
      <c r="FJ193" s="426">
        <f t="shared" ref="FJ193:FT193" si="505">SUM(FJ17:FJ192)</f>
        <v>0</v>
      </c>
      <c r="FK193" s="426">
        <f t="shared" si="505"/>
        <v>0</v>
      </c>
      <c r="FL193" s="426">
        <f t="shared" si="505"/>
        <v>0</v>
      </c>
      <c r="FM193" s="426">
        <f t="shared" si="505"/>
        <v>0</v>
      </c>
      <c r="FN193" s="426">
        <f t="shared" si="505"/>
        <v>0</v>
      </c>
      <c r="FO193" s="426">
        <f t="shared" si="505"/>
        <v>0</v>
      </c>
      <c r="FP193" s="426">
        <f t="shared" si="505"/>
        <v>0</v>
      </c>
      <c r="FQ193" s="426">
        <f t="shared" si="505"/>
        <v>0</v>
      </c>
      <c r="FR193" s="426">
        <f t="shared" si="505"/>
        <v>0</v>
      </c>
      <c r="FS193" s="426">
        <f t="shared" si="505"/>
        <v>0</v>
      </c>
      <c r="FT193" s="426">
        <f t="shared" si="505"/>
        <v>0</v>
      </c>
    </row>
  </sheetData>
  <sheetProtection formatCells="0"/>
  <mergeCells count="26">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 ref="E5:E6"/>
    <mergeCell ref="F5:Q7"/>
    <mergeCell ref="C8:E8"/>
    <mergeCell ref="Q10:Q12"/>
    <mergeCell ref="J14:N14"/>
    <mergeCell ref="L10:P10"/>
    <mergeCell ref="M11:O11"/>
    <mergeCell ref="K13:O13"/>
    <mergeCell ref="L12:O12"/>
    <mergeCell ref="G12:I12"/>
  </mergeCells>
  <dataValidations count="5">
    <dataValidation type="decimal" allowBlank="1" showInputMessage="1" showErrorMessage="1" sqref="E16">
      <formula1>0</formula1>
      <formula2>1</formula2>
    </dataValidation>
    <dataValidation type="decimal" operator="greaterThan" allowBlank="1" showInputMessage="1" showErrorMessage="1" errorTitle="Data restriction" error="Must be a numerical value greater than zero." sqref="P11:P12 F17:P192">
      <formula1>0</formula1>
    </dataValidation>
    <dataValidation operator="greaterThan" allowBlank="1" showInputMessage="1" showErrorMessage="1" sqref="L12 K13"/>
    <dataValidation type="decimal" operator="greaterThanOrEqual" allowBlank="1" showInputMessage="1" showErrorMessage="1" errorTitle="Data restriction" error="Must be a numerical value (percentage) zero or greater." sqref="E17:E192">
      <formula1>0</formula1>
    </dataValidation>
    <dataValidation type="decimal" operator="greaterThanOrEqual" allowBlank="1" showInputMessage="1" showErrorMessage="1" errorTitle="Data restriction" error="Must be a numerical value (percentage) zero or greater." sqref="Q17:Q192">
      <formula1>0</formula1>
    </dataValidation>
  </dataValidations>
  <hyperlinks>
    <hyperlink ref="L8:P8" r:id="rId1" display="SLU doktorandstege / PhD salary agreement"/>
    <hyperlink ref="F8:I8" r:id="rId2" display="SLU lönestatistik / salary statistics"/>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D17:D192</xm:sqref>
        </x14:dataValidation>
        <x14:dataValidation type="list" allowBlank="1" showErrorMessage="1" errorTitle="Data restriction" error="Must be value from list." promptTitle="Data restriction" prompt="Choose department from drop list.">
          <x14:formula1>
            <xm:f>'3. PARTNER'!$B$13:$B$80</xm:f>
          </x14:formula1>
          <xm:sqref>B17:B192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00"/>
  </sheetPr>
  <dimension ref="A1:EW150"/>
  <sheetViews>
    <sheetView showGridLines="0" zoomScaleNormal="100" workbookViewId="0">
      <pane ySplit="16" topLeftCell="A17" activePane="bottomLeft" state="frozen"/>
      <selection pane="bottomLeft" activeCell="B2" sqref="B2:C2"/>
    </sheetView>
  </sheetViews>
  <sheetFormatPr defaultColWidth="9.109375" defaultRowHeight="11.4" x14ac:dyDescent="0.2"/>
  <cols>
    <col min="1" max="1" width="3.6640625" style="37" customWidth="1"/>
    <col min="2" max="2" width="13.44140625" style="37" customWidth="1" collapsed="1"/>
    <col min="3" max="3" width="28.33203125" style="37" customWidth="1"/>
    <col min="4" max="4" width="8.33203125" style="37" customWidth="1" collapsed="1"/>
    <col min="5" max="5" width="7.6640625" style="37" customWidth="1" collapsed="1"/>
    <col min="6" max="6" width="11.88671875" style="37" customWidth="1"/>
    <col min="7" max="7" width="11.33203125" style="37" customWidth="1"/>
    <col min="8" max="14" width="11.33203125" style="37" customWidth="1" collapsed="1"/>
    <col min="15" max="17" width="11.33203125" style="37" customWidth="1"/>
    <col min="18" max="18" width="14.6640625" style="37" customWidth="1"/>
    <col min="19" max="19" width="10.6640625" style="37" hidden="1" customWidth="1" collapsed="1"/>
    <col min="20" max="20" width="11.109375" style="37" hidden="1" customWidth="1" collapsed="1"/>
    <col min="21" max="21" width="9.88671875" style="37" hidden="1" customWidth="1"/>
    <col min="22" max="22" width="3.5546875" style="37" hidden="1" customWidth="1"/>
    <col min="23" max="23" width="11" style="37" hidden="1" customWidth="1"/>
    <col min="24" max="24" width="10.88671875" style="37" hidden="1" customWidth="1"/>
    <col min="25" max="25" width="11" style="37" hidden="1" customWidth="1"/>
    <col min="26" max="26" width="11" style="37" hidden="1" customWidth="1" collapsed="1"/>
    <col min="27" max="32" width="11" style="37" hidden="1" customWidth="1"/>
    <col min="33" max="33" width="11.88671875" style="37" hidden="1" customWidth="1"/>
    <col min="34" max="34" width="3.6640625" style="37" hidden="1" customWidth="1"/>
    <col min="35" max="44" width="11" style="37" hidden="1" customWidth="1"/>
    <col min="45" max="45" width="11.88671875" style="37" hidden="1" customWidth="1"/>
    <col min="46" max="46" width="3.5546875" style="37" hidden="1" customWidth="1"/>
    <col min="47" max="49" width="11.33203125" style="37" hidden="1" customWidth="1"/>
    <col min="50" max="51" width="11.44140625" style="37" hidden="1" customWidth="1"/>
    <col min="52" max="53" width="11.33203125" style="37" hidden="1" customWidth="1"/>
    <col min="54" max="54" width="11.109375" style="37" hidden="1" customWidth="1"/>
    <col min="55" max="56" width="11.33203125" style="37" hidden="1" customWidth="1"/>
    <col min="57" max="57" width="12.44140625" style="37" hidden="1" customWidth="1"/>
    <col min="58" max="58" width="3.5546875" style="37" hidden="1" customWidth="1" collapsed="1"/>
    <col min="59" max="69" width="11.33203125" style="37" hidden="1" customWidth="1"/>
    <col min="70" max="70" width="3.5546875" style="37" hidden="1" customWidth="1"/>
    <col min="71" max="81" width="11.33203125" style="37" hidden="1" customWidth="1"/>
    <col min="82" max="82" width="4.33203125" style="37" hidden="1" customWidth="1" collapsed="1"/>
    <col min="83" max="93" width="11.33203125" style="37" hidden="1" customWidth="1" collapsed="1"/>
    <col min="94" max="94" width="3.88671875" style="37" hidden="1" customWidth="1" collapsed="1"/>
    <col min="95" max="105" width="11.33203125" style="37" hidden="1" customWidth="1" collapsed="1"/>
    <col min="106" max="106" width="3.5546875" style="37" hidden="1" customWidth="1" collapsed="1"/>
    <col min="107" max="117" width="11.33203125" style="37" hidden="1" customWidth="1" collapsed="1"/>
    <col min="118" max="118" width="3.6640625" style="37" hidden="1" customWidth="1" collapsed="1"/>
    <col min="119" max="129" width="11.33203125" style="37" hidden="1" customWidth="1" collapsed="1"/>
    <col min="130" max="130" width="3.5546875" style="37" hidden="1" customWidth="1" collapsed="1"/>
    <col min="131" max="141" width="11.33203125" style="37" hidden="1" customWidth="1" collapsed="1"/>
    <col min="142" max="153" width="9.109375" style="37"/>
    <col min="154" max="16384" width="9.109375" style="37" collapsed="1"/>
  </cols>
  <sheetData>
    <row r="1" spans="2:141" s="268" customFormat="1" ht="15" customHeight="1" x14ac:dyDescent="0.25">
      <c r="R1" s="333" t="str">
        <f>'1. INTRO'!J1</f>
        <v>projectcalculator@slu.se</v>
      </c>
    </row>
    <row r="2" spans="2:141" s="354" customFormat="1" ht="15" customHeight="1" x14ac:dyDescent="0.25">
      <c r="B2" s="1113" t="str">
        <f>'1. INTRO'!B2</f>
        <v>SLU project calculator</v>
      </c>
      <c r="C2" s="1001"/>
      <c r="D2" s="1114" t="str">
        <f>IF('1. INTRO'!I2="English"," 6. OPERATING COSTS"," 6. DRIFTSKOSTNADER")</f>
        <v xml:space="preserve"> 6. OPERATING COSTS</v>
      </c>
      <c r="E2" s="1001"/>
      <c r="F2" s="1001"/>
      <c r="G2" s="341"/>
      <c r="H2" s="1051" t="s">
        <v>308</v>
      </c>
      <c r="I2" s="1051"/>
      <c r="J2" s="1051"/>
      <c r="K2" s="1051"/>
      <c r="M2" s="1093" t="str">
        <f>IF('1. INTRO'!I2="English","Note comments, in Eng &amp; Swe, behind red triangles.","Notera kommentarer, eng &amp; sve, bakom röda trianglar.")</f>
        <v>Note comments, in Eng &amp; Swe, behind red triangles.</v>
      </c>
      <c r="N2" s="1094"/>
      <c r="O2" s="1094"/>
      <c r="P2" s="1094"/>
      <c r="Q2" s="341"/>
      <c r="R2" s="476">
        <f>'1. INTRO'!J2</f>
        <v>45677</v>
      </c>
    </row>
    <row r="3" spans="2:141" s="354" customFormat="1" ht="15" customHeight="1" x14ac:dyDescent="0.25">
      <c r="B3" s="477"/>
      <c r="C3" s="478"/>
      <c r="D3" s="479"/>
      <c r="E3" s="82"/>
      <c r="F3" s="82"/>
      <c r="G3" s="82"/>
      <c r="H3" s="480"/>
      <c r="I3" s="480"/>
      <c r="Q3" s="333"/>
      <c r="R3" s="333"/>
    </row>
    <row r="4" spans="2:141" s="354" customFormat="1" ht="15" customHeight="1" x14ac:dyDescent="0.25">
      <c r="B4" s="313" t="str">
        <f>'3. PARTNER'!C4</f>
        <v xml:space="preserve">Project: </v>
      </c>
      <c r="C4" s="1062" t="str">
        <f>'3. PARTNER'!D4</f>
        <v/>
      </c>
      <c r="D4" s="1001"/>
      <c r="E4" s="1001"/>
      <c r="F4" s="1001"/>
      <c r="G4" s="1001"/>
      <c r="H4" s="341"/>
      <c r="I4" s="341"/>
      <c r="J4" s="341"/>
      <c r="K4" s="341"/>
      <c r="L4" s="341"/>
      <c r="M4" s="341"/>
      <c r="N4" s="341"/>
      <c r="O4" s="341"/>
      <c r="P4" s="341"/>
      <c r="Q4" s="341"/>
      <c r="R4" s="341"/>
      <c r="S4" s="268" t="s">
        <v>366</v>
      </c>
      <c r="T4" s="268" t="s">
        <v>365</v>
      </c>
    </row>
    <row r="5" spans="2:141" s="354" customFormat="1" ht="15" customHeight="1" x14ac:dyDescent="0.25">
      <c r="B5" s="313" t="str">
        <f>'3. PARTNER'!C5</f>
        <v xml:space="preserve">Calculation for: </v>
      </c>
      <c r="C5" s="344" t="str">
        <f>IF('2. START'!$C$4="APPLICATION","APPLICATION",(IF('2. START'!$C$4="CONTRACT","CONTRACT","")))</f>
        <v>APPLICATION</v>
      </c>
      <c r="D5" s="268"/>
      <c r="E5" s="357"/>
      <c r="F5" s="204"/>
      <c r="G5" s="247"/>
      <c r="H5" s="247"/>
      <c r="I5" s="247"/>
      <c r="J5" s="247"/>
      <c r="K5" s="247"/>
      <c r="L5" s="247"/>
      <c r="M5" s="247"/>
      <c r="N5" s="247"/>
      <c r="O5" s="247"/>
      <c r="P5" s="247"/>
      <c r="Q5" s="247"/>
      <c r="R5" s="247"/>
    </row>
    <row r="6" spans="2:141" s="354" customFormat="1" ht="15" customHeight="1" x14ac:dyDescent="0.25">
      <c r="B6" s="35" t="str">
        <f>'3. PARTNER'!C6</f>
        <v xml:space="preserve">Project leader: </v>
      </c>
      <c r="C6" s="1062" t="str">
        <f>'3. PARTNER'!D6</f>
        <v/>
      </c>
      <c r="D6" s="1118"/>
      <c r="E6" s="357" t="s">
        <v>300</v>
      </c>
      <c r="F6" s="997" t="str">
        <f>IF('1. INTRO'!I2="English",S4,T4)</f>
        <v>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v>
      </c>
      <c r="G6" s="997"/>
      <c r="H6" s="997"/>
      <c r="I6" s="997"/>
      <c r="J6" s="997"/>
      <c r="K6" s="997"/>
      <c r="L6" s="997"/>
      <c r="M6" s="997"/>
      <c r="N6" s="997"/>
      <c r="O6" s="997"/>
      <c r="P6" s="997"/>
      <c r="Q6" s="997"/>
      <c r="R6" s="997"/>
      <c r="W6" s="268" t="s">
        <v>118</v>
      </c>
    </row>
    <row r="7" spans="2:141" s="354" customFormat="1" ht="15" customHeight="1" x14ac:dyDescent="0.25">
      <c r="B7" s="313" t="str">
        <f>'5. PERSON'!B7</f>
        <v xml:space="preserve">Amounts in: </v>
      </c>
      <c r="C7" s="342" t="str">
        <f>'5. PERSON'!C7</f>
        <v>SEK</v>
      </c>
      <c r="D7" s="167"/>
      <c r="E7" s="270"/>
      <c r="F7" s="997"/>
      <c r="G7" s="997"/>
      <c r="H7" s="997"/>
      <c r="I7" s="997"/>
      <c r="J7" s="997"/>
      <c r="K7" s="997"/>
      <c r="L7" s="997"/>
      <c r="M7" s="997"/>
      <c r="N7" s="997"/>
      <c r="O7" s="997"/>
      <c r="P7" s="997"/>
      <c r="Q7" s="997"/>
      <c r="R7" s="997"/>
      <c r="W7" s="268" t="s">
        <v>119</v>
      </c>
    </row>
    <row r="8" spans="2:141" s="354" customFormat="1" ht="15" customHeight="1" x14ac:dyDescent="0.25">
      <c r="B8" s="481"/>
      <c r="C8" s="1053" t="str">
        <f>'3. PARTNER'!D7</f>
        <v>Other basic data about the project is in sheet 2.</v>
      </c>
      <c r="D8" s="1001"/>
      <c r="E8" s="1001"/>
      <c r="F8" s="997"/>
      <c r="G8" s="997"/>
      <c r="H8" s="997"/>
      <c r="I8" s="997"/>
      <c r="J8" s="997"/>
      <c r="K8" s="997"/>
      <c r="L8" s="997"/>
      <c r="M8" s="997"/>
      <c r="N8" s="997"/>
      <c r="O8" s="997"/>
      <c r="P8" s="997"/>
      <c r="Q8" s="997"/>
      <c r="R8" s="997"/>
      <c r="U8" s="268" t="s">
        <v>36</v>
      </c>
      <c r="W8" s="268" t="s">
        <v>120</v>
      </c>
      <c r="AT8" s="482"/>
    </row>
    <row r="9" spans="2:141" s="354" customFormat="1" ht="15" customHeight="1" x14ac:dyDescent="0.25">
      <c r="B9" s="481"/>
      <c r="C9" s="356"/>
      <c r="E9" s="341"/>
      <c r="F9" s="341"/>
      <c r="G9" s="341"/>
      <c r="H9" s="341"/>
      <c r="I9" s="341"/>
      <c r="J9" s="341"/>
      <c r="K9" s="341"/>
      <c r="L9" s="341"/>
      <c r="M9" s="341"/>
      <c r="N9" s="341"/>
      <c r="O9" s="341"/>
      <c r="P9" s="341"/>
      <c r="Q9" s="341"/>
      <c r="R9" s="341"/>
      <c r="U9" s="268" t="s">
        <v>37</v>
      </c>
      <c r="W9" s="268" t="s">
        <v>121</v>
      </c>
      <c r="AT9" s="482"/>
    </row>
    <row r="10" spans="2:141" s="354" customFormat="1" ht="15" customHeight="1" x14ac:dyDescent="0.25">
      <c r="B10" s="1095" t="str">
        <f>'5. PERSON'!B10</f>
        <v>Partner</v>
      </c>
      <c r="C10" s="1098" t="str">
        <f>IF('1. INTRO'!I2="English","Cost item","Kostnadspost")</f>
        <v>Cost item</v>
      </c>
      <c r="D10" s="1101" t="s">
        <v>13</v>
      </c>
      <c r="E10" s="1072" t="str">
        <f>IF('1. INTRO'!I2="English","Co-fun-ding share (%)","Medfi-nansie-rings-andel (%)")</f>
        <v>Co-fun-ding share (%)</v>
      </c>
      <c r="F10" s="1116" t="str">
        <f>IF('1. INTRO'!I2="English","Included in base for OH-funding","Ingår i bas för OH-finansie-ring")</f>
        <v>Included in base for OH-funding</v>
      </c>
      <c r="G10" s="1072" t="str">
        <f>IF('1. INTRO'!I2="English","EUFP cost categories","EUFP kostnads-kategorier")</f>
        <v>EUFP cost categories</v>
      </c>
      <c r="H10" s="483" t="str">
        <f>IF('1. INTRO'!I2="English","Sums","Summor")</f>
        <v>Sums</v>
      </c>
      <c r="I10" s="484" t="str">
        <f>'5. PERSON'!AI10</f>
        <v>SEK</v>
      </c>
      <c r="J10" s="370"/>
      <c r="K10" s="370"/>
      <c r="L10" s="370"/>
      <c r="M10" s="370"/>
      <c r="N10" s="370"/>
      <c r="O10" s="370"/>
      <c r="P10" s="370"/>
      <c r="Q10" s="485"/>
      <c r="R10" s="486"/>
      <c r="S10" s="364" t="s">
        <v>43</v>
      </c>
      <c r="T10" s="364" t="s">
        <v>44</v>
      </c>
      <c r="U10" s="364" t="s">
        <v>87</v>
      </c>
      <c r="V10" s="365"/>
      <c r="W10" s="483" t="s">
        <v>76</v>
      </c>
      <c r="X10" s="360" t="str">
        <f>'2. START'!C15</f>
        <v>SEK</v>
      </c>
      <c r="Y10" s="370"/>
      <c r="Z10" s="370"/>
      <c r="AA10" s="370"/>
      <c r="AB10" s="370"/>
      <c r="AC10" s="370"/>
      <c r="AD10" s="370"/>
      <c r="AE10" s="370"/>
      <c r="AF10" s="370"/>
      <c r="AG10" s="487"/>
      <c r="AI10" s="483" t="str">
        <f>W10</f>
        <v>Sums</v>
      </c>
      <c r="AJ10" s="360" t="str">
        <f>'2. START'!C15</f>
        <v>SEK</v>
      </c>
      <c r="AK10" s="370"/>
      <c r="AL10" s="370"/>
      <c r="AM10" s="370"/>
      <c r="AN10" s="370"/>
      <c r="AO10" s="370"/>
      <c r="AP10" s="370"/>
      <c r="AQ10" s="370"/>
      <c r="AR10" s="370"/>
      <c r="AS10" s="487"/>
      <c r="AT10" s="482"/>
      <c r="AU10" s="483" t="str">
        <f>W10</f>
        <v>Sums</v>
      </c>
      <c r="AV10" s="360" t="str">
        <f>'2. START'!C15</f>
        <v>SEK</v>
      </c>
      <c r="AW10" s="370"/>
      <c r="AX10" s="370"/>
      <c r="AY10" s="370"/>
      <c r="AZ10" s="370"/>
      <c r="BA10" s="370"/>
      <c r="BB10" s="370"/>
      <c r="BC10" s="370"/>
      <c r="BD10" s="370"/>
      <c r="BE10" s="487"/>
      <c r="BG10" s="483" t="str">
        <f>W10</f>
        <v>Sums</v>
      </c>
      <c r="BH10" s="360" t="str">
        <f>'2. START'!C15</f>
        <v>SEK</v>
      </c>
      <c r="BI10" s="370"/>
      <c r="BJ10" s="370"/>
      <c r="BK10" s="370"/>
      <c r="BL10" s="370"/>
      <c r="BM10" s="370"/>
      <c r="BN10" s="370"/>
      <c r="BO10" s="370"/>
      <c r="BP10" s="370"/>
      <c r="BQ10" s="487"/>
      <c r="BS10" s="483" t="str">
        <f>W10</f>
        <v>Sums</v>
      </c>
      <c r="BT10" s="360" t="str">
        <f>'2. START'!C15</f>
        <v>SEK</v>
      </c>
      <c r="BU10" s="370"/>
      <c r="BV10" s="370"/>
      <c r="BW10" s="370"/>
      <c r="BX10" s="370"/>
      <c r="BY10" s="370"/>
      <c r="BZ10" s="370"/>
      <c r="CA10" s="370"/>
      <c r="CB10" s="370"/>
      <c r="CC10" s="487"/>
      <c r="CE10" s="483" t="str">
        <f>W10</f>
        <v>Sums</v>
      </c>
      <c r="CF10" s="360" t="str">
        <f>'2. START'!C15</f>
        <v>SEK</v>
      </c>
      <c r="CG10" s="370"/>
      <c r="CH10" s="370"/>
      <c r="CI10" s="370"/>
      <c r="CJ10" s="370"/>
      <c r="CK10" s="370"/>
      <c r="CL10" s="370"/>
      <c r="CM10" s="370"/>
      <c r="CN10" s="370"/>
      <c r="CO10" s="487"/>
      <c r="CQ10" s="483" t="str">
        <f>W10</f>
        <v>Sums</v>
      </c>
      <c r="CR10" s="360" t="str">
        <f>'2. START'!C15</f>
        <v>SEK</v>
      </c>
      <c r="CS10" s="370"/>
      <c r="CT10" s="370"/>
      <c r="CU10" s="370"/>
      <c r="CV10" s="370"/>
      <c r="CW10" s="370"/>
      <c r="CX10" s="370"/>
      <c r="CY10" s="370"/>
      <c r="CZ10" s="370"/>
      <c r="DA10" s="487"/>
      <c r="DC10" s="483" t="str">
        <f>W10</f>
        <v>Sums</v>
      </c>
      <c r="DD10" s="360" t="str">
        <f>'2. START'!C15</f>
        <v>SEK</v>
      </c>
      <c r="DE10" s="370"/>
      <c r="DF10" s="370"/>
      <c r="DG10" s="370"/>
      <c r="DH10" s="370"/>
      <c r="DI10" s="370"/>
      <c r="DJ10" s="370"/>
      <c r="DK10" s="370"/>
      <c r="DL10" s="370"/>
      <c r="DM10" s="487"/>
      <c r="DO10" s="483" t="str">
        <f>W10</f>
        <v>Sums</v>
      </c>
      <c r="DP10" s="360" t="str">
        <f>'2. START'!C15</f>
        <v>SEK</v>
      </c>
      <c r="DQ10" s="370"/>
      <c r="DR10" s="370"/>
      <c r="DS10" s="370"/>
      <c r="DT10" s="370"/>
      <c r="DU10" s="370"/>
      <c r="DV10" s="370"/>
      <c r="DW10" s="370"/>
      <c r="DX10" s="370"/>
      <c r="DY10" s="487"/>
      <c r="EA10" s="483" t="str">
        <f>W10</f>
        <v>Sums</v>
      </c>
      <c r="EB10" s="360" t="str">
        <f>'2. START'!C15</f>
        <v>SEK</v>
      </c>
      <c r="EC10" s="370"/>
      <c r="ED10" s="370"/>
      <c r="EE10" s="370"/>
      <c r="EF10" s="370"/>
      <c r="EG10" s="370"/>
      <c r="EH10" s="370"/>
      <c r="EI10" s="370"/>
      <c r="EJ10" s="370"/>
      <c r="EK10" s="487"/>
    </row>
    <row r="11" spans="2:141" s="354" customFormat="1" ht="15" customHeight="1" x14ac:dyDescent="0.25">
      <c r="B11" s="1096"/>
      <c r="C11" s="1099"/>
      <c r="D11" s="1102"/>
      <c r="E11" s="1073"/>
      <c r="F11" s="1117"/>
      <c r="G11" s="1115"/>
      <c r="H11" s="488"/>
      <c r="I11" s="365"/>
      <c r="J11" s="489"/>
      <c r="K11" s="489"/>
      <c r="L11" s="489"/>
      <c r="M11" s="489"/>
      <c r="N11" s="489"/>
      <c r="O11" s="489"/>
      <c r="P11" s="489"/>
      <c r="Q11" s="490"/>
      <c r="R11" s="491"/>
      <c r="S11" s="374" t="s">
        <v>88</v>
      </c>
      <c r="T11" s="374" t="s">
        <v>88</v>
      </c>
      <c r="U11" s="374"/>
      <c r="V11" s="365"/>
      <c r="W11" s="378"/>
      <c r="X11" s="489"/>
      <c r="Y11" s="489"/>
      <c r="Z11" s="489"/>
      <c r="AA11" s="489"/>
      <c r="AB11" s="489"/>
      <c r="AC11" s="489"/>
      <c r="AD11" s="489"/>
      <c r="AE11" s="489"/>
      <c r="AF11" s="489"/>
      <c r="AG11" s="492"/>
      <c r="AI11" s="378"/>
      <c r="AJ11" s="489"/>
      <c r="AK11" s="489"/>
      <c r="AL11" s="489"/>
      <c r="AM11" s="489"/>
      <c r="AN11" s="489"/>
      <c r="AO11" s="489"/>
      <c r="AP11" s="489"/>
      <c r="AQ11" s="489"/>
      <c r="AR11" s="489"/>
      <c r="AS11" s="492"/>
      <c r="AT11" s="482"/>
      <c r="AU11" s="378"/>
      <c r="AV11" s="489"/>
      <c r="AW11" s="489"/>
      <c r="AX11" s="489"/>
      <c r="AY11" s="489"/>
      <c r="AZ11" s="489"/>
      <c r="BA11" s="489"/>
      <c r="BB11" s="489"/>
      <c r="BC11" s="489"/>
      <c r="BD11" s="489"/>
      <c r="BE11" s="492"/>
      <c r="BG11" s="378"/>
      <c r="BH11" s="489"/>
      <c r="BI11" s="489"/>
      <c r="BJ11" s="489"/>
      <c r="BK11" s="489"/>
      <c r="BL11" s="489"/>
      <c r="BM11" s="489"/>
      <c r="BN11" s="489"/>
      <c r="BO11" s="489"/>
      <c r="BP11" s="489"/>
      <c r="BQ11" s="492"/>
      <c r="BS11" s="378"/>
      <c r="BT11" s="489"/>
      <c r="BU11" s="489"/>
      <c r="BV11" s="489"/>
      <c r="BW11" s="489"/>
      <c r="BX11" s="489"/>
      <c r="BY11" s="489"/>
      <c r="BZ11" s="489"/>
      <c r="CA11" s="489"/>
      <c r="CB11" s="489"/>
      <c r="CC11" s="492"/>
      <c r="CE11" s="378"/>
      <c r="CF11" s="489"/>
      <c r="CG11" s="489"/>
      <c r="CH11" s="489"/>
      <c r="CI11" s="489"/>
      <c r="CJ11" s="489"/>
      <c r="CK11" s="489"/>
      <c r="CL11" s="489"/>
      <c r="CM11" s="489"/>
      <c r="CN11" s="489"/>
      <c r="CO11" s="492"/>
      <c r="CQ11" s="378"/>
      <c r="CR11" s="489"/>
      <c r="CS11" s="489"/>
      <c r="CT11" s="489"/>
      <c r="CU11" s="489"/>
      <c r="CV11" s="489"/>
      <c r="CW11" s="489"/>
      <c r="CX11" s="489"/>
      <c r="CY11" s="489"/>
      <c r="CZ11" s="489"/>
      <c r="DA11" s="492"/>
      <c r="DC11" s="378"/>
      <c r="DD11" s="489"/>
      <c r="DE11" s="489"/>
      <c r="DF11" s="489"/>
      <c r="DG11" s="489"/>
      <c r="DH11" s="489"/>
      <c r="DI11" s="489"/>
      <c r="DJ11" s="489"/>
      <c r="DK11" s="489"/>
      <c r="DL11" s="489"/>
      <c r="DM11" s="492"/>
      <c r="DO11" s="378"/>
      <c r="DP11" s="489"/>
      <c r="DQ11" s="489"/>
      <c r="DR11" s="489"/>
      <c r="DS11" s="489"/>
      <c r="DT11" s="489"/>
      <c r="DU11" s="489"/>
      <c r="DV11" s="489"/>
      <c r="DW11" s="489"/>
      <c r="DX11" s="489"/>
      <c r="DY11" s="492"/>
      <c r="EA11" s="378"/>
      <c r="EB11" s="489"/>
      <c r="EC11" s="489"/>
      <c r="ED11" s="489"/>
      <c r="EE11" s="489"/>
      <c r="EF11" s="489"/>
      <c r="EG11" s="489"/>
      <c r="EH11" s="489"/>
      <c r="EI11" s="489"/>
      <c r="EJ11" s="489"/>
      <c r="EK11" s="492"/>
    </row>
    <row r="12" spans="2:141" s="354" customFormat="1" ht="15" customHeight="1" x14ac:dyDescent="0.25">
      <c r="B12" s="1096"/>
      <c r="C12" s="1099"/>
      <c r="D12" s="1102"/>
      <c r="E12" s="1073"/>
      <c r="F12" s="1117"/>
      <c r="G12" s="1073"/>
      <c r="H12" s="1085" t="str">
        <f>IF('1. INTRO'!I2="English","Operating costs total (grant &amp; co-funding)","Driftskostnader totalt (bidrag och medfinansiering)")</f>
        <v>Operating costs total (grant &amp; co-funding)</v>
      </c>
      <c r="I12" s="1001"/>
      <c r="J12" s="1001"/>
      <c r="K12" s="1001"/>
      <c r="L12" s="489"/>
      <c r="M12" s="489"/>
      <c r="N12" s="489"/>
      <c r="O12" s="489"/>
      <c r="P12" s="489"/>
      <c r="Q12" s="490"/>
      <c r="R12" s="491"/>
      <c r="S12" s="493"/>
      <c r="T12" s="493"/>
      <c r="U12" s="374"/>
      <c r="V12" s="365"/>
      <c r="W12" s="378" t="s">
        <v>89</v>
      </c>
      <c r="X12" s="489"/>
      <c r="Y12" s="489"/>
      <c r="Z12" s="489"/>
      <c r="AA12" s="489"/>
      <c r="AB12" s="489"/>
      <c r="AC12" s="489"/>
      <c r="AD12" s="489"/>
      <c r="AE12" s="489"/>
      <c r="AF12" s="489"/>
      <c r="AG12" s="492"/>
      <c r="AI12" s="378" t="s">
        <v>90</v>
      </c>
      <c r="AJ12" s="489"/>
      <c r="AK12" s="489"/>
      <c r="AL12" s="489"/>
      <c r="AM12" s="489"/>
      <c r="AN12" s="489"/>
      <c r="AO12" s="489"/>
      <c r="AP12" s="489"/>
      <c r="AQ12" s="489"/>
      <c r="AR12" s="489"/>
      <c r="AS12" s="492"/>
      <c r="AT12" s="482"/>
      <c r="AU12" s="378" t="s">
        <v>91</v>
      </c>
      <c r="AV12" s="489"/>
      <c r="AW12" s="489"/>
      <c r="AX12" s="489"/>
      <c r="AY12" s="489"/>
      <c r="AZ12" s="489"/>
      <c r="BA12" s="489"/>
      <c r="BB12" s="489"/>
      <c r="BC12" s="489"/>
      <c r="BD12" s="489"/>
      <c r="BE12" s="492"/>
      <c r="BG12" s="378" t="s">
        <v>92</v>
      </c>
      <c r="BH12" s="489"/>
      <c r="BI12" s="489"/>
      <c r="BJ12" s="489"/>
      <c r="BK12" s="489"/>
      <c r="BL12" s="489"/>
      <c r="BM12" s="489"/>
      <c r="BN12" s="489"/>
      <c r="BO12" s="489"/>
      <c r="BP12" s="489"/>
      <c r="BQ12" s="492"/>
      <c r="BS12" s="378" t="s">
        <v>93</v>
      </c>
      <c r="BT12" s="489"/>
      <c r="BU12" s="489"/>
      <c r="BV12" s="489"/>
      <c r="BW12" s="489"/>
      <c r="BX12" s="489"/>
      <c r="BY12" s="489"/>
      <c r="BZ12" s="489"/>
      <c r="CA12" s="489"/>
      <c r="CB12" s="489"/>
      <c r="CC12" s="492"/>
      <c r="CE12" s="378" t="s">
        <v>94</v>
      </c>
      <c r="CF12" s="489"/>
      <c r="CG12" s="489"/>
      <c r="CH12" s="489"/>
      <c r="CI12" s="489"/>
      <c r="CJ12" s="489"/>
      <c r="CK12" s="489"/>
      <c r="CL12" s="489"/>
      <c r="CM12" s="489"/>
      <c r="CN12" s="489"/>
      <c r="CO12" s="492"/>
      <c r="CQ12" s="378" t="s">
        <v>95</v>
      </c>
      <c r="CR12" s="489"/>
      <c r="CS12" s="489"/>
      <c r="CT12" s="489"/>
      <c r="CU12" s="489"/>
      <c r="CV12" s="489"/>
      <c r="CW12" s="489"/>
      <c r="CX12" s="489"/>
      <c r="CY12" s="489"/>
      <c r="CZ12" s="489"/>
      <c r="DA12" s="492"/>
      <c r="DC12" s="378" t="s">
        <v>96</v>
      </c>
      <c r="DD12" s="489"/>
      <c r="DE12" s="489"/>
      <c r="DF12" s="489"/>
      <c r="DG12" s="489"/>
      <c r="DH12" s="489"/>
      <c r="DI12" s="489"/>
      <c r="DJ12" s="489"/>
      <c r="DK12" s="489"/>
      <c r="DL12" s="489"/>
      <c r="DM12" s="492"/>
      <c r="DO12" s="384" t="s">
        <v>97</v>
      </c>
      <c r="DP12" s="489"/>
      <c r="DQ12" s="489"/>
      <c r="DR12" s="489"/>
      <c r="DS12" s="489"/>
      <c r="DT12" s="489"/>
      <c r="DU12" s="489"/>
      <c r="DV12" s="489"/>
      <c r="DW12" s="489"/>
      <c r="DX12" s="489"/>
      <c r="DY12" s="492"/>
      <c r="EA12" s="384" t="s">
        <v>98</v>
      </c>
      <c r="EB12" s="489"/>
      <c r="EC12" s="489"/>
      <c r="ED12" s="489"/>
      <c r="EE12" s="489"/>
      <c r="EF12" s="489"/>
      <c r="EG12" s="489"/>
      <c r="EH12" s="489"/>
      <c r="EI12" s="489"/>
      <c r="EJ12" s="489"/>
      <c r="EK12" s="492"/>
    </row>
    <row r="13" spans="2:141" s="354" customFormat="1" ht="15" customHeight="1" x14ac:dyDescent="0.25">
      <c r="B13" s="1096"/>
      <c r="C13" s="1099"/>
      <c r="D13" s="1102"/>
      <c r="E13" s="1073"/>
      <c r="F13" s="1117"/>
      <c r="G13" s="543"/>
      <c r="H13" s="488"/>
      <c r="I13" s="365"/>
      <c r="J13" s="489"/>
      <c r="K13" s="489"/>
      <c r="L13" s="489"/>
      <c r="M13" s="489"/>
      <c r="N13" s="489"/>
      <c r="O13" s="489"/>
      <c r="P13" s="489"/>
      <c r="Q13" s="489"/>
      <c r="R13" s="492"/>
      <c r="S13" s="493"/>
      <c r="T13" s="493"/>
      <c r="U13" s="374"/>
      <c r="V13" s="365"/>
      <c r="W13" s="378"/>
      <c r="X13" s="489"/>
      <c r="Y13" s="489"/>
      <c r="Z13" s="489"/>
      <c r="AA13" s="489"/>
      <c r="AB13" s="489"/>
      <c r="AC13" s="489"/>
      <c r="AD13" s="489"/>
      <c r="AE13" s="489"/>
      <c r="AF13" s="489"/>
      <c r="AG13" s="492"/>
      <c r="AI13" s="378"/>
      <c r="AJ13" s="489"/>
      <c r="AK13" s="489"/>
      <c r="AL13" s="489"/>
      <c r="AM13" s="489"/>
      <c r="AN13" s="489"/>
      <c r="AO13" s="489"/>
      <c r="AP13" s="489"/>
      <c r="AQ13" s="489"/>
      <c r="AR13" s="489"/>
      <c r="AS13" s="492"/>
      <c r="AU13" s="378"/>
      <c r="AV13" s="489"/>
      <c r="AW13" s="489"/>
      <c r="AX13" s="489"/>
      <c r="AY13" s="489"/>
      <c r="AZ13" s="489"/>
      <c r="BA13" s="489"/>
      <c r="BB13" s="489"/>
      <c r="BC13" s="489"/>
      <c r="BD13" s="489"/>
      <c r="BE13" s="492"/>
      <c r="BG13" s="378"/>
      <c r="BH13" s="489"/>
      <c r="BI13" s="489"/>
      <c r="BJ13" s="489"/>
      <c r="BK13" s="489"/>
      <c r="BL13" s="489"/>
      <c r="BM13" s="489"/>
      <c r="BN13" s="489"/>
      <c r="BO13" s="489"/>
      <c r="BP13" s="489"/>
      <c r="BQ13" s="492"/>
      <c r="BS13" s="378"/>
      <c r="BT13" s="489"/>
      <c r="BU13" s="489"/>
      <c r="BV13" s="489"/>
      <c r="BW13" s="489"/>
      <c r="BX13" s="489"/>
      <c r="BY13" s="489"/>
      <c r="BZ13" s="489"/>
      <c r="CA13" s="489"/>
      <c r="CB13" s="489"/>
      <c r="CC13" s="492"/>
      <c r="CE13" s="378"/>
      <c r="CF13" s="489"/>
      <c r="CG13" s="489"/>
      <c r="CH13" s="489"/>
      <c r="CI13" s="489"/>
      <c r="CJ13" s="489"/>
      <c r="CK13" s="489"/>
      <c r="CL13" s="489"/>
      <c r="CM13" s="489"/>
      <c r="CN13" s="489"/>
      <c r="CO13" s="492"/>
      <c r="CQ13" s="378"/>
      <c r="CR13" s="489"/>
      <c r="CS13" s="489"/>
      <c r="CT13" s="489"/>
      <c r="CU13" s="489"/>
      <c r="CV13" s="489"/>
      <c r="CW13" s="489"/>
      <c r="CX13" s="489"/>
      <c r="CY13" s="489"/>
      <c r="CZ13" s="489"/>
      <c r="DA13" s="492"/>
      <c r="DC13" s="378"/>
      <c r="DD13" s="489"/>
      <c r="DE13" s="489"/>
      <c r="DF13" s="489"/>
      <c r="DG13" s="489"/>
      <c r="DH13" s="489"/>
      <c r="DI13" s="489"/>
      <c r="DJ13" s="489"/>
      <c r="DK13" s="489"/>
      <c r="DL13" s="489"/>
      <c r="DM13" s="492"/>
      <c r="DO13" s="378"/>
      <c r="DP13" s="489"/>
      <c r="DQ13" s="489"/>
      <c r="DR13" s="489"/>
      <c r="DS13" s="489"/>
      <c r="DT13" s="489"/>
      <c r="DU13" s="489"/>
      <c r="DV13" s="489"/>
      <c r="DW13" s="489"/>
      <c r="DX13" s="489"/>
      <c r="DY13" s="492"/>
      <c r="EA13" s="378"/>
      <c r="EB13" s="489"/>
      <c r="EC13" s="489"/>
      <c r="ED13" s="489"/>
      <c r="EE13" s="489"/>
      <c r="EF13" s="489"/>
      <c r="EG13" s="489"/>
      <c r="EH13" s="489"/>
      <c r="EI13" s="489"/>
      <c r="EJ13" s="489"/>
      <c r="EK13" s="492"/>
    </row>
    <row r="14" spans="2:141" s="268" customFormat="1" ht="15" customHeight="1" x14ac:dyDescent="0.25">
      <c r="B14" s="1096"/>
      <c r="C14" s="1099"/>
      <c r="D14" s="1102"/>
      <c r="E14" s="1073"/>
      <c r="F14" s="1117"/>
      <c r="G14" s="351"/>
      <c r="H14" s="494"/>
      <c r="I14" s="396"/>
      <c r="J14" s="396"/>
      <c r="K14" s="396"/>
      <c r="L14" s="396"/>
      <c r="M14" s="396"/>
      <c r="N14" s="396"/>
      <c r="O14" s="396"/>
      <c r="P14" s="396"/>
      <c r="Q14" s="396"/>
      <c r="R14" s="397"/>
      <c r="S14" s="374"/>
      <c r="T14" s="374"/>
      <c r="U14" s="374"/>
      <c r="V14" s="365"/>
      <c r="W14" s="495"/>
      <c r="X14" s="496"/>
      <c r="Y14" s="496"/>
      <c r="Z14" s="496"/>
      <c r="AA14" s="496"/>
      <c r="AB14" s="496"/>
      <c r="AC14" s="496"/>
      <c r="AD14" s="496"/>
      <c r="AE14" s="496"/>
      <c r="AF14" s="496"/>
      <c r="AG14" s="497"/>
      <c r="AH14" s="498"/>
      <c r="AI14" s="495"/>
      <c r="AJ14" s="496"/>
      <c r="AK14" s="496"/>
      <c r="AL14" s="496"/>
      <c r="AM14" s="496"/>
      <c r="AN14" s="496"/>
      <c r="AO14" s="496"/>
      <c r="AP14" s="496"/>
      <c r="AQ14" s="496"/>
      <c r="AR14" s="496"/>
      <c r="AS14" s="397"/>
      <c r="AU14" s="395"/>
      <c r="AV14" s="396"/>
      <c r="AW14" s="396"/>
      <c r="AX14" s="396"/>
      <c r="AY14" s="396"/>
      <c r="AZ14" s="396"/>
      <c r="BA14" s="396"/>
      <c r="BB14" s="396"/>
      <c r="BC14" s="396"/>
      <c r="BD14" s="396"/>
      <c r="BE14" s="397"/>
      <c r="BG14" s="395"/>
      <c r="BH14" s="396"/>
      <c r="BI14" s="396"/>
      <c r="BJ14" s="396"/>
      <c r="BK14" s="396"/>
      <c r="BL14" s="396"/>
      <c r="BM14" s="396"/>
      <c r="BN14" s="396"/>
      <c r="BO14" s="396"/>
      <c r="BP14" s="396"/>
      <c r="BQ14" s="397"/>
      <c r="BS14" s="395"/>
      <c r="BT14" s="396"/>
      <c r="BU14" s="396"/>
      <c r="BV14" s="396"/>
      <c r="BW14" s="396"/>
      <c r="BX14" s="396"/>
      <c r="BY14" s="396"/>
      <c r="BZ14" s="396"/>
      <c r="CA14" s="396"/>
      <c r="CB14" s="396"/>
      <c r="CC14" s="397"/>
      <c r="CE14" s="395"/>
      <c r="CF14" s="396"/>
      <c r="CG14" s="396"/>
      <c r="CH14" s="396"/>
      <c r="CI14" s="396"/>
      <c r="CJ14" s="396"/>
      <c r="CK14" s="396"/>
      <c r="CL14" s="396"/>
      <c r="CM14" s="396"/>
      <c r="CN14" s="396"/>
      <c r="CO14" s="397"/>
      <c r="CQ14" s="395"/>
      <c r="CR14" s="396"/>
      <c r="CS14" s="396"/>
      <c r="CT14" s="396"/>
      <c r="CU14" s="396"/>
      <c r="CV14" s="396"/>
      <c r="CW14" s="396"/>
      <c r="CX14" s="396"/>
      <c r="CY14" s="396"/>
      <c r="CZ14" s="396"/>
      <c r="DA14" s="397"/>
      <c r="DC14" s="395"/>
      <c r="DD14" s="396"/>
      <c r="DE14" s="396"/>
      <c r="DF14" s="396"/>
      <c r="DG14" s="396"/>
      <c r="DH14" s="396"/>
      <c r="DI14" s="396"/>
      <c r="DJ14" s="396"/>
      <c r="DK14" s="396"/>
      <c r="DL14" s="396"/>
      <c r="DM14" s="397"/>
      <c r="DO14" s="395"/>
      <c r="DP14" s="396"/>
      <c r="DQ14" s="396"/>
      <c r="DR14" s="396"/>
      <c r="DS14" s="396"/>
      <c r="DT14" s="396"/>
      <c r="DU14" s="396"/>
      <c r="DV14" s="396"/>
      <c r="DW14" s="396"/>
      <c r="DX14" s="396"/>
      <c r="DY14" s="397"/>
      <c r="EA14" s="395"/>
      <c r="EB14" s="396"/>
      <c r="EC14" s="396"/>
      <c r="ED14" s="396"/>
      <c r="EE14" s="396"/>
      <c r="EF14" s="396"/>
      <c r="EG14" s="396"/>
      <c r="EH14" s="396"/>
      <c r="EI14" s="396"/>
      <c r="EJ14" s="396"/>
      <c r="EK14" s="397"/>
    </row>
    <row r="15" spans="2:141" s="268" customFormat="1" ht="15" customHeight="1" x14ac:dyDescent="0.25">
      <c r="B15" s="1096"/>
      <c r="C15" s="1099"/>
      <c r="D15" s="1102"/>
      <c r="E15" s="1073"/>
      <c r="F15" s="380"/>
      <c r="G15" s="380"/>
      <c r="H15" s="499">
        <f>'5. PERSON'!G15</f>
        <v>1900</v>
      </c>
      <c r="I15" s="500" t="str">
        <f>'5. PERSON'!H15</f>
        <v/>
      </c>
      <c r="J15" s="500" t="str">
        <f>'5. PERSON'!I15</f>
        <v/>
      </c>
      <c r="K15" s="500" t="str">
        <f>'5. PERSON'!J15</f>
        <v/>
      </c>
      <c r="L15" s="500" t="str">
        <f>'5. PERSON'!K15</f>
        <v/>
      </c>
      <c r="M15" s="500" t="str">
        <f>'5. PERSON'!L15</f>
        <v/>
      </c>
      <c r="N15" s="500" t="str">
        <f>'5. PERSON'!M15</f>
        <v/>
      </c>
      <c r="O15" s="500" t="str">
        <f>'5. PERSON'!N15</f>
        <v/>
      </c>
      <c r="P15" s="500" t="str">
        <f>'5. PERSON'!O15</f>
        <v/>
      </c>
      <c r="Q15" s="500" t="str">
        <f>'5. PERSON'!P15</f>
        <v/>
      </c>
      <c r="R15" s="345" t="s">
        <v>2</v>
      </c>
      <c r="S15" s="501" t="s">
        <v>0</v>
      </c>
      <c r="T15" s="501" t="s">
        <v>0</v>
      </c>
      <c r="U15" s="410" t="s">
        <v>0</v>
      </c>
      <c r="V15" s="502"/>
      <c r="W15" s="413">
        <f t="shared" ref="W15:AF15" si="0">H15</f>
        <v>1900</v>
      </c>
      <c r="X15" s="413" t="str">
        <f t="shared" si="0"/>
        <v/>
      </c>
      <c r="Y15" s="413" t="str">
        <f t="shared" si="0"/>
        <v/>
      </c>
      <c r="Z15" s="413" t="str">
        <f t="shared" si="0"/>
        <v/>
      </c>
      <c r="AA15" s="413" t="str">
        <f t="shared" si="0"/>
        <v/>
      </c>
      <c r="AB15" s="413" t="str">
        <f t="shared" si="0"/>
        <v/>
      </c>
      <c r="AC15" s="413" t="str">
        <f t="shared" si="0"/>
        <v/>
      </c>
      <c r="AD15" s="413" t="str">
        <f t="shared" si="0"/>
        <v/>
      </c>
      <c r="AE15" s="413" t="str">
        <f t="shared" si="0"/>
        <v/>
      </c>
      <c r="AF15" s="413" t="str">
        <f t="shared" si="0"/>
        <v/>
      </c>
      <c r="AG15" s="345" t="s">
        <v>2</v>
      </c>
      <c r="AI15" s="413">
        <f t="shared" ref="AI15:AR15" si="1">H15</f>
        <v>1900</v>
      </c>
      <c r="AJ15" s="413" t="str">
        <f t="shared" si="1"/>
        <v/>
      </c>
      <c r="AK15" s="413" t="str">
        <f t="shared" si="1"/>
        <v/>
      </c>
      <c r="AL15" s="413" t="str">
        <f t="shared" si="1"/>
        <v/>
      </c>
      <c r="AM15" s="413" t="str">
        <f t="shared" si="1"/>
        <v/>
      </c>
      <c r="AN15" s="413" t="str">
        <f t="shared" si="1"/>
        <v/>
      </c>
      <c r="AO15" s="413" t="str">
        <f t="shared" si="1"/>
        <v/>
      </c>
      <c r="AP15" s="413" t="str">
        <f t="shared" si="1"/>
        <v/>
      </c>
      <c r="AQ15" s="413" t="str">
        <f t="shared" si="1"/>
        <v/>
      </c>
      <c r="AR15" s="413" t="str">
        <f t="shared" si="1"/>
        <v/>
      </c>
      <c r="AS15" s="503" t="s">
        <v>2</v>
      </c>
      <c r="AU15" s="412">
        <f t="shared" ref="AU15:BD15" si="2">H15</f>
        <v>1900</v>
      </c>
      <c r="AV15" s="412" t="str">
        <f t="shared" si="2"/>
        <v/>
      </c>
      <c r="AW15" s="412" t="str">
        <f t="shared" si="2"/>
        <v/>
      </c>
      <c r="AX15" s="412" t="str">
        <f t="shared" si="2"/>
        <v/>
      </c>
      <c r="AY15" s="412" t="str">
        <f t="shared" si="2"/>
        <v/>
      </c>
      <c r="AZ15" s="412" t="str">
        <f t="shared" si="2"/>
        <v/>
      </c>
      <c r="BA15" s="412" t="str">
        <f t="shared" si="2"/>
        <v/>
      </c>
      <c r="BB15" s="412" t="str">
        <f t="shared" si="2"/>
        <v/>
      </c>
      <c r="BC15" s="412" t="str">
        <f t="shared" si="2"/>
        <v/>
      </c>
      <c r="BD15" s="412" t="str">
        <f t="shared" si="2"/>
        <v/>
      </c>
      <c r="BE15" s="345" t="s">
        <v>2</v>
      </c>
      <c r="BG15" s="412">
        <f t="shared" ref="BG15:BP15" si="3">H15</f>
        <v>1900</v>
      </c>
      <c r="BH15" s="412" t="str">
        <f t="shared" si="3"/>
        <v/>
      </c>
      <c r="BI15" s="412" t="str">
        <f t="shared" si="3"/>
        <v/>
      </c>
      <c r="BJ15" s="412" t="str">
        <f t="shared" si="3"/>
        <v/>
      </c>
      <c r="BK15" s="412" t="str">
        <f t="shared" si="3"/>
        <v/>
      </c>
      <c r="BL15" s="412" t="str">
        <f t="shared" si="3"/>
        <v/>
      </c>
      <c r="BM15" s="412" t="str">
        <f t="shared" si="3"/>
        <v/>
      </c>
      <c r="BN15" s="412" t="str">
        <f t="shared" si="3"/>
        <v/>
      </c>
      <c r="BO15" s="412" t="str">
        <f t="shared" si="3"/>
        <v/>
      </c>
      <c r="BP15" s="412" t="str">
        <f t="shared" si="3"/>
        <v/>
      </c>
      <c r="BQ15" s="345" t="s">
        <v>2</v>
      </c>
      <c r="BS15" s="412">
        <f t="shared" ref="BS15:CB15" si="4">H15</f>
        <v>1900</v>
      </c>
      <c r="BT15" s="412" t="str">
        <f t="shared" si="4"/>
        <v/>
      </c>
      <c r="BU15" s="412" t="str">
        <f t="shared" si="4"/>
        <v/>
      </c>
      <c r="BV15" s="412" t="str">
        <f t="shared" si="4"/>
        <v/>
      </c>
      <c r="BW15" s="412" t="str">
        <f t="shared" si="4"/>
        <v/>
      </c>
      <c r="BX15" s="412" t="str">
        <f t="shared" si="4"/>
        <v/>
      </c>
      <c r="BY15" s="412" t="str">
        <f t="shared" si="4"/>
        <v/>
      </c>
      <c r="BZ15" s="412" t="str">
        <f t="shared" si="4"/>
        <v/>
      </c>
      <c r="CA15" s="412" t="str">
        <f t="shared" si="4"/>
        <v/>
      </c>
      <c r="CB15" s="412" t="str">
        <f t="shared" si="4"/>
        <v/>
      </c>
      <c r="CC15" s="345" t="s">
        <v>2</v>
      </c>
      <c r="CE15" s="412">
        <f t="shared" ref="CE15:CN15" si="5">H15</f>
        <v>1900</v>
      </c>
      <c r="CF15" s="412" t="str">
        <f t="shared" si="5"/>
        <v/>
      </c>
      <c r="CG15" s="412" t="str">
        <f t="shared" si="5"/>
        <v/>
      </c>
      <c r="CH15" s="412" t="str">
        <f t="shared" si="5"/>
        <v/>
      </c>
      <c r="CI15" s="412" t="str">
        <f t="shared" si="5"/>
        <v/>
      </c>
      <c r="CJ15" s="412" t="str">
        <f t="shared" si="5"/>
        <v/>
      </c>
      <c r="CK15" s="412" t="str">
        <f t="shared" si="5"/>
        <v/>
      </c>
      <c r="CL15" s="412" t="str">
        <f t="shared" si="5"/>
        <v/>
      </c>
      <c r="CM15" s="412" t="str">
        <f t="shared" si="5"/>
        <v/>
      </c>
      <c r="CN15" s="412" t="str">
        <f t="shared" si="5"/>
        <v/>
      </c>
      <c r="CO15" s="345" t="s">
        <v>2</v>
      </c>
      <c r="CQ15" s="412">
        <f t="shared" ref="CQ15:CZ15" si="6">H15</f>
        <v>1900</v>
      </c>
      <c r="CR15" s="412" t="str">
        <f t="shared" si="6"/>
        <v/>
      </c>
      <c r="CS15" s="412" t="str">
        <f t="shared" si="6"/>
        <v/>
      </c>
      <c r="CT15" s="412" t="str">
        <f t="shared" si="6"/>
        <v/>
      </c>
      <c r="CU15" s="412" t="str">
        <f t="shared" si="6"/>
        <v/>
      </c>
      <c r="CV15" s="412" t="str">
        <f t="shared" si="6"/>
        <v/>
      </c>
      <c r="CW15" s="412" t="str">
        <f t="shared" si="6"/>
        <v/>
      </c>
      <c r="CX15" s="412" t="str">
        <f t="shared" si="6"/>
        <v/>
      </c>
      <c r="CY15" s="412" t="str">
        <f t="shared" si="6"/>
        <v/>
      </c>
      <c r="CZ15" s="412" t="str">
        <f t="shared" si="6"/>
        <v/>
      </c>
      <c r="DA15" s="345" t="s">
        <v>2</v>
      </c>
      <c r="DC15" s="412">
        <f t="shared" ref="DC15:DL15" si="7">H15</f>
        <v>1900</v>
      </c>
      <c r="DD15" s="412" t="str">
        <f t="shared" si="7"/>
        <v/>
      </c>
      <c r="DE15" s="412" t="str">
        <f t="shared" si="7"/>
        <v/>
      </c>
      <c r="DF15" s="412" t="str">
        <f t="shared" si="7"/>
        <v/>
      </c>
      <c r="DG15" s="412" t="str">
        <f t="shared" si="7"/>
        <v/>
      </c>
      <c r="DH15" s="412" t="str">
        <f t="shared" si="7"/>
        <v/>
      </c>
      <c r="DI15" s="412" t="str">
        <f t="shared" si="7"/>
        <v/>
      </c>
      <c r="DJ15" s="412" t="str">
        <f t="shared" si="7"/>
        <v/>
      </c>
      <c r="DK15" s="412" t="str">
        <f t="shared" si="7"/>
        <v/>
      </c>
      <c r="DL15" s="412" t="str">
        <f t="shared" si="7"/>
        <v/>
      </c>
      <c r="DM15" s="345" t="s">
        <v>2</v>
      </c>
      <c r="DO15" s="412">
        <f t="shared" ref="DO15:DX15" si="8">H15</f>
        <v>1900</v>
      </c>
      <c r="DP15" s="412" t="str">
        <f t="shared" si="8"/>
        <v/>
      </c>
      <c r="DQ15" s="412" t="str">
        <f t="shared" si="8"/>
        <v/>
      </c>
      <c r="DR15" s="412" t="str">
        <f t="shared" si="8"/>
        <v/>
      </c>
      <c r="DS15" s="412" t="str">
        <f t="shared" si="8"/>
        <v/>
      </c>
      <c r="DT15" s="412" t="str">
        <f t="shared" si="8"/>
        <v/>
      </c>
      <c r="DU15" s="412" t="str">
        <f t="shared" si="8"/>
        <v/>
      </c>
      <c r="DV15" s="412" t="str">
        <f t="shared" si="8"/>
        <v/>
      </c>
      <c r="DW15" s="412" t="str">
        <f t="shared" si="8"/>
        <v/>
      </c>
      <c r="DX15" s="412" t="str">
        <f t="shared" si="8"/>
        <v/>
      </c>
      <c r="DY15" s="345" t="s">
        <v>2</v>
      </c>
      <c r="EA15" s="412">
        <f t="shared" ref="EA15:EJ15" si="9">H15</f>
        <v>1900</v>
      </c>
      <c r="EB15" s="412" t="str">
        <f t="shared" si="9"/>
        <v/>
      </c>
      <c r="EC15" s="412" t="str">
        <f t="shared" si="9"/>
        <v/>
      </c>
      <c r="ED15" s="412" t="str">
        <f t="shared" si="9"/>
        <v/>
      </c>
      <c r="EE15" s="412" t="str">
        <f t="shared" si="9"/>
        <v/>
      </c>
      <c r="EF15" s="412" t="str">
        <f t="shared" si="9"/>
        <v/>
      </c>
      <c r="EG15" s="412" t="str">
        <f t="shared" si="9"/>
        <v/>
      </c>
      <c r="EH15" s="412" t="str">
        <f t="shared" si="9"/>
        <v/>
      </c>
      <c r="EI15" s="412" t="str">
        <f t="shared" si="9"/>
        <v/>
      </c>
      <c r="EJ15" s="412" t="str">
        <f t="shared" si="9"/>
        <v/>
      </c>
      <c r="EK15" s="345" t="s">
        <v>2</v>
      </c>
    </row>
    <row r="16" spans="2:141" s="268" customFormat="1" ht="15" customHeight="1" x14ac:dyDescent="0.25">
      <c r="B16" s="415" t="str">
        <f>IF('1. INTRO'!I2="English","SUMS &gt;&gt;","SUMMOR &gt;&gt;")</f>
        <v>SUMS &gt;&gt;</v>
      </c>
      <c r="C16" s="416"/>
      <c r="D16" s="504"/>
      <c r="E16" s="540"/>
      <c r="F16" s="540"/>
      <c r="G16" s="505"/>
      <c r="H16" s="506" t="str">
        <f>IF(H150=0,"",H150)</f>
        <v/>
      </c>
      <c r="I16" s="507" t="str">
        <f t="shared" ref="I16:R16" si="10">IF(I150=0,"",I150)</f>
        <v/>
      </c>
      <c r="J16" s="507" t="str">
        <f t="shared" si="10"/>
        <v/>
      </c>
      <c r="K16" s="507" t="str">
        <f t="shared" si="10"/>
        <v/>
      </c>
      <c r="L16" s="507" t="str">
        <f t="shared" si="10"/>
        <v/>
      </c>
      <c r="M16" s="507" t="str">
        <f t="shared" si="10"/>
        <v/>
      </c>
      <c r="N16" s="507" t="str">
        <f t="shared" si="10"/>
        <v/>
      </c>
      <c r="O16" s="507" t="str">
        <f t="shared" si="10"/>
        <v/>
      </c>
      <c r="P16" s="507" t="str">
        <f t="shared" si="10"/>
        <v/>
      </c>
      <c r="Q16" s="507" t="str">
        <f t="shared" si="10"/>
        <v/>
      </c>
      <c r="R16" s="507" t="str">
        <f t="shared" si="10"/>
        <v/>
      </c>
      <c r="S16" s="508"/>
      <c r="T16" s="508"/>
      <c r="U16" s="509"/>
      <c r="V16" s="425"/>
      <c r="W16" s="510" t="str">
        <f>IF(W150=0,"",W150)</f>
        <v/>
      </c>
      <c r="X16" s="511" t="str">
        <f t="shared" ref="X16:CI16" si="11">IF(X150=0,"",X150)</f>
        <v/>
      </c>
      <c r="Y16" s="511" t="str">
        <f t="shared" si="11"/>
        <v/>
      </c>
      <c r="Z16" s="511" t="str">
        <f t="shared" si="11"/>
        <v/>
      </c>
      <c r="AA16" s="511" t="str">
        <f t="shared" si="11"/>
        <v/>
      </c>
      <c r="AB16" s="511" t="str">
        <f t="shared" si="11"/>
        <v/>
      </c>
      <c r="AC16" s="511" t="str">
        <f t="shared" si="11"/>
        <v/>
      </c>
      <c r="AD16" s="511" t="str">
        <f t="shared" si="11"/>
        <v/>
      </c>
      <c r="AE16" s="511" t="str">
        <f t="shared" si="11"/>
        <v/>
      </c>
      <c r="AF16" s="511" t="str">
        <f t="shared" si="11"/>
        <v/>
      </c>
      <c r="AG16" s="510" t="str">
        <f t="shared" si="11"/>
        <v/>
      </c>
      <c r="AH16" s="512"/>
      <c r="AI16" s="510" t="str">
        <f t="shared" si="11"/>
        <v/>
      </c>
      <c r="AJ16" s="511" t="str">
        <f t="shared" si="11"/>
        <v/>
      </c>
      <c r="AK16" s="511" t="str">
        <f t="shared" si="11"/>
        <v/>
      </c>
      <c r="AL16" s="511" t="str">
        <f t="shared" si="11"/>
        <v/>
      </c>
      <c r="AM16" s="511" t="str">
        <f t="shared" si="11"/>
        <v/>
      </c>
      <c r="AN16" s="511" t="str">
        <f t="shared" si="11"/>
        <v/>
      </c>
      <c r="AO16" s="511" t="str">
        <f t="shared" si="11"/>
        <v/>
      </c>
      <c r="AP16" s="511" t="str">
        <f t="shared" si="11"/>
        <v/>
      </c>
      <c r="AQ16" s="511" t="str">
        <f t="shared" si="11"/>
        <v/>
      </c>
      <c r="AR16" s="511" t="str">
        <f t="shared" si="11"/>
        <v/>
      </c>
      <c r="AS16" s="510" t="str">
        <f t="shared" si="11"/>
        <v/>
      </c>
      <c r="AT16" s="512"/>
      <c r="AU16" s="510" t="str">
        <f t="shared" si="11"/>
        <v/>
      </c>
      <c r="AV16" s="511" t="str">
        <f t="shared" si="11"/>
        <v/>
      </c>
      <c r="AW16" s="511" t="str">
        <f t="shared" si="11"/>
        <v/>
      </c>
      <c r="AX16" s="511" t="str">
        <f t="shared" si="11"/>
        <v/>
      </c>
      <c r="AY16" s="511" t="str">
        <f t="shared" si="11"/>
        <v/>
      </c>
      <c r="AZ16" s="511" t="str">
        <f t="shared" si="11"/>
        <v/>
      </c>
      <c r="BA16" s="511" t="str">
        <f t="shared" si="11"/>
        <v/>
      </c>
      <c r="BB16" s="511" t="str">
        <f t="shared" si="11"/>
        <v/>
      </c>
      <c r="BC16" s="511" t="str">
        <f t="shared" si="11"/>
        <v/>
      </c>
      <c r="BD16" s="511" t="str">
        <f t="shared" si="11"/>
        <v/>
      </c>
      <c r="BE16" s="510" t="str">
        <f t="shared" si="11"/>
        <v/>
      </c>
      <c r="BF16" s="512"/>
      <c r="BG16" s="510" t="str">
        <f t="shared" si="11"/>
        <v/>
      </c>
      <c r="BH16" s="511" t="str">
        <f t="shared" si="11"/>
        <v/>
      </c>
      <c r="BI16" s="511" t="str">
        <f t="shared" si="11"/>
        <v/>
      </c>
      <c r="BJ16" s="511" t="str">
        <f t="shared" si="11"/>
        <v/>
      </c>
      <c r="BK16" s="511" t="str">
        <f t="shared" si="11"/>
        <v/>
      </c>
      <c r="BL16" s="511" t="str">
        <f t="shared" si="11"/>
        <v/>
      </c>
      <c r="BM16" s="511" t="str">
        <f t="shared" si="11"/>
        <v/>
      </c>
      <c r="BN16" s="511" t="str">
        <f t="shared" si="11"/>
        <v/>
      </c>
      <c r="BO16" s="511" t="str">
        <f t="shared" si="11"/>
        <v/>
      </c>
      <c r="BP16" s="511" t="str">
        <f t="shared" si="11"/>
        <v/>
      </c>
      <c r="BQ16" s="510" t="str">
        <f t="shared" si="11"/>
        <v/>
      </c>
      <c r="BR16" s="512"/>
      <c r="BS16" s="510" t="str">
        <f t="shared" si="11"/>
        <v/>
      </c>
      <c r="BT16" s="511" t="str">
        <f t="shared" si="11"/>
        <v/>
      </c>
      <c r="BU16" s="511" t="str">
        <f t="shared" si="11"/>
        <v/>
      </c>
      <c r="BV16" s="511" t="str">
        <f t="shared" si="11"/>
        <v/>
      </c>
      <c r="BW16" s="511" t="str">
        <f t="shared" si="11"/>
        <v/>
      </c>
      <c r="BX16" s="511" t="str">
        <f t="shared" si="11"/>
        <v/>
      </c>
      <c r="BY16" s="511" t="str">
        <f t="shared" si="11"/>
        <v/>
      </c>
      <c r="BZ16" s="511" t="str">
        <f t="shared" si="11"/>
        <v/>
      </c>
      <c r="CA16" s="511" t="str">
        <f t="shared" si="11"/>
        <v/>
      </c>
      <c r="CB16" s="511" t="str">
        <f t="shared" si="11"/>
        <v/>
      </c>
      <c r="CC16" s="510" t="str">
        <f t="shared" si="11"/>
        <v/>
      </c>
      <c r="CD16" s="512"/>
      <c r="CE16" s="510" t="str">
        <f t="shared" si="11"/>
        <v/>
      </c>
      <c r="CF16" s="511" t="str">
        <f t="shared" si="11"/>
        <v/>
      </c>
      <c r="CG16" s="511" t="str">
        <f t="shared" si="11"/>
        <v/>
      </c>
      <c r="CH16" s="511" t="str">
        <f t="shared" si="11"/>
        <v/>
      </c>
      <c r="CI16" s="511" t="str">
        <f t="shared" si="11"/>
        <v/>
      </c>
      <c r="CJ16" s="511" t="str">
        <f t="shared" ref="CJ16:EK16" si="12">IF(CJ150=0,"",CJ150)</f>
        <v/>
      </c>
      <c r="CK16" s="511" t="str">
        <f t="shared" si="12"/>
        <v/>
      </c>
      <c r="CL16" s="511" t="str">
        <f t="shared" si="12"/>
        <v/>
      </c>
      <c r="CM16" s="511" t="str">
        <f t="shared" si="12"/>
        <v/>
      </c>
      <c r="CN16" s="511" t="str">
        <f t="shared" si="12"/>
        <v/>
      </c>
      <c r="CO16" s="510" t="str">
        <f t="shared" si="12"/>
        <v/>
      </c>
      <c r="CP16" s="512"/>
      <c r="CQ16" s="510" t="str">
        <f t="shared" si="12"/>
        <v/>
      </c>
      <c r="CR16" s="511" t="str">
        <f t="shared" si="12"/>
        <v/>
      </c>
      <c r="CS16" s="511" t="str">
        <f t="shared" si="12"/>
        <v/>
      </c>
      <c r="CT16" s="511" t="str">
        <f t="shared" si="12"/>
        <v/>
      </c>
      <c r="CU16" s="511" t="str">
        <f t="shared" si="12"/>
        <v/>
      </c>
      <c r="CV16" s="511" t="str">
        <f t="shared" si="12"/>
        <v/>
      </c>
      <c r="CW16" s="511" t="str">
        <f t="shared" si="12"/>
        <v/>
      </c>
      <c r="CX16" s="511" t="str">
        <f t="shared" si="12"/>
        <v/>
      </c>
      <c r="CY16" s="511" t="str">
        <f t="shared" si="12"/>
        <v/>
      </c>
      <c r="CZ16" s="511" t="str">
        <f t="shared" si="12"/>
        <v/>
      </c>
      <c r="DA16" s="510" t="str">
        <f t="shared" si="12"/>
        <v/>
      </c>
      <c r="DB16" s="512"/>
      <c r="DC16" s="510" t="str">
        <f t="shared" si="12"/>
        <v/>
      </c>
      <c r="DD16" s="511" t="str">
        <f t="shared" si="12"/>
        <v/>
      </c>
      <c r="DE16" s="511" t="str">
        <f t="shared" si="12"/>
        <v/>
      </c>
      <c r="DF16" s="511" t="str">
        <f t="shared" si="12"/>
        <v/>
      </c>
      <c r="DG16" s="511" t="str">
        <f t="shared" si="12"/>
        <v/>
      </c>
      <c r="DH16" s="511" t="str">
        <f t="shared" si="12"/>
        <v/>
      </c>
      <c r="DI16" s="511" t="str">
        <f t="shared" si="12"/>
        <v/>
      </c>
      <c r="DJ16" s="511" t="str">
        <f t="shared" si="12"/>
        <v/>
      </c>
      <c r="DK16" s="511" t="str">
        <f t="shared" si="12"/>
        <v/>
      </c>
      <c r="DL16" s="511" t="str">
        <f t="shared" si="12"/>
        <v/>
      </c>
      <c r="DM16" s="510" t="str">
        <f t="shared" si="12"/>
        <v/>
      </c>
      <c r="DN16" s="512"/>
      <c r="DO16" s="510" t="str">
        <f t="shared" si="12"/>
        <v/>
      </c>
      <c r="DP16" s="511" t="str">
        <f t="shared" si="12"/>
        <v/>
      </c>
      <c r="DQ16" s="511" t="str">
        <f t="shared" si="12"/>
        <v/>
      </c>
      <c r="DR16" s="511" t="str">
        <f t="shared" si="12"/>
        <v/>
      </c>
      <c r="DS16" s="511" t="str">
        <f t="shared" si="12"/>
        <v/>
      </c>
      <c r="DT16" s="511" t="str">
        <f t="shared" si="12"/>
        <v/>
      </c>
      <c r="DU16" s="511" t="str">
        <f t="shared" si="12"/>
        <v/>
      </c>
      <c r="DV16" s="511" t="str">
        <f t="shared" si="12"/>
        <v/>
      </c>
      <c r="DW16" s="511" t="str">
        <f t="shared" si="12"/>
        <v/>
      </c>
      <c r="DX16" s="511" t="str">
        <f t="shared" si="12"/>
        <v/>
      </c>
      <c r="DY16" s="510" t="str">
        <f t="shared" si="12"/>
        <v/>
      </c>
      <c r="DZ16" s="512"/>
      <c r="EA16" s="510" t="str">
        <f t="shared" si="12"/>
        <v/>
      </c>
      <c r="EB16" s="511" t="str">
        <f t="shared" si="12"/>
        <v/>
      </c>
      <c r="EC16" s="511" t="str">
        <f t="shared" si="12"/>
        <v/>
      </c>
      <c r="ED16" s="511" t="str">
        <f t="shared" si="12"/>
        <v/>
      </c>
      <c r="EE16" s="511" t="str">
        <f t="shared" si="12"/>
        <v/>
      </c>
      <c r="EF16" s="511" t="str">
        <f t="shared" si="12"/>
        <v/>
      </c>
      <c r="EG16" s="511" t="str">
        <f t="shared" si="12"/>
        <v/>
      </c>
      <c r="EH16" s="511" t="str">
        <f t="shared" si="12"/>
        <v/>
      </c>
      <c r="EI16" s="511" t="str">
        <f t="shared" si="12"/>
        <v/>
      </c>
      <c r="EJ16" s="511" t="str">
        <f t="shared" si="12"/>
        <v/>
      </c>
      <c r="EK16" s="510" t="str">
        <f t="shared" si="12"/>
        <v/>
      </c>
    </row>
    <row r="17" spans="2:141" s="268" customFormat="1" ht="15" customHeight="1" x14ac:dyDescent="0.25">
      <c r="B17" s="429" t="str">
        <f>'2. START'!C$7</f>
        <v>100GEM</v>
      </c>
      <c r="C17" s="513"/>
      <c r="D17" s="588"/>
      <c r="E17" s="514">
        <v>0</v>
      </c>
      <c r="F17" s="514" t="s">
        <v>36</v>
      </c>
      <c r="G17" s="514"/>
      <c r="H17" s="515"/>
      <c r="I17" s="515"/>
      <c r="J17" s="515"/>
      <c r="K17" s="515"/>
      <c r="L17" s="515"/>
      <c r="M17" s="515"/>
      <c r="N17" s="515"/>
      <c r="O17" s="515"/>
      <c r="P17" s="515"/>
      <c r="Q17" s="515"/>
      <c r="R17" s="442">
        <f t="shared" ref="R17:R48" si="13">SUM(H17:Q17)</f>
        <v>0</v>
      </c>
      <c r="S17" s="516">
        <f>IF('2. START'!$C$20="UTB",(SUMIF('3. PARTNER'!B$13:B$80,B17,'3. PARTNER'!M$13:M$80)),(SUMIF('3. PARTNER'!B$13:B$80,B17,'3. PARTNER'!I$13:I$80)))</f>
        <v>0</v>
      </c>
      <c r="T17" s="516">
        <f>IF('2. START'!$C$20="UTB",(SUMIF('3. PARTNER'!B$13:B$80,B17,'3. PARTNER'!N$13:N$80)),(SUMIF('3. PARTNER'!B$13:B$80,B17,'3. PARTNER'!J$13:J$80)))</f>
        <v>0</v>
      </c>
      <c r="U17" s="517">
        <f>IF(F17="NO",0,IF('2. START'!C$13="PERSON+OPERATION",'2. START'!C$12,0)+IF('2. START'!C$13="PERSON+OPERATION+INVEST+FACILIT",'2. START'!C$12,0))</f>
        <v>0</v>
      </c>
      <c r="V17" s="518"/>
      <c r="W17" s="519">
        <f t="shared" ref="W17:W48" si="14">H17*(1-$E17)</f>
        <v>0</v>
      </c>
      <c r="X17" s="519">
        <f t="shared" ref="X17:X48" si="15">I17*(1-$E17)</f>
        <v>0</v>
      </c>
      <c r="Y17" s="519">
        <f t="shared" ref="Y17:Y48" si="16">J17*(1-$E17)</f>
        <v>0</v>
      </c>
      <c r="Z17" s="519">
        <f t="shared" ref="Z17:Z48" si="17">K17*(1-$E17)</f>
        <v>0</v>
      </c>
      <c r="AA17" s="519">
        <f t="shared" ref="AA17:AA48" si="18">L17*(1-$E17)</f>
        <v>0</v>
      </c>
      <c r="AB17" s="519">
        <f t="shared" ref="AB17:AB48" si="19">M17*(1-$E17)</f>
        <v>0</v>
      </c>
      <c r="AC17" s="519">
        <f t="shared" ref="AC17:AC48" si="20">N17*(1-$E17)</f>
        <v>0</v>
      </c>
      <c r="AD17" s="519">
        <f t="shared" ref="AD17:AD48" si="21">O17*(1-$E17)</f>
        <v>0</v>
      </c>
      <c r="AE17" s="519">
        <f t="shared" ref="AE17:AE48" si="22">P17*(1-$E17)</f>
        <v>0</v>
      </c>
      <c r="AF17" s="519">
        <f t="shared" ref="AF17:AF48" si="23">Q17*(1-$E17)</f>
        <v>0</v>
      </c>
      <c r="AG17" s="520">
        <f>SUM(W17:AF17)</f>
        <v>0</v>
      </c>
      <c r="AI17" s="519">
        <f t="shared" ref="AI17:AI48" si="24">H17*$E17</f>
        <v>0</v>
      </c>
      <c r="AJ17" s="519">
        <f t="shared" ref="AJ17:AJ48" si="25">I17*$E17</f>
        <v>0</v>
      </c>
      <c r="AK17" s="519">
        <f t="shared" ref="AK17:AK48" si="26">J17*$E17</f>
        <v>0</v>
      </c>
      <c r="AL17" s="519">
        <f t="shared" ref="AL17:AL48" si="27">K17*$E17</f>
        <v>0</v>
      </c>
      <c r="AM17" s="519">
        <f t="shared" ref="AM17:AM48" si="28">L17*$E17</f>
        <v>0</v>
      </c>
      <c r="AN17" s="519">
        <f t="shared" ref="AN17:AN48" si="29">M17*$E17</f>
        <v>0</v>
      </c>
      <c r="AO17" s="519">
        <f t="shared" ref="AO17:AO48" si="30">N17*$E17</f>
        <v>0</v>
      </c>
      <c r="AP17" s="519">
        <f t="shared" ref="AP17:AP48" si="31">O17*$E17</f>
        <v>0</v>
      </c>
      <c r="AQ17" s="519">
        <f t="shared" ref="AQ17:AQ48" si="32">P17*$E17</f>
        <v>0</v>
      </c>
      <c r="AR17" s="519">
        <f t="shared" ref="AR17:AR48" si="33">Q17*$E17</f>
        <v>0</v>
      </c>
      <c r="AS17" s="520">
        <f>SUM(AI17:AR17)</f>
        <v>0</v>
      </c>
      <c r="AU17" s="519">
        <f>$S17*W17</f>
        <v>0</v>
      </c>
      <c r="AV17" s="519">
        <f t="shared" ref="AV17:BD32" si="34">$S17*X17</f>
        <v>0</v>
      </c>
      <c r="AW17" s="519">
        <f t="shared" si="34"/>
        <v>0</v>
      </c>
      <c r="AX17" s="519">
        <f t="shared" si="34"/>
        <v>0</v>
      </c>
      <c r="AY17" s="519">
        <f t="shared" si="34"/>
        <v>0</v>
      </c>
      <c r="AZ17" s="519">
        <f t="shared" si="34"/>
        <v>0</v>
      </c>
      <c r="BA17" s="519">
        <f t="shared" si="34"/>
        <v>0</v>
      </c>
      <c r="BB17" s="519">
        <f t="shared" si="34"/>
        <v>0</v>
      </c>
      <c r="BC17" s="519">
        <f t="shared" si="34"/>
        <v>0</v>
      </c>
      <c r="BD17" s="519">
        <f t="shared" si="34"/>
        <v>0</v>
      </c>
      <c r="BE17" s="520">
        <f>SUM(AU17:BD17)</f>
        <v>0</v>
      </c>
      <c r="BG17" s="519">
        <f>$S17*AI17</f>
        <v>0</v>
      </c>
      <c r="BH17" s="519">
        <f t="shared" ref="BH17:BP45" si="35">$S17*AJ17</f>
        <v>0</v>
      </c>
      <c r="BI17" s="519">
        <f t="shared" si="35"/>
        <v>0</v>
      </c>
      <c r="BJ17" s="519">
        <f t="shared" si="35"/>
        <v>0</v>
      </c>
      <c r="BK17" s="519">
        <f t="shared" si="35"/>
        <v>0</v>
      </c>
      <c r="BL17" s="519">
        <f t="shared" si="35"/>
        <v>0</v>
      </c>
      <c r="BM17" s="519">
        <f t="shared" si="35"/>
        <v>0</v>
      </c>
      <c r="BN17" s="519">
        <f t="shared" si="35"/>
        <v>0</v>
      </c>
      <c r="BO17" s="519">
        <f t="shared" si="35"/>
        <v>0</v>
      </c>
      <c r="BP17" s="519">
        <f t="shared" si="35"/>
        <v>0</v>
      </c>
      <c r="BQ17" s="520">
        <f>SUM(BG17:BP17)</f>
        <v>0</v>
      </c>
      <c r="BS17" s="519">
        <f>$T17*W17</f>
        <v>0</v>
      </c>
      <c r="BT17" s="519">
        <f t="shared" ref="BT17:CB32" si="36">$T17*X17</f>
        <v>0</v>
      </c>
      <c r="BU17" s="519">
        <f t="shared" si="36"/>
        <v>0</v>
      </c>
      <c r="BV17" s="519">
        <f t="shared" si="36"/>
        <v>0</v>
      </c>
      <c r="BW17" s="519">
        <f t="shared" si="36"/>
        <v>0</v>
      </c>
      <c r="BX17" s="519">
        <f t="shared" si="36"/>
        <v>0</v>
      </c>
      <c r="BY17" s="519">
        <f t="shared" si="36"/>
        <v>0</v>
      </c>
      <c r="BZ17" s="519">
        <f t="shared" si="36"/>
        <v>0</v>
      </c>
      <c r="CA17" s="519">
        <f t="shared" si="36"/>
        <v>0</v>
      </c>
      <c r="CB17" s="519">
        <f t="shared" si="36"/>
        <v>0</v>
      </c>
      <c r="CC17" s="520">
        <f>SUM(BS17:CB17)</f>
        <v>0</v>
      </c>
      <c r="CE17" s="519">
        <f>$T17*AI17</f>
        <v>0</v>
      </c>
      <c r="CF17" s="519">
        <f t="shared" ref="CF17:CN45" si="37">$T17*AJ17</f>
        <v>0</v>
      </c>
      <c r="CG17" s="519">
        <f t="shared" si="37"/>
        <v>0</v>
      </c>
      <c r="CH17" s="519">
        <f t="shared" si="37"/>
        <v>0</v>
      </c>
      <c r="CI17" s="519">
        <f t="shared" si="37"/>
        <v>0</v>
      </c>
      <c r="CJ17" s="519">
        <f t="shared" si="37"/>
        <v>0</v>
      </c>
      <c r="CK17" s="519">
        <f t="shared" si="37"/>
        <v>0</v>
      </c>
      <c r="CL17" s="519">
        <f t="shared" si="37"/>
        <v>0</v>
      </c>
      <c r="CM17" s="519">
        <f t="shared" si="37"/>
        <v>0</v>
      </c>
      <c r="CN17" s="519">
        <f t="shared" si="37"/>
        <v>0</v>
      </c>
      <c r="CO17" s="520">
        <f>SUM(CE17:CN17)</f>
        <v>0</v>
      </c>
      <c r="CQ17" s="519">
        <f t="shared" ref="CQ17:CQ48" si="38">IF($F17="YES",$U17*W17,0)</f>
        <v>0</v>
      </c>
      <c r="CR17" s="519">
        <f t="shared" ref="CR17:CR48" si="39">IF($F17="YES",$U17*X17,0)</f>
        <v>0</v>
      </c>
      <c r="CS17" s="519">
        <f t="shared" ref="CS17:CS48" si="40">IF($F17="YES",$U17*Y17,0)</f>
        <v>0</v>
      </c>
      <c r="CT17" s="519">
        <f t="shared" ref="CT17:CT48" si="41">IF($F17="YES",$U17*Z17,0)</f>
        <v>0</v>
      </c>
      <c r="CU17" s="519">
        <f t="shared" ref="CU17:CU48" si="42">IF($F17="YES",$U17*AA17,0)</f>
        <v>0</v>
      </c>
      <c r="CV17" s="519">
        <f t="shared" ref="CV17:CV48" si="43">IF($F17="YES",$U17*AB17,0)</f>
        <v>0</v>
      </c>
      <c r="CW17" s="519">
        <f t="shared" ref="CW17:CW48" si="44">IF($F17="YES",$U17*AC17,0)</f>
        <v>0</v>
      </c>
      <c r="CX17" s="519">
        <f t="shared" ref="CX17:CX48" si="45">IF($F17="YES",$U17*AD17,0)</f>
        <v>0</v>
      </c>
      <c r="CY17" s="519">
        <f t="shared" ref="CY17:CY48" si="46">IF($F17="YES",$U17*AE17,0)</f>
        <v>0</v>
      </c>
      <c r="CZ17" s="519">
        <f t="shared" ref="CZ17:CZ48" si="47">IF($F17="YES",$U17*AF17,0)</f>
        <v>0</v>
      </c>
      <c r="DA17" s="520">
        <f>SUM(CQ17:CZ17)</f>
        <v>0</v>
      </c>
      <c r="DC17" s="519">
        <f>AU17+BS17-CQ17</f>
        <v>0</v>
      </c>
      <c r="DD17" s="519">
        <f t="shared" ref="DD17:DL32" si="48">AV17+BT17-CR17</f>
        <v>0</v>
      </c>
      <c r="DE17" s="519">
        <f t="shared" si="48"/>
        <v>0</v>
      </c>
      <c r="DF17" s="519">
        <f t="shared" si="48"/>
        <v>0</v>
      </c>
      <c r="DG17" s="519">
        <f t="shared" si="48"/>
        <v>0</v>
      </c>
      <c r="DH17" s="519">
        <f t="shared" si="48"/>
        <v>0</v>
      </c>
      <c r="DI17" s="519">
        <f t="shared" si="48"/>
        <v>0</v>
      </c>
      <c r="DJ17" s="519">
        <f t="shared" si="48"/>
        <v>0</v>
      </c>
      <c r="DK17" s="519">
        <f t="shared" si="48"/>
        <v>0</v>
      </c>
      <c r="DL17" s="519">
        <f t="shared" si="48"/>
        <v>0</v>
      </c>
      <c r="DM17" s="520">
        <f>SUM(DC17:DL17)</f>
        <v>0</v>
      </c>
      <c r="DO17" s="519">
        <f t="shared" ref="DO17:DX42" si="49">W17+AU17+BS17</f>
        <v>0</v>
      </c>
      <c r="DP17" s="519">
        <f t="shared" si="49"/>
        <v>0</v>
      </c>
      <c r="DQ17" s="519">
        <f t="shared" si="49"/>
        <v>0</v>
      </c>
      <c r="DR17" s="519">
        <f t="shared" si="49"/>
        <v>0</v>
      </c>
      <c r="DS17" s="519">
        <f t="shared" si="49"/>
        <v>0</v>
      </c>
      <c r="DT17" s="519">
        <f t="shared" si="49"/>
        <v>0</v>
      </c>
      <c r="DU17" s="519">
        <f t="shared" si="49"/>
        <v>0</v>
      </c>
      <c r="DV17" s="519">
        <f t="shared" si="49"/>
        <v>0</v>
      </c>
      <c r="DW17" s="519">
        <f t="shared" si="49"/>
        <v>0</v>
      </c>
      <c r="DX17" s="519">
        <f t="shared" si="49"/>
        <v>0</v>
      </c>
      <c r="DY17" s="520">
        <f>SUM(DO17:DX17)</f>
        <v>0</v>
      </c>
      <c r="EA17" s="519">
        <f t="shared" ref="EA17:EJ42" si="50">AI17+BG17+CE17</f>
        <v>0</v>
      </c>
      <c r="EB17" s="519">
        <f t="shared" si="50"/>
        <v>0</v>
      </c>
      <c r="EC17" s="519">
        <f t="shared" si="50"/>
        <v>0</v>
      </c>
      <c r="ED17" s="519">
        <f t="shared" si="50"/>
        <v>0</v>
      </c>
      <c r="EE17" s="519">
        <f t="shared" si="50"/>
        <v>0</v>
      </c>
      <c r="EF17" s="519">
        <f t="shared" si="50"/>
        <v>0</v>
      </c>
      <c r="EG17" s="519">
        <f t="shared" si="50"/>
        <v>0</v>
      </c>
      <c r="EH17" s="519">
        <f t="shared" si="50"/>
        <v>0</v>
      </c>
      <c r="EI17" s="519">
        <f t="shared" si="50"/>
        <v>0</v>
      </c>
      <c r="EJ17" s="519">
        <f t="shared" si="50"/>
        <v>0</v>
      </c>
      <c r="EK17" s="520">
        <f>SUM(EA17:EJ17)</f>
        <v>0</v>
      </c>
    </row>
    <row r="18" spans="2:141" s="268" customFormat="1" ht="15" customHeight="1" x14ac:dyDescent="0.25">
      <c r="B18" s="446" t="str">
        <f>'2. START'!C$7</f>
        <v>100GEM</v>
      </c>
      <c r="C18" s="521"/>
      <c r="D18" s="589"/>
      <c r="E18" s="522">
        <v>0</v>
      </c>
      <c r="F18" s="522" t="s">
        <v>36</v>
      </c>
      <c r="G18" s="522"/>
      <c r="H18" s="523"/>
      <c r="I18" s="523"/>
      <c r="J18" s="523"/>
      <c r="K18" s="523"/>
      <c r="L18" s="523"/>
      <c r="M18" s="523"/>
      <c r="N18" s="523"/>
      <c r="O18" s="523"/>
      <c r="P18" s="523"/>
      <c r="Q18" s="523"/>
      <c r="R18" s="459">
        <f t="shared" si="13"/>
        <v>0</v>
      </c>
      <c r="S18" s="524">
        <f>IF('2. START'!$C$20="UTB",(SUMIF('3. PARTNER'!B$13:B$80,B18,'3. PARTNER'!M$13:M$80)),(SUMIF('3. PARTNER'!B$13:B$80,B18,'3. PARTNER'!I$13:I$80)))</f>
        <v>0</v>
      </c>
      <c r="T18" s="524">
        <f>IF('2. START'!$C$20="UTB",(SUMIF('3. PARTNER'!B$13:B$80,B18,'3. PARTNER'!N$13:N$80)),(SUMIF('3. PARTNER'!B$13:B$80,B18,'3. PARTNER'!J$13:J$80)))</f>
        <v>0</v>
      </c>
      <c r="U18" s="454">
        <f>IF(F18="NO",0,IF('2. START'!C$13="PERSON+OPERATION",'2. START'!C$12,0)+IF('2. START'!C$13="PERSON+OPERATION+INVEST+FACILIT",'2. START'!C$12,0))</f>
        <v>0</v>
      </c>
      <c r="V18" s="525"/>
      <c r="W18" s="459">
        <f t="shared" si="14"/>
        <v>0</v>
      </c>
      <c r="X18" s="459">
        <f t="shared" si="15"/>
        <v>0</v>
      </c>
      <c r="Y18" s="459">
        <f t="shared" si="16"/>
        <v>0</v>
      </c>
      <c r="Z18" s="459">
        <f t="shared" si="17"/>
        <v>0</v>
      </c>
      <c r="AA18" s="459">
        <f t="shared" si="18"/>
        <v>0</v>
      </c>
      <c r="AB18" s="459">
        <f t="shared" si="19"/>
        <v>0</v>
      </c>
      <c r="AC18" s="459">
        <f t="shared" si="20"/>
        <v>0</v>
      </c>
      <c r="AD18" s="459">
        <f t="shared" si="21"/>
        <v>0</v>
      </c>
      <c r="AE18" s="459">
        <f t="shared" si="22"/>
        <v>0</v>
      </c>
      <c r="AF18" s="459">
        <f t="shared" si="23"/>
        <v>0</v>
      </c>
      <c r="AG18" s="460">
        <f t="shared" ref="AG18:AG81" si="51">SUM(W18:AF18)</f>
        <v>0</v>
      </c>
      <c r="AH18" s="463"/>
      <c r="AI18" s="459">
        <f t="shared" si="24"/>
        <v>0</v>
      </c>
      <c r="AJ18" s="459">
        <f t="shared" si="25"/>
        <v>0</v>
      </c>
      <c r="AK18" s="459">
        <f t="shared" si="26"/>
        <v>0</v>
      </c>
      <c r="AL18" s="459">
        <f t="shared" si="27"/>
        <v>0</v>
      </c>
      <c r="AM18" s="459">
        <f t="shared" si="28"/>
        <v>0</v>
      </c>
      <c r="AN18" s="459">
        <f t="shared" si="29"/>
        <v>0</v>
      </c>
      <c r="AO18" s="459">
        <f t="shared" si="30"/>
        <v>0</v>
      </c>
      <c r="AP18" s="459">
        <f t="shared" si="31"/>
        <v>0</v>
      </c>
      <c r="AQ18" s="459">
        <f t="shared" si="32"/>
        <v>0</v>
      </c>
      <c r="AR18" s="459">
        <f t="shared" si="33"/>
        <v>0</v>
      </c>
      <c r="AS18" s="460">
        <f t="shared" ref="AS18:AS81" si="52">SUM(AI18:AR18)</f>
        <v>0</v>
      </c>
      <c r="AT18" s="463"/>
      <c r="AU18" s="459">
        <f t="shared" ref="AU18:BD56" si="53">$S18*W18</f>
        <v>0</v>
      </c>
      <c r="AV18" s="459">
        <f t="shared" si="34"/>
        <v>0</v>
      </c>
      <c r="AW18" s="459">
        <f t="shared" si="34"/>
        <v>0</v>
      </c>
      <c r="AX18" s="459">
        <f t="shared" si="34"/>
        <v>0</v>
      </c>
      <c r="AY18" s="459">
        <f t="shared" si="34"/>
        <v>0</v>
      </c>
      <c r="AZ18" s="459">
        <f t="shared" si="34"/>
        <v>0</v>
      </c>
      <c r="BA18" s="459">
        <f t="shared" si="34"/>
        <v>0</v>
      </c>
      <c r="BB18" s="459">
        <f t="shared" si="34"/>
        <v>0</v>
      </c>
      <c r="BC18" s="459">
        <f t="shared" si="34"/>
        <v>0</v>
      </c>
      <c r="BD18" s="459">
        <f t="shared" si="34"/>
        <v>0</v>
      </c>
      <c r="BE18" s="460">
        <f t="shared" ref="BE18:BE81" si="54">SUM(AU18:BD18)</f>
        <v>0</v>
      </c>
      <c r="BF18" s="463"/>
      <c r="BG18" s="459">
        <f t="shared" ref="BG18:BJ81" si="55">$S18*AI18</f>
        <v>0</v>
      </c>
      <c r="BH18" s="459">
        <f t="shared" si="35"/>
        <v>0</v>
      </c>
      <c r="BI18" s="459">
        <f t="shared" si="35"/>
        <v>0</v>
      </c>
      <c r="BJ18" s="459">
        <f t="shared" si="35"/>
        <v>0</v>
      </c>
      <c r="BK18" s="459">
        <f t="shared" si="35"/>
        <v>0</v>
      </c>
      <c r="BL18" s="459">
        <f t="shared" si="35"/>
        <v>0</v>
      </c>
      <c r="BM18" s="459">
        <f t="shared" si="35"/>
        <v>0</v>
      </c>
      <c r="BN18" s="459">
        <f t="shared" si="35"/>
        <v>0</v>
      </c>
      <c r="BO18" s="459">
        <f t="shared" si="35"/>
        <v>0</v>
      </c>
      <c r="BP18" s="459">
        <f t="shared" si="35"/>
        <v>0</v>
      </c>
      <c r="BQ18" s="460">
        <f t="shared" ref="BQ18:BQ81" si="56">SUM(BG18:BP18)</f>
        <v>0</v>
      </c>
      <c r="BR18" s="463"/>
      <c r="BS18" s="459">
        <f t="shared" ref="BS18:CB56" si="57">$T18*W18</f>
        <v>0</v>
      </c>
      <c r="BT18" s="459">
        <f t="shared" si="36"/>
        <v>0</v>
      </c>
      <c r="BU18" s="459">
        <f t="shared" si="36"/>
        <v>0</v>
      </c>
      <c r="BV18" s="459">
        <f t="shared" si="36"/>
        <v>0</v>
      </c>
      <c r="BW18" s="459">
        <f t="shared" si="36"/>
        <v>0</v>
      </c>
      <c r="BX18" s="459">
        <f t="shared" si="36"/>
        <v>0</v>
      </c>
      <c r="BY18" s="459">
        <f t="shared" si="36"/>
        <v>0</v>
      </c>
      <c r="BZ18" s="459">
        <f t="shared" si="36"/>
        <v>0</v>
      </c>
      <c r="CA18" s="459">
        <f t="shared" si="36"/>
        <v>0</v>
      </c>
      <c r="CB18" s="459">
        <f t="shared" si="36"/>
        <v>0</v>
      </c>
      <c r="CC18" s="460">
        <f t="shared" ref="CC18:CC81" si="58">SUM(BS18:CB18)</f>
        <v>0</v>
      </c>
      <c r="CD18" s="463"/>
      <c r="CE18" s="459">
        <f t="shared" ref="CE18:CH81" si="59">$T18*AI18</f>
        <v>0</v>
      </c>
      <c r="CF18" s="459">
        <f t="shared" si="37"/>
        <v>0</v>
      </c>
      <c r="CG18" s="459">
        <f t="shared" si="37"/>
        <v>0</v>
      </c>
      <c r="CH18" s="459">
        <f t="shared" si="37"/>
        <v>0</v>
      </c>
      <c r="CI18" s="459">
        <f t="shared" si="37"/>
        <v>0</v>
      </c>
      <c r="CJ18" s="459">
        <f t="shared" si="37"/>
        <v>0</v>
      </c>
      <c r="CK18" s="459">
        <f t="shared" si="37"/>
        <v>0</v>
      </c>
      <c r="CL18" s="459">
        <f t="shared" si="37"/>
        <v>0</v>
      </c>
      <c r="CM18" s="459">
        <f t="shared" si="37"/>
        <v>0</v>
      </c>
      <c r="CN18" s="459">
        <f t="shared" si="37"/>
        <v>0</v>
      </c>
      <c r="CO18" s="460">
        <f t="shared" ref="CO18:CO81" si="60">SUM(CE18:CN18)</f>
        <v>0</v>
      </c>
      <c r="CP18" s="463"/>
      <c r="CQ18" s="459">
        <f t="shared" si="38"/>
        <v>0</v>
      </c>
      <c r="CR18" s="459">
        <f t="shared" si="39"/>
        <v>0</v>
      </c>
      <c r="CS18" s="459">
        <f t="shared" si="40"/>
        <v>0</v>
      </c>
      <c r="CT18" s="459">
        <f t="shared" si="41"/>
        <v>0</v>
      </c>
      <c r="CU18" s="459">
        <f t="shared" si="42"/>
        <v>0</v>
      </c>
      <c r="CV18" s="459">
        <f t="shared" si="43"/>
        <v>0</v>
      </c>
      <c r="CW18" s="459">
        <f t="shared" si="44"/>
        <v>0</v>
      </c>
      <c r="CX18" s="459">
        <f t="shared" si="45"/>
        <v>0</v>
      </c>
      <c r="CY18" s="459">
        <f t="shared" si="46"/>
        <v>0</v>
      </c>
      <c r="CZ18" s="459">
        <f t="shared" si="47"/>
        <v>0</v>
      </c>
      <c r="DA18" s="460">
        <f t="shared" ref="DA18:DA81" si="61">SUM(CQ18:CZ18)</f>
        <v>0</v>
      </c>
      <c r="DB18" s="463"/>
      <c r="DC18" s="459">
        <f t="shared" ref="DC18:DL56" si="62">AU18+BS18-CQ18</f>
        <v>0</v>
      </c>
      <c r="DD18" s="459">
        <f t="shared" si="48"/>
        <v>0</v>
      </c>
      <c r="DE18" s="459">
        <f t="shared" si="48"/>
        <v>0</v>
      </c>
      <c r="DF18" s="459">
        <f t="shared" si="48"/>
        <v>0</v>
      </c>
      <c r="DG18" s="459">
        <f t="shared" si="48"/>
        <v>0</v>
      </c>
      <c r="DH18" s="459">
        <f t="shared" si="48"/>
        <v>0</v>
      </c>
      <c r="DI18" s="459">
        <f t="shared" si="48"/>
        <v>0</v>
      </c>
      <c r="DJ18" s="459">
        <f t="shared" si="48"/>
        <v>0</v>
      </c>
      <c r="DK18" s="459">
        <f t="shared" si="48"/>
        <v>0</v>
      </c>
      <c r="DL18" s="459">
        <f t="shared" si="48"/>
        <v>0</v>
      </c>
      <c r="DM18" s="460">
        <f t="shared" ref="DM18:DM81" si="63">SUM(DC18:DL18)</f>
        <v>0</v>
      </c>
      <c r="DN18" s="463"/>
      <c r="DO18" s="459">
        <f t="shared" si="49"/>
        <v>0</v>
      </c>
      <c r="DP18" s="459">
        <f t="shared" si="49"/>
        <v>0</v>
      </c>
      <c r="DQ18" s="459">
        <f t="shared" si="49"/>
        <v>0</v>
      </c>
      <c r="DR18" s="459">
        <f t="shared" si="49"/>
        <v>0</v>
      </c>
      <c r="DS18" s="459">
        <f t="shared" si="49"/>
        <v>0</v>
      </c>
      <c r="DT18" s="459">
        <f t="shared" si="49"/>
        <v>0</v>
      </c>
      <c r="DU18" s="459">
        <f t="shared" si="49"/>
        <v>0</v>
      </c>
      <c r="DV18" s="459">
        <f t="shared" si="49"/>
        <v>0</v>
      </c>
      <c r="DW18" s="459">
        <f t="shared" si="49"/>
        <v>0</v>
      </c>
      <c r="DX18" s="459">
        <f t="shared" si="49"/>
        <v>0</v>
      </c>
      <c r="DY18" s="460">
        <f t="shared" ref="DY18:DY81" si="64">SUM(DO18:DX18)</f>
        <v>0</v>
      </c>
      <c r="DZ18" s="463"/>
      <c r="EA18" s="459">
        <f t="shared" si="50"/>
        <v>0</v>
      </c>
      <c r="EB18" s="459">
        <f t="shared" si="50"/>
        <v>0</v>
      </c>
      <c r="EC18" s="459">
        <f t="shared" si="50"/>
        <v>0</v>
      </c>
      <c r="ED18" s="459">
        <f t="shared" si="50"/>
        <v>0</v>
      </c>
      <c r="EE18" s="459">
        <f t="shared" si="50"/>
        <v>0</v>
      </c>
      <c r="EF18" s="459">
        <f t="shared" si="50"/>
        <v>0</v>
      </c>
      <c r="EG18" s="459">
        <f t="shared" si="50"/>
        <v>0</v>
      </c>
      <c r="EH18" s="459">
        <f t="shared" si="50"/>
        <v>0</v>
      </c>
      <c r="EI18" s="459">
        <f t="shared" si="50"/>
        <v>0</v>
      </c>
      <c r="EJ18" s="459">
        <f t="shared" si="50"/>
        <v>0</v>
      </c>
      <c r="EK18" s="460">
        <f t="shared" ref="EK18:EK81" si="65">SUM(EA18:EJ18)</f>
        <v>0</v>
      </c>
    </row>
    <row r="19" spans="2:141" s="268" customFormat="1" ht="15" customHeight="1" x14ac:dyDescent="0.25">
      <c r="B19" s="464" t="str">
        <f>'2. START'!C$7</f>
        <v>100GEM</v>
      </c>
      <c r="C19" s="526"/>
      <c r="D19" s="590"/>
      <c r="E19" s="527">
        <v>0</v>
      </c>
      <c r="F19" s="527" t="s">
        <v>36</v>
      </c>
      <c r="G19" s="527"/>
      <c r="H19" s="515"/>
      <c r="I19" s="515"/>
      <c r="J19" s="515"/>
      <c r="K19" s="515"/>
      <c r="L19" s="515"/>
      <c r="M19" s="515"/>
      <c r="N19" s="515"/>
      <c r="O19" s="515"/>
      <c r="P19" s="515"/>
      <c r="Q19" s="515"/>
      <c r="R19" s="442">
        <f t="shared" si="13"/>
        <v>0</v>
      </c>
      <c r="S19" s="516">
        <f>IF('2. START'!$C$20="UTB",(SUMIF('3. PARTNER'!B$13:B$80,B19,'3. PARTNER'!M$13:M$80)),(SUMIF('3. PARTNER'!B$13:B$80,B19,'3. PARTNER'!I$13:I$80)))</f>
        <v>0</v>
      </c>
      <c r="T19" s="516">
        <f>IF('2. START'!$C$20="UTB",(SUMIF('3. PARTNER'!B$13:B$80,B19,'3. PARTNER'!N$13:N$80)),(SUMIF('3. PARTNER'!B$13:B$80,B19,'3. PARTNER'!J$13:J$80)))</f>
        <v>0</v>
      </c>
      <c r="U19" s="517">
        <f>IF(F19="NO",0,IF('2. START'!C$13="PERSON+OPERATION",'2. START'!C$12,0)+IF('2. START'!C$13="PERSON+OPERATION+INVEST+FACILIT",'2. START'!C$12,0))</f>
        <v>0</v>
      </c>
      <c r="V19" s="518"/>
      <c r="W19" s="519">
        <f t="shared" si="14"/>
        <v>0</v>
      </c>
      <c r="X19" s="519">
        <f t="shared" si="15"/>
        <v>0</v>
      </c>
      <c r="Y19" s="519">
        <f t="shared" si="16"/>
        <v>0</v>
      </c>
      <c r="Z19" s="519">
        <f t="shared" si="17"/>
        <v>0</v>
      </c>
      <c r="AA19" s="519">
        <f t="shared" si="18"/>
        <v>0</v>
      </c>
      <c r="AB19" s="519">
        <f t="shared" si="19"/>
        <v>0</v>
      </c>
      <c r="AC19" s="519">
        <f t="shared" si="20"/>
        <v>0</v>
      </c>
      <c r="AD19" s="519">
        <f t="shared" si="21"/>
        <v>0</v>
      </c>
      <c r="AE19" s="519">
        <f t="shared" si="22"/>
        <v>0</v>
      </c>
      <c r="AF19" s="519">
        <f t="shared" si="23"/>
        <v>0</v>
      </c>
      <c r="AG19" s="520">
        <f t="shared" si="51"/>
        <v>0</v>
      </c>
      <c r="AI19" s="519">
        <f t="shared" si="24"/>
        <v>0</v>
      </c>
      <c r="AJ19" s="519">
        <f t="shared" si="25"/>
        <v>0</v>
      </c>
      <c r="AK19" s="519">
        <f t="shared" si="26"/>
        <v>0</v>
      </c>
      <c r="AL19" s="519">
        <f t="shared" si="27"/>
        <v>0</v>
      </c>
      <c r="AM19" s="519">
        <f t="shared" si="28"/>
        <v>0</v>
      </c>
      <c r="AN19" s="519">
        <f t="shared" si="29"/>
        <v>0</v>
      </c>
      <c r="AO19" s="519">
        <f t="shared" si="30"/>
        <v>0</v>
      </c>
      <c r="AP19" s="519">
        <f t="shared" si="31"/>
        <v>0</v>
      </c>
      <c r="AQ19" s="519">
        <f t="shared" si="32"/>
        <v>0</v>
      </c>
      <c r="AR19" s="519">
        <f t="shared" si="33"/>
        <v>0</v>
      </c>
      <c r="AS19" s="520">
        <f t="shared" si="52"/>
        <v>0</v>
      </c>
      <c r="AU19" s="519">
        <f t="shared" si="53"/>
        <v>0</v>
      </c>
      <c r="AV19" s="519">
        <f t="shared" si="34"/>
        <v>0</v>
      </c>
      <c r="AW19" s="519">
        <f t="shared" si="34"/>
        <v>0</v>
      </c>
      <c r="AX19" s="519">
        <f t="shared" si="34"/>
        <v>0</v>
      </c>
      <c r="AY19" s="519">
        <f t="shared" si="34"/>
        <v>0</v>
      </c>
      <c r="AZ19" s="519">
        <f t="shared" si="34"/>
        <v>0</v>
      </c>
      <c r="BA19" s="519">
        <f t="shared" si="34"/>
        <v>0</v>
      </c>
      <c r="BB19" s="519">
        <f t="shared" si="34"/>
        <v>0</v>
      </c>
      <c r="BC19" s="519">
        <f t="shared" si="34"/>
        <v>0</v>
      </c>
      <c r="BD19" s="519">
        <f t="shared" si="34"/>
        <v>0</v>
      </c>
      <c r="BE19" s="520">
        <f t="shared" si="54"/>
        <v>0</v>
      </c>
      <c r="BG19" s="519">
        <f t="shared" si="55"/>
        <v>0</v>
      </c>
      <c r="BH19" s="519">
        <f t="shared" si="35"/>
        <v>0</v>
      </c>
      <c r="BI19" s="519">
        <f t="shared" si="35"/>
        <v>0</v>
      </c>
      <c r="BJ19" s="519">
        <f t="shared" si="35"/>
        <v>0</v>
      </c>
      <c r="BK19" s="519">
        <f t="shared" si="35"/>
        <v>0</v>
      </c>
      <c r="BL19" s="519">
        <f t="shared" si="35"/>
        <v>0</v>
      </c>
      <c r="BM19" s="519">
        <f t="shared" si="35"/>
        <v>0</v>
      </c>
      <c r="BN19" s="519">
        <f t="shared" si="35"/>
        <v>0</v>
      </c>
      <c r="BO19" s="519">
        <f t="shared" si="35"/>
        <v>0</v>
      </c>
      <c r="BP19" s="519">
        <f t="shared" si="35"/>
        <v>0</v>
      </c>
      <c r="BQ19" s="520">
        <f t="shared" si="56"/>
        <v>0</v>
      </c>
      <c r="BS19" s="519">
        <f t="shared" si="57"/>
        <v>0</v>
      </c>
      <c r="BT19" s="519">
        <f t="shared" si="36"/>
        <v>0</v>
      </c>
      <c r="BU19" s="519">
        <f t="shared" si="36"/>
        <v>0</v>
      </c>
      <c r="BV19" s="519">
        <f t="shared" si="36"/>
        <v>0</v>
      </c>
      <c r="BW19" s="519">
        <f t="shared" si="36"/>
        <v>0</v>
      </c>
      <c r="BX19" s="519">
        <f t="shared" si="36"/>
        <v>0</v>
      </c>
      <c r="BY19" s="519">
        <f t="shared" si="36"/>
        <v>0</v>
      </c>
      <c r="BZ19" s="519">
        <f t="shared" si="36"/>
        <v>0</v>
      </c>
      <c r="CA19" s="519">
        <f t="shared" si="36"/>
        <v>0</v>
      </c>
      <c r="CB19" s="519">
        <f t="shared" si="36"/>
        <v>0</v>
      </c>
      <c r="CC19" s="520">
        <f t="shared" si="58"/>
        <v>0</v>
      </c>
      <c r="CE19" s="519">
        <f t="shared" si="59"/>
        <v>0</v>
      </c>
      <c r="CF19" s="519">
        <f t="shared" si="37"/>
        <v>0</v>
      </c>
      <c r="CG19" s="519">
        <f t="shared" si="37"/>
        <v>0</v>
      </c>
      <c r="CH19" s="519">
        <f t="shared" si="37"/>
        <v>0</v>
      </c>
      <c r="CI19" s="519">
        <f t="shared" si="37"/>
        <v>0</v>
      </c>
      <c r="CJ19" s="519">
        <f t="shared" si="37"/>
        <v>0</v>
      </c>
      <c r="CK19" s="519">
        <f t="shared" si="37"/>
        <v>0</v>
      </c>
      <c r="CL19" s="519">
        <f t="shared" si="37"/>
        <v>0</v>
      </c>
      <c r="CM19" s="519">
        <f t="shared" si="37"/>
        <v>0</v>
      </c>
      <c r="CN19" s="519">
        <f t="shared" si="37"/>
        <v>0</v>
      </c>
      <c r="CO19" s="520">
        <f t="shared" si="60"/>
        <v>0</v>
      </c>
      <c r="CQ19" s="519">
        <f t="shared" si="38"/>
        <v>0</v>
      </c>
      <c r="CR19" s="519">
        <f t="shared" si="39"/>
        <v>0</v>
      </c>
      <c r="CS19" s="519">
        <f t="shared" si="40"/>
        <v>0</v>
      </c>
      <c r="CT19" s="519">
        <f t="shared" si="41"/>
        <v>0</v>
      </c>
      <c r="CU19" s="519">
        <f t="shared" si="42"/>
        <v>0</v>
      </c>
      <c r="CV19" s="519">
        <f t="shared" si="43"/>
        <v>0</v>
      </c>
      <c r="CW19" s="519">
        <f t="shared" si="44"/>
        <v>0</v>
      </c>
      <c r="CX19" s="519">
        <f t="shared" si="45"/>
        <v>0</v>
      </c>
      <c r="CY19" s="519">
        <f t="shared" si="46"/>
        <v>0</v>
      </c>
      <c r="CZ19" s="519">
        <f t="shared" si="47"/>
        <v>0</v>
      </c>
      <c r="DA19" s="520">
        <f t="shared" si="61"/>
        <v>0</v>
      </c>
      <c r="DC19" s="519">
        <f t="shared" si="62"/>
        <v>0</v>
      </c>
      <c r="DD19" s="519">
        <f t="shared" si="48"/>
        <v>0</v>
      </c>
      <c r="DE19" s="519">
        <f t="shared" si="48"/>
        <v>0</v>
      </c>
      <c r="DF19" s="519">
        <f t="shared" si="48"/>
        <v>0</v>
      </c>
      <c r="DG19" s="519">
        <f t="shared" si="48"/>
        <v>0</v>
      </c>
      <c r="DH19" s="519">
        <f t="shared" si="48"/>
        <v>0</v>
      </c>
      <c r="DI19" s="519">
        <f t="shared" si="48"/>
        <v>0</v>
      </c>
      <c r="DJ19" s="519">
        <f t="shared" si="48"/>
        <v>0</v>
      </c>
      <c r="DK19" s="519">
        <f t="shared" si="48"/>
        <v>0</v>
      </c>
      <c r="DL19" s="519">
        <f t="shared" si="48"/>
        <v>0</v>
      </c>
      <c r="DM19" s="520">
        <f t="shared" si="63"/>
        <v>0</v>
      </c>
      <c r="DO19" s="519">
        <f t="shared" si="49"/>
        <v>0</v>
      </c>
      <c r="DP19" s="519">
        <f t="shared" si="49"/>
        <v>0</v>
      </c>
      <c r="DQ19" s="519">
        <f t="shared" si="49"/>
        <v>0</v>
      </c>
      <c r="DR19" s="519">
        <f t="shared" si="49"/>
        <v>0</v>
      </c>
      <c r="DS19" s="519">
        <f t="shared" si="49"/>
        <v>0</v>
      </c>
      <c r="DT19" s="519">
        <f t="shared" si="49"/>
        <v>0</v>
      </c>
      <c r="DU19" s="519">
        <f t="shared" si="49"/>
        <v>0</v>
      </c>
      <c r="DV19" s="519">
        <f t="shared" si="49"/>
        <v>0</v>
      </c>
      <c r="DW19" s="519">
        <f t="shared" si="49"/>
        <v>0</v>
      </c>
      <c r="DX19" s="519">
        <f t="shared" si="49"/>
        <v>0</v>
      </c>
      <c r="DY19" s="520">
        <f t="shared" si="64"/>
        <v>0</v>
      </c>
      <c r="EA19" s="519">
        <f t="shared" si="50"/>
        <v>0</v>
      </c>
      <c r="EB19" s="519">
        <f t="shared" si="50"/>
        <v>0</v>
      </c>
      <c r="EC19" s="519">
        <f t="shared" si="50"/>
        <v>0</v>
      </c>
      <c r="ED19" s="519">
        <f t="shared" si="50"/>
        <v>0</v>
      </c>
      <c r="EE19" s="519">
        <f t="shared" si="50"/>
        <v>0</v>
      </c>
      <c r="EF19" s="519">
        <f t="shared" si="50"/>
        <v>0</v>
      </c>
      <c r="EG19" s="519">
        <f t="shared" si="50"/>
        <v>0</v>
      </c>
      <c r="EH19" s="519">
        <f t="shared" si="50"/>
        <v>0</v>
      </c>
      <c r="EI19" s="519">
        <f t="shared" si="50"/>
        <v>0</v>
      </c>
      <c r="EJ19" s="519">
        <f t="shared" si="50"/>
        <v>0</v>
      </c>
      <c r="EK19" s="520">
        <f t="shared" si="65"/>
        <v>0</v>
      </c>
    </row>
    <row r="20" spans="2:141" s="268" customFormat="1" ht="15" customHeight="1" x14ac:dyDescent="0.25">
      <c r="B20" s="446" t="str">
        <f>'2. START'!C$7</f>
        <v>100GEM</v>
      </c>
      <c r="C20" s="521"/>
      <c r="D20" s="589"/>
      <c r="E20" s="522">
        <v>0</v>
      </c>
      <c r="F20" s="522" t="s">
        <v>36</v>
      </c>
      <c r="G20" s="522"/>
      <c r="H20" s="523"/>
      <c r="I20" s="523"/>
      <c r="J20" s="523"/>
      <c r="K20" s="523"/>
      <c r="L20" s="523"/>
      <c r="M20" s="523"/>
      <c r="N20" s="523"/>
      <c r="O20" s="523"/>
      <c r="P20" s="523"/>
      <c r="Q20" s="523"/>
      <c r="R20" s="459">
        <f t="shared" si="13"/>
        <v>0</v>
      </c>
      <c r="S20" s="524">
        <f>IF('2. START'!$C$20="UTB",(SUMIF('3. PARTNER'!B$13:B$80,B20,'3. PARTNER'!M$13:M$80)),(SUMIF('3. PARTNER'!B$13:B$80,B20,'3. PARTNER'!I$13:I$80)))</f>
        <v>0</v>
      </c>
      <c r="T20" s="524">
        <f>IF('2. START'!$C$20="UTB",(SUMIF('3. PARTNER'!B$13:B$80,B20,'3. PARTNER'!N$13:N$80)),(SUMIF('3. PARTNER'!B$13:B$80,B20,'3. PARTNER'!J$13:J$80)))</f>
        <v>0</v>
      </c>
      <c r="U20" s="454">
        <f>IF(F20="NO",0,IF('2. START'!C$13="PERSON+OPERATION",'2. START'!C$12,0)+IF('2. START'!C$13="PERSON+OPERATION+INVEST+FACILIT",'2. START'!C$12,0))</f>
        <v>0</v>
      </c>
      <c r="V20" s="525"/>
      <c r="W20" s="459">
        <f t="shared" si="14"/>
        <v>0</v>
      </c>
      <c r="X20" s="459">
        <f t="shared" si="15"/>
        <v>0</v>
      </c>
      <c r="Y20" s="459">
        <f t="shared" si="16"/>
        <v>0</v>
      </c>
      <c r="Z20" s="459">
        <f t="shared" si="17"/>
        <v>0</v>
      </c>
      <c r="AA20" s="459">
        <f t="shared" si="18"/>
        <v>0</v>
      </c>
      <c r="AB20" s="459">
        <f t="shared" si="19"/>
        <v>0</v>
      </c>
      <c r="AC20" s="459">
        <f t="shared" si="20"/>
        <v>0</v>
      </c>
      <c r="AD20" s="459">
        <f t="shared" si="21"/>
        <v>0</v>
      </c>
      <c r="AE20" s="459">
        <f t="shared" si="22"/>
        <v>0</v>
      </c>
      <c r="AF20" s="459">
        <f t="shared" si="23"/>
        <v>0</v>
      </c>
      <c r="AG20" s="460">
        <f t="shared" si="51"/>
        <v>0</v>
      </c>
      <c r="AH20" s="463"/>
      <c r="AI20" s="459">
        <f t="shared" si="24"/>
        <v>0</v>
      </c>
      <c r="AJ20" s="459">
        <f t="shared" si="25"/>
        <v>0</v>
      </c>
      <c r="AK20" s="459">
        <f t="shared" si="26"/>
        <v>0</v>
      </c>
      <c r="AL20" s="459">
        <f t="shared" si="27"/>
        <v>0</v>
      </c>
      <c r="AM20" s="459">
        <f t="shared" si="28"/>
        <v>0</v>
      </c>
      <c r="AN20" s="459">
        <f t="shared" si="29"/>
        <v>0</v>
      </c>
      <c r="AO20" s="459">
        <f t="shared" si="30"/>
        <v>0</v>
      </c>
      <c r="AP20" s="459">
        <f t="shared" si="31"/>
        <v>0</v>
      </c>
      <c r="AQ20" s="459">
        <f t="shared" si="32"/>
        <v>0</v>
      </c>
      <c r="AR20" s="459">
        <f t="shared" si="33"/>
        <v>0</v>
      </c>
      <c r="AS20" s="460">
        <f t="shared" si="52"/>
        <v>0</v>
      </c>
      <c r="AT20" s="463"/>
      <c r="AU20" s="459">
        <f t="shared" si="53"/>
        <v>0</v>
      </c>
      <c r="AV20" s="459">
        <f t="shared" si="34"/>
        <v>0</v>
      </c>
      <c r="AW20" s="459">
        <f t="shared" si="34"/>
        <v>0</v>
      </c>
      <c r="AX20" s="459">
        <f t="shared" si="34"/>
        <v>0</v>
      </c>
      <c r="AY20" s="459">
        <f t="shared" si="34"/>
        <v>0</v>
      </c>
      <c r="AZ20" s="459">
        <f t="shared" si="34"/>
        <v>0</v>
      </c>
      <c r="BA20" s="459">
        <f t="shared" si="34"/>
        <v>0</v>
      </c>
      <c r="BB20" s="459">
        <f t="shared" si="34"/>
        <v>0</v>
      </c>
      <c r="BC20" s="459">
        <f t="shared" si="34"/>
        <v>0</v>
      </c>
      <c r="BD20" s="459">
        <f t="shared" si="34"/>
        <v>0</v>
      </c>
      <c r="BE20" s="460">
        <f t="shared" si="54"/>
        <v>0</v>
      </c>
      <c r="BF20" s="463"/>
      <c r="BG20" s="459">
        <f t="shared" si="55"/>
        <v>0</v>
      </c>
      <c r="BH20" s="459">
        <f t="shared" si="35"/>
        <v>0</v>
      </c>
      <c r="BI20" s="459">
        <f t="shared" si="35"/>
        <v>0</v>
      </c>
      <c r="BJ20" s="459">
        <f t="shared" si="35"/>
        <v>0</v>
      </c>
      <c r="BK20" s="459">
        <f t="shared" si="35"/>
        <v>0</v>
      </c>
      <c r="BL20" s="459">
        <f t="shared" si="35"/>
        <v>0</v>
      </c>
      <c r="BM20" s="459">
        <f t="shared" si="35"/>
        <v>0</v>
      </c>
      <c r="BN20" s="459">
        <f t="shared" si="35"/>
        <v>0</v>
      </c>
      <c r="BO20" s="459">
        <f t="shared" si="35"/>
        <v>0</v>
      </c>
      <c r="BP20" s="459">
        <f t="shared" si="35"/>
        <v>0</v>
      </c>
      <c r="BQ20" s="460">
        <f t="shared" si="56"/>
        <v>0</v>
      </c>
      <c r="BR20" s="463"/>
      <c r="BS20" s="459">
        <f t="shared" si="57"/>
        <v>0</v>
      </c>
      <c r="BT20" s="459">
        <f t="shared" si="36"/>
        <v>0</v>
      </c>
      <c r="BU20" s="459">
        <f t="shared" si="36"/>
        <v>0</v>
      </c>
      <c r="BV20" s="459">
        <f t="shared" si="36"/>
        <v>0</v>
      </c>
      <c r="BW20" s="459">
        <f t="shared" si="36"/>
        <v>0</v>
      </c>
      <c r="BX20" s="459">
        <f t="shared" si="36"/>
        <v>0</v>
      </c>
      <c r="BY20" s="459">
        <f t="shared" si="36"/>
        <v>0</v>
      </c>
      <c r="BZ20" s="459">
        <f t="shared" si="36"/>
        <v>0</v>
      </c>
      <c r="CA20" s="459">
        <f t="shared" si="36"/>
        <v>0</v>
      </c>
      <c r="CB20" s="459">
        <f t="shared" si="36"/>
        <v>0</v>
      </c>
      <c r="CC20" s="460">
        <f t="shared" si="58"/>
        <v>0</v>
      </c>
      <c r="CD20" s="463"/>
      <c r="CE20" s="459">
        <f t="shared" si="59"/>
        <v>0</v>
      </c>
      <c r="CF20" s="459">
        <f t="shared" si="37"/>
        <v>0</v>
      </c>
      <c r="CG20" s="459">
        <f t="shared" si="37"/>
        <v>0</v>
      </c>
      <c r="CH20" s="459">
        <f t="shared" si="37"/>
        <v>0</v>
      </c>
      <c r="CI20" s="459">
        <f t="shared" si="37"/>
        <v>0</v>
      </c>
      <c r="CJ20" s="459">
        <f t="shared" si="37"/>
        <v>0</v>
      </c>
      <c r="CK20" s="459">
        <f t="shared" si="37"/>
        <v>0</v>
      </c>
      <c r="CL20" s="459">
        <f t="shared" si="37"/>
        <v>0</v>
      </c>
      <c r="CM20" s="459">
        <f t="shared" si="37"/>
        <v>0</v>
      </c>
      <c r="CN20" s="459">
        <f t="shared" si="37"/>
        <v>0</v>
      </c>
      <c r="CO20" s="460">
        <f t="shared" si="60"/>
        <v>0</v>
      </c>
      <c r="CP20" s="463"/>
      <c r="CQ20" s="459">
        <f t="shared" si="38"/>
        <v>0</v>
      </c>
      <c r="CR20" s="459">
        <f t="shared" si="39"/>
        <v>0</v>
      </c>
      <c r="CS20" s="459">
        <f t="shared" si="40"/>
        <v>0</v>
      </c>
      <c r="CT20" s="459">
        <f t="shared" si="41"/>
        <v>0</v>
      </c>
      <c r="CU20" s="459">
        <f t="shared" si="42"/>
        <v>0</v>
      </c>
      <c r="CV20" s="459">
        <f t="shared" si="43"/>
        <v>0</v>
      </c>
      <c r="CW20" s="459">
        <f t="shared" si="44"/>
        <v>0</v>
      </c>
      <c r="CX20" s="459">
        <f t="shared" si="45"/>
        <v>0</v>
      </c>
      <c r="CY20" s="459">
        <f t="shared" si="46"/>
        <v>0</v>
      </c>
      <c r="CZ20" s="459">
        <f t="shared" si="47"/>
        <v>0</v>
      </c>
      <c r="DA20" s="460">
        <f t="shared" si="61"/>
        <v>0</v>
      </c>
      <c r="DB20" s="463"/>
      <c r="DC20" s="459">
        <f t="shared" si="62"/>
        <v>0</v>
      </c>
      <c r="DD20" s="459">
        <f t="shared" si="48"/>
        <v>0</v>
      </c>
      <c r="DE20" s="459">
        <f t="shared" si="48"/>
        <v>0</v>
      </c>
      <c r="DF20" s="459">
        <f t="shared" si="48"/>
        <v>0</v>
      </c>
      <c r="DG20" s="459">
        <f t="shared" si="48"/>
        <v>0</v>
      </c>
      <c r="DH20" s="459">
        <f t="shared" si="48"/>
        <v>0</v>
      </c>
      <c r="DI20" s="459">
        <f t="shared" si="48"/>
        <v>0</v>
      </c>
      <c r="DJ20" s="459">
        <f t="shared" si="48"/>
        <v>0</v>
      </c>
      <c r="DK20" s="459">
        <f t="shared" si="48"/>
        <v>0</v>
      </c>
      <c r="DL20" s="459">
        <f t="shared" si="48"/>
        <v>0</v>
      </c>
      <c r="DM20" s="460">
        <f t="shared" si="63"/>
        <v>0</v>
      </c>
      <c r="DN20" s="463"/>
      <c r="DO20" s="459">
        <f t="shared" si="49"/>
        <v>0</v>
      </c>
      <c r="DP20" s="459">
        <f t="shared" si="49"/>
        <v>0</v>
      </c>
      <c r="DQ20" s="459">
        <f t="shared" si="49"/>
        <v>0</v>
      </c>
      <c r="DR20" s="459">
        <f t="shared" si="49"/>
        <v>0</v>
      </c>
      <c r="DS20" s="459">
        <f t="shared" si="49"/>
        <v>0</v>
      </c>
      <c r="DT20" s="459">
        <f t="shared" si="49"/>
        <v>0</v>
      </c>
      <c r="DU20" s="459">
        <f t="shared" si="49"/>
        <v>0</v>
      </c>
      <c r="DV20" s="459">
        <f t="shared" si="49"/>
        <v>0</v>
      </c>
      <c r="DW20" s="459">
        <f t="shared" si="49"/>
        <v>0</v>
      </c>
      <c r="DX20" s="459">
        <f t="shared" si="49"/>
        <v>0</v>
      </c>
      <c r="DY20" s="460">
        <f t="shared" si="64"/>
        <v>0</v>
      </c>
      <c r="DZ20" s="463"/>
      <c r="EA20" s="459">
        <f t="shared" si="50"/>
        <v>0</v>
      </c>
      <c r="EB20" s="459">
        <f t="shared" si="50"/>
        <v>0</v>
      </c>
      <c r="EC20" s="459">
        <f t="shared" si="50"/>
        <v>0</v>
      </c>
      <c r="ED20" s="459">
        <f t="shared" si="50"/>
        <v>0</v>
      </c>
      <c r="EE20" s="459">
        <f t="shared" si="50"/>
        <v>0</v>
      </c>
      <c r="EF20" s="459">
        <f t="shared" si="50"/>
        <v>0</v>
      </c>
      <c r="EG20" s="459">
        <f t="shared" si="50"/>
        <v>0</v>
      </c>
      <c r="EH20" s="459">
        <f t="shared" si="50"/>
        <v>0</v>
      </c>
      <c r="EI20" s="459">
        <f t="shared" si="50"/>
        <v>0</v>
      </c>
      <c r="EJ20" s="459">
        <f t="shared" si="50"/>
        <v>0</v>
      </c>
      <c r="EK20" s="460">
        <f t="shared" si="65"/>
        <v>0</v>
      </c>
    </row>
    <row r="21" spans="2:141" s="268" customFormat="1" ht="15" customHeight="1" x14ac:dyDescent="0.25">
      <c r="B21" s="464" t="str">
        <f>'2. START'!C$7</f>
        <v>100GEM</v>
      </c>
      <c r="C21" s="526"/>
      <c r="D21" s="591"/>
      <c r="E21" s="527">
        <v>0</v>
      </c>
      <c r="F21" s="527" t="s">
        <v>36</v>
      </c>
      <c r="G21" s="527"/>
      <c r="H21" s="515"/>
      <c r="I21" s="515"/>
      <c r="J21" s="515"/>
      <c r="K21" s="515"/>
      <c r="L21" s="515"/>
      <c r="M21" s="515"/>
      <c r="N21" s="515"/>
      <c r="O21" s="515"/>
      <c r="P21" s="515"/>
      <c r="Q21" s="515"/>
      <c r="R21" s="442">
        <f t="shared" si="13"/>
        <v>0</v>
      </c>
      <c r="S21" s="516">
        <f>IF('2. START'!$C$20="UTB",(SUMIF('3. PARTNER'!B$13:B$80,B21,'3. PARTNER'!M$13:M$80)),(SUMIF('3. PARTNER'!B$13:B$80,B21,'3. PARTNER'!I$13:I$80)))</f>
        <v>0</v>
      </c>
      <c r="T21" s="516">
        <f>IF('2. START'!$C$20="UTB",(SUMIF('3. PARTNER'!B$13:B$80,B21,'3. PARTNER'!N$13:N$80)),(SUMIF('3. PARTNER'!B$13:B$80,B21,'3. PARTNER'!J$13:J$80)))</f>
        <v>0</v>
      </c>
      <c r="U21" s="517">
        <f>IF(F21="NO",0,IF('2. START'!C$13="PERSON+OPERATION",'2. START'!C$12,0)+IF('2. START'!C$13="PERSON+OPERATION+INVEST+FACILIT",'2. START'!C$12,0))</f>
        <v>0</v>
      </c>
      <c r="V21" s="518"/>
      <c r="W21" s="519">
        <f t="shared" si="14"/>
        <v>0</v>
      </c>
      <c r="X21" s="519">
        <f t="shared" si="15"/>
        <v>0</v>
      </c>
      <c r="Y21" s="519">
        <f t="shared" si="16"/>
        <v>0</v>
      </c>
      <c r="Z21" s="519">
        <f t="shared" si="17"/>
        <v>0</v>
      </c>
      <c r="AA21" s="519">
        <f t="shared" si="18"/>
        <v>0</v>
      </c>
      <c r="AB21" s="519">
        <f t="shared" si="19"/>
        <v>0</v>
      </c>
      <c r="AC21" s="519">
        <f t="shared" si="20"/>
        <v>0</v>
      </c>
      <c r="AD21" s="519">
        <f t="shared" si="21"/>
        <v>0</v>
      </c>
      <c r="AE21" s="519">
        <f t="shared" si="22"/>
        <v>0</v>
      </c>
      <c r="AF21" s="519">
        <f t="shared" si="23"/>
        <v>0</v>
      </c>
      <c r="AG21" s="520">
        <f t="shared" si="51"/>
        <v>0</v>
      </c>
      <c r="AI21" s="519">
        <f t="shared" si="24"/>
        <v>0</v>
      </c>
      <c r="AJ21" s="519">
        <f t="shared" si="25"/>
        <v>0</v>
      </c>
      <c r="AK21" s="519">
        <f t="shared" si="26"/>
        <v>0</v>
      </c>
      <c r="AL21" s="519">
        <f t="shared" si="27"/>
        <v>0</v>
      </c>
      <c r="AM21" s="519">
        <f t="shared" si="28"/>
        <v>0</v>
      </c>
      <c r="AN21" s="519">
        <f t="shared" si="29"/>
        <v>0</v>
      </c>
      <c r="AO21" s="519">
        <f t="shared" si="30"/>
        <v>0</v>
      </c>
      <c r="AP21" s="519">
        <f t="shared" si="31"/>
        <v>0</v>
      </c>
      <c r="AQ21" s="519">
        <f t="shared" si="32"/>
        <v>0</v>
      </c>
      <c r="AR21" s="519">
        <f t="shared" si="33"/>
        <v>0</v>
      </c>
      <c r="AS21" s="520">
        <f t="shared" si="52"/>
        <v>0</v>
      </c>
      <c r="AU21" s="519">
        <f t="shared" si="53"/>
        <v>0</v>
      </c>
      <c r="AV21" s="519">
        <f t="shared" si="34"/>
        <v>0</v>
      </c>
      <c r="AW21" s="519">
        <f t="shared" si="34"/>
        <v>0</v>
      </c>
      <c r="AX21" s="519">
        <f t="shared" si="34"/>
        <v>0</v>
      </c>
      <c r="AY21" s="519">
        <f t="shared" si="34"/>
        <v>0</v>
      </c>
      <c r="AZ21" s="519">
        <f t="shared" si="34"/>
        <v>0</v>
      </c>
      <c r="BA21" s="519">
        <f t="shared" si="34"/>
        <v>0</v>
      </c>
      <c r="BB21" s="519">
        <f t="shared" si="34"/>
        <v>0</v>
      </c>
      <c r="BC21" s="519">
        <f t="shared" si="34"/>
        <v>0</v>
      </c>
      <c r="BD21" s="519">
        <f t="shared" si="34"/>
        <v>0</v>
      </c>
      <c r="BE21" s="520">
        <f t="shared" si="54"/>
        <v>0</v>
      </c>
      <c r="BG21" s="519">
        <f t="shared" si="55"/>
        <v>0</v>
      </c>
      <c r="BH21" s="519">
        <f t="shared" si="35"/>
        <v>0</v>
      </c>
      <c r="BI21" s="519">
        <f t="shared" si="35"/>
        <v>0</v>
      </c>
      <c r="BJ21" s="519">
        <f t="shared" si="35"/>
        <v>0</v>
      </c>
      <c r="BK21" s="519">
        <f t="shared" si="35"/>
        <v>0</v>
      </c>
      <c r="BL21" s="519">
        <f t="shared" si="35"/>
        <v>0</v>
      </c>
      <c r="BM21" s="519">
        <f t="shared" si="35"/>
        <v>0</v>
      </c>
      <c r="BN21" s="519">
        <f t="shared" si="35"/>
        <v>0</v>
      </c>
      <c r="BO21" s="519">
        <f t="shared" si="35"/>
        <v>0</v>
      </c>
      <c r="BP21" s="519">
        <f t="shared" si="35"/>
        <v>0</v>
      </c>
      <c r="BQ21" s="520">
        <f t="shared" si="56"/>
        <v>0</v>
      </c>
      <c r="BS21" s="519">
        <f t="shared" si="57"/>
        <v>0</v>
      </c>
      <c r="BT21" s="519">
        <f t="shared" si="36"/>
        <v>0</v>
      </c>
      <c r="BU21" s="519">
        <f t="shared" si="36"/>
        <v>0</v>
      </c>
      <c r="BV21" s="519">
        <f t="shared" si="36"/>
        <v>0</v>
      </c>
      <c r="BW21" s="519">
        <f t="shared" si="36"/>
        <v>0</v>
      </c>
      <c r="BX21" s="519">
        <f t="shared" si="36"/>
        <v>0</v>
      </c>
      <c r="BY21" s="519">
        <f t="shared" si="36"/>
        <v>0</v>
      </c>
      <c r="BZ21" s="519">
        <f t="shared" si="36"/>
        <v>0</v>
      </c>
      <c r="CA21" s="519">
        <f t="shared" si="36"/>
        <v>0</v>
      </c>
      <c r="CB21" s="519">
        <f t="shared" si="36"/>
        <v>0</v>
      </c>
      <c r="CC21" s="520">
        <f t="shared" si="58"/>
        <v>0</v>
      </c>
      <c r="CE21" s="519">
        <f t="shared" si="59"/>
        <v>0</v>
      </c>
      <c r="CF21" s="519">
        <f t="shared" si="37"/>
        <v>0</v>
      </c>
      <c r="CG21" s="519">
        <f t="shared" si="37"/>
        <v>0</v>
      </c>
      <c r="CH21" s="519">
        <f t="shared" si="37"/>
        <v>0</v>
      </c>
      <c r="CI21" s="519">
        <f t="shared" si="37"/>
        <v>0</v>
      </c>
      <c r="CJ21" s="519">
        <f t="shared" si="37"/>
        <v>0</v>
      </c>
      <c r="CK21" s="519">
        <f t="shared" si="37"/>
        <v>0</v>
      </c>
      <c r="CL21" s="519">
        <f t="shared" si="37"/>
        <v>0</v>
      </c>
      <c r="CM21" s="519">
        <f t="shared" si="37"/>
        <v>0</v>
      </c>
      <c r="CN21" s="519">
        <f t="shared" si="37"/>
        <v>0</v>
      </c>
      <c r="CO21" s="520">
        <f t="shared" si="60"/>
        <v>0</v>
      </c>
      <c r="CQ21" s="519">
        <f t="shared" si="38"/>
        <v>0</v>
      </c>
      <c r="CR21" s="519">
        <f t="shared" si="39"/>
        <v>0</v>
      </c>
      <c r="CS21" s="519">
        <f t="shared" si="40"/>
        <v>0</v>
      </c>
      <c r="CT21" s="519">
        <f t="shared" si="41"/>
        <v>0</v>
      </c>
      <c r="CU21" s="519">
        <f t="shared" si="42"/>
        <v>0</v>
      </c>
      <c r="CV21" s="519">
        <f t="shared" si="43"/>
        <v>0</v>
      </c>
      <c r="CW21" s="519">
        <f t="shared" si="44"/>
        <v>0</v>
      </c>
      <c r="CX21" s="519">
        <f t="shared" si="45"/>
        <v>0</v>
      </c>
      <c r="CY21" s="519">
        <f t="shared" si="46"/>
        <v>0</v>
      </c>
      <c r="CZ21" s="519">
        <f t="shared" si="47"/>
        <v>0</v>
      </c>
      <c r="DA21" s="520">
        <f t="shared" si="61"/>
        <v>0</v>
      </c>
      <c r="DC21" s="519">
        <f t="shared" si="62"/>
        <v>0</v>
      </c>
      <c r="DD21" s="519">
        <f t="shared" si="48"/>
        <v>0</v>
      </c>
      <c r="DE21" s="519">
        <f t="shared" si="48"/>
        <v>0</v>
      </c>
      <c r="DF21" s="519">
        <f t="shared" si="48"/>
        <v>0</v>
      </c>
      <c r="DG21" s="519">
        <f t="shared" si="48"/>
        <v>0</v>
      </c>
      <c r="DH21" s="519">
        <f t="shared" si="48"/>
        <v>0</v>
      </c>
      <c r="DI21" s="519">
        <f t="shared" si="48"/>
        <v>0</v>
      </c>
      <c r="DJ21" s="519">
        <f t="shared" si="48"/>
        <v>0</v>
      </c>
      <c r="DK21" s="519">
        <f t="shared" si="48"/>
        <v>0</v>
      </c>
      <c r="DL21" s="519">
        <f t="shared" si="48"/>
        <v>0</v>
      </c>
      <c r="DM21" s="520">
        <f t="shared" si="63"/>
        <v>0</v>
      </c>
      <c r="DO21" s="519">
        <f t="shared" si="49"/>
        <v>0</v>
      </c>
      <c r="DP21" s="519">
        <f t="shared" si="49"/>
        <v>0</v>
      </c>
      <c r="DQ21" s="519">
        <f t="shared" si="49"/>
        <v>0</v>
      </c>
      <c r="DR21" s="519">
        <f t="shared" si="49"/>
        <v>0</v>
      </c>
      <c r="DS21" s="519">
        <f t="shared" si="49"/>
        <v>0</v>
      </c>
      <c r="DT21" s="519">
        <f t="shared" si="49"/>
        <v>0</v>
      </c>
      <c r="DU21" s="519">
        <f t="shared" si="49"/>
        <v>0</v>
      </c>
      <c r="DV21" s="519">
        <f t="shared" si="49"/>
        <v>0</v>
      </c>
      <c r="DW21" s="519">
        <f t="shared" si="49"/>
        <v>0</v>
      </c>
      <c r="DX21" s="519">
        <f t="shared" si="49"/>
        <v>0</v>
      </c>
      <c r="DY21" s="520">
        <f t="shared" si="64"/>
        <v>0</v>
      </c>
      <c r="EA21" s="519">
        <f t="shared" si="50"/>
        <v>0</v>
      </c>
      <c r="EB21" s="519">
        <f t="shared" si="50"/>
        <v>0</v>
      </c>
      <c r="EC21" s="519">
        <f t="shared" si="50"/>
        <v>0</v>
      </c>
      <c r="ED21" s="519">
        <f t="shared" si="50"/>
        <v>0</v>
      </c>
      <c r="EE21" s="519">
        <f t="shared" si="50"/>
        <v>0</v>
      </c>
      <c r="EF21" s="519">
        <f t="shared" si="50"/>
        <v>0</v>
      </c>
      <c r="EG21" s="519">
        <f t="shared" si="50"/>
        <v>0</v>
      </c>
      <c r="EH21" s="519">
        <f t="shared" si="50"/>
        <v>0</v>
      </c>
      <c r="EI21" s="519">
        <f t="shared" si="50"/>
        <v>0</v>
      </c>
      <c r="EJ21" s="519">
        <f t="shared" si="50"/>
        <v>0</v>
      </c>
      <c r="EK21" s="520">
        <f t="shared" si="65"/>
        <v>0</v>
      </c>
    </row>
    <row r="22" spans="2:141" s="268" customFormat="1" ht="15" customHeight="1" x14ac:dyDescent="0.25">
      <c r="B22" s="446" t="str">
        <f>'2. START'!C$7</f>
        <v>100GEM</v>
      </c>
      <c r="C22" s="521"/>
      <c r="D22" s="592"/>
      <c r="E22" s="522">
        <v>0</v>
      </c>
      <c r="F22" s="522" t="s">
        <v>36</v>
      </c>
      <c r="G22" s="522"/>
      <c r="H22" s="523"/>
      <c r="I22" s="523"/>
      <c r="J22" s="523"/>
      <c r="K22" s="523"/>
      <c r="L22" s="523"/>
      <c r="M22" s="523"/>
      <c r="N22" s="523"/>
      <c r="O22" s="523"/>
      <c r="P22" s="523"/>
      <c r="Q22" s="523"/>
      <c r="R22" s="459">
        <f t="shared" si="13"/>
        <v>0</v>
      </c>
      <c r="S22" s="524">
        <f>IF('2. START'!$C$20="UTB",(SUMIF('3. PARTNER'!B$13:B$80,B22,'3. PARTNER'!M$13:M$80)),(SUMIF('3. PARTNER'!B$13:B$80,B22,'3. PARTNER'!I$13:I$80)))</f>
        <v>0</v>
      </c>
      <c r="T22" s="524">
        <f>IF('2. START'!$C$20="UTB",(SUMIF('3. PARTNER'!B$13:B$80,B22,'3. PARTNER'!N$13:N$80)),(SUMIF('3. PARTNER'!B$13:B$80,B22,'3. PARTNER'!J$13:J$80)))</f>
        <v>0</v>
      </c>
      <c r="U22" s="454">
        <f>IF(F22="NO",0,IF('2. START'!C$13="PERSON+OPERATION",'2. START'!C$12,0)+IF('2. START'!C$13="PERSON+OPERATION+INVEST+FACILIT",'2. START'!C$12,0))</f>
        <v>0</v>
      </c>
      <c r="V22" s="525"/>
      <c r="W22" s="459">
        <f t="shared" si="14"/>
        <v>0</v>
      </c>
      <c r="X22" s="459">
        <f t="shared" si="15"/>
        <v>0</v>
      </c>
      <c r="Y22" s="459">
        <f t="shared" si="16"/>
        <v>0</v>
      </c>
      <c r="Z22" s="459">
        <f t="shared" si="17"/>
        <v>0</v>
      </c>
      <c r="AA22" s="459">
        <f t="shared" si="18"/>
        <v>0</v>
      </c>
      <c r="AB22" s="459">
        <f t="shared" si="19"/>
        <v>0</v>
      </c>
      <c r="AC22" s="459">
        <f t="shared" si="20"/>
        <v>0</v>
      </c>
      <c r="AD22" s="459">
        <f t="shared" si="21"/>
        <v>0</v>
      </c>
      <c r="AE22" s="459">
        <f t="shared" si="22"/>
        <v>0</v>
      </c>
      <c r="AF22" s="459">
        <f t="shared" si="23"/>
        <v>0</v>
      </c>
      <c r="AG22" s="460">
        <f t="shared" si="51"/>
        <v>0</v>
      </c>
      <c r="AH22" s="463"/>
      <c r="AI22" s="459">
        <f t="shared" si="24"/>
        <v>0</v>
      </c>
      <c r="AJ22" s="459">
        <f t="shared" si="25"/>
        <v>0</v>
      </c>
      <c r="AK22" s="459">
        <f t="shared" si="26"/>
        <v>0</v>
      </c>
      <c r="AL22" s="459">
        <f t="shared" si="27"/>
        <v>0</v>
      </c>
      <c r="AM22" s="459">
        <f t="shared" si="28"/>
        <v>0</v>
      </c>
      <c r="AN22" s="459">
        <f t="shared" si="29"/>
        <v>0</v>
      </c>
      <c r="AO22" s="459">
        <f t="shared" si="30"/>
        <v>0</v>
      </c>
      <c r="AP22" s="459">
        <f t="shared" si="31"/>
        <v>0</v>
      </c>
      <c r="AQ22" s="459">
        <f t="shared" si="32"/>
        <v>0</v>
      </c>
      <c r="AR22" s="459">
        <f t="shared" si="33"/>
        <v>0</v>
      </c>
      <c r="AS22" s="460">
        <f t="shared" si="52"/>
        <v>0</v>
      </c>
      <c r="AT22" s="463"/>
      <c r="AU22" s="459">
        <f t="shared" si="53"/>
        <v>0</v>
      </c>
      <c r="AV22" s="459">
        <f t="shared" si="34"/>
        <v>0</v>
      </c>
      <c r="AW22" s="459">
        <f t="shared" si="34"/>
        <v>0</v>
      </c>
      <c r="AX22" s="459">
        <f t="shared" si="34"/>
        <v>0</v>
      </c>
      <c r="AY22" s="459">
        <f t="shared" si="34"/>
        <v>0</v>
      </c>
      <c r="AZ22" s="459">
        <f t="shared" si="34"/>
        <v>0</v>
      </c>
      <c r="BA22" s="459">
        <f t="shared" si="34"/>
        <v>0</v>
      </c>
      <c r="BB22" s="459">
        <f t="shared" si="34"/>
        <v>0</v>
      </c>
      <c r="BC22" s="459">
        <f t="shared" si="34"/>
        <v>0</v>
      </c>
      <c r="BD22" s="459">
        <f t="shared" si="34"/>
        <v>0</v>
      </c>
      <c r="BE22" s="460">
        <f t="shared" si="54"/>
        <v>0</v>
      </c>
      <c r="BF22" s="463"/>
      <c r="BG22" s="459">
        <f t="shared" si="55"/>
        <v>0</v>
      </c>
      <c r="BH22" s="459">
        <f t="shared" si="35"/>
        <v>0</v>
      </c>
      <c r="BI22" s="459">
        <f t="shared" si="35"/>
        <v>0</v>
      </c>
      <c r="BJ22" s="459">
        <f t="shared" si="35"/>
        <v>0</v>
      </c>
      <c r="BK22" s="459">
        <f t="shared" si="35"/>
        <v>0</v>
      </c>
      <c r="BL22" s="459">
        <f t="shared" si="35"/>
        <v>0</v>
      </c>
      <c r="BM22" s="459">
        <f t="shared" si="35"/>
        <v>0</v>
      </c>
      <c r="BN22" s="459">
        <f t="shared" si="35"/>
        <v>0</v>
      </c>
      <c r="BO22" s="459">
        <f t="shared" si="35"/>
        <v>0</v>
      </c>
      <c r="BP22" s="459">
        <f t="shared" si="35"/>
        <v>0</v>
      </c>
      <c r="BQ22" s="460">
        <f t="shared" si="56"/>
        <v>0</v>
      </c>
      <c r="BR22" s="463"/>
      <c r="BS22" s="459">
        <f t="shared" si="57"/>
        <v>0</v>
      </c>
      <c r="BT22" s="459">
        <f t="shared" si="36"/>
        <v>0</v>
      </c>
      <c r="BU22" s="459">
        <f t="shared" si="36"/>
        <v>0</v>
      </c>
      <c r="BV22" s="459">
        <f t="shared" si="36"/>
        <v>0</v>
      </c>
      <c r="BW22" s="459">
        <f t="shared" si="36"/>
        <v>0</v>
      </c>
      <c r="BX22" s="459">
        <f t="shared" si="36"/>
        <v>0</v>
      </c>
      <c r="BY22" s="459">
        <f t="shared" si="36"/>
        <v>0</v>
      </c>
      <c r="BZ22" s="459">
        <f t="shared" si="36"/>
        <v>0</v>
      </c>
      <c r="CA22" s="459">
        <f t="shared" si="36"/>
        <v>0</v>
      </c>
      <c r="CB22" s="459">
        <f t="shared" si="36"/>
        <v>0</v>
      </c>
      <c r="CC22" s="460">
        <f t="shared" si="58"/>
        <v>0</v>
      </c>
      <c r="CD22" s="463"/>
      <c r="CE22" s="459">
        <f t="shared" si="59"/>
        <v>0</v>
      </c>
      <c r="CF22" s="459">
        <f t="shared" si="37"/>
        <v>0</v>
      </c>
      <c r="CG22" s="459">
        <f t="shared" si="37"/>
        <v>0</v>
      </c>
      <c r="CH22" s="459">
        <f t="shared" si="37"/>
        <v>0</v>
      </c>
      <c r="CI22" s="459">
        <f t="shared" si="37"/>
        <v>0</v>
      </c>
      <c r="CJ22" s="459">
        <f t="shared" si="37"/>
        <v>0</v>
      </c>
      <c r="CK22" s="459">
        <f t="shared" si="37"/>
        <v>0</v>
      </c>
      <c r="CL22" s="459">
        <f t="shared" si="37"/>
        <v>0</v>
      </c>
      <c r="CM22" s="459">
        <f t="shared" si="37"/>
        <v>0</v>
      </c>
      <c r="CN22" s="459">
        <f t="shared" si="37"/>
        <v>0</v>
      </c>
      <c r="CO22" s="460">
        <f t="shared" si="60"/>
        <v>0</v>
      </c>
      <c r="CP22" s="463"/>
      <c r="CQ22" s="459">
        <f t="shared" si="38"/>
        <v>0</v>
      </c>
      <c r="CR22" s="459">
        <f t="shared" si="39"/>
        <v>0</v>
      </c>
      <c r="CS22" s="459">
        <f t="shared" si="40"/>
        <v>0</v>
      </c>
      <c r="CT22" s="459">
        <f t="shared" si="41"/>
        <v>0</v>
      </c>
      <c r="CU22" s="459">
        <f t="shared" si="42"/>
        <v>0</v>
      </c>
      <c r="CV22" s="459">
        <f t="shared" si="43"/>
        <v>0</v>
      </c>
      <c r="CW22" s="459">
        <f t="shared" si="44"/>
        <v>0</v>
      </c>
      <c r="CX22" s="459">
        <f t="shared" si="45"/>
        <v>0</v>
      </c>
      <c r="CY22" s="459">
        <f t="shared" si="46"/>
        <v>0</v>
      </c>
      <c r="CZ22" s="459">
        <f t="shared" si="47"/>
        <v>0</v>
      </c>
      <c r="DA22" s="460">
        <f t="shared" si="61"/>
        <v>0</v>
      </c>
      <c r="DB22" s="463"/>
      <c r="DC22" s="459">
        <f t="shared" si="62"/>
        <v>0</v>
      </c>
      <c r="DD22" s="459">
        <f t="shared" si="48"/>
        <v>0</v>
      </c>
      <c r="DE22" s="459">
        <f t="shared" si="48"/>
        <v>0</v>
      </c>
      <c r="DF22" s="459">
        <f t="shared" si="48"/>
        <v>0</v>
      </c>
      <c r="DG22" s="459">
        <f t="shared" si="48"/>
        <v>0</v>
      </c>
      <c r="DH22" s="459">
        <f t="shared" si="48"/>
        <v>0</v>
      </c>
      <c r="DI22" s="459">
        <f t="shared" si="48"/>
        <v>0</v>
      </c>
      <c r="DJ22" s="459">
        <f t="shared" si="48"/>
        <v>0</v>
      </c>
      <c r="DK22" s="459">
        <f t="shared" si="48"/>
        <v>0</v>
      </c>
      <c r="DL22" s="459">
        <f t="shared" si="48"/>
        <v>0</v>
      </c>
      <c r="DM22" s="460">
        <f t="shared" si="63"/>
        <v>0</v>
      </c>
      <c r="DN22" s="463"/>
      <c r="DO22" s="459">
        <f t="shared" si="49"/>
        <v>0</v>
      </c>
      <c r="DP22" s="459">
        <f t="shared" si="49"/>
        <v>0</v>
      </c>
      <c r="DQ22" s="459">
        <f t="shared" si="49"/>
        <v>0</v>
      </c>
      <c r="DR22" s="459">
        <f t="shared" si="49"/>
        <v>0</v>
      </c>
      <c r="DS22" s="459">
        <f t="shared" si="49"/>
        <v>0</v>
      </c>
      <c r="DT22" s="459">
        <f t="shared" si="49"/>
        <v>0</v>
      </c>
      <c r="DU22" s="459">
        <f t="shared" si="49"/>
        <v>0</v>
      </c>
      <c r="DV22" s="459">
        <f t="shared" si="49"/>
        <v>0</v>
      </c>
      <c r="DW22" s="459">
        <f t="shared" si="49"/>
        <v>0</v>
      </c>
      <c r="DX22" s="459">
        <f t="shared" si="49"/>
        <v>0</v>
      </c>
      <c r="DY22" s="460">
        <f t="shared" si="64"/>
        <v>0</v>
      </c>
      <c r="DZ22" s="463"/>
      <c r="EA22" s="459">
        <f t="shared" si="50"/>
        <v>0</v>
      </c>
      <c r="EB22" s="459">
        <f t="shared" si="50"/>
        <v>0</v>
      </c>
      <c r="EC22" s="459">
        <f t="shared" si="50"/>
        <v>0</v>
      </c>
      <c r="ED22" s="459">
        <f t="shared" si="50"/>
        <v>0</v>
      </c>
      <c r="EE22" s="459">
        <f t="shared" si="50"/>
        <v>0</v>
      </c>
      <c r="EF22" s="459">
        <f t="shared" si="50"/>
        <v>0</v>
      </c>
      <c r="EG22" s="459">
        <f t="shared" si="50"/>
        <v>0</v>
      </c>
      <c r="EH22" s="459">
        <f t="shared" si="50"/>
        <v>0</v>
      </c>
      <c r="EI22" s="459">
        <f t="shared" si="50"/>
        <v>0</v>
      </c>
      <c r="EJ22" s="459">
        <f t="shared" si="50"/>
        <v>0</v>
      </c>
      <c r="EK22" s="460">
        <f t="shared" si="65"/>
        <v>0</v>
      </c>
    </row>
    <row r="23" spans="2:141" s="268" customFormat="1" ht="15" customHeight="1" x14ac:dyDescent="0.25">
      <c r="B23" s="464" t="str">
        <f>'2. START'!C$7</f>
        <v>100GEM</v>
      </c>
      <c r="C23" s="526"/>
      <c r="D23" s="591"/>
      <c r="E23" s="527">
        <v>0</v>
      </c>
      <c r="F23" s="527" t="s">
        <v>36</v>
      </c>
      <c r="G23" s="527"/>
      <c r="H23" s="515"/>
      <c r="I23" s="515"/>
      <c r="J23" s="515"/>
      <c r="K23" s="515"/>
      <c r="L23" s="515"/>
      <c r="M23" s="515"/>
      <c r="N23" s="515"/>
      <c r="O23" s="515"/>
      <c r="P23" s="515"/>
      <c r="Q23" s="515"/>
      <c r="R23" s="442">
        <f t="shared" si="13"/>
        <v>0</v>
      </c>
      <c r="S23" s="516">
        <f>IF('2. START'!$C$20="UTB",(SUMIF('3. PARTNER'!B$13:B$80,B23,'3. PARTNER'!M$13:M$80)),(SUMIF('3. PARTNER'!B$13:B$80,B23,'3. PARTNER'!I$13:I$80)))</f>
        <v>0</v>
      </c>
      <c r="T23" s="516">
        <f>IF('2. START'!$C$20="UTB",(SUMIF('3. PARTNER'!B$13:B$80,B23,'3. PARTNER'!N$13:N$80)),(SUMIF('3. PARTNER'!B$13:B$80,B23,'3. PARTNER'!J$13:J$80)))</f>
        <v>0</v>
      </c>
      <c r="U23" s="517">
        <f>IF(F23="NO",0,IF('2. START'!C$13="PERSON+OPERATION",'2. START'!C$12,0)+IF('2. START'!C$13="PERSON+OPERATION+INVEST+FACILIT",'2. START'!C$12,0))</f>
        <v>0</v>
      </c>
      <c r="V23" s="518"/>
      <c r="W23" s="519">
        <f t="shared" si="14"/>
        <v>0</v>
      </c>
      <c r="X23" s="519">
        <f t="shared" si="15"/>
        <v>0</v>
      </c>
      <c r="Y23" s="519">
        <f t="shared" si="16"/>
        <v>0</v>
      </c>
      <c r="Z23" s="519">
        <f t="shared" si="17"/>
        <v>0</v>
      </c>
      <c r="AA23" s="519">
        <f t="shared" si="18"/>
        <v>0</v>
      </c>
      <c r="AB23" s="519">
        <f t="shared" si="19"/>
        <v>0</v>
      </c>
      <c r="AC23" s="519">
        <f t="shared" si="20"/>
        <v>0</v>
      </c>
      <c r="AD23" s="519">
        <f t="shared" si="21"/>
        <v>0</v>
      </c>
      <c r="AE23" s="519">
        <f t="shared" si="22"/>
        <v>0</v>
      </c>
      <c r="AF23" s="519">
        <f t="shared" si="23"/>
        <v>0</v>
      </c>
      <c r="AG23" s="520">
        <f t="shared" si="51"/>
        <v>0</v>
      </c>
      <c r="AI23" s="519">
        <f t="shared" si="24"/>
        <v>0</v>
      </c>
      <c r="AJ23" s="519">
        <f t="shared" si="25"/>
        <v>0</v>
      </c>
      <c r="AK23" s="519">
        <f t="shared" si="26"/>
        <v>0</v>
      </c>
      <c r="AL23" s="519">
        <f t="shared" si="27"/>
        <v>0</v>
      </c>
      <c r="AM23" s="519">
        <f t="shared" si="28"/>
        <v>0</v>
      </c>
      <c r="AN23" s="519">
        <f t="shared" si="29"/>
        <v>0</v>
      </c>
      <c r="AO23" s="519">
        <f t="shared" si="30"/>
        <v>0</v>
      </c>
      <c r="AP23" s="519">
        <f t="shared" si="31"/>
        <v>0</v>
      </c>
      <c r="AQ23" s="519">
        <f t="shared" si="32"/>
        <v>0</v>
      </c>
      <c r="AR23" s="519">
        <f t="shared" si="33"/>
        <v>0</v>
      </c>
      <c r="AS23" s="520">
        <f t="shared" si="52"/>
        <v>0</v>
      </c>
      <c r="AU23" s="519">
        <f t="shared" si="53"/>
        <v>0</v>
      </c>
      <c r="AV23" s="519">
        <f t="shared" si="34"/>
        <v>0</v>
      </c>
      <c r="AW23" s="519">
        <f t="shared" si="34"/>
        <v>0</v>
      </c>
      <c r="AX23" s="519">
        <f t="shared" si="34"/>
        <v>0</v>
      </c>
      <c r="AY23" s="519">
        <f t="shared" si="34"/>
        <v>0</v>
      </c>
      <c r="AZ23" s="519">
        <f t="shared" si="34"/>
        <v>0</v>
      </c>
      <c r="BA23" s="519">
        <f t="shared" si="34"/>
        <v>0</v>
      </c>
      <c r="BB23" s="519">
        <f t="shared" si="34"/>
        <v>0</v>
      </c>
      <c r="BC23" s="519">
        <f t="shared" si="34"/>
        <v>0</v>
      </c>
      <c r="BD23" s="519">
        <f t="shared" si="34"/>
        <v>0</v>
      </c>
      <c r="BE23" s="520">
        <f t="shared" si="54"/>
        <v>0</v>
      </c>
      <c r="BG23" s="519">
        <f t="shared" si="55"/>
        <v>0</v>
      </c>
      <c r="BH23" s="519">
        <f t="shared" si="35"/>
        <v>0</v>
      </c>
      <c r="BI23" s="519">
        <f t="shared" si="35"/>
        <v>0</v>
      </c>
      <c r="BJ23" s="519">
        <f t="shared" si="35"/>
        <v>0</v>
      </c>
      <c r="BK23" s="519">
        <f t="shared" si="35"/>
        <v>0</v>
      </c>
      <c r="BL23" s="519">
        <f t="shared" si="35"/>
        <v>0</v>
      </c>
      <c r="BM23" s="519">
        <f t="shared" si="35"/>
        <v>0</v>
      </c>
      <c r="BN23" s="519">
        <f t="shared" si="35"/>
        <v>0</v>
      </c>
      <c r="BO23" s="519">
        <f t="shared" si="35"/>
        <v>0</v>
      </c>
      <c r="BP23" s="519">
        <f t="shared" si="35"/>
        <v>0</v>
      </c>
      <c r="BQ23" s="520">
        <f t="shared" si="56"/>
        <v>0</v>
      </c>
      <c r="BS23" s="519">
        <f t="shared" si="57"/>
        <v>0</v>
      </c>
      <c r="BT23" s="519">
        <f t="shared" si="36"/>
        <v>0</v>
      </c>
      <c r="BU23" s="519">
        <f t="shared" si="36"/>
        <v>0</v>
      </c>
      <c r="BV23" s="519">
        <f t="shared" si="36"/>
        <v>0</v>
      </c>
      <c r="BW23" s="519">
        <f t="shared" si="36"/>
        <v>0</v>
      </c>
      <c r="BX23" s="519">
        <f t="shared" si="36"/>
        <v>0</v>
      </c>
      <c r="BY23" s="519">
        <f t="shared" si="36"/>
        <v>0</v>
      </c>
      <c r="BZ23" s="519">
        <f t="shared" si="36"/>
        <v>0</v>
      </c>
      <c r="CA23" s="519">
        <f t="shared" si="36"/>
        <v>0</v>
      </c>
      <c r="CB23" s="519">
        <f t="shared" si="36"/>
        <v>0</v>
      </c>
      <c r="CC23" s="520">
        <f t="shared" si="58"/>
        <v>0</v>
      </c>
      <c r="CE23" s="519">
        <f t="shared" si="59"/>
        <v>0</v>
      </c>
      <c r="CF23" s="519">
        <f t="shared" si="37"/>
        <v>0</v>
      </c>
      <c r="CG23" s="519">
        <f t="shared" si="37"/>
        <v>0</v>
      </c>
      <c r="CH23" s="519">
        <f t="shared" si="37"/>
        <v>0</v>
      </c>
      <c r="CI23" s="519">
        <f t="shared" si="37"/>
        <v>0</v>
      </c>
      <c r="CJ23" s="519">
        <f t="shared" si="37"/>
        <v>0</v>
      </c>
      <c r="CK23" s="519">
        <f t="shared" si="37"/>
        <v>0</v>
      </c>
      <c r="CL23" s="519">
        <f t="shared" si="37"/>
        <v>0</v>
      </c>
      <c r="CM23" s="519">
        <f t="shared" si="37"/>
        <v>0</v>
      </c>
      <c r="CN23" s="519">
        <f t="shared" si="37"/>
        <v>0</v>
      </c>
      <c r="CO23" s="520">
        <f t="shared" si="60"/>
        <v>0</v>
      </c>
      <c r="CQ23" s="519">
        <f t="shared" si="38"/>
        <v>0</v>
      </c>
      <c r="CR23" s="519">
        <f t="shared" si="39"/>
        <v>0</v>
      </c>
      <c r="CS23" s="519">
        <f t="shared" si="40"/>
        <v>0</v>
      </c>
      <c r="CT23" s="519">
        <f t="shared" si="41"/>
        <v>0</v>
      </c>
      <c r="CU23" s="519">
        <f t="shared" si="42"/>
        <v>0</v>
      </c>
      <c r="CV23" s="519">
        <f t="shared" si="43"/>
        <v>0</v>
      </c>
      <c r="CW23" s="519">
        <f t="shared" si="44"/>
        <v>0</v>
      </c>
      <c r="CX23" s="519">
        <f t="shared" si="45"/>
        <v>0</v>
      </c>
      <c r="CY23" s="519">
        <f t="shared" si="46"/>
        <v>0</v>
      </c>
      <c r="CZ23" s="519">
        <f t="shared" si="47"/>
        <v>0</v>
      </c>
      <c r="DA23" s="520">
        <f t="shared" si="61"/>
        <v>0</v>
      </c>
      <c r="DC23" s="519">
        <f t="shared" si="62"/>
        <v>0</v>
      </c>
      <c r="DD23" s="519">
        <f t="shared" si="48"/>
        <v>0</v>
      </c>
      <c r="DE23" s="519">
        <f t="shared" si="48"/>
        <v>0</v>
      </c>
      <c r="DF23" s="519">
        <f t="shared" si="48"/>
        <v>0</v>
      </c>
      <c r="DG23" s="519">
        <f t="shared" si="48"/>
        <v>0</v>
      </c>
      <c r="DH23" s="519">
        <f t="shared" si="48"/>
        <v>0</v>
      </c>
      <c r="DI23" s="519">
        <f t="shared" si="48"/>
        <v>0</v>
      </c>
      <c r="DJ23" s="519">
        <f t="shared" si="48"/>
        <v>0</v>
      </c>
      <c r="DK23" s="519">
        <f t="shared" si="48"/>
        <v>0</v>
      </c>
      <c r="DL23" s="519">
        <f t="shared" si="48"/>
        <v>0</v>
      </c>
      <c r="DM23" s="520">
        <f t="shared" si="63"/>
        <v>0</v>
      </c>
      <c r="DO23" s="519">
        <f t="shared" si="49"/>
        <v>0</v>
      </c>
      <c r="DP23" s="519">
        <f t="shared" si="49"/>
        <v>0</v>
      </c>
      <c r="DQ23" s="519">
        <f t="shared" si="49"/>
        <v>0</v>
      </c>
      <c r="DR23" s="519">
        <f t="shared" si="49"/>
        <v>0</v>
      </c>
      <c r="DS23" s="519">
        <f t="shared" si="49"/>
        <v>0</v>
      </c>
      <c r="DT23" s="519">
        <f t="shared" si="49"/>
        <v>0</v>
      </c>
      <c r="DU23" s="519">
        <f t="shared" si="49"/>
        <v>0</v>
      </c>
      <c r="DV23" s="519">
        <f t="shared" si="49"/>
        <v>0</v>
      </c>
      <c r="DW23" s="519">
        <f t="shared" si="49"/>
        <v>0</v>
      </c>
      <c r="DX23" s="519">
        <f t="shared" si="49"/>
        <v>0</v>
      </c>
      <c r="DY23" s="520">
        <f t="shared" si="64"/>
        <v>0</v>
      </c>
      <c r="EA23" s="519">
        <f t="shared" si="50"/>
        <v>0</v>
      </c>
      <c r="EB23" s="519">
        <f t="shared" si="50"/>
        <v>0</v>
      </c>
      <c r="EC23" s="519">
        <f t="shared" si="50"/>
        <v>0</v>
      </c>
      <c r="ED23" s="519">
        <f t="shared" si="50"/>
        <v>0</v>
      </c>
      <c r="EE23" s="519">
        <f t="shared" si="50"/>
        <v>0</v>
      </c>
      <c r="EF23" s="519">
        <f t="shared" si="50"/>
        <v>0</v>
      </c>
      <c r="EG23" s="519">
        <f t="shared" si="50"/>
        <v>0</v>
      </c>
      <c r="EH23" s="519">
        <f t="shared" si="50"/>
        <v>0</v>
      </c>
      <c r="EI23" s="519">
        <f t="shared" si="50"/>
        <v>0</v>
      </c>
      <c r="EJ23" s="519">
        <f t="shared" si="50"/>
        <v>0</v>
      </c>
      <c r="EK23" s="520">
        <f t="shared" si="65"/>
        <v>0</v>
      </c>
    </row>
    <row r="24" spans="2:141" s="268" customFormat="1" ht="15" customHeight="1" x14ac:dyDescent="0.25">
      <c r="B24" s="446" t="str">
        <f>'2. START'!C$7</f>
        <v>100GEM</v>
      </c>
      <c r="C24" s="529"/>
      <c r="D24" s="592"/>
      <c r="E24" s="522">
        <v>0</v>
      </c>
      <c r="F24" s="522" t="s">
        <v>36</v>
      </c>
      <c r="G24" s="522"/>
      <c r="H24" s="523"/>
      <c r="I24" s="523"/>
      <c r="J24" s="523"/>
      <c r="K24" s="523"/>
      <c r="L24" s="523"/>
      <c r="M24" s="523"/>
      <c r="N24" s="523"/>
      <c r="O24" s="523"/>
      <c r="P24" s="523"/>
      <c r="Q24" s="523"/>
      <c r="R24" s="459">
        <f t="shared" si="13"/>
        <v>0</v>
      </c>
      <c r="S24" s="524">
        <f>IF('2. START'!$C$20="UTB",(SUMIF('3. PARTNER'!B$13:B$80,B24,'3. PARTNER'!M$13:M$80)),(SUMIF('3. PARTNER'!B$13:B$80,B24,'3. PARTNER'!I$13:I$80)))</f>
        <v>0</v>
      </c>
      <c r="T24" s="524">
        <f>IF('2. START'!$C$20="UTB",(SUMIF('3. PARTNER'!B$13:B$80,B24,'3. PARTNER'!N$13:N$80)),(SUMIF('3. PARTNER'!B$13:B$80,B24,'3. PARTNER'!J$13:J$80)))</f>
        <v>0</v>
      </c>
      <c r="U24" s="454">
        <f>IF(F24="NO",0,IF('2. START'!C$13="PERSON+OPERATION",'2. START'!C$12,0)+IF('2. START'!C$13="PERSON+OPERATION+INVEST+FACILIT",'2. START'!C$12,0))</f>
        <v>0</v>
      </c>
      <c r="V24" s="525"/>
      <c r="W24" s="459">
        <f t="shared" si="14"/>
        <v>0</v>
      </c>
      <c r="X24" s="459">
        <f t="shared" si="15"/>
        <v>0</v>
      </c>
      <c r="Y24" s="459">
        <f t="shared" si="16"/>
        <v>0</v>
      </c>
      <c r="Z24" s="459">
        <f t="shared" si="17"/>
        <v>0</v>
      </c>
      <c r="AA24" s="459">
        <f t="shared" si="18"/>
        <v>0</v>
      </c>
      <c r="AB24" s="459">
        <f t="shared" si="19"/>
        <v>0</v>
      </c>
      <c r="AC24" s="459">
        <f t="shared" si="20"/>
        <v>0</v>
      </c>
      <c r="AD24" s="459">
        <f t="shared" si="21"/>
        <v>0</v>
      </c>
      <c r="AE24" s="459">
        <f t="shared" si="22"/>
        <v>0</v>
      </c>
      <c r="AF24" s="459">
        <f t="shared" si="23"/>
        <v>0</v>
      </c>
      <c r="AG24" s="460">
        <f t="shared" si="51"/>
        <v>0</v>
      </c>
      <c r="AH24" s="463"/>
      <c r="AI24" s="459">
        <f t="shared" si="24"/>
        <v>0</v>
      </c>
      <c r="AJ24" s="459">
        <f t="shared" si="25"/>
        <v>0</v>
      </c>
      <c r="AK24" s="459">
        <f t="shared" si="26"/>
        <v>0</v>
      </c>
      <c r="AL24" s="459">
        <f t="shared" si="27"/>
        <v>0</v>
      </c>
      <c r="AM24" s="459">
        <f t="shared" si="28"/>
        <v>0</v>
      </c>
      <c r="AN24" s="459">
        <f t="shared" si="29"/>
        <v>0</v>
      </c>
      <c r="AO24" s="459">
        <f t="shared" si="30"/>
        <v>0</v>
      </c>
      <c r="AP24" s="459">
        <f t="shared" si="31"/>
        <v>0</v>
      </c>
      <c r="AQ24" s="459">
        <f t="shared" si="32"/>
        <v>0</v>
      </c>
      <c r="AR24" s="459">
        <f t="shared" si="33"/>
        <v>0</v>
      </c>
      <c r="AS24" s="460">
        <f t="shared" si="52"/>
        <v>0</v>
      </c>
      <c r="AT24" s="463"/>
      <c r="AU24" s="459">
        <f t="shared" si="53"/>
        <v>0</v>
      </c>
      <c r="AV24" s="459">
        <f t="shared" si="34"/>
        <v>0</v>
      </c>
      <c r="AW24" s="459">
        <f t="shared" si="34"/>
        <v>0</v>
      </c>
      <c r="AX24" s="459">
        <f t="shared" si="34"/>
        <v>0</v>
      </c>
      <c r="AY24" s="459">
        <f t="shared" si="34"/>
        <v>0</v>
      </c>
      <c r="AZ24" s="459">
        <f t="shared" si="34"/>
        <v>0</v>
      </c>
      <c r="BA24" s="459">
        <f t="shared" si="34"/>
        <v>0</v>
      </c>
      <c r="BB24" s="459">
        <f t="shared" si="34"/>
        <v>0</v>
      </c>
      <c r="BC24" s="459">
        <f t="shared" si="34"/>
        <v>0</v>
      </c>
      <c r="BD24" s="459">
        <f t="shared" si="34"/>
        <v>0</v>
      </c>
      <c r="BE24" s="460">
        <f t="shared" si="54"/>
        <v>0</v>
      </c>
      <c r="BF24" s="463"/>
      <c r="BG24" s="459">
        <f t="shared" si="55"/>
        <v>0</v>
      </c>
      <c r="BH24" s="459">
        <f t="shared" si="35"/>
        <v>0</v>
      </c>
      <c r="BI24" s="459">
        <f t="shared" si="35"/>
        <v>0</v>
      </c>
      <c r="BJ24" s="459">
        <f t="shared" si="35"/>
        <v>0</v>
      </c>
      <c r="BK24" s="459">
        <f t="shared" si="35"/>
        <v>0</v>
      </c>
      <c r="BL24" s="459">
        <f t="shared" si="35"/>
        <v>0</v>
      </c>
      <c r="BM24" s="459">
        <f t="shared" si="35"/>
        <v>0</v>
      </c>
      <c r="BN24" s="459">
        <f t="shared" si="35"/>
        <v>0</v>
      </c>
      <c r="BO24" s="459">
        <f t="shared" si="35"/>
        <v>0</v>
      </c>
      <c r="BP24" s="459">
        <f t="shared" si="35"/>
        <v>0</v>
      </c>
      <c r="BQ24" s="460">
        <f t="shared" si="56"/>
        <v>0</v>
      </c>
      <c r="BR24" s="463"/>
      <c r="BS24" s="459">
        <f t="shared" si="57"/>
        <v>0</v>
      </c>
      <c r="BT24" s="459">
        <f t="shared" si="36"/>
        <v>0</v>
      </c>
      <c r="BU24" s="459">
        <f t="shared" si="36"/>
        <v>0</v>
      </c>
      <c r="BV24" s="459">
        <f t="shared" si="36"/>
        <v>0</v>
      </c>
      <c r="BW24" s="459">
        <f t="shared" si="36"/>
        <v>0</v>
      </c>
      <c r="BX24" s="459">
        <f t="shared" si="36"/>
        <v>0</v>
      </c>
      <c r="BY24" s="459">
        <f t="shared" si="36"/>
        <v>0</v>
      </c>
      <c r="BZ24" s="459">
        <f t="shared" si="36"/>
        <v>0</v>
      </c>
      <c r="CA24" s="459">
        <f t="shared" si="36"/>
        <v>0</v>
      </c>
      <c r="CB24" s="459">
        <f t="shared" si="36"/>
        <v>0</v>
      </c>
      <c r="CC24" s="460">
        <f t="shared" si="58"/>
        <v>0</v>
      </c>
      <c r="CD24" s="463"/>
      <c r="CE24" s="459">
        <f t="shared" si="59"/>
        <v>0</v>
      </c>
      <c r="CF24" s="459">
        <f t="shared" si="37"/>
        <v>0</v>
      </c>
      <c r="CG24" s="459">
        <f t="shared" si="37"/>
        <v>0</v>
      </c>
      <c r="CH24" s="459">
        <f t="shared" si="37"/>
        <v>0</v>
      </c>
      <c r="CI24" s="459">
        <f t="shared" si="37"/>
        <v>0</v>
      </c>
      <c r="CJ24" s="459">
        <f t="shared" si="37"/>
        <v>0</v>
      </c>
      <c r="CK24" s="459">
        <f t="shared" si="37"/>
        <v>0</v>
      </c>
      <c r="CL24" s="459">
        <f t="shared" si="37"/>
        <v>0</v>
      </c>
      <c r="CM24" s="459">
        <f t="shared" si="37"/>
        <v>0</v>
      </c>
      <c r="CN24" s="459">
        <f t="shared" si="37"/>
        <v>0</v>
      </c>
      <c r="CO24" s="460">
        <f t="shared" si="60"/>
        <v>0</v>
      </c>
      <c r="CP24" s="463"/>
      <c r="CQ24" s="459">
        <f t="shared" si="38"/>
        <v>0</v>
      </c>
      <c r="CR24" s="459">
        <f t="shared" si="39"/>
        <v>0</v>
      </c>
      <c r="CS24" s="459">
        <f t="shared" si="40"/>
        <v>0</v>
      </c>
      <c r="CT24" s="459">
        <f t="shared" si="41"/>
        <v>0</v>
      </c>
      <c r="CU24" s="459">
        <f t="shared" si="42"/>
        <v>0</v>
      </c>
      <c r="CV24" s="459">
        <f t="shared" si="43"/>
        <v>0</v>
      </c>
      <c r="CW24" s="459">
        <f t="shared" si="44"/>
        <v>0</v>
      </c>
      <c r="CX24" s="459">
        <f t="shared" si="45"/>
        <v>0</v>
      </c>
      <c r="CY24" s="459">
        <f t="shared" si="46"/>
        <v>0</v>
      </c>
      <c r="CZ24" s="459">
        <f t="shared" si="47"/>
        <v>0</v>
      </c>
      <c r="DA24" s="460">
        <f t="shared" si="61"/>
        <v>0</v>
      </c>
      <c r="DB24" s="463"/>
      <c r="DC24" s="459">
        <f t="shared" si="62"/>
        <v>0</v>
      </c>
      <c r="DD24" s="459">
        <f t="shared" si="48"/>
        <v>0</v>
      </c>
      <c r="DE24" s="459">
        <f t="shared" si="48"/>
        <v>0</v>
      </c>
      <c r="DF24" s="459">
        <f t="shared" si="48"/>
        <v>0</v>
      </c>
      <c r="DG24" s="459">
        <f t="shared" si="48"/>
        <v>0</v>
      </c>
      <c r="DH24" s="459">
        <f t="shared" si="48"/>
        <v>0</v>
      </c>
      <c r="DI24" s="459">
        <f t="shared" si="48"/>
        <v>0</v>
      </c>
      <c r="DJ24" s="459">
        <f t="shared" si="48"/>
        <v>0</v>
      </c>
      <c r="DK24" s="459">
        <f t="shared" si="48"/>
        <v>0</v>
      </c>
      <c r="DL24" s="459">
        <f t="shared" si="48"/>
        <v>0</v>
      </c>
      <c r="DM24" s="460">
        <f t="shared" si="63"/>
        <v>0</v>
      </c>
      <c r="DN24" s="463"/>
      <c r="DO24" s="459">
        <f t="shared" si="49"/>
        <v>0</v>
      </c>
      <c r="DP24" s="459">
        <f t="shared" si="49"/>
        <v>0</v>
      </c>
      <c r="DQ24" s="459">
        <f t="shared" si="49"/>
        <v>0</v>
      </c>
      <c r="DR24" s="459">
        <f t="shared" si="49"/>
        <v>0</v>
      </c>
      <c r="DS24" s="459">
        <f t="shared" si="49"/>
        <v>0</v>
      </c>
      <c r="DT24" s="459">
        <f t="shared" si="49"/>
        <v>0</v>
      </c>
      <c r="DU24" s="459">
        <f t="shared" si="49"/>
        <v>0</v>
      </c>
      <c r="DV24" s="459">
        <f t="shared" si="49"/>
        <v>0</v>
      </c>
      <c r="DW24" s="459">
        <f t="shared" si="49"/>
        <v>0</v>
      </c>
      <c r="DX24" s="459">
        <f t="shared" si="49"/>
        <v>0</v>
      </c>
      <c r="DY24" s="460">
        <f t="shared" si="64"/>
        <v>0</v>
      </c>
      <c r="DZ24" s="463"/>
      <c r="EA24" s="459">
        <f t="shared" si="50"/>
        <v>0</v>
      </c>
      <c r="EB24" s="459">
        <f t="shared" si="50"/>
        <v>0</v>
      </c>
      <c r="EC24" s="459">
        <f t="shared" si="50"/>
        <v>0</v>
      </c>
      <c r="ED24" s="459">
        <f t="shared" si="50"/>
        <v>0</v>
      </c>
      <c r="EE24" s="459">
        <f t="shared" si="50"/>
        <v>0</v>
      </c>
      <c r="EF24" s="459">
        <f t="shared" si="50"/>
        <v>0</v>
      </c>
      <c r="EG24" s="459">
        <f t="shared" si="50"/>
        <v>0</v>
      </c>
      <c r="EH24" s="459">
        <f t="shared" si="50"/>
        <v>0</v>
      </c>
      <c r="EI24" s="459">
        <f t="shared" si="50"/>
        <v>0</v>
      </c>
      <c r="EJ24" s="459">
        <f t="shared" si="50"/>
        <v>0</v>
      </c>
      <c r="EK24" s="460">
        <f t="shared" si="65"/>
        <v>0</v>
      </c>
    </row>
    <row r="25" spans="2:141" s="268" customFormat="1" ht="15" customHeight="1" x14ac:dyDescent="0.25">
      <c r="B25" s="464" t="str">
        <f>'2. START'!C$7</f>
        <v>100GEM</v>
      </c>
      <c r="C25" s="526"/>
      <c r="D25" s="591"/>
      <c r="E25" s="527">
        <v>0</v>
      </c>
      <c r="F25" s="527" t="s">
        <v>36</v>
      </c>
      <c r="G25" s="527"/>
      <c r="H25" s="515"/>
      <c r="I25" s="515"/>
      <c r="J25" s="515"/>
      <c r="K25" s="515"/>
      <c r="L25" s="515"/>
      <c r="M25" s="515"/>
      <c r="N25" s="515"/>
      <c r="O25" s="515"/>
      <c r="P25" s="515"/>
      <c r="Q25" s="515"/>
      <c r="R25" s="442">
        <f t="shared" si="13"/>
        <v>0</v>
      </c>
      <c r="S25" s="516">
        <f>IF('2. START'!$C$20="UTB",(SUMIF('3. PARTNER'!B$13:B$80,B25,'3. PARTNER'!M$13:M$80)),(SUMIF('3. PARTNER'!B$13:B$80,B25,'3. PARTNER'!I$13:I$80)))</f>
        <v>0</v>
      </c>
      <c r="T25" s="516">
        <f>IF('2. START'!$C$20="UTB",(SUMIF('3. PARTNER'!B$13:B$80,B25,'3. PARTNER'!N$13:N$80)),(SUMIF('3. PARTNER'!B$13:B$80,B25,'3. PARTNER'!J$13:J$80)))</f>
        <v>0</v>
      </c>
      <c r="U25" s="517">
        <f>IF(F25="NO",0,IF('2. START'!C$13="PERSON+OPERATION",'2. START'!C$12,0)+IF('2. START'!C$13="PERSON+OPERATION+INVEST+FACILIT",'2. START'!C$12,0))</f>
        <v>0</v>
      </c>
      <c r="V25" s="518"/>
      <c r="W25" s="519">
        <f t="shared" si="14"/>
        <v>0</v>
      </c>
      <c r="X25" s="519">
        <f t="shared" si="15"/>
        <v>0</v>
      </c>
      <c r="Y25" s="519">
        <f t="shared" si="16"/>
        <v>0</v>
      </c>
      <c r="Z25" s="519">
        <f t="shared" si="17"/>
        <v>0</v>
      </c>
      <c r="AA25" s="519">
        <f t="shared" si="18"/>
        <v>0</v>
      </c>
      <c r="AB25" s="519">
        <f t="shared" si="19"/>
        <v>0</v>
      </c>
      <c r="AC25" s="519">
        <f t="shared" si="20"/>
        <v>0</v>
      </c>
      <c r="AD25" s="519">
        <f t="shared" si="21"/>
        <v>0</v>
      </c>
      <c r="AE25" s="519">
        <f t="shared" si="22"/>
        <v>0</v>
      </c>
      <c r="AF25" s="519">
        <f t="shared" si="23"/>
        <v>0</v>
      </c>
      <c r="AG25" s="520">
        <f t="shared" si="51"/>
        <v>0</v>
      </c>
      <c r="AI25" s="519">
        <f t="shared" si="24"/>
        <v>0</v>
      </c>
      <c r="AJ25" s="519">
        <f t="shared" si="25"/>
        <v>0</v>
      </c>
      <c r="AK25" s="519">
        <f t="shared" si="26"/>
        <v>0</v>
      </c>
      <c r="AL25" s="519">
        <f t="shared" si="27"/>
        <v>0</v>
      </c>
      <c r="AM25" s="519">
        <f t="shared" si="28"/>
        <v>0</v>
      </c>
      <c r="AN25" s="519">
        <f t="shared" si="29"/>
        <v>0</v>
      </c>
      <c r="AO25" s="519">
        <f t="shared" si="30"/>
        <v>0</v>
      </c>
      <c r="AP25" s="519">
        <f t="shared" si="31"/>
        <v>0</v>
      </c>
      <c r="AQ25" s="519">
        <f t="shared" si="32"/>
        <v>0</v>
      </c>
      <c r="AR25" s="519">
        <f t="shared" si="33"/>
        <v>0</v>
      </c>
      <c r="AS25" s="520">
        <f t="shared" si="52"/>
        <v>0</v>
      </c>
      <c r="AU25" s="519">
        <f t="shared" si="53"/>
        <v>0</v>
      </c>
      <c r="AV25" s="519">
        <f t="shared" si="34"/>
        <v>0</v>
      </c>
      <c r="AW25" s="519">
        <f t="shared" si="34"/>
        <v>0</v>
      </c>
      <c r="AX25" s="519">
        <f t="shared" si="34"/>
        <v>0</v>
      </c>
      <c r="AY25" s="519">
        <f t="shared" si="34"/>
        <v>0</v>
      </c>
      <c r="AZ25" s="519">
        <f t="shared" si="34"/>
        <v>0</v>
      </c>
      <c r="BA25" s="519">
        <f t="shared" si="34"/>
        <v>0</v>
      </c>
      <c r="BB25" s="519">
        <f t="shared" si="34"/>
        <v>0</v>
      </c>
      <c r="BC25" s="519">
        <f t="shared" si="34"/>
        <v>0</v>
      </c>
      <c r="BD25" s="519">
        <f t="shared" si="34"/>
        <v>0</v>
      </c>
      <c r="BE25" s="520">
        <f t="shared" si="54"/>
        <v>0</v>
      </c>
      <c r="BG25" s="519">
        <f t="shared" si="55"/>
        <v>0</v>
      </c>
      <c r="BH25" s="519">
        <f t="shared" si="35"/>
        <v>0</v>
      </c>
      <c r="BI25" s="519">
        <f t="shared" si="35"/>
        <v>0</v>
      </c>
      <c r="BJ25" s="519">
        <f t="shared" si="35"/>
        <v>0</v>
      </c>
      <c r="BK25" s="519">
        <f t="shared" si="35"/>
        <v>0</v>
      </c>
      <c r="BL25" s="519">
        <f t="shared" si="35"/>
        <v>0</v>
      </c>
      <c r="BM25" s="519">
        <f t="shared" si="35"/>
        <v>0</v>
      </c>
      <c r="BN25" s="519">
        <f t="shared" si="35"/>
        <v>0</v>
      </c>
      <c r="BO25" s="519">
        <f t="shared" si="35"/>
        <v>0</v>
      </c>
      <c r="BP25" s="519">
        <f t="shared" si="35"/>
        <v>0</v>
      </c>
      <c r="BQ25" s="520">
        <f t="shared" si="56"/>
        <v>0</v>
      </c>
      <c r="BS25" s="519">
        <f t="shared" si="57"/>
        <v>0</v>
      </c>
      <c r="BT25" s="519">
        <f t="shared" si="36"/>
        <v>0</v>
      </c>
      <c r="BU25" s="519">
        <f t="shared" si="36"/>
        <v>0</v>
      </c>
      <c r="BV25" s="519">
        <f t="shared" si="36"/>
        <v>0</v>
      </c>
      <c r="BW25" s="519">
        <f t="shared" si="36"/>
        <v>0</v>
      </c>
      <c r="BX25" s="519">
        <f t="shared" si="36"/>
        <v>0</v>
      </c>
      <c r="BY25" s="519">
        <f t="shared" si="36"/>
        <v>0</v>
      </c>
      <c r="BZ25" s="519">
        <f t="shared" si="36"/>
        <v>0</v>
      </c>
      <c r="CA25" s="519">
        <f t="shared" si="36"/>
        <v>0</v>
      </c>
      <c r="CB25" s="519">
        <f t="shared" si="36"/>
        <v>0</v>
      </c>
      <c r="CC25" s="520">
        <f t="shared" si="58"/>
        <v>0</v>
      </c>
      <c r="CE25" s="519">
        <f t="shared" si="59"/>
        <v>0</v>
      </c>
      <c r="CF25" s="519">
        <f t="shared" si="37"/>
        <v>0</v>
      </c>
      <c r="CG25" s="519">
        <f t="shared" si="37"/>
        <v>0</v>
      </c>
      <c r="CH25" s="519">
        <f t="shared" si="37"/>
        <v>0</v>
      </c>
      <c r="CI25" s="519">
        <f t="shared" si="37"/>
        <v>0</v>
      </c>
      <c r="CJ25" s="519">
        <f t="shared" si="37"/>
        <v>0</v>
      </c>
      <c r="CK25" s="519">
        <f t="shared" si="37"/>
        <v>0</v>
      </c>
      <c r="CL25" s="519">
        <f t="shared" si="37"/>
        <v>0</v>
      </c>
      <c r="CM25" s="519">
        <f t="shared" si="37"/>
        <v>0</v>
      </c>
      <c r="CN25" s="519">
        <f t="shared" si="37"/>
        <v>0</v>
      </c>
      <c r="CO25" s="520">
        <f t="shared" si="60"/>
        <v>0</v>
      </c>
      <c r="CQ25" s="519">
        <f t="shared" si="38"/>
        <v>0</v>
      </c>
      <c r="CR25" s="519">
        <f t="shared" si="39"/>
        <v>0</v>
      </c>
      <c r="CS25" s="519">
        <f t="shared" si="40"/>
        <v>0</v>
      </c>
      <c r="CT25" s="519">
        <f t="shared" si="41"/>
        <v>0</v>
      </c>
      <c r="CU25" s="519">
        <f t="shared" si="42"/>
        <v>0</v>
      </c>
      <c r="CV25" s="519">
        <f t="shared" si="43"/>
        <v>0</v>
      </c>
      <c r="CW25" s="519">
        <f t="shared" si="44"/>
        <v>0</v>
      </c>
      <c r="CX25" s="519">
        <f t="shared" si="45"/>
        <v>0</v>
      </c>
      <c r="CY25" s="519">
        <f t="shared" si="46"/>
        <v>0</v>
      </c>
      <c r="CZ25" s="519">
        <f t="shared" si="47"/>
        <v>0</v>
      </c>
      <c r="DA25" s="520">
        <f t="shared" si="61"/>
        <v>0</v>
      </c>
      <c r="DC25" s="519">
        <f t="shared" si="62"/>
        <v>0</v>
      </c>
      <c r="DD25" s="519">
        <f t="shared" si="48"/>
        <v>0</v>
      </c>
      <c r="DE25" s="519">
        <f t="shared" si="48"/>
        <v>0</v>
      </c>
      <c r="DF25" s="519">
        <f t="shared" si="48"/>
        <v>0</v>
      </c>
      <c r="DG25" s="519">
        <f t="shared" si="48"/>
        <v>0</v>
      </c>
      <c r="DH25" s="519">
        <f t="shared" si="48"/>
        <v>0</v>
      </c>
      <c r="DI25" s="519">
        <f t="shared" si="48"/>
        <v>0</v>
      </c>
      <c r="DJ25" s="519">
        <f t="shared" si="48"/>
        <v>0</v>
      </c>
      <c r="DK25" s="519">
        <f t="shared" si="48"/>
        <v>0</v>
      </c>
      <c r="DL25" s="519">
        <f t="shared" si="48"/>
        <v>0</v>
      </c>
      <c r="DM25" s="520">
        <f t="shared" si="63"/>
        <v>0</v>
      </c>
      <c r="DO25" s="519">
        <f t="shared" si="49"/>
        <v>0</v>
      </c>
      <c r="DP25" s="519">
        <f t="shared" si="49"/>
        <v>0</v>
      </c>
      <c r="DQ25" s="519">
        <f t="shared" si="49"/>
        <v>0</v>
      </c>
      <c r="DR25" s="519">
        <f t="shared" si="49"/>
        <v>0</v>
      </c>
      <c r="DS25" s="519">
        <f t="shared" si="49"/>
        <v>0</v>
      </c>
      <c r="DT25" s="519">
        <f t="shared" si="49"/>
        <v>0</v>
      </c>
      <c r="DU25" s="519">
        <f t="shared" si="49"/>
        <v>0</v>
      </c>
      <c r="DV25" s="519">
        <f t="shared" si="49"/>
        <v>0</v>
      </c>
      <c r="DW25" s="519">
        <f t="shared" si="49"/>
        <v>0</v>
      </c>
      <c r="DX25" s="519">
        <f t="shared" si="49"/>
        <v>0</v>
      </c>
      <c r="DY25" s="520">
        <f t="shared" si="64"/>
        <v>0</v>
      </c>
      <c r="EA25" s="519">
        <f t="shared" si="50"/>
        <v>0</v>
      </c>
      <c r="EB25" s="519">
        <f t="shared" si="50"/>
        <v>0</v>
      </c>
      <c r="EC25" s="519">
        <f t="shared" si="50"/>
        <v>0</v>
      </c>
      <c r="ED25" s="519">
        <f t="shared" si="50"/>
        <v>0</v>
      </c>
      <c r="EE25" s="519">
        <f t="shared" si="50"/>
        <v>0</v>
      </c>
      <c r="EF25" s="519">
        <f t="shared" si="50"/>
        <v>0</v>
      </c>
      <c r="EG25" s="519">
        <f t="shared" si="50"/>
        <v>0</v>
      </c>
      <c r="EH25" s="519">
        <f t="shared" si="50"/>
        <v>0</v>
      </c>
      <c r="EI25" s="519">
        <f t="shared" si="50"/>
        <v>0</v>
      </c>
      <c r="EJ25" s="519">
        <f t="shared" si="50"/>
        <v>0</v>
      </c>
      <c r="EK25" s="520">
        <f t="shared" si="65"/>
        <v>0</v>
      </c>
    </row>
    <row r="26" spans="2:141" s="268" customFormat="1" ht="15" customHeight="1" x14ac:dyDescent="0.25">
      <c r="B26" s="446" t="str">
        <f>'2. START'!C$7</f>
        <v>100GEM</v>
      </c>
      <c r="C26" s="529"/>
      <c r="D26" s="592"/>
      <c r="E26" s="522">
        <v>0</v>
      </c>
      <c r="F26" s="522" t="s">
        <v>36</v>
      </c>
      <c r="G26" s="522"/>
      <c r="H26" s="523"/>
      <c r="I26" s="523"/>
      <c r="J26" s="523"/>
      <c r="K26" s="523"/>
      <c r="L26" s="523"/>
      <c r="M26" s="523"/>
      <c r="N26" s="523"/>
      <c r="O26" s="523"/>
      <c r="P26" s="523"/>
      <c r="Q26" s="523"/>
      <c r="R26" s="459">
        <f t="shared" si="13"/>
        <v>0</v>
      </c>
      <c r="S26" s="524">
        <f>IF('2. START'!$C$20="UTB",(SUMIF('3. PARTNER'!B$13:B$80,B26,'3. PARTNER'!M$13:M$80)),(SUMIF('3. PARTNER'!B$13:B$80,B26,'3. PARTNER'!I$13:I$80)))</f>
        <v>0</v>
      </c>
      <c r="T26" s="524">
        <f>IF('2. START'!$C$20="UTB",(SUMIF('3. PARTNER'!B$13:B$80,B26,'3. PARTNER'!N$13:N$80)),(SUMIF('3. PARTNER'!B$13:B$80,B26,'3. PARTNER'!J$13:J$80)))</f>
        <v>0</v>
      </c>
      <c r="U26" s="454">
        <f>IF(F26="NO",0,IF('2. START'!C$13="PERSON+OPERATION",'2. START'!C$12,0)+IF('2. START'!C$13="PERSON+OPERATION+INVEST+FACILIT",'2. START'!C$12,0))</f>
        <v>0</v>
      </c>
      <c r="V26" s="525"/>
      <c r="W26" s="459">
        <f t="shared" si="14"/>
        <v>0</v>
      </c>
      <c r="X26" s="459">
        <f t="shared" si="15"/>
        <v>0</v>
      </c>
      <c r="Y26" s="459">
        <f t="shared" si="16"/>
        <v>0</v>
      </c>
      <c r="Z26" s="459">
        <f t="shared" si="17"/>
        <v>0</v>
      </c>
      <c r="AA26" s="459">
        <f t="shared" si="18"/>
        <v>0</v>
      </c>
      <c r="AB26" s="459">
        <f t="shared" si="19"/>
        <v>0</v>
      </c>
      <c r="AC26" s="459">
        <f t="shared" si="20"/>
        <v>0</v>
      </c>
      <c r="AD26" s="459">
        <f t="shared" si="21"/>
        <v>0</v>
      </c>
      <c r="AE26" s="459">
        <f t="shared" si="22"/>
        <v>0</v>
      </c>
      <c r="AF26" s="459">
        <f t="shared" si="23"/>
        <v>0</v>
      </c>
      <c r="AG26" s="460">
        <f t="shared" si="51"/>
        <v>0</v>
      </c>
      <c r="AH26" s="463"/>
      <c r="AI26" s="459">
        <f t="shared" si="24"/>
        <v>0</v>
      </c>
      <c r="AJ26" s="459">
        <f t="shared" si="25"/>
        <v>0</v>
      </c>
      <c r="AK26" s="459">
        <f t="shared" si="26"/>
        <v>0</v>
      </c>
      <c r="AL26" s="459">
        <f t="shared" si="27"/>
        <v>0</v>
      </c>
      <c r="AM26" s="459">
        <f t="shared" si="28"/>
        <v>0</v>
      </c>
      <c r="AN26" s="459">
        <f t="shared" si="29"/>
        <v>0</v>
      </c>
      <c r="AO26" s="459">
        <f t="shared" si="30"/>
        <v>0</v>
      </c>
      <c r="AP26" s="459">
        <f t="shared" si="31"/>
        <v>0</v>
      </c>
      <c r="AQ26" s="459">
        <f t="shared" si="32"/>
        <v>0</v>
      </c>
      <c r="AR26" s="459">
        <f t="shared" si="33"/>
        <v>0</v>
      </c>
      <c r="AS26" s="460">
        <f t="shared" si="52"/>
        <v>0</v>
      </c>
      <c r="AT26" s="463"/>
      <c r="AU26" s="459">
        <f t="shared" si="53"/>
        <v>0</v>
      </c>
      <c r="AV26" s="459">
        <f t="shared" si="34"/>
        <v>0</v>
      </c>
      <c r="AW26" s="459">
        <f t="shared" si="34"/>
        <v>0</v>
      </c>
      <c r="AX26" s="459">
        <f t="shared" si="34"/>
        <v>0</v>
      </c>
      <c r="AY26" s="459">
        <f t="shared" si="34"/>
        <v>0</v>
      </c>
      <c r="AZ26" s="459">
        <f t="shared" si="34"/>
        <v>0</v>
      </c>
      <c r="BA26" s="459">
        <f t="shared" si="34"/>
        <v>0</v>
      </c>
      <c r="BB26" s="459">
        <f t="shared" si="34"/>
        <v>0</v>
      </c>
      <c r="BC26" s="459">
        <f t="shared" si="34"/>
        <v>0</v>
      </c>
      <c r="BD26" s="459">
        <f t="shared" si="34"/>
        <v>0</v>
      </c>
      <c r="BE26" s="460">
        <f t="shared" si="54"/>
        <v>0</v>
      </c>
      <c r="BF26" s="463"/>
      <c r="BG26" s="459">
        <f t="shared" si="55"/>
        <v>0</v>
      </c>
      <c r="BH26" s="459">
        <f t="shared" si="35"/>
        <v>0</v>
      </c>
      <c r="BI26" s="459">
        <f t="shared" si="35"/>
        <v>0</v>
      </c>
      <c r="BJ26" s="459">
        <f t="shared" si="35"/>
        <v>0</v>
      </c>
      <c r="BK26" s="459">
        <f t="shared" si="35"/>
        <v>0</v>
      </c>
      <c r="BL26" s="459">
        <f t="shared" si="35"/>
        <v>0</v>
      </c>
      <c r="BM26" s="459">
        <f t="shared" si="35"/>
        <v>0</v>
      </c>
      <c r="BN26" s="459">
        <f t="shared" si="35"/>
        <v>0</v>
      </c>
      <c r="BO26" s="459">
        <f t="shared" si="35"/>
        <v>0</v>
      </c>
      <c r="BP26" s="459">
        <f t="shared" si="35"/>
        <v>0</v>
      </c>
      <c r="BQ26" s="460">
        <f t="shared" si="56"/>
        <v>0</v>
      </c>
      <c r="BR26" s="463"/>
      <c r="BS26" s="459">
        <f t="shared" si="57"/>
        <v>0</v>
      </c>
      <c r="BT26" s="459">
        <f t="shared" si="36"/>
        <v>0</v>
      </c>
      <c r="BU26" s="459">
        <f t="shared" si="36"/>
        <v>0</v>
      </c>
      <c r="BV26" s="459">
        <f t="shared" si="36"/>
        <v>0</v>
      </c>
      <c r="BW26" s="459">
        <f t="shared" si="36"/>
        <v>0</v>
      </c>
      <c r="BX26" s="459">
        <f t="shared" si="36"/>
        <v>0</v>
      </c>
      <c r="BY26" s="459">
        <f t="shared" si="36"/>
        <v>0</v>
      </c>
      <c r="BZ26" s="459">
        <f t="shared" si="36"/>
        <v>0</v>
      </c>
      <c r="CA26" s="459">
        <f t="shared" si="36"/>
        <v>0</v>
      </c>
      <c r="CB26" s="459">
        <f t="shared" si="36"/>
        <v>0</v>
      </c>
      <c r="CC26" s="460">
        <f t="shared" si="58"/>
        <v>0</v>
      </c>
      <c r="CD26" s="463"/>
      <c r="CE26" s="459">
        <f t="shared" si="59"/>
        <v>0</v>
      </c>
      <c r="CF26" s="459">
        <f t="shared" si="37"/>
        <v>0</v>
      </c>
      <c r="CG26" s="459">
        <f t="shared" si="37"/>
        <v>0</v>
      </c>
      <c r="CH26" s="459">
        <f t="shared" si="37"/>
        <v>0</v>
      </c>
      <c r="CI26" s="459">
        <f t="shared" si="37"/>
        <v>0</v>
      </c>
      <c r="CJ26" s="459">
        <f t="shared" si="37"/>
        <v>0</v>
      </c>
      <c r="CK26" s="459">
        <f t="shared" si="37"/>
        <v>0</v>
      </c>
      <c r="CL26" s="459">
        <f t="shared" si="37"/>
        <v>0</v>
      </c>
      <c r="CM26" s="459">
        <f t="shared" si="37"/>
        <v>0</v>
      </c>
      <c r="CN26" s="459">
        <f t="shared" si="37"/>
        <v>0</v>
      </c>
      <c r="CO26" s="460">
        <f t="shared" si="60"/>
        <v>0</v>
      </c>
      <c r="CP26" s="463"/>
      <c r="CQ26" s="459">
        <f t="shared" si="38"/>
        <v>0</v>
      </c>
      <c r="CR26" s="459">
        <f t="shared" si="39"/>
        <v>0</v>
      </c>
      <c r="CS26" s="459">
        <f t="shared" si="40"/>
        <v>0</v>
      </c>
      <c r="CT26" s="459">
        <f t="shared" si="41"/>
        <v>0</v>
      </c>
      <c r="CU26" s="459">
        <f t="shared" si="42"/>
        <v>0</v>
      </c>
      <c r="CV26" s="459">
        <f t="shared" si="43"/>
        <v>0</v>
      </c>
      <c r="CW26" s="459">
        <f t="shared" si="44"/>
        <v>0</v>
      </c>
      <c r="CX26" s="459">
        <f t="shared" si="45"/>
        <v>0</v>
      </c>
      <c r="CY26" s="459">
        <f t="shared" si="46"/>
        <v>0</v>
      </c>
      <c r="CZ26" s="459">
        <f t="shared" si="47"/>
        <v>0</v>
      </c>
      <c r="DA26" s="460">
        <f t="shared" si="61"/>
        <v>0</v>
      </c>
      <c r="DB26" s="463"/>
      <c r="DC26" s="459">
        <f t="shared" si="62"/>
        <v>0</v>
      </c>
      <c r="DD26" s="459">
        <f t="shared" si="48"/>
        <v>0</v>
      </c>
      <c r="DE26" s="459">
        <f t="shared" si="48"/>
        <v>0</v>
      </c>
      <c r="DF26" s="459">
        <f t="shared" si="48"/>
        <v>0</v>
      </c>
      <c r="DG26" s="459">
        <f t="shared" si="48"/>
        <v>0</v>
      </c>
      <c r="DH26" s="459">
        <f t="shared" si="48"/>
        <v>0</v>
      </c>
      <c r="DI26" s="459">
        <f t="shared" si="48"/>
        <v>0</v>
      </c>
      <c r="DJ26" s="459">
        <f t="shared" si="48"/>
        <v>0</v>
      </c>
      <c r="DK26" s="459">
        <f t="shared" si="48"/>
        <v>0</v>
      </c>
      <c r="DL26" s="459">
        <f t="shared" si="48"/>
        <v>0</v>
      </c>
      <c r="DM26" s="460">
        <f t="shared" si="63"/>
        <v>0</v>
      </c>
      <c r="DN26" s="463"/>
      <c r="DO26" s="459">
        <f t="shared" si="49"/>
        <v>0</v>
      </c>
      <c r="DP26" s="459">
        <f t="shared" si="49"/>
        <v>0</v>
      </c>
      <c r="DQ26" s="459">
        <f t="shared" si="49"/>
        <v>0</v>
      </c>
      <c r="DR26" s="459">
        <f t="shared" si="49"/>
        <v>0</v>
      </c>
      <c r="DS26" s="459">
        <f t="shared" si="49"/>
        <v>0</v>
      </c>
      <c r="DT26" s="459">
        <f t="shared" si="49"/>
        <v>0</v>
      </c>
      <c r="DU26" s="459">
        <f t="shared" si="49"/>
        <v>0</v>
      </c>
      <c r="DV26" s="459">
        <f t="shared" si="49"/>
        <v>0</v>
      </c>
      <c r="DW26" s="459">
        <f t="shared" si="49"/>
        <v>0</v>
      </c>
      <c r="DX26" s="459">
        <f t="shared" si="49"/>
        <v>0</v>
      </c>
      <c r="DY26" s="460">
        <f t="shared" si="64"/>
        <v>0</v>
      </c>
      <c r="DZ26" s="463"/>
      <c r="EA26" s="459">
        <f t="shared" si="50"/>
        <v>0</v>
      </c>
      <c r="EB26" s="459">
        <f t="shared" si="50"/>
        <v>0</v>
      </c>
      <c r="EC26" s="459">
        <f t="shared" si="50"/>
        <v>0</v>
      </c>
      <c r="ED26" s="459">
        <f t="shared" si="50"/>
        <v>0</v>
      </c>
      <c r="EE26" s="459">
        <f t="shared" si="50"/>
        <v>0</v>
      </c>
      <c r="EF26" s="459">
        <f t="shared" si="50"/>
        <v>0</v>
      </c>
      <c r="EG26" s="459">
        <f t="shared" si="50"/>
        <v>0</v>
      </c>
      <c r="EH26" s="459">
        <f t="shared" si="50"/>
        <v>0</v>
      </c>
      <c r="EI26" s="459">
        <f t="shared" si="50"/>
        <v>0</v>
      </c>
      <c r="EJ26" s="459">
        <f t="shared" si="50"/>
        <v>0</v>
      </c>
      <c r="EK26" s="460">
        <f t="shared" si="65"/>
        <v>0</v>
      </c>
    </row>
    <row r="27" spans="2:141" s="268" customFormat="1" ht="15" customHeight="1" x14ac:dyDescent="0.25">
      <c r="B27" s="464" t="str">
        <f>'2. START'!C$7</f>
        <v>100GEM</v>
      </c>
      <c r="C27" s="528"/>
      <c r="D27" s="591"/>
      <c r="E27" s="527">
        <v>0</v>
      </c>
      <c r="F27" s="527" t="s">
        <v>36</v>
      </c>
      <c r="G27" s="527"/>
      <c r="H27" s="515"/>
      <c r="I27" s="515"/>
      <c r="J27" s="515"/>
      <c r="K27" s="515"/>
      <c r="L27" s="515"/>
      <c r="M27" s="515"/>
      <c r="N27" s="515"/>
      <c r="O27" s="515"/>
      <c r="P27" s="515"/>
      <c r="Q27" s="515"/>
      <c r="R27" s="442">
        <f t="shared" si="13"/>
        <v>0</v>
      </c>
      <c r="S27" s="516">
        <f>IF('2. START'!$C$20="UTB",(SUMIF('3. PARTNER'!B$13:B$80,B27,'3. PARTNER'!M$13:M$80)),(SUMIF('3. PARTNER'!B$13:B$80,B27,'3. PARTNER'!I$13:I$80)))</f>
        <v>0</v>
      </c>
      <c r="T27" s="516">
        <f>IF('2. START'!$C$20="UTB",(SUMIF('3. PARTNER'!B$13:B$80,B27,'3. PARTNER'!N$13:N$80)),(SUMIF('3. PARTNER'!B$13:B$80,B27,'3. PARTNER'!J$13:J$80)))</f>
        <v>0</v>
      </c>
      <c r="U27" s="517">
        <f>IF(F27="NO",0,IF('2. START'!C$13="PERSON+OPERATION",'2. START'!C$12,0)+IF('2. START'!C$13="PERSON+OPERATION+INVEST+FACILIT",'2. START'!C$12,0))</f>
        <v>0</v>
      </c>
      <c r="V27" s="518"/>
      <c r="W27" s="519">
        <f t="shared" si="14"/>
        <v>0</v>
      </c>
      <c r="X27" s="519">
        <f t="shared" si="15"/>
        <v>0</v>
      </c>
      <c r="Y27" s="519">
        <f t="shared" si="16"/>
        <v>0</v>
      </c>
      <c r="Z27" s="519">
        <f t="shared" si="17"/>
        <v>0</v>
      </c>
      <c r="AA27" s="519">
        <f t="shared" si="18"/>
        <v>0</v>
      </c>
      <c r="AB27" s="519">
        <f t="shared" si="19"/>
        <v>0</v>
      </c>
      <c r="AC27" s="519">
        <f t="shared" si="20"/>
        <v>0</v>
      </c>
      <c r="AD27" s="519">
        <f t="shared" si="21"/>
        <v>0</v>
      </c>
      <c r="AE27" s="519">
        <f t="shared" si="22"/>
        <v>0</v>
      </c>
      <c r="AF27" s="519">
        <f t="shared" si="23"/>
        <v>0</v>
      </c>
      <c r="AG27" s="520">
        <f t="shared" si="51"/>
        <v>0</v>
      </c>
      <c r="AI27" s="519">
        <f t="shared" si="24"/>
        <v>0</v>
      </c>
      <c r="AJ27" s="519">
        <f t="shared" si="25"/>
        <v>0</v>
      </c>
      <c r="AK27" s="519">
        <f t="shared" si="26"/>
        <v>0</v>
      </c>
      <c r="AL27" s="519">
        <f t="shared" si="27"/>
        <v>0</v>
      </c>
      <c r="AM27" s="519">
        <f t="shared" si="28"/>
        <v>0</v>
      </c>
      <c r="AN27" s="519">
        <f t="shared" si="29"/>
        <v>0</v>
      </c>
      <c r="AO27" s="519">
        <f t="shared" si="30"/>
        <v>0</v>
      </c>
      <c r="AP27" s="519">
        <f t="shared" si="31"/>
        <v>0</v>
      </c>
      <c r="AQ27" s="519">
        <f t="shared" si="32"/>
        <v>0</v>
      </c>
      <c r="AR27" s="519">
        <f t="shared" si="33"/>
        <v>0</v>
      </c>
      <c r="AS27" s="520">
        <f t="shared" si="52"/>
        <v>0</v>
      </c>
      <c r="AU27" s="519">
        <f t="shared" si="53"/>
        <v>0</v>
      </c>
      <c r="AV27" s="519">
        <f t="shared" si="34"/>
        <v>0</v>
      </c>
      <c r="AW27" s="519">
        <f t="shared" si="34"/>
        <v>0</v>
      </c>
      <c r="AX27" s="519">
        <f t="shared" si="34"/>
        <v>0</v>
      </c>
      <c r="AY27" s="519">
        <f t="shared" si="34"/>
        <v>0</v>
      </c>
      <c r="AZ27" s="519">
        <f t="shared" si="34"/>
        <v>0</v>
      </c>
      <c r="BA27" s="519">
        <f t="shared" si="34"/>
        <v>0</v>
      </c>
      <c r="BB27" s="519">
        <f t="shared" si="34"/>
        <v>0</v>
      </c>
      <c r="BC27" s="519">
        <f t="shared" si="34"/>
        <v>0</v>
      </c>
      <c r="BD27" s="519">
        <f t="shared" si="34"/>
        <v>0</v>
      </c>
      <c r="BE27" s="520">
        <f t="shared" si="54"/>
        <v>0</v>
      </c>
      <c r="BG27" s="519">
        <f t="shared" si="55"/>
        <v>0</v>
      </c>
      <c r="BH27" s="519">
        <f t="shared" si="35"/>
        <v>0</v>
      </c>
      <c r="BI27" s="519">
        <f t="shared" si="35"/>
        <v>0</v>
      </c>
      <c r="BJ27" s="519">
        <f t="shared" si="35"/>
        <v>0</v>
      </c>
      <c r="BK27" s="519">
        <f t="shared" si="35"/>
        <v>0</v>
      </c>
      <c r="BL27" s="519">
        <f t="shared" si="35"/>
        <v>0</v>
      </c>
      <c r="BM27" s="519">
        <f t="shared" si="35"/>
        <v>0</v>
      </c>
      <c r="BN27" s="519">
        <f t="shared" si="35"/>
        <v>0</v>
      </c>
      <c r="BO27" s="519">
        <f t="shared" si="35"/>
        <v>0</v>
      </c>
      <c r="BP27" s="519">
        <f t="shared" si="35"/>
        <v>0</v>
      </c>
      <c r="BQ27" s="520">
        <f t="shared" si="56"/>
        <v>0</v>
      </c>
      <c r="BS27" s="519">
        <f t="shared" si="57"/>
        <v>0</v>
      </c>
      <c r="BT27" s="519">
        <f t="shared" si="36"/>
        <v>0</v>
      </c>
      <c r="BU27" s="519">
        <f t="shared" si="36"/>
        <v>0</v>
      </c>
      <c r="BV27" s="519">
        <f t="shared" si="36"/>
        <v>0</v>
      </c>
      <c r="BW27" s="519">
        <f t="shared" si="36"/>
        <v>0</v>
      </c>
      <c r="BX27" s="519">
        <f t="shared" si="36"/>
        <v>0</v>
      </c>
      <c r="BY27" s="519">
        <f t="shared" si="36"/>
        <v>0</v>
      </c>
      <c r="BZ27" s="519">
        <f t="shared" si="36"/>
        <v>0</v>
      </c>
      <c r="CA27" s="519">
        <f t="shared" si="36"/>
        <v>0</v>
      </c>
      <c r="CB27" s="519">
        <f t="shared" si="36"/>
        <v>0</v>
      </c>
      <c r="CC27" s="520">
        <f t="shared" si="58"/>
        <v>0</v>
      </c>
      <c r="CE27" s="519">
        <f t="shared" si="59"/>
        <v>0</v>
      </c>
      <c r="CF27" s="519">
        <f t="shared" si="37"/>
        <v>0</v>
      </c>
      <c r="CG27" s="519">
        <f t="shared" si="37"/>
        <v>0</v>
      </c>
      <c r="CH27" s="519">
        <f t="shared" si="37"/>
        <v>0</v>
      </c>
      <c r="CI27" s="519">
        <f t="shared" si="37"/>
        <v>0</v>
      </c>
      <c r="CJ27" s="519">
        <f t="shared" si="37"/>
        <v>0</v>
      </c>
      <c r="CK27" s="519">
        <f t="shared" si="37"/>
        <v>0</v>
      </c>
      <c r="CL27" s="519">
        <f t="shared" si="37"/>
        <v>0</v>
      </c>
      <c r="CM27" s="519">
        <f t="shared" si="37"/>
        <v>0</v>
      </c>
      <c r="CN27" s="519">
        <f t="shared" si="37"/>
        <v>0</v>
      </c>
      <c r="CO27" s="520">
        <f t="shared" si="60"/>
        <v>0</v>
      </c>
      <c r="CQ27" s="519">
        <f t="shared" si="38"/>
        <v>0</v>
      </c>
      <c r="CR27" s="519">
        <f t="shared" si="39"/>
        <v>0</v>
      </c>
      <c r="CS27" s="519">
        <f t="shared" si="40"/>
        <v>0</v>
      </c>
      <c r="CT27" s="519">
        <f t="shared" si="41"/>
        <v>0</v>
      </c>
      <c r="CU27" s="519">
        <f t="shared" si="42"/>
        <v>0</v>
      </c>
      <c r="CV27" s="519">
        <f t="shared" si="43"/>
        <v>0</v>
      </c>
      <c r="CW27" s="519">
        <f t="shared" si="44"/>
        <v>0</v>
      </c>
      <c r="CX27" s="519">
        <f t="shared" si="45"/>
        <v>0</v>
      </c>
      <c r="CY27" s="519">
        <f t="shared" si="46"/>
        <v>0</v>
      </c>
      <c r="CZ27" s="519">
        <f t="shared" si="47"/>
        <v>0</v>
      </c>
      <c r="DA27" s="520">
        <f t="shared" si="61"/>
        <v>0</v>
      </c>
      <c r="DC27" s="519">
        <f t="shared" si="62"/>
        <v>0</v>
      </c>
      <c r="DD27" s="519">
        <f t="shared" si="48"/>
        <v>0</v>
      </c>
      <c r="DE27" s="519">
        <f t="shared" si="48"/>
        <v>0</v>
      </c>
      <c r="DF27" s="519">
        <f t="shared" si="48"/>
        <v>0</v>
      </c>
      <c r="DG27" s="519">
        <f t="shared" si="48"/>
        <v>0</v>
      </c>
      <c r="DH27" s="519">
        <f t="shared" si="48"/>
        <v>0</v>
      </c>
      <c r="DI27" s="519">
        <f t="shared" si="48"/>
        <v>0</v>
      </c>
      <c r="DJ27" s="519">
        <f t="shared" si="48"/>
        <v>0</v>
      </c>
      <c r="DK27" s="519">
        <f t="shared" si="48"/>
        <v>0</v>
      </c>
      <c r="DL27" s="519">
        <f t="shared" si="48"/>
        <v>0</v>
      </c>
      <c r="DM27" s="520">
        <f t="shared" si="63"/>
        <v>0</v>
      </c>
      <c r="DO27" s="519">
        <f t="shared" si="49"/>
        <v>0</v>
      </c>
      <c r="DP27" s="519">
        <f t="shared" si="49"/>
        <v>0</v>
      </c>
      <c r="DQ27" s="519">
        <f t="shared" si="49"/>
        <v>0</v>
      </c>
      <c r="DR27" s="519">
        <f t="shared" si="49"/>
        <v>0</v>
      </c>
      <c r="DS27" s="519">
        <f t="shared" si="49"/>
        <v>0</v>
      </c>
      <c r="DT27" s="519">
        <f t="shared" si="49"/>
        <v>0</v>
      </c>
      <c r="DU27" s="519">
        <f t="shared" si="49"/>
        <v>0</v>
      </c>
      <c r="DV27" s="519">
        <f t="shared" si="49"/>
        <v>0</v>
      </c>
      <c r="DW27" s="519">
        <f t="shared" si="49"/>
        <v>0</v>
      </c>
      <c r="DX27" s="519">
        <f t="shared" si="49"/>
        <v>0</v>
      </c>
      <c r="DY27" s="520">
        <f t="shared" si="64"/>
        <v>0</v>
      </c>
      <c r="EA27" s="519">
        <f t="shared" si="50"/>
        <v>0</v>
      </c>
      <c r="EB27" s="519">
        <f t="shared" si="50"/>
        <v>0</v>
      </c>
      <c r="EC27" s="519">
        <f t="shared" si="50"/>
        <v>0</v>
      </c>
      <c r="ED27" s="519">
        <f t="shared" si="50"/>
        <v>0</v>
      </c>
      <c r="EE27" s="519">
        <f t="shared" si="50"/>
        <v>0</v>
      </c>
      <c r="EF27" s="519">
        <f t="shared" si="50"/>
        <v>0</v>
      </c>
      <c r="EG27" s="519">
        <f t="shared" si="50"/>
        <v>0</v>
      </c>
      <c r="EH27" s="519">
        <f t="shared" si="50"/>
        <v>0</v>
      </c>
      <c r="EI27" s="519">
        <f t="shared" si="50"/>
        <v>0</v>
      </c>
      <c r="EJ27" s="519">
        <f t="shared" si="50"/>
        <v>0</v>
      </c>
      <c r="EK27" s="520">
        <f t="shared" si="65"/>
        <v>0</v>
      </c>
    </row>
    <row r="28" spans="2:141" s="268" customFormat="1" ht="15" customHeight="1" x14ac:dyDescent="0.25">
      <c r="B28" s="446" t="str">
        <f>'2. START'!C$7</f>
        <v>100GEM</v>
      </c>
      <c r="C28" s="521"/>
      <c r="D28" s="592"/>
      <c r="E28" s="522">
        <v>0</v>
      </c>
      <c r="F28" s="522" t="s">
        <v>36</v>
      </c>
      <c r="G28" s="522"/>
      <c r="H28" s="523"/>
      <c r="I28" s="523"/>
      <c r="J28" s="523"/>
      <c r="K28" s="523"/>
      <c r="L28" s="523"/>
      <c r="M28" s="523"/>
      <c r="N28" s="523"/>
      <c r="O28" s="523"/>
      <c r="P28" s="523"/>
      <c r="Q28" s="523"/>
      <c r="R28" s="459">
        <f t="shared" si="13"/>
        <v>0</v>
      </c>
      <c r="S28" s="524">
        <f>IF('2. START'!$C$20="UTB",(SUMIF('3. PARTNER'!B$13:B$80,B28,'3. PARTNER'!M$13:M$80)),(SUMIF('3. PARTNER'!B$13:B$80,B28,'3. PARTNER'!I$13:I$80)))</f>
        <v>0</v>
      </c>
      <c r="T28" s="524">
        <f>IF('2. START'!$C$20="UTB",(SUMIF('3. PARTNER'!B$13:B$80,B28,'3. PARTNER'!N$13:N$80)),(SUMIF('3. PARTNER'!B$13:B$80,B28,'3. PARTNER'!J$13:J$80)))</f>
        <v>0</v>
      </c>
      <c r="U28" s="454">
        <f>IF(F28="NO",0,IF('2. START'!C$13="PERSON+OPERATION",'2. START'!C$12,0)+IF('2. START'!C$13="PERSON+OPERATION+INVEST+FACILIT",'2. START'!C$12,0))</f>
        <v>0</v>
      </c>
      <c r="V28" s="525"/>
      <c r="W28" s="459">
        <f t="shared" si="14"/>
        <v>0</v>
      </c>
      <c r="X28" s="459">
        <f t="shared" si="15"/>
        <v>0</v>
      </c>
      <c r="Y28" s="459">
        <f t="shared" si="16"/>
        <v>0</v>
      </c>
      <c r="Z28" s="459">
        <f t="shared" si="17"/>
        <v>0</v>
      </c>
      <c r="AA28" s="459">
        <f t="shared" si="18"/>
        <v>0</v>
      </c>
      <c r="AB28" s="459">
        <f t="shared" si="19"/>
        <v>0</v>
      </c>
      <c r="AC28" s="459">
        <f t="shared" si="20"/>
        <v>0</v>
      </c>
      <c r="AD28" s="459">
        <f t="shared" si="21"/>
        <v>0</v>
      </c>
      <c r="AE28" s="459">
        <f t="shared" si="22"/>
        <v>0</v>
      </c>
      <c r="AF28" s="459">
        <f t="shared" si="23"/>
        <v>0</v>
      </c>
      <c r="AG28" s="460">
        <f t="shared" si="51"/>
        <v>0</v>
      </c>
      <c r="AH28" s="463"/>
      <c r="AI28" s="459">
        <f t="shared" si="24"/>
        <v>0</v>
      </c>
      <c r="AJ28" s="459">
        <f t="shared" si="25"/>
        <v>0</v>
      </c>
      <c r="AK28" s="459">
        <f t="shared" si="26"/>
        <v>0</v>
      </c>
      <c r="AL28" s="459">
        <f t="shared" si="27"/>
        <v>0</v>
      </c>
      <c r="AM28" s="459">
        <f t="shared" si="28"/>
        <v>0</v>
      </c>
      <c r="AN28" s="459">
        <f t="shared" si="29"/>
        <v>0</v>
      </c>
      <c r="AO28" s="459">
        <f t="shared" si="30"/>
        <v>0</v>
      </c>
      <c r="AP28" s="459">
        <f t="shared" si="31"/>
        <v>0</v>
      </c>
      <c r="AQ28" s="459">
        <f t="shared" si="32"/>
        <v>0</v>
      </c>
      <c r="AR28" s="459">
        <f t="shared" si="33"/>
        <v>0</v>
      </c>
      <c r="AS28" s="460">
        <f t="shared" si="52"/>
        <v>0</v>
      </c>
      <c r="AT28" s="463"/>
      <c r="AU28" s="459">
        <f t="shared" si="53"/>
        <v>0</v>
      </c>
      <c r="AV28" s="459">
        <f t="shared" si="34"/>
        <v>0</v>
      </c>
      <c r="AW28" s="459">
        <f t="shared" si="34"/>
        <v>0</v>
      </c>
      <c r="AX28" s="459">
        <f t="shared" si="34"/>
        <v>0</v>
      </c>
      <c r="AY28" s="459">
        <f t="shared" si="34"/>
        <v>0</v>
      </c>
      <c r="AZ28" s="459">
        <f t="shared" si="34"/>
        <v>0</v>
      </c>
      <c r="BA28" s="459">
        <f t="shared" si="34"/>
        <v>0</v>
      </c>
      <c r="BB28" s="459">
        <f t="shared" si="34"/>
        <v>0</v>
      </c>
      <c r="BC28" s="459">
        <f t="shared" si="34"/>
        <v>0</v>
      </c>
      <c r="BD28" s="459">
        <f t="shared" si="34"/>
        <v>0</v>
      </c>
      <c r="BE28" s="460">
        <f t="shared" si="54"/>
        <v>0</v>
      </c>
      <c r="BF28" s="463"/>
      <c r="BG28" s="459">
        <f t="shared" si="55"/>
        <v>0</v>
      </c>
      <c r="BH28" s="459">
        <f t="shared" si="35"/>
        <v>0</v>
      </c>
      <c r="BI28" s="459">
        <f t="shared" si="35"/>
        <v>0</v>
      </c>
      <c r="BJ28" s="459">
        <f t="shared" si="35"/>
        <v>0</v>
      </c>
      <c r="BK28" s="459">
        <f t="shared" si="35"/>
        <v>0</v>
      </c>
      <c r="BL28" s="459">
        <f t="shared" si="35"/>
        <v>0</v>
      </c>
      <c r="BM28" s="459">
        <f t="shared" si="35"/>
        <v>0</v>
      </c>
      <c r="BN28" s="459">
        <f t="shared" si="35"/>
        <v>0</v>
      </c>
      <c r="BO28" s="459">
        <f t="shared" si="35"/>
        <v>0</v>
      </c>
      <c r="BP28" s="459">
        <f t="shared" si="35"/>
        <v>0</v>
      </c>
      <c r="BQ28" s="460">
        <f t="shared" si="56"/>
        <v>0</v>
      </c>
      <c r="BR28" s="463"/>
      <c r="BS28" s="459">
        <f t="shared" si="57"/>
        <v>0</v>
      </c>
      <c r="BT28" s="459">
        <f t="shared" si="36"/>
        <v>0</v>
      </c>
      <c r="BU28" s="459">
        <f t="shared" si="36"/>
        <v>0</v>
      </c>
      <c r="BV28" s="459">
        <f t="shared" si="36"/>
        <v>0</v>
      </c>
      <c r="BW28" s="459">
        <f t="shared" si="36"/>
        <v>0</v>
      </c>
      <c r="BX28" s="459">
        <f t="shared" si="36"/>
        <v>0</v>
      </c>
      <c r="BY28" s="459">
        <f t="shared" si="36"/>
        <v>0</v>
      </c>
      <c r="BZ28" s="459">
        <f t="shared" si="36"/>
        <v>0</v>
      </c>
      <c r="CA28" s="459">
        <f t="shared" si="36"/>
        <v>0</v>
      </c>
      <c r="CB28" s="459">
        <f t="shared" si="36"/>
        <v>0</v>
      </c>
      <c r="CC28" s="460">
        <f t="shared" si="58"/>
        <v>0</v>
      </c>
      <c r="CD28" s="463"/>
      <c r="CE28" s="459">
        <f t="shared" si="59"/>
        <v>0</v>
      </c>
      <c r="CF28" s="459">
        <f t="shared" si="37"/>
        <v>0</v>
      </c>
      <c r="CG28" s="459">
        <f t="shared" si="37"/>
        <v>0</v>
      </c>
      <c r="CH28" s="459">
        <f t="shared" si="37"/>
        <v>0</v>
      </c>
      <c r="CI28" s="459">
        <f t="shared" si="37"/>
        <v>0</v>
      </c>
      <c r="CJ28" s="459">
        <f t="shared" si="37"/>
        <v>0</v>
      </c>
      <c r="CK28" s="459">
        <f t="shared" si="37"/>
        <v>0</v>
      </c>
      <c r="CL28" s="459">
        <f t="shared" si="37"/>
        <v>0</v>
      </c>
      <c r="CM28" s="459">
        <f t="shared" si="37"/>
        <v>0</v>
      </c>
      <c r="CN28" s="459">
        <f t="shared" si="37"/>
        <v>0</v>
      </c>
      <c r="CO28" s="460">
        <f t="shared" si="60"/>
        <v>0</v>
      </c>
      <c r="CP28" s="463"/>
      <c r="CQ28" s="459">
        <f t="shared" si="38"/>
        <v>0</v>
      </c>
      <c r="CR28" s="459">
        <f t="shared" si="39"/>
        <v>0</v>
      </c>
      <c r="CS28" s="459">
        <f t="shared" si="40"/>
        <v>0</v>
      </c>
      <c r="CT28" s="459">
        <f t="shared" si="41"/>
        <v>0</v>
      </c>
      <c r="CU28" s="459">
        <f t="shared" si="42"/>
        <v>0</v>
      </c>
      <c r="CV28" s="459">
        <f t="shared" si="43"/>
        <v>0</v>
      </c>
      <c r="CW28" s="459">
        <f t="shared" si="44"/>
        <v>0</v>
      </c>
      <c r="CX28" s="459">
        <f t="shared" si="45"/>
        <v>0</v>
      </c>
      <c r="CY28" s="459">
        <f t="shared" si="46"/>
        <v>0</v>
      </c>
      <c r="CZ28" s="459">
        <f t="shared" si="47"/>
        <v>0</v>
      </c>
      <c r="DA28" s="460">
        <f t="shared" si="61"/>
        <v>0</v>
      </c>
      <c r="DB28" s="463"/>
      <c r="DC28" s="459">
        <f t="shared" si="62"/>
        <v>0</v>
      </c>
      <c r="DD28" s="459">
        <f t="shared" si="48"/>
        <v>0</v>
      </c>
      <c r="DE28" s="459">
        <f t="shared" si="48"/>
        <v>0</v>
      </c>
      <c r="DF28" s="459">
        <f t="shared" si="48"/>
        <v>0</v>
      </c>
      <c r="DG28" s="459">
        <f t="shared" si="48"/>
        <v>0</v>
      </c>
      <c r="DH28" s="459">
        <f t="shared" si="48"/>
        <v>0</v>
      </c>
      <c r="DI28" s="459">
        <f t="shared" si="48"/>
        <v>0</v>
      </c>
      <c r="DJ28" s="459">
        <f t="shared" si="48"/>
        <v>0</v>
      </c>
      <c r="DK28" s="459">
        <f t="shared" si="48"/>
        <v>0</v>
      </c>
      <c r="DL28" s="459">
        <f t="shared" si="48"/>
        <v>0</v>
      </c>
      <c r="DM28" s="460">
        <f t="shared" si="63"/>
        <v>0</v>
      </c>
      <c r="DN28" s="463"/>
      <c r="DO28" s="459">
        <f t="shared" si="49"/>
        <v>0</v>
      </c>
      <c r="DP28" s="459">
        <f t="shared" si="49"/>
        <v>0</v>
      </c>
      <c r="DQ28" s="459">
        <f t="shared" si="49"/>
        <v>0</v>
      </c>
      <c r="DR28" s="459">
        <f t="shared" si="49"/>
        <v>0</v>
      </c>
      <c r="DS28" s="459">
        <f t="shared" si="49"/>
        <v>0</v>
      </c>
      <c r="DT28" s="459">
        <f t="shared" si="49"/>
        <v>0</v>
      </c>
      <c r="DU28" s="459">
        <f t="shared" si="49"/>
        <v>0</v>
      </c>
      <c r="DV28" s="459">
        <f t="shared" si="49"/>
        <v>0</v>
      </c>
      <c r="DW28" s="459">
        <f t="shared" si="49"/>
        <v>0</v>
      </c>
      <c r="DX28" s="459">
        <f t="shared" si="49"/>
        <v>0</v>
      </c>
      <c r="DY28" s="460">
        <f t="shared" si="64"/>
        <v>0</v>
      </c>
      <c r="DZ28" s="463"/>
      <c r="EA28" s="459">
        <f t="shared" si="50"/>
        <v>0</v>
      </c>
      <c r="EB28" s="459">
        <f t="shared" si="50"/>
        <v>0</v>
      </c>
      <c r="EC28" s="459">
        <f t="shared" si="50"/>
        <v>0</v>
      </c>
      <c r="ED28" s="459">
        <f t="shared" si="50"/>
        <v>0</v>
      </c>
      <c r="EE28" s="459">
        <f t="shared" si="50"/>
        <v>0</v>
      </c>
      <c r="EF28" s="459">
        <f t="shared" si="50"/>
        <v>0</v>
      </c>
      <c r="EG28" s="459">
        <f t="shared" si="50"/>
        <v>0</v>
      </c>
      <c r="EH28" s="459">
        <f t="shared" si="50"/>
        <v>0</v>
      </c>
      <c r="EI28" s="459">
        <f t="shared" si="50"/>
        <v>0</v>
      </c>
      <c r="EJ28" s="459">
        <f t="shared" si="50"/>
        <v>0</v>
      </c>
      <c r="EK28" s="460">
        <f t="shared" si="65"/>
        <v>0</v>
      </c>
    </row>
    <row r="29" spans="2:141" s="268" customFormat="1" ht="15" customHeight="1" x14ac:dyDescent="0.25">
      <c r="B29" s="464" t="str">
        <f>'2. START'!C$7</f>
        <v>100GEM</v>
      </c>
      <c r="C29" s="526"/>
      <c r="D29" s="591"/>
      <c r="E29" s="527">
        <v>0</v>
      </c>
      <c r="F29" s="527" t="s">
        <v>36</v>
      </c>
      <c r="G29" s="527"/>
      <c r="H29" s="515"/>
      <c r="I29" s="515"/>
      <c r="J29" s="515"/>
      <c r="K29" s="515"/>
      <c r="L29" s="515"/>
      <c r="M29" s="515"/>
      <c r="N29" s="515"/>
      <c r="O29" s="515"/>
      <c r="P29" s="515"/>
      <c r="Q29" s="515"/>
      <c r="R29" s="442">
        <f t="shared" si="13"/>
        <v>0</v>
      </c>
      <c r="S29" s="516">
        <f>IF('2. START'!$C$20="UTB",(SUMIF('3. PARTNER'!B$13:B$80,B29,'3. PARTNER'!M$13:M$80)),(SUMIF('3. PARTNER'!B$13:B$80,B29,'3. PARTNER'!I$13:I$80)))</f>
        <v>0</v>
      </c>
      <c r="T29" s="516">
        <f>IF('2. START'!$C$20="UTB",(SUMIF('3. PARTNER'!B$13:B$80,B29,'3. PARTNER'!N$13:N$80)),(SUMIF('3. PARTNER'!B$13:B$80,B29,'3. PARTNER'!J$13:J$80)))</f>
        <v>0</v>
      </c>
      <c r="U29" s="517">
        <f>IF(F29="NO",0,IF('2. START'!C$13="PERSON+OPERATION",'2. START'!C$12,0)+IF('2. START'!C$13="PERSON+OPERATION+INVEST+FACILIT",'2. START'!C$12,0))</f>
        <v>0</v>
      </c>
      <c r="V29" s="518"/>
      <c r="W29" s="519">
        <f t="shared" si="14"/>
        <v>0</v>
      </c>
      <c r="X29" s="519">
        <f t="shared" si="15"/>
        <v>0</v>
      </c>
      <c r="Y29" s="519">
        <f t="shared" si="16"/>
        <v>0</v>
      </c>
      <c r="Z29" s="519">
        <f t="shared" si="17"/>
        <v>0</v>
      </c>
      <c r="AA29" s="519">
        <f t="shared" si="18"/>
        <v>0</v>
      </c>
      <c r="AB29" s="519">
        <f t="shared" si="19"/>
        <v>0</v>
      </c>
      <c r="AC29" s="519">
        <f t="shared" si="20"/>
        <v>0</v>
      </c>
      <c r="AD29" s="519">
        <f t="shared" si="21"/>
        <v>0</v>
      </c>
      <c r="AE29" s="519">
        <f t="shared" si="22"/>
        <v>0</v>
      </c>
      <c r="AF29" s="519">
        <f t="shared" si="23"/>
        <v>0</v>
      </c>
      <c r="AG29" s="520">
        <f t="shared" si="51"/>
        <v>0</v>
      </c>
      <c r="AI29" s="519">
        <f t="shared" si="24"/>
        <v>0</v>
      </c>
      <c r="AJ29" s="519">
        <f t="shared" si="25"/>
        <v>0</v>
      </c>
      <c r="AK29" s="519">
        <f t="shared" si="26"/>
        <v>0</v>
      </c>
      <c r="AL29" s="519">
        <f t="shared" si="27"/>
        <v>0</v>
      </c>
      <c r="AM29" s="519">
        <f t="shared" si="28"/>
        <v>0</v>
      </c>
      <c r="AN29" s="519">
        <f t="shared" si="29"/>
        <v>0</v>
      </c>
      <c r="AO29" s="519">
        <f t="shared" si="30"/>
        <v>0</v>
      </c>
      <c r="AP29" s="519">
        <f t="shared" si="31"/>
        <v>0</v>
      </c>
      <c r="AQ29" s="519">
        <f t="shared" si="32"/>
        <v>0</v>
      </c>
      <c r="AR29" s="519">
        <f t="shared" si="33"/>
        <v>0</v>
      </c>
      <c r="AS29" s="520">
        <f t="shared" si="52"/>
        <v>0</v>
      </c>
      <c r="AU29" s="519">
        <f t="shared" si="53"/>
        <v>0</v>
      </c>
      <c r="AV29" s="519">
        <f t="shared" si="34"/>
        <v>0</v>
      </c>
      <c r="AW29" s="519">
        <f t="shared" si="34"/>
        <v>0</v>
      </c>
      <c r="AX29" s="519">
        <f t="shared" si="34"/>
        <v>0</v>
      </c>
      <c r="AY29" s="519">
        <f t="shared" si="34"/>
        <v>0</v>
      </c>
      <c r="AZ29" s="519">
        <f t="shared" si="34"/>
        <v>0</v>
      </c>
      <c r="BA29" s="519">
        <f t="shared" si="34"/>
        <v>0</v>
      </c>
      <c r="BB29" s="519">
        <f t="shared" si="34"/>
        <v>0</v>
      </c>
      <c r="BC29" s="519">
        <f t="shared" si="34"/>
        <v>0</v>
      </c>
      <c r="BD29" s="519">
        <f t="shared" si="34"/>
        <v>0</v>
      </c>
      <c r="BE29" s="520">
        <f t="shared" si="54"/>
        <v>0</v>
      </c>
      <c r="BG29" s="519">
        <f t="shared" si="55"/>
        <v>0</v>
      </c>
      <c r="BH29" s="519">
        <f t="shared" si="35"/>
        <v>0</v>
      </c>
      <c r="BI29" s="519">
        <f t="shared" si="35"/>
        <v>0</v>
      </c>
      <c r="BJ29" s="519">
        <f t="shared" si="35"/>
        <v>0</v>
      </c>
      <c r="BK29" s="519">
        <f t="shared" si="35"/>
        <v>0</v>
      </c>
      <c r="BL29" s="519">
        <f t="shared" si="35"/>
        <v>0</v>
      </c>
      <c r="BM29" s="519">
        <f t="shared" si="35"/>
        <v>0</v>
      </c>
      <c r="BN29" s="519">
        <f t="shared" si="35"/>
        <v>0</v>
      </c>
      <c r="BO29" s="519">
        <f t="shared" si="35"/>
        <v>0</v>
      </c>
      <c r="BP29" s="519">
        <f t="shared" si="35"/>
        <v>0</v>
      </c>
      <c r="BQ29" s="520">
        <f t="shared" si="56"/>
        <v>0</v>
      </c>
      <c r="BS29" s="519">
        <f t="shared" si="57"/>
        <v>0</v>
      </c>
      <c r="BT29" s="519">
        <f t="shared" si="36"/>
        <v>0</v>
      </c>
      <c r="BU29" s="519">
        <f t="shared" si="36"/>
        <v>0</v>
      </c>
      <c r="BV29" s="519">
        <f t="shared" si="36"/>
        <v>0</v>
      </c>
      <c r="BW29" s="519">
        <f t="shared" si="36"/>
        <v>0</v>
      </c>
      <c r="BX29" s="519">
        <f t="shared" si="36"/>
        <v>0</v>
      </c>
      <c r="BY29" s="519">
        <f t="shared" si="36"/>
        <v>0</v>
      </c>
      <c r="BZ29" s="519">
        <f t="shared" si="36"/>
        <v>0</v>
      </c>
      <c r="CA29" s="519">
        <f t="shared" si="36"/>
        <v>0</v>
      </c>
      <c r="CB29" s="519">
        <f t="shared" si="36"/>
        <v>0</v>
      </c>
      <c r="CC29" s="520">
        <f t="shared" si="58"/>
        <v>0</v>
      </c>
      <c r="CE29" s="519">
        <f t="shared" si="59"/>
        <v>0</v>
      </c>
      <c r="CF29" s="519">
        <f t="shared" si="37"/>
        <v>0</v>
      </c>
      <c r="CG29" s="519">
        <f t="shared" si="37"/>
        <v>0</v>
      </c>
      <c r="CH29" s="519">
        <f t="shared" si="37"/>
        <v>0</v>
      </c>
      <c r="CI29" s="519">
        <f t="shared" si="37"/>
        <v>0</v>
      </c>
      <c r="CJ29" s="519">
        <f t="shared" si="37"/>
        <v>0</v>
      </c>
      <c r="CK29" s="519">
        <f t="shared" si="37"/>
        <v>0</v>
      </c>
      <c r="CL29" s="519">
        <f t="shared" si="37"/>
        <v>0</v>
      </c>
      <c r="CM29" s="519">
        <f t="shared" si="37"/>
        <v>0</v>
      </c>
      <c r="CN29" s="519">
        <f t="shared" si="37"/>
        <v>0</v>
      </c>
      <c r="CO29" s="520">
        <f t="shared" si="60"/>
        <v>0</v>
      </c>
      <c r="CQ29" s="519">
        <f t="shared" si="38"/>
        <v>0</v>
      </c>
      <c r="CR29" s="519">
        <f t="shared" si="39"/>
        <v>0</v>
      </c>
      <c r="CS29" s="519">
        <f t="shared" si="40"/>
        <v>0</v>
      </c>
      <c r="CT29" s="519">
        <f t="shared" si="41"/>
        <v>0</v>
      </c>
      <c r="CU29" s="519">
        <f t="shared" si="42"/>
        <v>0</v>
      </c>
      <c r="CV29" s="519">
        <f t="shared" si="43"/>
        <v>0</v>
      </c>
      <c r="CW29" s="519">
        <f t="shared" si="44"/>
        <v>0</v>
      </c>
      <c r="CX29" s="519">
        <f t="shared" si="45"/>
        <v>0</v>
      </c>
      <c r="CY29" s="519">
        <f t="shared" si="46"/>
        <v>0</v>
      </c>
      <c r="CZ29" s="519">
        <f t="shared" si="47"/>
        <v>0</v>
      </c>
      <c r="DA29" s="520">
        <f t="shared" si="61"/>
        <v>0</v>
      </c>
      <c r="DC29" s="519">
        <f t="shared" si="62"/>
        <v>0</v>
      </c>
      <c r="DD29" s="519">
        <f t="shared" si="48"/>
        <v>0</v>
      </c>
      <c r="DE29" s="519">
        <f t="shared" si="48"/>
        <v>0</v>
      </c>
      <c r="DF29" s="519">
        <f t="shared" si="48"/>
        <v>0</v>
      </c>
      <c r="DG29" s="519">
        <f t="shared" si="48"/>
        <v>0</v>
      </c>
      <c r="DH29" s="519">
        <f t="shared" si="48"/>
        <v>0</v>
      </c>
      <c r="DI29" s="519">
        <f t="shared" si="48"/>
        <v>0</v>
      </c>
      <c r="DJ29" s="519">
        <f t="shared" si="48"/>
        <v>0</v>
      </c>
      <c r="DK29" s="519">
        <f t="shared" si="48"/>
        <v>0</v>
      </c>
      <c r="DL29" s="519">
        <f t="shared" si="48"/>
        <v>0</v>
      </c>
      <c r="DM29" s="520">
        <f t="shared" si="63"/>
        <v>0</v>
      </c>
      <c r="DO29" s="519">
        <f t="shared" si="49"/>
        <v>0</v>
      </c>
      <c r="DP29" s="519">
        <f t="shared" si="49"/>
        <v>0</v>
      </c>
      <c r="DQ29" s="519">
        <f t="shared" si="49"/>
        <v>0</v>
      </c>
      <c r="DR29" s="519">
        <f t="shared" si="49"/>
        <v>0</v>
      </c>
      <c r="DS29" s="519">
        <f t="shared" si="49"/>
        <v>0</v>
      </c>
      <c r="DT29" s="519">
        <f t="shared" si="49"/>
        <v>0</v>
      </c>
      <c r="DU29" s="519">
        <f t="shared" si="49"/>
        <v>0</v>
      </c>
      <c r="DV29" s="519">
        <f t="shared" si="49"/>
        <v>0</v>
      </c>
      <c r="DW29" s="519">
        <f t="shared" si="49"/>
        <v>0</v>
      </c>
      <c r="DX29" s="519">
        <f t="shared" si="49"/>
        <v>0</v>
      </c>
      <c r="DY29" s="520">
        <f t="shared" si="64"/>
        <v>0</v>
      </c>
      <c r="EA29" s="519">
        <f t="shared" si="50"/>
        <v>0</v>
      </c>
      <c r="EB29" s="519">
        <f t="shared" si="50"/>
        <v>0</v>
      </c>
      <c r="EC29" s="519">
        <f t="shared" si="50"/>
        <v>0</v>
      </c>
      <c r="ED29" s="519">
        <f t="shared" si="50"/>
        <v>0</v>
      </c>
      <c r="EE29" s="519">
        <f t="shared" si="50"/>
        <v>0</v>
      </c>
      <c r="EF29" s="519">
        <f t="shared" si="50"/>
        <v>0</v>
      </c>
      <c r="EG29" s="519">
        <f t="shared" si="50"/>
        <v>0</v>
      </c>
      <c r="EH29" s="519">
        <f t="shared" si="50"/>
        <v>0</v>
      </c>
      <c r="EI29" s="519">
        <f t="shared" si="50"/>
        <v>0</v>
      </c>
      <c r="EJ29" s="519">
        <f t="shared" si="50"/>
        <v>0</v>
      </c>
      <c r="EK29" s="520">
        <f t="shared" si="65"/>
        <v>0</v>
      </c>
    </row>
    <row r="30" spans="2:141" s="268" customFormat="1" ht="15" customHeight="1" x14ac:dyDescent="0.25">
      <c r="B30" s="446" t="str">
        <f>'2. START'!C$7</f>
        <v>100GEM</v>
      </c>
      <c r="C30" s="521"/>
      <c r="D30" s="592"/>
      <c r="E30" s="522">
        <v>0</v>
      </c>
      <c r="F30" s="522" t="s">
        <v>36</v>
      </c>
      <c r="G30" s="522"/>
      <c r="H30" s="523"/>
      <c r="I30" s="523"/>
      <c r="J30" s="523"/>
      <c r="K30" s="523"/>
      <c r="L30" s="523"/>
      <c r="M30" s="523"/>
      <c r="N30" s="523"/>
      <c r="O30" s="523"/>
      <c r="P30" s="523"/>
      <c r="Q30" s="523"/>
      <c r="R30" s="459">
        <f t="shared" si="13"/>
        <v>0</v>
      </c>
      <c r="S30" s="524">
        <f>IF('2. START'!$C$20="UTB",(SUMIF('3. PARTNER'!B$13:B$80,B30,'3. PARTNER'!M$13:M$80)),(SUMIF('3. PARTNER'!B$13:B$80,B30,'3. PARTNER'!I$13:I$80)))</f>
        <v>0</v>
      </c>
      <c r="T30" s="524">
        <f>IF('2. START'!$C$20="UTB",(SUMIF('3. PARTNER'!B$13:B$80,B30,'3. PARTNER'!N$13:N$80)),(SUMIF('3. PARTNER'!B$13:B$80,B30,'3. PARTNER'!J$13:J$80)))</f>
        <v>0</v>
      </c>
      <c r="U30" s="454">
        <f>IF(F30="NO",0,IF('2. START'!C$13="PERSON+OPERATION",'2. START'!C$12,0)+IF('2. START'!C$13="PERSON+OPERATION+INVEST+FACILIT",'2. START'!C$12,0))</f>
        <v>0</v>
      </c>
      <c r="V30" s="525"/>
      <c r="W30" s="459">
        <f t="shared" si="14"/>
        <v>0</v>
      </c>
      <c r="X30" s="459">
        <f t="shared" si="15"/>
        <v>0</v>
      </c>
      <c r="Y30" s="459">
        <f t="shared" si="16"/>
        <v>0</v>
      </c>
      <c r="Z30" s="459">
        <f t="shared" si="17"/>
        <v>0</v>
      </c>
      <c r="AA30" s="459">
        <f t="shared" si="18"/>
        <v>0</v>
      </c>
      <c r="AB30" s="459">
        <f t="shared" si="19"/>
        <v>0</v>
      </c>
      <c r="AC30" s="459">
        <f t="shared" si="20"/>
        <v>0</v>
      </c>
      <c r="AD30" s="459">
        <f t="shared" si="21"/>
        <v>0</v>
      </c>
      <c r="AE30" s="459">
        <f t="shared" si="22"/>
        <v>0</v>
      </c>
      <c r="AF30" s="459">
        <f t="shared" si="23"/>
        <v>0</v>
      </c>
      <c r="AG30" s="460">
        <f t="shared" si="51"/>
        <v>0</v>
      </c>
      <c r="AH30" s="463"/>
      <c r="AI30" s="459">
        <f t="shared" si="24"/>
        <v>0</v>
      </c>
      <c r="AJ30" s="459">
        <f t="shared" si="25"/>
        <v>0</v>
      </c>
      <c r="AK30" s="459">
        <f t="shared" si="26"/>
        <v>0</v>
      </c>
      <c r="AL30" s="459">
        <f t="shared" si="27"/>
        <v>0</v>
      </c>
      <c r="AM30" s="459">
        <f t="shared" si="28"/>
        <v>0</v>
      </c>
      <c r="AN30" s="459">
        <f t="shared" si="29"/>
        <v>0</v>
      </c>
      <c r="AO30" s="459">
        <f t="shared" si="30"/>
        <v>0</v>
      </c>
      <c r="AP30" s="459">
        <f t="shared" si="31"/>
        <v>0</v>
      </c>
      <c r="AQ30" s="459">
        <f t="shared" si="32"/>
        <v>0</v>
      </c>
      <c r="AR30" s="459">
        <f t="shared" si="33"/>
        <v>0</v>
      </c>
      <c r="AS30" s="460">
        <f t="shared" si="52"/>
        <v>0</v>
      </c>
      <c r="AT30" s="463"/>
      <c r="AU30" s="459">
        <f t="shared" si="53"/>
        <v>0</v>
      </c>
      <c r="AV30" s="459">
        <f t="shared" si="34"/>
        <v>0</v>
      </c>
      <c r="AW30" s="459">
        <f t="shared" si="34"/>
        <v>0</v>
      </c>
      <c r="AX30" s="459">
        <f t="shared" si="34"/>
        <v>0</v>
      </c>
      <c r="AY30" s="459">
        <f t="shared" si="34"/>
        <v>0</v>
      </c>
      <c r="AZ30" s="459">
        <f t="shared" si="34"/>
        <v>0</v>
      </c>
      <c r="BA30" s="459">
        <f t="shared" si="34"/>
        <v>0</v>
      </c>
      <c r="BB30" s="459">
        <f t="shared" si="34"/>
        <v>0</v>
      </c>
      <c r="BC30" s="459">
        <f t="shared" si="34"/>
        <v>0</v>
      </c>
      <c r="BD30" s="459">
        <f t="shared" si="34"/>
        <v>0</v>
      </c>
      <c r="BE30" s="460">
        <f t="shared" si="54"/>
        <v>0</v>
      </c>
      <c r="BF30" s="463"/>
      <c r="BG30" s="459">
        <f t="shared" si="55"/>
        <v>0</v>
      </c>
      <c r="BH30" s="459">
        <f t="shared" si="35"/>
        <v>0</v>
      </c>
      <c r="BI30" s="459">
        <f t="shared" si="35"/>
        <v>0</v>
      </c>
      <c r="BJ30" s="459">
        <f t="shared" si="35"/>
        <v>0</v>
      </c>
      <c r="BK30" s="459">
        <f t="shared" si="35"/>
        <v>0</v>
      </c>
      <c r="BL30" s="459">
        <f t="shared" si="35"/>
        <v>0</v>
      </c>
      <c r="BM30" s="459">
        <f t="shared" si="35"/>
        <v>0</v>
      </c>
      <c r="BN30" s="459">
        <f t="shared" si="35"/>
        <v>0</v>
      </c>
      <c r="BO30" s="459">
        <f t="shared" si="35"/>
        <v>0</v>
      </c>
      <c r="BP30" s="459">
        <f t="shared" si="35"/>
        <v>0</v>
      </c>
      <c r="BQ30" s="460">
        <f t="shared" si="56"/>
        <v>0</v>
      </c>
      <c r="BR30" s="463"/>
      <c r="BS30" s="459">
        <f t="shared" si="57"/>
        <v>0</v>
      </c>
      <c r="BT30" s="459">
        <f t="shared" si="36"/>
        <v>0</v>
      </c>
      <c r="BU30" s="459">
        <f t="shared" si="36"/>
        <v>0</v>
      </c>
      <c r="BV30" s="459">
        <f t="shared" si="36"/>
        <v>0</v>
      </c>
      <c r="BW30" s="459">
        <f t="shared" si="36"/>
        <v>0</v>
      </c>
      <c r="BX30" s="459">
        <f t="shared" si="36"/>
        <v>0</v>
      </c>
      <c r="BY30" s="459">
        <f t="shared" si="36"/>
        <v>0</v>
      </c>
      <c r="BZ30" s="459">
        <f t="shared" si="36"/>
        <v>0</v>
      </c>
      <c r="CA30" s="459">
        <f t="shared" si="36"/>
        <v>0</v>
      </c>
      <c r="CB30" s="459">
        <f t="shared" si="36"/>
        <v>0</v>
      </c>
      <c r="CC30" s="460">
        <f t="shared" si="58"/>
        <v>0</v>
      </c>
      <c r="CD30" s="463"/>
      <c r="CE30" s="459">
        <f t="shared" si="59"/>
        <v>0</v>
      </c>
      <c r="CF30" s="459">
        <f t="shared" si="37"/>
        <v>0</v>
      </c>
      <c r="CG30" s="459">
        <f t="shared" si="37"/>
        <v>0</v>
      </c>
      <c r="CH30" s="459">
        <f t="shared" si="37"/>
        <v>0</v>
      </c>
      <c r="CI30" s="459">
        <f t="shared" si="37"/>
        <v>0</v>
      </c>
      <c r="CJ30" s="459">
        <f t="shared" si="37"/>
        <v>0</v>
      </c>
      <c r="CK30" s="459">
        <f t="shared" si="37"/>
        <v>0</v>
      </c>
      <c r="CL30" s="459">
        <f t="shared" si="37"/>
        <v>0</v>
      </c>
      <c r="CM30" s="459">
        <f t="shared" si="37"/>
        <v>0</v>
      </c>
      <c r="CN30" s="459">
        <f t="shared" si="37"/>
        <v>0</v>
      </c>
      <c r="CO30" s="460">
        <f t="shared" si="60"/>
        <v>0</v>
      </c>
      <c r="CP30" s="463"/>
      <c r="CQ30" s="459">
        <f t="shared" si="38"/>
        <v>0</v>
      </c>
      <c r="CR30" s="459">
        <f t="shared" si="39"/>
        <v>0</v>
      </c>
      <c r="CS30" s="459">
        <f t="shared" si="40"/>
        <v>0</v>
      </c>
      <c r="CT30" s="459">
        <f t="shared" si="41"/>
        <v>0</v>
      </c>
      <c r="CU30" s="459">
        <f t="shared" si="42"/>
        <v>0</v>
      </c>
      <c r="CV30" s="459">
        <f t="shared" si="43"/>
        <v>0</v>
      </c>
      <c r="CW30" s="459">
        <f t="shared" si="44"/>
        <v>0</v>
      </c>
      <c r="CX30" s="459">
        <f t="shared" si="45"/>
        <v>0</v>
      </c>
      <c r="CY30" s="459">
        <f t="shared" si="46"/>
        <v>0</v>
      </c>
      <c r="CZ30" s="459">
        <f t="shared" si="47"/>
        <v>0</v>
      </c>
      <c r="DA30" s="460">
        <f t="shared" si="61"/>
        <v>0</v>
      </c>
      <c r="DB30" s="463"/>
      <c r="DC30" s="459">
        <f t="shared" si="62"/>
        <v>0</v>
      </c>
      <c r="DD30" s="459">
        <f t="shared" si="48"/>
        <v>0</v>
      </c>
      <c r="DE30" s="459">
        <f t="shared" si="48"/>
        <v>0</v>
      </c>
      <c r="DF30" s="459">
        <f t="shared" si="48"/>
        <v>0</v>
      </c>
      <c r="DG30" s="459">
        <f t="shared" si="48"/>
        <v>0</v>
      </c>
      <c r="DH30" s="459">
        <f t="shared" si="48"/>
        <v>0</v>
      </c>
      <c r="DI30" s="459">
        <f t="shared" si="48"/>
        <v>0</v>
      </c>
      <c r="DJ30" s="459">
        <f t="shared" si="48"/>
        <v>0</v>
      </c>
      <c r="DK30" s="459">
        <f t="shared" si="48"/>
        <v>0</v>
      </c>
      <c r="DL30" s="459">
        <f t="shared" si="48"/>
        <v>0</v>
      </c>
      <c r="DM30" s="460">
        <f t="shared" si="63"/>
        <v>0</v>
      </c>
      <c r="DN30" s="463"/>
      <c r="DO30" s="459">
        <f t="shared" si="49"/>
        <v>0</v>
      </c>
      <c r="DP30" s="459">
        <f t="shared" si="49"/>
        <v>0</v>
      </c>
      <c r="DQ30" s="459">
        <f t="shared" si="49"/>
        <v>0</v>
      </c>
      <c r="DR30" s="459">
        <f t="shared" si="49"/>
        <v>0</v>
      </c>
      <c r="DS30" s="459">
        <f t="shared" si="49"/>
        <v>0</v>
      </c>
      <c r="DT30" s="459">
        <f t="shared" si="49"/>
        <v>0</v>
      </c>
      <c r="DU30" s="459">
        <f t="shared" si="49"/>
        <v>0</v>
      </c>
      <c r="DV30" s="459">
        <f t="shared" si="49"/>
        <v>0</v>
      </c>
      <c r="DW30" s="459">
        <f t="shared" si="49"/>
        <v>0</v>
      </c>
      <c r="DX30" s="459">
        <f t="shared" si="49"/>
        <v>0</v>
      </c>
      <c r="DY30" s="460">
        <f t="shared" si="64"/>
        <v>0</v>
      </c>
      <c r="DZ30" s="463"/>
      <c r="EA30" s="459">
        <f t="shared" si="50"/>
        <v>0</v>
      </c>
      <c r="EB30" s="459">
        <f t="shared" si="50"/>
        <v>0</v>
      </c>
      <c r="EC30" s="459">
        <f t="shared" si="50"/>
        <v>0</v>
      </c>
      <c r="ED30" s="459">
        <f t="shared" si="50"/>
        <v>0</v>
      </c>
      <c r="EE30" s="459">
        <f t="shared" si="50"/>
        <v>0</v>
      </c>
      <c r="EF30" s="459">
        <f t="shared" si="50"/>
        <v>0</v>
      </c>
      <c r="EG30" s="459">
        <f t="shared" si="50"/>
        <v>0</v>
      </c>
      <c r="EH30" s="459">
        <f t="shared" si="50"/>
        <v>0</v>
      </c>
      <c r="EI30" s="459">
        <f t="shared" si="50"/>
        <v>0</v>
      </c>
      <c r="EJ30" s="459">
        <f t="shared" si="50"/>
        <v>0</v>
      </c>
      <c r="EK30" s="460">
        <f t="shared" si="65"/>
        <v>0</v>
      </c>
    </row>
    <row r="31" spans="2:141" s="268" customFormat="1" ht="15" customHeight="1" x14ac:dyDescent="0.25">
      <c r="B31" s="464" t="str">
        <f>'2. START'!C$7</f>
        <v>100GEM</v>
      </c>
      <c r="C31" s="526"/>
      <c r="D31" s="591"/>
      <c r="E31" s="527">
        <v>0</v>
      </c>
      <c r="F31" s="527" t="s">
        <v>36</v>
      </c>
      <c r="G31" s="527"/>
      <c r="H31" s="515"/>
      <c r="I31" s="515"/>
      <c r="J31" s="515"/>
      <c r="K31" s="515"/>
      <c r="L31" s="515"/>
      <c r="M31" s="515"/>
      <c r="N31" s="515"/>
      <c r="O31" s="515"/>
      <c r="P31" s="515"/>
      <c r="Q31" s="515"/>
      <c r="R31" s="442">
        <f t="shared" si="13"/>
        <v>0</v>
      </c>
      <c r="S31" s="516">
        <f>IF('2. START'!$C$20="UTB",(SUMIF('3. PARTNER'!B$13:B$80,B31,'3. PARTNER'!M$13:M$80)),(SUMIF('3. PARTNER'!B$13:B$80,B31,'3. PARTNER'!I$13:I$80)))</f>
        <v>0</v>
      </c>
      <c r="T31" s="516">
        <f>IF('2. START'!$C$20="UTB",(SUMIF('3. PARTNER'!B$13:B$80,B31,'3. PARTNER'!N$13:N$80)),(SUMIF('3. PARTNER'!B$13:B$80,B31,'3. PARTNER'!J$13:J$80)))</f>
        <v>0</v>
      </c>
      <c r="U31" s="517">
        <f>IF(F31="NO",0,IF('2. START'!C$13="PERSON+OPERATION",'2. START'!C$12,0)+IF('2. START'!C$13="PERSON+OPERATION+INVEST+FACILIT",'2. START'!C$12,0))</f>
        <v>0</v>
      </c>
      <c r="V31" s="518"/>
      <c r="W31" s="519">
        <f t="shared" si="14"/>
        <v>0</v>
      </c>
      <c r="X31" s="519">
        <f t="shared" si="15"/>
        <v>0</v>
      </c>
      <c r="Y31" s="519">
        <f t="shared" si="16"/>
        <v>0</v>
      </c>
      <c r="Z31" s="519">
        <f t="shared" si="17"/>
        <v>0</v>
      </c>
      <c r="AA31" s="519">
        <f t="shared" si="18"/>
        <v>0</v>
      </c>
      <c r="AB31" s="519">
        <f t="shared" si="19"/>
        <v>0</v>
      </c>
      <c r="AC31" s="519">
        <f t="shared" si="20"/>
        <v>0</v>
      </c>
      <c r="AD31" s="519">
        <f t="shared" si="21"/>
        <v>0</v>
      </c>
      <c r="AE31" s="519">
        <f t="shared" si="22"/>
        <v>0</v>
      </c>
      <c r="AF31" s="519">
        <f t="shared" si="23"/>
        <v>0</v>
      </c>
      <c r="AG31" s="520">
        <f t="shared" si="51"/>
        <v>0</v>
      </c>
      <c r="AI31" s="519">
        <f t="shared" si="24"/>
        <v>0</v>
      </c>
      <c r="AJ31" s="519">
        <f t="shared" si="25"/>
        <v>0</v>
      </c>
      <c r="AK31" s="519">
        <f t="shared" si="26"/>
        <v>0</v>
      </c>
      <c r="AL31" s="519">
        <f t="shared" si="27"/>
        <v>0</v>
      </c>
      <c r="AM31" s="519">
        <f t="shared" si="28"/>
        <v>0</v>
      </c>
      <c r="AN31" s="519">
        <f t="shared" si="29"/>
        <v>0</v>
      </c>
      <c r="AO31" s="519">
        <f t="shared" si="30"/>
        <v>0</v>
      </c>
      <c r="AP31" s="519">
        <f t="shared" si="31"/>
        <v>0</v>
      </c>
      <c r="AQ31" s="519">
        <f t="shared" si="32"/>
        <v>0</v>
      </c>
      <c r="AR31" s="519">
        <f t="shared" si="33"/>
        <v>0</v>
      </c>
      <c r="AS31" s="520">
        <f t="shared" si="52"/>
        <v>0</v>
      </c>
      <c r="AU31" s="519">
        <f t="shared" si="53"/>
        <v>0</v>
      </c>
      <c r="AV31" s="519">
        <f t="shared" si="34"/>
        <v>0</v>
      </c>
      <c r="AW31" s="519">
        <f t="shared" si="34"/>
        <v>0</v>
      </c>
      <c r="AX31" s="519">
        <f t="shared" si="34"/>
        <v>0</v>
      </c>
      <c r="AY31" s="519">
        <f t="shared" si="34"/>
        <v>0</v>
      </c>
      <c r="AZ31" s="519">
        <f t="shared" si="34"/>
        <v>0</v>
      </c>
      <c r="BA31" s="519">
        <f t="shared" si="34"/>
        <v>0</v>
      </c>
      <c r="BB31" s="519">
        <f t="shared" si="34"/>
        <v>0</v>
      </c>
      <c r="BC31" s="519">
        <f t="shared" si="34"/>
        <v>0</v>
      </c>
      <c r="BD31" s="519">
        <f t="shared" si="34"/>
        <v>0</v>
      </c>
      <c r="BE31" s="520">
        <f t="shared" si="54"/>
        <v>0</v>
      </c>
      <c r="BG31" s="519">
        <f t="shared" si="55"/>
        <v>0</v>
      </c>
      <c r="BH31" s="519">
        <f t="shared" si="35"/>
        <v>0</v>
      </c>
      <c r="BI31" s="519">
        <f t="shared" si="35"/>
        <v>0</v>
      </c>
      <c r="BJ31" s="519">
        <f t="shared" si="35"/>
        <v>0</v>
      </c>
      <c r="BK31" s="519">
        <f t="shared" si="35"/>
        <v>0</v>
      </c>
      <c r="BL31" s="519">
        <f t="shared" si="35"/>
        <v>0</v>
      </c>
      <c r="BM31" s="519">
        <f t="shared" si="35"/>
        <v>0</v>
      </c>
      <c r="BN31" s="519">
        <f t="shared" si="35"/>
        <v>0</v>
      </c>
      <c r="BO31" s="519">
        <f t="shared" si="35"/>
        <v>0</v>
      </c>
      <c r="BP31" s="519">
        <f t="shared" si="35"/>
        <v>0</v>
      </c>
      <c r="BQ31" s="520">
        <f t="shared" si="56"/>
        <v>0</v>
      </c>
      <c r="BS31" s="519">
        <f t="shared" si="57"/>
        <v>0</v>
      </c>
      <c r="BT31" s="519">
        <f t="shared" si="36"/>
        <v>0</v>
      </c>
      <c r="BU31" s="519">
        <f t="shared" si="36"/>
        <v>0</v>
      </c>
      <c r="BV31" s="519">
        <f t="shared" si="36"/>
        <v>0</v>
      </c>
      <c r="BW31" s="519">
        <f t="shared" si="36"/>
        <v>0</v>
      </c>
      <c r="BX31" s="519">
        <f t="shared" si="36"/>
        <v>0</v>
      </c>
      <c r="BY31" s="519">
        <f t="shared" si="36"/>
        <v>0</v>
      </c>
      <c r="BZ31" s="519">
        <f t="shared" si="36"/>
        <v>0</v>
      </c>
      <c r="CA31" s="519">
        <f t="shared" si="36"/>
        <v>0</v>
      </c>
      <c r="CB31" s="519">
        <f t="shared" si="36"/>
        <v>0</v>
      </c>
      <c r="CC31" s="520">
        <f t="shared" si="58"/>
        <v>0</v>
      </c>
      <c r="CE31" s="519">
        <f t="shared" si="59"/>
        <v>0</v>
      </c>
      <c r="CF31" s="519">
        <f t="shared" si="37"/>
        <v>0</v>
      </c>
      <c r="CG31" s="519">
        <f t="shared" si="37"/>
        <v>0</v>
      </c>
      <c r="CH31" s="519">
        <f t="shared" si="37"/>
        <v>0</v>
      </c>
      <c r="CI31" s="519">
        <f t="shared" si="37"/>
        <v>0</v>
      </c>
      <c r="CJ31" s="519">
        <f t="shared" si="37"/>
        <v>0</v>
      </c>
      <c r="CK31" s="519">
        <f t="shared" si="37"/>
        <v>0</v>
      </c>
      <c r="CL31" s="519">
        <f t="shared" si="37"/>
        <v>0</v>
      </c>
      <c r="CM31" s="519">
        <f t="shared" si="37"/>
        <v>0</v>
      </c>
      <c r="CN31" s="519">
        <f t="shared" si="37"/>
        <v>0</v>
      </c>
      <c r="CO31" s="520">
        <f t="shared" si="60"/>
        <v>0</v>
      </c>
      <c r="CQ31" s="519">
        <f t="shared" si="38"/>
        <v>0</v>
      </c>
      <c r="CR31" s="519">
        <f t="shared" si="39"/>
        <v>0</v>
      </c>
      <c r="CS31" s="519">
        <f t="shared" si="40"/>
        <v>0</v>
      </c>
      <c r="CT31" s="519">
        <f t="shared" si="41"/>
        <v>0</v>
      </c>
      <c r="CU31" s="519">
        <f t="shared" si="42"/>
        <v>0</v>
      </c>
      <c r="CV31" s="519">
        <f t="shared" si="43"/>
        <v>0</v>
      </c>
      <c r="CW31" s="519">
        <f t="shared" si="44"/>
        <v>0</v>
      </c>
      <c r="CX31" s="519">
        <f t="shared" si="45"/>
        <v>0</v>
      </c>
      <c r="CY31" s="519">
        <f t="shared" si="46"/>
        <v>0</v>
      </c>
      <c r="CZ31" s="519">
        <f t="shared" si="47"/>
        <v>0</v>
      </c>
      <c r="DA31" s="520">
        <f t="shared" si="61"/>
        <v>0</v>
      </c>
      <c r="DC31" s="519">
        <f t="shared" si="62"/>
        <v>0</v>
      </c>
      <c r="DD31" s="519">
        <f t="shared" si="48"/>
        <v>0</v>
      </c>
      <c r="DE31" s="519">
        <f t="shared" si="48"/>
        <v>0</v>
      </c>
      <c r="DF31" s="519">
        <f t="shared" si="48"/>
        <v>0</v>
      </c>
      <c r="DG31" s="519">
        <f t="shared" si="48"/>
        <v>0</v>
      </c>
      <c r="DH31" s="519">
        <f t="shared" si="48"/>
        <v>0</v>
      </c>
      <c r="DI31" s="519">
        <f t="shared" si="48"/>
        <v>0</v>
      </c>
      <c r="DJ31" s="519">
        <f t="shared" si="48"/>
        <v>0</v>
      </c>
      <c r="DK31" s="519">
        <f t="shared" si="48"/>
        <v>0</v>
      </c>
      <c r="DL31" s="519">
        <f t="shared" si="48"/>
        <v>0</v>
      </c>
      <c r="DM31" s="520">
        <f t="shared" si="63"/>
        <v>0</v>
      </c>
      <c r="DO31" s="519">
        <f t="shared" si="49"/>
        <v>0</v>
      </c>
      <c r="DP31" s="519">
        <f t="shared" si="49"/>
        <v>0</v>
      </c>
      <c r="DQ31" s="519">
        <f t="shared" si="49"/>
        <v>0</v>
      </c>
      <c r="DR31" s="519">
        <f t="shared" si="49"/>
        <v>0</v>
      </c>
      <c r="DS31" s="519">
        <f t="shared" si="49"/>
        <v>0</v>
      </c>
      <c r="DT31" s="519">
        <f t="shared" si="49"/>
        <v>0</v>
      </c>
      <c r="DU31" s="519">
        <f t="shared" si="49"/>
        <v>0</v>
      </c>
      <c r="DV31" s="519">
        <f t="shared" si="49"/>
        <v>0</v>
      </c>
      <c r="DW31" s="519">
        <f t="shared" si="49"/>
        <v>0</v>
      </c>
      <c r="DX31" s="519">
        <f t="shared" si="49"/>
        <v>0</v>
      </c>
      <c r="DY31" s="520">
        <f t="shared" si="64"/>
        <v>0</v>
      </c>
      <c r="EA31" s="519">
        <f t="shared" si="50"/>
        <v>0</v>
      </c>
      <c r="EB31" s="519">
        <f t="shared" si="50"/>
        <v>0</v>
      </c>
      <c r="EC31" s="519">
        <f t="shared" si="50"/>
        <v>0</v>
      </c>
      <c r="ED31" s="519">
        <f t="shared" si="50"/>
        <v>0</v>
      </c>
      <c r="EE31" s="519">
        <f t="shared" si="50"/>
        <v>0</v>
      </c>
      <c r="EF31" s="519">
        <f t="shared" si="50"/>
        <v>0</v>
      </c>
      <c r="EG31" s="519">
        <f t="shared" si="50"/>
        <v>0</v>
      </c>
      <c r="EH31" s="519">
        <f t="shared" si="50"/>
        <v>0</v>
      </c>
      <c r="EI31" s="519">
        <f t="shared" si="50"/>
        <v>0</v>
      </c>
      <c r="EJ31" s="519">
        <f t="shared" si="50"/>
        <v>0</v>
      </c>
      <c r="EK31" s="520">
        <f t="shared" si="65"/>
        <v>0</v>
      </c>
    </row>
    <row r="32" spans="2:141" s="268" customFormat="1" ht="15" customHeight="1" x14ac:dyDescent="0.25">
      <c r="B32" s="446" t="str">
        <f>'2. START'!C$7</f>
        <v>100GEM</v>
      </c>
      <c r="C32" s="521"/>
      <c r="D32" s="592"/>
      <c r="E32" s="522">
        <v>0</v>
      </c>
      <c r="F32" s="522" t="s">
        <v>36</v>
      </c>
      <c r="G32" s="522"/>
      <c r="H32" s="523"/>
      <c r="I32" s="523"/>
      <c r="J32" s="523"/>
      <c r="K32" s="523"/>
      <c r="L32" s="523"/>
      <c r="M32" s="523"/>
      <c r="N32" s="523"/>
      <c r="O32" s="523"/>
      <c r="P32" s="523"/>
      <c r="Q32" s="523"/>
      <c r="R32" s="459">
        <f t="shared" si="13"/>
        <v>0</v>
      </c>
      <c r="S32" s="524">
        <f>IF('2. START'!$C$20="UTB",(SUMIF('3. PARTNER'!B$13:B$80,B32,'3. PARTNER'!M$13:M$80)),(SUMIF('3. PARTNER'!B$13:B$80,B32,'3. PARTNER'!I$13:I$80)))</f>
        <v>0</v>
      </c>
      <c r="T32" s="524">
        <f>IF('2. START'!$C$20="UTB",(SUMIF('3. PARTNER'!B$13:B$80,B32,'3. PARTNER'!N$13:N$80)),(SUMIF('3. PARTNER'!B$13:B$80,B32,'3. PARTNER'!J$13:J$80)))</f>
        <v>0</v>
      </c>
      <c r="U32" s="454">
        <f>IF(F32="NO",0,IF('2. START'!C$13="PERSON+OPERATION",'2. START'!C$12,0)+IF('2. START'!C$13="PERSON+OPERATION+INVEST+FACILIT",'2. START'!C$12,0))</f>
        <v>0</v>
      </c>
      <c r="V32" s="525"/>
      <c r="W32" s="459">
        <f t="shared" si="14"/>
        <v>0</v>
      </c>
      <c r="X32" s="459">
        <f t="shared" si="15"/>
        <v>0</v>
      </c>
      <c r="Y32" s="459">
        <f t="shared" si="16"/>
        <v>0</v>
      </c>
      <c r="Z32" s="459">
        <f t="shared" si="17"/>
        <v>0</v>
      </c>
      <c r="AA32" s="459">
        <f t="shared" si="18"/>
        <v>0</v>
      </c>
      <c r="AB32" s="459">
        <f t="shared" si="19"/>
        <v>0</v>
      </c>
      <c r="AC32" s="459">
        <f t="shared" si="20"/>
        <v>0</v>
      </c>
      <c r="AD32" s="459">
        <f t="shared" si="21"/>
        <v>0</v>
      </c>
      <c r="AE32" s="459">
        <f t="shared" si="22"/>
        <v>0</v>
      </c>
      <c r="AF32" s="459">
        <f t="shared" si="23"/>
        <v>0</v>
      </c>
      <c r="AG32" s="460">
        <f t="shared" si="51"/>
        <v>0</v>
      </c>
      <c r="AH32" s="463"/>
      <c r="AI32" s="459">
        <f t="shared" si="24"/>
        <v>0</v>
      </c>
      <c r="AJ32" s="459">
        <f t="shared" si="25"/>
        <v>0</v>
      </c>
      <c r="AK32" s="459">
        <f t="shared" si="26"/>
        <v>0</v>
      </c>
      <c r="AL32" s="459">
        <f t="shared" si="27"/>
        <v>0</v>
      </c>
      <c r="AM32" s="459">
        <f t="shared" si="28"/>
        <v>0</v>
      </c>
      <c r="AN32" s="459">
        <f t="shared" si="29"/>
        <v>0</v>
      </c>
      <c r="AO32" s="459">
        <f t="shared" si="30"/>
        <v>0</v>
      </c>
      <c r="AP32" s="459">
        <f t="shared" si="31"/>
        <v>0</v>
      </c>
      <c r="AQ32" s="459">
        <f t="shared" si="32"/>
        <v>0</v>
      </c>
      <c r="AR32" s="459">
        <f t="shared" si="33"/>
        <v>0</v>
      </c>
      <c r="AS32" s="460">
        <f t="shared" si="52"/>
        <v>0</v>
      </c>
      <c r="AT32" s="463"/>
      <c r="AU32" s="459">
        <f t="shared" si="53"/>
        <v>0</v>
      </c>
      <c r="AV32" s="459">
        <f t="shared" si="34"/>
        <v>0</v>
      </c>
      <c r="AW32" s="459">
        <f t="shared" si="34"/>
        <v>0</v>
      </c>
      <c r="AX32" s="459">
        <f t="shared" si="34"/>
        <v>0</v>
      </c>
      <c r="AY32" s="459">
        <f t="shared" si="34"/>
        <v>0</v>
      </c>
      <c r="AZ32" s="459">
        <f t="shared" si="34"/>
        <v>0</v>
      </c>
      <c r="BA32" s="459">
        <f t="shared" si="34"/>
        <v>0</v>
      </c>
      <c r="BB32" s="459">
        <f t="shared" si="34"/>
        <v>0</v>
      </c>
      <c r="BC32" s="459">
        <f t="shared" si="34"/>
        <v>0</v>
      </c>
      <c r="BD32" s="459">
        <f t="shared" si="34"/>
        <v>0</v>
      </c>
      <c r="BE32" s="460">
        <f t="shared" si="54"/>
        <v>0</v>
      </c>
      <c r="BF32" s="463"/>
      <c r="BG32" s="459">
        <f t="shared" si="55"/>
        <v>0</v>
      </c>
      <c r="BH32" s="459">
        <f t="shared" si="35"/>
        <v>0</v>
      </c>
      <c r="BI32" s="459">
        <f t="shared" si="35"/>
        <v>0</v>
      </c>
      <c r="BJ32" s="459">
        <f t="shared" si="35"/>
        <v>0</v>
      </c>
      <c r="BK32" s="459">
        <f t="shared" si="35"/>
        <v>0</v>
      </c>
      <c r="BL32" s="459">
        <f t="shared" si="35"/>
        <v>0</v>
      </c>
      <c r="BM32" s="459">
        <f t="shared" si="35"/>
        <v>0</v>
      </c>
      <c r="BN32" s="459">
        <f t="shared" si="35"/>
        <v>0</v>
      </c>
      <c r="BO32" s="459">
        <f t="shared" si="35"/>
        <v>0</v>
      </c>
      <c r="BP32" s="459">
        <f t="shared" si="35"/>
        <v>0</v>
      </c>
      <c r="BQ32" s="460">
        <f t="shared" si="56"/>
        <v>0</v>
      </c>
      <c r="BR32" s="463"/>
      <c r="BS32" s="459">
        <f t="shared" si="57"/>
        <v>0</v>
      </c>
      <c r="BT32" s="459">
        <f t="shared" si="36"/>
        <v>0</v>
      </c>
      <c r="BU32" s="459">
        <f t="shared" si="36"/>
        <v>0</v>
      </c>
      <c r="BV32" s="459">
        <f t="shared" si="36"/>
        <v>0</v>
      </c>
      <c r="BW32" s="459">
        <f t="shared" si="36"/>
        <v>0</v>
      </c>
      <c r="BX32" s="459">
        <f t="shared" si="36"/>
        <v>0</v>
      </c>
      <c r="BY32" s="459">
        <f t="shared" si="36"/>
        <v>0</v>
      </c>
      <c r="BZ32" s="459">
        <f t="shared" si="36"/>
        <v>0</v>
      </c>
      <c r="CA32" s="459">
        <f t="shared" si="36"/>
        <v>0</v>
      </c>
      <c r="CB32" s="459">
        <f t="shared" si="36"/>
        <v>0</v>
      </c>
      <c r="CC32" s="460">
        <f t="shared" si="58"/>
        <v>0</v>
      </c>
      <c r="CD32" s="463"/>
      <c r="CE32" s="459">
        <f t="shared" si="59"/>
        <v>0</v>
      </c>
      <c r="CF32" s="459">
        <f t="shared" si="37"/>
        <v>0</v>
      </c>
      <c r="CG32" s="459">
        <f t="shared" si="37"/>
        <v>0</v>
      </c>
      <c r="CH32" s="459">
        <f t="shared" si="37"/>
        <v>0</v>
      </c>
      <c r="CI32" s="459">
        <f t="shared" si="37"/>
        <v>0</v>
      </c>
      <c r="CJ32" s="459">
        <f t="shared" si="37"/>
        <v>0</v>
      </c>
      <c r="CK32" s="459">
        <f t="shared" si="37"/>
        <v>0</v>
      </c>
      <c r="CL32" s="459">
        <f t="shared" si="37"/>
        <v>0</v>
      </c>
      <c r="CM32" s="459">
        <f t="shared" si="37"/>
        <v>0</v>
      </c>
      <c r="CN32" s="459">
        <f t="shared" si="37"/>
        <v>0</v>
      </c>
      <c r="CO32" s="460">
        <f t="shared" si="60"/>
        <v>0</v>
      </c>
      <c r="CP32" s="463"/>
      <c r="CQ32" s="459">
        <f t="shared" si="38"/>
        <v>0</v>
      </c>
      <c r="CR32" s="459">
        <f t="shared" si="39"/>
        <v>0</v>
      </c>
      <c r="CS32" s="459">
        <f t="shared" si="40"/>
        <v>0</v>
      </c>
      <c r="CT32" s="459">
        <f t="shared" si="41"/>
        <v>0</v>
      </c>
      <c r="CU32" s="459">
        <f t="shared" si="42"/>
        <v>0</v>
      </c>
      <c r="CV32" s="459">
        <f t="shared" si="43"/>
        <v>0</v>
      </c>
      <c r="CW32" s="459">
        <f t="shared" si="44"/>
        <v>0</v>
      </c>
      <c r="CX32" s="459">
        <f t="shared" si="45"/>
        <v>0</v>
      </c>
      <c r="CY32" s="459">
        <f t="shared" si="46"/>
        <v>0</v>
      </c>
      <c r="CZ32" s="459">
        <f t="shared" si="47"/>
        <v>0</v>
      </c>
      <c r="DA32" s="460">
        <f t="shared" si="61"/>
        <v>0</v>
      </c>
      <c r="DB32" s="463"/>
      <c r="DC32" s="459">
        <f t="shared" si="62"/>
        <v>0</v>
      </c>
      <c r="DD32" s="459">
        <f t="shared" si="48"/>
        <v>0</v>
      </c>
      <c r="DE32" s="459">
        <f t="shared" si="48"/>
        <v>0</v>
      </c>
      <c r="DF32" s="459">
        <f t="shared" si="48"/>
        <v>0</v>
      </c>
      <c r="DG32" s="459">
        <f t="shared" si="48"/>
        <v>0</v>
      </c>
      <c r="DH32" s="459">
        <f t="shared" si="48"/>
        <v>0</v>
      </c>
      <c r="DI32" s="459">
        <f t="shared" si="48"/>
        <v>0</v>
      </c>
      <c r="DJ32" s="459">
        <f t="shared" si="48"/>
        <v>0</v>
      </c>
      <c r="DK32" s="459">
        <f t="shared" si="48"/>
        <v>0</v>
      </c>
      <c r="DL32" s="459">
        <f t="shared" si="48"/>
        <v>0</v>
      </c>
      <c r="DM32" s="460">
        <f t="shared" si="63"/>
        <v>0</v>
      </c>
      <c r="DN32" s="463"/>
      <c r="DO32" s="459">
        <f t="shared" si="49"/>
        <v>0</v>
      </c>
      <c r="DP32" s="459">
        <f t="shared" si="49"/>
        <v>0</v>
      </c>
      <c r="DQ32" s="459">
        <f t="shared" si="49"/>
        <v>0</v>
      </c>
      <c r="DR32" s="459">
        <f t="shared" si="49"/>
        <v>0</v>
      </c>
      <c r="DS32" s="459">
        <f t="shared" si="49"/>
        <v>0</v>
      </c>
      <c r="DT32" s="459">
        <f t="shared" si="49"/>
        <v>0</v>
      </c>
      <c r="DU32" s="459">
        <f t="shared" si="49"/>
        <v>0</v>
      </c>
      <c r="DV32" s="459">
        <f t="shared" si="49"/>
        <v>0</v>
      </c>
      <c r="DW32" s="459">
        <f t="shared" si="49"/>
        <v>0</v>
      </c>
      <c r="DX32" s="459">
        <f t="shared" si="49"/>
        <v>0</v>
      </c>
      <c r="DY32" s="460">
        <f t="shared" si="64"/>
        <v>0</v>
      </c>
      <c r="DZ32" s="463"/>
      <c r="EA32" s="459">
        <f t="shared" si="50"/>
        <v>0</v>
      </c>
      <c r="EB32" s="459">
        <f t="shared" si="50"/>
        <v>0</v>
      </c>
      <c r="EC32" s="459">
        <f t="shared" si="50"/>
        <v>0</v>
      </c>
      <c r="ED32" s="459">
        <f t="shared" si="50"/>
        <v>0</v>
      </c>
      <c r="EE32" s="459">
        <f t="shared" si="50"/>
        <v>0</v>
      </c>
      <c r="EF32" s="459">
        <f t="shared" si="50"/>
        <v>0</v>
      </c>
      <c r="EG32" s="459">
        <f t="shared" si="50"/>
        <v>0</v>
      </c>
      <c r="EH32" s="459">
        <f t="shared" si="50"/>
        <v>0</v>
      </c>
      <c r="EI32" s="459">
        <f t="shared" si="50"/>
        <v>0</v>
      </c>
      <c r="EJ32" s="459">
        <f t="shared" si="50"/>
        <v>0</v>
      </c>
      <c r="EK32" s="460">
        <f t="shared" si="65"/>
        <v>0</v>
      </c>
    </row>
    <row r="33" spans="2:141" s="268" customFormat="1" ht="15" customHeight="1" x14ac:dyDescent="0.25">
      <c r="B33" s="464" t="str">
        <f>'2. START'!C$7</f>
        <v>100GEM</v>
      </c>
      <c r="C33" s="526"/>
      <c r="D33" s="591"/>
      <c r="E33" s="527">
        <v>0</v>
      </c>
      <c r="F33" s="527" t="s">
        <v>36</v>
      </c>
      <c r="G33" s="527"/>
      <c r="H33" s="515"/>
      <c r="I33" s="515"/>
      <c r="J33" s="515"/>
      <c r="K33" s="515"/>
      <c r="L33" s="515"/>
      <c r="M33" s="515"/>
      <c r="N33" s="515"/>
      <c r="O33" s="515"/>
      <c r="P33" s="515"/>
      <c r="Q33" s="515"/>
      <c r="R33" s="442">
        <f t="shared" si="13"/>
        <v>0</v>
      </c>
      <c r="S33" s="516">
        <f>IF('2. START'!$C$20="UTB",(SUMIF('3. PARTNER'!B$13:B$80,B33,'3. PARTNER'!M$13:M$80)),(SUMIF('3. PARTNER'!B$13:B$80,B33,'3. PARTNER'!I$13:I$80)))</f>
        <v>0</v>
      </c>
      <c r="T33" s="516">
        <f>IF('2. START'!$C$20="UTB",(SUMIF('3. PARTNER'!B$13:B$80,B33,'3. PARTNER'!N$13:N$80)),(SUMIF('3. PARTNER'!B$13:B$80,B33,'3. PARTNER'!J$13:J$80)))</f>
        <v>0</v>
      </c>
      <c r="U33" s="517">
        <f>IF(F33="NO",0,IF('2. START'!C$13="PERSON+OPERATION",'2. START'!C$12,0)+IF('2. START'!C$13="PERSON+OPERATION+INVEST+FACILIT",'2. START'!C$12,0))</f>
        <v>0</v>
      </c>
      <c r="V33" s="518"/>
      <c r="W33" s="519">
        <f t="shared" si="14"/>
        <v>0</v>
      </c>
      <c r="X33" s="519">
        <f t="shared" si="15"/>
        <v>0</v>
      </c>
      <c r="Y33" s="519">
        <f t="shared" si="16"/>
        <v>0</v>
      </c>
      <c r="Z33" s="519">
        <f t="shared" si="17"/>
        <v>0</v>
      </c>
      <c r="AA33" s="519">
        <f t="shared" si="18"/>
        <v>0</v>
      </c>
      <c r="AB33" s="519">
        <f t="shared" si="19"/>
        <v>0</v>
      </c>
      <c r="AC33" s="519">
        <f t="shared" si="20"/>
        <v>0</v>
      </c>
      <c r="AD33" s="519">
        <f t="shared" si="21"/>
        <v>0</v>
      </c>
      <c r="AE33" s="519">
        <f t="shared" si="22"/>
        <v>0</v>
      </c>
      <c r="AF33" s="519">
        <f t="shared" si="23"/>
        <v>0</v>
      </c>
      <c r="AG33" s="520">
        <f t="shared" si="51"/>
        <v>0</v>
      </c>
      <c r="AI33" s="519">
        <f t="shared" si="24"/>
        <v>0</v>
      </c>
      <c r="AJ33" s="519">
        <f t="shared" si="25"/>
        <v>0</v>
      </c>
      <c r="AK33" s="519">
        <f t="shared" si="26"/>
        <v>0</v>
      </c>
      <c r="AL33" s="519">
        <f t="shared" si="27"/>
        <v>0</v>
      </c>
      <c r="AM33" s="519">
        <f t="shared" si="28"/>
        <v>0</v>
      </c>
      <c r="AN33" s="519">
        <f t="shared" si="29"/>
        <v>0</v>
      </c>
      <c r="AO33" s="519">
        <f t="shared" si="30"/>
        <v>0</v>
      </c>
      <c r="AP33" s="519">
        <f t="shared" si="31"/>
        <v>0</v>
      </c>
      <c r="AQ33" s="519">
        <f t="shared" si="32"/>
        <v>0</v>
      </c>
      <c r="AR33" s="519">
        <f t="shared" si="33"/>
        <v>0</v>
      </c>
      <c r="AS33" s="520">
        <f t="shared" si="52"/>
        <v>0</v>
      </c>
      <c r="AU33" s="519">
        <f t="shared" si="53"/>
        <v>0</v>
      </c>
      <c r="AV33" s="519">
        <f t="shared" si="53"/>
        <v>0</v>
      </c>
      <c r="AW33" s="519">
        <f t="shared" si="53"/>
        <v>0</v>
      </c>
      <c r="AX33" s="519">
        <f t="shared" si="53"/>
        <v>0</v>
      </c>
      <c r="AY33" s="519">
        <f t="shared" si="53"/>
        <v>0</v>
      </c>
      <c r="AZ33" s="519">
        <f t="shared" si="53"/>
        <v>0</v>
      </c>
      <c r="BA33" s="519">
        <f t="shared" si="53"/>
        <v>0</v>
      </c>
      <c r="BB33" s="519">
        <f t="shared" si="53"/>
        <v>0</v>
      </c>
      <c r="BC33" s="519">
        <f t="shared" si="53"/>
        <v>0</v>
      </c>
      <c r="BD33" s="519">
        <f t="shared" si="53"/>
        <v>0</v>
      </c>
      <c r="BE33" s="520">
        <f t="shared" si="54"/>
        <v>0</v>
      </c>
      <c r="BG33" s="519">
        <f t="shared" si="55"/>
        <v>0</v>
      </c>
      <c r="BH33" s="519">
        <f t="shared" si="35"/>
        <v>0</v>
      </c>
      <c r="BI33" s="519">
        <f t="shared" si="35"/>
        <v>0</v>
      </c>
      <c r="BJ33" s="519">
        <f t="shared" si="35"/>
        <v>0</v>
      </c>
      <c r="BK33" s="519">
        <f t="shared" si="35"/>
        <v>0</v>
      </c>
      <c r="BL33" s="519">
        <f t="shared" si="35"/>
        <v>0</v>
      </c>
      <c r="BM33" s="519">
        <f t="shared" si="35"/>
        <v>0</v>
      </c>
      <c r="BN33" s="519">
        <f t="shared" si="35"/>
        <v>0</v>
      </c>
      <c r="BO33" s="519">
        <f t="shared" si="35"/>
        <v>0</v>
      </c>
      <c r="BP33" s="519">
        <f t="shared" si="35"/>
        <v>0</v>
      </c>
      <c r="BQ33" s="520">
        <f t="shared" si="56"/>
        <v>0</v>
      </c>
      <c r="BS33" s="519">
        <f t="shared" si="57"/>
        <v>0</v>
      </c>
      <c r="BT33" s="519">
        <f t="shared" si="57"/>
        <v>0</v>
      </c>
      <c r="BU33" s="519">
        <f t="shared" si="57"/>
        <v>0</v>
      </c>
      <c r="BV33" s="519">
        <f t="shared" si="57"/>
        <v>0</v>
      </c>
      <c r="BW33" s="519">
        <f t="shared" si="57"/>
        <v>0</v>
      </c>
      <c r="BX33" s="519">
        <f t="shared" si="57"/>
        <v>0</v>
      </c>
      <c r="BY33" s="519">
        <f t="shared" si="57"/>
        <v>0</v>
      </c>
      <c r="BZ33" s="519">
        <f t="shared" si="57"/>
        <v>0</v>
      </c>
      <c r="CA33" s="519">
        <f t="shared" si="57"/>
        <v>0</v>
      </c>
      <c r="CB33" s="519">
        <f t="shared" si="57"/>
        <v>0</v>
      </c>
      <c r="CC33" s="520">
        <f t="shared" si="58"/>
        <v>0</v>
      </c>
      <c r="CE33" s="519">
        <f t="shared" si="59"/>
        <v>0</v>
      </c>
      <c r="CF33" s="519">
        <f t="shared" si="37"/>
        <v>0</v>
      </c>
      <c r="CG33" s="519">
        <f t="shared" si="37"/>
        <v>0</v>
      </c>
      <c r="CH33" s="519">
        <f t="shared" si="37"/>
        <v>0</v>
      </c>
      <c r="CI33" s="519">
        <f t="shared" si="37"/>
        <v>0</v>
      </c>
      <c r="CJ33" s="519">
        <f t="shared" si="37"/>
        <v>0</v>
      </c>
      <c r="CK33" s="519">
        <f t="shared" si="37"/>
        <v>0</v>
      </c>
      <c r="CL33" s="519">
        <f t="shared" si="37"/>
        <v>0</v>
      </c>
      <c r="CM33" s="519">
        <f t="shared" si="37"/>
        <v>0</v>
      </c>
      <c r="CN33" s="519">
        <f t="shared" si="37"/>
        <v>0</v>
      </c>
      <c r="CO33" s="520">
        <f t="shared" si="60"/>
        <v>0</v>
      </c>
      <c r="CQ33" s="519">
        <f t="shared" si="38"/>
        <v>0</v>
      </c>
      <c r="CR33" s="519">
        <f t="shared" si="39"/>
        <v>0</v>
      </c>
      <c r="CS33" s="519">
        <f t="shared" si="40"/>
        <v>0</v>
      </c>
      <c r="CT33" s="519">
        <f t="shared" si="41"/>
        <v>0</v>
      </c>
      <c r="CU33" s="519">
        <f t="shared" si="42"/>
        <v>0</v>
      </c>
      <c r="CV33" s="519">
        <f t="shared" si="43"/>
        <v>0</v>
      </c>
      <c r="CW33" s="519">
        <f t="shared" si="44"/>
        <v>0</v>
      </c>
      <c r="CX33" s="519">
        <f t="shared" si="45"/>
        <v>0</v>
      </c>
      <c r="CY33" s="519">
        <f t="shared" si="46"/>
        <v>0</v>
      </c>
      <c r="CZ33" s="519">
        <f t="shared" si="47"/>
        <v>0</v>
      </c>
      <c r="DA33" s="520">
        <f t="shared" si="61"/>
        <v>0</v>
      </c>
      <c r="DC33" s="519">
        <f t="shared" si="62"/>
        <v>0</v>
      </c>
      <c r="DD33" s="519">
        <f t="shared" si="62"/>
        <v>0</v>
      </c>
      <c r="DE33" s="519">
        <f t="shared" si="62"/>
        <v>0</v>
      </c>
      <c r="DF33" s="519">
        <f t="shared" si="62"/>
        <v>0</v>
      </c>
      <c r="DG33" s="519">
        <f t="shared" si="62"/>
        <v>0</v>
      </c>
      <c r="DH33" s="519">
        <f t="shared" si="62"/>
        <v>0</v>
      </c>
      <c r="DI33" s="519">
        <f t="shared" si="62"/>
        <v>0</v>
      </c>
      <c r="DJ33" s="519">
        <f t="shared" si="62"/>
        <v>0</v>
      </c>
      <c r="DK33" s="519">
        <f t="shared" si="62"/>
        <v>0</v>
      </c>
      <c r="DL33" s="519">
        <f t="shared" si="62"/>
        <v>0</v>
      </c>
      <c r="DM33" s="520">
        <f t="shared" si="63"/>
        <v>0</v>
      </c>
      <c r="DO33" s="519">
        <f t="shared" si="49"/>
        <v>0</v>
      </c>
      <c r="DP33" s="519">
        <f t="shared" si="49"/>
        <v>0</v>
      </c>
      <c r="DQ33" s="519">
        <f t="shared" si="49"/>
        <v>0</v>
      </c>
      <c r="DR33" s="519">
        <f t="shared" si="49"/>
        <v>0</v>
      </c>
      <c r="DS33" s="519">
        <f t="shared" si="49"/>
        <v>0</v>
      </c>
      <c r="DT33" s="519">
        <f t="shared" si="49"/>
        <v>0</v>
      </c>
      <c r="DU33" s="519">
        <f t="shared" si="49"/>
        <v>0</v>
      </c>
      <c r="DV33" s="519">
        <f t="shared" si="49"/>
        <v>0</v>
      </c>
      <c r="DW33" s="519">
        <f t="shared" si="49"/>
        <v>0</v>
      </c>
      <c r="DX33" s="519">
        <f t="shared" si="49"/>
        <v>0</v>
      </c>
      <c r="DY33" s="520">
        <f t="shared" si="64"/>
        <v>0</v>
      </c>
      <c r="EA33" s="519">
        <f t="shared" si="50"/>
        <v>0</v>
      </c>
      <c r="EB33" s="519">
        <f t="shared" si="50"/>
        <v>0</v>
      </c>
      <c r="EC33" s="519">
        <f t="shared" si="50"/>
        <v>0</v>
      </c>
      <c r="ED33" s="519">
        <f t="shared" si="50"/>
        <v>0</v>
      </c>
      <c r="EE33" s="519">
        <f t="shared" si="50"/>
        <v>0</v>
      </c>
      <c r="EF33" s="519">
        <f t="shared" si="50"/>
        <v>0</v>
      </c>
      <c r="EG33" s="519">
        <f t="shared" si="50"/>
        <v>0</v>
      </c>
      <c r="EH33" s="519">
        <f t="shared" si="50"/>
        <v>0</v>
      </c>
      <c r="EI33" s="519">
        <f t="shared" si="50"/>
        <v>0</v>
      </c>
      <c r="EJ33" s="519">
        <f t="shared" si="50"/>
        <v>0</v>
      </c>
      <c r="EK33" s="520">
        <f t="shared" si="65"/>
        <v>0</v>
      </c>
    </row>
    <row r="34" spans="2:141" s="268" customFormat="1" ht="15" customHeight="1" x14ac:dyDescent="0.25">
      <c r="B34" s="446" t="str">
        <f>'2. START'!C$7</f>
        <v>100GEM</v>
      </c>
      <c r="C34" s="521"/>
      <c r="D34" s="592"/>
      <c r="E34" s="522">
        <v>0</v>
      </c>
      <c r="F34" s="522" t="s">
        <v>36</v>
      </c>
      <c r="G34" s="522"/>
      <c r="H34" s="523"/>
      <c r="I34" s="523"/>
      <c r="J34" s="523"/>
      <c r="K34" s="523"/>
      <c r="L34" s="523"/>
      <c r="M34" s="523"/>
      <c r="N34" s="523"/>
      <c r="O34" s="523"/>
      <c r="P34" s="523"/>
      <c r="Q34" s="523"/>
      <c r="R34" s="459">
        <f t="shared" si="13"/>
        <v>0</v>
      </c>
      <c r="S34" s="524">
        <f>IF('2. START'!$C$20="UTB",(SUMIF('3. PARTNER'!B$13:B$80,B34,'3. PARTNER'!M$13:M$80)),(SUMIF('3. PARTNER'!B$13:B$80,B34,'3. PARTNER'!I$13:I$80)))</f>
        <v>0</v>
      </c>
      <c r="T34" s="524">
        <f>IF('2. START'!$C$20="UTB",(SUMIF('3. PARTNER'!B$13:B$80,B34,'3. PARTNER'!N$13:N$80)),(SUMIF('3. PARTNER'!B$13:B$80,B34,'3. PARTNER'!J$13:J$80)))</f>
        <v>0</v>
      </c>
      <c r="U34" s="454">
        <f>IF(F34="NO",0,IF('2. START'!C$13="PERSON+OPERATION",'2. START'!C$12,0)+IF('2. START'!C$13="PERSON+OPERATION+INVEST+FACILIT",'2. START'!C$12,0))</f>
        <v>0</v>
      </c>
      <c r="V34" s="525"/>
      <c r="W34" s="459">
        <f t="shared" si="14"/>
        <v>0</v>
      </c>
      <c r="X34" s="459">
        <f t="shared" si="15"/>
        <v>0</v>
      </c>
      <c r="Y34" s="459">
        <f t="shared" si="16"/>
        <v>0</v>
      </c>
      <c r="Z34" s="459">
        <f t="shared" si="17"/>
        <v>0</v>
      </c>
      <c r="AA34" s="459">
        <f t="shared" si="18"/>
        <v>0</v>
      </c>
      <c r="AB34" s="459">
        <f t="shared" si="19"/>
        <v>0</v>
      </c>
      <c r="AC34" s="459">
        <f t="shared" si="20"/>
        <v>0</v>
      </c>
      <c r="AD34" s="459">
        <f t="shared" si="21"/>
        <v>0</v>
      </c>
      <c r="AE34" s="459">
        <f t="shared" si="22"/>
        <v>0</v>
      </c>
      <c r="AF34" s="459">
        <f t="shared" si="23"/>
        <v>0</v>
      </c>
      <c r="AG34" s="460">
        <f t="shared" si="51"/>
        <v>0</v>
      </c>
      <c r="AH34" s="463"/>
      <c r="AI34" s="459">
        <f t="shared" si="24"/>
        <v>0</v>
      </c>
      <c r="AJ34" s="459">
        <f t="shared" si="25"/>
        <v>0</v>
      </c>
      <c r="AK34" s="459">
        <f t="shared" si="26"/>
        <v>0</v>
      </c>
      <c r="AL34" s="459">
        <f t="shared" si="27"/>
        <v>0</v>
      </c>
      <c r="AM34" s="459">
        <f t="shared" si="28"/>
        <v>0</v>
      </c>
      <c r="AN34" s="459">
        <f t="shared" si="29"/>
        <v>0</v>
      </c>
      <c r="AO34" s="459">
        <f t="shared" si="30"/>
        <v>0</v>
      </c>
      <c r="AP34" s="459">
        <f t="shared" si="31"/>
        <v>0</v>
      </c>
      <c r="AQ34" s="459">
        <f t="shared" si="32"/>
        <v>0</v>
      </c>
      <c r="AR34" s="459">
        <f t="shared" si="33"/>
        <v>0</v>
      </c>
      <c r="AS34" s="460">
        <f t="shared" si="52"/>
        <v>0</v>
      </c>
      <c r="AT34" s="463"/>
      <c r="AU34" s="459">
        <f t="shared" si="53"/>
        <v>0</v>
      </c>
      <c r="AV34" s="459">
        <f t="shared" si="53"/>
        <v>0</v>
      </c>
      <c r="AW34" s="459">
        <f t="shared" si="53"/>
        <v>0</v>
      </c>
      <c r="AX34" s="459">
        <f t="shared" si="53"/>
        <v>0</v>
      </c>
      <c r="AY34" s="459">
        <f t="shared" si="53"/>
        <v>0</v>
      </c>
      <c r="AZ34" s="459">
        <f t="shared" si="53"/>
        <v>0</v>
      </c>
      <c r="BA34" s="459">
        <f t="shared" si="53"/>
        <v>0</v>
      </c>
      <c r="BB34" s="459">
        <f t="shared" si="53"/>
        <v>0</v>
      </c>
      <c r="BC34" s="459">
        <f t="shared" si="53"/>
        <v>0</v>
      </c>
      <c r="BD34" s="459">
        <f t="shared" si="53"/>
        <v>0</v>
      </c>
      <c r="BE34" s="460">
        <f t="shared" si="54"/>
        <v>0</v>
      </c>
      <c r="BF34" s="463"/>
      <c r="BG34" s="459">
        <f t="shared" si="55"/>
        <v>0</v>
      </c>
      <c r="BH34" s="459">
        <f t="shared" si="35"/>
        <v>0</v>
      </c>
      <c r="BI34" s="459">
        <f t="shared" si="35"/>
        <v>0</v>
      </c>
      <c r="BJ34" s="459">
        <f t="shared" si="35"/>
        <v>0</v>
      </c>
      <c r="BK34" s="459">
        <f t="shared" si="35"/>
        <v>0</v>
      </c>
      <c r="BL34" s="459">
        <f t="shared" si="35"/>
        <v>0</v>
      </c>
      <c r="BM34" s="459">
        <f t="shared" si="35"/>
        <v>0</v>
      </c>
      <c r="BN34" s="459">
        <f t="shared" si="35"/>
        <v>0</v>
      </c>
      <c r="BO34" s="459">
        <f t="shared" si="35"/>
        <v>0</v>
      </c>
      <c r="BP34" s="459">
        <f t="shared" si="35"/>
        <v>0</v>
      </c>
      <c r="BQ34" s="460">
        <f t="shared" si="56"/>
        <v>0</v>
      </c>
      <c r="BR34" s="463"/>
      <c r="BS34" s="459">
        <f t="shared" si="57"/>
        <v>0</v>
      </c>
      <c r="BT34" s="459">
        <f t="shared" si="57"/>
        <v>0</v>
      </c>
      <c r="BU34" s="459">
        <f t="shared" si="57"/>
        <v>0</v>
      </c>
      <c r="BV34" s="459">
        <f t="shared" si="57"/>
        <v>0</v>
      </c>
      <c r="BW34" s="459">
        <f t="shared" si="57"/>
        <v>0</v>
      </c>
      <c r="BX34" s="459">
        <f t="shared" si="57"/>
        <v>0</v>
      </c>
      <c r="BY34" s="459">
        <f t="shared" si="57"/>
        <v>0</v>
      </c>
      <c r="BZ34" s="459">
        <f t="shared" si="57"/>
        <v>0</v>
      </c>
      <c r="CA34" s="459">
        <f t="shared" si="57"/>
        <v>0</v>
      </c>
      <c r="CB34" s="459">
        <f t="shared" si="57"/>
        <v>0</v>
      </c>
      <c r="CC34" s="460">
        <f t="shared" si="58"/>
        <v>0</v>
      </c>
      <c r="CD34" s="463"/>
      <c r="CE34" s="459">
        <f t="shared" si="59"/>
        <v>0</v>
      </c>
      <c r="CF34" s="459">
        <f t="shared" si="37"/>
        <v>0</v>
      </c>
      <c r="CG34" s="459">
        <f t="shared" si="37"/>
        <v>0</v>
      </c>
      <c r="CH34" s="459">
        <f t="shared" si="37"/>
        <v>0</v>
      </c>
      <c r="CI34" s="459">
        <f t="shared" si="37"/>
        <v>0</v>
      </c>
      <c r="CJ34" s="459">
        <f t="shared" si="37"/>
        <v>0</v>
      </c>
      <c r="CK34" s="459">
        <f t="shared" si="37"/>
        <v>0</v>
      </c>
      <c r="CL34" s="459">
        <f t="shared" si="37"/>
        <v>0</v>
      </c>
      <c r="CM34" s="459">
        <f t="shared" si="37"/>
        <v>0</v>
      </c>
      <c r="CN34" s="459">
        <f t="shared" si="37"/>
        <v>0</v>
      </c>
      <c r="CO34" s="460">
        <f t="shared" si="60"/>
        <v>0</v>
      </c>
      <c r="CP34" s="463"/>
      <c r="CQ34" s="459">
        <f t="shared" si="38"/>
        <v>0</v>
      </c>
      <c r="CR34" s="459">
        <f t="shared" si="39"/>
        <v>0</v>
      </c>
      <c r="CS34" s="459">
        <f t="shared" si="40"/>
        <v>0</v>
      </c>
      <c r="CT34" s="459">
        <f t="shared" si="41"/>
        <v>0</v>
      </c>
      <c r="CU34" s="459">
        <f t="shared" si="42"/>
        <v>0</v>
      </c>
      <c r="CV34" s="459">
        <f t="shared" si="43"/>
        <v>0</v>
      </c>
      <c r="CW34" s="459">
        <f t="shared" si="44"/>
        <v>0</v>
      </c>
      <c r="CX34" s="459">
        <f t="shared" si="45"/>
        <v>0</v>
      </c>
      <c r="CY34" s="459">
        <f t="shared" si="46"/>
        <v>0</v>
      </c>
      <c r="CZ34" s="459">
        <f t="shared" si="47"/>
        <v>0</v>
      </c>
      <c r="DA34" s="460">
        <f t="shared" si="61"/>
        <v>0</v>
      </c>
      <c r="DB34" s="463"/>
      <c r="DC34" s="459">
        <f t="shared" si="62"/>
        <v>0</v>
      </c>
      <c r="DD34" s="459">
        <f t="shared" si="62"/>
        <v>0</v>
      </c>
      <c r="DE34" s="459">
        <f t="shared" si="62"/>
        <v>0</v>
      </c>
      <c r="DF34" s="459">
        <f t="shared" si="62"/>
        <v>0</v>
      </c>
      <c r="DG34" s="459">
        <f t="shared" si="62"/>
        <v>0</v>
      </c>
      <c r="DH34" s="459">
        <f t="shared" si="62"/>
        <v>0</v>
      </c>
      <c r="DI34" s="459">
        <f t="shared" si="62"/>
        <v>0</v>
      </c>
      <c r="DJ34" s="459">
        <f t="shared" si="62"/>
        <v>0</v>
      </c>
      <c r="DK34" s="459">
        <f t="shared" si="62"/>
        <v>0</v>
      </c>
      <c r="DL34" s="459">
        <f t="shared" si="62"/>
        <v>0</v>
      </c>
      <c r="DM34" s="460">
        <f t="shared" si="63"/>
        <v>0</v>
      </c>
      <c r="DN34" s="463"/>
      <c r="DO34" s="459">
        <f t="shared" si="49"/>
        <v>0</v>
      </c>
      <c r="DP34" s="459">
        <f t="shared" si="49"/>
        <v>0</v>
      </c>
      <c r="DQ34" s="459">
        <f t="shared" si="49"/>
        <v>0</v>
      </c>
      <c r="DR34" s="459">
        <f t="shared" si="49"/>
        <v>0</v>
      </c>
      <c r="DS34" s="459">
        <f t="shared" si="49"/>
        <v>0</v>
      </c>
      <c r="DT34" s="459">
        <f t="shared" si="49"/>
        <v>0</v>
      </c>
      <c r="DU34" s="459">
        <f t="shared" si="49"/>
        <v>0</v>
      </c>
      <c r="DV34" s="459">
        <f t="shared" si="49"/>
        <v>0</v>
      </c>
      <c r="DW34" s="459">
        <f t="shared" si="49"/>
        <v>0</v>
      </c>
      <c r="DX34" s="459">
        <f t="shared" si="49"/>
        <v>0</v>
      </c>
      <c r="DY34" s="460">
        <f t="shared" si="64"/>
        <v>0</v>
      </c>
      <c r="DZ34" s="463"/>
      <c r="EA34" s="459">
        <f t="shared" si="50"/>
        <v>0</v>
      </c>
      <c r="EB34" s="459">
        <f t="shared" si="50"/>
        <v>0</v>
      </c>
      <c r="EC34" s="459">
        <f t="shared" si="50"/>
        <v>0</v>
      </c>
      <c r="ED34" s="459">
        <f t="shared" si="50"/>
        <v>0</v>
      </c>
      <c r="EE34" s="459">
        <f t="shared" si="50"/>
        <v>0</v>
      </c>
      <c r="EF34" s="459">
        <f t="shared" si="50"/>
        <v>0</v>
      </c>
      <c r="EG34" s="459">
        <f t="shared" si="50"/>
        <v>0</v>
      </c>
      <c r="EH34" s="459">
        <f t="shared" si="50"/>
        <v>0</v>
      </c>
      <c r="EI34" s="459">
        <f t="shared" si="50"/>
        <v>0</v>
      </c>
      <c r="EJ34" s="459">
        <f t="shared" si="50"/>
        <v>0</v>
      </c>
      <c r="EK34" s="460">
        <f t="shared" si="65"/>
        <v>0</v>
      </c>
    </row>
    <row r="35" spans="2:141" s="268" customFormat="1" ht="15" customHeight="1" x14ac:dyDescent="0.25">
      <c r="B35" s="464" t="str">
        <f>'2. START'!C$7</f>
        <v>100GEM</v>
      </c>
      <c r="C35" s="470"/>
      <c r="D35" s="593"/>
      <c r="E35" s="527">
        <v>0</v>
      </c>
      <c r="F35" s="527" t="s">
        <v>36</v>
      </c>
      <c r="G35" s="527"/>
      <c r="H35" s="515"/>
      <c r="I35" s="515"/>
      <c r="J35" s="515"/>
      <c r="K35" s="515"/>
      <c r="L35" s="515"/>
      <c r="M35" s="515"/>
      <c r="N35" s="515"/>
      <c r="O35" s="515"/>
      <c r="P35" s="515"/>
      <c r="Q35" s="515"/>
      <c r="R35" s="442">
        <f t="shared" si="13"/>
        <v>0</v>
      </c>
      <c r="S35" s="516">
        <f>IF('2. START'!$C$20="UTB",(SUMIF('3. PARTNER'!B$13:B$80,B35,'3. PARTNER'!M$13:M$80)),(SUMIF('3. PARTNER'!B$13:B$80,B35,'3. PARTNER'!I$13:I$80)))</f>
        <v>0</v>
      </c>
      <c r="T35" s="516">
        <f>IF('2. START'!$C$20="UTB",(SUMIF('3. PARTNER'!B$13:B$80,B35,'3. PARTNER'!N$13:N$80)),(SUMIF('3. PARTNER'!B$13:B$80,B35,'3. PARTNER'!J$13:J$80)))</f>
        <v>0</v>
      </c>
      <c r="U35" s="517">
        <f>IF(F35="NO",0,IF('2. START'!C$13="PERSON+OPERATION",'2. START'!C$12,0)+IF('2. START'!C$13="PERSON+OPERATION+INVEST+FACILIT",'2. START'!C$12,0))</f>
        <v>0</v>
      </c>
      <c r="V35" s="498"/>
      <c r="W35" s="519">
        <f t="shared" si="14"/>
        <v>0</v>
      </c>
      <c r="X35" s="519">
        <f t="shared" si="15"/>
        <v>0</v>
      </c>
      <c r="Y35" s="519">
        <f t="shared" si="16"/>
        <v>0</v>
      </c>
      <c r="Z35" s="519">
        <f t="shared" si="17"/>
        <v>0</v>
      </c>
      <c r="AA35" s="519">
        <f t="shared" si="18"/>
        <v>0</v>
      </c>
      <c r="AB35" s="519">
        <f t="shared" si="19"/>
        <v>0</v>
      </c>
      <c r="AC35" s="519">
        <f t="shared" si="20"/>
        <v>0</v>
      </c>
      <c r="AD35" s="519">
        <f t="shared" si="21"/>
        <v>0</v>
      </c>
      <c r="AE35" s="519">
        <f t="shared" si="22"/>
        <v>0</v>
      </c>
      <c r="AF35" s="519">
        <f t="shared" si="23"/>
        <v>0</v>
      </c>
      <c r="AG35" s="520">
        <f t="shared" si="51"/>
        <v>0</v>
      </c>
      <c r="AI35" s="519">
        <f t="shared" si="24"/>
        <v>0</v>
      </c>
      <c r="AJ35" s="519">
        <f t="shared" si="25"/>
        <v>0</v>
      </c>
      <c r="AK35" s="519">
        <f t="shared" si="26"/>
        <v>0</v>
      </c>
      <c r="AL35" s="519">
        <f t="shared" si="27"/>
        <v>0</v>
      </c>
      <c r="AM35" s="519">
        <f t="shared" si="28"/>
        <v>0</v>
      </c>
      <c r="AN35" s="519">
        <f t="shared" si="29"/>
        <v>0</v>
      </c>
      <c r="AO35" s="519">
        <f t="shared" si="30"/>
        <v>0</v>
      </c>
      <c r="AP35" s="519">
        <f t="shared" si="31"/>
        <v>0</v>
      </c>
      <c r="AQ35" s="519">
        <f t="shared" si="32"/>
        <v>0</v>
      </c>
      <c r="AR35" s="519">
        <f t="shared" si="33"/>
        <v>0</v>
      </c>
      <c r="AS35" s="520">
        <f t="shared" si="52"/>
        <v>0</v>
      </c>
      <c r="AU35" s="519">
        <f t="shared" si="53"/>
        <v>0</v>
      </c>
      <c r="AV35" s="519">
        <f t="shared" si="53"/>
        <v>0</v>
      </c>
      <c r="AW35" s="519">
        <f t="shared" si="53"/>
        <v>0</v>
      </c>
      <c r="AX35" s="519">
        <f t="shared" si="53"/>
        <v>0</v>
      </c>
      <c r="AY35" s="519">
        <f t="shared" si="53"/>
        <v>0</v>
      </c>
      <c r="AZ35" s="519">
        <f t="shared" si="53"/>
        <v>0</v>
      </c>
      <c r="BA35" s="519">
        <f t="shared" si="53"/>
        <v>0</v>
      </c>
      <c r="BB35" s="519">
        <f t="shared" si="53"/>
        <v>0</v>
      </c>
      <c r="BC35" s="519">
        <f t="shared" si="53"/>
        <v>0</v>
      </c>
      <c r="BD35" s="519">
        <f t="shared" si="53"/>
        <v>0</v>
      </c>
      <c r="BE35" s="520">
        <f t="shared" si="54"/>
        <v>0</v>
      </c>
      <c r="BG35" s="519">
        <f t="shared" si="55"/>
        <v>0</v>
      </c>
      <c r="BH35" s="519">
        <f t="shared" si="35"/>
        <v>0</v>
      </c>
      <c r="BI35" s="519">
        <f t="shared" si="35"/>
        <v>0</v>
      </c>
      <c r="BJ35" s="519">
        <f t="shared" si="35"/>
        <v>0</v>
      </c>
      <c r="BK35" s="519">
        <f t="shared" si="35"/>
        <v>0</v>
      </c>
      <c r="BL35" s="519">
        <f t="shared" si="35"/>
        <v>0</v>
      </c>
      <c r="BM35" s="519">
        <f t="shared" si="35"/>
        <v>0</v>
      </c>
      <c r="BN35" s="519">
        <f t="shared" si="35"/>
        <v>0</v>
      </c>
      <c r="BO35" s="519">
        <f t="shared" si="35"/>
        <v>0</v>
      </c>
      <c r="BP35" s="519">
        <f t="shared" si="35"/>
        <v>0</v>
      </c>
      <c r="BQ35" s="520">
        <f t="shared" si="56"/>
        <v>0</v>
      </c>
      <c r="BS35" s="519">
        <f t="shared" si="57"/>
        <v>0</v>
      </c>
      <c r="BT35" s="519">
        <f t="shared" si="57"/>
        <v>0</v>
      </c>
      <c r="BU35" s="519">
        <f t="shared" si="57"/>
        <v>0</v>
      </c>
      <c r="BV35" s="519">
        <f t="shared" si="57"/>
        <v>0</v>
      </c>
      <c r="BW35" s="519">
        <f t="shared" si="57"/>
        <v>0</v>
      </c>
      <c r="BX35" s="519">
        <f t="shared" si="57"/>
        <v>0</v>
      </c>
      <c r="BY35" s="519">
        <f t="shared" si="57"/>
        <v>0</v>
      </c>
      <c r="BZ35" s="519">
        <f t="shared" si="57"/>
        <v>0</v>
      </c>
      <c r="CA35" s="519">
        <f t="shared" si="57"/>
        <v>0</v>
      </c>
      <c r="CB35" s="519">
        <f t="shared" si="57"/>
        <v>0</v>
      </c>
      <c r="CC35" s="520">
        <f t="shared" si="58"/>
        <v>0</v>
      </c>
      <c r="CE35" s="519">
        <f t="shared" si="59"/>
        <v>0</v>
      </c>
      <c r="CF35" s="519">
        <f t="shared" si="37"/>
        <v>0</v>
      </c>
      <c r="CG35" s="519">
        <f t="shared" si="37"/>
        <v>0</v>
      </c>
      <c r="CH35" s="519">
        <f t="shared" si="37"/>
        <v>0</v>
      </c>
      <c r="CI35" s="519">
        <f t="shared" si="37"/>
        <v>0</v>
      </c>
      <c r="CJ35" s="519">
        <f t="shared" si="37"/>
        <v>0</v>
      </c>
      <c r="CK35" s="519">
        <f t="shared" si="37"/>
        <v>0</v>
      </c>
      <c r="CL35" s="519">
        <f t="shared" si="37"/>
        <v>0</v>
      </c>
      <c r="CM35" s="519">
        <f t="shared" si="37"/>
        <v>0</v>
      </c>
      <c r="CN35" s="519">
        <f t="shared" si="37"/>
        <v>0</v>
      </c>
      <c r="CO35" s="520">
        <f t="shared" si="60"/>
        <v>0</v>
      </c>
      <c r="CQ35" s="519">
        <f t="shared" si="38"/>
        <v>0</v>
      </c>
      <c r="CR35" s="519">
        <f t="shared" si="39"/>
        <v>0</v>
      </c>
      <c r="CS35" s="519">
        <f t="shared" si="40"/>
        <v>0</v>
      </c>
      <c r="CT35" s="519">
        <f t="shared" si="41"/>
        <v>0</v>
      </c>
      <c r="CU35" s="519">
        <f t="shared" si="42"/>
        <v>0</v>
      </c>
      <c r="CV35" s="519">
        <f t="shared" si="43"/>
        <v>0</v>
      </c>
      <c r="CW35" s="519">
        <f t="shared" si="44"/>
        <v>0</v>
      </c>
      <c r="CX35" s="519">
        <f t="shared" si="45"/>
        <v>0</v>
      </c>
      <c r="CY35" s="519">
        <f t="shared" si="46"/>
        <v>0</v>
      </c>
      <c r="CZ35" s="519">
        <f t="shared" si="47"/>
        <v>0</v>
      </c>
      <c r="DA35" s="520">
        <f t="shared" si="61"/>
        <v>0</v>
      </c>
      <c r="DC35" s="519">
        <f t="shared" si="62"/>
        <v>0</v>
      </c>
      <c r="DD35" s="519">
        <f t="shared" si="62"/>
        <v>0</v>
      </c>
      <c r="DE35" s="519">
        <f t="shared" si="62"/>
        <v>0</v>
      </c>
      <c r="DF35" s="519">
        <f t="shared" si="62"/>
        <v>0</v>
      </c>
      <c r="DG35" s="519">
        <f t="shared" si="62"/>
        <v>0</v>
      </c>
      <c r="DH35" s="519">
        <f t="shared" si="62"/>
        <v>0</v>
      </c>
      <c r="DI35" s="519">
        <f t="shared" si="62"/>
        <v>0</v>
      </c>
      <c r="DJ35" s="519">
        <f t="shared" si="62"/>
        <v>0</v>
      </c>
      <c r="DK35" s="519">
        <f t="shared" si="62"/>
        <v>0</v>
      </c>
      <c r="DL35" s="519">
        <f t="shared" si="62"/>
        <v>0</v>
      </c>
      <c r="DM35" s="520">
        <f t="shared" si="63"/>
        <v>0</v>
      </c>
      <c r="DO35" s="519">
        <f t="shared" si="49"/>
        <v>0</v>
      </c>
      <c r="DP35" s="519">
        <f t="shared" si="49"/>
        <v>0</v>
      </c>
      <c r="DQ35" s="519">
        <f t="shared" si="49"/>
        <v>0</v>
      </c>
      <c r="DR35" s="519">
        <f t="shared" si="49"/>
        <v>0</v>
      </c>
      <c r="DS35" s="519">
        <f t="shared" si="49"/>
        <v>0</v>
      </c>
      <c r="DT35" s="519">
        <f t="shared" si="49"/>
        <v>0</v>
      </c>
      <c r="DU35" s="519">
        <f t="shared" si="49"/>
        <v>0</v>
      </c>
      <c r="DV35" s="519">
        <f t="shared" si="49"/>
        <v>0</v>
      </c>
      <c r="DW35" s="519">
        <f t="shared" si="49"/>
        <v>0</v>
      </c>
      <c r="DX35" s="519">
        <f t="shared" si="49"/>
        <v>0</v>
      </c>
      <c r="DY35" s="520">
        <f t="shared" si="64"/>
        <v>0</v>
      </c>
      <c r="EA35" s="519">
        <f t="shared" si="50"/>
        <v>0</v>
      </c>
      <c r="EB35" s="519">
        <f t="shared" si="50"/>
        <v>0</v>
      </c>
      <c r="EC35" s="519">
        <f t="shared" si="50"/>
        <v>0</v>
      </c>
      <c r="ED35" s="519">
        <f t="shared" si="50"/>
        <v>0</v>
      </c>
      <c r="EE35" s="519">
        <f t="shared" si="50"/>
        <v>0</v>
      </c>
      <c r="EF35" s="519">
        <f t="shared" si="50"/>
        <v>0</v>
      </c>
      <c r="EG35" s="519">
        <f t="shared" si="50"/>
        <v>0</v>
      </c>
      <c r="EH35" s="519">
        <f t="shared" si="50"/>
        <v>0</v>
      </c>
      <c r="EI35" s="519">
        <f t="shared" si="50"/>
        <v>0</v>
      </c>
      <c r="EJ35" s="519">
        <f t="shared" si="50"/>
        <v>0</v>
      </c>
      <c r="EK35" s="520">
        <f t="shared" si="65"/>
        <v>0</v>
      </c>
    </row>
    <row r="36" spans="2:141" s="268" customFormat="1" ht="15" customHeight="1" x14ac:dyDescent="0.25">
      <c r="B36" s="446" t="str">
        <f>'2. START'!C$7</f>
        <v>100GEM</v>
      </c>
      <c r="C36" s="469"/>
      <c r="D36" s="594"/>
      <c r="E36" s="522">
        <v>0</v>
      </c>
      <c r="F36" s="522" t="s">
        <v>36</v>
      </c>
      <c r="G36" s="522"/>
      <c r="H36" s="523"/>
      <c r="I36" s="523"/>
      <c r="J36" s="523"/>
      <c r="K36" s="523"/>
      <c r="L36" s="523"/>
      <c r="M36" s="523"/>
      <c r="N36" s="523"/>
      <c r="O36" s="523"/>
      <c r="P36" s="523"/>
      <c r="Q36" s="523"/>
      <c r="R36" s="459">
        <f t="shared" si="13"/>
        <v>0</v>
      </c>
      <c r="S36" s="524">
        <f>IF('2. START'!$C$20="UTB",(SUMIF('3. PARTNER'!B$13:B$80,B36,'3. PARTNER'!M$13:M$80)),(SUMIF('3. PARTNER'!B$13:B$80,B36,'3. PARTNER'!I$13:I$80)))</f>
        <v>0</v>
      </c>
      <c r="T36" s="524">
        <f>IF('2. START'!$C$20="UTB",(SUMIF('3. PARTNER'!B$13:B$80,B36,'3. PARTNER'!N$13:N$80)),(SUMIF('3. PARTNER'!B$13:B$80,B36,'3. PARTNER'!J$13:J$80)))</f>
        <v>0</v>
      </c>
      <c r="U36" s="454">
        <f>IF(F36="NO",0,IF('2. START'!C$13="PERSON+OPERATION",'2. START'!C$12,0)+IF('2. START'!C$13="PERSON+OPERATION+INVEST+FACILIT",'2. START'!C$12,0))</f>
        <v>0</v>
      </c>
      <c r="V36" s="463"/>
      <c r="W36" s="459">
        <f t="shared" si="14"/>
        <v>0</v>
      </c>
      <c r="X36" s="459">
        <f t="shared" si="15"/>
        <v>0</v>
      </c>
      <c r="Y36" s="459">
        <f t="shared" si="16"/>
        <v>0</v>
      </c>
      <c r="Z36" s="459">
        <f t="shared" si="17"/>
        <v>0</v>
      </c>
      <c r="AA36" s="459">
        <f t="shared" si="18"/>
        <v>0</v>
      </c>
      <c r="AB36" s="459">
        <f t="shared" si="19"/>
        <v>0</v>
      </c>
      <c r="AC36" s="459">
        <f t="shared" si="20"/>
        <v>0</v>
      </c>
      <c r="AD36" s="459">
        <f t="shared" si="21"/>
        <v>0</v>
      </c>
      <c r="AE36" s="459">
        <f t="shared" si="22"/>
        <v>0</v>
      </c>
      <c r="AF36" s="459">
        <f t="shared" si="23"/>
        <v>0</v>
      </c>
      <c r="AG36" s="460">
        <f t="shared" si="51"/>
        <v>0</v>
      </c>
      <c r="AH36" s="463"/>
      <c r="AI36" s="459">
        <f t="shared" si="24"/>
        <v>0</v>
      </c>
      <c r="AJ36" s="459">
        <f t="shared" si="25"/>
        <v>0</v>
      </c>
      <c r="AK36" s="459">
        <f t="shared" si="26"/>
        <v>0</v>
      </c>
      <c r="AL36" s="459">
        <f t="shared" si="27"/>
        <v>0</v>
      </c>
      <c r="AM36" s="459">
        <f t="shared" si="28"/>
        <v>0</v>
      </c>
      <c r="AN36" s="459">
        <f t="shared" si="29"/>
        <v>0</v>
      </c>
      <c r="AO36" s="459">
        <f t="shared" si="30"/>
        <v>0</v>
      </c>
      <c r="AP36" s="459">
        <f t="shared" si="31"/>
        <v>0</v>
      </c>
      <c r="AQ36" s="459">
        <f t="shared" si="32"/>
        <v>0</v>
      </c>
      <c r="AR36" s="459">
        <f t="shared" si="33"/>
        <v>0</v>
      </c>
      <c r="AS36" s="460">
        <f t="shared" si="52"/>
        <v>0</v>
      </c>
      <c r="AT36" s="463"/>
      <c r="AU36" s="459">
        <f t="shared" si="53"/>
        <v>0</v>
      </c>
      <c r="AV36" s="459">
        <f t="shared" si="53"/>
        <v>0</v>
      </c>
      <c r="AW36" s="459">
        <f t="shared" si="53"/>
        <v>0</v>
      </c>
      <c r="AX36" s="459">
        <f t="shared" si="53"/>
        <v>0</v>
      </c>
      <c r="AY36" s="459">
        <f t="shared" si="53"/>
        <v>0</v>
      </c>
      <c r="AZ36" s="459">
        <f t="shared" si="53"/>
        <v>0</v>
      </c>
      <c r="BA36" s="459">
        <f t="shared" si="53"/>
        <v>0</v>
      </c>
      <c r="BB36" s="459">
        <f t="shared" si="53"/>
        <v>0</v>
      </c>
      <c r="BC36" s="459">
        <f t="shared" si="53"/>
        <v>0</v>
      </c>
      <c r="BD36" s="459">
        <f t="shared" si="53"/>
        <v>0</v>
      </c>
      <c r="BE36" s="460">
        <f t="shared" si="54"/>
        <v>0</v>
      </c>
      <c r="BF36" s="463"/>
      <c r="BG36" s="459">
        <f t="shared" si="55"/>
        <v>0</v>
      </c>
      <c r="BH36" s="459">
        <f t="shared" si="35"/>
        <v>0</v>
      </c>
      <c r="BI36" s="459">
        <f t="shared" si="35"/>
        <v>0</v>
      </c>
      <c r="BJ36" s="459">
        <f t="shared" si="35"/>
        <v>0</v>
      </c>
      <c r="BK36" s="459">
        <f t="shared" si="35"/>
        <v>0</v>
      </c>
      <c r="BL36" s="459">
        <f t="shared" si="35"/>
        <v>0</v>
      </c>
      <c r="BM36" s="459">
        <f t="shared" si="35"/>
        <v>0</v>
      </c>
      <c r="BN36" s="459">
        <f t="shared" si="35"/>
        <v>0</v>
      </c>
      <c r="BO36" s="459">
        <f t="shared" si="35"/>
        <v>0</v>
      </c>
      <c r="BP36" s="459">
        <f t="shared" si="35"/>
        <v>0</v>
      </c>
      <c r="BQ36" s="460">
        <f t="shared" si="56"/>
        <v>0</v>
      </c>
      <c r="BR36" s="463"/>
      <c r="BS36" s="459">
        <f t="shared" si="57"/>
        <v>0</v>
      </c>
      <c r="BT36" s="459">
        <f t="shared" si="57"/>
        <v>0</v>
      </c>
      <c r="BU36" s="459">
        <f t="shared" si="57"/>
        <v>0</v>
      </c>
      <c r="BV36" s="459">
        <f t="shared" si="57"/>
        <v>0</v>
      </c>
      <c r="BW36" s="459">
        <f t="shared" si="57"/>
        <v>0</v>
      </c>
      <c r="BX36" s="459">
        <f t="shared" si="57"/>
        <v>0</v>
      </c>
      <c r="BY36" s="459">
        <f t="shared" si="57"/>
        <v>0</v>
      </c>
      <c r="BZ36" s="459">
        <f t="shared" si="57"/>
        <v>0</v>
      </c>
      <c r="CA36" s="459">
        <f t="shared" si="57"/>
        <v>0</v>
      </c>
      <c r="CB36" s="459">
        <f t="shared" si="57"/>
        <v>0</v>
      </c>
      <c r="CC36" s="460">
        <f t="shared" si="58"/>
        <v>0</v>
      </c>
      <c r="CD36" s="463"/>
      <c r="CE36" s="459">
        <f t="shared" si="59"/>
        <v>0</v>
      </c>
      <c r="CF36" s="459">
        <f t="shared" si="37"/>
        <v>0</v>
      </c>
      <c r="CG36" s="459">
        <f t="shared" si="37"/>
        <v>0</v>
      </c>
      <c r="CH36" s="459">
        <f t="shared" si="37"/>
        <v>0</v>
      </c>
      <c r="CI36" s="459">
        <f t="shared" si="37"/>
        <v>0</v>
      </c>
      <c r="CJ36" s="459">
        <f t="shared" si="37"/>
        <v>0</v>
      </c>
      <c r="CK36" s="459">
        <f t="shared" si="37"/>
        <v>0</v>
      </c>
      <c r="CL36" s="459">
        <f t="shared" si="37"/>
        <v>0</v>
      </c>
      <c r="CM36" s="459">
        <f t="shared" si="37"/>
        <v>0</v>
      </c>
      <c r="CN36" s="459">
        <f t="shared" si="37"/>
        <v>0</v>
      </c>
      <c r="CO36" s="460">
        <f t="shared" si="60"/>
        <v>0</v>
      </c>
      <c r="CP36" s="463"/>
      <c r="CQ36" s="459">
        <f t="shared" si="38"/>
        <v>0</v>
      </c>
      <c r="CR36" s="459">
        <f t="shared" si="39"/>
        <v>0</v>
      </c>
      <c r="CS36" s="459">
        <f t="shared" si="40"/>
        <v>0</v>
      </c>
      <c r="CT36" s="459">
        <f t="shared" si="41"/>
        <v>0</v>
      </c>
      <c r="CU36" s="459">
        <f t="shared" si="42"/>
        <v>0</v>
      </c>
      <c r="CV36" s="459">
        <f t="shared" si="43"/>
        <v>0</v>
      </c>
      <c r="CW36" s="459">
        <f t="shared" si="44"/>
        <v>0</v>
      </c>
      <c r="CX36" s="459">
        <f t="shared" si="45"/>
        <v>0</v>
      </c>
      <c r="CY36" s="459">
        <f t="shared" si="46"/>
        <v>0</v>
      </c>
      <c r="CZ36" s="459">
        <f t="shared" si="47"/>
        <v>0</v>
      </c>
      <c r="DA36" s="460">
        <f t="shared" si="61"/>
        <v>0</v>
      </c>
      <c r="DB36" s="463"/>
      <c r="DC36" s="459">
        <f t="shared" si="62"/>
        <v>0</v>
      </c>
      <c r="DD36" s="459">
        <f t="shared" si="62"/>
        <v>0</v>
      </c>
      <c r="DE36" s="459">
        <f t="shared" si="62"/>
        <v>0</v>
      </c>
      <c r="DF36" s="459">
        <f t="shared" si="62"/>
        <v>0</v>
      </c>
      <c r="DG36" s="459">
        <f t="shared" si="62"/>
        <v>0</v>
      </c>
      <c r="DH36" s="459">
        <f t="shared" si="62"/>
        <v>0</v>
      </c>
      <c r="DI36" s="459">
        <f t="shared" si="62"/>
        <v>0</v>
      </c>
      <c r="DJ36" s="459">
        <f t="shared" si="62"/>
        <v>0</v>
      </c>
      <c r="DK36" s="459">
        <f t="shared" si="62"/>
        <v>0</v>
      </c>
      <c r="DL36" s="459">
        <f t="shared" si="62"/>
        <v>0</v>
      </c>
      <c r="DM36" s="460">
        <f t="shared" si="63"/>
        <v>0</v>
      </c>
      <c r="DN36" s="463"/>
      <c r="DO36" s="459">
        <f t="shared" si="49"/>
        <v>0</v>
      </c>
      <c r="DP36" s="459">
        <f t="shared" si="49"/>
        <v>0</v>
      </c>
      <c r="DQ36" s="459">
        <f t="shared" si="49"/>
        <v>0</v>
      </c>
      <c r="DR36" s="459">
        <f t="shared" si="49"/>
        <v>0</v>
      </c>
      <c r="DS36" s="459">
        <f t="shared" si="49"/>
        <v>0</v>
      </c>
      <c r="DT36" s="459">
        <f t="shared" si="49"/>
        <v>0</v>
      </c>
      <c r="DU36" s="459">
        <f t="shared" si="49"/>
        <v>0</v>
      </c>
      <c r="DV36" s="459">
        <f t="shared" si="49"/>
        <v>0</v>
      </c>
      <c r="DW36" s="459">
        <f t="shared" si="49"/>
        <v>0</v>
      </c>
      <c r="DX36" s="459">
        <f t="shared" si="49"/>
        <v>0</v>
      </c>
      <c r="DY36" s="460">
        <f t="shared" si="64"/>
        <v>0</v>
      </c>
      <c r="DZ36" s="463"/>
      <c r="EA36" s="459">
        <f t="shared" si="50"/>
        <v>0</v>
      </c>
      <c r="EB36" s="459">
        <f t="shared" si="50"/>
        <v>0</v>
      </c>
      <c r="EC36" s="459">
        <f t="shared" si="50"/>
        <v>0</v>
      </c>
      <c r="ED36" s="459">
        <f t="shared" si="50"/>
        <v>0</v>
      </c>
      <c r="EE36" s="459">
        <f t="shared" si="50"/>
        <v>0</v>
      </c>
      <c r="EF36" s="459">
        <f t="shared" si="50"/>
        <v>0</v>
      </c>
      <c r="EG36" s="459">
        <f t="shared" si="50"/>
        <v>0</v>
      </c>
      <c r="EH36" s="459">
        <f t="shared" si="50"/>
        <v>0</v>
      </c>
      <c r="EI36" s="459">
        <f t="shared" si="50"/>
        <v>0</v>
      </c>
      <c r="EJ36" s="459">
        <f t="shared" si="50"/>
        <v>0</v>
      </c>
      <c r="EK36" s="460">
        <f t="shared" si="65"/>
        <v>0</v>
      </c>
    </row>
    <row r="37" spans="2:141" s="268" customFormat="1" ht="15" customHeight="1" x14ac:dyDescent="0.25">
      <c r="B37" s="464" t="str">
        <f>'2. START'!C$7</f>
        <v>100GEM</v>
      </c>
      <c r="C37" s="470"/>
      <c r="D37" s="593"/>
      <c r="E37" s="527">
        <v>0</v>
      </c>
      <c r="F37" s="527" t="s">
        <v>36</v>
      </c>
      <c r="G37" s="527"/>
      <c r="H37" s="515"/>
      <c r="I37" s="515"/>
      <c r="J37" s="515"/>
      <c r="K37" s="515"/>
      <c r="L37" s="515"/>
      <c r="M37" s="515"/>
      <c r="N37" s="515"/>
      <c r="O37" s="515"/>
      <c r="P37" s="515"/>
      <c r="Q37" s="515"/>
      <c r="R37" s="442">
        <f t="shared" si="13"/>
        <v>0</v>
      </c>
      <c r="S37" s="516">
        <f>IF('2. START'!$C$20="UTB",(SUMIF('3. PARTNER'!B$13:B$80,B37,'3. PARTNER'!M$13:M$80)),(SUMIF('3. PARTNER'!B$13:B$80,B37,'3. PARTNER'!I$13:I$80)))</f>
        <v>0</v>
      </c>
      <c r="T37" s="516">
        <f>IF('2. START'!$C$20="UTB",(SUMIF('3. PARTNER'!B$13:B$80,B37,'3. PARTNER'!N$13:N$80)),(SUMIF('3. PARTNER'!B$13:B$80,B37,'3. PARTNER'!J$13:J$80)))</f>
        <v>0</v>
      </c>
      <c r="U37" s="517">
        <f>IF(F37="NO",0,IF('2. START'!C$13="PERSON+OPERATION",'2. START'!C$12,0)+IF('2. START'!C$13="PERSON+OPERATION+INVEST+FACILIT",'2. START'!C$12,0))</f>
        <v>0</v>
      </c>
      <c r="W37" s="519">
        <f t="shared" si="14"/>
        <v>0</v>
      </c>
      <c r="X37" s="519">
        <f t="shared" si="15"/>
        <v>0</v>
      </c>
      <c r="Y37" s="519">
        <f t="shared" si="16"/>
        <v>0</v>
      </c>
      <c r="Z37" s="519">
        <f t="shared" si="17"/>
        <v>0</v>
      </c>
      <c r="AA37" s="519">
        <f t="shared" si="18"/>
        <v>0</v>
      </c>
      <c r="AB37" s="519">
        <f t="shared" si="19"/>
        <v>0</v>
      </c>
      <c r="AC37" s="519">
        <f t="shared" si="20"/>
        <v>0</v>
      </c>
      <c r="AD37" s="519">
        <f t="shared" si="21"/>
        <v>0</v>
      </c>
      <c r="AE37" s="519">
        <f t="shared" si="22"/>
        <v>0</v>
      </c>
      <c r="AF37" s="519">
        <f t="shared" si="23"/>
        <v>0</v>
      </c>
      <c r="AG37" s="520">
        <f t="shared" si="51"/>
        <v>0</v>
      </c>
      <c r="AI37" s="519">
        <f t="shared" si="24"/>
        <v>0</v>
      </c>
      <c r="AJ37" s="519">
        <f t="shared" si="25"/>
        <v>0</v>
      </c>
      <c r="AK37" s="519">
        <f t="shared" si="26"/>
        <v>0</v>
      </c>
      <c r="AL37" s="519">
        <f t="shared" si="27"/>
        <v>0</v>
      </c>
      <c r="AM37" s="519">
        <f t="shared" si="28"/>
        <v>0</v>
      </c>
      <c r="AN37" s="519">
        <f t="shared" si="29"/>
        <v>0</v>
      </c>
      <c r="AO37" s="519">
        <f t="shared" si="30"/>
        <v>0</v>
      </c>
      <c r="AP37" s="519">
        <f t="shared" si="31"/>
        <v>0</v>
      </c>
      <c r="AQ37" s="519">
        <f t="shared" si="32"/>
        <v>0</v>
      </c>
      <c r="AR37" s="519">
        <f t="shared" si="33"/>
        <v>0</v>
      </c>
      <c r="AS37" s="520">
        <f t="shared" si="52"/>
        <v>0</v>
      </c>
      <c r="AU37" s="519">
        <f t="shared" si="53"/>
        <v>0</v>
      </c>
      <c r="AV37" s="519">
        <f t="shared" si="53"/>
        <v>0</v>
      </c>
      <c r="AW37" s="519">
        <f t="shared" si="53"/>
        <v>0</v>
      </c>
      <c r="AX37" s="519">
        <f t="shared" si="53"/>
        <v>0</v>
      </c>
      <c r="AY37" s="519">
        <f t="shared" si="53"/>
        <v>0</v>
      </c>
      <c r="AZ37" s="519">
        <f t="shared" si="53"/>
        <v>0</v>
      </c>
      <c r="BA37" s="519">
        <f t="shared" si="53"/>
        <v>0</v>
      </c>
      <c r="BB37" s="519">
        <f t="shared" si="53"/>
        <v>0</v>
      </c>
      <c r="BC37" s="519">
        <f t="shared" si="53"/>
        <v>0</v>
      </c>
      <c r="BD37" s="519">
        <f t="shared" si="53"/>
        <v>0</v>
      </c>
      <c r="BE37" s="520">
        <f t="shared" si="54"/>
        <v>0</v>
      </c>
      <c r="BG37" s="519">
        <f t="shared" si="55"/>
        <v>0</v>
      </c>
      <c r="BH37" s="519">
        <f t="shared" si="35"/>
        <v>0</v>
      </c>
      <c r="BI37" s="519">
        <f t="shared" si="35"/>
        <v>0</v>
      </c>
      <c r="BJ37" s="519">
        <f t="shared" si="35"/>
        <v>0</v>
      </c>
      <c r="BK37" s="519">
        <f t="shared" si="35"/>
        <v>0</v>
      </c>
      <c r="BL37" s="519">
        <f t="shared" si="35"/>
        <v>0</v>
      </c>
      <c r="BM37" s="519">
        <f t="shared" si="35"/>
        <v>0</v>
      </c>
      <c r="BN37" s="519">
        <f t="shared" si="35"/>
        <v>0</v>
      </c>
      <c r="BO37" s="519">
        <f t="shared" si="35"/>
        <v>0</v>
      </c>
      <c r="BP37" s="519">
        <f t="shared" si="35"/>
        <v>0</v>
      </c>
      <c r="BQ37" s="520">
        <f t="shared" si="56"/>
        <v>0</v>
      </c>
      <c r="BS37" s="519">
        <f t="shared" si="57"/>
        <v>0</v>
      </c>
      <c r="BT37" s="519">
        <f t="shared" si="57"/>
        <v>0</v>
      </c>
      <c r="BU37" s="519">
        <f t="shared" si="57"/>
        <v>0</v>
      </c>
      <c r="BV37" s="519">
        <f t="shared" si="57"/>
        <v>0</v>
      </c>
      <c r="BW37" s="519">
        <f t="shared" si="57"/>
        <v>0</v>
      </c>
      <c r="BX37" s="519">
        <f t="shared" si="57"/>
        <v>0</v>
      </c>
      <c r="BY37" s="519">
        <f t="shared" si="57"/>
        <v>0</v>
      </c>
      <c r="BZ37" s="519">
        <f t="shared" si="57"/>
        <v>0</v>
      </c>
      <c r="CA37" s="519">
        <f t="shared" si="57"/>
        <v>0</v>
      </c>
      <c r="CB37" s="519">
        <f t="shared" si="57"/>
        <v>0</v>
      </c>
      <c r="CC37" s="520">
        <f t="shared" si="58"/>
        <v>0</v>
      </c>
      <c r="CE37" s="519">
        <f t="shared" si="59"/>
        <v>0</v>
      </c>
      <c r="CF37" s="519">
        <f t="shared" si="37"/>
        <v>0</v>
      </c>
      <c r="CG37" s="519">
        <f t="shared" si="37"/>
        <v>0</v>
      </c>
      <c r="CH37" s="519">
        <f t="shared" si="37"/>
        <v>0</v>
      </c>
      <c r="CI37" s="519">
        <f t="shared" si="37"/>
        <v>0</v>
      </c>
      <c r="CJ37" s="519">
        <f t="shared" si="37"/>
        <v>0</v>
      </c>
      <c r="CK37" s="519">
        <f t="shared" si="37"/>
        <v>0</v>
      </c>
      <c r="CL37" s="519">
        <f t="shared" si="37"/>
        <v>0</v>
      </c>
      <c r="CM37" s="519">
        <f t="shared" si="37"/>
        <v>0</v>
      </c>
      <c r="CN37" s="519">
        <f t="shared" si="37"/>
        <v>0</v>
      </c>
      <c r="CO37" s="520">
        <f t="shared" si="60"/>
        <v>0</v>
      </c>
      <c r="CQ37" s="519">
        <f t="shared" si="38"/>
        <v>0</v>
      </c>
      <c r="CR37" s="519">
        <f t="shared" si="39"/>
        <v>0</v>
      </c>
      <c r="CS37" s="519">
        <f t="shared" si="40"/>
        <v>0</v>
      </c>
      <c r="CT37" s="519">
        <f t="shared" si="41"/>
        <v>0</v>
      </c>
      <c r="CU37" s="519">
        <f t="shared" si="42"/>
        <v>0</v>
      </c>
      <c r="CV37" s="519">
        <f t="shared" si="43"/>
        <v>0</v>
      </c>
      <c r="CW37" s="519">
        <f t="shared" si="44"/>
        <v>0</v>
      </c>
      <c r="CX37" s="519">
        <f t="shared" si="45"/>
        <v>0</v>
      </c>
      <c r="CY37" s="519">
        <f t="shared" si="46"/>
        <v>0</v>
      </c>
      <c r="CZ37" s="519">
        <f t="shared" si="47"/>
        <v>0</v>
      </c>
      <c r="DA37" s="520">
        <f t="shared" si="61"/>
        <v>0</v>
      </c>
      <c r="DC37" s="519">
        <f t="shared" si="62"/>
        <v>0</v>
      </c>
      <c r="DD37" s="519">
        <f t="shared" si="62"/>
        <v>0</v>
      </c>
      <c r="DE37" s="519">
        <f t="shared" si="62"/>
        <v>0</v>
      </c>
      <c r="DF37" s="519">
        <f t="shared" si="62"/>
        <v>0</v>
      </c>
      <c r="DG37" s="519">
        <f t="shared" si="62"/>
        <v>0</v>
      </c>
      <c r="DH37" s="519">
        <f t="shared" si="62"/>
        <v>0</v>
      </c>
      <c r="DI37" s="519">
        <f t="shared" si="62"/>
        <v>0</v>
      </c>
      <c r="DJ37" s="519">
        <f t="shared" si="62"/>
        <v>0</v>
      </c>
      <c r="DK37" s="519">
        <f t="shared" si="62"/>
        <v>0</v>
      </c>
      <c r="DL37" s="519">
        <f t="shared" si="62"/>
        <v>0</v>
      </c>
      <c r="DM37" s="520">
        <f t="shared" si="63"/>
        <v>0</v>
      </c>
      <c r="DO37" s="519">
        <f t="shared" si="49"/>
        <v>0</v>
      </c>
      <c r="DP37" s="519">
        <f t="shared" si="49"/>
        <v>0</v>
      </c>
      <c r="DQ37" s="519">
        <f t="shared" si="49"/>
        <v>0</v>
      </c>
      <c r="DR37" s="519">
        <f t="shared" si="49"/>
        <v>0</v>
      </c>
      <c r="DS37" s="519">
        <f t="shared" si="49"/>
        <v>0</v>
      </c>
      <c r="DT37" s="519">
        <f t="shared" si="49"/>
        <v>0</v>
      </c>
      <c r="DU37" s="519">
        <f t="shared" si="49"/>
        <v>0</v>
      </c>
      <c r="DV37" s="519">
        <f t="shared" si="49"/>
        <v>0</v>
      </c>
      <c r="DW37" s="519">
        <f t="shared" si="49"/>
        <v>0</v>
      </c>
      <c r="DX37" s="519">
        <f t="shared" si="49"/>
        <v>0</v>
      </c>
      <c r="DY37" s="520">
        <f t="shared" si="64"/>
        <v>0</v>
      </c>
      <c r="EA37" s="519">
        <f t="shared" si="50"/>
        <v>0</v>
      </c>
      <c r="EB37" s="519">
        <f t="shared" si="50"/>
        <v>0</v>
      </c>
      <c r="EC37" s="519">
        <f t="shared" si="50"/>
        <v>0</v>
      </c>
      <c r="ED37" s="519">
        <f t="shared" si="50"/>
        <v>0</v>
      </c>
      <c r="EE37" s="519">
        <f t="shared" si="50"/>
        <v>0</v>
      </c>
      <c r="EF37" s="519">
        <f t="shared" si="50"/>
        <v>0</v>
      </c>
      <c r="EG37" s="519">
        <f t="shared" si="50"/>
        <v>0</v>
      </c>
      <c r="EH37" s="519">
        <f t="shared" si="50"/>
        <v>0</v>
      </c>
      <c r="EI37" s="519">
        <f t="shared" si="50"/>
        <v>0</v>
      </c>
      <c r="EJ37" s="519">
        <f t="shared" si="50"/>
        <v>0</v>
      </c>
      <c r="EK37" s="520">
        <f t="shared" si="65"/>
        <v>0</v>
      </c>
    </row>
    <row r="38" spans="2:141" s="268" customFormat="1" ht="15" customHeight="1" x14ac:dyDescent="0.25">
      <c r="B38" s="446" t="str">
        <f>'2. START'!C$7</f>
        <v>100GEM</v>
      </c>
      <c r="C38" s="469"/>
      <c r="D38" s="594"/>
      <c r="E38" s="522">
        <v>0</v>
      </c>
      <c r="F38" s="522" t="s">
        <v>36</v>
      </c>
      <c r="G38" s="522"/>
      <c r="H38" s="523"/>
      <c r="I38" s="523"/>
      <c r="J38" s="523"/>
      <c r="K38" s="523"/>
      <c r="L38" s="523"/>
      <c r="M38" s="523"/>
      <c r="N38" s="523"/>
      <c r="O38" s="523"/>
      <c r="P38" s="523"/>
      <c r="Q38" s="523"/>
      <c r="R38" s="459">
        <f t="shared" si="13"/>
        <v>0</v>
      </c>
      <c r="S38" s="524">
        <f>IF('2. START'!$C$20="UTB",(SUMIF('3. PARTNER'!B$13:B$80,B38,'3. PARTNER'!M$13:M$80)),(SUMIF('3. PARTNER'!B$13:B$80,B38,'3. PARTNER'!I$13:I$80)))</f>
        <v>0</v>
      </c>
      <c r="T38" s="524">
        <f>IF('2. START'!$C$20="UTB",(SUMIF('3. PARTNER'!B$13:B$80,B38,'3. PARTNER'!N$13:N$80)),(SUMIF('3. PARTNER'!B$13:B$80,B38,'3. PARTNER'!J$13:J$80)))</f>
        <v>0</v>
      </c>
      <c r="U38" s="454">
        <f>IF(F38="NO",0,IF('2. START'!C$13="PERSON+OPERATION",'2. START'!C$12,0)+IF('2. START'!C$13="PERSON+OPERATION+INVEST+FACILIT",'2. START'!C$12,0))</f>
        <v>0</v>
      </c>
      <c r="V38" s="463"/>
      <c r="W38" s="459">
        <f t="shared" si="14"/>
        <v>0</v>
      </c>
      <c r="X38" s="459">
        <f t="shared" si="15"/>
        <v>0</v>
      </c>
      <c r="Y38" s="459">
        <f t="shared" si="16"/>
        <v>0</v>
      </c>
      <c r="Z38" s="459">
        <f t="shared" si="17"/>
        <v>0</v>
      </c>
      <c r="AA38" s="459">
        <f t="shared" si="18"/>
        <v>0</v>
      </c>
      <c r="AB38" s="459">
        <f t="shared" si="19"/>
        <v>0</v>
      </c>
      <c r="AC38" s="459">
        <f t="shared" si="20"/>
        <v>0</v>
      </c>
      <c r="AD38" s="459">
        <f t="shared" si="21"/>
        <v>0</v>
      </c>
      <c r="AE38" s="459">
        <f t="shared" si="22"/>
        <v>0</v>
      </c>
      <c r="AF38" s="459">
        <f t="shared" si="23"/>
        <v>0</v>
      </c>
      <c r="AG38" s="460">
        <f t="shared" si="51"/>
        <v>0</v>
      </c>
      <c r="AH38" s="463"/>
      <c r="AI38" s="459">
        <f t="shared" si="24"/>
        <v>0</v>
      </c>
      <c r="AJ38" s="459">
        <f t="shared" si="25"/>
        <v>0</v>
      </c>
      <c r="AK38" s="459">
        <f t="shared" si="26"/>
        <v>0</v>
      </c>
      <c r="AL38" s="459">
        <f t="shared" si="27"/>
        <v>0</v>
      </c>
      <c r="AM38" s="459">
        <f t="shared" si="28"/>
        <v>0</v>
      </c>
      <c r="AN38" s="459">
        <f t="shared" si="29"/>
        <v>0</v>
      </c>
      <c r="AO38" s="459">
        <f t="shared" si="30"/>
        <v>0</v>
      </c>
      <c r="AP38" s="459">
        <f t="shared" si="31"/>
        <v>0</v>
      </c>
      <c r="AQ38" s="459">
        <f t="shared" si="32"/>
        <v>0</v>
      </c>
      <c r="AR38" s="459">
        <f t="shared" si="33"/>
        <v>0</v>
      </c>
      <c r="AS38" s="460">
        <f t="shared" si="52"/>
        <v>0</v>
      </c>
      <c r="AT38" s="463"/>
      <c r="AU38" s="459">
        <f t="shared" si="53"/>
        <v>0</v>
      </c>
      <c r="AV38" s="459">
        <f t="shared" si="53"/>
        <v>0</v>
      </c>
      <c r="AW38" s="459">
        <f t="shared" si="53"/>
        <v>0</v>
      </c>
      <c r="AX38" s="459">
        <f t="shared" si="53"/>
        <v>0</v>
      </c>
      <c r="AY38" s="459">
        <f t="shared" si="53"/>
        <v>0</v>
      </c>
      <c r="AZ38" s="459">
        <f t="shared" si="53"/>
        <v>0</v>
      </c>
      <c r="BA38" s="459">
        <f t="shared" si="53"/>
        <v>0</v>
      </c>
      <c r="BB38" s="459">
        <f t="shared" si="53"/>
        <v>0</v>
      </c>
      <c r="BC38" s="459">
        <f t="shared" si="53"/>
        <v>0</v>
      </c>
      <c r="BD38" s="459">
        <f t="shared" si="53"/>
        <v>0</v>
      </c>
      <c r="BE38" s="460">
        <f t="shared" si="54"/>
        <v>0</v>
      </c>
      <c r="BF38" s="463"/>
      <c r="BG38" s="459">
        <f t="shared" si="55"/>
        <v>0</v>
      </c>
      <c r="BH38" s="459">
        <f t="shared" si="35"/>
        <v>0</v>
      </c>
      <c r="BI38" s="459">
        <f t="shared" si="35"/>
        <v>0</v>
      </c>
      <c r="BJ38" s="459">
        <f t="shared" si="35"/>
        <v>0</v>
      </c>
      <c r="BK38" s="459">
        <f t="shared" si="35"/>
        <v>0</v>
      </c>
      <c r="BL38" s="459">
        <f t="shared" si="35"/>
        <v>0</v>
      </c>
      <c r="BM38" s="459">
        <f t="shared" si="35"/>
        <v>0</v>
      </c>
      <c r="BN38" s="459">
        <f t="shared" si="35"/>
        <v>0</v>
      </c>
      <c r="BO38" s="459">
        <f t="shared" si="35"/>
        <v>0</v>
      </c>
      <c r="BP38" s="459">
        <f t="shared" si="35"/>
        <v>0</v>
      </c>
      <c r="BQ38" s="460">
        <f t="shared" si="56"/>
        <v>0</v>
      </c>
      <c r="BR38" s="463"/>
      <c r="BS38" s="459">
        <f t="shared" si="57"/>
        <v>0</v>
      </c>
      <c r="BT38" s="459">
        <f t="shared" si="57"/>
        <v>0</v>
      </c>
      <c r="BU38" s="459">
        <f t="shared" si="57"/>
        <v>0</v>
      </c>
      <c r="BV38" s="459">
        <f t="shared" si="57"/>
        <v>0</v>
      </c>
      <c r="BW38" s="459">
        <f t="shared" si="57"/>
        <v>0</v>
      </c>
      <c r="BX38" s="459">
        <f t="shared" si="57"/>
        <v>0</v>
      </c>
      <c r="BY38" s="459">
        <f t="shared" si="57"/>
        <v>0</v>
      </c>
      <c r="BZ38" s="459">
        <f t="shared" si="57"/>
        <v>0</v>
      </c>
      <c r="CA38" s="459">
        <f t="shared" si="57"/>
        <v>0</v>
      </c>
      <c r="CB38" s="459">
        <f t="shared" si="57"/>
        <v>0</v>
      </c>
      <c r="CC38" s="460">
        <f t="shared" si="58"/>
        <v>0</v>
      </c>
      <c r="CD38" s="463"/>
      <c r="CE38" s="459">
        <f t="shared" si="59"/>
        <v>0</v>
      </c>
      <c r="CF38" s="459">
        <f t="shared" si="37"/>
        <v>0</v>
      </c>
      <c r="CG38" s="459">
        <f t="shared" si="37"/>
        <v>0</v>
      </c>
      <c r="CH38" s="459">
        <f t="shared" si="37"/>
        <v>0</v>
      </c>
      <c r="CI38" s="459">
        <f t="shared" si="37"/>
        <v>0</v>
      </c>
      <c r="CJ38" s="459">
        <f t="shared" si="37"/>
        <v>0</v>
      </c>
      <c r="CK38" s="459">
        <f t="shared" si="37"/>
        <v>0</v>
      </c>
      <c r="CL38" s="459">
        <f t="shared" si="37"/>
        <v>0</v>
      </c>
      <c r="CM38" s="459">
        <f t="shared" si="37"/>
        <v>0</v>
      </c>
      <c r="CN38" s="459">
        <f t="shared" si="37"/>
        <v>0</v>
      </c>
      <c r="CO38" s="460">
        <f t="shared" si="60"/>
        <v>0</v>
      </c>
      <c r="CP38" s="463"/>
      <c r="CQ38" s="459">
        <f t="shared" si="38"/>
        <v>0</v>
      </c>
      <c r="CR38" s="459">
        <f t="shared" si="39"/>
        <v>0</v>
      </c>
      <c r="CS38" s="459">
        <f t="shared" si="40"/>
        <v>0</v>
      </c>
      <c r="CT38" s="459">
        <f t="shared" si="41"/>
        <v>0</v>
      </c>
      <c r="CU38" s="459">
        <f t="shared" si="42"/>
        <v>0</v>
      </c>
      <c r="CV38" s="459">
        <f t="shared" si="43"/>
        <v>0</v>
      </c>
      <c r="CW38" s="459">
        <f t="shared" si="44"/>
        <v>0</v>
      </c>
      <c r="CX38" s="459">
        <f t="shared" si="45"/>
        <v>0</v>
      </c>
      <c r="CY38" s="459">
        <f t="shared" si="46"/>
        <v>0</v>
      </c>
      <c r="CZ38" s="459">
        <f t="shared" si="47"/>
        <v>0</v>
      </c>
      <c r="DA38" s="460">
        <f t="shared" si="61"/>
        <v>0</v>
      </c>
      <c r="DB38" s="463"/>
      <c r="DC38" s="459">
        <f t="shared" si="62"/>
        <v>0</v>
      </c>
      <c r="DD38" s="459">
        <f t="shared" si="62"/>
        <v>0</v>
      </c>
      <c r="DE38" s="459">
        <f t="shared" si="62"/>
        <v>0</v>
      </c>
      <c r="DF38" s="459">
        <f t="shared" si="62"/>
        <v>0</v>
      </c>
      <c r="DG38" s="459">
        <f t="shared" si="62"/>
        <v>0</v>
      </c>
      <c r="DH38" s="459">
        <f t="shared" si="62"/>
        <v>0</v>
      </c>
      <c r="DI38" s="459">
        <f t="shared" si="62"/>
        <v>0</v>
      </c>
      <c r="DJ38" s="459">
        <f t="shared" si="62"/>
        <v>0</v>
      </c>
      <c r="DK38" s="459">
        <f t="shared" si="62"/>
        <v>0</v>
      </c>
      <c r="DL38" s="459">
        <f t="shared" si="62"/>
        <v>0</v>
      </c>
      <c r="DM38" s="460">
        <f t="shared" si="63"/>
        <v>0</v>
      </c>
      <c r="DN38" s="463"/>
      <c r="DO38" s="459">
        <f t="shared" si="49"/>
        <v>0</v>
      </c>
      <c r="DP38" s="459">
        <f t="shared" si="49"/>
        <v>0</v>
      </c>
      <c r="DQ38" s="459">
        <f t="shared" si="49"/>
        <v>0</v>
      </c>
      <c r="DR38" s="459">
        <f t="shared" si="49"/>
        <v>0</v>
      </c>
      <c r="DS38" s="459">
        <f t="shared" si="49"/>
        <v>0</v>
      </c>
      <c r="DT38" s="459">
        <f t="shared" si="49"/>
        <v>0</v>
      </c>
      <c r="DU38" s="459">
        <f t="shared" si="49"/>
        <v>0</v>
      </c>
      <c r="DV38" s="459">
        <f t="shared" si="49"/>
        <v>0</v>
      </c>
      <c r="DW38" s="459">
        <f t="shared" si="49"/>
        <v>0</v>
      </c>
      <c r="DX38" s="459">
        <f t="shared" si="49"/>
        <v>0</v>
      </c>
      <c r="DY38" s="460">
        <f t="shared" si="64"/>
        <v>0</v>
      </c>
      <c r="DZ38" s="463"/>
      <c r="EA38" s="459">
        <f t="shared" si="50"/>
        <v>0</v>
      </c>
      <c r="EB38" s="459">
        <f t="shared" si="50"/>
        <v>0</v>
      </c>
      <c r="EC38" s="459">
        <f t="shared" si="50"/>
        <v>0</v>
      </c>
      <c r="ED38" s="459">
        <f t="shared" si="50"/>
        <v>0</v>
      </c>
      <c r="EE38" s="459">
        <f t="shared" si="50"/>
        <v>0</v>
      </c>
      <c r="EF38" s="459">
        <f t="shared" si="50"/>
        <v>0</v>
      </c>
      <c r="EG38" s="459">
        <f t="shared" si="50"/>
        <v>0</v>
      </c>
      <c r="EH38" s="459">
        <f t="shared" si="50"/>
        <v>0</v>
      </c>
      <c r="EI38" s="459">
        <f t="shared" si="50"/>
        <v>0</v>
      </c>
      <c r="EJ38" s="459">
        <f t="shared" si="50"/>
        <v>0</v>
      </c>
      <c r="EK38" s="460">
        <f t="shared" si="65"/>
        <v>0</v>
      </c>
    </row>
    <row r="39" spans="2:141" s="268" customFormat="1" ht="15" customHeight="1" x14ac:dyDescent="0.25">
      <c r="B39" s="464" t="str">
        <f>'2. START'!C$7</f>
        <v>100GEM</v>
      </c>
      <c r="C39" s="470"/>
      <c r="D39" s="593"/>
      <c r="E39" s="527">
        <v>0</v>
      </c>
      <c r="F39" s="527" t="s">
        <v>36</v>
      </c>
      <c r="G39" s="527"/>
      <c r="H39" s="515"/>
      <c r="I39" s="515"/>
      <c r="J39" s="515"/>
      <c r="K39" s="515"/>
      <c r="L39" s="515"/>
      <c r="M39" s="515"/>
      <c r="N39" s="515"/>
      <c r="O39" s="515"/>
      <c r="P39" s="515"/>
      <c r="Q39" s="515"/>
      <c r="R39" s="442">
        <f t="shared" si="13"/>
        <v>0</v>
      </c>
      <c r="S39" s="516">
        <f>IF('2. START'!$C$20="UTB",(SUMIF('3. PARTNER'!B$13:B$80,B39,'3. PARTNER'!M$13:M$80)),(SUMIF('3. PARTNER'!B$13:B$80,B39,'3. PARTNER'!I$13:I$80)))</f>
        <v>0</v>
      </c>
      <c r="T39" s="516">
        <f>IF('2. START'!$C$20="UTB",(SUMIF('3. PARTNER'!B$13:B$80,B39,'3. PARTNER'!N$13:N$80)),(SUMIF('3. PARTNER'!B$13:B$80,B39,'3. PARTNER'!J$13:J$80)))</f>
        <v>0</v>
      </c>
      <c r="U39" s="517">
        <f>IF(F39="NO",0,IF('2. START'!C$13="PERSON+OPERATION",'2. START'!C$12,0)+IF('2. START'!C$13="PERSON+OPERATION+INVEST+FACILIT",'2. START'!C$12,0))</f>
        <v>0</v>
      </c>
      <c r="W39" s="519">
        <f t="shared" si="14"/>
        <v>0</v>
      </c>
      <c r="X39" s="519">
        <f t="shared" si="15"/>
        <v>0</v>
      </c>
      <c r="Y39" s="519">
        <f t="shared" si="16"/>
        <v>0</v>
      </c>
      <c r="Z39" s="519">
        <f t="shared" si="17"/>
        <v>0</v>
      </c>
      <c r="AA39" s="519">
        <f t="shared" si="18"/>
        <v>0</v>
      </c>
      <c r="AB39" s="519">
        <f t="shared" si="19"/>
        <v>0</v>
      </c>
      <c r="AC39" s="519">
        <f t="shared" si="20"/>
        <v>0</v>
      </c>
      <c r="AD39" s="519">
        <f t="shared" si="21"/>
        <v>0</v>
      </c>
      <c r="AE39" s="519">
        <f t="shared" si="22"/>
        <v>0</v>
      </c>
      <c r="AF39" s="519">
        <f t="shared" si="23"/>
        <v>0</v>
      </c>
      <c r="AG39" s="520">
        <f t="shared" si="51"/>
        <v>0</v>
      </c>
      <c r="AI39" s="519">
        <f t="shared" si="24"/>
        <v>0</v>
      </c>
      <c r="AJ39" s="519">
        <f t="shared" si="25"/>
        <v>0</v>
      </c>
      <c r="AK39" s="519">
        <f t="shared" si="26"/>
        <v>0</v>
      </c>
      <c r="AL39" s="519">
        <f t="shared" si="27"/>
        <v>0</v>
      </c>
      <c r="AM39" s="519">
        <f t="shared" si="28"/>
        <v>0</v>
      </c>
      <c r="AN39" s="519">
        <f t="shared" si="29"/>
        <v>0</v>
      </c>
      <c r="AO39" s="519">
        <f t="shared" si="30"/>
        <v>0</v>
      </c>
      <c r="AP39" s="519">
        <f t="shared" si="31"/>
        <v>0</v>
      </c>
      <c r="AQ39" s="519">
        <f t="shared" si="32"/>
        <v>0</v>
      </c>
      <c r="AR39" s="519">
        <f t="shared" si="33"/>
        <v>0</v>
      </c>
      <c r="AS39" s="520">
        <f t="shared" si="52"/>
        <v>0</v>
      </c>
      <c r="AU39" s="519">
        <f t="shared" si="53"/>
        <v>0</v>
      </c>
      <c r="AV39" s="519">
        <f t="shared" si="53"/>
        <v>0</v>
      </c>
      <c r="AW39" s="519">
        <f t="shared" si="53"/>
        <v>0</v>
      </c>
      <c r="AX39" s="519">
        <f t="shared" si="53"/>
        <v>0</v>
      </c>
      <c r="AY39" s="519">
        <f t="shared" si="53"/>
        <v>0</v>
      </c>
      <c r="AZ39" s="519">
        <f t="shared" si="53"/>
        <v>0</v>
      </c>
      <c r="BA39" s="519">
        <f t="shared" si="53"/>
        <v>0</v>
      </c>
      <c r="BB39" s="519">
        <f t="shared" si="53"/>
        <v>0</v>
      </c>
      <c r="BC39" s="519">
        <f t="shared" si="53"/>
        <v>0</v>
      </c>
      <c r="BD39" s="519">
        <f t="shared" si="53"/>
        <v>0</v>
      </c>
      <c r="BE39" s="520">
        <f t="shared" si="54"/>
        <v>0</v>
      </c>
      <c r="BG39" s="519">
        <f t="shared" si="55"/>
        <v>0</v>
      </c>
      <c r="BH39" s="519">
        <f t="shared" si="35"/>
        <v>0</v>
      </c>
      <c r="BI39" s="519">
        <f t="shared" si="35"/>
        <v>0</v>
      </c>
      <c r="BJ39" s="519">
        <f t="shared" si="35"/>
        <v>0</v>
      </c>
      <c r="BK39" s="519">
        <f t="shared" si="35"/>
        <v>0</v>
      </c>
      <c r="BL39" s="519">
        <f t="shared" si="35"/>
        <v>0</v>
      </c>
      <c r="BM39" s="519">
        <f t="shared" si="35"/>
        <v>0</v>
      </c>
      <c r="BN39" s="519">
        <f t="shared" si="35"/>
        <v>0</v>
      </c>
      <c r="BO39" s="519">
        <f t="shared" si="35"/>
        <v>0</v>
      </c>
      <c r="BP39" s="519">
        <f t="shared" si="35"/>
        <v>0</v>
      </c>
      <c r="BQ39" s="520">
        <f t="shared" si="56"/>
        <v>0</v>
      </c>
      <c r="BS39" s="519">
        <f t="shared" si="57"/>
        <v>0</v>
      </c>
      <c r="BT39" s="519">
        <f t="shared" si="57"/>
        <v>0</v>
      </c>
      <c r="BU39" s="519">
        <f t="shared" si="57"/>
        <v>0</v>
      </c>
      <c r="BV39" s="519">
        <f t="shared" si="57"/>
        <v>0</v>
      </c>
      <c r="BW39" s="519">
        <f t="shared" si="57"/>
        <v>0</v>
      </c>
      <c r="BX39" s="519">
        <f t="shared" si="57"/>
        <v>0</v>
      </c>
      <c r="BY39" s="519">
        <f t="shared" si="57"/>
        <v>0</v>
      </c>
      <c r="BZ39" s="519">
        <f t="shared" si="57"/>
        <v>0</v>
      </c>
      <c r="CA39" s="519">
        <f t="shared" si="57"/>
        <v>0</v>
      </c>
      <c r="CB39" s="519">
        <f t="shared" si="57"/>
        <v>0</v>
      </c>
      <c r="CC39" s="520">
        <f t="shared" si="58"/>
        <v>0</v>
      </c>
      <c r="CE39" s="519">
        <f t="shared" si="59"/>
        <v>0</v>
      </c>
      <c r="CF39" s="519">
        <f t="shared" si="37"/>
        <v>0</v>
      </c>
      <c r="CG39" s="519">
        <f t="shared" si="37"/>
        <v>0</v>
      </c>
      <c r="CH39" s="519">
        <f t="shared" si="37"/>
        <v>0</v>
      </c>
      <c r="CI39" s="519">
        <f t="shared" si="37"/>
        <v>0</v>
      </c>
      <c r="CJ39" s="519">
        <f t="shared" si="37"/>
        <v>0</v>
      </c>
      <c r="CK39" s="519">
        <f t="shared" si="37"/>
        <v>0</v>
      </c>
      <c r="CL39" s="519">
        <f t="shared" si="37"/>
        <v>0</v>
      </c>
      <c r="CM39" s="519">
        <f t="shared" si="37"/>
        <v>0</v>
      </c>
      <c r="CN39" s="519">
        <f t="shared" si="37"/>
        <v>0</v>
      </c>
      <c r="CO39" s="520">
        <f t="shared" si="60"/>
        <v>0</v>
      </c>
      <c r="CQ39" s="519">
        <f t="shared" si="38"/>
        <v>0</v>
      </c>
      <c r="CR39" s="519">
        <f t="shared" si="39"/>
        <v>0</v>
      </c>
      <c r="CS39" s="519">
        <f t="shared" si="40"/>
        <v>0</v>
      </c>
      <c r="CT39" s="519">
        <f t="shared" si="41"/>
        <v>0</v>
      </c>
      <c r="CU39" s="519">
        <f t="shared" si="42"/>
        <v>0</v>
      </c>
      <c r="CV39" s="519">
        <f t="shared" si="43"/>
        <v>0</v>
      </c>
      <c r="CW39" s="519">
        <f t="shared" si="44"/>
        <v>0</v>
      </c>
      <c r="CX39" s="519">
        <f t="shared" si="45"/>
        <v>0</v>
      </c>
      <c r="CY39" s="519">
        <f t="shared" si="46"/>
        <v>0</v>
      </c>
      <c r="CZ39" s="519">
        <f t="shared" si="47"/>
        <v>0</v>
      </c>
      <c r="DA39" s="520">
        <f t="shared" si="61"/>
        <v>0</v>
      </c>
      <c r="DC39" s="519">
        <f t="shared" si="62"/>
        <v>0</v>
      </c>
      <c r="DD39" s="519">
        <f t="shared" si="62"/>
        <v>0</v>
      </c>
      <c r="DE39" s="519">
        <f t="shared" si="62"/>
        <v>0</v>
      </c>
      <c r="DF39" s="519">
        <f t="shared" si="62"/>
        <v>0</v>
      </c>
      <c r="DG39" s="519">
        <f t="shared" si="62"/>
        <v>0</v>
      </c>
      <c r="DH39" s="519">
        <f t="shared" si="62"/>
        <v>0</v>
      </c>
      <c r="DI39" s="519">
        <f t="shared" si="62"/>
        <v>0</v>
      </c>
      <c r="DJ39" s="519">
        <f t="shared" si="62"/>
        <v>0</v>
      </c>
      <c r="DK39" s="519">
        <f t="shared" si="62"/>
        <v>0</v>
      </c>
      <c r="DL39" s="519">
        <f t="shared" si="62"/>
        <v>0</v>
      </c>
      <c r="DM39" s="520">
        <f t="shared" si="63"/>
        <v>0</v>
      </c>
      <c r="DO39" s="519">
        <f t="shared" si="49"/>
        <v>0</v>
      </c>
      <c r="DP39" s="519">
        <f t="shared" si="49"/>
        <v>0</v>
      </c>
      <c r="DQ39" s="519">
        <f t="shared" si="49"/>
        <v>0</v>
      </c>
      <c r="DR39" s="519">
        <f t="shared" si="49"/>
        <v>0</v>
      </c>
      <c r="DS39" s="519">
        <f t="shared" si="49"/>
        <v>0</v>
      </c>
      <c r="DT39" s="519">
        <f t="shared" si="49"/>
        <v>0</v>
      </c>
      <c r="DU39" s="519">
        <f t="shared" si="49"/>
        <v>0</v>
      </c>
      <c r="DV39" s="519">
        <f t="shared" si="49"/>
        <v>0</v>
      </c>
      <c r="DW39" s="519">
        <f t="shared" si="49"/>
        <v>0</v>
      </c>
      <c r="DX39" s="519">
        <f t="shared" si="49"/>
        <v>0</v>
      </c>
      <c r="DY39" s="520">
        <f t="shared" si="64"/>
        <v>0</v>
      </c>
      <c r="EA39" s="519">
        <f t="shared" si="50"/>
        <v>0</v>
      </c>
      <c r="EB39" s="519">
        <f t="shared" si="50"/>
        <v>0</v>
      </c>
      <c r="EC39" s="519">
        <f t="shared" si="50"/>
        <v>0</v>
      </c>
      <c r="ED39" s="519">
        <f t="shared" si="50"/>
        <v>0</v>
      </c>
      <c r="EE39" s="519">
        <f t="shared" si="50"/>
        <v>0</v>
      </c>
      <c r="EF39" s="519">
        <f t="shared" si="50"/>
        <v>0</v>
      </c>
      <c r="EG39" s="519">
        <f t="shared" si="50"/>
        <v>0</v>
      </c>
      <c r="EH39" s="519">
        <f t="shared" si="50"/>
        <v>0</v>
      </c>
      <c r="EI39" s="519">
        <f t="shared" si="50"/>
        <v>0</v>
      </c>
      <c r="EJ39" s="519">
        <f t="shared" si="50"/>
        <v>0</v>
      </c>
      <c r="EK39" s="520">
        <f t="shared" si="65"/>
        <v>0</v>
      </c>
    </row>
    <row r="40" spans="2:141" s="268" customFormat="1" ht="15" customHeight="1" x14ac:dyDescent="0.25">
      <c r="B40" s="446" t="str">
        <f>'2. START'!C$7</f>
        <v>100GEM</v>
      </c>
      <c r="C40" s="469"/>
      <c r="D40" s="594"/>
      <c r="E40" s="522">
        <v>0</v>
      </c>
      <c r="F40" s="522" t="s">
        <v>36</v>
      </c>
      <c r="G40" s="522"/>
      <c r="H40" s="523"/>
      <c r="I40" s="523"/>
      <c r="J40" s="523"/>
      <c r="K40" s="523"/>
      <c r="L40" s="523"/>
      <c r="M40" s="523"/>
      <c r="N40" s="523"/>
      <c r="O40" s="523"/>
      <c r="P40" s="523"/>
      <c r="Q40" s="523"/>
      <c r="R40" s="459">
        <f t="shared" si="13"/>
        <v>0</v>
      </c>
      <c r="S40" s="524">
        <f>IF('2. START'!$C$20="UTB",(SUMIF('3. PARTNER'!B$13:B$80,B40,'3. PARTNER'!M$13:M$80)),(SUMIF('3. PARTNER'!B$13:B$80,B40,'3. PARTNER'!I$13:I$80)))</f>
        <v>0</v>
      </c>
      <c r="T40" s="524">
        <f>IF('2. START'!$C$20="UTB",(SUMIF('3. PARTNER'!B$13:B$80,B40,'3. PARTNER'!N$13:N$80)),(SUMIF('3. PARTNER'!B$13:B$80,B40,'3. PARTNER'!J$13:J$80)))</f>
        <v>0</v>
      </c>
      <c r="U40" s="454">
        <f>IF(F40="NO",0,IF('2. START'!C$13="PERSON+OPERATION",'2. START'!C$12,0)+IF('2. START'!C$13="PERSON+OPERATION+INVEST+FACILIT",'2. START'!C$12,0))</f>
        <v>0</v>
      </c>
      <c r="V40" s="463"/>
      <c r="W40" s="459">
        <f t="shared" si="14"/>
        <v>0</v>
      </c>
      <c r="X40" s="459">
        <f t="shared" si="15"/>
        <v>0</v>
      </c>
      <c r="Y40" s="459">
        <f t="shared" si="16"/>
        <v>0</v>
      </c>
      <c r="Z40" s="459">
        <f t="shared" si="17"/>
        <v>0</v>
      </c>
      <c r="AA40" s="459">
        <f t="shared" si="18"/>
        <v>0</v>
      </c>
      <c r="AB40" s="459">
        <f t="shared" si="19"/>
        <v>0</v>
      </c>
      <c r="AC40" s="459">
        <f t="shared" si="20"/>
        <v>0</v>
      </c>
      <c r="AD40" s="459">
        <f t="shared" si="21"/>
        <v>0</v>
      </c>
      <c r="AE40" s="459">
        <f t="shared" si="22"/>
        <v>0</v>
      </c>
      <c r="AF40" s="459">
        <f t="shared" si="23"/>
        <v>0</v>
      </c>
      <c r="AG40" s="460">
        <f t="shared" si="51"/>
        <v>0</v>
      </c>
      <c r="AH40" s="463"/>
      <c r="AI40" s="459">
        <f t="shared" si="24"/>
        <v>0</v>
      </c>
      <c r="AJ40" s="459">
        <f t="shared" si="25"/>
        <v>0</v>
      </c>
      <c r="AK40" s="459">
        <f t="shared" si="26"/>
        <v>0</v>
      </c>
      <c r="AL40" s="459">
        <f t="shared" si="27"/>
        <v>0</v>
      </c>
      <c r="AM40" s="459">
        <f t="shared" si="28"/>
        <v>0</v>
      </c>
      <c r="AN40" s="459">
        <f t="shared" si="29"/>
        <v>0</v>
      </c>
      <c r="AO40" s="459">
        <f t="shared" si="30"/>
        <v>0</v>
      </c>
      <c r="AP40" s="459">
        <f t="shared" si="31"/>
        <v>0</v>
      </c>
      <c r="AQ40" s="459">
        <f t="shared" si="32"/>
        <v>0</v>
      </c>
      <c r="AR40" s="459">
        <f t="shared" si="33"/>
        <v>0</v>
      </c>
      <c r="AS40" s="460">
        <f t="shared" si="52"/>
        <v>0</v>
      </c>
      <c r="AT40" s="463"/>
      <c r="AU40" s="459">
        <f t="shared" si="53"/>
        <v>0</v>
      </c>
      <c r="AV40" s="459">
        <f t="shared" si="53"/>
        <v>0</v>
      </c>
      <c r="AW40" s="459">
        <f t="shared" si="53"/>
        <v>0</v>
      </c>
      <c r="AX40" s="459">
        <f t="shared" si="53"/>
        <v>0</v>
      </c>
      <c r="AY40" s="459">
        <f t="shared" si="53"/>
        <v>0</v>
      </c>
      <c r="AZ40" s="459">
        <f t="shared" si="53"/>
        <v>0</v>
      </c>
      <c r="BA40" s="459">
        <f t="shared" si="53"/>
        <v>0</v>
      </c>
      <c r="BB40" s="459">
        <f t="shared" si="53"/>
        <v>0</v>
      </c>
      <c r="BC40" s="459">
        <f t="shared" si="53"/>
        <v>0</v>
      </c>
      <c r="BD40" s="459">
        <f t="shared" si="53"/>
        <v>0</v>
      </c>
      <c r="BE40" s="460">
        <f t="shared" si="54"/>
        <v>0</v>
      </c>
      <c r="BF40" s="463"/>
      <c r="BG40" s="459">
        <f t="shared" si="55"/>
        <v>0</v>
      </c>
      <c r="BH40" s="459">
        <f t="shared" si="35"/>
        <v>0</v>
      </c>
      <c r="BI40" s="459">
        <f t="shared" si="35"/>
        <v>0</v>
      </c>
      <c r="BJ40" s="459">
        <f t="shared" si="35"/>
        <v>0</v>
      </c>
      <c r="BK40" s="459">
        <f t="shared" si="35"/>
        <v>0</v>
      </c>
      <c r="BL40" s="459">
        <f t="shared" si="35"/>
        <v>0</v>
      </c>
      <c r="BM40" s="459">
        <f t="shared" si="35"/>
        <v>0</v>
      </c>
      <c r="BN40" s="459">
        <f t="shared" si="35"/>
        <v>0</v>
      </c>
      <c r="BO40" s="459">
        <f t="shared" si="35"/>
        <v>0</v>
      </c>
      <c r="BP40" s="459">
        <f t="shared" si="35"/>
        <v>0</v>
      </c>
      <c r="BQ40" s="460">
        <f t="shared" si="56"/>
        <v>0</v>
      </c>
      <c r="BR40" s="463"/>
      <c r="BS40" s="459">
        <f t="shared" si="57"/>
        <v>0</v>
      </c>
      <c r="BT40" s="459">
        <f t="shared" si="57"/>
        <v>0</v>
      </c>
      <c r="BU40" s="459">
        <f t="shared" si="57"/>
        <v>0</v>
      </c>
      <c r="BV40" s="459">
        <f t="shared" si="57"/>
        <v>0</v>
      </c>
      <c r="BW40" s="459">
        <f t="shared" si="57"/>
        <v>0</v>
      </c>
      <c r="BX40" s="459">
        <f t="shared" si="57"/>
        <v>0</v>
      </c>
      <c r="BY40" s="459">
        <f t="shared" si="57"/>
        <v>0</v>
      </c>
      <c r="BZ40" s="459">
        <f t="shared" si="57"/>
        <v>0</v>
      </c>
      <c r="CA40" s="459">
        <f t="shared" si="57"/>
        <v>0</v>
      </c>
      <c r="CB40" s="459">
        <f t="shared" si="57"/>
        <v>0</v>
      </c>
      <c r="CC40" s="460">
        <f t="shared" si="58"/>
        <v>0</v>
      </c>
      <c r="CD40" s="463"/>
      <c r="CE40" s="459">
        <f t="shared" si="59"/>
        <v>0</v>
      </c>
      <c r="CF40" s="459">
        <f t="shared" si="37"/>
        <v>0</v>
      </c>
      <c r="CG40" s="459">
        <f t="shared" si="37"/>
        <v>0</v>
      </c>
      <c r="CH40" s="459">
        <f t="shared" si="37"/>
        <v>0</v>
      </c>
      <c r="CI40" s="459">
        <f t="shared" si="37"/>
        <v>0</v>
      </c>
      <c r="CJ40" s="459">
        <f t="shared" si="37"/>
        <v>0</v>
      </c>
      <c r="CK40" s="459">
        <f t="shared" si="37"/>
        <v>0</v>
      </c>
      <c r="CL40" s="459">
        <f t="shared" si="37"/>
        <v>0</v>
      </c>
      <c r="CM40" s="459">
        <f t="shared" si="37"/>
        <v>0</v>
      </c>
      <c r="CN40" s="459">
        <f t="shared" si="37"/>
        <v>0</v>
      </c>
      <c r="CO40" s="460">
        <f t="shared" si="60"/>
        <v>0</v>
      </c>
      <c r="CP40" s="463"/>
      <c r="CQ40" s="459">
        <f t="shared" si="38"/>
        <v>0</v>
      </c>
      <c r="CR40" s="459">
        <f t="shared" si="39"/>
        <v>0</v>
      </c>
      <c r="CS40" s="459">
        <f t="shared" si="40"/>
        <v>0</v>
      </c>
      <c r="CT40" s="459">
        <f t="shared" si="41"/>
        <v>0</v>
      </c>
      <c r="CU40" s="459">
        <f t="shared" si="42"/>
        <v>0</v>
      </c>
      <c r="CV40" s="459">
        <f t="shared" si="43"/>
        <v>0</v>
      </c>
      <c r="CW40" s="459">
        <f t="shared" si="44"/>
        <v>0</v>
      </c>
      <c r="CX40" s="459">
        <f t="shared" si="45"/>
        <v>0</v>
      </c>
      <c r="CY40" s="459">
        <f t="shared" si="46"/>
        <v>0</v>
      </c>
      <c r="CZ40" s="459">
        <f t="shared" si="47"/>
        <v>0</v>
      </c>
      <c r="DA40" s="460">
        <f t="shared" si="61"/>
        <v>0</v>
      </c>
      <c r="DB40" s="463"/>
      <c r="DC40" s="459">
        <f t="shared" si="62"/>
        <v>0</v>
      </c>
      <c r="DD40" s="459">
        <f t="shared" si="62"/>
        <v>0</v>
      </c>
      <c r="DE40" s="459">
        <f t="shared" si="62"/>
        <v>0</v>
      </c>
      <c r="DF40" s="459">
        <f t="shared" si="62"/>
        <v>0</v>
      </c>
      <c r="DG40" s="459">
        <f t="shared" si="62"/>
        <v>0</v>
      </c>
      <c r="DH40" s="459">
        <f t="shared" si="62"/>
        <v>0</v>
      </c>
      <c r="DI40" s="459">
        <f t="shared" si="62"/>
        <v>0</v>
      </c>
      <c r="DJ40" s="459">
        <f t="shared" si="62"/>
        <v>0</v>
      </c>
      <c r="DK40" s="459">
        <f t="shared" si="62"/>
        <v>0</v>
      </c>
      <c r="DL40" s="459">
        <f t="shared" si="62"/>
        <v>0</v>
      </c>
      <c r="DM40" s="460">
        <f t="shared" si="63"/>
        <v>0</v>
      </c>
      <c r="DN40" s="463"/>
      <c r="DO40" s="459">
        <f t="shared" si="49"/>
        <v>0</v>
      </c>
      <c r="DP40" s="459">
        <f t="shared" si="49"/>
        <v>0</v>
      </c>
      <c r="DQ40" s="459">
        <f t="shared" si="49"/>
        <v>0</v>
      </c>
      <c r="DR40" s="459">
        <f t="shared" si="49"/>
        <v>0</v>
      </c>
      <c r="DS40" s="459">
        <f t="shared" si="49"/>
        <v>0</v>
      </c>
      <c r="DT40" s="459">
        <f t="shared" si="49"/>
        <v>0</v>
      </c>
      <c r="DU40" s="459">
        <f t="shared" si="49"/>
        <v>0</v>
      </c>
      <c r="DV40" s="459">
        <f t="shared" si="49"/>
        <v>0</v>
      </c>
      <c r="DW40" s="459">
        <f t="shared" si="49"/>
        <v>0</v>
      </c>
      <c r="DX40" s="459">
        <f t="shared" si="49"/>
        <v>0</v>
      </c>
      <c r="DY40" s="460">
        <f t="shared" si="64"/>
        <v>0</v>
      </c>
      <c r="DZ40" s="463"/>
      <c r="EA40" s="459">
        <f t="shared" si="50"/>
        <v>0</v>
      </c>
      <c r="EB40" s="459">
        <f t="shared" si="50"/>
        <v>0</v>
      </c>
      <c r="EC40" s="459">
        <f t="shared" si="50"/>
        <v>0</v>
      </c>
      <c r="ED40" s="459">
        <f t="shared" si="50"/>
        <v>0</v>
      </c>
      <c r="EE40" s="459">
        <f t="shared" si="50"/>
        <v>0</v>
      </c>
      <c r="EF40" s="459">
        <f t="shared" si="50"/>
        <v>0</v>
      </c>
      <c r="EG40" s="459">
        <f t="shared" si="50"/>
        <v>0</v>
      </c>
      <c r="EH40" s="459">
        <f t="shared" si="50"/>
        <v>0</v>
      </c>
      <c r="EI40" s="459">
        <f t="shared" si="50"/>
        <v>0</v>
      </c>
      <c r="EJ40" s="459">
        <f t="shared" si="50"/>
        <v>0</v>
      </c>
      <c r="EK40" s="460">
        <f t="shared" si="65"/>
        <v>0</v>
      </c>
    </row>
    <row r="41" spans="2:141" s="268" customFormat="1" ht="15" customHeight="1" x14ac:dyDescent="0.25">
      <c r="B41" s="464" t="str">
        <f>'2. START'!C$7</f>
        <v>100GEM</v>
      </c>
      <c r="C41" s="470"/>
      <c r="D41" s="593"/>
      <c r="E41" s="527">
        <v>0</v>
      </c>
      <c r="F41" s="527" t="s">
        <v>36</v>
      </c>
      <c r="G41" s="527"/>
      <c r="H41" s="515"/>
      <c r="I41" s="515"/>
      <c r="J41" s="515"/>
      <c r="K41" s="515"/>
      <c r="L41" s="515"/>
      <c r="M41" s="515"/>
      <c r="N41" s="515"/>
      <c r="O41" s="515"/>
      <c r="P41" s="515"/>
      <c r="Q41" s="515"/>
      <c r="R41" s="442">
        <f t="shared" si="13"/>
        <v>0</v>
      </c>
      <c r="S41" s="516">
        <f>IF('2. START'!$C$20="UTB",(SUMIF('3. PARTNER'!B$13:B$80,B41,'3. PARTNER'!M$13:M$80)),(SUMIF('3. PARTNER'!B$13:B$80,B41,'3. PARTNER'!I$13:I$80)))</f>
        <v>0</v>
      </c>
      <c r="T41" s="516">
        <f>IF('2. START'!$C$20="UTB",(SUMIF('3. PARTNER'!B$13:B$80,B41,'3. PARTNER'!N$13:N$80)),(SUMIF('3. PARTNER'!B$13:B$80,B41,'3. PARTNER'!J$13:J$80)))</f>
        <v>0</v>
      </c>
      <c r="U41" s="517">
        <f>IF(F41="NO",0,IF('2. START'!C$13="PERSON+OPERATION",'2. START'!C$12,0)+IF('2. START'!C$13="PERSON+OPERATION+INVEST+FACILIT",'2. START'!C$12,0))</f>
        <v>0</v>
      </c>
      <c r="W41" s="519">
        <f t="shared" si="14"/>
        <v>0</v>
      </c>
      <c r="X41" s="519">
        <f t="shared" si="15"/>
        <v>0</v>
      </c>
      <c r="Y41" s="519">
        <f t="shared" si="16"/>
        <v>0</v>
      </c>
      <c r="Z41" s="519">
        <f t="shared" si="17"/>
        <v>0</v>
      </c>
      <c r="AA41" s="519">
        <f t="shared" si="18"/>
        <v>0</v>
      </c>
      <c r="AB41" s="519">
        <f t="shared" si="19"/>
        <v>0</v>
      </c>
      <c r="AC41" s="519">
        <f t="shared" si="20"/>
        <v>0</v>
      </c>
      <c r="AD41" s="519">
        <f t="shared" si="21"/>
        <v>0</v>
      </c>
      <c r="AE41" s="519">
        <f t="shared" si="22"/>
        <v>0</v>
      </c>
      <c r="AF41" s="519">
        <f t="shared" si="23"/>
        <v>0</v>
      </c>
      <c r="AG41" s="520">
        <f t="shared" si="51"/>
        <v>0</v>
      </c>
      <c r="AI41" s="519">
        <f t="shared" si="24"/>
        <v>0</v>
      </c>
      <c r="AJ41" s="519">
        <f t="shared" si="25"/>
        <v>0</v>
      </c>
      <c r="AK41" s="519">
        <f t="shared" si="26"/>
        <v>0</v>
      </c>
      <c r="AL41" s="519">
        <f t="shared" si="27"/>
        <v>0</v>
      </c>
      <c r="AM41" s="519">
        <f t="shared" si="28"/>
        <v>0</v>
      </c>
      <c r="AN41" s="519">
        <f t="shared" si="29"/>
        <v>0</v>
      </c>
      <c r="AO41" s="519">
        <f t="shared" si="30"/>
        <v>0</v>
      </c>
      <c r="AP41" s="519">
        <f t="shared" si="31"/>
        <v>0</v>
      </c>
      <c r="AQ41" s="519">
        <f t="shared" si="32"/>
        <v>0</v>
      </c>
      <c r="AR41" s="519">
        <f t="shared" si="33"/>
        <v>0</v>
      </c>
      <c r="AS41" s="520">
        <f t="shared" si="52"/>
        <v>0</v>
      </c>
      <c r="AU41" s="519">
        <f t="shared" si="53"/>
        <v>0</v>
      </c>
      <c r="AV41" s="519">
        <f t="shared" si="53"/>
        <v>0</v>
      </c>
      <c r="AW41" s="519">
        <f t="shared" si="53"/>
        <v>0</v>
      </c>
      <c r="AX41" s="519">
        <f t="shared" si="53"/>
        <v>0</v>
      </c>
      <c r="AY41" s="519">
        <f t="shared" si="53"/>
        <v>0</v>
      </c>
      <c r="AZ41" s="519">
        <f t="shared" si="53"/>
        <v>0</v>
      </c>
      <c r="BA41" s="519">
        <f t="shared" si="53"/>
        <v>0</v>
      </c>
      <c r="BB41" s="519">
        <f t="shared" si="53"/>
        <v>0</v>
      </c>
      <c r="BC41" s="519">
        <f t="shared" si="53"/>
        <v>0</v>
      </c>
      <c r="BD41" s="519">
        <f t="shared" si="53"/>
        <v>0</v>
      </c>
      <c r="BE41" s="520">
        <f t="shared" si="54"/>
        <v>0</v>
      </c>
      <c r="BG41" s="519">
        <f t="shared" si="55"/>
        <v>0</v>
      </c>
      <c r="BH41" s="519">
        <f t="shared" si="35"/>
        <v>0</v>
      </c>
      <c r="BI41" s="519">
        <f t="shared" si="35"/>
        <v>0</v>
      </c>
      <c r="BJ41" s="519">
        <f t="shared" si="35"/>
        <v>0</v>
      </c>
      <c r="BK41" s="519">
        <f t="shared" si="35"/>
        <v>0</v>
      </c>
      <c r="BL41" s="519">
        <f t="shared" si="35"/>
        <v>0</v>
      </c>
      <c r="BM41" s="519">
        <f t="shared" si="35"/>
        <v>0</v>
      </c>
      <c r="BN41" s="519">
        <f t="shared" si="35"/>
        <v>0</v>
      </c>
      <c r="BO41" s="519">
        <f t="shared" si="35"/>
        <v>0</v>
      </c>
      <c r="BP41" s="519">
        <f t="shared" si="35"/>
        <v>0</v>
      </c>
      <c r="BQ41" s="520">
        <f t="shared" si="56"/>
        <v>0</v>
      </c>
      <c r="BS41" s="519">
        <f t="shared" si="57"/>
        <v>0</v>
      </c>
      <c r="BT41" s="519">
        <f t="shared" si="57"/>
        <v>0</v>
      </c>
      <c r="BU41" s="519">
        <f t="shared" si="57"/>
        <v>0</v>
      </c>
      <c r="BV41" s="519">
        <f t="shared" si="57"/>
        <v>0</v>
      </c>
      <c r="BW41" s="519">
        <f t="shared" si="57"/>
        <v>0</v>
      </c>
      <c r="BX41" s="519">
        <f t="shared" si="57"/>
        <v>0</v>
      </c>
      <c r="BY41" s="519">
        <f t="shared" si="57"/>
        <v>0</v>
      </c>
      <c r="BZ41" s="519">
        <f t="shared" si="57"/>
        <v>0</v>
      </c>
      <c r="CA41" s="519">
        <f t="shared" si="57"/>
        <v>0</v>
      </c>
      <c r="CB41" s="519">
        <f t="shared" si="57"/>
        <v>0</v>
      </c>
      <c r="CC41" s="520">
        <f t="shared" si="58"/>
        <v>0</v>
      </c>
      <c r="CE41" s="519">
        <f t="shared" si="59"/>
        <v>0</v>
      </c>
      <c r="CF41" s="519">
        <f t="shared" si="37"/>
        <v>0</v>
      </c>
      <c r="CG41" s="519">
        <f t="shared" si="37"/>
        <v>0</v>
      </c>
      <c r="CH41" s="519">
        <f t="shared" si="37"/>
        <v>0</v>
      </c>
      <c r="CI41" s="519">
        <f t="shared" si="37"/>
        <v>0</v>
      </c>
      <c r="CJ41" s="519">
        <f t="shared" si="37"/>
        <v>0</v>
      </c>
      <c r="CK41" s="519">
        <f t="shared" si="37"/>
        <v>0</v>
      </c>
      <c r="CL41" s="519">
        <f t="shared" si="37"/>
        <v>0</v>
      </c>
      <c r="CM41" s="519">
        <f t="shared" si="37"/>
        <v>0</v>
      </c>
      <c r="CN41" s="519">
        <f t="shared" si="37"/>
        <v>0</v>
      </c>
      <c r="CO41" s="520">
        <f t="shared" si="60"/>
        <v>0</v>
      </c>
      <c r="CQ41" s="519">
        <f t="shared" si="38"/>
        <v>0</v>
      </c>
      <c r="CR41" s="519">
        <f t="shared" si="39"/>
        <v>0</v>
      </c>
      <c r="CS41" s="519">
        <f t="shared" si="40"/>
        <v>0</v>
      </c>
      <c r="CT41" s="519">
        <f t="shared" si="41"/>
        <v>0</v>
      </c>
      <c r="CU41" s="519">
        <f t="shared" si="42"/>
        <v>0</v>
      </c>
      <c r="CV41" s="519">
        <f t="shared" si="43"/>
        <v>0</v>
      </c>
      <c r="CW41" s="519">
        <f t="shared" si="44"/>
        <v>0</v>
      </c>
      <c r="CX41" s="519">
        <f t="shared" si="45"/>
        <v>0</v>
      </c>
      <c r="CY41" s="519">
        <f t="shared" si="46"/>
        <v>0</v>
      </c>
      <c r="CZ41" s="519">
        <f t="shared" si="47"/>
        <v>0</v>
      </c>
      <c r="DA41" s="520">
        <f t="shared" si="61"/>
        <v>0</v>
      </c>
      <c r="DC41" s="519">
        <f t="shared" si="62"/>
        <v>0</v>
      </c>
      <c r="DD41" s="519">
        <f t="shared" si="62"/>
        <v>0</v>
      </c>
      <c r="DE41" s="519">
        <f t="shared" si="62"/>
        <v>0</v>
      </c>
      <c r="DF41" s="519">
        <f t="shared" si="62"/>
        <v>0</v>
      </c>
      <c r="DG41" s="519">
        <f t="shared" si="62"/>
        <v>0</v>
      </c>
      <c r="DH41" s="519">
        <f t="shared" si="62"/>
        <v>0</v>
      </c>
      <c r="DI41" s="519">
        <f t="shared" si="62"/>
        <v>0</v>
      </c>
      <c r="DJ41" s="519">
        <f t="shared" si="62"/>
        <v>0</v>
      </c>
      <c r="DK41" s="519">
        <f t="shared" si="62"/>
        <v>0</v>
      </c>
      <c r="DL41" s="519">
        <f t="shared" si="62"/>
        <v>0</v>
      </c>
      <c r="DM41" s="520">
        <f t="shared" si="63"/>
        <v>0</v>
      </c>
      <c r="DO41" s="519">
        <f t="shared" si="49"/>
        <v>0</v>
      </c>
      <c r="DP41" s="519">
        <f t="shared" si="49"/>
        <v>0</v>
      </c>
      <c r="DQ41" s="519">
        <f t="shared" si="49"/>
        <v>0</v>
      </c>
      <c r="DR41" s="519">
        <f t="shared" si="49"/>
        <v>0</v>
      </c>
      <c r="DS41" s="519">
        <f t="shared" si="49"/>
        <v>0</v>
      </c>
      <c r="DT41" s="519">
        <f t="shared" si="49"/>
        <v>0</v>
      </c>
      <c r="DU41" s="519">
        <f t="shared" si="49"/>
        <v>0</v>
      </c>
      <c r="DV41" s="519">
        <f t="shared" si="49"/>
        <v>0</v>
      </c>
      <c r="DW41" s="519">
        <f t="shared" si="49"/>
        <v>0</v>
      </c>
      <c r="DX41" s="519">
        <f t="shared" si="49"/>
        <v>0</v>
      </c>
      <c r="DY41" s="520">
        <f t="shared" si="64"/>
        <v>0</v>
      </c>
      <c r="EA41" s="519">
        <f t="shared" si="50"/>
        <v>0</v>
      </c>
      <c r="EB41" s="519">
        <f t="shared" si="50"/>
        <v>0</v>
      </c>
      <c r="EC41" s="519">
        <f t="shared" si="50"/>
        <v>0</v>
      </c>
      <c r="ED41" s="519">
        <f t="shared" si="50"/>
        <v>0</v>
      </c>
      <c r="EE41" s="519">
        <f t="shared" si="50"/>
        <v>0</v>
      </c>
      <c r="EF41" s="519">
        <f t="shared" si="50"/>
        <v>0</v>
      </c>
      <c r="EG41" s="519">
        <f t="shared" si="50"/>
        <v>0</v>
      </c>
      <c r="EH41" s="519">
        <f t="shared" si="50"/>
        <v>0</v>
      </c>
      <c r="EI41" s="519">
        <f t="shared" si="50"/>
        <v>0</v>
      </c>
      <c r="EJ41" s="519">
        <f t="shared" si="50"/>
        <v>0</v>
      </c>
      <c r="EK41" s="520">
        <f t="shared" si="65"/>
        <v>0</v>
      </c>
    </row>
    <row r="42" spans="2:141" s="268" customFormat="1" ht="15" customHeight="1" x14ac:dyDescent="0.25">
      <c r="B42" s="446" t="str">
        <f>'2. START'!C$7</f>
        <v>100GEM</v>
      </c>
      <c r="C42" s="469"/>
      <c r="D42" s="594"/>
      <c r="E42" s="522">
        <v>0</v>
      </c>
      <c r="F42" s="522" t="s">
        <v>36</v>
      </c>
      <c r="G42" s="522"/>
      <c r="H42" s="523"/>
      <c r="I42" s="523"/>
      <c r="J42" s="523"/>
      <c r="K42" s="523"/>
      <c r="L42" s="523"/>
      <c r="M42" s="523"/>
      <c r="N42" s="523"/>
      <c r="O42" s="523"/>
      <c r="P42" s="523"/>
      <c r="Q42" s="523"/>
      <c r="R42" s="459">
        <f t="shared" si="13"/>
        <v>0</v>
      </c>
      <c r="S42" s="524">
        <f>IF('2. START'!$C$20="UTB",(SUMIF('3. PARTNER'!B$13:B$80,B42,'3. PARTNER'!M$13:M$80)),(SUMIF('3. PARTNER'!B$13:B$80,B42,'3. PARTNER'!I$13:I$80)))</f>
        <v>0</v>
      </c>
      <c r="T42" s="524">
        <f>IF('2. START'!$C$20="UTB",(SUMIF('3. PARTNER'!B$13:B$80,B42,'3. PARTNER'!N$13:N$80)),(SUMIF('3. PARTNER'!B$13:B$80,B42,'3. PARTNER'!J$13:J$80)))</f>
        <v>0</v>
      </c>
      <c r="U42" s="454">
        <f>IF(F42="NO",0,IF('2. START'!C$13="PERSON+OPERATION",'2. START'!C$12,0)+IF('2. START'!C$13="PERSON+OPERATION+INVEST+FACILIT",'2. START'!C$12,0))</f>
        <v>0</v>
      </c>
      <c r="V42" s="463"/>
      <c r="W42" s="459">
        <f t="shared" si="14"/>
        <v>0</v>
      </c>
      <c r="X42" s="459">
        <f t="shared" si="15"/>
        <v>0</v>
      </c>
      <c r="Y42" s="459">
        <f t="shared" si="16"/>
        <v>0</v>
      </c>
      <c r="Z42" s="459">
        <f t="shared" si="17"/>
        <v>0</v>
      </c>
      <c r="AA42" s="459">
        <f t="shared" si="18"/>
        <v>0</v>
      </c>
      <c r="AB42" s="459">
        <f t="shared" si="19"/>
        <v>0</v>
      </c>
      <c r="AC42" s="459">
        <f t="shared" si="20"/>
        <v>0</v>
      </c>
      <c r="AD42" s="459">
        <f t="shared" si="21"/>
        <v>0</v>
      </c>
      <c r="AE42" s="459">
        <f t="shared" si="22"/>
        <v>0</v>
      </c>
      <c r="AF42" s="459">
        <f t="shared" si="23"/>
        <v>0</v>
      </c>
      <c r="AG42" s="460">
        <f t="shared" si="51"/>
        <v>0</v>
      </c>
      <c r="AH42" s="463"/>
      <c r="AI42" s="459">
        <f t="shared" si="24"/>
        <v>0</v>
      </c>
      <c r="AJ42" s="459">
        <f t="shared" si="25"/>
        <v>0</v>
      </c>
      <c r="AK42" s="459">
        <f t="shared" si="26"/>
        <v>0</v>
      </c>
      <c r="AL42" s="459">
        <f t="shared" si="27"/>
        <v>0</v>
      </c>
      <c r="AM42" s="459">
        <f t="shared" si="28"/>
        <v>0</v>
      </c>
      <c r="AN42" s="459">
        <f t="shared" si="29"/>
        <v>0</v>
      </c>
      <c r="AO42" s="459">
        <f t="shared" si="30"/>
        <v>0</v>
      </c>
      <c r="AP42" s="459">
        <f t="shared" si="31"/>
        <v>0</v>
      </c>
      <c r="AQ42" s="459">
        <f t="shared" si="32"/>
        <v>0</v>
      </c>
      <c r="AR42" s="459">
        <f t="shared" si="33"/>
        <v>0</v>
      </c>
      <c r="AS42" s="460">
        <f t="shared" si="52"/>
        <v>0</v>
      </c>
      <c r="AT42" s="463"/>
      <c r="AU42" s="459">
        <f t="shared" si="53"/>
        <v>0</v>
      </c>
      <c r="AV42" s="459">
        <f t="shared" si="53"/>
        <v>0</v>
      </c>
      <c r="AW42" s="459">
        <f t="shared" si="53"/>
        <v>0</v>
      </c>
      <c r="AX42" s="459">
        <f t="shared" si="53"/>
        <v>0</v>
      </c>
      <c r="AY42" s="459">
        <f t="shared" si="53"/>
        <v>0</v>
      </c>
      <c r="AZ42" s="459">
        <f t="shared" si="53"/>
        <v>0</v>
      </c>
      <c r="BA42" s="459">
        <f t="shared" si="53"/>
        <v>0</v>
      </c>
      <c r="BB42" s="459">
        <f t="shared" si="53"/>
        <v>0</v>
      </c>
      <c r="BC42" s="459">
        <f t="shared" si="53"/>
        <v>0</v>
      </c>
      <c r="BD42" s="459">
        <f t="shared" si="53"/>
        <v>0</v>
      </c>
      <c r="BE42" s="460">
        <f t="shared" si="54"/>
        <v>0</v>
      </c>
      <c r="BF42" s="463"/>
      <c r="BG42" s="459">
        <f t="shared" si="55"/>
        <v>0</v>
      </c>
      <c r="BH42" s="459">
        <f t="shared" si="35"/>
        <v>0</v>
      </c>
      <c r="BI42" s="459">
        <f t="shared" si="35"/>
        <v>0</v>
      </c>
      <c r="BJ42" s="459">
        <f t="shared" si="35"/>
        <v>0</v>
      </c>
      <c r="BK42" s="459">
        <f t="shared" si="35"/>
        <v>0</v>
      </c>
      <c r="BL42" s="459">
        <f t="shared" si="35"/>
        <v>0</v>
      </c>
      <c r="BM42" s="459">
        <f t="shared" si="35"/>
        <v>0</v>
      </c>
      <c r="BN42" s="459">
        <f t="shared" si="35"/>
        <v>0</v>
      </c>
      <c r="BO42" s="459">
        <f t="shared" si="35"/>
        <v>0</v>
      </c>
      <c r="BP42" s="459">
        <f t="shared" si="35"/>
        <v>0</v>
      </c>
      <c r="BQ42" s="460">
        <f t="shared" si="56"/>
        <v>0</v>
      </c>
      <c r="BR42" s="463"/>
      <c r="BS42" s="459">
        <f t="shared" si="57"/>
        <v>0</v>
      </c>
      <c r="BT42" s="459">
        <f t="shared" si="57"/>
        <v>0</v>
      </c>
      <c r="BU42" s="459">
        <f t="shared" si="57"/>
        <v>0</v>
      </c>
      <c r="BV42" s="459">
        <f t="shared" si="57"/>
        <v>0</v>
      </c>
      <c r="BW42" s="459">
        <f t="shared" si="57"/>
        <v>0</v>
      </c>
      <c r="BX42" s="459">
        <f t="shared" si="57"/>
        <v>0</v>
      </c>
      <c r="BY42" s="459">
        <f t="shared" si="57"/>
        <v>0</v>
      </c>
      <c r="BZ42" s="459">
        <f t="shared" si="57"/>
        <v>0</v>
      </c>
      <c r="CA42" s="459">
        <f t="shared" si="57"/>
        <v>0</v>
      </c>
      <c r="CB42" s="459">
        <f t="shared" si="57"/>
        <v>0</v>
      </c>
      <c r="CC42" s="460">
        <f t="shared" si="58"/>
        <v>0</v>
      </c>
      <c r="CD42" s="463"/>
      <c r="CE42" s="459">
        <f t="shared" si="59"/>
        <v>0</v>
      </c>
      <c r="CF42" s="459">
        <f t="shared" si="37"/>
        <v>0</v>
      </c>
      <c r="CG42" s="459">
        <f t="shared" si="37"/>
        <v>0</v>
      </c>
      <c r="CH42" s="459">
        <f t="shared" si="37"/>
        <v>0</v>
      </c>
      <c r="CI42" s="459">
        <f t="shared" si="37"/>
        <v>0</v>
      </c>
      <c r="CJ42" s="459">
        <f t="shared" si="37"/>
        <v>0</v>
      </c>
      <c r="CK42" s="459">
        <f t="shared" si="37"/>
        <v>0</v>
      </c>
      <c r="CL42" s="459">
        <f t="shared" si="37"/>
        <v>0</v>
      </c>
      <c r="CM42" s="459">
        <f t="shared" si="37"/>
        <v>0</v>
      </c>
      <c r="CN42" s="459">
        <f t="shared" si="37"/>
        <v>0</v>
      </c>
      <c r="CO42" s="460">
        <f t="shared" si="60"/>
        <v>0</v>
      </c>
      <c r="CP42" s="463"/>
      <c r="CQ42" s="459">
        <f t="shared" si="38"/>
        <v>0</v>
      </c>
      <c r="CR42" s="459">
        <f t="shared" si="39"/>
        <v>0</v>
      </c>
      <c r="CS42" s="459">
        <f t="shared" si="40"/>
        <v>0</v>
      </c>
      <c r="CT42" s="459">
        <f t="shared" si="41"/>
        <v>0</v>
      </c>
      <c r="CU42" s="459">
        <f t="shared" si="42"/>
        <v>0</v>
      </c>
      <c r="CV42" s="459">
        <f t="shared" si="43"/>
        <v>0</v>
      </c>
      <c r="CW42" s="459">
        <f t="shared" si="44"/>
        <v>0</v>
      </c>
      <c r="CX42" s="459">
        <f t="shared" si="45"/>
        <v>0</v>
      </c>
      <c r="CY42" s="459">
        <f t="shared" si="46"/>
        <v>0</v>
      </c>
      <c r="CZ42" s="459">
        <f t="shared" si="47"/>
        <v>0</v>
      </c>
      <c r="DA42" s="460">
        <f t="shared" si="61"/>
        <v>0</v>
      </c>
      <c r="DB42" s="463"/>
      <c r="DC42" s="459">
        <f t="shared" si="62"/>
        <v>0</v>
      </c>
      <c r="DD42" s="459">
        <f t="shared" si="62"/>
        <v>0</v>
      </c>
      <c r="DE42" s="459">
        <f t="shared" si="62"/>
        <v>0</v>
      </c>
      <c r="DF42" s="459">
        <f t="shared" si="62"/>
        <v>0</v>
      </c>
      <c r="DG42" s="459">
        <f t="shared" si="62"/>
        <v>0</v>
      </c>
      <c r="DH42" s="459">
        <f t="shared" si="62"/>
        <v>0</v>
      </c>
      <c r="DI42" s="459">
        <f t="shared" si="62"/>
        <v>0</v>
      </c>
      <c r="DJ42" s="459">
        <f t="shared" si="62"/>
        <v>0</v>
      </c>
      <c r="DK42" s="459">
        <f t="shared" si="62"/>
        <v>0</v>
      </c>
      <c r="DL42" s="459">
        <f t="shared" si="62"/>
        <v>0</v>
      </c>
      <c r="DM42" s="460">
        <f t="shared" si="63"/>
        <v>0</v>
      </c>
      <c r="DN42" s="463"/>
      <c r="DO42" s="459">
        <f t="shared" si="49"/>
        <v>0</v>
      </c>
      <c r="DP42" s="459">
        <f t="shared" si="49"/>
        <v>0</v>
      </c>
      <c r="DQ42" s="459">
        <f t="shared" si="49"/>
        <v>0</v>
      </c>
      <c r="DR42" s="459">
        <f t="shared" si="49"/>
        <v>0</v>
      </c>
      <c r="DS42" s="459">
        <f t="shared" si="49"/>
        <v>0</v>
      </c>
      <c r="DT42" s="459">
        <f t="shared" ref="DT42:DX73" si="66">AB42+AZ42+BX42</f>
        <v>0</v>
      </c>
      <c r="DU42" s="459">
        <f t="shared" si="66"/>
        <v>0</v>
      </c>
      <c r="DV42" s="459">
        <f t="shared" si="66"/>
        <v>0</v>
      </c>
      <c r="DW42" s="459">
        <f t="shared" si="66"/>
        <v>0</v>
      </c>
      <c r="DX42" s="459">
        <f t="shared" si="66"/>
        <v>0</v>
      </c>
      <c r="DY42" s="460">
        <f t="shared" si="64"/>
        <v>0</v>
      </c>
      <c r="DZ42" s="463"/>
      <c r="EA42" s="459">
        <f t="shared" si="50"/>
        <v>0</v>
      </c>
      <c r="EB42" s="459">
        <f t="shared" si="50"/>
        <v>0</v>
      </c>
      <c r="EC42" s="459">
        <f t="shared" si="50"/>
        <v>0</v>
      </c>
      <c r="ED42" s="459">
        <f t="shared" si="50"/>
        <v>0</v>
      </c>
      <c r="EE42" s="459">
        <f t="shared" si="50"/>
        <v>0</v>
      </c>
      <c r="EF42" s="459">
        <f t="shared" ref="EF42:EJ73" si="67">AN42+BL42+CJ42</f>
        <v>0</v>
      </c>
      <c r="EG42" s="459">
        <f t="shared" si="67"/>
        <v>0</v>
      </c>
      <c r="EH42" s="459">
        <f t="shared" si="67"/>
        <v>0</v>
      </c>
      <c r="EI42" s="459">
        <f t="shared" si="67"/>
        <v>0</v>
      </c>
      <c r="EJ42" s="459">
        <f t="shared" si="67"/>
        <v>0</v>
      </c>
      <c r="EK42" s="460">
        <f t="shared" si="65"/>
        <v>0</v>
      </c>
    </row>
    <row r="43" spans="2:141" s="268" customFormat="1" ht="15" customHeight="1" x14ac:dyDescent="0.25">
      <c r="B43" s="464" t="str">
        <f>'2. START'!C$7</f>
        <v>100GEM</v>
      </c>
      <c r="C43" s="470"/>
      <c r="D43" s="593"/>
      <c r="E43" s="527">
        <v>0</v>
      </c>
      <c r="F43" s="527" t="s">
        <v>36</v>
      </c>
      <c r="G43" s="527"/>
      <c r="H43" s="515"/>
      <c r="I43" s="515"/>
      <c r="J43" s="515"/>
      <c r="K43" s="515"/>
      <c r="L43" s="515"/>
      <c r="M43" s="515"/>
      <c r="N43" s="515"/>
      <c r="O43" s="515"/>
      <c r="P43" s="515"/>
      <c r="Q43" s="515"/>
      <c r="R43" s="442">
        <f t="shared" si="13"/>
        <v>0</v>
      </c>
      <c r="S43" s="516">
        <f>IF('2. START'!$C$20="UTB",(SUMIF('3. PARTNER'!B$13:B$80,B43,'3. PARTNER'!M$13:M$80)),(SUMIF('3. PARTNER'!B$13:B$80,B43,'3. PARTNER'!I$13:I$80)))</f>
        <v>0</v>
      </c>
      <c r="T43" s="516">
        <f>IF('2. START'!$C$20="UTB",(SUMIF('3. PARTNER'!B$13:B$80,B43,'3. PARTNER'!N$13:N$80)),(SUMIF('3. PARTNER'!B$13:B$80,B43,'3. PARTNER'!J$13:J$80)))</f>
        <v>0</v>
      </c>
      <c r="U43" s="517">
        <f>IF(F43="NO",0,IF('2. START'!C$13="PERSON+OPERATION",'2. START'!C$12,0)+IF('2. START'!C$13="PERSON+OPERATION+INVEST+FACILIT",'2. START'!C$12,0))</f>
        <v>0</v>
      </c>
      <c r="W43" s="519">
        <f t="shared" si="14"/>
        <v>0</v>
      </c>
      <c r="X43" s="519">
        <f t="shared" si="15"/>
        <v>0</v>
      </c>
      <c r="Y43" s="519">
        <f t="shared" si="16"/>
        <v>0</v>
      </c>
      <c r="Z43" s="519">
        <f t="shared" si="17"/>
        <v>0</v>
      </c>
      <c r="AA43" s="519">
        <f t="shared" si="18"/>
        <v>0</v>
      </c>
      <c r="AB43" s="519">
        <f t="shared" si="19"/>
        <v>0</v>
      </c>
      <c r="AC43" s="519">
        <f t="shared" si="20"/>
        <v>0</v>
      </c>
      <c r="AD43" s="519">
        <f t="shared" si="21"/>
        <v>0</v>
      </c>
      <c r="AE43" s="519">
        <f t="shared" si="22"/>
        <v>0</v>
      </c>
      <c r="AF43" s="519">
        <f t="shared" si="23"/>
        <v>0</v>
      </c>
      <c r="AG43" s="520">
        <f t="shared" si="51"/>
        <v>0</v>
      </c>
      <c r="AI43" s="519">
        <f t="shared" si="24"/>
        <v>0</v>
      </c>
      <c r="AJ43" s="519">
        <f t="shared" si="25"/>
        <v>0</v>
      </c>
      <c r="AK43" s="519">
        <f t="shared" si="26"/>
        <v>0</v>
      </c>
      <c r="AL43" s="519">
        <f t="shared" si="27"/>
        <v>0</v>
      </c>
      <c r="AM43" s="519">
        <f t="shared" si="28"/>
        <v>0</v>
      </c>
      <c r="AN43" s="519">
        <f t="shared" si="29"/>
        <v>0</v>
      </c>
      <c r="AO43" s="519">
        <f t="shared" si="30"/>
        <v>0</v>
      </c>
      <c r="AP43" s="519">
        <f t="shared" si="31"/>
        <v>0</v>
      </c>
      <c r="AQ43" s="519">
        <f t="shared" si="32"/>
        <v>0</v>
      </c>
      <c r="AR43" s="519">
        <f t="shared" si="33"/>
        <v>0</v>
      </c>
      <c r="AS43" s="520">
        <f t="shared" si="52"/>
        <v>0</v>
      </c>
      <c r="AU43" s="519">
        <f t="shared" si="53"/>
        <v>0</v>
      </c>
      <c r="AV43" s="519">
        <f t="shared" si="53"/>
        <v>0</v>
      </c>
      <c r="AW43" s="519">
        <f t="shared" si="53"/>
        <v>0</v>
      </c>
      <c r="AX43" s="519">
        <f t="shared" si="53"/>
        <v>0</v>
      </c>
      <c r="AY43" s="519">
        <f t="shared" si="53"/>
        <v>0</v>
      </c>
      <c r="AZ43" s="519">
        <f t="shared" si="53"/>
        <v>0</v>
      </c>
      <c r="BA43" s="519">
        <f t="shared" si="53"/>
        <v>0</v>
      </c>
      <c r="BB43" s="519">
        <f t="shared" si="53"/>
        <v>0</v>
      </c>
      <c r="BC43" s="519">
        <f t="shared" si="53"/>
        <v>0</v>
      </c>
      <c r="BD43" s="519">
        <f t="shared" si="53"/>
        <v>0</v>
      </c>
      <c r="BE43" s="520">
        <f t="shared" si="54"/>
        <v>0</v>
      </c>
      <c r="BG43" s="519">
        <f t="shared" si="55"/>
        <v>0</v>
      </c>
      <c r="BH43" s="519">
        <f t="shared" si="35"/>
        <v>0</v>
      </c>
      <c r="BI43" s="519">
        <f t="shared" si="35"/>
        <v>0</v>
      </c>
      <c r="BJ43" s="519">
        <f t="shared" si="35"/>
        <v>0</v>
      </c>
      <c r="BK43" s="519">
        <f t="shared" si="35"/>
        <v>0</v>
      </c>
      <c r="BL43" s="519">
        <f t="shared" si="35"/>
        <v>0</v>
      </c>
      <c r="BM43" s="519">
        <f t="shared" si="35"/>
        <v>0</v>
      </c>
      <c r="BN43" s="519">
        <f t="shared" si="35"/>
        <v>0</v>
      </c>
      <c r="BO43" s="519">
        <f t="shared" si="35"/>
        <v>0</v>
      </c>
      <c r="BP43" s="519">
        <f t="shared" si="35"/>
        <v>0</v>
      </c>
      <c r="BQ43" s="520">
        <f t="shared" si="56"/>
        <v>0</v>
      </c>
      <c r="BS43" s="519">
        <f t="shared" si="57"/>
        <v>0</v>
      </c>
      <c r="BT43" s="519">
        <f t="shared" si="57"/>
        <v>0</v>
      </c>
      <c r="BU43" s="519">
        <f t="shared" si="57"/>
        <v>0</v>
      </c>
      <c r="BV43" s="519">
        <f t="shared" si="57"/>
        <v>0</v>
      </c>
      <c r="BW43" s="519">
        <f t="shared" si="57"/>
        <v>0</v>
      </c>
      <c r="BX43" s="519">
        <f t="shared" si="57"/>
        <v>0</v>
      </c>
      <c r="BY43" s="519">
        <f t="shared" si="57"/>
        <v>0</v>
      </c>
      <c r="BZ43" s="519">
        <f t="shared" si="57"/>
        <v>0</v>
      </c>
      <c r="CA43" s="519">
        <f t="shared" si="57"/>
        <v>0</v>
      </c>
      <c r="CB43" s="519">
        <f t="shared" si="57"/>
        <v>0</v>
      </c>
      <c r="CC43" s="520">
        <f t="shared" si="58"/>
        <v>0</v>
      </c>
      <c r="CE43" s="519">
        <f t="shared" si="59"/>
        <v>0</v>
      </c>
      <c r="CF43" s="519">
        <f t="shared" si="37"/>
        <v>0</v>
      </c>
      <c r="CG43" s="519">
        <f t="shared" si="37"/>
        <v>0</v>
      </c>
      <c r="CH43" s="519">
        <f t="shared" si="37"/>
        <v>0</v>
      </c>
      <c r="CI43" s="519">
        <f t="shared" si="37"/>
        <v>0</v>
      </c>
      <c r="CJ43" s="519">
        <f t="shared" si="37"/>
        <v>0</v>
      </c>
      <c r="CK43" s="519">
        <f t="shared" si="37"/>
        <v>0</v>
      </c>
      <c r="CL43" s="519">
        <f t="shared" si="37"/>
        <v>0</v>
      </c>
      <c r="CM43" s="519">
        <f t="shared" si="37"/>
        <v>0</v>
      </c>
      <c r="CN43" s="519">
        <f t="shared" si="37"/>
        <v>0</v>
      </c>
      <c r="CO43" s="520">
        <f t="shared" si="60"/>
        <v>0</v>
      </c>
      <c r="CQ43" s="519">
        <f t="shared" si="38"/>
        <v>0</v>
      </c>
      <c r="CR43" s="519">
        <f t="shared" si="39"/>
        <v>0</v>
      </c>
      <c r="CS43" s="519">
        <f t="shared" si="40"/>
        <v>0</v>
      </c>
      <c r="CT43" s="519">
        <f t="shared" si="41"/>
        <v>0</v>
      </c>
      <c r="CU43" s="519">
        <f t="shared" si="42"/>
        <v>0</v>
      </c>
      <c r="CV43" s="519">
        <f t="shared" si="43"/>
        <v>0</v>
      </c>
      <c r="CW43" s="519">
        <f t="shared" si="44"/>
        <v>0</v>
      </c>
      <c r="CX43" s="519">
        <f t="shared" si="45"/>
        <v>0</v>
      </c>
      <c r="CY43" s="519">
        <f t="shared" si="46"/>
        <v>0</v>
      </c>
      <c r="CZ43" s="519">
        <f t="shared" si="47"/>
        <v>0</v>
      </c>
      <c r="DA43" s="520">
        <f t="shared" si="61"/>
        <v>0</v>
      </c>
      <c r="DC43" s="519">
        <f t="shared" si="62"/>
        <v>0</v>
      </c>
      <c r="DD43" s="519">
        <f t="shared" si="62"/>
        <v>0</v>
      </c>
      <c r="DE43" s="519">
        <f t="shared" si="62"/>
        <v>0</v>
      </c>
      <c r="DF43" s="519">
        <f t="shared" si="62"/>
        <v>0</v>
      </c>
      <c r="DG43" s="519">
        <f t="shared" si="62"/>
        <v>0</v>
      </c>
      <c r="DH43" s="519">
        <f t="shared" si="62"/>
        <v>0</v>
      </c>
      <c r="DI43" s="519">
        <f t="shared" si="62"/>
        <v>0</v>
      </c>
      <c r="DJ43" s="519">
        <f t="shared" si="62"/>
        <v>0</v>
      </c>
      <c r="DK43" s="519">
        <f t="shared" si="62"/>
        <v>0</v>
      </c>
      <c r="DL43" s="519">
        <f t="shared" si="62"/>
        <v>0</v>
      </c>
      <c r="DM43" s="520">
        <f t="shared" si="63"/>
        <v>0</v>
      </c>
      <c r="DO43" s="519">
        <f t="shared" ref="DO43:DX74" si="68">W43+AU43+BS43</f>
        <v>0</v>
      </c>
      <c r="DP43" s="519">
        <f t="shared" si="68"/>
        <v>0</v>
      </c>
      <c r="DQ43" s="519">
        <f t="shared" si="68"/>
        <v>0</v>
      </c>
      <c r="DR43" s="519">
        <f t="shared" si="68"/>
        <v>0</v>
      </c>
      <c r="DS43" s="519">
        <f t="shared" si="68"/>
        <v>0</v>
      </c>
      <c r="DT43" s="519">
        <f t="shared" si="66"/>
        <v>0</v>
      </c>
      <c r="DU43" s="519">
        <f t="shared" si="66"/>
        <v>0</v>
      </c>
      <c r="DV43" s="519">
        <f t="shared" si="66"/>
        <v>0</v>
      </c>
      <c r="DW43" s="519">
        <f t="shared" si="66"/>
        <v>0</v>
      </c>
      <c r="DX43" s="519">
        <f t="shared" si="66"/>
        <v>0</v>
      </c>
      <c r="DY43" s="520">
        <f t="shared" si="64"/>
        <v>0</v>
      </c>
      <c r="EA43" s="519">
        <f t="shared" ref="EA43:EJ74" si="69">AI43+BG43+CE43</f>
        <v>0</v>
      </c>
      <c r="EB43" s="519">
        <f t="shared" si="69"/>
        <v>0</v>
      </c>
      <c r="EC43" s="519">
        <f t="shared" si="69"/>
        <v>0</v>
      </c>
      <c r="ED43" s="519">
        <f t="shared" si="69"/>
        <v>0</v>
      </c>
      <c r="EE43" s="519">
        <f t="shared" si="69"/>
        <v>0</v>
      </c>
      <c r="EF43" s="519">
        <f t="shared" si="67"/>
        <v>0</v>
      </c>
      <c r="EG43" s="519">
        <f t="shared" si="67"/>
        <v>0</v>
      </c>
      <c r="EH43" s="519">
        <f t="shared" si="67"/>
        <v>0</v>
      </c>
      <c r="EI43" s="519">
        <f t="shared" si="67"/>
        <v>0</v>
      </c>
      <c r="EJ43" s="519">
        <f t="shared" si="67"/>
        <v>0</v>
      </c>
      <c r="EK43" s="520">
        <f t="shared" si="65"/>
        <v>0</v>
      </c>
    </row>
    <row r="44" spans="2:141" s="268" customFormat="1" ht="15" customHeight="1" x14ac:dyDescent="0.25">
      <c r="B44" s="446" t="str">
        <f>'2. START'!C$7</f>
        <v>100GEM</v>
      </c>
      <c r="C44" s="469"/>
      <c r="D44" s="594"/>
      <c r="E44" s="522">
        <v>0</v>
      </c>
      <c r="F44" s="522" t="s">
        <v>36</v>
      </c>
      <c r="G44" s="522"/>
      <c r="H44" s="523"/>
      <c r="I44" s="523"/>
      <c r="J44" s="523"/>
      <c r="K44" s="523"/>
      <c r="L44" s="523"/>
      <c r="M44" s="523"/>
      <c r="N44" s="523"/>
      <c r="O44" s="523"/>
      <c r="P44" s="523"/>
      <c r="Q44" s="523"/>
      <c r="R44" s="459">
        <f t="shared" si="13"/>
        <v>0</v>
      </c>
      <c r="S44" s="524">
        <f>IF('2. START'!$C$20="UTB",(SUMIF('3. PARTNER'!B$13:B$80,B44,'3. PARTNER'!M$13:M$80)),(SUMIF('3. PARTNER'!B$13:B$80,B44,'3. PARTNER'!I$13:I$80)))</f>
        <v>0</v>
      </c>
      <c r="T44" s="524">
        <f>IF('2. START'!$C$20="UTB",(SUMIF('3. PARTNER'!B$13:B$80,B44,'3. PARTNER'!N$13:N$80)),(SUMIF('3. PARTNER'!B$13:B$80,B44,'3. PARTNER'!J$13:J$80)))</f>
        <v>0</v>
      </c>
      <c r="U44" s="454">
        <f>IF(F44="NO",0,IF('2. START'!C$13="PERSON+OPERATION",'2. START'!C$12,0)+IF('2. START'!C$13="PERSON+OPERATION+INVEST+FACILIT",'2. START'!C$12,0))</f>
        <v>0</v>
      </c>
      <c r="V44" s="463"/>
      <c r="W44" s="459">
        <f t="shared" si="14"/>
        <v>0</v>
      </c>
      <c r="X44" s="459">
        <f t="shared" si="15"/>
        <v>0</v>
      </c>
      <c r="Y44" s="459">
        <f t="shared" si="16"/>
        <v>0</v>
      </c>
      <c r="Z44" s="459">
        <f t="shared" si="17"/>
        <v>0</v>
      </c>
      <c r="AA44" s="459">
        <f t="shared" si="18"/>
        <v>0</v>
      </c>
      <c r="AB44" s="459">
        <f t="shared" si="19"/>
        <v>0</v>
      </c>
      <c r="AC44" s="459">
        <f t="shared" si="20"/>
        <v>0</v>
      </c>
      <c r="AD44" s="459">
        <f t="shared" si="21"/>
        <v>0</v>
      </c>
      <c r="AE44" s="459">
        <f t="shared" si="22"/>
        <v>0</v>
      </c>
      <c r="AF44" s="459">
        <f t="shared" si="23"/>
        <v>0</v>
      </c>
      <c r="AG44" s="460">
        <f t="shared" si="51"/>
        <v>0</v>
      </c>
      <c r="AH44" s="463"/>
      <c r="AI44" s="459">
        <f t="shared" si="24"/>
        <v>0</v>
      </c>
      <c r="AJ44" s="459">
        <f t="shared" si="25"/>
        <v>0</v>
      </c>
      <c r="AK44" s="459">
        <f t="shared" si="26"/>
        <v>0</v>
      </c>
      <c r="AL44" s="459">
        <f t="shared" si="27"/>
        <v>0</v>
      </c>
      <c r="AM44" s="459">
        <f t="shared" si="28"/>
        <v>0</v>
      </c>
      <c r="AN44" s="459">
        <f t="shared" si="29"/>
        <v>0</v>
      </c>
      <c r="AO44" s="459">
        <f t="shared" si="30"/>
        <v>0</v>
      </c>
      <c r="AP44" s="459">
        <f t="shared" si="31"/>
        <v>0</v>
      </c>
      <c r="AQ44" s="459">
        <f t="shared" si="32"/>
        <v>0</v>
      </c>
      <c r="AR44" s="459">
        <f t="shared" si="33"/>
        <v>0</v>
      </c>
      <c r="AS44" s="460">
        <f t="shared" si="52"/>
        <v>0</v>
      </c>
      <c r="AT44" s="463"/>
      <c r="AU44" s="459">
        <f t="shared" si="53"/>
        <v>0</v>
      </c>
      <c r="AV44" s="459">
        <f t="shared" si="53"/>
        <v>0</v>
      </c>
      <c r="AW44" s="459">
        <f t="shared" si="53"/>
        <v>0</v>
      </c>
      <c r="AX44" s="459">
        <f t="shared" si="53"/>
        <v>0</v>
      </c>
      <c r="AY44" s="459">
        <f t="shared" si="53"/>
        <v>0</v>
      </c>
      <c r="AZ44" s="459">
        <f t="shared" si="53"/>
        <v>0</v>
      </c>
      <c r="BA44" s="459">
        <f t="shared" si="53"/>
        <v>0</v>
      </c>
      <c r="BB44" s="459">
        <f t="shared" si="53"/>
        <v>0</v>
      </c>
      <c r="BC44" s="459">
        <f t="shared" si="53"/>
        <v>0</v>
      </c>
      <c r="BD44" s="459">
        <f t="shared" si="53"/>
        <v>0</v>
      </c>
      <c r="BE44" s="460">
        <f t="shared" si="54"/>
        <v>0</v>
      </c>
      <c r="BF44" s="463"/>
      <c r="BG44" s="459">
        <f t="shared" si="55"/>
        <v>0</v>
      </c>
      <c r="BH44" s="459">
        <f t="shared" si="35"/>
        <v>0</v>
      </c>
      <c r="BI44" s="459">
        <f t="shared" si="35"/>
        <v>0</v>
      </c>
      <c r="BJ44" s="459">
        <f t="shared" si="35"/>
        <v>0</v>
      </c>
      <c r="BK44" s="459">
        <f t="shared" si="35"/>
        <v>0</v>
      </c>
      <c r="BL44" s="459">
        <f t="shared" si="35"/>
        <v>0</v>
      </c>
      <c r="BM44" s="459">
        <f t="shared" si="35"/>
        <v>0</v>
      </c>
      <c r="BN44" s="459">
        <f t="shared" si="35"/>
        <v>0</v>
      </c>
      <c r="BO44" s="459">
        <f t="shared" si="35"/>
        <v>0</v>
      </c>
      <c r="BP44" s="459">
        <f t="shared" si="35"/>
        <v>0</v>
      </c>
      <c r="BQ44" s="460">
        <f t="shared" si="56"/>
        <v>0</v>
      </c>
      <c r="BR44" s="463"/>
      <c r="BS44" s="459">
        <f t="shared" si="57"/>
        <v>0</v>
      </c>
      <c r="BT44" s="459">
        <f t="shared" si="57"/>
        <v>0</v>
      </c>
      <c r="BU44" s="459">
        <f t="shared" si="57"/>
        <v>0</v>
      </c>
      <c r="BV44" s="459">
        <f t="shared" si="57"/>
        <v>0</v>
      </c>
      <c r="BW44" s="459">
        <f t="shared" si="57"/>
        <v>0</v>
      </c>
      <c r="BX44" s="459">
        <f t="shared" si="57"/>
        <v>0</v>
      </c>
      <c r="BY44" s="459">
        <f t="shared" si="57"/>
        <v>0</v>
      </c>
      <c r="BZ44" s="459">
        <f t="shared" si="57"/>
        <v>0</v>
      </c>
      <c r="CA44" s="459">
        <f t="shared" si="57"/>
        <v>0</v>
      </c>
      <c r="CB44" s="459">
        <f t="shared" si="57"/>
        <v>0</v>
      </c>
      <c r="CC44" s="460">
        <f t="shared" si="58"/>
        <v>0</v>
      </c>
      <c r="CD44" s="463"/>
      <c r="CE44" s="459">
        <f t="shared" si="59"/>
        <v>0</v>
      </c>
      <c r="CF44" s="459">
        <f t="shared" si="37"/>
        <v>0</v>
      </c>
      <c r="CG44" s="459">
        <f t="shared" si="37"/>
        <v>0</v>
      </c>
      <c r="CH44" s="459">
        <f t="shared" si="37"/>
        <v>0</v>
      </c>
      <c r="CI44" s="459">
        <f t="shared" si="37"/>
        <v>0</v>
      </c>
      <c r="CJ44" s="459">
        <f t="shared" si="37"/>
        <v>0</v>
      </c>
      <c r="CK44" s="459">
        <f t="shared" si="37"/>
        <v>0</v>
      </c>
      <c r="CL44" s="459">
        <f t="shared" si="37"/>
        <v>0</v>
      </c>
      <c r="CM44" s="459">
        <f t="shared" si="37"/>
        <v>0</v>
      </c>
      <c r="CN44" s="459">
        <f t="shared" si="37"/>
        <v>0</v>
      </c>
      <c r="CO44" s="460">
        <f t="shared" si="60"/>
        <v>0</v>
      </c>
      <c r="CP44" s="463"/>
      <c r="CQ44" s="459">
        <f t="shared" si="38"/>
        <v>0</v>
      </c>
      <c r="CR44" s="459">
        <f t="shared" si="39"/>
        <v>0</v>
      </c>
      <c r="CS44" s="459">
        <f t="shared" si="40"/>
        <v>0</v>
      </c>
      <c r="CT44" s="459">
        <f t="shared" si="41"/>
        <v>0</v>
      </c>
      <c r="CU44" s="459">
        <f t="shared" si="42"/>
        <v>0</v>
      </c>
      <c r="CV44" s="459">
        <f t="shared" si="43"/>
        <v>0</v>
      </c>
      <c r="CW44" s="459">
        <f t="shared" si="44"/>
        <v>0</v>
      </c>
      <c r="CX44" s="459">
        <f t="shared" si="45"/>
        <v>0</v>
      </c>
      <c r="CY44" s="459">
        <f t="shared" si="46"/>
        <v>0</v>
      </c>
      <c r="CZ44" s="459">
        <f t="shared" si="47"/>
        <v>0</v>
      </c>
      <c r="DA44" s="460">
        <f t="shared" si="61"/>
        <v>0</v>
      </c>
      <c r="DB44" s="463"/>
      <c r="DC44" s="459">
        <f t="shared" si="62"/>
        <v>0</v>
      </c>
      <c r="DD44" s="459">
        <f t="shared" si="62"/>
        <v>0</v>
      </c>
      <c r="DE44" s="459">
        <f t="shared" si="62"/>
        <v>0</v>
      </c>
      <c r="DF44" s="459">
        <f t="shared" si="62"/>
        <v>0</v>
      </c>
      <c r="DG44" s="459">
        <f t="shared" si="62"/>
        <v>0</v>
      </c>
      <c r="DH44" s="459">
        <f t="shared" si="62"/>
        <v>0</v>
      </c>
      <c r="DI44" s="459">
        <f t="shared" si="62"/>
        <v>0</v>
      </c>
      <c r="DJ44" s="459">
        <f t="shared" si="62"/>
        <v>0</v>
      </c>
      <c r="DK44" s="459">
        <f t="shared" si="62"/>
        <v>0</v>
      </c>
      <c r="DL44" s="459">
        <f t="shared" si="62"/>
        <v>0</v>
      </c>
      <c r="DM44" s="460">
        <f t="shared" si="63"/>
        <v>0</v>
      </c>
      <c r="DN44" s="463"/>
      <c r="DO44" s="459">
        <f t="shared" si="68"/>
        <v>0</v>
      </c>
      <c r="DP44" s="459">
        <f t="shared" si="68"/>
        <v>0</v>
      </c>
      <c r="DQ44" s="459">
        <f t="shared" si="68"/>
        <v>0</v>
      </c>
      <c r="DR44" s="459">
        <f t="shared" si="68"/>
        <v>0</v>
      </c>
      <c r="DS44" s="459">
        <f t="shared" si="68"/>
        <v>0</v>
      </c>
      <c r="DT44" s="459">
        <f t="shared" si="66"/>
        <v>0</v>
      </c>
      <c r="DU44" s="459">
        <f t="shared" si="66"/>
        <v>0</v>
      </c>
      <c r="DV44" s="459">
        <f t="shared" si="66"/>
        <v>0</v>
      </c>
      <c r="DW44" s="459">
        <f t="shared" si="66"/>
        <v>0</v>
      </c>
      <c r="DX44" s="459">
        <f t="shared" si="66"/>
        <v>0</v>
      </c>
      <c r="DY44" s="460">
        <f t="shared" si="64"/>
        <v>0</v>
      </c>
      <c r="DZ44" s="463"/>
      <c r="EA44" s="459">
        <f t="shared" si="69"/>
        <v>0</v>
      </c>
      <c r="EB44" s="459">
        <f t="shared" si="69"/>
        <v>0</v>
      </c>
      <c r="EC44" s="459">
        <f t="shared" si="69"/>
        <v>0</v>
      </c>
      <c r="ED44" s="459">
        <f t="shared" si="69"/>
        <v>0</v>
      </c>
      <c r="EE44" s="459">
        <f t="shared" si="69"/>
        <v>0</v>
      </c>
      <c r="EF44" s="459">
        <f t="shared" si="67"/>
        <v>0</v>
      </c>
      <c r="EG44" s="459">
        <f t="shared" si="67"/>
        <v>0</v>
      </c>
      <c r="EH44" s="459">
        <f t="shared" si="67"/>
        <v>0</v>
      </c>
      <c r="EI44" s="459">
        <f t="shared" si="67"/>
        <v>0</v>
      </c>
      <c r="EJ44" s="459">
        <f t="shared" si="67"/>
        <v>0</v>
      </c>
      <c r="EK44" s="460">
        <f t="shared" si="65"/>
        <v>0</v>
      </c>
    </row>
    <row r="45" spans="2:141" s="268" customFormat="1" ht="15" customHeight="1" x14ac:dyDescent="0.25">
      <c r="B45" s="464" t="str">
        <f>'2. START'!C$7</f>
        <v>100GEM</v>
      </c>
      <c r="C45" s="470"/>
      <c r="D45" s="593"/>
      <c r="E45" s="527">
        <v>0</v>
      </c>
      <c r="F45" s="527" t="s">
        <v>36</v>
      </c>
      <c r="G45" s="527"/>
      <c r="H45" s="515"/>
      <c r="I45" s="515"/>
      <c r="J45" s="515"/>
      <c r="K45" s="515"/>
      <c r="L45" s="515"/>
      <c r="M45" s="515"/>
      <c r="N45" s="515"/>
      <c r="O45" s="515"/>
      <c r="P45" s="515"/>
      <c r="Q45" s="515"/>
      <c r="R45" s="442">
        <f t="shared" si="13"/>
        <v>0</v>
      </c>
      <c r="S45" s="516">
        <f>IF('2. START'!$C$20="UTB",(SUMIF('3. PARTNER'!B$13:B$80,B45,'3. PARTNER'!M$13:M$80)),(SUMIF('3. PARTNER'!B$13:B$80,B45,'3. PARTNER'!I$13:I$80)))</f>
        <v>0</v>
      </c>
      <c r="T45" s="516">
        <f>IF('2. START'!$C$20="UTB",(SUMIF('3. PARTNER'!B$13:B$80,B45,'3. PARTNER'!N$13:N$80)),(SUMIF('3. PARTNER'!B$13:B$80,B45,'3. PARTNER'!J$13:J$80)))</f>
        <v>0</v>
      </c>
      <c r="U45" s="517">
        <f>IF(F45="NO",0,IF('2. START'!C$13="PERSON+OPERATION",'2. START'!C$12,0)+IF('2. START'!C$13="PERSON+OPERATION+INVEST+FACILIT",'2. START'!C$12,0))</f>
        <v>0</v>
      </c>
      <c r="W45" s="519">
        <f t="shared" si="14"/>
        <v>0</v>
      </c>
      <c r="X45" s="519">
        <f t="shared" si="15"/>
        <v>0</v>
      </c>
      <c r="Y45" s="519">
        <f t="shared" si="16"/>
        <v>0</v>
      </c>
      <c r="Z45" s="519">
        <f t="shared" si="17"/>
        <v>0</v>
      </c>
      <c r="AA45" s="519">
        <f t="shared" si="18"/>
        <v>0</v>
      </c>
      <c r="AB45" s="519">
        <f t="shared" si="19"/>
        <v>0</v>
      </c>
      <c r="AC45" s="519">
        <f t="shared" si="20"/>
        <v>0</v>
      </c>
      <c r="AD45" s="519">
        <f t="shared" si="21"/>
        <v>0</v>
      </c>
      <c r="AE45" s="519">
        <f t="shared" si="22"/>
        <v>0</v>
      </c>
      <c r="AF45" s="519">
        <f t="shared" si="23"/>
        <v>0</v>
      </c>
      <c r="AG45" s="520">
        <f t="shared" si="51"/>
        <v>0</v>
      </c>
      <c r="AI45" s="519">
        <f t="shared" si="24"/>
        <v>0</v>
      </c>
      <c r="AJ45" s="519">
        <f t="shared" si="25"/>
        <v>0</v>
      </c>
      <c r="AK45" s="519">
        <f t="shared" si="26"/>
        <v>0</v>
      </c>
      <c r="AL45" s="519">
        <f t="shared" si="27"/>
        <v>0</v>
      </c>
      <c r="AM45" s="519">
        <f t="shared" si="28"/>
        <v>0</v>
      </c>
      <c r="AN45" s="519">
        <f t="shared" si="29"/>
        <v>0</v>
      </c>
      <c r="AO45" s="519">
        <f t="shared" si="30"/>
        <v>0</v>
      </c>
      <c r="AP45" s="519">
        <f t="shared" si="31"/>
        <v>0</v>
      </c>
      <c r="AQ45" s="519">
        <f t="shared" si="32"/>
        <v>0</v>
      </c>
      <c r="AR45" s="519">
        <f t="shared" si="33"/>
        <v>0</v>
      </c>
      <c r="AS45" s="520">
        <f t="shared" si="52"/>
        <v>0</v>
      </c>
      <c r="AU45" s="519">
        <f t="shared" si="53"/>
        <v>0</v>
      </c>
      <c r="AV45" s="519">
        <f t="shared" si="53"/>
        <v>0</v>
      </c>
      <c r="AW45" s="519">
        <f t="shared" si="53"/>
        <v>0</v>
      </c>
      <c r="AX45" s="519">
        <f t="shared" si="53"/>
        <v>0</v>
      </c>
      <c r="AY45" s="519">
        <f t="shared" si="53"/>
        <v>0</v>
      </c>
      <c r="AZ45" s="519">
        <f t="shared" si="53"/>
        <v>0</v>
      </c>
      <c r="BA45" s="519">
        <f t="shared" si="53"/>
        <v>0</v>
      </c>
      <c r="BB45" s="519">
        <f t="shared" si="53"/>
        <v>0</v>
      </c>
      <c r="BC45" s="519">
        <f t="shared" si="53"/>
        <v>0</v>
      </c>
      <c r="BD45" s="519">
        <f t="shared" si="53"/>
        <v>0</v>
      </c>
      <c r="BE45" s="520">
        <f t="shared" si="54"/>
        <v>0</v>
      </c>
      <c r="BG45" s="519">
        <f t="shared" si="55"/>
        <v>0</v>
      </c>
      <c r="BH45" s="519">
        <f t="shared" si="35"/>
        <v>0</v>
      </c>
      <c r="BI45" s="519">
        <f t="shared" si="35"/>
        <v>0</v>
      </c>
      <c r="BJ45" s="519">
        <f t="shared" si="35"/>
        <v>0</v>
      </c>
      <c r="BK45" s="519">
        <f t="shared" ref="BK45:BP87" si="70">$S45*AM45</f>
        <v>0</v>
      </c>
      <c r="BL45" s="519">
        <f t="shared" si="70"/>
        <v>0</v>
      </c>
      <c r="BM45" s="519">
        <f t="shared" si="70"/>
        <v>0</v>
      </c>
      <c r="BN45" s="519">
        <f t="shared" si="70"/>
        <v>0</v>
      </c>
      <c r="BO45" s="519">
        <f t="shared" si="70"/>
        <v>0</v>
      </c>
      <c r="BP45" s="519">
        <f t="shared" si="70"/>
        <v>0</v>
      </c>
      <c r="BQ45" s="520">
        <f t="shared" si="56"/>
        <v>0</v>
      </c>
      <c r="BS45" s="519">
        <f t="shared" si="57"/>
        <v>0</v>
      </c>
      <c r="BT45" s="519">
        <f t="shared" si="57"/>
        <v>0</v>
      </c>
      <c r="BU45" s="519">
        <f t="shared" si="57"/>
        <v>0</v>
      </c>
      <c r="BV45" s="519">
        <f t="shared" si="57"/>
        <v>0</v>
      </c>
      <c r="BW45" s="519">
        <f t="shared" si="57"/>
        <v>0</v>
      </c>
      <c r="BX45" s="519">
        <f t="shared" si="57"/>
        <v>0</v>
      </c>
      <c r="BY45" s="519">
        <f t="shared" si="57"/>
        <v>0</v>
      </c>
      <c r="BZ45" s="519">
        <f t="shared" si="57"/>
        <v>0</v>
      </c>
      <c r="CA45" s="519">
        <f t="shared" si="57"/>
        <v>0</v>
      </c>
      <c r="CB45" s="519">
        <f t="shared" si="57"/>
        <v>0</v>
      </c>
      <c r="CC45" s="520">
        <f t="shared" si="58"/>
        <v>0</v>
      </c>
      <c r="CE45" s="519">
        <f t="shared" si="59"/>
        <v>0</v>
      </c>
      <c r="CF45" s="519">
        <f t="shared" si="37"/>
        <v>0</v>
      </c>
      <c r="CG45" s="519">
        <f t="shared" si="37"/>
        <v>0</v>
      </c>
      <c r="CH45" s="519">
        <f t="shared" si="37"/>
        <v>0</v>
      </c>
      <c r="CI45" s="519">
        <f t="shared" ref="CI45:CN87" si="71">$T45*AM45</f>
        <v>0</v>
      </c>
      <c r="CJ45" s="519">
        <f t="shared" si="71"/>
        <v>0</v>
      </c>
      <c r="CK45" s="519">
        <f t="shared" si="71"/>
        <v>0</v>
      </c>
      <c r="CL45" s="519">
        <f t="shared" si="71"/>
        <v>0</v>
      </c>
      <c r="CM45" s="519">
        <f t="shared" si="71"/>
        <v>0</v>
      </c>
      <c r="CN45" s="519">
        <f t="shared" si="71"/>
        <v>0</v>
      </c>
      <c r="CO45" s="520">
        <f t="shared" si="60"/>
        <v>0</v>
      </c>
      <c r="CQ45" s="519">
        <f t="shared" si="38"/>
        <v>0</v>
      </c>
      <c r="CR45" s="519">
        <f t="shared" si="39"/>
        <v>0</v>
      </c>
      <c r="CS45" s="519">
        <f t="shared" si="40"/>
        <v>0</v>
      </c>
      <c r="CT45" s="519">
        <f t="shared" si="41"/>
        <v>0</v>
      </c>
      <c r="CU45" s="519">
        <f t="shared" si="42"/>
        <v>0</v>
      </c>
      <c r="CV45" s="519">
        <f t="shared" si="43"/>
        <v>0</v>
      </c>
      <c r="CW45" s="519">
        <f t="shared" si="44"/>
        <v>0</v>
      </c>
      <c r="CX45" s="519">
        <f t="shared" si="45"/>
        <v>0</v>
      </c>
      <c r="CY45" s="519">
        <f t="shared" si="46"/>
        <v>0</v>
      </c>
      <c r="CZ45" s="519">
        <f t="shared" si="47"/>
        <v>0</v>
      </c>
      <c r="DA45" s="520">
        <f t="shared" si="61"/>
        <v>0</v>
      </c>
      <c r="DC45" s="519">
        <f t="shared" si="62"/>
        <v>0</v>
      </c>
      <c r="DD45" s="519">
        <f t="shared" si="62"/>
        <v>0</v>
      </c>
      <c r="DE45" s="519">
        <f t="shared" si="62"/>
        <v>0</v>
      </c>
      <c r="DF45" s="519">
        <f t="shared" si="62"/>
        <v>0</v>
      </c>
      <c r="DG45" s="519">
        <f t="shared" si="62"/>
        <v>0</v>
      </c>
      <c r="DH45" s="519">
        <f t="shared" si="62"/>
        <v>0</v>
      </c>
      <c r="DI45" s="519">
        <f t="shared" si="62"/>
        <v>0</v>
      </c>
      <c r="DJ45" s="519">
        <f t="shared" si="62"/>
        <v>0</v>
      </c>
      <c r="DK45" s="519">
        <f t="shared" si="62"/>
        <v>0</v>
      </c>
      <c r="DL45" s="519">
        <f t="shared" si="62"/>
        <v>0</v>
      </c>
      <c r="DM45" s="520">
        <f t="shared" si="63"/>
        <v>0</v>
      </c>
      <c r="DO45" s="519">
        <f t="shared" si="68"/>
        <v>0</v>
      </c>
      <c r="DP45" s="519">
        <f t="shared" si="68"/>
        <v>0</v>
      </c>
      <c r="DQ45" s="519">
        <f t="shared" si="68"/>
        <v>0</v>
      </c>
      <c r="DR45" s="519">
        <f t="shared" si="68"/>
        <v>0</v>
      </c>
      <c r="DS45" s="519">
        <f t="shared" si="68"/>
        <v>0</v>
      </c>
      <c r="DT45" s="519">
        <f t="shared" si="66"/>
        <v>0</v>
      </c>
      <c r="DU45" s="519">
        <f t="shared" si="66"/>
        <v>0</v>
      </c>
      <c r="DV45" s="519">
        <f t="shared" si="66"/>
        <v>0</v>
      </c>
      <c r="DW45" s="519">
        <f t="shared" si="66"/>
        <v>0</v>
      </c>
      <c r="DX45" s="519">
        <f t="shared" si="66"/>
        <v>0</v>
      </c>
      <c r="DY45" s="520">
        <f t="shared" si="64"/>
        <v>0</v>
      </c>
      <c r="EA45" s="519">
        <f t="shared" si="69"/>
        <v>0</v>
      </c>
      <c r="EB45" s="519">
        <f t="shared" si="69"/>
        <v>0</v>
      </c>
      <c r="EC45" s="519">
        <f t="shared" si="69"/>
        <v>0</v>
      </c>
      <c r="ED45" s="519">
        <f t="shared" si="69"/>
        <v>0</v>
      </c>
      <c r="EE45" s="519">
        <f t="shared" si="69"/>
        <v>0</v>
      </c>
      <c r="EF45" s="519">
        <f t="shared" si="67"/>
        <v>0</v>
      </c>
      <c r="EG45" s="519">
        <f t="shared" si="67"/>
        <v>0</v>
      </c>
      <c r="EH45" s="519">
        <f t="shared" si="67"/>
        <v>0</v>
      </c>
      <c r="EI45" s="519">
        <f t="shared" si="67"/>
        <v>0</v>
      </c>
      <c r="EJ45" s="519">
        <f t="shared" si="67"/>
        <v>0</v>
      </c>
      <c r="EK45" s="520">
        <f t="shared" si="65"/>
        <v>0</v>
      </c>
    </row>
    <row r="46" spans="2:141" s="268" customFormat="1" ht="15" customHeight="1" x14ac:dyDescent="0.25">
      <c r="B46" s="446" t="str">
        <f>'2. START'!C$7</f>
        <v>100GEM</v>
      </c>
      <c r="C46" s="469"/>
      <c r="D46" s="594"/>
      <c r="E46" s="522">
        <v>0</v>
      </c>
      <c r="F46" s="522" t="s">
        <v>36</v>
      </c>
      <c r="G46" s="522"/>
      <c r="H46" s="523"/>
      <c r="I46" s="523"/>
      <c r="J46" s="523"/>
      <c r="K46" s="523"/>
      <c r="L46" s="523"/>
      <c r="M46" s="523"/>
      <c r="N46" s="523"/>
      <c r="O46" s="523"/>
      <c r="P46" s="523"/>
      <c r="Q46" s="523"/>
      <c r="R46" s="459">
        <f t="shared" si="13"/>
        <v>0</v>
      </c>
      <c r="S46" s="524">
        <f>IF('2. START'!$C$20="UTB",(SUMIF('3. PARTNER'!B$13:B$80,B46,'3. PARTNER'!M$13:M$80)),(SUMIF('3. PARTNER'!B$13:B$80,B46,'3. PARTNER'!I$13:I$80)))</f>
        <v>0</v>
      </c>
      <c r="T46" s="524">
        <f>IF('2. START'!$C$20="UTB",(SUMIF('3. PARTNER'!B$13:B$80,B46,'3. PARTNER'!N$13:N$80)),(SUMIF('3. PARTNER'!B$13:B$80,B46,'3. PARTNER'!J$13:J$80)))</f>
        <v>0</v>
      </c>
      <c r="U46" s="454">
        <f>IF(F46="NO",0,IF('2. START'!C$13="PERSON+OPERATION",'2. START'!C$12,0)+IF('2. START'!C$13="PERSON+OPERATION+INVEST+FACILIT",'2. START'!C$12,0))</f>
        <v>0</v>
      </c>
      <c r="V46" s="463"/>
      <c r="W46" s="459">
        <f t="shared" si="14"/>
        <v>0</v>
      </c>
      <c r="X46" s="459">
        <f t="shared" si="15"/>
        <v>0</v>
      </c>
      <c r="Y46" s="459">
        <f t="shared" si="16"/>
        <v>0</v>
      </c>
      <c r="Z46" s="459">
        <f t="shared" si="17"/>
        <v>0</v>
      </c>
      <c r="AA46" s="459">
        <f t="shared" si="18"/>
        <v>0</v>
      </c>
      <c r="AB46" s="459">
        <f t="shared" si="19"/>
        <v>0</v>
      </c>
      <c r="AC46" s="459">
        <f t="shared" si="20"/>
        <v>0</v>
      </c>
      <c r="AD46" s="459">
        <f t="shared" si="21"/>
        <v>0</v>
      </c>
      <c r="AE46" s="459">
        <f t="shared" si="22"/>
        <v>0</v>
      </c>
      <c r="AF46" s="459">
        <f t="shared" si="23"/>
        <v>0</v>
      </c>
      <c r="AG46" s="460">
        <f t="shared" si="51"/>
        <v>0</v>
      </c>
      <c r="AH46" s="463"/>
      <c r="AI46" s="459">
        <f t="shared" si="24"/>
        <v>0</v>
      </c>
      <c r="AJ46" s="459">
        <f t="shared" si="25"/>
        <v>0</v>
      </c>
      <c r="AK46" s="459">
        <f t="shared" si="26"/>
        <v>0</v>
      </c>
      <c r="AL46" s="459">
        <f t="shared" si="27"/>
        <v>0</v>
      </c>
      <c r="AM46" s="459">
        <f t="shared" si="28"/>
        <v>0</v>
      </c>
      <c r="AN46" s="459">
        <f t="shared" si="29"/>
        <v>0</v>
      </c>
      <c r="AO46" s="459">
        <f t="shared" si="30"/>
        <v>0</v>
      </c>
      <c r="AP46" s="459">
        <f t="shared" si="31"/>
        <v>0</v>
      </c>
      <c r="AQ46" s="459">
        <f t="shared" si="32"/>
        <v>0</v>
      </c>
      <c r="AR46" s="459">
        <f t="shared" si="33"/>
        <v>0</v>
      </c>
      <c r="AS46" s="460">
        <f t="shared" si="52"/>
        <v>0</v>
      </c>
      <c r="AT46" s="463"/>
      <c r="AU46" s="459">
        <f t="shared" si="53"/>
        <v>0</v>
      </c>
      <c r="AV46" s="459">
        <f t="shared" si="53"/>
        <v>0</v>
      </c>
      <c r="AW46" s="459">
        <f t="shared" si="53"/>
        <v>0</v>
      </c>
      <c r="AX46" s="459">
        <f t="shared" si="53"/>
        <v>0</v>
      </c>
      <c r="AY46" s="459">
        <f t="shared" si="53"/>
        <v>0</v>
      </c>
      <c r="AZ46" s="459">
        <f t="shared" si="53"/>
        <v>0</v>
      </c>
      <c r="BA46" s="459">
        <f t="shared" si="53"/>
        <v>0</v>
      </c>
      <c r="BB46" s="459">
        <f t="shared" si="53"/>
        <v>0</v>
      </c>
      <c r="BC46" s="459">
        <f t="shared" si="53"/>
        <v>0</v>
      </c>
      <c r="BD46" s="459">
        <f t="shared" si="53"/>
        <v>0</v>
      </c>
      <c r="BE46" s="460">
        <f t="shared" si="54"/>
        <v>0</v>
      </c>
      <c r="BF46" s="463"/>
      <c r="BG46" s="459">
        <f t="shared" si="55"/>
        <v>0</v>
      </c>
      <c r="BH46" s="459">
        <f t="shared" si="55"/>
        <v>0</v>
      </c>
      <c r="BI46" s="459">
        <f t="shared" si="55"/>
        <v>0</v>
      </c>
      <c r="BJ46" s="459">
        <f t="shared" si="55"/>
        <v>0</v>
      </c>
      <c r="BK46" s="459">
        <f t="shared" si="70"/>
        <v>0</v>
      </c>
      <c r="BL46" s="459">
        <f t="shared" si="70"/>
        <v>0</v>
      </c>
      <c r="BM46" s="459">
        <f t="shared" si="70"/>
        <v>0</v>
      </c>
      <c r="BN46" s="459">
        <f t="shared" si="70"/>
        <v>0</v>
      </c>
      <c r="BO46" s="459">
        <f t="shared" si="70"/>
        <v>0</v>
      </c>
      <c r="BP46" s="459">
        <f t="shared" si="70"/>
        <v>0</v>
      </c>
      <c r="BQ46" s="460">
        <f t="shared" si="56"/>
        <v>0</v>
      </c>
      <c r="BR46" s="463"/>
      <c r="BS46" s="459">
        <f t="shared" si="57"/>
        <v>0</v>
      </c>
      <c r="BT46" s="459">
        <f t="shared" si="57"/>
        <v>0</v>
      </c>
      <c r="BU46" s="459">
        <f t="shared" si="57"/>
        <v>0</v>
      </c>
      <c r="BV46" s="459">
        <f t="shared" si="57"/>
        <v>0</v>
      </c>
      <c r="BW46" s="459">
        <f t="shared" si="57"/>
        <v>0</v>
      </c>
      <c r="BX46" s="459">
        <f t="shared" si="57"/>
        <v>0</v>
      </c>
      <c r="BY46" s="459">
        <f t="shared" si="57"/>
        <v>0</v>
      </c>
      <c r="BZ46" s="459">
        <f t="shared" si="57"/>
        <v>0</v>
      </c>
      <c r="CA46" s="459">
        <f t="shared" si="57"/>
        <v>0</v>
      </c>
      <c r="CB46" s="459">
        <f t="shared" si="57"/>
        <v>0</v>
      </c>
      <c r="CC46" s="460">
        <f t="shared" si="58"/>
        <v>0</v>
      </c>
      <c r="CD46" s="463"/>
      <c r="CE46" s="459">
        <f t="shared" si="59"/>
        <v>0</v>
      </c>
      <c r="CF46" s="459">
        <f t="shared" si="59"/>
        <v>0</v>
      </c>
      <c r="CG46" s="459">
        <f t="shared" si="59"/>
        <v>0</v>
      </c>
      <c r="CH46" s="459">
        <f t="shared" si="59"/>
        <v>0</v>
      </c>
      <c r="CI46" s="459">
        <f t="shared" si="71"/>
        <v>0</v>
      </c>
      <c r="CJ46" s="459">
        <f t="shared" si="71"/>
        <v>0</v>
      </c>
      <c r="CK46" s="459">
        <f t="shared" si="71"/>
        <v>0</v>
      </c>
      <c r="CL46" s="459">
        <f t="shared" si="71"/>
        <v>0</v>
      </c>
      <c r="CM46" s="459">
        <f t="shared" si="71"/>
        <v>0</v>
      </c>
      <c r="CN46" s="459">
        <f t="shared" si="71"/>
        <v>0</v>
      </c>
      <c r="CO46" s="460">
        <f t="shared" si="60"/>
        <v>0</v>
      </c>
      <c r="CP46" s="463"/>
      <c r="CQ46" s="459">
        <f t="shared" si="38"/>
        <v>0</v>
      </c>
      <c r="CR46" s="459">
        <f t="shared" si="39"/>
        <v>0</v>
      </c>
      <c r="CS46" s="459">
        <f t="shared" si="40"/>
        <v>0</v>
      </c>
      <c r="CT46" s="459">
        <f t="shared" si="41"/>
        <v>0</v>
      </c>
      <c r="CU46" s="459">
        <f t="shared" si="42"/>
        <v>0</v>
      </c>
      <c r="CV46" s="459">
        <f t="shared" si="43"/>
        <v>0</v>
      </c>
      <c r="CW46" s="459">
        <f t="shared" si="44"/>
        <v>0</v>
      </c>
      <c r="CX46" s="459">
        <f t="shared" si="45"/>
        <v>0</v>
      </c>
      <c r="CY46" s="459">
        <f t="shared" si="46"/>
        <v>0</v>
      </c>
      <c r="CZ46" s="459">
        <f t="shared" si="47"/>
        <v>0</v>
      </c>
      <c r="DA46" s="460">
        <f t="shared" si="61"/>
        <v>0</v>
      </c>
      <c r="DB46" s="463"/>
      <c r="DC46" s="459">
        <f t="shared" si="62"/>
        <v>0</v>
      </c>
      <c r="DD46" s="459">
        <f t="shared" si="62"/>
        <v>0</v>
      </c>
      <c r="DE46" s="459">
        <f t="shared" si="62"/>
        <v>0</v>
      </c>
      <c r="DF46" s="459">
        <f t="shared" si="62"/>
        <v>0</v>
      </c>
      <c r="DG46" s="459">
        <f t="shared" si="62"/>
        <v>0</v>
      </c>
      <c r="DH46" s="459">
        <f t="shared" si="62"/>
        <v>0</v>
      </c>
      <c r="DI46" s="459">
        <f t="shared" si="62"/>
        <v>0</v>
      </c>
      <c r="DJ46" s="459">
        <f t="shared" si="62"/>
        <v>0</v>
      </c>
      <c r="DK46" s="459">
        <f t="shared" si="62"/>
        <v>0</v>
      </c>
      <c r="DL46" s="459">
        <f t="shared" si="62"/>
        <v>0</v>
      </c>
      <c r="DM46" s="460">
        <f t="shared" si="63"/>
        <v>0</v>
      </c>
      <c r="DN46" s="463"/>
      <c r="DO46" s="459">
        <f t="shared" si="68"/>
        <v>0</v>
      </c>
      <c r="DP46" s="459">
        <f t="shared" si="68"/>
        <v>0</v>
      </c>
      <c r="DQ46" s="459">
        <f t="shared" si="68"/>
        <v>0</v>
      </c>
      <c r="DR46" s="459">
        <f t="shared" si="68"/>
        <v>0</v>
      </c>
      <c r="DS46" s="459">
        <f t="shared" si="68"/>
        <v>0</v>
      </c>
      <c r="DT46" s="459">
        <f t="shared" si="66"/>
        <v>0</v>
      </c>
      <c r="DU46" s="459">
        <f t="shared" si="66"/>
        <v>0</v>
      </c>
      <c r="DV46" s="459">
        <f t="shared" si="66"/>
        <v>0</v>
      </c>
      <c r="DW46" s="459">
        <f t="shared" si="66"/>
        <v>0</v>
      </c>
      <c r="DX46" s="459">
        <f t="shared" si="66"/>
        <v>0</v>
      </c>
      <c r="DY46" s="460">
        <f t="shared" si="64"/>
        <v>0</v>
      </c>
      <c r="DZ46" s="463"/>
      <c r="EA46" s="459">
        <f t="shared" si="69"/>
        <v>0</v>
      </c>
      <c r="EB46" s="459">
        <f t="shared" si="69"/>
        <v>0</v>
      </c>
      <c r="EC46" s="459">
        <f t="shared" si="69"/>
        <v>0</v>
      </c>
      <c r="ED46" s="459">
        <f t="shared" si="69"/>
        <v>0</v>
      </c>
      <c r="EE46" s="459">
        <f t="shared" si="69"/>
        <v>0</v>
      </c>
      <c r="EF46" s="459">
        <f t="shared" si="67"/>
        <v>0</v>
      </c>
      <c r="EG46" s="459">
        <f t="shared" si="67"/>
        <v>0</v>
      </c>
      <c r="EH46" s="459">
        <f t="shared" si="67"/>
        <v>0</v>
      </c>
      <c r="EI46" s="459">
        <f t="shared" si="67"/>
        <v>0</v>
      </c>
      <c r="EJ46" s="459">
        <f t="shared" si="67"/>
        <v>0</v>
      </c>
      <c r="EK46" s="460">
        <f t="shared" si="65"/>
        <v>0</v>
      </c>
    </row>
    <row r="47" spans="2:141" s="268" customFormat="1" ht="15" customHeight="1" x14ac:dyDescent="0.25">
      <c r="B47" s="464" t="str">
        <f>'2. START'!C$7</f>
        <v>100GEM</v>
      </c>
      <c r="C47" s="470"/>
      <c r="D47" s="593"/>
      <c r="E47" s="527">
        <v>0</v>
      </c>
      <c r="F47" s="527" t="s">
        <v>36</v>
      </c>
      <c r="G47" s="527"/>
      <c r="H47" s="515"/>
      <c r="I47" s="515"/>
      <c r="J47" s="515"/>
      <c r="K47" s="515"/>
      <c r="L47" s="515"/>
      <c r="M47" s="515"/>
      <c r="N47" s="515"/>
      <c r="O47" s="515"/>
      <c r="P47" s="515"/>
      <c r="Q47" s="515"/>
      <c r="R47" s="442">
        <f t="shared" si="13"/>
        <v>0</v>
      </c>
      <c r="S47" s="516">
        <f>IF('2. START'!$C$20="UTB",(SUMIF('3. PARTNER'!B$13:B$80,B47,'3. PARTNER'!M$13:M$80)),(SUMIF('3. PARTNER'!B$13:B$80,B47,'3. PARTNER'!I$13:I$80)))</f>
        <v>0</v>
      </c>
      <c r="T47" s="516">
        <f>IF('2. START'!$C$20="UTB",(SUMIF('3. PARTNER'!B$13:B$80,B47,'3. PARTNER'!N$13:N$80)),(SUMIF('3. PARTNER'!B$13:B$80,B47,'3. PARTNER'!J$13:J$80)))</f>
        <v>0</v>
      </c>
      <c r="U47" s="517">
        <f>IF(F47="NO",0,IF('2. START'!C$13="PERSON+OPERATION",'2. START'!C$12,0)+IF('2. START'!C$13="PERSON+OPERATION+INVEST+FACILIT",'2. START'!C$12,0))</f>
        <v>0</v>
      </c>
      <c r="W47" s="519">
        <f t="shared" si="14"/>
        <v>0</v>
      </c>
      <c r="X47" s="519">
        <f t="shared" si="15"/>
        <v>0</v>
      </c>
      <c r="Y47" s="519">
        <f t="shared" si="16"/>
        <v>0</v>
      </c>
      <c r="Z47" s="519">
        <f t="shared" si="17"/>
        <v>0</v>
      </c>
      <c r="AA47" s="519">
        <f t="shared" si="18"/>
        <v>0</v>
      </c>
      <c r="AB47" s="519">
        <f t="shared" si="19"/>
        <v>0</v>
      </c>
      <c r="AC47" s="519">
        <f t="shared" si="20"/>
        <v>0</v>
      </c>
      <c r="AD47" s="519">
        <f t="shared" si="21"/>
        <v>0</v>
      </c>
      <c r="AE47" s="519">
        <f t="shared" si="22"/>
        <v>0</v>
      </c>
      <c r="AF47" s="519">
        <f t="shared" si="23"/>
        <v>0</v>
      </c>
      <c r="AG47" s="520">
        <f t="shared" si="51"/>
        <v>0</v>
      </c>
      <c r="AI47" s="519">
        <f t="shared" si="24"/>
        <v>0</v>
      </c>
      <c r="AJ47" s="519">
        <f t="shared" si="25"/>
        <v>0</v>
      </c>
      <c r="AK47" s="519">
        <f t="shared" si="26"/>
        <v>0</v>
      </c>
      <c r="AL47" s="519">
        <f t="shared" si="27"/>
        <v>0</v>
      </c>
      <c r="AM47" s="519">
        <f t="shared" si="28"/>
        <v>0</v>
      </c>
      <c r="AN47" s="519">
        <f t="shared" si="29"/>
        <v>0</v>
      </c>
      <c r="AO47" s="519">
        <f t="shared" si="30"/>
        <v>0</v>
      </c>
      <c r="AP47" s="519">
        <f t="shared" si="31"/>
        <v>0</v>
      </c>
      <c r="AQ47" s="519">
        <f t="shared" si="32"/>
        <v>0</v>
      </c>
      <c r="AR47" s="519">
        <f t="shared" si="33"/>
        <v>0</v>
      </c>
      <c r="AS47" s="520">
        <f t="shared" si="52"/>
        <v>0</v>
      </c>
      <c r="AU47" s="519">
        <f t="shared" si="53"/>
        <v>0</v>
      </c>
      <c r="AV47" s="519">
        <f t="shared" si="53"/>
        <v>0</v>
      </c>
      <c r="AW47" s="519">
        <f t="shared" si="53"/>
        <v>0</v>
      </c>
      <c r="AX47" s="519">
        <f t="shared" si="53"/>
        <v>0</v>
      </c>
      <c r="AY47" s="519">
        <f t="shared" si="53"/>
        <v>0</v>
      </c>
      <c r="AZ47" s="519">
        <f t="shared" si="53"/>
        <v>0</v>
      </c>
      <c r="BA47" s="519">
        <f t="shared" si="53"/>
        <v>0</v>
      </c>
      <c r="BB47" s="519">
        <f t="shared" si="53"/>
        <v>0</v>
      </c>
      <c r="BC47" s="519">
        <f t="shared" si="53"/>
        <v>0</v>
      </c>
      <c r="BD47" s="519">
        <f t="shared" si="53"/>
        <v>0</v>
      </c>
      <c r="BE47" s="520">
        <f t="shared" si="54"/>
        <v>0</v>
      </c>
      <c r="BG47" s="519">
        <f t="shared" si="55"/>
        <v>0</v>
      </c>
      <c r="BH47" s="519">
        <f t="shared" si="55"/>
        <v>0</v>
      </c>
      <c r="BI47" s="519">
        <f t="shared" si="55"/>
        <v>0</v>
      </c>
      <c r="BJ47" s="519">
        <f t="shared" si="55"/>
        <v>0</v>
      </c>
      <c r="BK47" s="519">
        <f t="shared" si="70"/>
        <v>0</v>
      </c>
      <c r="BL47" s="519">
        <f t="shared" si="70"/>
        <v>0</v>
      </c>
      <c r="BM47" s="519">
        <f t="shared" si="70"/>
        <v>0</v>
      </c>
      <c r="BN47" s="519">
        <f t="shared" si="70"/>
        <v>0</v>
      </c>
      <c r="BO47" s="519">
        <f t="shared" si="70"/>
        <v>0</v>
      </c>
      <c r="BP47" s="519">
        <f t="shared" si="70"/>
        <v>0</v>
      </c>
      <c r="BQ47" s="520">
        <f t="shared" si="56"/>
        <v>0</v>
      </c>
      <c r="BS47" s="519">
        <f t="shared" si="57"/>
        <v>0</v>
      </c>
      <c r="BT47" s="519">
        <f t="shared" si="57"/>
        <v>0</v>
      </c>
      <c r="BU47" s="519">
        <f t="shared" si="57"/>
        <v>0</v>
      </c>
      <c r="BV47" s="519">
        <f t="shared" si="57"/>
        <v>0</v>
      </c>
      <c r="BW47" s="519">
        <f t="shared" si="57"/>
        <v>0</v>
      </c>
      <c r="BX47" s="519">
        <f t="shared" si="57"/>
        <v>0</v>
      </c>
      <c r="BY47" s="519">
        <f t="shared" si="57"/>
        <v>0</v>
      </c>
      <c r="BZ47" s="519">
        <f t="shared" si="57"/>
        <v>0</v>
      </c>
      <c r="CA47" s="519">
        <f t="shared" si="57"/>
        <v>0</v>
      </c>
      <c r="CB47" s="519">
        <f t="shared" si="57"/>
        <v>0</v>
      </c>
      <c r="CC47" s="520">
        <f t="shared" si="58"/>
        <v>0</v>
      </c>
      <c r="CE47" s="519">
        <f t="shared" si="59"/>
        <v>0</v>
      </c>
      <c r="CF47" s="519">
        <f t="shared" si="59"/>
        <v>0</v>
      </c>
      <c r="CG47" s="519">
        <f t="shared" si="59"/>
        <v>0</v>
      </c>
      <c r="CH47" s="519">
        <f t="shared" si="59"/>
        <v>0</v>
      </c>
      <c r="CI47" s="519">
        <f t="shared" si="71"/>
        <v>0</v>
      </c>
      <c r="CJ47" s="519">
        <f t="shared" si="71"/>
        <v>0</v>
      </c>
      <c r="CK47" s="519">
        <f t="shared" si="71"/>
        <v>0</v>
      </c>
      <c r="CL47" s="519">
        <f t="shared" si="71"/>
        <v>0</v>
      </c>
      <c r="CM47" s="519">
        <f t="shared" si="71"/>
        <v>0</v>
      </c>
      <c r="CN47" s="519">
        <f t="shared" si="71"/>
        <v>0</v>
      </c>
      <c r="CO47" s="520">
        <f t="shared" si="60"/>
        <v>0</v>
      </c>
      <c r="CQ47" s="519">
        <f t="shared" si="38"/>
        <v>0</v>
      </c>
      <c r="CR47" s="519">
        <f t="shared" si="39"/>
        <v>0</v>
      </c>
      <c r="CS47" s="519">
        <f t="shared" si="40"/>
        <v>0</v>
      </c>
      <c r="CT47" s="519">
        <f t="shared" si="41"/>
        <v>0</v>
      </c>
      <c r="CU47" s="519">
        <f t="shared" si="42"/>
        <v>0</v>
      </c>
      <c r="CV47" s="519">
        <f t="shared" si="43"/>
        <v>0</v>
      </c>
      <c r="CW47" s="519">
        <f t="shared" si="44"/>
        <v>0</v>
      </c>
      <c r="CX47" s="519">
        <f t="shared" si="45"/>
        <v>0</v>
      </c>
      <c r="CY47" s="519">
        <f t="shared" si="46"/>
        <v>0</v>
      </c>
      <c r="CZ47" s="519">
        <f t="shared" si="47"/>
        <v>0</v>
      </c>
      <c r="DA47" s="520">
        <f t="shared" si="61"/>
        <v>0</v>
      </c>
      <c r="DC47" s="519">
        <f t="shared" si="62"/>
        <v>0</v>
      </c>
      <c r="DD47" s="519">
        <f t="shared" si="62"/>
        <v>0</v>
      </c>
      <c r="DE47" s="519">
        <f t="shared" si="62"/>
        <v>0</v>
      </c>
      <c r="DF47" s="519">
        <f t="shared" si="62"/>
        <v>0</v>
      </c>
      <c r="DG47" s="519">
        <f t="shared" si="62"/>
        <v>0</v>
      </c>
      <c r="DH47" s="519">
        <f t="shared" si="62"/>
        <v>0</v>
      </c>
      <c r="DI47" s="519">
        <f t="shared" si="62"/>
        <v>0</v>
      </c>
      <c r="DJ47" s="519">
        <f t="shared" si="62"/>
        <v>0</v>
      </c>
      <c r="DK47" s="519">
        <f t="shared" si="62"/>
        <v>0</v>
      </c>
      <c r="DL47" s="519">
        <f t="shared" si="62"/>
        <v>0</v>
      </c>
      <c r="DM47" s="520">
        <f t="shared" si="63"/>
        <v>0</v>
      </c>
      <c r="DO47" s="519">
        <f t="shared" si="68"/>
        <v>0</v>
      </c>
      <c r="DP47" s="519">
        <f t="shared" si="68"/>
        <v>0</v>
      </c>
      <c r="DQ47" s="519">
        <f t="shared" si="68"/>
        <v>0</v>
      </c>
      <c r="DR47" s="519">
        <f t="shared" si="68"/>
        <v>0</v>
      </c>
      <c r="DS47" s="519">
        <f t="shared" si="68"/>
        <v>0</v>
      </c>
      <c r="DT47" s="519">
        <f t="shared" si="66"/>
        <v>0</v>
      </c>
      <c r="DU47" s="519">
        <f t="shared" si="66"/>
        <v>0</v>
      </c>
      <c r="DV47" s="519">
        <f t="shared" si="66"/>
        <v>0</v>
      </c>
      <c r="DW47" s="519">
        <f t="shared" si="66"/>
        <v>0</v>
      </c>
      <c r="DX47" s="519">
        <f t="shared" si="66"/>
        <v>0</v>
      </c>
      <c r="DY47" s="520">
        <f t="shared" si="64"/>
        <v>0</v>
      </c>
      <c r="EA47" s="519">
        <f t="shared" si="69"/>
        <v>0</v>
      </c>
      <c r="EB47" s="519">
        <f t="shared" si="69"/>
        <v>0</v>
      </c>
      <c r="EC47" s="519">
        <f t="shared" si="69"/>
        <v>0</v>
      </c>
      <c r="ED47" s="519">
        <f t="shared" si="69"/>
        <v>0</v>
      </c>
      <c r="EE47" s="519">
        <f t="shared" si="69"/>
        <v>0</v>
      </c>
      <c r="EF47" s="519">
        <f t="shared" si="67"/>
        <v>0</v>
      </c>
      <c r="EG47" s="519">
        <f t="shared" si="67"/>
        <v>0</v>
      </c>
      <c r="EH47" s="519">
        <f t="shared" si="67"/>
        <v>0</v>
      </c>
      <c r="EI47" s="519">
        <f t="shared" si="67"/>
        <v>0</v>
      </c>
      <c r="EJ47" s="519">
        <f t="shared" si="67"/>
        <v>0</v>
      </c>
      <c r="EK47" s="520">
        <f t="shared" si="65"/>
        <v>0</v>
      </c>
    </row>
    <row r="48" spans="2:141" s="268" customFormat="1" ht="15" customHeight="1" x14ac:dyDescent="0.25">
      <c r="B48" s="446" t="str">
        <f>'2. START'!C$7</f>
        <v>100GEM</v>
      </c>
      <c r="C48" s="469"/>
      <c r="D48" s="594"/>
      <c r="E48" s="522">
        <v>0</v>
      </c>
      <c r="F48" s="522" t="s">
        <v>36</v>
      </c>
      <c r="G48" s="522"/>
      <c r="H48" s="523"/>
      <c r="I48" s="523"/>
      <c r="J48" s="523"/>
      <c r="K48" s="523"/>
      <c r="L48" s="523"/>
      <c r="M48" s="523"/>
      <c r="N48" s="523"/>
      <c r="O48" s="523"/>
      <c r="P48" s="523"/>
      <c r="Q48" s="523"/>
      <c r="R48" s="459">
        <f t="shared" si="13"/>
        <v>0</v>
      </c>
      <c r="S48" s="524">
        <f>IF('2. START'!$C$20="UTB",(SUMIF('3. PARTNER'!B$13:B$80,B48,'3. PARTNER'!M$13:M$80)),(SUMIF('3. PARTNER'!B$13:B$80,B48,'3. PARTNER'!I$13:I$80)))</f>
        <v>0</v>
      </c>
      <c r="T48" s="524">
        <f>IF('2. START'!$C$20="UTB",(SUMIF('3. PARTNER'!B$13:B$80,B48,'3. PARTNER'!N$13:N$80)),(SUMIF('3. PARTNER'!B$13:B$80,B48,'3. PARTNER'!J$13:J$80)))</f>
        <v>0</v>
      </c>
      <c r="U48" s="454">
        <f>IF(F48="NO",0,IF('2. START'!C$13="PERSON+OPERATION",'2. START'!C$12,0)+IF('2. START'!C$13="PERSON+OPERATION+INVEST+FACILIT",'2. START'!C$12,0))</f>
        <v>0</v>
      </c>
      <c r="V48" s="463"/>
      <c r="W48" s="459">
        <f t="shared" si="14"/>
        <v>0</v>
      </c>
      <c r="X48" s="459">
        <f t="shared" si="15"/>
        <v>0</v>
      </c>
      <c r="Y48" s="459">
        <f t="shared" si="16"/>
        <v>0</v>
      </c>
      <c r="Z48" s="459">
        <f t="shared" si="17"/>
        <v>0</v>
      </c>
      <c r="AA48" s="459">
        <f t="shared" si="18"/>
        <v>0</v>
      </c>
      <c r="AB48" s="459">
        <f t="shared" si="19"/>
        <v>0</v>
      </c>
      <c r="AC48" s="459">
        <f t="shared" si="20"/>
        <v>0</v>
      </c>
      <c r="AD48" s="459">
        <f t="shared" si="21"/>
        <v>0</v>
      </c>
      <c r="AE48" s="459">
        <f t="shared" si="22"/>
        <v>0</v>
      </c>
      <c r="AF48" s="459">
        <f t="shared" si="23"/>
        <v>0</v>
      </c>
      <c r="AG48" s="460">
        <f t="shared" si="51"/>
        <v>0</v>
      </c>
      <c r="AH48" s="463"/>
      <c r="AI48" s="459">
        <f t="shared" si="24"/>
        <v>0</v>
      </c>
      <c r="AJ48" s="459">
        <f t="shared" si="25"/>
        <v>0</v>
      </c>
      <c r="AK48" s="459">
        <f t="shared" si="26"/>
        <v>0</v>
      </c>
      <c r="AL48" s="459">
        <f t="shared" si="27"/>
        <v>0</v>
      </c>
      <c r="AM48" s="459">
        <f t="shared" si="28"/>
        <v>0</v>
      </c>
      <c r="AN48" s="459">
        <f t="shared" si="29"/>
        <v>0</v>
      </c>
      <c r="AO48" s="459">
        <f t="shared" si="30"/>
        <v>0</v>
      </c>
      <c r="AP48" s="459">
        <f t="shared" si="31"/>
        <v>0</v>
      </c>
      <c r="AQ48" s="459">
        <f t="shared" si="32"/>
        <v>0</v>
      </c>
      <c r="AR48" s="459">
        <f t="shared" si="33"/>
        <v>0</v>
      </c>
      <c r="AS48" s="460">
        <f t="shared" si="52"/>
        <v>0</v>
      </c>
      <c r="AT48" s="463"/>
      <c r="AU48" s="459">
        <f t="shared" si="53"/>
        <v>0</v>
      </c>
      <c r="AV48" s="459">
        <f t="shared" si="53"/>
        <v>0</v>
      </c>
      <c r="AW48" s="459">
        <f t="shared" si="53"/>
        <v>0</v>
      </c>
      <c r="AX48" s="459">
        <f t="shared" si="53"/>
        <v>0</v>
      </c>
      <c r="AY48" s="459">
        <f t="shared" si="53"/>
        <v>0</v>
      </c>
      <c r="AZ48" s="459">
        <f t="shared" si="53"/>
        <v>0</v>
      </c>
      <c r="BA48" s="459">
        <f t="shared" si="53"/>
        <v>0</v>
      </c>
      <c r="BB48" s="459">
        <f t="shared" si="53"/>
        <v>0</v>
      </c>
      <c r="BC48" s="459">
        <f t="shared" si="53"/>
        <v>0</v>
      </c>
      <c r="BD48" s="459">
        <f t="shared" si="53"/>
        <v>0</v>
      </c>
      <c r="BE48" s="460">
        <f t="shared" si="54"/>
        <v>0</v>
      </c>
      <c r="BF48" s="463"/>
      <c r="BG48" s="459">
        <f t="shared" si="55"/>
        <v>0</v>
      </c>
      <c r="BH48" s="459">
        <f t="shared" si="55"/>
        <v>0</v>
      </c>
      <c r="BI48" s="459">
        <f t="shared" si="55"/>
        <v>0</v>
      </c>
      <c r="BJ48" s="459">
        <f t="shared" si="55"/>
        <v>0</v>
      </c>
      <c r="BK48" s="459">
        <f t="shared" si="70"/>
        <v>0</v>
      </c>
      <c r="BL48" s="459">
        <f t="shared" si="70"/>
        <v>0</v>
      </c>
      <c r="BM48" s="459">
        <f t="shared" si="70"/>
        <v>0</v>
      </c>
      <c r="BN48" s="459">
        <f t="shared" si="70"/>
        <v>0</v>
      </c>
      <c r="BO48" s="459">
        <f t="shared" si="70"/>
        <v>0</v>
      </c>
      <c r="BP48" s="459">
        <f t="shared" si="70"/>
        <v>0</v>
      </c>
      <c r="BQ48" s="460">
        <f t="shared" si="56"/>
        <v>0</v>
      </c>
      <c r="BR48" s="463"/>
      <c r="BS48" s="459">
        <f t="shared" si="57"/>
        <v>0</v>
      </c>
      <c r="BT48" s="459">
        <f t="shared" si="57"/>
        <v>0</v>
      </c>
      <c r="BU48" s="459">
        <f t="shared" si="57"/>
        <v>0</v>
      </c>
      <c r="BV48" s="459">
        <f t="shared" si="57"/>
        <v>0</v>
      </c>
      <c r="BW48" s="459">
        <f t="shared" si="57"/>
        <v>0</v>
      </c>
      <c r="BX48" s="459">
        <f t="shared" si="57"/>
        <v>0</v>
      </c>
      <c r="BY48" s="459">
        <f t="shared" si="57"/>
        <v>0</v>
      </c>
      <c r="BZ48" s="459">
        <f t="shared" si="57"/>
        <v>0</v>
      </c>
      <c r="CA48" s="459">
        <f t="shared" si="57"/>
        <v>0</v>
      </c>
      <c r="CB48" s="459">
        <f t="shared" si="57"/>
        <v>0</v>
      </c>
      <c r="CC48" s="460">
        <f t="shared" si="58"/>
        <v>0</v>
      </c>
      <c r="CD48" s="463"/>
      <c r="CE48" s="459">
        <f t="shared" si="59"/>
        <v>0</v>
      </c>
      <c r="CF48" s="459">
        <f t="shared" si="59"/>
        <v>0</v>
      </c>
      <c r="CG48" s="459">
        <f t="shared" si="59"/>
        <v>0</v>
      </c>
      <c r="CH48" s="459">
        <f t="shared" si="59"/>
        <v>0</v>
      </c>
      <c r="CI48" s="459">
        <f t="shared" si="71"/>
        <v>0</v>
      </c>
      <c r="CJ48" s="459">
        <f t="shared" si="71"/>
        <v>0</v>
      </c>
      <c r="CK48" s="459">
        <f t="shared" si="71"/>
        <v>0</v>
      </c>
      <c r="CL48" s="459">
        <f t="shared" si="71"/>
        <v>0</v>
      </c>
      <c r="CM48" s="459">
        <f t="shared" si="71"/>
        <v>0</v>
      </c>
      <c r="CN48" s="459">
        <f t="shared" si="71"/>
        <v>0</v>
      </c>
      <c r="CO48" s="460">
        <f t="shared" si="60"/>
        <v>0</v>
      </c>
      <c r="CP48" s="463"/>
      <c r="CQ48" s="459">
        <f t="shared" si="38"/>
        <v>0</v>
      </c>
      <c r="CR48" s="459">
        <f t="shared" si="39"/>
        <v>0</v>
      </c>
      <c r="CS48" s="459">
        <f t="shared" si="40"/>
        <v>0</v>
      </c>
      <c r="CT48" s="459">
        <f t="shared" si="41"/>
        <v>0</v>
      </c>
      <c r="CU48" s="459">
        <f t="shared" si="42"/>
        <v>0</v>
      </c>
      <c r="CV48" s="459">
        <f t="shared" si="43"/>
        <v>0</v>
      </c>
      <c r="CW48" s="459">
        <f t="shared" si="44"/>
        <v>0</v>
      </c>
      <c r="CX48" s="459">
        <f t="shared" si="45"/>
        <v>0</v>
      </c>
      <c r="CY48" s="459">
        <f t="shared" si="46"/>
        <v>0</v>
      </c>
      <c r="CZ48" s="459">
        <f t="shared" si="47"/>
        <v>0</v>
      </c>
      <c r="DA48" s="460">
        <f t="shared" si="61"/>
        <v>0</v>
      </c>
      <c r="DB48" s="463"/>
      <c r="DC48" s="459">
        <f t="shared" si="62"/>
        <v>0</v>
      </c>
      <c r="DD48" s="459">
        <f t="shared" si="62"/>
        <v>0</v>
      </c>
      <c r="DE48" s="459">
        <f t="shared" si="62"/>
        <v>0</v>
      </c>
      <c r="DF48" s="459">
        <f t="shared" si="62"/>
        <v>0</v>
      </c>
      <c r="DG48" s="459">
        <f t="shared" si="62"/>
        <v>0</v>
      </c>
      <c r="DH48" s="459">
        <f t="shared" si="62"/>
        <v>0</v>
      </c>
      <c r="DI48" s="459">
        <f t="shared" si="62"/>
        <v>0</v>
      </c>
      <c r="DJ48" s="459">
        <f t="shared" si="62"/>
        <v>0</v>
      </c>
      <c r="DK48" s="459">
        <f t="shared" si="62"/>
        <v>0</v>
      </c>
      <c r="DL48" s="459">
        <f t="shared" si="62"/>
        <v>0</v>
      </c>
      <c r="DM48" s="460">
        <f t="shared" si="63"/>
        <v>0</v>
      </c>
      <c r="DN48" s="463"/>
      <c r="DO48" s="459">
        <f t="shared" si="68"/>
        <v>0</v>
      </c>
      <c r="DP48" s="459">
        <f t="shared" si="68"/>
        <v>0</v>
      </c>
      <c r="DQ48" s="459">
        <f t="shared" si="68"/>
        <v>0</v>
      </c>
      <c r="DR48" s="459">
        <f t="shared" si="68"/>
        <v>0</v>
      </c>
      <c r="DS48" s="459">
        <f t="shared" si="68"/>
        <v>0</v>
      </c>
      <c r="DT48" s="459">
        <f t="shared" si="66"/>
        <v>0</v>
      </c>
      <c r="DU48" s="459">
        <f t="shared" si="66"/>
        <v>0</v>
      </c>
      <c r="DV48" s="459">
        <f t="shared" si="66"/>
        <v>0</v>
      </c>
      <c r="DW48" s="459">
        <f t="shared" si="66"/>
        <v>0</v>
      </c>
      <c r="DX48" s="459">
        <f t="shared" si="66"/>
        <v>0</v>
      </c>
      <c r="DY48" s="460">
        <f t="shared" si="64"/>
        <v>0</v>
      </c>
      <c r="DZ48" s="463"/>
      <c r="EA48" s="459">
        <f t="shared" si="69"/>
        <v>0</v>
      </c>
      <c r="EB48" s="459">
        <f t="shared" si="69"/>
        <v>0</v>
      </c>
      <c r="EC48" s="459">
        <f t="shared" si="69"/>
        <v>0</v>
      </c>
      <c r="ED48" s="459">
        <f t="shared" si="69"/>
        <v>0</v>
      </c>
      <c r="EE48" s="459">
        <f t="shared" si="69"/>
        <v>0</v>
      </c>
      <c r="EF48" s="459">
        <f t="shared" si="67"/>
        <v>0</v>
      </c>
      <c r="EG48" s="459">
        <f t="shared" si="67"/>
        <v>0</v>
      </c>
      <c r="EH48" s="459">
        <f t="shared" si="67"/>
        <v>0</v>
      </c>
      <c r="EI48" s="459">
        <f t="shared" si="67"/>
        <v>0</v>
      </c>
      <c r="EJ48" s="459">
        <f t="shared" si="67"/>
        <v>0</v>
      </c>
      <c r="EK48" s="460">
        <f t="shared" si="65"/>
        <v>0</v>
      </c>
    </row>
    <row r="49" spans="2:141" s="268" customFormat="1" ht="15" customHeight="1" x14ac:dyDescent="0.25">
      <c r="B49" s="464" t="str">
        <f>'2. START'!C$7</f>
        <v>100GEM</v>
      </c>
      <c r="C49" s="470"/>
      <c r="D49" s="593"/>
      <c r="E49" s="527">
        <v>0</v>
      </c>
      <c r="F49" s="527" t="s">
        <v>36</v>
      </c>
      <c r="G49" s="527"/>
      <c r="H49" s="515"/>
      <c r="I49" s="515"/>
      <c r="J49" s="515"/>
      <c r="K49" s="515"/>
      <c r="L49" s="515"/>
      <c r="M49" s="515"/>
      <c r="N49" s="515"/>
      <c r="O49" s="515"/>
      <c r="P49" s="515"/>
      <c r="Q49" s="515"/>
      <c r="R49" s="442">
        <f t="shared" ref="R49:R80" si="72">SUM(H49:Q49)</f>
        <v>0</v>
      </c>
      <c r="S49" s="516">
        <f>IF('2. START'!$C$20="UTB",(SUMIF('3. PARTNER'!B$13:B$80,B49,'3. PARTNER'!M$13:M$80)),(SUMIF('3. PARTNER'!B$13:B$80,B49,'3. PARTNER'!I$13:I$80)))</f>
        <v>0</v>
      </c>
      <c r="T49" s="516">
        <f>IF('2. START'!$C$20="UTB",(SUMIF('3. PARTNER'!B$13:B$80,B49,'3. PARTNER'!N$13:N$80)),(SUMIF('3. PARTNER'!B$13:B$80,B49,'3. PARTNER'!J$13:J$80)))</f>
        <v>0</v>
      </c>
      <c r="U49" s="517">
        <f>IF(F49="NO",0,IF('2. START'!C$13="PERSON+OPERATION",'2. START'!C$12,0)+IF('2. START'!C$13="PERSON+OPERATION+INVEST+FACILIT",'2. START'!C$12,0))</f>
        <v>0</v>
      </c>
      <c r="W49" s="519">
        <f t="shared" ref="W49:W80" si="73">H49*(1-$E49)</f>
        <v>0</v>
      </c>
      <c r="X49" s="519">
        <f t="shared" ref="X49:X80" si="74">I49*(1-$E49)</f>
        <v>0</v>
      </c>
      <c r="Y49" s="519">
        <f t="shared" ref="Y49:Y80" si="75">J49*(1-$E49)</f>
        <v>0</v>
      </c>
      <c r="Z49" s="519">
        <f t="shared" ref="Z49:Z80" si="76">K49*(1-$E49)</f>
        <v>0</v>
      </c>
      <c r="AA49" s="519">
        <f t="shared" ref="AA49:AA80" si="77">L49*(1-$E49)</f>
        <v>0</v>
      </c>
      <c r="AB49" s="519">
        <f t="shared" ref="AB49:AB80" si="78">M49*(1-$E49)</f>
        <v>0</v>
      </c>
      <c r="AC49" s="519">
        <f t="shared" ref="AC49:AC80" si="79">N49*(1-$E49)</f>
        <v>0</v>
      </c>
      <c r="AD49" s="519">
        <f t="shared" ref="AD49:AD80" si="80">O49*(1-$E49)</f>
        <v>0</v>
      </c>
      <c r="AE49" s="519">
        <f t="shared" ref="AE49:AE80" si="81">P49*(1-$E49)</f>
        <v>0</v>
      </c>
      <c r="AF49" s="519">
        <f t="shared" ref="AF49:AF80" si="82">Q49*(1-$E49)</f>
        <v>0</v>
      </c>
      <c r="AG49" s="520">
        <f t="shared" si="51"/>
        <v>0</v>
      </c>
      <c r="AI49" s="519">
        <f t="shared" ref="AI49:AI80" si="83">H49*$E49</f>
        <v>0</v>
      </c>
      <c r="AJ49" s="519">
        <f t="shared" ref="AJ49:AJ80" si="84">I49*$E49</f>
        <v>0</v>
      </c>
      <c r="AK49" s="519">
        <f t="shared" ref="AK49:AK80" si="85">J49*$E49</f>
        <v>0</v>
      </c>
      <c r="AL49" s="519">
        <f t="shared" ref="AL49:AL80" si="86">K49*$E49</f>
        <v>0</v>
      </c>
      <c r="AM49" s="519">
        <f t="shared" ref="AM49:AM80" si="87">L49*$E49</f>
        <v>0</v>
      </c>
      <c r="AN49" s="519">
        <f t="shared" ref="AN49:AN80" si="88">M49*$E49</f>
        <v>0</v>
      </c>
      <c r="AO49" s="519">
        <f t="shared" ref="AO49:AO80" si="89">N49*$E49</f>
        <v>0</v>
      </c>
      <c r="AP49" s="519">
        <f t="shared" ref="AP49:AP80" si="90">O49*$E49</f>
        <v>0</v>
      </c>
      <c r="AQ49" s="519">
        <f t="shared" ref="AQ49:AQ80" si="91">P49*$E49</f>
        <v>0</v>
      </c>
      <c r="AR49" s="519">
        <f t="shared" ref="AR49:AR80" si="92">Q49*$E49</f>
        <v>0</v>
      </c>
      <c r="AS49" s="520">
        <f t="shared" si="52"/>
        <v>0</v>
      </c>
      <c r="AU49" s="519">
        <f t="shared" si="53"/>
        <v>0</v>
      </c>
      <c r="AV49" s="519">
        <f t="shared" si="53"/>
        <v>0</v>
      </c>
      <c r="AW49" s="519">
        <f t="shared" si="53"/>
        <v>0</v>
      </c>
      <c r="AX49" s="519">
        <f t="shared" si="53"/>
        <v>0</v>
      </c>
      <c r="AY49" s="519">
        <f t="shared" si="53"/>
        <v>0</v>
      </c>
      <c r="AZ49" s="519">
        <f t="shared" si="53"/>
        <v>0</v>
      </c>
      <c r="BA49" s="519">
        <f t="shared" si="53"/>
        <v>0</v>
      </c>
      <c r="BB49" s="519">
        <f t="shared" si="53"/>
        <v>0</v>
      </c>
      <c r="BC49" s="519">
        <f t="shared" si="53"/>
        <v>0</v>
      </c>
      <c r="BD49" s="519">
        <f t="shared" si="53"/>
        <v>0</v>
      </c>
      <c r="BE49" s="520">
        <f t="shared" si="54"/>
        <v>0</v>
      </c>
      <c r="BG49" s="519">
        <f t="shared" si="55"/>
        <v>0</v>
      </c>
      <c r="BH49" s="519">
        <f t="shared" si="55"/>
        <v>0</v>
      </c>
      <c r="BI49" s="519">
        <f t="shared" si="55"/>
        <v>0</v>
      </c>
      <c r="BJ49" s="519">
        <f t="shared" si="55"/>
        <v>0</v>
      </c>
      <c r="BK49" s="519">
        <f t="shared" si="70"/>
        <v>0</v>
      </c>
      <c r="BL49" s="519">
        <f t="shared" si="70"/>
        <v>0</v>
      </c>
      <c r="BM49" s="519">
        <f t="shared" si="70"/>
        <v>0</v>
      </c>
      <c r="BN49" s="519">
        <f t="shared" si="70"/>
        <v>0</v>
      </c>
      <c r="BO49" s="519">
        <f t="shared" si="70"/>
        <v>0</v>
      </c>
      <c r="BP49" s="519">
        <f t="shared" si="70"/>
        <v>0</v>
      </c>
      <c r="BQ49" s="520">
        <f t="shared" si="56"/>
        <v>0</v>
      </c>
      <c r="BS49" s="519">
        <f t="shared" si="57"/>
        <v>0</v>
      </c>
      <c r="BT49" s="519">
        <f t="shared" si="57"/>
        <v>0</v>
      </c>
      <c r="BU49" s="519">
        <f t="shared" si="57"/>
        <v>0</v>
      </c>
      <c r="BV49" s="519">
        <f t="shared" si="57"/>
        <v>0</v>
      </c>
      <c r="BW49" s="519">
        <f t="shared" si="57"/>
        <v>0</v>
      </c>
      <c r="BX49" s="519">
        <f t="shared" si="57"/>
        <v>0</v>
      </c>
      <c r="BY49" s="519">
        <f t="shared" si="57"/>
        <v>0</v>
      </c>
      <c r="BZ49" s="519">
        <f t="shared" si="57"/>
        <v>0</v>
      </c>
      <c r="CA49" s="519">
        <f t="shared" si="57"/>
        <v>0</v>
      </c>
      <c r="CB49" s="519">
        <f t="shared" si="57"/>
        <v>0</v>
      </c>
      <c r="CC49" s="520">
        <f t="shared" si="58"/>
        <v>0</v>
      </c>
      <c r="CE49" s="519">
        <f t="shared" si="59"/>
        <v>0</v>
      </c>
      <c r="CF49" s="519">
        <f t="shared" si="59"/>
        <v>0</v>
      </c>
      <c r="CG49" s="519">
        <f t="shared" si="59"/>
        <v>0</v>
      </c>
      <c r="CH49" s="519">
        <f t="shared" si="59"/>
        <v>0</v>
      </c>
      <c r="CI49" s="519">
        <f t="shared" si="71"/>
        <v>0</v>
      </c>
      <c r="CJ49" s="519">
        <f t="shared" si="71"/>
        <v>0</v>
      </c>
      <c r="CK49" s="519">
        <f t="shared" si="71"/>
        <v>0</v>
      </c>
      <c r="CL49" s="519">
        <f t="shared" si="71"/>
        <v>0</v>
      </c>
      <c r="CM49" s="519">
        <f t="shared" si="71"/>
        <v>0</v>
      </c>
      <c r="CN49" s="519">
        <f t="shared" si="71"/>
        <v>0</v>
      </c>
      <c r="CO49" s="520">
        <f t="shared" si="60"/>
        <v>0</v>
      </c>
      <c r="CQ49" s="519">
        <f t="shared" ref="CQ49:CQ80" si="93">IF($F49="YES",$U49*W49,0)</f>
        <v>0</v>
      </c>
      <c r="CR49" s="519">
        <f t="shared" ref="CR49:CR80" si="94">IF($F49="YES",$U49*X49,0)</f>
        <v>0</v>
      </c>
      <c r="CS49" s="519">
        <f t="shared" ref="CS49:CS80" si="95">IF($F49="YES",$U49*Y49,0)</f>
        <v>0</v>
      </c>
      <c r="CT49" s="519">
        <f t="shared" ref="CT49:CT80" si="96">IF($F49="YES",$U49*Z49,0)</f>
        <v>0</v>
      </c>
      <c r="CU49" s="519">
        <f t="shared" ref="CU49:CU80" si="97">IF($F49="YES",$U49*AA49,0)</f>
        <v>0</v>
      </c>
      <c r="CV49" s="519">
        <f t="shared" ref="CV49:CV80" si="98">IF($F49="YES",$U49*AB49,0)</f>
        <v>0</v>
      </c>
      <c r="CW49" s="519">
        <f t="shared" ref="CW49:CW80" si="99">IF($F49="YES",$U49*AC49,0)</f>
        <v>0</v>
      </c>
      <c r="CX49" s="519">
        <f t="shared" ref="CX49:CX80" si="100">IF($F49="YES",$U49*AD49,0)</f>
        <v>0</v>
      </c>
      <c r="CY49" s="519">
        <f t="shared" ref="CY49:CY80" si="101">IF($F49="YES",$U49*AE49,0)</f>
        <v>0</v>
      </c>
      <c r="CZ49" s="519">
        <f t="shared" ref="CZ49:CZ80" si="102">IF($F49="YES",$U49*AF49,0)</f>
        <v>0</v>
      </c>
      <c r="DA49" s="520">
        <f t="shared" si="61"/>
        <v>0</v>
      </c>
      <c r="DC49" s="519">
        <f t="shared" si="62"/>
        <v>0</v>
      </c>
      <c r="DD49" s="519">
        <f t="shared" si="62"/>
        <v>0</v>
      </c>
      <c r="DE49" s="519">
        <f t="shared" si="62"/>
        <v>0</v>
      </c>
      <c r="DF49" s="519">
        <f t="shared" si="62"/>
        <v>0</v>
      </c>
      <c r="DG49" s="519">
        <f t="shared" si="62"/>
        <v>0</v>
      </c>
      <c r="DH49" s="519">
        <f t="shared" si="62"/>
        <v>0</v>
      </c>
      <c r="DI49" s="519">
        <f t="shared" si="62"/>
        <v>0</v>
      </c>
      <c r="DJ49" s="519">
        <f t="shared" si="62"/>
        <v>0</v>
      </c>
      <c r="DK49" s="519">
        <f t="shared" si="62"/>
        <v>0</v>
      </c>
      <c r="DL49" s="519">
        <f t="shared" si="62"/>
        <v>0</v>
      </c>
      <c r="DM49" s="520">
        <f t="shared" si="63"/>
        <v>0</v>
      </c>
      <c r="DO49" s="519">
        <f t="shared" si="68"/>
        <v>0</v>
      </c>
      <c r="DP49" s="519">
        <f t="shared" si="68"/>
        <v>0</v>
      </c>
      <c r="DQ49" s="519">
        <f t="shared" si="68"/>
        <v>0</v>
      </c>
      <c r="DR49" s="519">
        <f t="shared" si="68"/>
        <v>0</v>
      </c>
      <c r="DS49" s="519">
        <f t="shared" si="68"/>
        <v>0</v>
      </c>
      <c r="DT49" s="519">
        <f t="shared" si="66"/>
        <v>0</v>
      </c>
      <c r="DU49" s="519">
        <f t="shared" si="66"/>
        <v>0</v>
      </c>
      <c r="DV49" s="519">
        <f t="shared" si="66"/>
        <v>0</v>
      </c>
      <c r="DW49" s="519">
        <f t="shared" si="66"/>
        <v>0</v>
      </c>
      <c r="DX49" s="519">
        <f t="shared" si="66"/>
        <v>0</v>
      </c>
      <c r="DY49" s="520">
        <f t="shared" si="64"/>
        <v>0</v>
      </c>
      <c r="EA49" s="519">
        <f t="shared" si="69"/>
        <v>0</v>
      </c>
      <c r="EB49" s="519">
        <f t="shared" si="69"/>
        <v>0</v>
      </c>
      <c r="EC49" s="519">
        <f t="shared" si="69"/>
        <v>0</v>
      </c>
      <c r="ED49" s="519">
        <f t="shared" si="69"/>
        <v>0</v>
      </c>
      <c r="EE49" s="519">
        <f t="shared" si="69"/>
        <v>0</v>
      </c>
      <c r="EF49" s="519">
        <f t="shared" si="67"/>
        <v>0</v>
      </c>
      <c r="EG49" s="519">
        <f t="shared" si="67"/>
        <v>0</v>
      </c>
      <c r="EH49" s="519">
        <f t="shared" si="67"/>
        <v>0</v>
      </c>
      <c r="EI49" s="519">
        <f t="shared" si="67"/>
        <v>0</v>
      </c>
      <c r="EJ49" s="519">
        <f t="shared" si="67"/>
        <v>0</v>
      </c>
      <c r="EK49" s="520">
        <f t="shared" si="65"/>
        <v>0</v>
      </c>
    </row>
    <row r="50" spans="2:141" s="268" customFormat="1" ht="15" customHeight="1" x14ac:dyDescent="0.25">
      <c r="B50" s="446" t="str">
        <f>'2. START'!C$7</f>
        <v>100GEM</v>
      </c>
      <c r="C50" s="469"/>
      <c r="D50" s="594"/>
      <c r="E50" s="522">
        <v>0</v>
      </c>
      <c r="F50" s="522" t="s">
        <v>36</v>
      </c>
      <c r="G50" s="522"/>
      <c r="H50" s="523"/>
      <c r="I50" s="523"/>
      <c r="J50" s="523"/>
      <c r="K50" s="523"/>
      <c r="L50" s="523"/>
      <c r="M50" s="523"/>
      <c r="N50" s="523"/>
      <c r="O50" s="523"/>
      <c r="P50" s="523"/>
      <c r="Q50" s="523"/>
      <c r="R50" s="459">
        <f t="shared" si="72"/>
        <v>0</v>
      </c>
      <c r="S50" s="524">
        <f>IF('2. START'!$C$20="UTB",(SUMIF('3. PARTNER'!B$13:B$80,B50,'3. PARTNER'!M$13:M$80)),(SUMIF('3. PARTNER'!B$13:B$80,B50,'3. PARTNER'!I$13:I$80)))</f>
        <v>0</v>
      </c>
      <c r="T50" s="524">
        <f>IF('2. START'!$C$20="UTB",(SUMIF('3. PARTNER'!B$13:B$80,B50,'3. PARTNER'!N$13:N$80)),(SUMIF('3. PARTNER'!B$13:B$80,B50,'3. PARTNER'!J$13:J$80)))</f>
        <v>0</v>
      </c>
      <c r="U50" s="454">
        <f>IF(F50="NO",0,IF('2. START'!C$13="PERSON+OPERATION",'2. START'!C$12,0)+IF('2. START'!C$13="PERSON+OPERATION+INVEST+FACILIT",'2. START'!C$12,0))</f>
        <v>0</v>
      </c>
      <c r="V50" s="463"/>
      <c r="W50" s="459">
        <f t="shared" si="73"/>
        <v>0</v>
      </c>
      <c r="X50" s="459">
        <f t="shared" si="74"/>
        <v>0</v>
      </c>
      <c r="Y50" s="459">
        <f t="shared" si="75"/>
        <v>0</v>
      </c>
      <c r="Z50" s="459">
        <f t="shared" si="76"/>
        <v>0</v>
      </c>
      <c r="AA50" s="459">
        <f t="shared" si="77"/>
        <v>0</v>
      </c>
      <c r="AB50" s="459">
        <f t="shared" si="78"/>
        <v>0</v>
      </c>
      <c r="AC50" s="459">
        <f t="shared" si="79"/>
        <v>0</v>
      </c>
      <c r="AD50" s="459">
        <f t="shared" si="80"/>
        <v>0</v>
      </c>
      <c r="AE50" s="459">
        <f t="shared" si="81"/>
        <v>0</v>
      </c>
      <c r="AF50" s="459">
        <f t="shared" si="82"/>
        <v>0</v>
      </c>
      <c r="AG50" s="460">
        <f t="shared" si="51"/>
        <v>0</v>
      </c>
      <c r="AH50" s="463"/>
      <c r="AI50" s="459">
        <f t="shared" si="83"/>
        <v>0</v>
      </c>
      <c r="AJ50" s="459">
        <f t="shared" si="84"/>
        <v>0</v>
      </c>
      <c r="AK50" s="459">
        <f t="shared" si="85"/>
        <v>0</v>
      </c>
      <c r="AL50" s="459">
        <f t="shared" si="86"/>
        <v>0</v>
      </c>
      <c r="AM50" s="459">
        <f t="shared" si="87"/>
        <v>0</v>
      </c>
      <c r="AN50" s="459">
        <f t="shared" si="88"/>
        <v>0</v>
      </c>
      <c r="AO50" s="459">
        <f t="shared" si="89"/>
        <v>0</v>
      </c>
      <c r="AP50" s="459">
        <f t="shared" si="90"/>
        <v>0</v>
      </c>
      <c r="AQ50" s="459">
        <f t="shared" si="91"/>
        <v>0</v>
      </c>
      <c r="AR50" s="459">
        <f t="shared" si="92"/>
        <v>0</v>
      </c>
      <c r="AS50" s="460">
        <f t="shared" si="52"/>
        <v>0</v>
      </c>
      <c r="AT50" s="463"/>
      <c r="AU50" s="459">
        <f t="shared" si="53"/>
        <v>0</v>
      </c>
      <c r="AV50" s="459">
        <f t="shared" si="53"/>
        <v>0</v>
      </c>
      <c r="AW50" s="459">
        <f t="shared" si="53"/>
        <v>0</v>
      </c>
      <c r="AX50" s="459">
        <f t="shared" si="53"/>
        <v>0</v>
      </c>
      <c r="AY50" s="459">
        <f t="shared" si="53"/>
        <v>0</v>
      </c>
      <c r="AZ50" s="459">
        <f t="shared" si="53"/>
        <v>0</v>
      </c>
      <c r="BA50" s="459">
        <f t="shared" si="53"/>
        <v>0</v>
      </c>
      <c r="BB50" s="459">
        <f t="shared" si="53"/>
        <v>0</v>
      </c>
      <c r="BC50" s="459">
        <f t="shared" si="53"/>
        <v>0</v>
      </c>
      <c r="BD50" s="459">
        <f t="shared" si="53"/>
        <v>0</v>
      </c>
      <c r="BE50" s="460">
        <f t="shared" si="54"/>
        <v>0</v>
      </c>
      <c r="BF50" s="463"/>
      <c r="BG50" s="459">
        <f t="shared" si="55"/>
        <v>0</v>
      </c>
      <c r="BH50" s="459">
        <f t="shared" si="55"/>
        <v>0</v>
      </c>
      <c r="BI50" s="459">
        <f t="shared" si="55"/>
        <v>0</v>
      </c>
      <c r="BJ50" s="459">
        <f t="shared" si="55"/>
        <v>0</v>
      </c>
      <c r="BK50" s="459">
        <f t="shared" si="70"/>
        <v>0</v>
      </c>
      <c r="BL50" s="459">
        <f t="shared" si="70"/>
        <v>0</v>
      </c>
      <c r="BM50" s="459">
        <f t="shared" si="70"/>
        <v>0</v>
      </c>
      <c r="BN50" s="459">
        <f t="shared" si="70"/>
        <v>0</v>
      </c>
      <c r="BO50" s="459">
        <f t="shared" si="70"/>
        <v>0</v>
      </c>
      <c r="BP50" s="459">
        <f t="shared" si="70"/>
        <v>0</v>
      </c>
      <c r="BQ50" s="460">
        <f t="shared" si="56"/>
        <v>0</v>
      </c>
      <c r="BR50" s="463"/>
      <c r="BS50" s="459">
        <f t="shared" si="57"/>
        <v>0</v>
      </c>
      <c r="BT50" s="459">
        <f t="shared" si="57"/>
        <v>0</v>
      </c>
      <c r="BU50" s="459">
        <f t="shared" si="57"/>
        <v>0</v>
      </c>
      <c r="BV50" s="459">
        <f t="shared" si="57"/>
        <v>0</v>
      </c>
      <c r="BW50" s="459">
        <f t="shared" si="57"/>
        <v>0</v>
      </c>
      <c r="BX50" s="459">
        <f t="shared" si="57"/>
        <v>0</v>
      </c>
      <c r="BY50" s="459">
        <f t="shared" si="57"/>
        <v>0</v>
      </c>
      <c r="BZ50" s="459">
        <f t="shared" si="57"/>
        <v>0</v>
      </c>
      <c r="CA50" s="459">
        <f t="shared" si="57"/>
        <v>0</v>
      </c>
      <c r="CB50" s="459">
        <f t="shared" si="57"/>
        <v>0</v>
      </c>
      <c r="CC50" s="460">
        <f t="shared" si="58"/>
        <v>0</v>
      </c>
      <c r="CD50" s="463"/>
      <c r="CE50" s="459">
        <f t="shared" si="59"/>
        <v>0</v>
      </c>
      <c r="CF50" s="459">
        <f t="shared" si="59"/>
        <v>0</v>
      </c>
      <c r="CG50" s="459">
        <f t="shared" si="59"/>
        <v>0</v>
      </c>
      <c r="CH50" s="459">
        <f t="shared" si="59"/>
        <v>0</v>
      </c>
      <c r="CI50" s="459">
        <f t="shared" si="71"/>
        <v>0</v>
      </c>
      <c r="CJ50" s="459">
        <f t="shared" si="71"/>
        <v>0</v>
      </c>
      <c r="CK50" s="459">
        <f t="shared" si="71"/>
        <v>0</v>
      </c>
      <c r="CL50" s="459">
        <f t="shared" si="71"/>
        <v>0</v>
      </c>
      <c r="CM50" s="459">
        <f t="shared" si="71"/>
        <v>0</v>
      </c>
      <c r="CN50" s="459">
        <f t="shared" si="71"/>
        <v>0</v>
      </c>
      <c r="CO50" s="460">
        <f t="shared" si="60"/>
        <v>0</v>
      </c>
      <c r="CP50" s="463"/>
      <c r="CQ50" s="459">
        <f t="shared" si="93"/>
        <v>0</v>
      </c>
      <c r="CR50" s="459">
        <f t="shared" si="94"/>
        <v>0</v>
      </c>
      <c r="CS50" s="459">
        <f t="shared" si="95"/>
        <v>0</v>
      </c>
      <c r="CT50" s="459">
        <f t="shared" si="96"/>
        <v>0</v>
      </c>
      <c r="CU50" s="459">
        <f t="shared" si="97"/>
        <v>0</v>
      </c>
      <c r="CV50" s="459">
        <f t="shared" si="98"/>
        <v>0</v>
      </c>
      <c r="CW50" s="459">
        <f t="shared" si="99"/>
        <v>0</v>
      </c>
      <c r="CX50" s="459">
        <f t="shared" si="100"/>
        <v>0</v>
      </c>
      <c r="CY50" s="459">
        <f t="shared" si="101"/>
        <v>0</v>
      </c>
      <c r="CZ50" s="459">
        <f t="shared" si="102"/>
        <v>0</v>
      </c>
      <c r="DA50" s="460">
        <f t="shared" si="61"/>
        <v>0</v>
      </c>
      <c r="DB50" s="463"/>
      <c r="DC50" s="459">
        <f t="shared" si="62"/>
        <v>0</v>
      </c>
      <c r="DD50" s="459">
        <f t="shared" si="62"/>
        <v>0</v>
      </c>
      <c r="DE50" s="459">
        <f t="shared" si="62"/>
        <v>0</v>
      </c>
      <c r="DF50" s="459">
        <f t="shared" si="62"/>
        <v>0</v>
      </c>
      <c r="DG50" s="459">
        <f t="shared" si="62"/>
        <v>0</v>
      </c>
      <c r="DH50" s="459">
        <f t="shared" si="62"/>
        <v>0</v>
      </c>
      <c r="DI50" s="459">
        <f t="shared" si="62"/>
        <v>0</v>
      </c>
      <c r="DJ50" s="459">
        <f t="shared" si="62"/>
        <v>0</v>
      </c>
      <c r="DK50" s="459">
        <f t="shared" si="62"/>
        <v>0</v>
      </c>
      <c r="DL50" s="459">
        <f t="shared" si="62"/>
        <v>0</v>
      </c>
      <c r="DM50" s="460">
        <f t="shared" si="63"/>
        <v>0</v>
      </c>
      <c r="DN50" s="463"/>
      <c r="DO50" s="459">
        <f t="shared" si="68"/>
        <v>0</v>
      </c>
      <c r="DP50" s="459">
        <f t="shared" si="68"/>
        <v>0</v>
      </c>
      <c r="DQ50" s="459">
        <f t="shared" si="68"/>
        <v>0</v>
      </c>
      <c r="DR50" s="459">
        <f t="shared" si="68"/>
        <v>0</v>
      </c>
      <c r="DS50" s="459">
        <f t="shared" si="68"/>
        <v>0</v>
      </c>
      <c r="DT50" s="459">
        <f t="shared" si="66"/>
        <v>0</v>
      </c>
      <c r="DU50" s="459">
        <f t="shared" si="66"/>
        <v>0</v>
      </c>
      <c r="DV50" s="459">
        <f t="shared" si="66"/>
        <v>0</v>
      </c>
      <c r="DW50" s="459">
        <f t="shared" si="66"/>
        <v>0</v>
      </c>
      <c r="DX50" s="459">
        <f t="shared" si="66"/>
        <v>0</v>
      </c>
      <c r="DY50" s="460">
        <f t="shared" si="64"/>
        <v>0</v>
      </c>
      <c r="DZ50" s="463"/>
      <c r="EA50" s="459">
        <f t="shared" si="69"/>
        <v>0</v>
      </c>
      <c r="EB50" s="459">
        <f t="shared" si="69"/>
        <v>0</v>
      </c>
      <c r="EC50" s="459">
        <f t="shared" si="69"/>
        <v>0</v>
      </c>
      <c r="ED50" s="459">
        <f t="shared" si="69"/>
        <v>0</v>
      </c>
      <c r="EE50" s="459">
        <f t="shared" si="69"/>
        <v>0</v>
      </c>
      <c r="EF50" s="459">
        <f t="shared" si="67"/>
        <v>0</v>
      </c>
      <c r="EG50" s="459">
        <f t="shared" si="67"/>
        <v>0</v>
      </c>
      <c r="EH50" s="459">
        <f t="shared" si="67"/>
        <v>0</v>
      </c>
      <c r="EI50" s="459">
        <f t="shared" si="67"/>
        <v>0</v>
      </c>
      <c r="EJ50" s="459">
        <f t="shared" si="67"/>
        <v>0</v>
      </c>
      <c r="EK50" s="460">
        <f t="shared" si="65"/>
        <v>0</v>
      </c>
    </row>
    <row r="51" spans="2:141" s="268" customFormat="1" ht="15" customHeight="1" x14ac:dyDescent="0.25">
      <c r="B51" s="464" t="str">
        <f>'2. START'!C$7</f>
        <v>100GEM</v>
      </c>
      <c r="C51" s="470"/>
      <c r="D51" s="593"/>
      <c r="E51" s="527">
        <v>0</v>
      </c>
      <c r="F51" s="527" t="s">
        <v>36</v>
      </c>
      <c r="G51" s="527"/>
      <c r="H51" s="515"/>
      <c r="I51" s="515"/>
      <c r="J51" s="515"/>
      <c r="K51" s="515"/>
      <c r="L51" s="515"/>
      <c r="M51" s="515"/>
      <c r="N51" s="515"/>
      <c r="O51" s="515"/>
      <c r="P51" s="515"/>
      <c r="Q51" s="515"/>
      <c r="R51" s="442">
        <f t="shared" si="72"/>
        <v>0</v>
      </c>
      <c r="S51" s="516">
        <f>IF('2. START'!$C$20="UTB",(SUMIF('3. PARTNER'!B$13:B$80,B51,'3. PARTNER'!M$13:M$80)),(SUMIF('3. PARTNER'!B$13:B$80,B51,'3. PARTNER'!I$13:I$80)))</f>
        <v>0</v>
      </c>
      <c r="T51" s="516">
        <f>IF('2. START'!$C$20="UTB",(SUMIF('3. PARTNER'!B$13:B$80,B51,'3. PARTNER'!N$13:N$80)),(SUMIF('3. PARTNER'!B$13:B$80,B51,'3. PARTNER'!J$13:J$80)))</f>
        <v>0</v>
      </c>
      <c r="U51" s="517">
        <f>IF(F51="NO",0,IF('2. START'!C$13="PERSON+OPERATION",'2. START'!C$12,0)+IF('2. START'!C$13="PERSON+OPERATION+INVEST+FACILIT",'2. START'!C$12,0))</f>
        <v>0</v>
      </c>
      <c r="W51" s="519">
        <f t="shared" si="73"/>
        <v>0</v>
      </c>
      <c r="X51" s="519">
        <f t="shared" si="74"/>
        <v>0</v>
      </c>
      <c r="Y51" s="519">
        <f t="shared" si="75"/>
        <v>0</v>
      </c>
      <c r="Z51" s="519">
        <f t="shared" si="76"/>
        <v>0</v>
      </c>
      <c r="AA51" s="519">
        <f t="shared" si="77"/>
        <v>0</v>
      </c>
      <c r="AB51" s="519">
        <f t="shared" si="78"/>
        <v>0</v>
      </c>
      <c r="AC51" s="519">
        <f t="shared" si="79"/>
        <v>0</v>
      </c>
      <c r="AD51" s="519">
        <f t="shared" si="80"/>
        <v>0</v>
      </c>
      <c r="AE51" s="519">
        <f t="shared" si="81"/>
        <v>0</v>
      </c>
      <c r="AF51" s="519">
        <f t="shared" si="82"/>
        <v>0</v>
      </c>
      <c r="AG51" s="520">
        <f t="shared" si="51"/>
        <v>0</v>
      </c>
      <c r="AI51" s="519">
        <f t="shared" si="83"/>
        <v>0</v>
      </c>
      <c r="AJ51" s="519">
        <f t="shared" si="84"/>
        <v>0</v>
      </c>
      <c r="AK51" s="519">
        <f t="shared" si="85"/>
        <v>0</v>
      </c>
      <c r="AL51" s="519">
        <f t="shared" si="86"/>
        <v>0</v>
      </c>
      <c r="AM51" s="519">
        <f t="shared" si="87"/>
        <v>0</v>
      </c>
      <c r="AN51" s="519">
        <f t="shared" si="88"/>
        <v>0</v>
      </c>
      <c r="AO51" s="519">
        <f t="shared" si="89"/>
        <v>0</v>
      </c>
      <c r="AP51" s="519">
        <f t="shared" si="90"/>
        <v>0</v>
      </c>
      <c r="AQ51" s="519">
        <f t="shared" si="91"/>
        <v>0</v>
      </c>
      <c r="AR51" s="519">
        <f t="shared" si="92"/>
        <v>0</v>
      </c>
      <c r="AS51" s="520">
        <f t="shared" si="52"/>
        <v>0</v>
      </c>
      <c r="AU51" s="519">
        <f t="shared" si="53"/>
        <v>0</v>
      </c>
      <c r="AV51" s="519">
        <f t="shared" si="53"/>
        <v>0</v>
      </c>
      <c r="AW51" s="519">
        <f t="shared" si="53"/>
        <v>0</v>
      </c>
      <c r="AX51" s="519">
        <f t="shared" si="53"/>
        <v>0</v>
      </c>
      <c r="AY51" s="519">
        <f t="shared" si="53"/>
        <v>0</v>
      </c>
      <c r="AZ51" s="519">
        <f t="shared" si="53"/>
        <v>0</v>
      </c>
      <c r="BA51" s="519">
        <f t="shared" si="53"/>
        <v>0</v>
      </c>
      <c r="BB51" s="519">
        <f t="shared" si="53"/>
        <v>0</v>
      </c>
      <c r="BC51" s="519">
        <f t="shared" si="53"/>
        <v>0</v>
      </c>
      <c r="BD51" s="519">
        <f t="shared" si="53"/>
        <v>0</v>
      </c>
      <c r="BE51" s="520">
        <f t="shared" si="54"/>
        <v>0</v>
      </c>
      <c r="BG51" s="519">
        <f t="shared" si="55"/>
        <v>0</v>
      </c>
      <c r="BH51" s="519">
        <f t="shared" si="55"/>
        <v>0</v>
      </c>
      <c r="BI51" s="519">
        <f t="shared" si="55"/>
        <v>0</v>
      </c>
      <c r="BJ51" s="519">
        <f t="shared" si="55"/>
        <v>0</v>
      </c>
      <c r="BK51" s="519">
        <f t="shared" si="70"/>
        <v>0</v>
      </c>
      <c r="BL51" s="519">
        <f t="shared" si="70"/>
        <v>0</v>
      </c>
      <c r="BM51" s="519">
        <f t="shared" si="70"/>
        <v>0</v>
      </c>
      <c r="BN51" s="519">
        <f t="shared" si="70"/>
        <v>0</v>
      </c>
      <c r="BO51" s="519">
        <f t="shared" si="70"/>
        <v>0</v>
      </c>
      <c r="BP51" s="519">
        <f t="shared" si="70"/>
        <v>0</v>
      </c>
      <c r="BQ51" s="520">
        <f t="shared" si="56"/>
        <v>0</v>
      </c>
      <c r="BS51" s="519">
        <f t="shared" si="57"/>
        <v>0</v>
      </c>
      <c r="BT51" s="519">
        <f t="shared" si="57"/>
        <v>0</v>
      </c>
      <c r="BU51" s="519">
        <f t="shared" si="57"/>
        <v>0</v>
      </c>
      <c r="BV51" s="519">
        <f t="shared" si="57"/>
        <v>0</v>
      </c>
      <c r="BW51" s="519">
        <f t="shared" si="57"/>
        <v>0</v>
      </c>
      <c r="BX51" s="519">
        <f t="shared" si="57"/>
        <v>0</v>
      </c>
      <c r="BY51" s="519">
        <f t="shared" si="57"/>
        <v>0</v>
      </c>
      <c r="BZ51" s="519">
        <f t="shared" si="57"/>
        <v>0</v>
      </c>
      <c r="CA51" s="519">
        <f t="shared" si="57"/>
        <v>0</v>
      </c>
      <c r="CB51" s="519">
        <f t="shared" si="57"/>
        <v>0</v>
      </c>
      <c r="CC51" s="520">
        <f t="shared" si="58"/>
        <v>0</v>
      </c>
      <c r="CE51" s="519">
        <f t="shared" si="59"/>
        <v>0</v>
      </c>
      <c r="CF51" s="519">
        <f t="shared" si="59"/>
        <v>0</v>
      </c>
      <c r="CG51" s="519">
        <f t="shared" si="59"/>
        <v>0</v>
      </c>
      <c r="CH51" s="519">
        <f t="shared" si="59"/>
        <v>0</v>
      </c>
      <c r="CI51" s="519">
        <f t="shared" si="71"/>
        <v>0</v>
      </c>
      <c r="CJ51" s="519">
        <f t="shared" si="71"/>
        <v>0</v>
      </c>
      <c r="CK51" s="519">
        <f t="shared" si="71"/>
        <v>0</v>
      </c>
      <c r="CL51" s="519">
        <f t="shared" si="71"/>
        <v>0</v>
      </c>
      <c r="CM51" s="519">
        <f t="shared" si="71"/>
        <v>0</v>
      </c>
      <c r="CN51" s="519">
        <f t="shared" si="71"/>
        <v>0</v>
      </c>
      <c r="CO51" s="520">
        <f t="shared" si="60"/>
        <v>0</v>
      </c>
      <c r="CQ51" s="519">
        <f t="shared" si="93"/>
        <v>0</v>
      </c>
      <c r="CR51" s="519">
        <f t="shared" si="94"/>
        <v>0</v>
      </c>
      <c r="CS51" s="519">
        <f t="shared" si="95"/>
        <v>0</v>
      </c>
      <c r="CT51" s="519">
        <f t="shared" si="96"/>
        <v>0</v>
      </c>
      <c r="CU51" s="519">
        <f t="shared" si="97"/>
        <v>0</v>
      </c>
      <c r="CV51" s="519">
        <f t="shared" si="98"/>
        <v>0</v>
      </c>
      <c r="CW51" s="519">
        <f t="shared" si="99"/>
        <v>0</v>
      </c>
      <c r="CX51" s="519">
        <f t="shared" si="100"/>
        <v>0</v>
      </c>
      <c r="CY51" s="519">
        <f t="shared" si="101"/>
        <v>0</v>
      </c>
      <c r="CZ51" s="519">
        <f t="shared" si="102"/>
        <v>0</v>
      </c>
      <c r="DA51" s="520">
        <f t="shared" si="61"/>
        <v>0</v>
      </c>
      <c r="DC51" s="519">
        <f t="shared" si="62"/>
        <v>0</v>
      </c>
      <c r="DD51" s="519">
        <f t="shared" si="62"/>
        <v>0</v>
      </c>
      <c r="DE51" s="519">
        <f t="shared" si="62"/>
        <v>0</v>
      </c>
      <c r="DF51" s="519">
        <f t="shared" si="62"/>
        <v>0</v>
      </c>
      <c r="DG51" s="519">
        <f t="shared" si="62"/>
        <v>0</v>
      </c>
      <c r="DH51" s="519">
        <f t="shared" si="62"/>
        <v>0</v>
      </c>
      <c r="DI51" s="519">
        <f t="shared" si="62"/>
        <v>0</v>
      </c>
      <c r="DJ51" s="519">
        <f t="shared" si="62"/>
        <v>0</v>
      </c>
      <c r="DK51" s="519">
        <f t="shared" si="62"/>
        <v>0</v>
      </c>
      <c r="DL51" s="519">
        <f t="shared" si="62"/>
        <v>0</v>
      </c>
      <c r="DM51" s="520">
        <f t="shared" si="63"/>
        <v>0</v>
      </c>
      <c r="DO51" s="519">
        <f t="shared" si="68"/>
        <v>0</v>
      </c>
      <c r="DP51" s="519">
        <f t="shared" si="68"/>
        <v>0</v>
      </c>
      <c r="DQ51" s="519">
        <f t="shared" si="68"/>
        <v>0</v>
      </c>
      <c r="DR51" s="519">
        <f t="shared" si="68"/>
        <v>0</v>
      </c>
      <c r="DS51" s="519">
        <f t="shared" si="68"/>
        <v>0</v>
      </c>
      <c r="DT51" s="519">
        <f t="shared" si="66"/>
        <v>0</v>
      </c>
      <c r="DU51" s="519">
        <f t="shared" si="66"/>
        <v>0</v>
      </c>
      <c r="DV51" s="519">
        <f t="shared" si="66"/>
        <v>0</v>
      </c>
      <c r="DW51" s="519">
        <f t="shared" si="66"/>
        <v>0</v>
      </c>
      <c r="DX51" s="519">
        <f t="shared" si="66"/>
        <v>0</v>
      </c>
      <c r="DY51" s="520">
        <f t="shared" si="64"/>
        <v>0</v>
      </c>
      <c r="EA51" s="519">
        <f t="shared" si="69"/>
        <v>0</v>
      </c>
      <c r="EB51" s="519">
        <f t="shared" si="69"/>
        <v>0</v>
      </c>
      <c r="EC51" s="519">
        <f t="shared" si="69"/>
        <v>0</v>
      </c>
      <c r="ED51" s="519">
        <f t="shared" si="69"/>
        <v>0</v>
      </c>
      <c r="EE51" s="519">
        <f t="shared" si="69"/>
        <v>0</v>
      </c>
      <c r="EF51" s="519">
        <f t="shared" si="67"/>
        <v>0</v>
      </c>
      <c r="EG51" s="519">
        <f t="shared" si="67"/>
        <v>0</v>
      </c>
      <c r="EH51" s="519">
        <f t="shared" si="67"/>
        <v>0</v>
      </c>
      <c r="EI51" s="519">
        <f t="shared" si="67"/>
        <v>0</v>
      </c>
      <c r="EJ51" s="519">
        <f t="shared" si="67"/>
        <v>0</v>
      </c>
      <c r="EK51" s="520">
        <f t="shared" si="65"/>
        <v>0</v>
      </c>
    </row>
    <row r="52" spans="2:141" s="268" customFormat="1" ht="15" customHeight="1" x14ac:dyDescent="0.25">
      <c r="B52" s="446" t="str">
        <f>'2. START'!C$7</f>
        <v>100GEM</v>
      </c>
      <c r="C52" s="469"/>
      <c r="D52" s="594"/>
      <c r="E52" s="522">
        <v>0</v>
      </c>
      <c r="F52" s="522" t="s">
        <v>36</v>
      </c>
      <c r="G52" s="522"/>
      <c r="H52" s="523"/>
      <c r="I52" s="523"/>
      <c r="J52" s="523"/>
      <c r="K52" s="523"/>
      <c r="L52" s="523"/>
      <c r="M52" s="523"/>
      <c r="N52" s="523"/>
      <c r="O52" s="523"/>
      <c r="P52" s="523"/>
      <c r="Q52" s="523"/>
      <c r="R52" s="459">
        <f t="shared" si="72"/>
        <v>0</v>
      </c>
      <c r="S52" s="524">
        <f>IF('2. START'!$C$20="UTB",(SUMIF('3. PARTNER'!B$13:B$80,B52,'3. PARTNER'!M$13:M$80)),(SUMIF('3. PARTNER'!B$13:B$80,B52,'3. PARTNER'!I$13:I$80)))</f>
        <v>0</v>
      </c>
      <c r="T52" s="524">
        <f>IF('2. START'!$C$20="UTB",(SUMIF('3. PARTNER'!B$13:B$80,B52,'3. PARTNER'!N$13:N$80)),(SUMIF('3. PARTNER'!B$13:B$80,B52,'3. PARTNER'!J$13:J$80)))</f>
        <v>0</v>
      </c>
      <c r="U52" s="454">
        <f>IF(F52="NO",0,IF('2. START'!C$13="PERSON+OPERATION",'2. START'!C$12,0)+IF('2. START'!C$13="PERSON+OPERATION+INVEST+FACILIT",'2. START'!C$12,0))</f>
        <v>0</v>
      </c>
      <c r="V52" s="463"/>
      <c r="W52" s="459">
        <f t="shared" si="73"/>
        <v>0</v>
      </c>
      <c r="X52" s="459">
        <f t="shared" si="74"/>
        <v>0</v>
      </c>
      <c r="Y52" s="459">
        <f t="shared" si="75"/>
        <v>0</v>
      </c>
      <c r="Z52" s="459">
        <f t="shared" si="76"/>
        <v>0</v>
      </c>
      <c r="AA52" s="459">
        <f t="shared" si="77"/>
        <v>0</v>
      </c>
      <c r="AB52" s="459">
        <f t="shared" si="78"/>
        <v>0</v>
      </c>
      <c r="AC52" s="459">
        <f t="shared" si="79"/>
        <v>0</v>
      </c>
      <c r="AD52" s="459">
        <f t="shared" si="80"/>
        <v>0</v>
      </c>
      <c r="AE52" s="459">
        <f t="shared" si="81"/>
        <v>0</v>
      </c>
      <c r="AF52" s="459">
        <f t="shared" si="82"/>
        <v>0</v>
      </c>
      <c r="AG52" s="460">
        <f t="shared" si="51"/>
        <v>0</v>
      </c>
      <c r="AH52" s="463"/>
      <c r="AI52" s="459">
        <f t="shared" si="83"/>
        <v>0</v>
      </c>
      <c r="AJ52" s="459">
        <f t="shared" si="84"/>
        <v>0</v>
      </c>
      <c r="AK52" s="459">
        <f t="shared" si="85"/>
        <v>0</v>
      </c>
      <c r="AL52" s="459">
        <f t="shared" si="86"/>
        <v>0</v>
      </c>
      <c r="AM52" s="459">
        <f t="shared" si="87"/>
        <v>0</v>
      </c>
      <c r="AN52" s="459">
        <f t="shared" si="88"/>
        <v>0</v>
      </c>
      <c r="AO52" s="459">
        <f t="shared" si="89"/>
        <v>0</v>
      </c>
      <c r="AP52" s="459">
        <f t="shared" si="90"/>
        <v>0</v>
      </c>
      <c r="AQ52" s="459">
        <f t="shared" si="91"/>
        <v>0</v>
      </c>
      <c r="AR52" s="459">
        <f t="shared" si="92"/>
        <v>0</v>
      </c>
      <c r="AS52" s="460">
        <f t="shared" si="52"/>
        <v>0</v>
      </c>
      <c r="AT52" s="463"/>
      <c r="AU52" s="459">
        <f t="shared" si="53"/>
        <v>0</v>
      </c>
      <c r="AV52" s="459">
        <f t="shared" si="53"/>
        <v>0</v>
      </c>
      <c r="AW52" s="459">
        <f t="shared" si="53"/>
        <v>0</v>
      </c>
      <c r="AX52" s="459">
        <f t="shared" si="53"/>
        <v>0</v>
      </c>
      <c r="AY52" s="459">
        <f t="shared" si="53"/>
        <v>0</v>
      </c>
      <c r="AZ52" s="459">
        <f t="shared" si="53"/>
        <v>0</v>
      </c>
      <c r="BA52" s="459">
        <f t="shared" si="53"/>
        <v>0</v>
      </c>
      <c r="BB52" s="459">
        <f t="shared" si="53"/>
        <v>0</v>
      </c>
      <c r="BC52" s="459">
        <f t="shared" si="53"/>
        <v>0</v>
      </c>
      <c r="BD52" s="459">
        <f t="shared" si="53"/>
        <v>0</v>
      </c>
      <c r="BE52" s="460">
        <f t="shared" si="54"/>
        <v>0</v>
      </c>
      <c r="BF52" s="463"/>
      <c r="BG52" s="459">
        <f t="shared" si="55"/>
        <v>0</v>
      </c>
      <c r="BH52" s="459">
        <f t="shared" si="55"/>
        <v>0</v>
      </c>
      <c r="BI52" s="459">
        <f t="shared" si="55"/>
        <v>0</v>
      </c>
      <c r="BJ52" s="459">
        <f t="shared" si="55"/>
        <v>0</v>
      </c>
      <c r="BK52" s="459">
        <f t="shared" si="70"/>
        <v>0</v>
      </c>
      <c r="BL52" s="459">
        <f t="shared" si="70"/>
        <v>0</v>
      </c>
      <c r="BM52" s="459">
        <f t="shared" si="70"/>
        <v>0</v>
      </c>
      <c r="BN52" s="459">
        <f t="shared" si="70"/>
        <v>0</v>
      </c>
      <c r="BO52" s="459">
        <f t="shared" si="70"/>
        <v>0</v>
      </c>
      <c r="BP52" s="459">
        <f t="shared" si="70"/>
        <v>0</v>
      </c>
      <c r="BQ52" s="460">
        <f t="shared" si="56"/>
        <v>0</v>
      </c>
      <c r="BR52" s="463"/>
      <c r="BS52" s="459">
        <f t="shared" si="57"/>
        <v>0</v>
      </c>
      <c r="BT52" s="459">
        <f t="shared" si="57"/>
        <v>0</v>
      </c>
      <c r="BU52" s="459">
        <f t="shared" si="57"/>
        <v>0</v>
      </c>
      <c r="BV52" s="459">
        <f t="shared" si="57"/>
        <v>0</v>
      </c>
      <c r="BW52" s="459">
        <f t="shared" si="57"/>
        <v>0</v>
      </c>
      <c r="BX52" s="459">
        <f t="shared" si="57"/>
        <v>0</v>
      </c>
      <c r="BY52" s="459">
        <f t="shared" si="57"/>
        <v>0</v>
      </c>
      <c r="BZ52" s="459">
        <f t="shared" si="57"/>
        <v>0</v>
      </c>
      <c r="CA52" s="459">
        <f t="shared" si="57"/>
        <v>0</v>
      </c>
      <c r="CB52" s="459">
        <f t="shared" si="57"/>
        <v>0</v>
      </c>
      <c r="CC52" s="460">
        <f t="shared" si="58"/>
        <v>0</v>
      </c>
      <c r="CD52" s="463"/>
      <c r="CE52" s="459">
        <f t="shared" si="59"/>
        <v>0</v>
      </c>
      <c r="CF52" s="459">
        <f t="shared" si="59"/>
        <v>0</v>
      </c>
      <c r="CG52" s="459">
        <f t="shared" si="59"/>
        <v>0</v>
      </c>
      <c r="CH52" s="459">
        <f t="shared" si="59"/>
        <v>0</v>
      </c>
      <c r="CI52" s="459">
        <f t="shared" si="71"/>
        <v>0</v>
      </c>
      <c r="CJ52" s="459">
        <f t="shared" si="71"/>
        <v>0</v>
      </c>
      <c r="CK52" s="459">
        <f t="shared" si="71"/>
        <v>0</v>
      </c>
      <c r="CL52" s="459">
        <f t="shared" si="71"/>
        <v>0</v>
      </c>
      <c r="CM52" s="459">
        <f t="shared" si="71"/>
        <v>0</v>
      </c>
      <c r="CN52" s="459">
        <f t="shared" si="71"/>
        <v>0</v>
      </c>
      <c r="CO52" s="460">
        <f t="shared" si="60"/>
        <v>0</v>
      </c>
      <c r="CP52" s="463"/>
      <c r="CQ52" s="459">
        <f t="shared" si="93"/>
        <v>0</v>
      </c>
      <c r="CR52" s="459">
        <f t="shared" si="94"/>
        <v>0</v>
      </c>
      <c r="CS52" s="459">
        <f t="shared" si="95"/>
        <v>0</v>
      </c>
      <c r="CT52" s="459">
        <f t="shared" si="96"/>
        <v>0</v>
      </c>
      <c r="CU52" s="459">
        <f t="shared" si="97"/>
        <v>0</v>
      </c>
      <c r="CV52" s="459">
        <f t="shared" si="98"/>
        <v>0</v>
      </c>
      <c r="CW52" s="459">
        <f t="shared" si="99"/>
        <v>0</v>
      </c>
      <c r="CX52" s="459">
        <f t="shared" si="100"/>
        <v>0</v>
      </c>
      <c r="CY52" s="459">
        <f t="shared" si="101"/>
        <v>0</v>
      </c>
      <c r="CZ52" s="459">
        <f t="shared" si="102"/>
        <v>0</v>
      </c>
      <c r="DA52" s="460">
        <f t="shared" si="61"/>
        <v>0</v>
      </c>
      <c r="DB52" s="463"/>
      <c r="DC52" s="459">
        <f t="shared" si="62"/>
        <v>0</v>
      </c>
      <c r="DD52" s="459">
        <f t="shared" si="62"/>
        <v>0</v>
      </c>
      <c r="DE52" s="459">
        <f t="shared" si="62"/>
        <v>0</v>
      </c>
      <c r="DF52" s="459">
        <f t="shared" si="62"/>
        <v>0</v>
      </c>
      <c r="DG52" s="459">
        <f t="shared" si="62"/>
        <v>0</v>
      </c>
      <c r="DH52" s="459">
        <f t="shared" si="62"/>
        <v>0</v>
      </c>
      <c r="DI52" s="459">
        <f t="shared" si="62"/>
        <v>0</v>
      </c>
      <c r="DJ52" s="459">
        <f t="shared" si="62"/>
        <v>0</v>
      </c>
      <c r="DK52" s="459">
        <f t="shared" si="62"/>
        <v>0</v>
      </c>
      <c r="DL52" s="459">
        <f t="shared" si="62"/>
        <v>0</v>
      </c>
      <c r="DM52" s="460">
        <f t="shared" si="63"/>
        <v>0</v>
      </c>
      <c r="DN52" s="463"/>
      <c r="DO52" s="459">
        <f t="shared" si="68"/>
        <v>0</v>
      </c>
      <c r="DP52" s="459">
        <f t="shared" si="68"/>
        <v>0</v>
      </c>
      <c r="DQ52" s="459">
        <f t="shared" si="68"/>
        <v>0</v>
      </c>
      <c r="DR52" s="459">
        <f t="shared" si="68"/>
        <v>0</v>
      </c>
      <c r="DS52" s="459">
        <f t="shared" si="68"/>
        <v>0</v>
      </c>
      <c r="DT52" s="459">
        <f t="shared" si="66"/>
        <v>0</v>
      </c>
      <c r="DU52" s="459">
        <f t="shared" si="66"/>
        <v>0</v>
      </c>
      <c r="DV52" s="459">
        <f t="shared" si="66"/>
        <v>0</v>
      </c>
      <c r="DW52" s="459">
        <f t="shared" si="66"/>
        <v>0</v>
      </c>
      <c r="DX52" s="459">
        <f t="shared" si="66"/>
        <v>0</v>
      </c>
      <c r="DY52" s="460">
        <f t="shared" si="64"/>
        <v>0</v>
      </c>
      <c r="DZ52" s="463"/>
      <c r="EA52" s="459">
        <f t="shared" si="69"/>
        <v>0</v>
      </c>
      <c r="EB52" s="459">
        <f t="shared" si="69"/>
        <v>0</v>
      </c>
      <c r="EC52" s="459">
        <f t="shared" si="69"/>
        <v>0</v>
      </c>
      <c r="ED52" s="459">
        <f t="shared" si="69"/>
        <v>0</v>
      </c>
      <c r="EE52" s="459">
        <f t="shared" si="69"/>
        <v>0</v>
      </c>
      <c r="EF52" s="459">
        <f t="shared" si="67"/>
        <v>0</v>
      </c>
      <c r="EG52" s="459">
        <f t="shared" si="67"/>
        <v>0</v>
      </c>
      <c r="EH52" s="459">
        <f t="shared" si="67"/>
        <v>0</v>
      </c>
      <c r="EI52" s="459">
        <f t="shared" si="67"/>
        <v>0</v>
      </c>
      <c r="EJ52" s="459">
        <f t="shared" si="67"/>
        <v>0</v>
      </c>
      <c r="EK52" s="460">
        <f t="shared" si="65"/>
        <v>0</v>
      </c>
    </row>
    <row r="53" spans="2:141" s="268" customFormat="1" ht="15" customHeight="1" x14ac:dyDescent="0.25">
      <c r="B53" s="464" t="str">
        <f>'2. START'!C$7</f>
        <v>100GEM</v>
      </c>
      <c r="C53" s="470"/>
      <c r="D53" s="593"/>
      <c r="E53" s="527">
        <v>0</v>
      </c>
      <c r="F53" s="527" t="s">
        <v>36</v>
      </c>
      <c r="G53" s="527"/>
      <c r="H53" s="515"/>
      <c r="I53" s="515"/>
      <c r="J53" s="515"/>
      <c r="K53" s="515"/>
      <c r="L53" s="515"/>
      <c r="M53" s="515"/>
      <c r="N53" s="515"/>
      <c r="O53" s="515"/>
      <c r="P53" s="515"/>
      <c r="Q53" s="515"/>
      <c r="R53" s="442">
        <f t="shared" si="72"/>
        <v>0</v>
      </c>
      <c r="S53" s="516">
        <f>IF('2. START'!$C$20="UTB",(SUMIF('3. PARTNER'!B$13:B$80,B53,'3. PARTNER'!M$13:M$80)),(SUMIF('3. PARTNER'!B$13:B$80,B53,'3. PARTNER'!I$13:I$80)))</f>
        <v>0</v>
      </c>
      <c r="T53" s="516">
        <f>IF('2. START'!$C$20="UTB",(SUMIF('3. PARTNER'!B$13:B$80,B53,'3. PARTNER'!N$13:N$80)),(SUMIF('3. PARTNER'!B$13:B$80,B53,'3. PARTNER'!J$13:J$80)))</f>
        <v>0</v>
      </c>
      <c r="U53" s="517">
        <f>IF(F53="NO",0,IF('2. START'!C$13="PERSON+OPERATION",'2. START'!C$12,0)+IF('2. START'!C$13="PERSON+OPERATION+INVEST+FACILIT",'2. START'!C$12,0))</f>
        <v>0</v>
      </c>
      <c r="W53" s="519">
        <f t="shared" si="73"/>
        <v>0</v>
      </c>
      <c r="X53" s="519">
        <f t="shared" si="74"/>
        <v>0</v>
      </c>
      <c r="Y53" s="519">
        <f t="shared" si="75"/>
        <v>0</v>
      </c>
      <c r="Z53" s="519">
        <f t="shared" si="76"/>
        <v>0</v>
      </c>
      <c r="AA53" s="519">
        <f t="shared" si="77"/>
        <v>0</v>
      </c>
      <c r="AB53" s="519">
        <f t="shared" si="78"/>
        <v>0</v>
      </c>
      <c r="AC53" s="519">
        <f t="shared" si="79"/>
        <v>0</v>
      </c>
      <c r="AD53" s="519">
        <f t="shared" si="80"/>
        <v>0</v>
      </c>
      <c r="AE53" s="519">
        <f t="shared" si="81"/>
        <v>0</v>
      </c>
      <c r="AF53" s="519">
        <f t="shared" si="82"/>
        <v>0</v>
      </c>
      <c r="AG53" s="520">
        <f t="shared" si="51"/>
        <v>0</v>
      </c>
      <c r="AI53" s="519">
        <f t="shared" si="83"/>
        <v>0</v>
      </c>
      <c r="AJ53" s="519">
        <f t="shared" si="84"/>
        <v>0</v>
      </c>
      <c r="AK53" s="519">
        <f t="shared" si="85"/>
        <v>0</v>
      </c>
      <c r="AL53" s="519">
        <f t="shared" si="86"/>
        <v>0</v>
      </c>
      <c r="AM53" s="519">
        <f t="shared" si="87"/>
        <v>0</v>
      </c>
      <c r="AN53" s="519">
        <f t="shared" si="88"/>
        <v>0</v>
      </c>
      <c r="AO53" s="519">
        <f t="shared" si="89"/>
        <v>0</v>
      </c>
      <c r="AP53" s="519">
        <f t="shared" si="90"/>
        <v>0</v>
      </c>
      <c r="AQ53" s="519">
        <f t="shared" si="91"/>
        <v>0</v>
      </c>
      <c r="AR53" s="519">
        <f t="shared" si="92"/>
        <v>0</v>
      </c>
      <c r="AS53" s="520">
        <f t="shared" si="52"/>
        <v>0</v>
      </c>
      <c r="AU53" s="519">
        <f t="shared" si="53"/>
        <v>0</v>
      </c>
      <c r="AV53" s="519">
        <f t="shared" si="53"/>
        <v>0</v>
      </c>
      <c r="AW53" s="519">
        <f t="shared" si="53"/>
        <v>0</v>
      </c>
      <c r="AX53" s="519">
        <f t="shared" si="53"/>
        <v>0</v>
      </c>
      <c r="AY53" s="519">
        <f t="shared" si="53"/>
        <v>0</v>
      </c>
      <c r="AZ53" s="519">
        <f t="shared" si="53"/>
        <v>0</v>
      </c>
      <c r="BA53" s="519">
        <f t="shared" si="53"/>
        <v>0</v>
      </c>
      <c r="BB53" s="519">
        <f t="shared" si="53"/>
        <v>0</v>
      </c>
      <c r="BC53" s="519">
        <f t="shared" si="53"/>
        <v>0</v>
      </c>
      <c r="BD53" s="519">
        <f t="shared" si="53"/>
        <v>0</v>
      </c>
      <c r="BE53" s="520">
        <f t="shared" si="54"/>
        <v>0</v>
      </c>
      <c r="BG53" s="519">
        <f t="shared" si="55"/>
        <v>0</v>
      </c>
      <c r="BH53" s="519">
        <f t="shared" si="55"/>
        <v>0</v>
      </c>
      <c r="BI53" s="519">
        <f t="shared" si="55"/>
        <v>0</v>
      </c>
      <c r="BJ53" s="519">
        <f t="shared" si="55"/>
        <v>0</v>
      </c>
      <c r="BK53" s="519">
        <f t="shared" si="70"/>
        <v>0</v>
      </c>
      <c r="BL53" s="519">
        <f t="shared" si="70"/>
        <v>0</v>
      </c>
      <c r="BM53" s="519">
        <f t="shared" si="70"/>
        <v>0</v>
      </c>
      <c r="BN53" s="519">
        <f t="shared" si="70"/>
        <v>0</v>
      </c>
      <c r="BO53" s="519">
        <f t="shared" si="70"/>
        <v>0</v>
      </c>
      <c r="BP53" s="519">
        <f t="shared" si="70"/>
        <v>0</v>
      </c>
      <c r="BQ53" s="520">
        <f t="shared" si="56"/>
        <v>0</v>
      </c>
      <c r="BS53" s="519">
        <f t="shared" si="57"/>
        <v>0</v>
      </c>
      <c r="BT53" s="519">
        <f t="shared" si="57"/>
        <v>0</v>
      </c>
      <c r="BU53" s="519">
        <f t="shared" si="57"/>
        <v>0</v>
      </c>
      <c r="BV53" s="519">
        <f t="shared" si="57"/>
        <v>0</v>
      </c>
      <c r="BW53" s="519">
        <f t="shared" si="57"/>
        <v>0</v>
      </c>
      <c r="BX53" s="519">
        <f t="shared" si="57"/>
        <v>0</v>
      </c>
      <c r="BY53" s="519">
        <f t="shared" si="57"/>
        <v>0</v>
      </c>
      <c r="BZ53" s="519">
        <f t="shared" si="57"/>
        <v>0</v>
      </c>
      <c r="CA53" s="519">
        <f t="shared" si="57"/>
        <v>0</v>
      </c>
      <c r="CB53" s="519">
        <f t="shared" si="57"/>
        <v>0</v>
      </c>
      <c r="CC53" s="520">
        <f t="shared" si="58"/>
        <v>0</v>
      </c>
      <c r="CE53" s="519">
        <f t="shared" si="59"/>
        <v>0</v>
      </c>
      <c r="CF53" s="519">
        <f t="shared" si="59"/>
        <v>0</v>
      </c>
      <c r="CG53" s="519">
        <f t="shared" si="59"/>
        <v>0</v>
      </c>
      <c r="CH53" s="519">
        <f t="shared" si="59"/>
        <v>0</v>
      </c>
      <c r="CI53" s="519">
        <f t="shared" si="71"/>
        <v>0</v>
      </c>
      <c r="CJ53" s="519">
        <f t="shared" si="71"/>
        <v>0</v>
      </c>
      <c r="CK53" s="519">
        <f t="shared" si="71"/>
        <v>0</v>
      </c>
      <c r="CL53" s="519">
        <f t="shared" si="71"/>
        <v>0</v>
      </c>
      <c r="CM53" s="519">
        <f t="shared" si="71"/>
        <v>0</v>
      </c>
      <c r="CN53" s="519">
        <f t="shared" si="71"/>
        <v>0</v>
      </c>
      <c r="CO53" s="520">
        <f t="shared" si="60"/>
        <v>0</v>
      </c>
      <c r="CQ53" s="519">
        <f t="shared" si="93"/>
        <v>0</v>
      </c>
      <c r="CR53" s="519">
        <f t="shared" si="94"/>
        <v>0</v>
      </c>
      <c r="CS53" s="519">
        <f t="shared" si="95"/>
        <v>0</v>
      </c>
      <c r="CT53" s="519">
        <f t="shared" si="96"/>
        <v>0</v>
      </c>
      <c r="CU53" s="519">
        <f t="shared" si="97"/>
        <v>0</v>
      </c>
      <c r="CV53" s="519">
        <f t="shared" si="98"/>
        <v>0</v>
      </c>
      <c r="CW53" s="519">
        <f t="shared" si="99"/>
        <v>0</v>
      </c>
      <c r="CX53" s="519">
        <f t="shared" si="100"/>
        <v>0</v>
      </c>
      <c r="CY53" s="519">
        <f t="shared" si="101"/>
        <v>0</v>
      </c>
      <c r="CZ53" s="519">
        <f t="shared" si="102"/>
        <v>0</v>
      </c>
      <c r="DA53" s="520">
        <f t="shared" si="61"/>
        <v>0</v>
      </c>
      <c r="DC53" s="519">
        <f t="shared" si="62"/>
        <v>0</v>
      </c>
      <c r="DD53" s="519">
        <f t="shared" si="62"/>
        <v>0</v>
      </c>
      <c r="DE53" s="519">
        <f t="shared" si="62"/>
        <v>0</v>
      </c>
      <c r="DF53" s="519">
        <f t="shared" si="62"/>
        <v>0</v>
      </c>
      <c r="DG53" s="519">
        <f t="shared" si="62"/>
        <v>0</v>
      </c>
      <c r="DH53" s="519">
        <f t="shared" si="62"/>
        <v>0</v>
      </c>
      <c r="DI53" s="519">
        <f t="shared" si="62"/>
        <v>0</v>
      </c>
      <c r="DJ53" s="519">
        <f t="shared" si="62"/>
        <v>0</v>
      </c>
      <c r="DK53" s="519">
        <f t="shared" si="62"/>
        <v>0</v>
      </c>
      <c r="DL53" s="519">
        <f t="shared" si="62"/>
        <v>0</v>
      </c>
      <c r="DM53" s="520">
        <f t="shared" si="63"/>
        <v>0</v>
      </c>
      <c r="DO53" s="519">
        <f t="shared" si="68"/>
        <v>0</v>
      </c>
      <c r="DP53" s="519">
        <f t="shared" si="68"/>
        <v>0</v>
      </c>
      <c r="DQ53" s="519">
        <f t="shared" si="68"/>
        <v>0</v>
      </c>
      <c r="DR53" s="519">
        <f t="shared" si="68"/>
        <v>0</v>
      </c>
      <c r="DS53" s="519">
        <f t="shared" si="68"/>
        <v>0</v>
      </c>
      <c r="DT53" s="519">
        <f t="shared" si="66"/>
        <v>0</v>
      </c>
      <c r="DU53" s="519">
        <f t="shared" si="66"/>
        <v>0</v>
      </c>
      <c r="DV53" s="519">
        <f t="shared" si="66"/>
        <v>0</v>
      </c>
      <c r="DW53" s="519">
        <f t="shared" si="66"/>
        <v>0</v>
      </c>
      <c r="DX53" s="519">
        <f t="shared" si="66"/>
        <v>0</v>
      </c>
      <c r="DY53" s="520">
        <f t="shared" si="64"/>
        <v>0</v>
      </c>
      <c r="EA53" s="519">
        <f t="shared" si="69"/>
        <v>0</v>
      </c>
      <c r="EB53" s="519">
        <f t="shared" si="69"/>
        <v>0</v>
      </c>
      <c r="EC53" s="519">
        <f t="shared" si="69"/>
        <v>0</v>
      </c>
      <c r="ED53" s="519">
        <f t="shared" si="69"/>
        <v>0</v>
      </c>
      <c r="EE53" s="519">
        <f t="shared" si="69"/>
        <v>0</v>
      </c>
      <c r="EF53" s="519">
        <f t="shared" si="67"/>
        <v>0</v>
      </c>
      <c r="EG53" s="519">
        <f t="shared" si="67"/>
        <v>0</v>
      </c>
      <c r="EH53" s="519">
        <f t="shared" si="67"/>
        <v>0</v>
      </c>
      <c r="EI53" s="519">
        <f t="shared" si="67"/>
        <v>0</v>
      </c>
      <c r="EJ53" s="519">
        <f t="shared" si="67"/>
        <v>0</v>
      </c>
      <c r="EK53" s="520">
        <f t="shared" si="65"/>
        <v>0</v>
      </c>
    </row>
    <row r="54" spans="2:141" s="268" customFormat="1" ht="15" customHeight="1" x14ac:dyDescent="0.25">
      <c r="B54" s="446" t="str">
        <f>'2. START'!C$7</f>
        <v>100GEM</v>
      </c>
      <c r="C54" s="469"/>
      <c r="D54" s="594"/>
      <c r="E54" s="522">
        <v>0</v>
      </c>
      <c r="F54" s="522" t="s">
        <v>36</v>
      </c>
      <c r="G54" s="522"/>
      <c r="H54" s="523"/>
      <c r="I54" s="523"/>
      <c r="J54" s="523"/>
      <c r="K54" s="523"/>
      <c r="L54" s="523"/>
      <c r="M54" s="523"/>
      <c r="N54" s="523"/>
      <c r="O54" s="523"/>
      <c r="P54" s="523"/>
      <c r="Q54" s="523"/>
      <c r="R54" s="459">
        <f t="shared" si="72"/>
        <v>0</v>
      </c>
      <c r="S54" s="524">
        <f>IF('2. START'!$C$20="UTB",(SUMIF('3. PARTNER'!B$13:B$80,B54,'3. PARTNER'!M$13:M$80)),(SUMIF('3. PARTNER'!B$13:B$80,B54,'3. PARTNER'!I$13:I$80)))</f>
        <v>0</v>
      </c>
      <c r="T54" s="524">
        <f>IF('2. START'!$C$20="UTB",(SUMIF('3. PARTNER'!B$13:B$80,B54,'3. PARTNER'!N$13:N$80)),(SUMIF('3. PARTNER'!B$13:B$80,B54,'3. PARTNER'!J$13:J$80)))</f>
        <v>0</v>
      </c>
      <c r="U54" s="454">
        <f>IF(F54="NO",0,IF('2. START'!C$13="PERSON+OPERATION",'2. START'!C$12,0)+IF('2. START'!C$13="PERSON+OPERATION+INVEST+FACILIT",'2. START'!C$12,0))</f>
        <v>0</v>
      </c>
      <c r="V54" s="463"/>
      <c r="W54" s="459">
        <f t="shared" si="73"/>
        <v>0</v>
      </c>
      <c r="X54" s="459">
        <f t="shared" si="74"/>
        <v>0</v>
      </c>
      <c r="Y54" s="459">
        <f t="shared" si="75"/>
        <v>0</v>
      </c>
      <c r="Z54" s="459">
        <f t="shared" si="76"/>
        <v>0</v>
      </c>
      <c r="AA54" s="459">
        <f t="shared" si="77"/>
        <v>0</v>
      </c>
      <c r="AB54" s="459">
        <f t="shared" si="78"/>
        <v>0</v>
      </c>
      <c r="AC54" s="459">
        <f t="shared" si="79"/>
        <v>0</v>
      </c>
      <c r="AD54" s="459">
        <f t="shared" si="80"/>
        <v>0</v>
      </c>
      <c r="AE54" s="459">
        <f t="shared" si="81"/>
        <v>0</v>
      </c>
      <c r="AF54" s="459">
        <f t="shared" si="82"/>
        <v>0</v>
      </c>
      <c r="AG54" s="460">
        <f t="shared" si="51"/>
        <v>0</v>
      </c>
      <c r="AH54" s="463"/>
      <c r="AI54" s="459">
        <f t="shared" si="83"/>
        <v>0</v>
      </c>
      <c r="AJ54" s="459">
        <f t="shared" si="84"/>
        <v>0</v>
      </c>
      <c r="AK54" s="459">
        <f t="shared" si="85"/>
        <v>0</v>
      </c>
      <c r="AL54" s="459">
        <f t="shared" si="86"/>
        <v>0</v>
      </c>
      <c r="AM54" s="459">
        <f t="shared" si="87"/>
        <v>0</v>
      </c>
      <c r="AN54" s="459">
        <f t="shared" si="88"/>
        <v>0</v>
      </c>
      <c r="AO54" s="459">
        <f t="shared" si="89"/>
        <v>0</v>
      </c>
      <c r="AP54" s="459">
        <f t="shared" si="90"/>
        <v>0</v>
      </c>
      <c r="AQ54" s="459">
        <f t="shared" si="91"/>
        <v>0</v>
      </c>
      <c r="AR54" s="459">
        <f t="shared" si="92"/>
        <v>0</v>
      </c>
      <c r="AS54" s="460">
        <f t="shared" si="52"/>
        <v>0</v>
      </c>
      <c r="AT54" s="463"/>
      <c r="AU54" s="459">
        <f t="shared" si="53"/>
        <v>0</v>
      </c>
      <c r="AV54" s="459">
        <f t="shared" si="53"/>
        <v>0</v>
      </c>
      <c r="AW54" s="459">
        <f t="shared" si="53"/>
        <v>0</v>
      </c>
      <c r="AX54" s="459">
        <f t="shared" si="53"/>
        <v>0</v>
      </c>
      <c r="AY54" s="459">
        <f t="shared" si="53"/>
        <v>0</v>
      </c>
      <c r="AZ54" s="459">
        <f t="shared" si="53"/>
        <v>0</v>
      </c>
      <c r="BA54" s="459">
        <f t="shared" si="53"/>
        <v>0</v>
      </c>
      <c r="BB54" s="459">
        <f t="shared" si="53"/>
        <v>0</v>
      </c>
      <c r="BC54" s="459">
        <f t="shared" si="53"/>
        <v>0</v>
      </c>
      <c r="BD54" s="459">
        <f t="shared" si="53"/>
        <v>0</v>
      </c>
      <c r="BE54" s="460">
        <f t="shared" si="54"/>
        <v>0</v>
      </c>
      <c r="BF54" s="463"/>
      <c r="BG54" s="459">
        <f t="shared" si="55"/>
        <v>0</v>
      </c>
      <c r="BH54" s="459">
        <f t="shared" si="55"/>
        <v>0</v>
      </c>
      <c r="BI54" s="459">
        <f t="shared" si="55"/>
        <v>0</v>
      </c>
      <c r="BJ54" s="459">
        <f t="shared" si="55"/>
        <v>0</v>
      </c>
      <c r="BK54" s="459">
        <f t="shared" si="70"/>
        <v>0</v>
      </c>
      <c r="BL54" s="459">
        <f t="shared" si="70"/>
        <v>0</v>
      </c>
      <c r="BM54" s="459">
        <f t="shared" si="70"/>
        <v>0</v>
      </c>
      <c r="BN54" s="459">
        <f t="shared" si="70"/>
        <v>0</v>
      </c>
      <c r="BO54" s="459">
        <f t="shared" si="70"/>
        <v>0</v>
      </c>
      <c r="BP54" s="459">
        <f t="shared" si="70"/>
        <v>0</v>
      </c>
      <c r="BQ54" s="460">
        <f t="shared" si="56"/>
        <v>0</v>
      </c>
      <c r="BR54" s="463"/>
      <c r="BS54" s="459">
        <f t="shared" si="57"/>
        <v>0</v>
      </c>
      <c r="BT54" s="459">
        <f t="shared" si="57"/>
        <v>0</v>
      </c>
      <c r="BU54" s="459">
        <f t="shared" si="57"/>
        <v>0</v>
      </c>
      <c r="BV54" s="459">
        <f t="shared" si="57"/>
        <v>0</v>
      </c>
      <c r="BW54" s="459">
        <f t="shared" si="57"/>
        <v>0</v>
      </c>
      <c r="BX54" s="459">
        <f t="shared" si="57"/>
        <v>0</v>
      </c>
      <c r="BY54" s="459">
        <f t="shared" si="57"/>
        <v>0</v>
      </c>
      <c r="BZ54" s="459">
        <f t="shared" si="57"/>
        <v>0</v>
      </c>
      <c r="CA54" s="459">
        <f t="shared" si="57"/>
        <v>0</v>
      </c>
      <c r="CB54" s="459">
        <f t="shared" si="57"/>
        <v>0</v>
      </c>
      <c r="CC54" s="460">
        <f t="shared" si="58"/>
        <v>0</v>
      </c>
      <c r="CD54" s="463"/>
      <c r="CE54" s="459">
        <f t="shared" si="59"/>
        <v>0</v>
      </c>
      <c r="CF54" s="459">
        <f t="shared" si="59"/>
        <v>0</v>
      </c>
      <c r="CG54" s="459">
        <f t="shared" si="59"/>
        <v>0</v>
      </c>
      <c r="CH54" s="459">
        <f t="shared" si="59"/>
        <v>0</v>
      </c>
      <c r="CI54" s="459">
        <f t="shared" si="71"/>
        <v>0</v>
      </c>
      <c r="CJ54" s="459">
        <f t="shared" si="71"/>
        <v>0</v>
      </c>
      <c r="CK54" s="459">
        <f t="shared" si="71"/>
        <v>0</v>
      </c>
      <c r="CL54" s="459">
        <f t="shared" si="71"/>
        <v>0</v>
      </c>
      <c r="CM54" s="459">
        <f t="shared" si="71"/>
        <v>0</v>
      </c>
      <c r="CN54" s="459">
        <f t="shared" si="71"/>
        <v>0</v>
      </c>
      <c r="CO54" s="460">
        <f t="shared" si="60"/>
        <v>0</v>
      </c>
      <c r="CP54" s="463"/>
      <c r="CQ54" s="459">
        <f t="shared" si="93"/>
        <v>0</v>
      </c>
      <c r="CR54" s="459">
        <f t="shared" si="94"/>
        <v>0</v>
      </c>
      <c r="CS54" s="459">
        <f t="shared" si="95"/>
        <v>0</v>
      </c>
      <c r="CT54" s="459">
        <f t="shared" si="96"/>
        <v>0</v>
      </c>
      <c r="CU54" s="459">
        <f t="shared" si="97"/>
        <v>0</v>
      </c>
      <c r="CV54" s="459">
        <f t="shared" si="98"/>
        <v>0</v>
      </c>
      <c r="CW54" s="459">
        <f t="shared" si="99"/>
        <v>0</v>
      </c>
      <c r="CX54" s="459">
        <f t="shared" si="100"/>
        <v>0</v>
      </c>
      <c r="CY54" s="459">
        <f t="shared" si="101"/>
        <v>0</v>
      </c>
      <c r="CZ54" s="459">
        <f t="shared" si="102"/>
        <v>0</v>
      </c>
      <c r="DA54" s="460">
        <f t="shared" si="61"/>
        <v>0</v>
      </c>
      <c r="DB54" s="463"/>
      <c r="DC54" s="459">
        <f t="shared" si="62"/>
        <v>0</v>
      </c>
      <c r="DD54" s="459">
        <f t="shared" si="62"/>
        <v>0</v>
      </c>
      <c r="DE54" s="459">
        <f t="shared" si="62"/>
        <v>0</v>
      </c>
      <c r="DF54" s="459">
        <f t="shared" si="62"/>
        <v>0</v>
      </c>
      <c r="DG54" s="459">
        <f t="shared" si="62"/>
        <v>0</v>
      </c>
      <c r="DH54" s="459">
        <f t="shared" si="62"/>
        <v>0</v>
      </c>
      <c r="DI54" s="459">
        <f t="shared" si="62"/>
        <v>0</v>
      </c>
      <c r="DJ54" s="459">
        <f t="shared" si="62"/>
        <v>0</v>
      </c>
      <c r="DK54" s="459">
        <f t="shared" si="62"/>
        <v>0</v>
      </c>
      <c r="DL54" s="459">
        <f t="shared" si="62"/>
        <v>0</v>
      </c>
      <c r="DM54" s="460">
        <f t="shared" si="63"/>
        <v>0</v>
      </c>
      <c r="DN54" s="463"/>
      <c r="DO54" s="459">
        <f t="shared" si="68"/>
        <v>0</v>
      </c>
      <c r="DP54" s="459">
        <f t="shared" si="68"/>
        <v>0</v>
      </c>
      <c r="DQ54" s="459">
        <f t="shared" si="68"/>
        <v>0</v>
      </c>
      <c r="DR54" s="459">
        <f t="shared" si="68"/>
        <v>0</v>
      </c>
      <c r="DS54" s="459">
        <f t="shared" si="68"/>
        <v>0</v>
      </c>
      <c r="DT54" s="459">
        <f t="shared" si="66"/>
        <v>0</v>
      </c>
      <c r="DU54" s="459">
        <f t="shared" si="66"/>
        <v>0</v>
      </c>
      <c r="DV54" s="459">
        <f t="shared" si="66"/>
        <v>0</v>
      </c>
      <c r="DW54" s="459">
        <f t="shared" si="66"/>
        <v>0</v>
      </c>
      <c r="DX54" s="459">
        <f t="shared" si="66"/>
        <v>0</v>
      </c>
      <c r="DY54" s="460">
        <f t="shared" si="64"/>
        <v>0</v>
      </c>
      <c r="DZ54" s="463"/>
      <c r="EA54" s="459">
        <f t="shared" si="69"/>
        <v>0</v>
      </c>
      <c r="EB54" s="459">
        <f t="shared" si="69"/>
        <v>0</v>
      </c>
      <c r="EC54" s="459">
        <f t="shared" si="69"/>
        <v>0</v>
      </c>
      <c r="ED54" s="459">
        <f t="shared" si="69"/>
        <v>0</v>
      </c>
      <c r="EE54" s="459">
        <f t="shared" si="69"/>
        <v>0</v>
      </c>
      <c r="EF54" s="459">
        <f t="shared" si="67"/>
        <v>0</v>
      </c>
      <c r="EG54" s="459">
        <f t="shared" si="67"/>
        <v>0</v>
      </c>
      <c r="EH54" s="459">
        <f t="shared" si="67"/>
        <v>0</v>
      </c>
      <c r="EI54" s="459">
        <f t="shared" si="67"/>
        <v>0</v>
      </c>
      <c r="EJ54" s="459">
        <f t="shared" si="67"/>
        <v>0</v>
      </c>
      <c r="EK54" s="460">
        <f t="shared" si="65"/>
        <v>0</v>
      </c>
    </row>
    <row r="55" spans="2:141" s="268" customFormat="1" ht="15" customHeight="1" x14ac:dyDescent="0.25">
      <c r="B55" s="464" t="str">
        <f>'2. START'!C$7</f>
        <v>100GEM</v>
      </c>
      <c r="C55" s="470"/>
      <c r="D55" s="593"/>
      <c r="E55" s="527">
        <v>0</v>
      </c>
      <c r="F55" s="527" t="s">
        <v>36</v>
      </c>
      <c r="G55" s="527"/>
      <c r="H55" s="515"/>
      <c r="I55" s="515"/>
      <c r="J55" s="515"/>
      <c r="K55" s="515"/>
      <c r="L55" s="515"/>
      <c r="M55" s="515"/>
      <c r="N55" s="515"/>
      <c r="O55" s="515"/>
      <c r="P55" s="515"/>
      <c r="Q55" s="515"/>
      <c r="R55" s="442">
        <f t="shared" si="72"/>
        <v>0</v>
      </c>
      <c r="S55" s="516">
        <f>IF('2. START'!$C$20="UTB",(SUMIF('3. PARTNER'!B$13:B$80,B55,'3. PARTNER'!M$13:M$80)),(SUMIF('3. PARTNER'!B$13:B$80,B55,'3. PARTNER'!I$13:I$80)))</f>
        <v>0</v>
      </c>
      <c r="T55" s="516">
        <f>IF('2. START'!$C$20="UTB",(SUMIF('3. PARTNER'!B$13:B$80,B55,'3. PARTNER'!N$13:N$80)),(SUMIF('3. PARTNER'!B$13:B$80,B55,'3. PARTNER'!J$13:J$80)))</f>
        <v>0</v>
      </c>
      <c r="U55" s="517">
        <f>IF(F55="NO",0,IF('2. START'!C$13="PERSON+OPERATION",'2. START'!C$12,0)+IF('2. START'!C$13="PERSON+OPERATION+INVEST+FACILIT",'2. START'!C$12,0))</f>
        <v>0</v>
      </c>
      <c r="W55" s="519">
        <f t="shared" si="73"/>
        <v>0</v>
      </c>
      <c r="X55" s="519">
        <f t="shared" si="74"/>
        <v>0</v>
      </c>
      <c r="Y55" s="519">
        <f t="shared" si="75"/>
        <v>0</v>
      </c>
      <c r="Z55" s="519">
        <f t="shared" si="76"/>
        <v>0</v>
      </c>
      <c r="AA55" s="519">
        <f t="shared" si="77"/>
        <v>0</v>
      </c>
      <c r="AB55" s="519">
        <f t="shared" si="78"/>
        <v>0</v>
      </c>
      <c r="AC55" s="519">
        <f t="shared" si="79"/>
        <v>0</v>
      </c>
      <c r="AD55" s="519">
        <f t="shared" si="80"/>
        <v>0</v>
      </c>
      <c r="AE55" s="519">
        <f t="shared" si="81"/>
        <v>0</v>
      </c>
      <c r="AF55" s="519">
        <f t="shared" si="82"/>
        <v>0</v>
      </c>
      <c r="AG55" s="520">
        <f t="shared" si="51"/>
        <v>0</v>
      </c>
      <c r="AI55" s="519">
        <f t="shared" si="83"/>
        <v>0</v>
      </c>
      <c r="AJ55" s="519">
        <f t="shared" si="84"/>
        <v>0</v>
      </c>
      <c r="AK55" s="519">
        <f t="shared" si="85"/>
        <v>0</v>
      </c>
      <c r="AL55" s="519">
        <f t="shared" si="86"/>
        <v>0</v>
      </c>
      <c r="AM55" s="519">
        <f t="shared" si="87"/>
        <v>0</v>
      </c>
      <c r="AN55" s="519">
        <f t="shared" si="88"/>
        <v>0</v>
      </c>
      <c r="AO55" s="519">
        <f t="shared" si="89"/>
        <v>0</v>
      </c>
      <c r="AP55" s="519">
        <f t="shared" si="90"/>
        <v>0</v>
      </c>
      <c r="AQ55" s="519">
        <f t="shared" si="91"/>
        <v>0</v>
      </c>
      <c r="AR55" s="519">
        <f t="shared" si="92"/>
        <v>0</v>
      </c>
      <c r="AS55" s="520">
        <f t="shared" si="52"/>
        <v>0</v>
      </c>
      <c r="AU55" s="519">
        <f t="shared" si="53"/>
        <v>0</v>
      </c>
      <c r="AV55" s="519">
        <f t="shared" si="53"/>
        <v>0</v>
      </c>
      <c r="AW55" s="519">
        <f t="shared" si="53"/>
        <v>0</v>
      </c>
      <c r="AX55" s="519">
        <f t="shared" si="53"/>
        <v>0</v>
      </c>
      <c r="AY55" s="519">
        <f t="shared" si="53"/>
        <v>0</v>
      </c>
      <c r="AZ55" s="519">
        <f t="shared" si="53"/>
        <v>0</v>
      </c>
      <c r="BA55" s="519">
        <f t="shared" si="53"/>
        <v>0</v>
      </c>
      <c r="BB55" s="519">
        <f t="shared" si="53"/>
        <v>0</v>
      </c>
      <c r="BC55" s="519">
        <f t="shared" si="53"/>
        <v>0</v>
      </c>
      <c r="BD55" s="519">
        <f t="shared" si="53"/>
        <v>0</v>
      </c>
      <c r="BE55" s="520">
        <f t="shared" si="54"/>
        <v>0</v>
      </c>
      <c r="BG55" s="519">
        <f t="shared" si="55"/>
        <v>0</v>
      </c>
      <c r="BH55" s="519">
        <f t="shared" si="55"/>
        <v>0</v>
      </c>
      <c r="BI55" s="519">
        <f t="shared" si="55"/>
        <v>0</v>
      </c>
      <c r="BJ55" s="519">
        <f t="shared" si="55"/>
        <v>0</v>
      </c>
      <c r="BK55" s="519">
        <f t="shared" si="70"/>
        <v>0</v>
      </c>
      <c r="BL55" s="519">
        <f t="shared" si="70"/>
        <v>0</v>
      </c>
      <c r="BM55" s="519">
        <f t="shared" si="70"/>
        <v>0</v>
      </c>
      <c r="BN55" s="519">
        <f t="shared" si="70"/>
        <v>0</v>
      </c>
      <c r="BO55" s="519">
        <f t="shared" si="70"/>
        <v>0</v>
      </c>
      <c r="BP55" s="519">
        <f t="shared" si="70"/>
        <v>0</v>
      </c>
      <c r="BQ55" s="520">
        <f t="shared" si="56"/>
        <v>0</v>
      </c>
      <c r="BS55" s="519">
        <f t="shared" si="57"/>
        <v>0</v>
      </c>
      <c r="BT55" s="519">
        <f t="shared" si="57"/>
        <v>0</v>
      </c>
      <c r="BU55" s="519">
        <f t="shared" si="57"/>
        <v>0</v>
      </c>
      <c r="BV55" s="519">
        <f t="shared" si="57"/>
        <v>0</v>
      </c>
      <c r="BW55" s="519">
        <f t="shared" si="57"/>
        <v>0</v>
      </c>
      <c r="BX55" s="519">
        <f t="shared" si="57"/>
        <v>0</v>
      </c>
      <c r="BY55" s="519">
        <f t="shared" si="57"/>
        <v>0</v>
      </c>
      <c r="BZ55" s="519">
        <f t="shared" si="57"/>
        <v>0</v>
      </c>
      <c r="CA55" s="519">
        <f t="shared" si="57"/>
        <v>0</v>
      </c>
      <c r="CB55" s="519">
        <f t="shared" si="57"/>
        <v>0</v>
      </c>
      <c r="CC55" s="520">
        <f t="shared" si="58"/>
        <v>0</v>
      </c>
      <c r="CE55" s="519">
        <f t="shared" si="59"/>
        <v>0</v>
      </c>
      <c r="CF55" s="519">
        <f t="shared" si="59"/>
        <v>0</v>
      </c>
      <c r="CG55" s="519">
        <f t="shared" si="59"/>
        <v>0</v>
      </c>
      <c r="CH55" s="519">
        <f t="shared" si="59"/>
        <v>0</v>
      </c>
      <c r="CI55" s="519">
        <f t="shared" si="71"/>
        <v>0</v>
      </c>
      <c r="CJ55" s="519">
        <f t="shared" si="71"/>
        <v>0</v>
      </c>
      <c r="CK55" s="519">
        <f t="shared" si="71"/>
        <v>0</v>
      </c>
      <c r="CL55" s="519">
        <f t="shared" si="71"/>
        <v>0</v>
      </c>
      <c r="CM55" s="519">
        <f t="shared" si="71"/>
        <v>0</v>
      </c>
      <c r="CN55" s="519">
        <f t="shared" si="71"/>
        <v>0</v>
      </c>
      <c r="CO55" s="520">
        <f t="shared" si="60"/>
        <v>0</v>
      </c>
      <c r="CQ55" s="519">
        <f t="shared" si="93"/>
        <v>0</v>
      </c>
      <c r="CR55" s="519">
        <f t="shared" si="94"/>
        <v>0</v>
      </c>
      <c r="CS55" s="519">
        <f t="shared" si="95"/>
        <v>0</v>
      </c>
      <c r="CT55" s="519">
        <f t="shared" si="96"/>
        <v>0</v>
      </c>
      <c r="CU55" s="519">
        <f t="shared" si="97"/>
        <v>0</v>
      </c>
      <c r="CV55" s="519">
        <f t="shared" si="98"/>
        <v>0</v>
      </c>
      <c r="CW55" s="519">
        <f t="shared" si="99"/>
        <v>0</v>
      </c>
      <c r="CX55" s="519">
        <f t="shared" si="100"/>
        <v>0</v>
      </c>
      <c r="CY55" s="519">
        <f t="shared" si="101"/>
        <v>0</v>
      </c>
      <c r="CZ55" s="519">
        <f t="shared" si="102"/>
        <v>0</v>
      </c>
      <c r="DA55" s="520">
        <f t="shared" si="61"/>
        <v>0</v>
      </c>
      <c r="DC55" s="519">
        <f t="shared" si="62"/>
        <v>0</v>
      </c>
      <c r="DD55" s="519">
        <f t="shared" si="62"/>
        <v>0</v>
      </c>
      <c r="DE55" s="519">
        <f t="shared" si="62"/>
        <v>0</v>
      </c>
      <c r="DF55" s="519">
        <f t="shared" si="62"/>
        <v>0</v>
      </c>
      <c r="DG55" s="519">
        <f t="shared" si="62"/>
        <v>0</v>
      </c>
      <c r="DH55" s="519">
        <f t="shared" si="62"/>
        <v>0</v>
      </c>
      <c r="DI55" s="519">
        <f t="shared" si="62"/>
        <v>0</v>
      </c>
      <c r="DJ55" s="519">
        <f t="shared" si="62"/>
        <v>0</v>
      </c>
      <c r="DK55" s="519">
        <f t="shared" si="62"/>
        <v>0</v>
      </c>
      <c r="DL55" s="519">
        <f t="shared" si="62"/>
        <v>0</v>
      </c>
      <c r="DM55" s="520">
        <f t="shared" si="63"/>
        <v>0</v>
      </c>
      <c r="DO55" s="519">
        <f t="shared" si="68"/>
        <v>0</v>
      </c>
      <c r="DP55" s="519">
        <f t="shared" si="68"/>
        <v>0</v>
      </c>
      <c r="DQ55" s="519">
        <f t="shared" si="68"/>
        <v>0</v>
      </c>
      <c r="DR55" s="519">
        <f t="shared" si="68"/>
        <v>0</v>
      </c>
      <c r="DS55" s="519">
        <f t="shared" si="68"/>
        <v>0</v>
      </c>
      <c r="DT55" s="519">
        <f t="shared" si="66"/>
        <v>0</v>
      </c>
      <c r="DU55" s="519">
        <f t="shared" si="66"/>
        <v>0</v>
      </c>
      <c r="DV55" s="519">
        <f t="shared" si="66"/>
        <v>0</v>
      </c>
      <c r="DW55" s="519">
        <f t="shared" si="66"/>
        <v>0</v>
      </c>
      <c r="DX55" s="519">
        <f t="shared" si="66"/>
        <v>0</v>
      </c>
      <c r="DY55" s="520">
        <f t="shared" si="64"/>
        <v>0</v>
      </c>
      <c r="EA55" s="519">
        <f t="shared" si="69"/>
        <v>0</v>
      </c>
      <c r="EB55" s="519">
        <f t="shared" si="69"/>
        <v>0</v>
      </c>
      <c r="EC55" s="519">
        <f t="shared" si="69"/>
        <v>0</v>
      </c>
      <c r="ED55" s="519">
        <f t="shared" si="69"/>
        <v>0</v>
      </c>
      <c r="EE55" s="519">
        <f t="shared" si="69"/>
        <v>0</v>
      </c>
      <c r="EF55" s="519">
        <f t="shared" si="67"/>
        <v>0</v>
      </c>
      <c r="EG55" s="519">
        <f t="shared" si="67"/>
        <v>0</v>
      </c>
      <c r="EH55" s="519">
        <f t="shared" si="67"/>
        <v>0</v>
      </c>
      <c r="EI55" s="519">
        <f t="shared" si="67"/>
        <v>0</v>
      </c>
      <c r="EJ55" s="519">
        <f t="shared" si="67"/>
        <v>0</v>
      </c>
      <c r="EK55" s="520">
        <f t="shared" si="65"/>
        <v>0</v>
      </c>
    </row>
    <row r="56" spans="2:141" s="268" customFormat="1" ht="15" customHeight="1" x14ac:dyDescent="0.25">
      <c r="B56" s="446" t="str">
        <f>'2. START'!C$7</f>
        <v>100GEM</v>
      </c>
      <c r="C56" s="469"/>
      <c r="D56" s="594"/>
      <c r="E56" s="522">
        <v>0</v>
      </c>
      <c r="F56" s="522" t="s">
        <v>36</v>
      </c>
      <c r="G56" s="522"/>
      <c r="H56" s="523"/>
      <c r="I56" s="523"/>
      <c r="J56" s="523"/>
      <c r="K56" s="523"/>
      <c r="L56" s="523"/>
      <c r="M56" s="523"/>
      <c r="N56" s="523"/>
      <c r="O56" s="523"/>
      <c r="P56" s="523"/>
      <c r="Q56" s="523"/>
      <c r="R56" s="459">
        <f t="shared" si="72"/>
        <v>0</v>
      </c>
      <c r="S56" s="524">
        <f>IF('2. START'!$C$20="UTB",(SUMIF('3. PARTNER'!B$13:B$80,B56,'3. PARTNER'!M$13:M$80)),(SUMIF('3. PARTNER'!B$13:B$80,B56,'3. PARTNER'!I$13:I$80)))</f>
        <v>0</v>
      </c>
      <c r="T56" s="524">
        <f>IF('2. START'!$C$20="UTB",(SUMIF('3. PARTNER'!B$13:B$80,B56,'3. PARTNER'!N$13:N$80)),(SUMIF('3. PARTNER'!B$13:B$80,B56,'3. PARTNER'!J$13:J$80)))</f>
        <v>0</v>
      </c>
      <c r="U56" s="454">
        <f>IF(F56="NO",0,IF('2. START'!C$13="PERSON+OPERATION",'2. START'!C$12,0)+IF('2. START'!C$13="PERSON+OPERATION+INVEST+FACILIT",'2. START'!C$12,0))</f>
        <v>0</v>
      </c>
      <c r="V56" s="463"/>
      <c r="W56" s="459">
        <f t="shared" si="73"/>
        <v>0</v>
      </c>
      <c r="X56" s="459">
        <f t="shared" si="74"/>
        <v>0</v>
      </c>
      <c r="Y56" s="459">
        <f t="shared" si="75"/>
        <v>0</v>
      </c>
      <c r="Z56" s="459">
        <f t="shared" si="76"/>
        <v>0</v>
      </c>
      <c r="AA56" s="459">
        <f t="shared" si="77"/>
        <v>0</v>
      </c>
      <c r="AB56" s="459">
        <f t="shared" si="78"/>
        <v>0</v>
      </c>
      <c r="AC56" s="459">
        <f t="shared" si="79"/>
        <v>0</v>
      </c>
      <c r="AD56" s="459">
        <f t="shared" si="80"/>
        <v>0</v>
      </c>
      <c r="AE56" s="459">
        <f t="shared" si="81"/>
        <v>0</v>
      </c>
      <c r="AF56" s="459">
        <f t="shared" si="82"/>
        <v>0</v>
      </c>
      <c r="AG56" s="460">
        <f t="shared" si="51"/>
        <v>0</v>
      </c>
      <c r="AH56" s="463"/>
      <c r="AI56" s="459">
        <f t="shared" si="83"/>
        <v>0</v>
      </c>
      <c r="AJ56" s="459">
        <f t="shared" si="84"/>
        <v>0</v>
      </c>
      <c r="AK56" s="459">
        <f t="shared" si="85"/>
        <v>0</v>
      </c>
      <c r="AL56" s="459">
        <f t="shared" si="86"/>
        <v>0</v>
      </c>
      <c r="AM56" s="459">
        <f t="shared" si="87"/>
        <v>0</v>
      </c>
      <c r="AN56" s="459">
        <f t="shared" si="88"/>
        <v>0</v>
      </c>
      <c r="AO56" s="459">
        <f t="shared" si="89"/>
        <v>0</v>
      </c>
      <c r="AP56" s="459">
        <f t="shared" si="90"/>
        <v>0</v>
      </c>
      <c r="AQ56" s="459">
        <f t="shared" si="91"/>
        <v>0</v>
      </c>
      <c r="AR56" s="459">
        <f t="shared" si="92"/>
        <v>0</v>
      </c>
      <c r="AS56" s="460">
        <f t="shared" si="52"/>
        <v>0</v>
      </c>
      <c r="AT56" s="463"/>
      <c r="AU56" s="459">
        <f t="shared" si="53"/>
        <v>0</v>
      </c>
      <c r="AV56" s="459">
        <f t="shared" si="53"/>
        <v>0</v>
      </c>
      <c r="AW56" s="459">
        <f t="shared" si="53"/>
        <v>0</v>
      </c>
      <c r="AX56" s="459">
        <f t="shared" si="53"/>
        <v>0</v>
      </c>
      <c r="AY56" s="459">
        <f t="shared" si="53"/>
        <v>0</v>
      </c>
      <c r="AZ56" s="459">
        <f t="shared" si="53"/>
        <v>0</v>
      </c>
      <c r="BA56" s="459">
        <f t="shared" si="53"/>
        <v>0</v>
      </c>
      <c r="BB56" s="459">
        <f t="shared" si="53"/>
        <v>0</v>
      </c>
      <c r="BC56" s="459">
        <f t="shared" si="53"/>
        <v>0</v>
      </c>
      <c r="BD56" s="459">
        <f t="shared" si="53"/>
        <v>0</v>
      </c>
      <c r="BE56" s="460">
        <f t="shared" si="54"/>
        <v>0</v>
      </c>
      <c r="BF56" s="463"/>
      <c r="BG56" s="459">
        <f t="shared" si="55"/>
        <v>0</v>
      </c>
      <c r="BH56" s="459">
        <f t="shared" si="55"/>
        <v>0</v>
      </c>
      <c r="BI56" s="459">
        <f t="shared" si="55"/>
        <v>0</v>
      </c>
      <c r="BJ56" s="459">
        <f t="shared" si="55"/>
        <v>0</v>
      </c>
      <c r="BK56" s="459">
        <f t="shared" si="70"/>
        <v>0</v>
      </c>
      <c r="BL56" s="459">
        <f t="shared" si="70"/>
        <v>0</v>
      </c>
      <c r="BM56" s="459">
        <f t="shared" si="70"/>
        <v>0</v>
      </c>
      <c r="BN56" s="459">
        <f t="shared" si="70"/>
        <v>0</v>
      </c>
      <c r="BO56" s="459">
        <f t="shared" si="70"/>
        <v>0</v>
      </c>
      <c r="BP56" s="459">
        <f t="shared" si="70"/>
        <v>0</v>
      </c>
      <c r="BQ56" s="460">
        <f t="shared" si="56"/>
        <v>0</v>
      </c>
      <c r="BR56" s="463"/>
      <c r="BS56" s="459">
        <f t="shared" si="57"/>
        <v>0</v>
      </c>
      <c r="BT56" s="459">
        <f t="shared" si="57"/>
        <v>0</v>
      </c>
      <c r="BU56" s="459">
        <f t="shared" si="57"/>
        <v>0</v>
      </c>
      <c r="BV56" s="459">
        <f t="shared" si="57"/>
        <v>0</v>
      </c>
      <c r="BW56" s="459">
        <f t="shared" si="57"/>
        <v>0</v>
      </c>
      <c r="BX56" s="459">
        <f t="shared" si="57"/>
        <v>0</v>
      </c>
      <c r="BY56" s="459">
        <f t="shared" si="57"/>
        <v>0</v>
      </c>
      <c r="BZ56" s="459">
        <f t="shared" si="57"/>
        <v>0</v>
      </c>
      <c r="CA56" s="459">
        <f t="shared" si="57"/>
        <v>0</v>
      </c>
      <c r="CB56" s="459">
        <f t="shared" si="57"/>
        <v>0</v>
      </c>
      <c r="CC56" s="460">
        <f t="shared" si="58"/>
        <v>0</v>
      </c>
      <c r="CD56" s="463"/>
      <c r="CE56" s="459">
        <f t="shared" si="59"/>
        <v>0</v>
      </c>
      <c r="CF56" s="459">
        <f t="shared" si="59"/>
        <v>0</v>
      </c>
      <c r="CG56" s="459">
        <f t="shared" si="59"/>
        <v>0</v>
      </c>
      <c r="CH56" s="459">
        <f t="shared" si="59"/>
        <v>0</v>
      </c>
      <c r="CI56" s="459">
        <f t="shared" si="71"/>
        <v>0</v>
      </c>
      <c r="CJ56" s="459">
        <f t="shared" si="71"/>
        <v>0</v>
      </c>
      <c r="CK56" s="459">
        <f t="shared" si="71"/>
        <v>0</v>
      </c>
      <c r="CL56" s="459">
        <f t="shared" si="71"/>
        <v>0</v>
      </c>
      <c r="CM56" s="459">
        <f t="shared" si="71"/>
        <v>0</v>
      </c>
      <c r="CN56" s="459">
        <f t="shared" si="71"/>
        <v>0</v>
      </c>
      <c r="CO56" s="460">
        <f t="shared" si="60"/>
        <v>0</v>
      </c>
      <c r="CP56" s="463"/>
      <c r="CQ56" s="459">
        <f t="shared" si="93"/>
        <v>0</v>
      </c>
      <c r="CR56" s="459">
        <f t="shared" si="94"/>
        <v>0</v>
      </c>
      <c r="CS56" s="459">
        <f t="shared" si="95"/>
        <v>0</v>
      </c>
      <c r="CT56" s="459">
        <f t="shared" si="96"/>
        <v>0</v>
      </c>
      <c r="CU56" s="459">
        <f t="shared" si="97"/>
        <v>0</v>
      </c>
      <c r="CV56" s="459">
        <f t="shared" si="98"/>
        <v>0</v>
      </c>
      <c r="CW56" s="459">
        <f t="shared" si="99"/>
        <v>0</v>
      </c>
      <c r="CX56" s="459">
        <f t="shared" si="100"/>
        <v>0</v>
      </c>
      <c r="CY56" s="459">
        <f t="shared" si="101"/>
        <v>0</v>
      </c>
      <c r="CZ56" s="459">
        <f t="shared" si="102"/>
        <v>0</v>
      </c>
      <c r="DA56" s="460">
        <f t="shared" si="61"/>
        <v>0</v>
      </c>
      <c r="DB56" s="463"/>
      <c r="DC56" s="459">
        <f t="shared" si="62"/>
        <v>0</v>
      </c>
      <c r="DD56" s="459">
        <f t="shared" si="62"/>
        <v>0</v>
      </c>
      <c r="DE56" s="459">
        <f t="shared" si="62"/>
        <v>0</v>
      </c>
      <c r="DF56" s="459">
        <f t="shared" si="62"/>
        <v>0</v>
      </c>
      <c r="DG56" s="459">
        <f t="shared" si="62"/>
        <v>0</v>
      </c>
      <c r="DH56" s="459">
        <f t="shared" si="62"/>
        <v>0</v>
      </c>
      <c r="DI56" s="459">
        <f t="shared" si="62"/>
        <v>0</v>
      </c>
      <c r="DJ56" s="459">
        <f t="shared" si="62"/>
        <v>0</v>
      </c>
      <c r="DK56" s="459">
        <f t="shared" si="62"/>
        <v>0</v>
      </c>
      <c r="DL56" s="459">
        <f t="shared" si="62"/>
        <v>0</v>
      </c>
      <c r="DM56" s="460">
        <f t="shared" si="63"/>
        <v>0</v>
      </c>
      <c r="DN56" s="463"/>
      <c r="DO56" s="459">
        <f t="shared" si="68"/>
        <v>0</v>
      </c>
      <c r="DP56" s="459">
        <f t="shared" si="68"/>
        <v>0</v>
      </c>
      <c r="DQ56" s="459">
        <f t="shared" si="68"/>
        <v>0</v>
      </c>
      <c r="DR56" s="459">
        <f t="shared" si="68"/>
        <v>0</v>
      </c>
      <c r="DS56" s="459">
        <f t="shared" si="68"/>
        <v>0</v>
      </c>
      <c r="DT56" s="459">
        <f t="shared" si="66"/>
        <v>0</v>
      </c>
      <c r="DU56" s="459">
        <f t="shared" si="66"/>
        <v>0</v>
      </c>
      <c r="DV56" s="459">
        <f t="shared" si="66"/>
        <v>0</v>
      </c>
      <c r="DW56" s="459">
        <f t="shared" si="66"/>
        <v>0</v>
      </c>
      <c r="DX56" s="459">
        <f t="shared" si="66"/>
        <v>0</v>
      </c>
      <c r="DY56" s="460">
        <f t="shared" si="64"/>
        <v>0</v>
      </c>
      <c r="DZ56" s="463"/>
      <c r="EA56" s="459">
        <f t="shared" si="69"/>
        <v>0</v>
      </c>
      <c r="EB56" s="459">
        <f t="shared" si="69"/>
        <v>0</v>
      </c>
      <c r="EC56" s="459">
        <f t="shared" si="69"/>
        <v>0</v>
      </c>
      <c r="ED56" s="459">
        <f t="shared" si="69"/>
        <v>0</v>
      </c>
      <c r="EE56" s="459">
        <f t="shared" si="69"/>
        <v>0</v>
      </c>
      <c r="EF56" s="459">
        <f t="shared" si="67"/>
        <v>0</v>
      </c>
      <c r="EG56" s="459">
        <f t="shared" si="67"/>
        <v>0</v>
      </c>
      <c r="EH56" s="459">
        <f t="shared" si="67"/>
        <v>0</v>
      </c>
      <c r="EI56" s="459">
        <f t="shared" si="67"/>
        <v>0</v>
      </c>
      <c r="EJ56" s="459">
        <f t="shared" si="67"/>
        <v>0</v>
      </c>
      <c r="EK56" s="460">
        <f t="shared" si="65"/>
        <v>0</v>
      </c>
    </row>
    <row r="57" spans="2:141" s="268" customFormat="1" ht="15" customHeight="1" x14ac:dyDescent="0.25">
      <c r="B57" s="464" t="str">
        <f>'2. START'!C$7</f>
        <v>100GEM</v>
      </c>
      <c r="C57" s="470"/>
      <c r="D57" s="593"/>
      <c r="E57" s="527">
        <v>0</v>
      </c>
      <c r="F57" s="527" t="s">
        <v>36</v>
      </c>
      <c r="G57" s="527"/>
      <c r="H57" s="515"/>
      <c r="I57" s="515"/>
      <c r="J57" s="515"/>
      <c r="K57" s="515"/>
      <c r="L57" s="515"/>
      <c r="M57" s="515"/>
      <c r="N57" s="515"/>
      <c r="O57" s="515"/>
      <c r="P57" s="515"/>
      <c r="Q57" s="515"/>
      <c r="R57" s="442">
        <f t="shared" si="72"/>
        <v>0</v>
      </c>
      <c r="S57" s="516">
        <f>IF('2. START'!$C$20="UTB",(SUMIF('3. PARTNER'!B$13:B$80,B57,'3. PARTNER'!M$13:M$80)),(SUMIF('3. PARTNER'!B$13:B$80,B57,'3. PARTNER'!I$13:I$80)))</f>
        <v>0</v>
      </c>
      <c r="T57" s="516">
        <f>IF('2. START'!$C$20="UTB",(SUMIF('3. PARTNER'!B$13:B$80,B57,'3. PARTNER'!N$13:N$80)),(SUMIF('3. PARTNER'!B$13:B$80,B57,'3. PARTNER'!J$13:J$80)))</f>
        <v>0</v>
      </c>
      <c r="U57" s="517">
        <f>IF(F57="NO",0,IF('2. START'!C$13="PERSON+OPERATION",'2. START'!C$12,0)+IF('2. START'!C$13="PERSON+OPERATION+INVEST+FACILIT",'2. START'!C$12,0))</f>
        <v>0</v>
      </c>
      <c r="W57" s="519">
        <f t="shared" si="73"/>
        <v>0</v>
      </c>
      <c r="X57" s="519">
        <f t="shared" si="74"/>
        <v>0</v>
      </c>
      <c r="Y57" s="519">
        <f t="shared" si="75"/>
        <v>0</v>
      </c>
      <c r="Z57" s="519">
        <f t="shared" si="76"/>
        <v>0</v>
      </c>
      <c r="AA57" s="519">
        <f t="shared" si="77"/>
        <v>0</v>
      </c>
      <c r="AB57" s="519">
        <f t="shared" si="78"/>
        <v>0</v>
      </c>
      <c r="AC57" s="519">
        <f t="shared" si="79"/>
        <v>0</v>
      </c>
      <c r="AD57" s="519">
        <f t="shared" si="80"/>
        <v>0</v>
      </c>
      <c r="AE57" s="519">
        <f t="shared" si="81"/>
        <v>0</v>
      </c>
      <c r="AF57" s="519">
        <f t="shared" si="82"/>
        <v>0</v>
      </c>
      <c r="AG57" s="520">
        <f t="shared" si="51"/>
        <v>0</v>
      </c>
      <c r="AI57" s="519">
        <f t="shared" si="83"/>
        <v>0</v>
      </c>
      <c r="AJ57" s="519">
        <f t="shared" si="84"/>
        <v>0</v>
      </c>
      <c r="AK57" s="519">
        <f t="shared" si="85"/>
        <v>0</v>
      </c>
      <c r="AL57" s="519">
        <f t="shared" si="86"/>
        <v>0</v>
      </c>
      <c r="AM57" s="519">
        <f t="shared" si="87"/>
        <v>0</v>
      </c>
      <c r="AN57" s="519">
        <f t="shared" si="88"/>
        <v>0</v>
      </c>
      <c r="AO57" s="519">
        <f t="shared" si="89"/>
        <v>0</v>
      </c>
      <c r="AP57" s="519">
        <f t="shared" si="90"/>
        <v>0</v>
      </c>
      <c r="AQ57" s="519">
        <f t="shared" si="91"/>
        <v>0</v>
      </c>
      <c r="AR57" s="519">
        <f t="shared" si="92"/>
        <v>0</v>
      </c>
      <c r="AS57" s="520">
        <f t="shared" si="52"/>
        <v>0</v>
      </c>
      <c r="AU57" s="519">
        <f t="shared" ref="AU57:BD82" si="103">$S57*W57</f>
        <v>0</v>
      </c>
      <c r="AV57" s="519">
        <f t="shared" si="103"/>
        <v>0</v>
      </c>
      <c r="AW57" s="519">
        <f t="shared" si="103"/>
        <v>0</v>
      </c>
      <c r="AX57" s="519">
        <f t="shared" si="103"/>
        <v>0</v>
      </c>
      <c r="AY57" s="519">
        <f t="shared" si="103"/>
        <v>0</v>
      </c>
      <c r="AZ57" s="519">
        <f t="shared" si="103"/>
        <v>0</v>
      </c>
      <c r="BA57" s="519">
        <f t="shared" si="103"/>
        <v>0</v>
      </c>
      <c r="BB57" s="519">
        <f t="shared" si="103"/>
        <v>0</v>
      </c>
      <c r="BC57" s="519">
        <f t="shared" si="103"/>
        <v>0</v>
      </c>
      <c r="BD57" s="519">
        <f t="shared" si="103"/>
        <v>0</v>
      </c>
      <c r="BE57" s="520">
        <f t="shared" si="54"/>
        <v>0</v>
      </c>
      <c r="BG57" s="519">
        <f t="shared" si="55"/>
        <v>0</v>
      </c>
      <c r="BH57" s="519">
        <f t="shared" si="55"/>
        <v>0</v>
      </c>
      <c r="BI57" s="519">
        <f t="shared" si="55"/>
        <v>0</v>
      </c>
      <c r="BJ57" s="519">
        <f t="shared" si="55"/>
        <v>0</v>
      </c>
      <c r="BK57" s="519">
        <f t="shared" si="70"/>
        <v>0</v>
      </c>
      <c r="BL57" s="519">
        <f t="shared" si="70"/>
        <v>0</v>
      </c>
      <c r="BM57" s="519">
        <f t="shared" si="70"/>
        <v>0</v>
      </c>
      <c r="BN57" s="519">
        <f t="shared" si="70"/>
        <v>0</v>
      </c>
      <c r="BO57" s="519">
        <f t="shared" si="70"/>
        <v>0</v>
      </c>
      <c r="BP57" s="519">
        <f t="shared" si="70"/>
        <v>0</v>
      </c>
      <c r="BQ57" s="520">
        <f t="shared" si="56"/>
        <v>0</v>
      </c>
      <c r="BS57" s="519">
        <f t="shared" ref="BS57:CB82" si="104">$T57*W57</f>
        <v>0</v>
      </c>
      <c r="BT57" s="519">
        <f t="shared" si="104"/>
        <v>0</v>
      </c>
      <c r="BU57" s="519">
        <f t="shared" si="104"/>
        <v>0</v>
      </c>
      <c r="BV57" s="519">
        <f t="shared" si="104"/>
        <v>0</v>
      </c>
      <c r="BW57" s="519">
        <f t="shared" si="104"/>
        <v>0</v>
      </c>
      <c r="BX57" s="519">
        <f t="shared" si="104"/>
        <v>0</v>
      </c>
      <c r="BY57" s="519">
        <f t="shared" si="104"/>
        <v>0</v>
      </c>
      <c r="BZ57" s="519">
        <f t="shared" si="104"/>
        <v>0</v>
      </c>
      <c r="CA57" s="519">
        <f t="shared" si="104"/>
        <v>0</v>
      </c>
      <c r="CB57" s="519">
        <f t="shared" si="104"/>
        <v>0</v>
      </c>
      <c r="CC57" s="520">
        <f t="shared" si="58"/>
        <v>0</v>
      </c>
      <c r="CE57" s="519">
        <f t="shared" si="59"/>
        <v>0</v>
      </c>
      <c r="CF57" s="519">
        <f t="shared" si="59"/>
        <v>0</v>
      </c>
      <c r="CG57" s="519">
        <f t="shared" si="59"/>
        <v>0</v>
      </c>
      <c r="CH57" s="519">
        <f t="shared" si="59"/>
        <v>0</v>
      </c>
      <c r="CI57" s="519">
        <f t="shared" si="71"/>
        <v>0</v>
      </c>
      <c r="CJ57" s="519">
        <f t="shared" si="71"/>
        <v>0</v>
      </c>
      <c r="CK57" s="519">
        <f t="shared" si="71"/>
        <v>0</v>
      </c>
      <c r="CL57" s="519">
        <f t="shared" si="71"/>
        <v>0</v>
      </c>
      <c r="CM57" s="519">
        <f t="shared" si="71"/>
        <v>0</v>
      </c>
      <c r="CN57" s="519">
        <f t="shared" si="71"/>
        <v>0</v>
      </c>
      <c r="CO57" s="520">
        <f t="shared" si="60"/>
        <v>0</v>
      </c>
      <c r="CQ57" s="519">
        <f t="shared" si="93"/>
        <v>0</v>
      </c>
      <c r="CR57" s="519">
        <f t="shared" si="94"/>
        <v>0</v>
      </c>
      <c r="CS57" s="519">
        <f t="shared" si="95"/>
        <v>0</v>
      </c>
      <c r="CT57" s="519">
        <f t="shared" si="96"/>
        <v>0</v>
      </c>
      <c r="CU57" s="519">
        <f t="shared" si="97"/>
        <v>0</v>
      </c>
      <c r="CV57" s="519">
        <f t="shared" si="98"/>
        <v>0</v>
      </c>
      <c r="CW57" s="519">
        <f t="shared" si="99"/>
        <v>0</v>
      </c>
      <c r="CX57" s="519">
        <f t="shared" si="100"/>
        <v>0</v>
      </c>
      <c r="CY57" s="519">
        <f t="shared" si="101"/>
        <v>0</v>
      </c>
      <c r="CZ57" s="519">
        <f t="shared" si="102"/>
        <v>0</v>
      </c>
      <c r="DA57" s="520">
        <f t="shared" si="61"/>
        <v>0</v>
      </c>
      <c r="DC57" s="519">
        <f t="shared" ref="DC57:DL82" si="105">AU57+BS57-CQ57</f>
        <v>0</v>
      </c>
      <c r="DD57" s="519">
        <f t="shared" si="105"/>
        <v>0</v>
      </c>
      <c r="DE57" s="519">
        <f t="shared" si="105"/>
        <v>0</v>
      </c>
      <c r="DF57" s="519">
        <f t="shared" si="105"/>
        <v>0</v>
      </c>
      <c r="DG57" s="519">
        <f t="shared" si="105"/>
        <v>0</v>
      </c>
      <c r="DH57" s="519">
        <f t="shared" si="105"/>
        <v>0</v>
      </c>
      <c r="DI57" s="519">
        <f t="shared" si="105"/>
        <v>0</v>
      </c>
      <c r="DJ57" s="519">
        <f t="shared" si="105"/>
        <v>0</v>
      </c>
      <c r="DK57" s="519">
        <f t="shared" si="105"/>
        <v>0</v>
      </c>
      <c r="DL57" s="519">
        <f t="shared" si="105"/>
        <v>0</v>
      </c>
      <c r="DM57" s="520">
        <f t="shared" si="63"/>
        <v>0</v>
      </c>
      <c r="DO57" s="519">
        <f t="shared" si="68"/>
        <v>0</v>
      </c>
      <c r="DP57" s="519">
        <f t="shared" si="68"/>
        <v>0</v>
      </c>
      <c r="DQ57" s="519">
        <f t="shared" si="68"/>
        <v>0</v>
      </c>
      <c r="DR57" s="519">
        <f t="shared" si="68"/>
        <v>0</v>
      </c>
      <c r="DS57" s="519">
        <f t="shared" si="68"/>
        <v>0</v>
      </c>
      <c r="DT57" s="519">
        <f t="shared" si="66"/>
        <v>0</v>
      </c>
      <c r="DU57" s="519">
        <f t="shared" si="66"/>
        <v>0</v>
      </c>
      <c r="DV57" s="519">
        <f t="shared" si="66"/>
        <v>0</v>
      </c>
      <c r="DW57" s="519">
        <f t="shared" si="66"/>
        <v>0</v>
      </c>
      <c r="DX57" s="519">
        <f t="shared" si="66"/>
        <v>0</v>
      </c>
      <c r="DY57" s="520">
        <f t="shared" si="64"/>
        <v>0</v>
      </c>
      <c r="EA57" s="519">
        <f t="shared" si="69"/>
        <v>0</v>
      </c>
      <c r="EB57" s="519">
        <f t="shared" si="69"/>
        <v>0</v>
      </c>
      <c r="EC57" s="519">
        <f t="shared" si="69"/>
        <v>0</v>
      </c>
      <c r="ED57" s="519">
        <f t="shared" si="69"/>
        <v>0</v>
      </c>
      <c r="EE57" s="519">
        <f t="shared" si="69"/>
        <v>0</v>
      </c>
      <c r="EF57" s="519">
        <f t="shared" si="67"/>
        <v>0</v>
      </c>
      <c r="EG57" s="519">
        <f t="shared" si="67"/>
        <v>0</v>
      </c>
      <c r="EH57" s="519">
        <f t="shared" si="67"/>
        <v>0</v>
      </c>
      <c r="EI57" s="519">
        <f t="shared" si="67"/>
        <v>0</v>
      </c>
      <c r="EJ57" s="519">
        <f t="shared" si="67"/>
        <v>0</v>
      </c>
      <c r="EK57" s="520">
        <f t="shared" si="65"/>
        <v>0</v>
      </c>
    </row>
    <row r="58" spans="2:141" s="268" customFormat="1" ht="15" customHeight="1" x14ac:dyDescent="0.25">
      <c r="B58" s="446" t="str">
        <f>'2. START'!C$7</f>
        <v>100GEM</v>
      </c>
      <c r="C58" s="469"/>
      <c r="D58" s="594"/>
      <c r="E58" s="522">
        <v>0</v>
      </c>
      <c r="F58" s="522" t="s">
        <v>36</v>
      </c>
      <c r="G58" s="522"/>
      <c r="H58" s="523"/>
      <c r="I58" s="523"/>
      <c r="J58" s="523"/>
      <c r="K58" s="523"/>
      <c r="L58" s="523"/>
      <c r="M58" s="523"/>
      <c r="N58" s="523"/>
      <c r="O58" s="523"/>
      <c r="P58" s="523"/>
      <c r="Q58" s="523"/>
      <c r="R58" s="459">
        <f t="shared" si="72"/>
        <v>0</v>
      </c>
      <c r="S58" s="524">
        <f>IF('2. START'!$C$20="UTB",(SUMIF('3. PARTNER'!B$13:B$80,B58,'3. PARTNER'!M$13:M$80)),(SUMIF('3. PARTNER'!B$13:B$80,B58,'3. PARTNER'!I$13:I$80)))</f>
        <v>0</v>
      </c>
      <c r="T58" s="524">
        <f>IF('2. START'!$C$20="UTB",(SUMIF('3. PARTNER'!B$13:B$80,B58,'3. PARTNER'!N$13:N$80)),(SUMIF('3. PARTNER'!B$13:B$80,B58,'3. PARTNER'!J$13:J$80)))</f>
        <v>0</v>
      </c>
      <c r="U58" s="454">
        <f>IF(F58="NO",0,IF('2. START'!C$13="PERSON+OPERATION",'2. START'!C$12,0)+IF('2. START'!C$13="PERSON+OPERATION+INVEST+FACILIT",'2. START'!C$12,0))</f>
        <v>0</v>
      </c>
      <c r="V58" s="463"/>
      <c r="W58" s="459">
        <f t="shared" si="73"/>
        <v>0</v>
      </c>
      <c r="X58" s="459">
        <f t="shared" si="74"/>
        <v>0</v>
      </c>
      <c r="Y58" s="459">
        <f t="shared" si="75"/>
        <v>0</v>
      </c>
      <c r="Z58" s="459">
        <f t="shared" si="76"/>
        <v>0</v>
      </c>
      <c r="AA58" s="459">
        <f t="shared" si="77"/>
        <v>0</v>
      </c>
      <c r="AB58" s="459">
        <f t="shared" si="78"/>
        <v>0</v>
      </c>
      <c r="AC58" s="459">
        <f t="shared" si="79"/>
        <v>0</v>
      </c>
      <c r="AD58" s="459">
        <f t="shared" si="80"/>
        <v>0</v>
      </c>
      <c r="AE58" s="459">
        <f t="shared" si="81"/>
        <v>0</v>
      </c>
      <c r="AF58" s="459">
        <f t="shared" si="82"/>
        <v>0</v>
      </c>
      <c r="AG58" s="460">
        <f t="shared" si="51"/>
        <v>0</v>
      </c>
      <c r="AH58" s="463"/>
      <c r="AI58" s="459">
        <f t="shared" si="83"/>
        <v>0</v>
      </c>
      <c r="AJ58" s="459">
        <f t="shared" si="84"/>
        <v>0</v>
      </c>
      <c r="AK58" s="459">
        <f t="shared" si="85"/>
        <v>0</v>
      </c>
      <c r="AL58" s="459">
        <f t="shared" si="86"/>
        <v>0</v>
      </c>
      <c r="AM58" s="459">
        <f t="shared" si="87"/>
        <v>0</v>
      </c>
      <c r="AN58" s="459">
        <f t="shared" si="88"/>
        <v>0</v>
      </c>
      <c r="AO58" s="459">
        <f t="shared" si="89"/>
        <v>0</v>
      </c>
      <c r="AP58" s="459">
        <f t="shared" si="90"/>
        <v>0</v>
      </c>
      <c r="AQ58" s="459">
        <f t="shared" si="91"/>
        <v>0</v>
      </c>
      <c r="AR58" s="459">
        <f t="shared" si="92"/>
        <v>0</v>
      </c>
      <c r="AS58" s="460">
        <f t="shared" si="52"/>
        <v>0</v>
      </c>
      <c r="AT58" s="463"/>
      <c r="AU58" s="459">
        <f t="shared" si="103"/>
        <v>0</v>
      </c>
      <c r="AV58" s="459">
        <f t="shared" si="103"/>
        <v>0</v>
      </c>
      <c r="AW58" s="459">
        <f t="shared" si="103"/>
        <v>0</v>
      </c>
      <c r="AX58" s="459">
        <f t="shared" si="103"/>
        <v>0</v>
      </c>
      <c r="AY58" s="459">
        <f t="shared" si="103"/>
        <v>0</v>
      </c>
      <c r="AZ58" s="459">
        <f t="shared" si="103"/>
        <v>0</v>
      </c>
      <c r="BA58" s="459">
        <f t="shared" si="103"/>
        <v>0</v>
      </c>
      <c r="BB58" s="459">
        <f t="shared" si="103"/>
        <v>0</v>
      </c>
      <c r="BC58" s="459">
        <f t="shared" si="103"/>
        <v>0</v>
      </c>
      <c r="BD58" s="459">
        <f t="shared" si="103"/>
        <v>0</v>
      </c>
      <c r="BE58" s="460">
        <f t="shared" si="54"/>
        <v>0</v>
      </c>
      <c r="BF58" s="463"/>
      <c r="BG58" s="459">
        <f t="shared" si="55"/>
        <v>0</v>
      </c>
      <c r="BH58" s="459">
        <f t="shared" si="55"/>
        <v>0</v>
      </c>
      <c r="BI58" s="459">
        <f t="shared" si="55"/>
        <v>0</v>
      </c>
      <c r="BJ58" s="459">
        <f t="shared" si="55"/>
        <v>0</v>
      </c>
      <c r="BK58" s="459">
        <f t="shared" si="70"/>
        <v>0</v>
      </c>
      <c r="BL58" s="459">
        <f t="shared" si="70"/>
        <v>0</v>
      </c>
      <c r="BM58" s="459">
        <f t="shared" si="70"/>
        <v>0</v>
      </c>
      <c r="BN58" s="459">
        <f t="shared" si="70"/>
        <v>0</v>
      </c>
      <c r="BO58" s="459">
        <f t="shared" si="70"/>
        <v>0</v>
      </c>
      <c r="BP58" s="459">
        <f t="shared" si="70"/>
        <v>0</v>
      </c>
      <c r="BQ58" s="460">
        <f t="shared" si="56"/>
        <v>0</v>
      </c>
      <c r="BR58" s="463"/>
      <c r="BS58" s="459">
        <f t="shared" si="104"/>
        <v>0</v>
      </c>
      <c r="BT58" s="459">
        <f t="shared" si="104"/>
        <v>0</v>
      </c>
      <c r="BU58" s="459">
        <f t="shared" si="104"/>
        <v>0</v>
      </c>
      <c r="BV58" s="459">
        <f t="shared" si="104"/>
        <v>0</v>
      </c>
      <c r="BW58" s="459">
        <f t="shared" si="104"/>
        <v>0</v>
      </c>
      <c r="BX58" s="459">
        <f t="shared" si="104"/>
        <v>0</v>
      </c>
      <c r="BY58" s="459">
        <f t="shared" si="104"/>
        <v>0</v>
      </c>
      <c r="BZ58" s="459">
        <f t="shared" si="104"/>
        <v>0</v>
      </c>
      <c r="CA58" s="459">
        <f t="shared" si="104"/>
        <v>0</v>
      </c>
      <c r="CB58" s="459">
        <f t="shared" si="104"/>
        <v>0</v>
      </c>
      <c r="CC58" s="460">
        <f t="shared" si="58"/>
        <v>0</v>
      </c>
      <c r="CD58" s="463"/>
      <c r="CE58" s="459">
        <f t="shared" si="59"/>
        <v>0</v>
      </c>
      <c r="CF58" s="459">
        <f t="shared" si="59"/>
        <v>0</v>
      </c>
      <c r="CG58" s="459">
        <f t="shared" si="59"/>
        <v>0</v>
      </c>
      <c r="CH58" s="459">
        <f t="shared" si="59"/>
        <v>0</v>
      </c>
      <c r="CI58" s="459">
        <f t="shared" si="71"/>
        <v>0</v>
      </c>
      <c r="CJ58" s="459">
        <f t="shared" si="71"/>
        <v>0</v>
      </c>
      <c r="CK58" s="459">
        <f t="shared" si="71"/>
        <v>0</v>
      </c>
      <c r="CL58" s="459">
        <f t="shared" si="71"/>
        <v>0</v>
      </c>
      <c r="CM58" s="459">
        <f t="shared" si="71"/>
        <v>0</v>
      </c>
      <c r="CN58" s="459">
        <f t="shared" si="71"/>
        <v>0</v>
      </c>
      <c r="CO58" s="460">
        <f t="shared" si="60"/>
        <v>0</v>
      </c>
      <c r="CP58" s="463"/>
      <c r="CQ58" s="459">
        <f t="shared" si="93"/>
        <v>0</v>
      </c>
      <c r="CR58" s="459">
        <f t="shared" si="94"/>
        <v>0</v>
      </c>
      <c r="CS58" s="459">
        <f t="shared" si="95"/>
        <v>0</v>
      </c>
      <c r="CT58" s="459">
        <f t="shared" si="96"/>
        <v>0</v>
      </c>
      <c r="CU58" s="459">
        <f t="shared" si="97"/>
        <v>0</v>
      </c>
      <c r="CV58" s="459">
        <f t="shared" si="98"/>
        <v>0</v>
      </c>
      <c r="CW58" s="459">
        <f t="shared" si="99"/>
        <v>0</v>
      </c>
      <c r="CX58" s="459">
        <f t="shared" si="100"/>
        <v>0</v>
      </c>
      <c r="CY58" s="459">
        <f t="shared" si="101"/>
        <v>0</v>
      </c>
      <c r="CZ58" s="459">
        <f t="shared" si="102"/>
        <v>0</v>
      </c>
      <c r="DA58" s="460">
        <f t="shared" si="61"/>
        <v>0</v>
      </c>
      <c r="DB58" s="463"/>
      <c r="DC58" s="459">
        <f t="shared" si="105"/>
        <v>0</v>
      </c>
      <c r="DD58" s="459">
        <f t="shared" si="105"/>
        <v>0</v>
      </c>
      <c r="DE58" s="459">
        <f t="shared" si="105"/>
        <v>0</v>
      </c>
      <c r="DF58" s="459">
        <f t="shared" si="105"/>
        <v>0</v>
      </c>
      <c r="DG58" s="459">
        <f t="shared" si="105"/>
        <v>0</v>
      </c>
      <c r="DH58" s="459">
        <f t="shared" si="105"/>
        <v>0</v>
      </c>
      <c r="DI58" s="459">
        <f t="shared" si="105"/>
        <v>0</v>
      </c>
      <c r="DJ58" s="459">
        <f t="shared" si="105"/>
        <v>0</v>
      </c>
      <c r="DK58" s="459">
        <f t="shared" si="105"/>
        <v>0</v>
      </c>
      <c r="DL58" s="459">
        <f t="shared" si="105"/>
        <v>0</v>
      </c>
      <c r="DM58" s="460">
        <f t="shared" si="63"/>
        <v>0</v>
      </c>
      <c r="DN58" s="463"/>
      <c r="DO58" s="459">
        <f t="shared" si="68"/>
        <v>0</v>
      </c>
      <c r="DP58" s="459">
        <f t="shared" si="68"/>
        <v>0</v>
      </c>
      <c r="DQ58" s="459">
        <f t="shared" si="68"/>
        <v>0</v>
      </c>
      <c r="DR58" s="459">
        <f t="shared" si="68"/>
        <v>0</v>
      </c>
      <c r="DS58" s="459">
        <f t="shared" si="68"/>
        <v>0</v>
      </c>
      <c r="DT58" s="459">
        <f t="shared" si="66"/>
        <v>0</v>
      </c>
      <c r="DU58" s="459">
        <f t="shared" si="66"/>
        <v>0</v>
      </c>
      <c r="DV58" s="459">
        <f t="shared" si="66"/>
        <v>0</v>
      </c>
      <c r="DW58" s="459">
        <f t="shared" si="66"/>
        <v>0</v>
      </c>
      <c r="DX58" s="459">
        <f t="shared" si="66"/>
        <v>0</v>
      </c>
      <c r="DY58" s="460">
        <f t="shared" si="64"/>
        <v>0</v>
      </c>
      <c r="DZ58" s="463"/>
      <c r="EA58" s="459">
        <f t="shared" si="69"/>
        <v>0</v>
      </c>
      <c r="EB58" s="459">
        <f t="shared" si="69"/>
        <v>0</v>
      </c>
      <c r="EC58" s="459">
        <f t="shared" si="69"/>
        <v>0</v>
      </c>
      <c r="ED58" s="459">
        <f t="shared" si="69"/>
        <v>0</v>
      </c>
      <c r="EE58" s="459">
        <f t="shared" si="69"/>
        <v>0</v>
      </c>
      <c r="EF58" s="459">
        <f t="shared" si="67"/>
        <v>0</v>
      </c>
      <c r="EG58" s="459">
        <f t="shared" si="67"/>
        <v>0</v>
      </c>
      <c r="EH58" s="459">
        <f t="shared" si="67"/>
        <v>0</v>
      </c>
      <c r="EI58" s="459">
        <f t="shared" si="67"/>
        <v>0</v>
      </c>
      <c r="EJ58" s="459">
        <f t="shared" si="67"/>
        <v>0</v>
      </c>
      <c r="EK58" s="460">
        <f t="shared" si="65"/>
        <v>0</v>
      </c>
    </row>
    <row r="59" spans="2:141" s="268" customFormat="1" ht="15" customHeight="1" x14ac:dyDescent="0.25">
      <c r="B59" s="464" t="str">
        <f>'2. START'!C$7</f>
        <v>100GEM</v>
      </c>
      <c r="C59" s="470"/>
      <c r="D59" s="593"/>
      <c r="E59" s="527">
        <v>0</v>
      </c>
      <c r="F59" s="527" t="s">
        <v>36</v>
      </c>
      <c r="G59" s="527"/>
      <c r="H59" s="515"/>
      <c r="I59" s="515"/>
      <c r="J59" s="515"/>
      <c r="K59" s="515"/>
      <c r="L59" s="515"/>
      <c r="M59" s="515"/>
      <c r="N59" s="515"/>
      <c r="O59" s="515"/>
      <c r="P59" s="515"/>
      <c r="Q59" s="515"/>
      <c r="R59" s="442">
        <f t="shared" si="72"/>
        <v>0</v>
      </c>
      <c r="S59" s="516">
        <f>IF('2. START'!$C$20="UTB",(SUMIF('3. PARTNER'!B$13:B$80,B59,'3. PARTNER'!M$13:M$80)),(SUMIF('3. PARTNER'!B$13:B$80,B59,'3. PARTNER'!I$13:I$80)))</f>
        <v>0</v>
      </c>
      <c r="T59" s="516">
        <f>IF('2. START'!$C$20="UTB",(SUMIF('3. PARTNER'!B$13:B$80,B59,'3. PARTNER'!N$13:N$80)),(SUMIF('3. PARTNER'!B$13:B$80,B59,'3. PARTNER'!J$13:J$80)))</f>
        <v>0</v>
      </c>
      <c r="U59" s="517">
        <f>IF(F59="NO",0,IF('2. START'!C$13="PERSON+OPERATION",'2. START'!C$12,0)+IF('2. START'!C$13="PERSON+OPERATION+INVEST+FACILIT",'2. START'!C$12,0))</f>
        <v>0</v>
      </c>
      <c r="W59" s="519">
        <f t="shared" si="73"/>
        <v>0</v>
      </c>
      <c r="X59" s="519">
        <f t="shared" si="74"/>
        <v>0</v>
      </c>
      <c r="Y59" s="519">
        <f t="shared" si="75"/>
        <v>0</v>
      </c>
      <c r="Z59" s="519">
        <f t="shared" si="76"/>
        <v>0</v>
      </c>
      <c r="AA59" s="519">
        <f t="shared" si="77"/>
        <v>0</v>
      </c>
      <c r="AB59" s="519">
        <f t="shared" si="78"/>
        <v>0</v>
      </c>
      <c r="AC59" s="519">
        <f t="shared" si="79"/>
        <v>0</v>
      </c>
      <c r="AD59" s="519">
        <f t="shared" si="80"/>
        <v>0</v>
      </c>
      <c r="AE59" s="519">
        <f t="shared" si="81"/>
        <v>0</v>
      </c>
      <c r="AF59" s="519">
        <f t="shared" si="82"/>
        <v>0</v>
      </c>
      <c r="AG59" s="520">
        <f t="shared" si="51"/>
        <v>0</v>
      </c>
      <c r="AI59" s="519">
        <f t="shared" si="83"/>
        <v>0</v>
      </c>
      <c r="AJ59" s="519">
        <f t="shared" si="84"/>
        <v>0</v>
      </c>
      <c r="AK59" s="519">
        <f t="shared" si="85"/>
        <v>0</v>
      </c>
      <c r="AL59" s="519">
        <f t="shared" si="86"/>
        <v>0</v>
      </c>
      <c r="AM59" s="519">
        <f t="shared" si="87"/>
        <v>0</v>
      </c>
      <c r="AN59" s="519">
        <f t="shared" si="88"/>
        <v>0</v>
      </c>
      <c r="AO59" s="519">
        <f t="shared" si="89"/>
        <v>0</v>
      </c>
      <c r="AP59" s="519">
        <f t="shared" si="90"/>
        <v>0</v>
      </c>
      <c r="AQ59" s="519">
        <f t="shared" si="91"/>
        <v>0</v>
      </c>
      <c r="AR59" s="519">
        <f t="shared" si="92"/>
        <v>0</v>
      </c>
      <c r="AS59" s="520">
        <f t="shared" si="52"/>
        <v>0</v>
      </c>
      <c r="AU59" s="519">
        <f t="shared" si="103"/>
        <v>0</v>
      </c>
      <c r="AV59" s="519">
        <f t="shared" si="103"/>
        <v>0</v>
      </c>
      <c r="AW59" s="519">
        <f t="shared" si="103"/>
        <v>0</v>
      </c>
      <c r="AX59" s="519">
        <f t="shared" si="103"/>
        <v>0</v>
      </c>
      <c r="AY59" s="519">
        <f t="shared" si="103"/>
        <v>0</v>
      </c>
      <c r="AZ59" s="519">
        <f t="shared" si="103"/>
        <v>0</v>
      </c>
      <c r="BA59" s="519">
        <f t="shared" si="103"/>
        <v>0</v>
      </c>
      <c r="BB59" s="519">
        <f t="shared" si="103"/>
        <v>0</v>
      </c>
      <c r="BC59" s="519">
        <f t="shared" si="103"/>
        <v>0</v>
      </c>
      <c r="BD59" s="519">
        <f t="shared" si="103"/>
        <v>0</v>
      </c>
      <c r="BE59" s="520">
        <f t="shared" si="54"/>
        <v>0</v>
      </c>
      <c r="BG59" s="519">
        <f t="shared" si="55"/>
        <v>0</v>
      </c>
      <c r="BH59" s="519">
        <f t="shared" si="55"/>
        <v>0</v>
      </c>
      <c r="BI59" s="519">
        <f t="shared" si="55"/>
        <v>0</v>
      </c>
      <c r="BJ59" s="519">
        <f t="shared" si="55"/>
        <v>0</v>
      </c>
      <c r="BK59" s="519">
        <f t="shared" si="70"/>
        <v>0</v>
      </c>
      <c r="BL59" s="519">
        <f t="shared" si="70"/>
        <v>0</v>
      </c>
      <c r="BM59" s="519">
        <f t="shared" si="70"/>
        <v>0</v>
      </c>
      <c r="BN59" s="519">
        <f t="shared" si="70"/>
        <v>0</v>
      </c>
      <c r="BO59" s="519">
        <f t="shared" si="70"/>
        <v>0</v>
      </c>
      <c r="BP59" s="519">
        <f t="shared" si="70"/>
        <v>0</v>
      </c>
      <c r="BQ59" s="520">
        <f t="shared" si="56"/>
        <v>0</v>
      </c>
      <c r="BS59" s="519">
        <f t="shared" si="104"/>
        <v>0</v>
      </c>
      <c r="BT59" s="519">
        <f t="shared" si="104"/>
        <v>0</v>
      </c>
      <c r="BU59" s="519">
        <f t="shared" si="104"/>
        <v>0</v>
      </c>
      <c r="BV59" s="519">
        <f t="shared" si="104"/>
        <v>0</v>
      </c>
      <c r="BW59" s="519">
        <f t="shared" si="104"/>
        <v>0</v>
      </c>
      <c r="BX59" s="519">
        <f t="shared" si="104"/>
        <v>0</v>
      </c>
      <c r="BY59" s="519">
        <f t="shared" si="104"/>
        <v>0</v>
      </c>
      <c r="BZ59" s="519">
        <f t="shared" si="104"/>
        <v>0</v>
      </c>
      <c r="CA59" s="519">
        <f t="shared" si="104"/>
        <v>0</v>
      </c>
      <c r="CB59" s="519">
        <f t="shared" si="104"/>
        <v>0</v>
      </c>
      <c r="CC59" s="520">
        <f t="shared" si="58"/>
        <v>0</v>
      </c>
      <c r="CE59" s="519">
        <f t="shared" si="59"/>
        <v>0</v>
      </c>
      <c r="CF59" s="519">
        <f t="shared" si="59"/>
        <v>0</v>
      </c>
      <c r="CG59" s="519">
        <f t="shared" si="59"/>
        <v>0</v>
      </c>
      <c r="CH59" s="519">
        <f t="shared" si="59"/>
        <v>0</v>
      </c>
      <c r="CI59" s="519">
        <f t="shared" si="71"/>
        <v>0</v>
      </c>
      <c r="CJ59" s="519">
        <f t="shared" si="71"/>
        <v>0</v>
      </c>
      <c r="CK59" s="519">
        <f t="shared" si="71"/>
        <v>0</v>
      </c>
      <c r="CL59" s="519">
        <f t="shared" si="71"/>
        <v>0</v>
      </c>
      <c r="CM59" s="519">
        <f t="shared" si="71"/>
        <v>0</v>
      </c>
      <c r="CN59" s="519">
        <f t="shared" si="71"/>
        <v>0</v>
      </c>
      <c r="CO59" s="520">
        <f t="shared" si="60"/>
        <v>0</v>
      </c>
      <c r="CQ59" s="519">
        <f t="shared" si="93"/>
        <v>0</v>
      </c>
      <c r="CR59" s="519">
        <f t="shared" si="94"/>
        <v>0</v>
      </c>
      <c r="CS59" s="519">
        <f t="shared" si="95"/>
        <v>0</v>
      </c>
      <c r="CT59" s="519">
        <f t="shared" si="96"/>
        <v>0</v>
      </c>
      <c r="CU59" s="519">
        <f t="shared" si="97"/>
        <v>0</v>
      </c>
      <c r="CV59" s="519">
        <f t="shared" si="98"/>
        <v>0</v>
      </c>
      <c r="CW59" s="519">
        <f t="shared" si="99"/>
        <v>0</v>
      </c>
      <c r="CX59" s="519">
        <f t="shared" si="100"/>
        <v>0</v>
      </c>
      <c r="CY59" s="519">
        <f t="shared" si="101"/>
        <v>0</v>
      </c>
      <c r="CZ59" s="519">
        <f t="shared" si="102"/>
        <v>0</v>
      </c>
      <c r="DA59" s="520">
        <f t="shared" si="61"/>
        <v>0</v>
      </c>
      <c r="DC59" s="519">
        <f t="shared" si="105"/>
        <v>0</v>
      </c>
      <c r="DD59" s="519">
        <f t="shared" si="105"/>
        <v>0</v>
      </c>
      <c r="DE59" s="519">
        <f t="shared" si="105"/>
        <v>0</v>
      </c>
      <c r="DF59" s="519">
        <f t="shared" si="105"/>
        <v>0</v>
      </c>
      <c r="DG59" s="519">
        <f t="shared" si="105"/>
        <v>0</v>
      </c>
      <c r="DH59" s="519">
        <f t="shared" si="105"/>
        <v>0</v>
      </c>
      <c r="DI59" s="519">
        <f t="shared" si="105"/>
        <v>0</v>
      </c>
      <c r="DJ59" s="519">
        <f t="shared" si="105"/>
        <v>0</v>
      </c>
      <c r="DK59" s="519">
        <f t="shared" si="105"/>
        <v>0</v>
      </c>
      <c r="DL59" s="519">
        <f t="shared" si="105"/>
        <v>0</v>
      </c>
      <c r="DM59" s="520">
        <f t="shared" si="63"/>
        <v>0</v>
      </c>
      <c r="DO59" s="519">
        <f t="shared" si="68"/>
        <v>0</v>
      </c>
      <c r="DP59" s="519">
        <f t="shared" si="68"/>
        <v>0</v>
      </c>
      <c r="DQ59" s="519">
        <f t="shared" si="68"/>
        <v>0</v>
      </c>
      <c r="DR59" s="519">
        <f t="shared" si="68"/>
        <v>0</v>
      </c>
      <c r="DS59" s="519">
        <f t="shared" si="68"/>
        <v>0</v>
      </c>
      <c r="DT59" s="519">
        <f t="shared" si="66"/>
        <v>0</v>
      </c>
      <c r="DU59" s="519">
        <f t="shared" si="66"/>
        <v>0</v>
      </c>
      <c r="DV59" s="519">
        <f t="shared" si="66"/>
        <v>0</v>
      </c>
      <c r="DW59" s="519">
        <f t="shared" si="66"/>
        <v>0</v>
      </c>
      <c r="DX59" s="519">
        <f t="shared" si="66"/>
        <v>0</v>
      </c>
      <c r="DY59" s="520">
        <f t="shared" si="64"/>
        <v>0</v>
      </c>
      <c r="EA59" s="519">
        <f t="shared" si="69"/>
        <v>0</v>
      </c>
      <c r="EB59" s="519">
        <f t="shared" si="69"/>
        <v>0</v>
      </c>
      <c r="EC59" s="519">
        <f t="shared" si="69"/>
        <v>0</v>
      </c>
      <c r="ED59" s="519">
        <f t="shared" si="69"/>
        <v>0</v>
      </c>
      <c r="EE59" s="519">
        <f t="shared" si="69"/>
        <v>0</v>
      </c>
      <c r="EF59" s="519">
        <f t="shared" si="67"/>
        <v>0</v>
      </c>
      <c r="EG59" s="519">
        <f t="shared" si="67"/>
        <v>0</v>
      </c>
      <c r="EH59" s="519">
        <f t="shared" si="67"/>
        <v>0</v>
      </c>
      <c r="EI59" s="519">
        <f t="shared" si="67"/>
        <v>0</v>
      </c>
      <c r="EJ59" s="519">
        <f t="shared" si="67"/>
        <v>0</v>
      </c>
      <c r="EK59" s="520">
        <f t="shared" si="65"/>
        <v>0</v>
      </c>
    </row>
    <row r="60" spans="2:141" s="268" customFormat="1" ht="15" customHeight="1" x14ac:dyDescent="0.25">
      <c r="B60" s="446" t="str">
        <f>'2. START'!C$7</f>
        <v>100GEM</v>
      </c>
      <c r="C60" s="469"/>
      <c r="D60" s="594"/>
      <c r="E60" s="522">
        <v>0</v>
      </c>
      <c r="F60" s="522" t="s">
        <v>36</v>
      </c>
      <c r="G60" s="522"/>
      <c r="H60" s="523"/>
      <c r="I60" s="523"/>
      <c r="J60" s="523"/>
      <c r="K60" s="523"/>
      <c r="L60" s="523"/>
      <c r="M60" s="523"/>
      <c r="N60" s="523"/>
      <c r="O60" s="523"/>
      <c r="P60" s="523"/>
      <c r="Q60" s="523"/>
      <c r="R60" s="459">
        <f t="shared" si="72"/>
        <v>0</v>
      </c>
      <c r="S60" s="524">
        <f>IF('2. START'!$C$20="UTB",(SUMIF('3. PARTNER'!B$13:B$80,B60,'3. PARTNER'!M$13:M$80)),(SUMIF('3. PARTNER'!B$13:B$80,B60,'3. PARTNER'!I$13:I$80)))</f>
        <v>0</v>
      </c>
      <c r="T60" s="524">
        <f>IF('2. START'!$C$20="UTB",(SUMIF('3. PARTNER'!B$13:B$80,B60,'3. PARTNER'!N$13:N$80)),(SUMIF('3. PARTNER'!B$13:B$80,B60,'3. PARTNER'!J$13:J$80)))</f>
        <v>0</v>
      </c>
      <c r="U60" s="454">
        <f>IF(F60="NO",0,IF('2. START'!C$13="PERSON+OPERATION",'2. START'!C$12,0)+IF('2. START'!C$13="PERSON+OPERATION+INVEST+FACILIT",'2. START'!C$12,0))</f>
        <v>0</v>
      </c>
      <c r="V60" s="463"/>
      <c r="W60" s="459">
        <f t="shared" si="73"/>
        <v>0</v>
      </c>
      <c r="X60" s="459">
        <f t="shared" si="74"/>
        <v>0</v>
      </c>
      <c r="Y60" s="459">
        <f t="shared" si="75"/>
        <v>0</v>
      </c>
      <c r="Z60" s="459">
        <f t="shared" si="76"/>
        <v>0</v>
      </c>
      <c r="AA60" s="459">
        <f t="shared" si="77"/>
        <v>0</v>
      </c>
      <c r="AB60" s="459">
        <f t="shared" si="78"/>
        <v>0</v>
      </c>
      <c r="AC60" s="459">
        <f t="shared" si="79"/>
        <v>0</v>
      </c>
      <c r="AD60" s="459">
        <f t="shared" si="80"/>
        <v>0</v>
      </c>
      <c r="AE60" s="459">
        <f t="shared" si="81"/>
        <v>0</v>
      </c>
      <c r="AF60" s="459">
        <f t="shared" si="82"/>
        <v>0</v>
      </c>
      <c r="AG60" s="460">
        <f t="shared" si="51"/>
        <v>0</v>
      </c>
      <c r="AH60" s="463"/>
      <c r="AI60" s="459">
        <f t="shared" si="83"/>
        <v>0</v>
      </c>
      <c r="AJ60" s="459">
        <f t="shared" si="84"/>
        <v>0</v>
      </c>
      <c r="AK60" s="459">
        <f t="shared" si="85"/>
        <v>0</v>
      </c>
      <c r="AL60" s="459">
        <f t="shared" si="86"/>
        <v>0</v>
      </c>
      <c r="AM60" s="459">
        <f t="shared" si="87"/>
        <v>0</v>
      </c>
      <c r="AN60" s="459">
        <f t="shared" si="88"/>
        <v>0</v>
      </c>
      <c r="AO60" s="459">
        <f t="shared" si="89"/>
        <v>0</v>
      </c>
      <c r="AP60" s="459">
        <f t="shared" si="90"/>
        <v>0</v>
      </c>
      <c r="AQ60" s="459">
        <f t="shared" si="91"/>
        <v>0</v>
      </c>
      <c r="AR60" s="459">
        <f t="shared" si="92"/>
        <v>0</v>
      </c>
      <c r="AS60" s="460">
        <f t="shared" si="52"/>
        <v>0</v>
      </c>
      <c r="AT60" s="463"/>
      <c r="AU60" s="459">
        <f t="shared" si="103"/>
        <v>0</v>
      </c>
      <c r="AV60" s="459">
        <f t="shared" si="103"/>
        <v>0</v>
      </c>
      <c r="AW60" s="459">
        <f t="shared" si="103"/>
        <v>0</v>
      </c>
      <c r="AX60" s="459">
        <f t="shared" si="103"/>
        <v>0</v>
      </c>
      <c r="AY60" s="459">
        <f t="shared" si="103"/>
        <v>0</v>
      </c>
      <c r="AZ60" s="459">
        <f t="shared" si="103"/>
        <v>0</v>
      </c>
      <c r="BA60" s="459">
        <f t="shared" si="103"/>
        <v>0</v>
      </c>
      <c r="BB60" s="459">
        <f t="shared" si="103"/>
        <v>0</v>
      </c>
      <c r="BC60" s="459">
        <f t="shared" si="103"/>
        <v>0</v>
      </c>
      <c r="BD60" s="459">
        <f t="shared" si="103"/>
        <v>0</v>
      </c>
      <c r="BE60" s="460">
        <f t="shared" si="54"/>
        <v>0</v>
      </c>
      <c r="BF60" s="463"/>
      <c r="BG60" s="459">
        <f t="shared" si="55"/>
        <v>0</v>
      </c>
      <c r="BH60" s="459">
        <f t="shared" si="55"/>
        <v>0</v>
      </c>
      <c r="BI60" s="459">
        <f t="shared" si="55"/>
        <v>0</v>
      </c>
      <c r="BJ60" s="459">
        <f t="shared" si="55"/>
        <v>0</v>
      </c>
      <c r="BK60" s="459">
        <f t="shared" si="70"/>
        <v>0</v>
      </c>
      <c r="BL60" s="459">
        <f t="shared" si="70"/>
        <v>0</v>
      </c>
      <c r="BM60" s="459">
        <f t="shared" si="70"/>
        <v>0</v>
      </c>
      <c r="BN60" s="459">
        <f t="shared" si="70"/>
        <v>0</v>
      </c>
      <c r="BO60" s="459">
        <f t="shared" si="70"/>
        <v>0</v>
      </c>
      <c r="BP60" s="459">
        <f t="shared" si="70"/>
        <v>0</v>
      </c>
      <c r="BQ60" s="460">
        <f t="shared" si="56"/>
        <v>0</v>
      </c>
      <c r="BR60" s="463"/>
      <c r="BS60" s="459">
        <f t="shared" si="104"/>
        <v>0</v>
      </c>
      <c r="BT60" s="459">
        <f t="shared" si="104"/>
        <v>0</v>
      </c>
      <c r="BU60" s="459">
        <f t="shared" si="104"/>
        <v>0</v>
      </c>
      <c r="BV60" s="459">
        <f t="shared" si="104"/>
        <v>0</v>
      </c>
      <c r="BW60" s="459">
        <f t="shared" si="104"/>
        <v>0</v>
      </c>
      <c r="BX60" s="459">
        <f t="shared" si="104"/>
        <v>0</v>
      </c>
      <c r="BY60" s="459">
        <f t="shared" si="104"/>
        <v>0</v>
      </c>
      <c r="BZ60" s="459">
        <f t="shared" si="104"/>
        <v>0</v>
      </c>
      <c r="CA60" s="459">
        <f t="shared" si="104"/>
        <v>0</v>
      </c>
      <c r="CB60" s="459">
        <f t="shared" si="104"/>
        <v>0</v>
      </c>
      <c r="CC60" s="460">
        <f t="shared" si="58"/>
        <v>0</v>
      </c>
      <c r="CD60" s="463"/>
      <c r="CE60" s="459">
        <f t="shared" si="59"/>
        <v>0</v>
      </c>
      <c r="CF60" s="459">
        <f t="shared" si="59"/>
        <v>0</v>
      </c>
      <c r="CG60" s="459">
        <f t="shared" si="59"/>
        <v>0</v>
      </c>
      <c r="CH60" s="459">
        <f t="shared" si="59"/>
        <v>0</v>
      </c>
      <c r="CI60" s="459">
        <f t="shared" si="71"/>
        <v>0</v>
      </c>
      <c r="CJ60" s="459">
        <f t="shared" si="71"/>
        <v>0</v>
      </c>
      <c r="CK60" s="459">
        <f t="shared" si="71"/>
        <v>0</v>
      </c>
      <c r="CL60" s="459">
        <f t="shared" si="71"/>
        <v>0</v>
      </c>
      <c r="CM60" s="459">
        <f t="shared" si="71"/>
        <v>0</v>
      </c>
      <c r="CN60" s="459">
        <f t="shared" si="71"/>
        <v>0</v>
      </c>
      <c r="CO60" s="460">
        <f t="shared" si="60"/>
        <v>0</v>
      </c>
      <c r="CP60" s="463"/>
      <c r="CQ60" s="459">
        <f t="shared" si="93"/>
        <v>0</v>
      </c>
      <c r="CR60" s="459">
        <f t="shared" si="94"/>
        <v>0</v>
      </c>
      <c r="CS60" s="459">
        <f t="shared" si="95"/>
        <v>0</v>
      </c>
      <c r="CT60" s="459">
        <f t="shared" si="96"/>
        <v>0</v>
      </c>
      <c r="CU60" s="459">
        <f t="shared" si="97"/>
        <v>0</v>
      </c>
      <c r="CV60" s="459">
        <f t="shared" si="98"/>
        <v>0</v>
      </c>
      <c r="CW60" s="459">
        <f t="shared" si="99"/>
        <v>0</v>
      </c>
      <c r="CX60" s="459">
        <f t="shared" si="100"/>
        <v>0</v>
      </c>
      <c r="CY60" s="459">
        <f t="shared" si="101"/>
        <v>0</v>
      </c>
      <c r="CZ60" s="459">
        <f t="shared" si="102"/>
        <v>0</v>
      </c>
      <c r="DA60" s="460">
        <f t="shared" si="61"/>
        <v>0</v>
      </c>
      <c r="DB60" s="463"/>
      <c r="DC60" s="459">
        <f t="shared" si="105"/>
        <v>0</v>
      </c>
      <c r="DD60" s="459">
        <f t="shared" si="105"/>
        <v>0</v>
      </c>
      <c r="DE60" s="459">
        <f t="shared" si="105"/>
        <v>0</v>
      </c>
      <c r="DF60" s="459">
        <f t="shared" si="105"/>
        <v>0</v>
      </c>
      <c r="DG60" s="459">
        <f t="shared" si="105"/>
        <v>0</v>
      </c>
      <c r="DH60" s="459">
        <f t="shared" si="105"/>
        <v>0</v>
      </c>
      <c r="DI60" s="459">
        <f t="shared" si="105"/>
        <v>0</v>
      </c>
      <c r="DJ60" s="459">
        <f t="shared" si="105"/>
        <v>0</v>
      </c>
      <c r="DK60" s="459">
        <f t="shared" si="105"/>
        <v>0</v>
      </c>
      <c r="DL60" s="459">
        <f t="shared" si="105"/>
        <v>0</v>
      </c>
      <c r="DM60" s="460">
        <f t="shared" si="63"/>
        <v>0</v>
      </c>
      <c r="DN60" s="463"/>
      <c r="DO60" s="459">
        <f t="shared" si="68"/>
        <v>0</v>
      </c>
      <c r="DP60" s="459">
        <f t="shared" si="68"/>
        <v>0</v>
      </c>
      <c r="DQ60" s="459">
        <f t="shared" si="68"/>
        <v>0</v>
      </c>
      <c r="DR60" s="459">
        <f t="shared" si="68"/>
        <v>0</v>
      </c>
      <c r="DS60" s="459">
        <f t="shared" si="68"/>
        <v>0</v>
      </c>
      <c r="DT60" s="459">
        <f t="shared" si="66"/>
        <v>0</v>
      </c>
      <c r="DU60" s="459">
        <f t="shared" si="66"/>
        <v>0</v>
      </c>
      <c r="DV60" s="459">
        <f t="shared" si="66"/>
        <v>0</v>
      </c>
      <c r="DW60" s="459">
        <f t="shared" si="66"/>
        <v>0</v>
      </c>
      <c r="DX60" s="459">
        <f t="shared" si="66"/>
        <v>0</v>
      </c>
      <c r="DY60" s="460">
        <f t="shared" si="64"/>
        <v>0</v>
      </c>
      <c r="DZ60" s="463"/>
      <c r="EA60" s="459">
        <f t="shared" si="69"/>
        <v>0</v>
      </c>
      <c r="EB60" s="459">
        <f t="shared" si="69"/>
        <v>0</v>
      </c>
      <c r="EC60" s="459">
        <f t="shared" si="69"/>
        <v>0</v>
      </c>
      <c r="ED60" s="459">
        <f t="shared" si="69"/>
        <v>0</v>
      </c>
      <c r="EE60" s="459">
        <f t="shared" si="69"/>
        <v>0</v>
      </c>
      <c r="EF60" s="459">
        <f t="shared" si="67"/>
        <v>0</v>
      </c>
      <c r="EG60" s="459">
        <f t="shared" si="67"/>
        <v>0</v>
      </c>
      <c r="EH60" s="459">
        <f t="shared" si="67"/>
        <v>0</v>
      </c>
      <c r="EI60" s="459">
        <f t="shared" si="67"/>
        <v>0</v>
      </c>
      <c r="EJ60" s="459">
        <f t="shared" si="67"/>
        <v>0</v>
      </c>
      <c r="EK60" s="460">
        <f t="shared" si="65"/>
        <v>0</v>
      </c>
    </row>
    <row r="61" spans="2:141" s="268" customFormat="1" ht="15" customHeight="1" x14ac:dyDescent="0.25">
      <c r="B61" s="464" t="str">
        <f>'2. START'!C$7</f>
        <v>100GEM</v>
      </c>
      <c r="C61" s="470"/>
      <c r="D61" s="593"/>
      <c r="E61" s="527">
        <v>0</v>
      </c>
      <c r="F61" s="527" t="s">
        <v>36</v>
      </c>
      <c r="G61" s="527"/>
      <c r="H61" s="515"/>
      <c r="I61" s="515"/>
      <c r="J61" s="515"/>
      <c r="K61" s="515"/>
      <c r="L61" s="515"/>
      <c r="M61" s="515"/>
      <c r="N61" s="515"/>
      <c r="O61" s="515"/>
      <c r="P61" s="515"/>
      <c r="Q61" s="515"/>
      <c r="R61" s="442">
        <f t="shared" si="72"/>
        <v>0</v>
      </c>
      <c r="S61" s="516">
        <f>IF('2. START'!$C$20="UTB",(SUMIF('3. PARTNER'!B$13:B$80,B61,'3. PARTNER'!M$13:M$80)),(SUMIF('3. PARTNER'!B$13:B$80,B61,'3. PARTNER'!I$13:I$80)))</f>
        <v>0</v>
      </c>
      <c r="T61" s="516">
        <f>IF('2. START'!$C$20="UTB",(SUMIF('3. PARTNER'!B$13:B$80,B61,'3. PARTNER'!N$13:N$80)),(SUMIF('3. PARTNER'!B$13:B$80,B61,'3. PARTNER'!J$13:J$80)))</f>
        <v>0</v>
      </c>
      <c r="U61" s="517">
        <f>IF(F61="NO",0,IF('2. START'!C$13="PERSON+OPERATION",'2. START'!C$12,0)+IF('2. START'!C$13="PERSON+OPERATION+INVEST+FACILIT",'2. START'!C$12,0))</f>
        <v>0</v>
      </c>
      <c r="W61" s="519">
        <f t="shared" si="73"/>
        <v>0</v>
      </c>
      <c r="X61" s="519">
        <f t="shared" si="74"/>
        <v>0</v>
      </c>
      <c r="Y61" s="519">
        <f t="shared" si="75"/>
        <v>0</v>
      </c>
      <c r="Z61" s="519">
        <f t="shared" si="76"/>
        <v>0</v>
      </c>
      <c r="AA61" s="519">
        <f t="shared" si="77"/>
        <v>0</v>
      </c>
      <c r="AB61" s="519">
        <f t="shared" si="78"/>
        <v>0</v>
      </c>
      <c r="AC61" s="519">
        <f t="shared" si="79"/>
        <v>0</v>
      </c>
      <c r="AD61" s="519">
        <f t="shared" si="80"/>
        <v>0</v>
      </c>
      <c r="AE61" s="519">
        <f t="shared" si="81"/>
        <v>0</v>
      </c>
      <c r="AF61" s="519">
        <f t="shared" si="82"/>
        <v>0</v>
      </c>
      <c r="AG61" s="520">
        <f t="shared" si="51"/>
        <v>0</v>
      </c>
      <c r="AI61" s="519">
        <f t="shared" si="83"/>
        <v>0</v>
      </c>
      <c r="AJ61" s="519">
        <f t="shared" si="84"/>
        <v>0</v>
      </c>
      <c r="AK61" s="519">
        <f t="shared" si="85"/>
        <v>0</v>
      </c>
      <c r="AL61" s="519">
        <f t="shared" si="86"/>
        <v>0</v>
      </c>
      <c r="AM61" s="519">
        <f t="shared" si="87"/>
        <v>0</v>
      </c>
      <c r="AN61" s="519">
        <f t="shared" si="88"/>
        <v>0</v>
      </c>
      <c r="AO61" s="519">
        <f t="shared" si="89"/>
        <v>0</v>
      </c>
      <c r="AP61" s="519">
        <f t="shared" si="90"/>
        <v>0</v>
      </c>
      <c r="AQ61" s="519">
        <f t="shared" si="91"/>
        <v>0</v>
      </c>
      <c r="AR61" s="519">
        <f t="shared" si="92"/>
        <v>0</v>
      </c>
      <c r="AS61" s="520">
        <f t="shared" si="52"/>
        <v>0</v>
      </c>
      <c r="AU61" s="519">
        <f t="shared" si="103"/>
        <v>0</v>
      </c>
      <c r="AV61" s="519">
        <f t="shared" si="103"/>
        <v>0</v>
      </c>
      <c r="AW61" s="519">
        <f t="shared" si="103"/>
        <v>0</v>
      </c>
      <c r="AX61" s="519">
        <f t="shared" si="103"/>
        <v>0</v>
      </c>
      <c r="AY61" s="519">
        <f t="shared" si="103"/>
        <v>0</v>
      </c>
      <c r="AZ61" s="519">
        <f t="shared" si="103"/>
        <v>0</v>
      </c>
      <c r="BA61" s="519">
        <f t="shared" si="103"/>
        <v>0</v>
      </c>
      <c r="BB61" s="519">
        <f t="shared" si="103"/>
        <v>0</v>
      </c>
      <c r="BC61" s="519">
        <f t="shared" si="103"/>
        <v>0</v>
      </c>
      <c r="BD61" s="519">
        <f t="shared" si="103"/>
        <v>0</v>
      </c>
      <c r="BE61" s="520">
        <f t="shared" si="54"/>
        <v>0</v>
      </c>
      <c r="BG61" s="519">
        <f t="shared" si="55"/>
        <v>0</v>
      </c>
      <c r="BH61" s="519">
        <f t="shared" si="55"/>
        <v>0</v>
      </c>
      <c r="BI61" s="519">
        <f t="shared" si="55"/>
        <v>0</v>
      </c>
      <c r="BJ61" s="519">
        <f t="shared" si="55"/>
        <v>0</v>
      </c>
      <c r="BK61" s="519">
        <f t="shared" si="70"/>
        <v>0</v>
      </c>
      <c r="BL61" s="519">
        <f t="shared" si="70"/>
        <v>0</v>
      </c>
      <c r="BM61" s="519">
        <f t="shared" si="70"/>
        <v>0</v>
      </c>
      <c r="BN61" s="519">
        <f t="shared" si="70"/>
        <v>0</v>
      </c>
      <c r="BO61" s="519">
        <f t="shared" si="70"/>
        <v>0</v>
      </c>
      <c r="BP61" s="519">
        <f t="shared" si="70"/>
        <v>0</v>
      </c>
      <c r="BQ61" s="520">
        <f t="shared" si="56"/>
        <v>0</v>
      </c>
      <c r="BS61" s="519">
        <f t="shared" si="104"/>
        <v>0</v>
      </c>
      <c r="BT61" s="519">
        <f t="shared" si="104"/>
        <v>0</v>
      </c>
      <c r="BU61" s="519">
        <f t="shared" si="104"/>
        <v>0</v>
      </c>
      <c r="BV61" s="519">
        <f t="shared" si="104"/>
        <v>0</v>
      </c>
      <c r="BW61" s="519">
        <f t="shared" si="104"/>
        <v>0</v>
      </c>
      <c r="BX61" s="519">
        <f t="shared" si="104"/>
        <v>0</v>
      </c>
      <c r="BY61" s="519">
        <f t="shared" si="104"/>
        <v>0</v>
      </c>
      <c r="BZ61" s="519">
        <f t="shared" si="104"/>
        <v>0</v>
      </c>
      <c r="CA61" s="519">
        <f t="shared" si="104"/>
        <v>0</v>
      </c>
      <c r="CB61" s="519">
        <f t="shared" si="104"/>
        <v>0</v>
      </c>
      <c r="CC61" s="520">
        <f t="shared" si="58"/>
        <v>0</v>
      </c>
      <c r="CE61" s="519">
        <f t="shared" si="59"/>
        <v>0</v>
      </c>
      <c r="CF61" s="519">
        <f t="shared" si="59"/>
        <v>0</v>
      </c>
      <c r="CG61" s="519">
        <f t="shared" si="59"/>
        <v>0</v>
      </c>
      <c r="CH61" s="519">
        <f t="shared" si="59"/>
        <v>0</v>
      </c>
      <c r="CI61" s="519">
        <f t="shared" si="71"/>
        <v>0</v>
      </c>
      <c r="CJ61" s="519">
        <f t="shared" si="71"/>
        <v>0</v>
      </c>
      <c r="CK61" s="519">
        <f t="shared" si="71"/>
        <v>0</v>
      </c>
      <c r="CL61" s="519">
        <f t="shared" si="71"/>
        <v>0</v>
      </c>
      <c r="CM61" s="519">
        <f t="shared" si="71"/>
        <v>0</v>
      </c>
      <c r="CN61" s="519">
        <f t="shared" si="71"/>
        <v>0</v>
      </c>
      <c r="CO61" s="520">
        <f t="shared" si="60"/>
        <v>0</v>
      </c>
      <c r="CQ61" s="519">
        <f t="shared" si="93"/>
        <v>0</v>
      </c>
      <c r="CR61" s="519">
        <f t="shared" si="94"/>
        <v>0</v>
      </c>
      <c r="CS61" s="519">
        <f t="shared" si="95"/>
        <v>0</v>
      </c>
      <c r="CT61" s="519">
        <f t="shared" si="96"/>
        <v>0</v>
      </c>
      <c r="CU61" s="519">
        <f t="shared" si="97"/>
        <v>0</v>
      </c>
      <c r="CV61" s="519">
        <f t="shared" si="98"/>
        <v>0</v>
      </c>
      <c r="CW61" s="519">
        <f t="shared" si="99"/>
        <v>0</v>
      </c>
      <c r="CX61" s="519">
        <f t="shared" si="100"/>
        <v>0</v>
      </c>
      <c r="CY61" s="519">
        <f t="shared" si="101"/>
        <v>0</v>
      </c>
      <c r="CZ61" s="519">
        <f t="shared" si="102"/>
        <v>0</v>
      </c>
      <c r="DA61" s="520">
        <f t="shared" si="61"/>
        <v>0</v>
      </c>
      <c r="DC61" s="519">
        <f t="shared" si="105"/>
        <v>0</v>
      </c>
      <c r="DD61" s="519">
        <f t="shared" si="105"/>
        <v>0</v>
      </c>
      <c r="DE61" s="519">
        <f t="shared" si="105"/>
        <v>0</v>
      </c>
      <c r="DF61" s="519">
        <f t="shared" si="105"/>
        <v>0</v>
      </c>
      <c r="DG61" s="519">
        <f t="shared" si="105"/>
        <v>0</v>
      </c>
      <c r="DH61" s="519">
        <f t="shared" si="105"/>
        <v>0</v>
      </c>
      <c r="DI61" s="519">
        <f t="shared" si="105"/>
        <v>0</v>
      </c>
      <c r="DJ61" s="519">
        <f t="shared" si="105"/>
        <v>0</v>
      </c>
      <c r="DK61" s="519">
        <f t="shared" si="105"/>
        <v>0</v>
      </c>
      <c r="DL61" s="519">
        <f t="shared" si="105"/>
        <v>0</v>
      </c>
      <c r="DM61" s="520">
        <f t="shared" si="63"/>
        <v>0</v>
      </c>
      <c r="DO61" s="519">
        <f t="shared" si="68"/>
        <v>0</v>
      </c>
      <c r="DP61" s="519">
        <f t="shared" si="68"/>
        <v>0</v>
      </c>
      <c r="DQ61" s="519">
        <f t="shared" si="68"/>
        <v>0</v>
      </c>
      <c r="DR61" s="519">
        <f t="shared" si="68"/>
        <v>0</v>
      </c>
      <c r="DS61" s="519">
        <f t="shared" si="68"/>
        <v>0</v>
      </c>
      <c r="DT61" s="519">
        <f t="shared" si="66"/>
        <v>0</v>
      </c>
      <c r="DU61" s="519">
        <f t="shared" si="66"/>
        <v>0</v>
      </c>
      <c r="DV61" s="519">
        <f t="shared" si="66"/>
        <v>0</v>
      </c>
      <c r="DW61" s="519">
        <f t="shared" si="66"/>
        <v>0</v>
      </c>
      <c r="DX61" s="519">
        <f t="shared" si="66"/>
        <v>0</v>
      </c>
      <c r="DY61" s="520">
        <f t="shared" si="64"/>
        <v>0</v>
      </c>
      <c r="EA61" s="519">
        <f t="shared" si="69"/>
        <v>0</v>
      </c>
      <c r="EB61" s="519">
        <f t="shared" si="69"/>
        <v>0</v>
      </c>
      <c r="EC61" s="519">
        <f t="shared" si="69"/>
        <v>0</v>
      </c>
      <c r="ED61" s="519">
        <f t="shared" si="69"/>
        <v>0</v>
      </c>
      <c r="EE61" s="519">
        <f t="shared" si="69"/>
        <v>0</v>
      </c>
      <c r="EF61" s="519">
        <f t="shared" si="67"/>
        <v>0</v>
      </c>
      <c r="EG61" s="519">
        <f t="shared" si="67"/>
        <v>0</v>
      </c>
      <c r="EH61" s="519">
        <f t="shared" si="67"/>
        <v>0</v>
      </c>
      <c r="EI61" s="519">
        <f t="shared" si="67"/>
        <v>0</v>
      </c>
      <c r="EJ61" s="519">
        <f t="shared" si="67"/>
        <v>0</v>
      </c>
      <c r="EK61" s="520">
        <f t="shared" si="65"/>
        <v>0</v>
      </c>
    </row>
    <row r="62" spans="2:141" s="268" customFormat="1" ht="15" customHeight="1" x14ac:dyDescent="0.25">
      <c r="B62" s="446" t="str">
        <f>'2. START'!C$7</f>
        <v>100GEM</v>
      </c>
      <c r="C62" s="469"/>
      <c r="D62" s="594"/>
      <c r="E62" s="522">
        <v>0</v>
      </c>
      <c r="F62" s="522" t="s">
        <v>36</v>
      </c>
      <c r="G62" s="522"/>
      <c r="H62" s="523"/>
      <c r="I62" s="523"/>
      <c r="J62" s="523"/>
      <c r="K62" s="523"/>
      <c r="L62" s="523"/>
      <c r="M62" s="523"/>
      <c r="N62" s="523"/>
      <c r="O62" s="523"/>
      <c r="P62" s="523"/>
      <c r="Q62" s="523"/>
      <c r="R62" s="459">
        <f t="shared" si="72"/>
        <v>0</v>
      </c>
      <c r="S62" s="524">
        <f>IF('2. START'!$C$20="UTB",(SUMIF('3. PARTNER'!B$13:B$80,B62,'3. PARTNER'!M$13:M$80)),(SUMIF('3. PARTNER'!B$13:B$80,B62,'3. PARTNER'!I$13:I$80)))</f>
        <v>0</v>
      </c>
      <c r="T62" s="524">
        <f>IF('2. START'!$C$20="UTB",(SUMIF('3. PARTNER'!B$13:B$80,B62,'3. PARTNER'!N$13:N$80)),(SUMIF('3. PARTNER'!B$13:B$80,B62,'3. PARTNER'!J$13:J$80)))</f>
        <v>0</v>
      </c>
      <c r="U62" s="454">
        <f>IF(F62="NO",0,IF('2. START'!C$13="PERSON+OPERATION",'2. START'!C$12,0)+IF('2. START'!C$13="PERSON+OPERATION+INVEST+FACILIT",'2. START'!C$12,0))</f>
        <v>0</v>
      </c>
      <c r="V62" s="463"/>
      <c r="W62" s="459">
        <f t="shared" si="73"/>
        <v>0</v>
      </c>
      <c r="X62" s="459">
        <f t="shared" si="74"/>
        <v>0</v>
      </c>
      <c r="Y62" s="459">
        <f t="shared" si="75"/>
        <v>0</v>
      </c>
      <c r="Z62" s="459">
        <f t="shared" si="76"/>
        <v>0</v>
      </c>
      <c r="AA62" s="459">
        <f t="shared" si="77"/>
        <v>0</v>
      </c>
      <c r="AB62" s="459">
        <f t="shared" si="78"/>
        <v>0</v>
      </c>
      <c r="AC62" s="459">
        <f t="shared" si="79"/>
        <v>0</v>
      </c>
      <c r="AD62" s="459">
        <f t="shared" si="80"/>
        <v>0</v>
      </c>
      <c r="AE62" s="459">
        <f t="shared" si="81"/>
        <v>0</v>
      </c>
      <c r="AF62" s="459">
        <f t="shared" si="82"/>
        <v>0</v>
      </c>
      <c r="AG62" s="460">
        <f t="shared" si="51"/>
        <v>0</v>
      </c>
      <c r="AH62" s="463"/>
      <c r="AI62" s="459">
        <f t="shared" si="83"/>
        <v>0</v>
      </c>
      <c r="AJ62" s="459">
        <f t="shared" si="84"/>
        <v>0</v>
      </c>
      <c r="AK62" s="459">
        <f t="shared" si="85"/>
        <v>0</v>
      </c>
      <c r="AL62" s="459">
        <f t="shared" si="86"/>
        <v>0</v>
      </c>
      <c r="AM62" s="459">
        <f t="shared" si="87"/>
        <v>0</v>
      </c>
      <c r="AN62" s="459">
        <f t="shared" si="88"/>
        <v>0</v>
      </c>
      <c r="AO62" s="459">
        <f t="shared" si="89"/>
        <v>0</v>
      </c>
      <c r="AP62" s="459">
        <f t="shared" si="90"/>
        <v>0</v>
      </c>
      <c r="AQ62" s="459">
        <f t="shared" si="91"/>
        <v>0</v>
      </c>
      <c r="AR62" s="459">
        <f t="shared" si="92"/>
        <v>0</v>
      </c>
      <c r="AS62" s="460">
        <f t="shared" si="52"/>
        <v>0</v>
      </c>
      <c r="AT62" s="463"/>
      <c r="AU62" s="459">
        <f t="shared" si="103"/>
        <v>0</v>
      </c>
      <c r="AV62" s="459">
        <f t="shared" si="103"/>
        <v>0</v>
      </c>
      <c r="AW62" s="459">
        <f t="shared" si="103"/>
        <v>0</v>
      </c>
      <c r="AX62" s="459">
        <f t="shared" si="103"/>
        <v>0</v>
      </c>
      <c r="AY62" s="459">
        <f t="shared" si="103"/>
        <v>0</v>
      </c>
      <c r="AZ62" s="459">
        <f t="shared" si="103"/>
        <v>0</v>
      </c>
      <c r="BA62" s="459">
        <f t="shared" si="103"/>
        <v>0</v>
      </c>
      <c r="BB62" s="459">
        <f t="shared" si="103"/>
        <v>0</v>
      </c>
      <c r="BC62" s="459">
        <f t="shared" si="103"/>
        <v>0</v>
      </c>
      <c r="BD62" s="459">
        <f t="shared" si="103"/>
        <v>0</v>
      </c>
      <c r="BE62" s="460">
        <f t="shared" si="54"/>
        <v>0</v>
      </c>
      <c r="BF62" s="463"/>
      <c r="BG62" s="459">
        <f t="shared" si="55"/>
        <v>0</v>
      </c>
      <c r="BH62" s="459">
        <f t="shared" si="55"/>
        <v>0</v>
      </c>
      <c r="BI62" s="459">
        <f t="shared" si="55"/>
        <v>0</v>
      </c>
      <c r="BJ62" s="459">
        <f t="shared" si="55"/>
        <v>0</v>
      </c>
      <c r="BK62" s="459">
        <f t="shared" si="70"/>
        <v>0</v>
      </c>
      <c r="BL62" s="459">
        <f t="shared" si="70"/>
        <v>0</v>
      </c>
      <c r="BM62" s="459">
        <f t="shared" si="70"/>
        <v>0</v>
      </c>
      <c r="BN62" s="459">
        <f t="shared" si="70"/>
        <v>0</v>
      </c>
      <c r="BO62" s="459">
        <f t="shared" si="70"/>
        <v>0</v>
      </c>
      <c r="BP62" s="459">
        <f t="shared" si="70"/>
        <v>0</v>
      </c>
      <c r="BQ62" s="460">
        <f t="shared" si="56"/>
        <v>0</v>
      </c>
      <c r="BR62" s="463"/>
      <c r="BS62" s="459">
        <f t="shared" si="104"/>
        <v>0</v>
      </c>
      <c r="BT62" s="459">
        <f t="shared" si="104"/>
        <v>0</v>
      </c>
      <c r="BU62" s="459">
        <f t="shared" si="104"/>
        <v>0</v>
      </c>
      <c r="BV62" s="459">
        <f t="shared" si="104"/>
        <v>0</v>
      </c>
      <c r="BW62" s="459">
        <f t="shared" si="104"/>
        <v>0</v>
      </c>
      <c r="BX62" s="459">
        <f t="shared" si="104"/>
        <v>0</v>
      </c>
      <c r="BY62" s="459">
        <f t="shared" si="104"/>
        <v>0</v>
      </c>
      <c r="BZ62" s="459">
        <f t="shared" si="104"/>
        <v>0</v>
      </c>
      <c r="CA62" s="459">
        <f t="shared" si="104"/>
        <v>0</v>
      </c>
      <c r="CB62" s="459">
        <f t="shared" si="104"/>
        <v>0</v>
      </c>
      <c r="CC62" s="460">
        <f t="shared" si="58"/>
        <v>0</v>
      </c>
      <c r="CD62" s="463"/>
      <c r="CE62" s="459">
        <f t="shared" si="59"/>
        <v>0</v>
      </c>
      <c r="CF62" s="459">
        <f t="shared" si="59"/>
        <v>0</v>
      </c>
      <c r="CG62" s="459">
        <f t="shared" si="59"/>
        <v>0</v>
      </c>
      <c r="CH62" s="459">
        <f t="shared" si="59"/>
        <v>0</v>
      </c>
      <c r="CI62" s="459">
        <f t="shared" si="71"/>
        <v>0</v>
      </c>
      <c r="CJ62" s="459">
        <f t="shared" si="71"/>
        <v>0</v>
      </c>
      <c r="CK62" s="459">
        <f t="shared" si="71"/>
        <v>0</v>
      </c>
      <c r="CL62" s="459">
        <f t="shared" si="71"/>
        <v>0</v>
      </c>
      <c r="CM62" s="459">
        <f t="shared" si="71"/>
        <v>0</v>
      </c>
      <c r="CN62" s="459">
        <f t="shared" si="71"/>
        <v>0</v>
      </c>
      <c r="CO62" s="460">
        <f t="shared" si="60"/>
        <v>0</v>
      </c>
      <c r="CP62" s="463"/>
      <c r="CQ62" s="459">
        <f t="shared" si="93"/>
        <v>0</v>
      </c>
      <c r="CR62" s="459">
        <f t="shared" si="94"/>
        <v>0</v>
      </c>
      <c r="CS62" s="459">
        <f t="shared" si="95"/>
        <v>0</v>
      </c>
      <c r="CT62" s="459">
        <f t="shared" si="96"/>
        <v>0</v>
      </c>
      <c r="CU62" s="459">
        <f t="shared" si="97"/>
        <v>0</v>
      </c>
      <c r="CV62" s="459">
        <f t="shared" si="98"/>
        <v>0</v>
      </c>
      <c r="CW62" s="459">
        <f t="shared" si="99"/>
        <v>0</v>
      </c>
      <c r="CX62" s="459">
        <f t="shared" si="100"/>
        <v>0</v>
      </c>
      <c r="CY62" s="459">
        <f t="shared" si="101"/>
        <v>0</v>
      </c>
      <c r="CZ62" s="459">
        <f t="shared" si="102"/>
        <v>0</v>
      </c>
      <c r="DA62" s="460">
        <f t="shared" si="61"/>
        <v>0</v>
      </c>
      <c r="DB62" s="463"/>
      <c r="DC62" s="459">
        <f t="shared" si="105"/>
        <v>0</v>
      </c>
      <c r="DD62" s="459">
        <f t="shared" si="105"/>
        <v>0</v>
      </c>
      <c r="DE62" s="459">
        <f t="shared" si="105"/>
        <v>0</v>
      </c>
      <c r="DF62" s="459">
        <f t="shared" si="105"/>
        <v>0</v>
      </c>
      <c r="DG62" s="459">
        <f t="shared" si="105"/>
        <v>0</v>
      </c>
      <c r="DH62" s="459">
        <f t="shared" si="105"/>
        <v>0</v>
      </c>
      <c r="DI62" s="459">
        <f t="shared" si="105"/>
        <v>0</v>
      </c>
      <c r="DJ62" s="459">
        <f t="shared" si="105"/>
        <v>0</v>
      </c>
      <c r="DK62" s="459">
        <f t="shared" si="105"/>
        <v>0</v>
      </c>
      <c r="DL62" s="459">
        <f t="shared" si="105"/>
        <v>0</v>
      </c>
      <c r="DM62" s="460">
        <f t="shared" si="63"/>
        <v>0</v>
      </c>
      <c r="DN62" s="463"/>
      <c r="DO62" s="459">
        <f t="shared" si="68"/>
        <v>0</v>
      </c>
      <c r="DP62" s="459">
        <f t="shared" si="68"/>
        <v>0</v>
      </c>
      <c r="DQ62" s="459">
        <f t="shared" si="68"/>
        <v>0</v>
      </c>
      <c r="DR62" s="459">
        <f t="shared" si="68"/>
        <v>0</v>
      </c>
      <c r="DS62" s="459">
        <f t="shared" si="68"/>
        <v>0</v>
      </c>
      <c r="DT62" s="459">
        <f t="shared" si="66"/>
        <v>0</v>
      </c>
      <c r="DU62" s="459">
        <f t="shared" si="66"/>
        <v>0</v>
      </c>
      <c r="DV62" s="459">
        <f t="shared" si="66"/>
        <v>0</v>
      </c>
      <c r="DW62" s="459">
        <f t="shared" si="66"/>
        <v>0</v>
      </c>
      <c r="DX62" s="459">
        <f t="shared" si="66"/>
        <v>0</v>
      </c>
      <c r="DY62" s="460">
        <f t="shared" si="64"/>
        <v>0</v>
      </c>
      <c r="DZ62" s="463"/>
      <c r="EA62" s="459">
        <f t="shared" si="69"/>
        <v>0</v>
      </c>
      <c r="EB62" s="459">
        <f t="shared" si="69"/>
        <v>0</v>
      </c>
      <c r="EC62" s="459">
        <f t="shared" si="69"/>
        <v>0</v>
      </c>
      <c r="ED62" s="459">
        <f t="shared" si="69"/>
        <v>0</v>
      </c>
      <c r="EE62" s="459">
        <f t="shared" si="69"/>
        <v>0</v>
      </c>
      <c r="EF62" s="459">
        <f t="shared" si="67"/>
        <v>0</v>
      </c>
      <c r="EG62" s="459">
        <f t="shared" si="67"/>
        <v>0</v>
      </c>
      <c r="EH62" s="459">
        <f t="shared" si="67"/>
        <v>0</v>
      </c>
      <c r="EI62" s="459">
        <f t="shared" si="67"/>
        <v>0</v>
      </c>
      <c r="EJ62" s="459">
        <f t="shared" si="67"/>
        <v>0</v>
      </c>
      <c r="EK62" s="460">
        <f t="shared" si="65"/>
        <v>0</v>
      </c>
    </row>
    <row r="63" spans="2:141" s="268" customFormat="1" ht="15" customHeight="1" x14ac:dyDescent="0.25">
      <c r="B63" s="464" t="str">
        <f>'2. START'!C$7</f>
        <v>100GEM</v>
      </c>
      <c r="C63" s="470"/>
      <c r="D63" s="593"/>
      <c r="E63" s="527">
        <v>0</v>
      </c>
      <c r="F63" s="527" t="s">
        <v>36</v>
      </c>
      <c r="G63" s="527"/>
      <c r="H63" s="515"/>
      <c r="I63" s="515"/>
      <c r="J63" s="515"/>
      <c r="K63" s="515"/>
      <c r="L63" s="515"/>
      <c r="M63" s="515"/>
      <c r="N63" s="515"/>
      <c r="O63" s="515"/>
      <c r="P63" s="515"/>
      <c r="Q63" s="515"/>
      <c r="R63" s="442">
        <f t="shared" si="72"/>
        <v>0</v>
      </c>
      <c r="S63" s="516">
        <f>IF('2. START'!$C$20="UTB",(SUMIF('3. PARTNER'!B$13:B$80,B63,'3. PARTNER'!M$13:M$80)),(SUMIF('3. PARTNER'!B$13:B$80,B63,'3. PARTNER'!I$13:I$80)))</f>
        <v>0</v>
      </c>
      <c r="T63" s="516">
        <f>IF('2. START'!$C$20="UTB",(SUMIF('3. PARTNER'!B$13:B$80,B63,'3. PARTNER'!N$13:N$80)),(SUMIF('3. PARTNER'!B$13:B$80,B63,'3. PARTNER'!J$13:J$80)))</f>
        <v>0</v>
      </c>
      <c r="U63" s="517">
        <f>IF(F63="NO",0,IF('2. START'!C$13="PERSON+OPERATION",'2. START'!C$12,0)+IF('2. START'!C$13="PERSON+OPERATION+INVEST+FACILIT",'2. START'!C$12,0))</f>
        <v>0</v>
      </c>
      <c r="W63" s="519">
        <f t="shared" si="73"/>
        <v>0</v>
      </c>
      <c r="X63" s="519">
        <f t="shared" si="74"/>
        <v>0</v>
      </c>
      <c r="Y63" s="519">
        <f t="shared" si="75"/>
        <v>0</v>
      </c>
      <c r="Z63" s="519">
        <f t="shared" si="76"/>
        <v>0</v>
      </c>
      <c r="AA63" s="519">
        <f t="shared" si="77"/>
        <v>0</v>
      </c>
      <c r="AB63" s="519">
        <f t="shared" si="78"/>
        <v>0</v>
      </c>
      <c r="AC63" s="519">
        <f t="shared" si="79"/>
        <v>0</v>
      </c>
      <c r="AD63" s="519">
        <f t="shared" si="80"/>
        <v>0</v>
      </c>
      <c r="AE63" s="519">
        <f t="shared" si="81"/>
        <v>0</v>
      </c>
      <c r="AF63" s="519">
        <f t="shared" si="82"/>
        <v>0</v>
      </c>
      <c r="AG63" s="520">
        <f t="shared" si="51"/>
        <v>0</v>
      </c>
      <c r="AI63" s="519">
        <f t="shared" si="83"/>
        <v>0</v>
      </c>
      <c r="AJ63" s="519">
        <f t="shared" si="84"/>
        <v>0</v>
      </c>
      <c r="AK63" s="519">
        <f t="shared" si="85"/>
        <v>0</v>
      </c>
      <c r="AL63" s="519">
        <f t="shared" si="86"/>
        <v>0</v>
      </c>
      <c r="AM63" s="519">
        <f t="shared" si="87"/>
        <v>0</v>
      </c>
      <c r="AN63" s="519">
        <f t="shared" si="88"/>
        <v>0</v>
      </c>
      <c r="AO63" s="519">
        <f t="shared" si="89"/>
        <v>0</v>
      </c>
      <c r="AP63" s="519">
        <f t="shared" si="90"/>
        <v>0</v>
      </c>
      <c r="AQ63" s="519">
        <f t="shared" si="91"/>
        <v>0</v>
      </c>
      <c r="AR63" s="519">
        <f t="shared" si="92"/>
        <v>0</v>
      </c>
      <c r="AS63" s="520">
        <f t="shared" si="52"/>
        <v>0</v>
      </c>
      <c r="AU63" s="519">
        <f t="shared" si="103"/>
        <v>0</v>
      </c>
      <c r="AV63" s="519">
        <f t="shared" si="103"/>
        <v>0</v>
      </c>
      <c r="AW63" s="519">
        <f t="shared" si="103"/>
        <v>0</v>
      </c>
      <c r="AX63" s="519">
        <f t="shared" si="103"/>
        <v>0</v>
      </c>
      <c r="AY63" s="519">
        <f t="shared" si="103"/>
        <v>0</v>
      </c>
      <c r="AZ63" s="519">
        <f t="shared" si="103"/>
        <v>0</v>
      </c>
      <c r="BA63" s="519">
        <f t="shared" si="103"/>
        <v>0</v>
      </c>
      <c r="BB63" s="519">
        <f t="shared" si="103"/>
        <v>0</v>
      </c>
      <c r="BC63" s="519">
        <f t="shared" si="103"/>
        <v>0</v>
      </c>
      <c r="BD63" s="519">
        <f t="shared" si="103"/>
        <v>0</v>
      </c>
      <c r="BE63" s="520">
        <f t="shared" si="54"/>
        <v>0</v>
      </c>
      <c r="BG63" s="519">
        <f t="shared" si="55"/>
        <v>0</v>
      </c>
      <c r="BH63" s="519">
        <f t="shared" si="55"/>
        <v>0</v>
      </c>
      <c r="BI63" s="519">
        <f t="shared" si="55"/>
        <v>0</v>
      </c>
      <c r="BJ63" s="519">
        <f t="shared" si="55"/>
        <v>0</v>
      </c>
      <c r="BK63" s="519">
        <f t="shared" si="70"/>
        <v>0</v>
      </c>
      <c r="BL63" s="519">
        <f t="shared" si="70"/>
        <v>0</v>
      </c>
      <c r="BM63" s="519">
        <f t="shared" si="70"/>
        <v>0</v>
      </c>
      <c r="BN63" s="519">
        <f t="shared" si="70"/>
        <v>0</v>
      </c>
      <c r="BO63" s="519">
        <f t="shared" si="70"/>
        <v>0</v>
      </c>
      <c r="BP63" s="519">
        <f t="shared" si="70"/>
        <v>0</v>
      </c>
      <c r="BQ63" s="520">
        <f t="shared" si="56"/>
        <v>0</v>
      </c>
      <c r="BS63" s="519">
        <f t="shared" si="104"/>
        <v>0</v>
      </c>
      <c r="BT63" s="519">
        <f t="shared" si="104"/>
        <v>0</v>
      </c>
      <c r="BU63" s="519">
        <f t="shared" si="104"/>
        <v>0</v>
      </c>
      <c r="BV63" s="519">
        <f t="shared" si="104"/>
        <v>0</v>
      </c>
      <c r="BW63" s="519">
        <f t="shared" si="104"/>
        <v>0</v>
      </c>
      <c r="BX63" s="519">
        <f t="shared" si="104"/>
        <v>0</v>
      </c>
      <c r="BY63" s="519">
        <f t="shared" si="104"/>
        <v>0</v>
      </c>
      <c r="BZ63" s="519">
        <f t="shared" si="104"/>
        <v>0</v>
      </c>
      <c r="CA63" s="519">
        <f t="shared" si="104"/>
        <v>0</v>
      </c>
      <c r="CB63" s="519">
        <f t="shared" si="104"/>
        <v>0</v>
      </c>
      <c r="CC63" s="520">
        <f t="shared" si="58"/>
        <v>0</v>
      </c>
      <c r="CE63" s="519">
        <f t="shared" si="59"/>
        <v>0</v>
      </c>
      <c r="CF63" s="519">
        <f t="shared" si="59"/>
        <v>0</v>
      </c>
      <c r="CG63" s="519">
        <f t="shared" si="59"/>
        <v>0</v>
      </c>
      <c r="CH63" s="519">
        <f t="shared" si="59"/>
        <v>0</v>
      </c>
      <c r="CI63" s="519">
        <f t="shared" si="71"/>
        <v>0</v>
      </c>
      <c r="CJ63" s="519">
        <f t="shared" si="71"/>
        <v>0</v>
      </c>
      <c r="CK63" s="519">
        <f t="shared" si="71"/>
        <v>0</v>
      </c>
      <c r="CL63" s="519">
        <f t="shared" si="71"/>
        <v>0</v>
      </c>
      <c r="CM63" s="519">
        <f t="shared" si="71"/>
        <v>0</v>
      </c>
      <c r="CN63" s="519">
        <f t="shared" si="71"/>
        <v>0</v>
      </c>
      <c r="CO63" s="520">
        <f t="shared" si="60"/>
        <v>0</v>
      </c>
      <c r="CQ63" s="519">
        <f t="shared" si="93"/>
        <v>0</v>
      </c>
      <c r="CR63" s="519">
        <f t="shared" si="94"/>
        <v>0</v>
      </c>
      <c r="CS63" s="519">
        <f t="shared" si="95"/>
        <v>0</v>
      </c>
      <c r="CT63" s="519">
        <f t="shared" si="96"/>
        <v>0</v>
      </c>
      <c r="CU63" s="519">
        <f t="shared" si="97"/>
        <v>0</v>
      </c>
      <c r="CV63" s="519">
        <f t="shared" si="98"/>
        <v>0</v>
      </c>
      <c r="CW63" s="519">
        <f t="shared" si="99"/>
        <v>0</v>
      </c>
      <c r="CX63" s="519">
        <f t="shared" si="100"/>
        <v>0</v>
      </c>
      <c r="CY63" s="519">
        <f t="shared" si="101"/>
        <v>0</v>
      </c>
      <c r="CZ63" s="519">
        <f t="shared" si="102"/>
        <v>0</v>
      </c>
      <c r="DA63" s="520">
        <f t="shared" si="61"/>
        <v>0</v>
      </c>
      <c r="DC63" s="519">
        <f t="shared" si="105"/>
        <v>0</v>
      </c>
      <c r="DD63" s="519">
        <f t="shared" si="105"/>
        <v>0</v>
      </c>
      <c r="DE63" s="519">
        <f t="shared" si="105"/>
        <v>0</v>
      </c>
      <c r="DF63" s="519">
        <f t="shared" si="105"/>
        <v>0</v>
      </c>
      <c r="DG63" s="519">
        <f t="shared" si="105"/>
        <v>0</v>
      </c>
      <c r="DH63" s="519">
        <f t="shared" si="105"/>
        <v>0</v>
      </c>
      <c r="DI63" s="519">
        <f t="shared" si="105"/>
        <v>0</v>
      </c>
      <c r="DJ63" s="519">
        <f t="shared" si="105"/>
        <v>0</v>
      </c>
      <c r="DK63" s="519">
        <f t="shared" si="105"/>
        <v>0</v>
      </c>
      <c r="DL63" s="519">
        <f t="shared" si="105"/>
        <v>0</v>
      </c>
      <c r="DM63" s="520">
        <f t="shared" si="63"/>
        <v>0</v>
      </c>
      <c r="DO63" s="519">
        <f t="shared" si="68"/>
        <v>0</v>
      </c>
      <c r="DP63" s="519">
        <f t="shared" si="68"/>
        <v>0</v>
      </c>
      <c r="DQ63" s="519">
        <f t="shared" si="68"/>
        <v>0</v>
      </c>
      <c r="DR63" s="519">
        <f t="shared" si="68"/>
        <v>0</v>
      </c>
      <c r="DS63" s="519">
        <f t="shared" si="68"/>
        <v>0</v>
      </c>
      <c r="DT63" s="519">
        <f t="shared" si="66"/>
        <v>0</v>
      </c>
      <c r="DU63" s="519">
        <f t="shared" si="66"/>
        <v>0</v>
      </c>
      <c r="DV63" s="519">
        <f t="shared" si="66"/>
        <v>0</v>
      </c>
      <c r="DW63" s="519">
        <f t="shared" si="66"/>
        <v>0</v>
      </c>
      <c r="DX63" s="519">
        <f t="shared" si="66"/>
        <v>0</v>
      </c>
      <c r="DY63" s="520">
        <f t="shared" si="64"/>
        <v>0</v>
      </c>
      <c r="EA63" s="519">
        <f t="shared" si="69"/>
        <v>0</v>
      </c>
      <c r="EB63" s="519">
        <f t="shared" si="69"/>
        <v>0</v>
      </c>
      <c r="EC63" s="519">
        <f t="shared" si="69"/>
        <v>0</v>
      </c>
      <c r="ED63" s="519">
        <f t="shared" si="69"/>
        <v>0</v>
      </c>
      <c r="EE63" s="519">
        <f t="shared" si="69"/>
        <v>0</v>
      </c>
      <c r="EF63" s="519">
        <f t="shared" si="67"/>
        <v>0</v>
      </c>
      <c r="EG63" s="519">
        <f t="shared" si="67"/>
        <v>0</v>
      </c>
      <c r="EH63" s="519">
        <f t="shared" si="67"/>
        <v>0</v>
      </c>
      <c r="EI63" s="519">
        <f t="shared" si="67"/>
        <v>0</v>
      </c>
      <c r="EJ63" s="519">
        <f t="shared" si="67"/>
        <v>0</v>
      </c>
      <c r="EK63" s="520">
        <f t="shared" si="65"/>
        <v>0</v>
      </c>
    </row>
    <row r="64" spans="2:141" s="268" customFormat="1" ht="15" customHeight="1" x14ac:dyDescent="0.25">
      <c r="B64" s="446" t="str">
        <f>'2. START'!C$7</f>
        <v>100GEM</v>
      </c>
      <c r="C64" s="469"/>
      <c r="D64" s="594"/>
      <c r="E64" s="522">
        <v>0</v>
      </c>
      <c r="F64" s="522" t="s">
        <v>36</v>
      </c>
      <c r="G64" s="522"/>
      <c r="H64" s="523"/>
      <c r="I64" s="523"/>
      <c r="J64" s="523"/>
      <c r="K64" s="523"/>
      <c r="L64" s="523"/>
      <c r="M64" s="523"/>
      <c r="N64" s="523"/>
      <c r="O64" s="523"/>
      <c r="P64" s="523"/>
      <c r="Q64" s="523"/>
      <c r="R64" s="459">
        <f t="shared" si="72"/>
        <v>0</v>
      </c>
      <c r="S64" s="524">
        <f>IF('2. START'!$C$20="UTB",(SUMIF('3. PARTNER'!B$13:B$80,B64,'3. PARTNER'!M$13:M$80)),(SUMIF('3. PARTNER'!B$13:B$80,B64,'3. PARTNER'!I$13:I$80)))</f>
        <v>0</v>
      </c>
      <c r="T64" s="524">
        <f>IF('2. START'!$C$20="UTB",(SUMIF('3. PARTNER'!B$13:B$80,B64,'3. PARTNER'!N$13:N$80)),(SUMIF('3. PARTNER'!B$13:B$80,B64,'3. PARTNER'!J$13:J$80)))</f>
        <v>0</v>
      </c>
      <c r="U64" s="454">
        <f>IF(F64="NO",0,IF('2. START'!C$13="PERSON+OPERATION",'2. START'!C$12,0)+IF('2. START'!C$13="PERSON+OPERATION+INVEST+FACILIT",'2. START'!C$12,0))</f>
        <v>0</v>
      </c>
      <c r="V64" s="463"/>
      <c r="W64" s="459">
        <f t="shared" si="73"/>
        <v>0</v>
      </c>
      <c r="X64" s="459">
        <f t="shared" si="74"/>
        <v>0</v>
      </c>
      <c r="Y64" s="459">
        <f t="shared" si="75"/>
        <v>0</v>
      </c>
      <c r="Z64" s="459">
        <f t="shared" si="76"/>
        <v>0</v>
      </c>
      <c r="AA64" s="459">
        <f t="shared" si="77"/>
        <v>0</v>
      </c>
      <c r="AB64" s="459">
        <f t="shared" si="78"/>
        <v>0</v>
      </c>
      <c r="AC64" s="459">
        <f t="shared" si="79"/>
        <v>0</v>
      </c>
      <c r="AD64" s="459">
        <f t="shared" si="80"/>
        <v>0</v>
      </c>
      <c r="AE64" s="459">
        <f t="shared" si="81"/>
        <v>0</v>
      </c>
      <c r="AF64" s="459">
        <f t="shared" si="82"/>
        <v>0</v>
      </c>
      <c r="AG64" s="460">
        <f t="shared" si="51"/>
        <v>0</v>
      </c>
      <c r="AH64" s="463"/>
      <c r="AI64" s="459">
        <f t="shared" si="83"/>
        <v>0</v>
      </c>
      <c r="AJ64" s="459">
        <f t="shared" si="84"/>
        <v>0</v>
      </c>
      <c r="AK64" s="459">
        <f t="shared" si="85"/>
        <v>0</v>
      </c>
      <c r="AL64" s="459">
        <f t="shared" si="86"/>
        <v>0</v>
      </c>
      <c r="AM64" s="459">
        <f t="shared" si="87"/>
        <v>0</v>
      </c>
      <c r="AN64" s="459">
        <f t="shared" si="88"/>
        <v>0</v>
      </c>
      <c r="AO64" s="459">
        <f t="shared" si="89"/>
        <v>0</v>
      </c>
      <c r="AP64" s="459">
        <f t="shared" si="90"/>
        <v>0</v>
      </c>
      <c r="AQ64" s="459">
        <f t="shared" si="91"/>
        <v>0</v>
      </c>
      <c r="AR64" s="459">
        <f t="shared" si="92"/>
        <v>0</v>
      </c>
      <c r="AS64" s="460">
        <f t="shared" si="52"/>
        <v>0</v>
      </c>
      <c r="AT64" s="463"/>
      <c r="AU64" s="459">
        <f t="shared" si="103"/>
        <v>0</v>
      </c>
      <c r="AV64" s="459">
        <f t="shared" si="103"/>
        <v>0</v>
      </c>
      <c r="AW64" s="459">
        <f t="shared" si="103"/>
        <v>0</v>
      </c>
      <c r="AX64" s="459">
        <f t="shared" si="103"/>
        <v>0</v>
      </c>
      <c r="AY64" s="459">
        <f t="shared" si="103"/>
        <v>0</v>
      </c>
      <c r="AZ64" s="459">
        <f t="shared" si="103"/>
        <v>0</v>
      </c>
      <c r="BA64" s="459">
        <f t="shared" si="103"/>
        <v>0</v>
      </c>
      <c r="BB64" s="459">
        <f t="shared" si="103"/>
        <v>0</v>
      </c>
      <c r="BC64" s="459">
        <f t="shared" si="103"/>
        <v>0</v>
      </c>
      <c r="BD64" s="459">
        <f t="shared" si="103"/>
        <v>0</v>
      </c>
      <c r="BE64" s="460">
        <f t="shared" si="54"/>
        <v>0</v>
      </c>
      <c r="BF64" s="463"/>
      <c r="BG64" s="459">
        <f t="shared" si="55"/>
        <v>0</v>
      </c>
      <c r="BH64" s="459">
        <f t="shared" si="55"/>
        <v>0</v>
      </c>
      <c r="BI64" s="459">
        <f t="shared" si="55"/>
        <v>0</v>
      </c>
      <c r="BJ64" s="459">
        <f t="shared" si="55"/>
        <v>0</v>
      </c>
      <c r="BK64" s="459">
        <f t="shared" si="70"/>
        <v>0</v>
      </c>
      <c r="BL64" s="459">
        <f t="shared" si="70"/>
        <v>0</v>
      </c>
      <c r="BM64" s="459">
        <f t="shared" si="70"/>
        <v>0</v>
      </c>
      <c r="BN64" s="459">
        <f t="shared" si="70"/>
        <v>0</v>
      </c>
      <c r="BO64" s="459">
        <f t="shared" si="70"/>
        <v>0</v>
      </c>
      <c r="BP64" s="459">
        <f t="shared" si="70"/>
        <v>0</v>
      </c>
      <c r="BQ64" s="460">
        <f t="shared" si="56"/>
        <v>0</v>
      </c>
      <c r="BR64" s="463"/>
      <c r="BS64" s="459">
        <f t="shared" si="104"/>
        <v>0</v>
      </c>
      <c r="BT64" s="459">
        <f t="shared" si="104"/>
        <v>0</v>
      </c>
      <c r="BU64" s="459">
        <f t="shared" si="104"/>
        <v>0</v>
      </c>
      <c r="BV64" s="459">
        <f t="shared" si="104"/>
        <v>0</v>
      </c>
      <c r="BW64" s="459">
        <f t="shared" si="104"/>
        <v>0</v>
      </c>
      <c r="BX64" s="459">
        <f t="shared" si="104"/>
        <v>0</v>
      </c>
      <c r="BY64" s="459">
        <f t="shared" si="104"/>
        <v>0</v>
      </c>
      <c r="BZ64" s="459">
        <f t="shared" si="104"/>
        <v>0</v>
      </c>
      <c r="CA64" s="459">
        <f t="shared" si="104"/>
        <v>0</v>
      </c>
      <c r="CB64" s="459">
        <f t="shared" si="104"/>
        <v>0</v>
      </c>
      <c r="CC64" s="460">
        <f t="shared" si="58"/>
        <v>0</v>
      </c>
      <c r="CD64" s="463"/>
      <c r="CE64" s="459">
        <f t="shared" si="59"/>
        <v>0</v>
      </c>
      <c r="CF64" s="459">
        <f t="shared" si="59"/>
        <v>0</v>
      </c>
      <c r="CG64" s="459">
        <f t="shared" si="59"/>
        <v>0</v>
      </c>
      <c r="CH64" s="459">
        <f t="shared" si="59"/>
        <v>0</v>
      </c>
      <c r="CI64" s="459">
        <f t="shared" si="71"/>
        <v>0</v>
      </c>
      <c r="CJ64" s="459">
        <f t="shared" si="71"/>
        <v>0</v>
      </c>
      <c r="CK64" s="459">
        <f t="shared" si="71"/>
        <v>0</v>
      </c>
      <c r="CL64" s="459">
        <f t="shared" si="71"/>
        <v>0</v>
      </c>
      <c r="CM64" s="459">
        <f t="shared" si="71"/>
        <v>0</v>
      </c>
      <c r="CN64" s="459">
        <f t="shared" si="71"/>
        <v>0</v>
      </c>
      <c r="CO64" s="460">
        <f t="shared" si="60"/>
        <v>0</v>
      </c>
      <c r="CP64" s="463"/>
      <c r="CQ64" s="459">
        <f t="shared" si="93"/>
        <v>0</v>
      </c>
      <c r="CR64" s="459">
        <f t="shared" si="94"/>
        <v>0</v>
      </c>
      <c r="CS64" s="459">
        <f t="shared" si="95"/>
        <v>0</v>
      </c>
      <c r="CT64" s="459">
        <f t="shared" si="96"/>
        <v>0</v>
      </c>
      <c r="CU64" s="459">
        <f t="shared" si="97"/>
        <v>0</v>
      </c>
      <c r="CV64" s="459">
        <f t="shared" si="98"/>
        <v>0</v>
      </c>
      <c r="CW64" s="459">
        <f t="shared" si="99"/>
        <v>0</v>
      </c>
      <c r="CX64" s="459">
        <f t="shared" si="100"/>
        <v>0</v>
      </c>
      <c r="CY64" s="459">
        <f t="shared" si="101"/>
        <v>0</v>
      </c>
      <c r="CZ64" s="459">
        <f t="shared" si="102"/>
        <v>0</v>
      </c>
      <c r="DA64" s="460">
        <f t="shared" si="61"/>
        <v>0</v>
      </c>
      <c r="DB64" s="463"/>
      <c r="DC64" s="459">
        <f t="shared" si="105"/>
        <v>0</v>
      </c>
      <c r="DD64" s="459">
        <f t="shared" si="105"/>
        <v>0</v>
      </c>
      <c r="DE64" s="459">
        <f t="shared" si="105"/>
        <v>0</v>
      </c>
      <c r="DF64" s="459">
        <f t="shared" si="105"/>
        <v>0</v>
      </c>
      <c r="DG64" s="459">
        <f t="shared" si="105"/>
        <v>0</v>
      </c>
      <c r="DH64" s="459">
        <f t="shared" si="105"/>
        <v>0</v>
      </c>
      <c r="DI64" s="459">
        <f t="shared" si="105"/>
        <v>0</v>
      </c>
      <c r="DJ64" s="459">
        <f t="shared" si="105"/>
        <v>0</v>
      </c>
      <c r="DK64" s="459">
        <f t="shared" si="105"/>
        <v>0</v>
      </c>
      <c r="DL64" s="459">
        <f t="shared" si="105"/>
        <v>0</v>
      </c>
      <c r="DM64" s="460">
        <f t="shared" si="63"/>
        <v>0</v>
      </c>
      <c r="DN64" s="463"/>
      <c r="DO64" s="459">
        <f t="shared" si="68"/>
        <v>0</v>
      </c>
      <c r="DP64" s="459">
        <f t="shared" si="68"/>
        <v>0</v>
      </c>
      <c r="DQ64" s="459">
        <f t="shared" si="68"/>
        <v>0</v>
      </c>
      <c r="DR64" s="459">
        <f t="shared" si="68"/>
        <v>0</v>
      </c>
      <c r="DS64" s="459">
        <f t="shared" si="68"/>
        <v>0</v>
      </c>
      <c r="DT64" s="459">
        <f t="shared" si="66"/>
        <v>0</v>
      </c>
      <c r="DU64" s="459">
        <f t="shared" si="66"/>
        <v>0</v>
      </c>
      <c r="DV64" s="459">
        <f t="shared" si="66"/>
        <v>0</v>
      </c>
      <c r="DW64" s="459">
        <f t="shared" si="66"/>
        <v>0</v>
      </c>
      <c r="DX64" s="459">
        <f t="shared" si="66"/>
        <v>0</v>
      </c>
      <c r="DY64" s="460">
        <f t="shared" si="64"/>
        <v>0</v>
      </c>
      <c r="DZ64" s="463"/>
      <c r="EA64" s="459">
        <f t="shared" si="69"/>
        <v>0</v>
      </c>
      <c r="EB64" s="459">
        <f t="shared" si="69"/>
        <v>0</v>
      </c>
      <c r="EC64" s="459">
        <f t="shared" si="69"/>
        <v>0</v>
      </c>
      <c r="ED64" s="459">
        <f t="shared" si="69"/>
        <v>0</v>
      </c>
      <c r="EE64" s="459">
        <f t="shared" si="69"/>
        <v>0</v>
      </c>
      <c r="EF64" s="459">
        <f t="shared" si="67"/>
        <v>0</v>
      </c>
      <c r="EG64" s="459">
        <f t="shared" si="67"/>
        <v>0</v>
      </c>
      <c r="EH64" s="459">
        <f t="shared" si="67"/>
        <v>0</v>
      </c>
      <c r="EI64" s="459">
        <f t="shared" si="67"/>
        <v>0</v>
      </c>
      <c r="EJ64" s="459">
        <f t="shared" si="67"/>
        <v>0</v>
      </c>
      <c r="EK64" s="460">
        <f t="shared" si="65"/>
        <v>0</v>
      </c>
    </row>
    <row r="65" spans="2:141" s="268" customFormat="1" ht="15" customHeight="1" x14ac:dyDescent="0.25">
      <c r="B65" s="464" t="str">
        <f>'2. START'!C$7</f>
        <v>100GEM</v>
      </c>
      <c r="C65" s="470"/>
      <c r="D65" s="593"/>
      <c r="E65" s="527">
        <v>0</v>
      </c>
      <c r="F65" s="527" t="s">
        <v>36</v>
      </c>
      <c r="G65" s="527"/>
      <c r="H65" s="515"/>
      <c r="I65" s="515"/>
      <c r="J65" s="515"/>
      <c r="K65" s="515"/>
      <c r="L65" s="515"/>
      <c r="M65" s="515"/>
      <c r="N65" s="515"/>
      <c r="O65" s="515"/>
      <c r="P65" s="515"/>
      <c r="Q65" s="515"/>
      <c r="R65" s="442">
        <f t="shared" si="72"/>
        <v>0</v>
      </c>
      <c r="S65" s="516">
        <f>IF('2. START'!$C$20="UTB",(SUMIF('3. PARTNER'!B$13:B$80,B65,'3. PARTNER'!M$13:M$80)),(SUMIF('3. PARTNER'!B$13:B$80,B65,'3. PARTNER'!I$13:I$80)))</f>
        <v>0</v>
      </c>
      <c r="T65" s="516">
        <f>IF('2. START'!$C$20="UTB",(SUMIF('3. PARTNER'!B$13:B$80,B65,'3. PARTNER'!N$13:N$80)),(SUMIF('3. PARTNER'!B$13:B$80,B65,'3. PARTNER'!J$13:J$80)))</f>
        <v>0</v>
      </c>
      <c r="U65" s="517">
        <f>IF(F65="NO",0,IF('2. START'!C$13="PERSON+OPERATION",'2. START'!C$12,0)+IF('2. START'!C$13="PERSON+OPERATION+INVEST+FACILIT",'2. START'!C$12,0))</f>
        <v>0</v>
      </c>
      <c r="W65" s="519">
        <f t="shared" si="73"/>
        <v>0</v>
      </c>
      <c r="X65" s="519">
        <f t="shared" si="74"/>
        <v>0</v>
      </c>
      <c r="Y65" s="519">
        <f t="shared" si="75"/>
        <v>0</v>
      </c>
      <c r="Z65" s="519">
        <f t="shared" si="76"/>
        <v>0</v>
      </c>
      <c r="AA65" s="519">
        <f t="shared" si="77"/>
        <v>0</v>
      </c>
      <c r="AB65" s="519">
        <f t="shared" si="78"/>
        <v>0</v>
      </c>
      <c r="AC65" s="519">
        <f t="shared" si="79"/>
        <v>0</v>
      </c>
      <c r="AD65" s="519">
        <f t="shared" si="80"/>
        <v>0</v>
      </c>
      <c r="AE65" s="519">
        <f t="shared" si="81"/>
        <v>0</v>
      </c>
      <c r="AF65" s="519">
        <f t="shared" si="82"/>
        <v>0</v>
      </c>
      <c r="AG65" s="520">
        <f t="shared" si="51"/>
        <v>0</v>
      </c>
      <c r="AI65" s="519">
        <f t="shared" si="83"/>
        <v>0</v>
      </c>
      <c r="AJ65" s="519">
        <f t="shared" si="84"/>
        <v>0</v>
      </c>
      <c r="AK65" s="519">
        <f t="shared" si="85"/>
        <v>0</v>
      </c>
      <c r="AL65" s="519">
        <f t="shared" si="86"/>
        <v>0</v>
      </c>
      <c r="AM65" s="519">
        <f t="shared" si="87"/>
        <v>0</v>
      </c>
      <c r="AN65" s="519">
        <f t="shared" si="88"/>
        <v>0</v>
      </c>
      <c r="AO65" s="519">
        <f t="shared" si="89"/>
        <v>0</v>
      </c>
      <c r="AP65" s="519">
        <f t="shared" si="90"/>
        <v>0</v>
      </c>
      <c r="AQ65" s="519">
        <f t="shared" si="91"/>
        <v>0</v>
      </c>
      <c r="AR65" s="519">
        <f t="shared" si="92"/>
        <v>0</v>
      </c>
      <c r="AS65" s="520">
        <f t="shared" si="52"/>
        <v>0</v>
      </c>
      <c r="AU65" s="519">
        <f t="shared" si="103"/>
        <v>0</v>
      </c>
      <c r="AV65" s="519">
        <f t="shared" si="103"/>
        <v>0</v>
      </c>
      <c r="AW65" s="519">
        <f t="shared" si="103"/>
        <v>0</v>
      </c>
      <c r="AX65" s="519">
        <f t="shared" si="103"/>
        <v>0</v>
      </c>
      <c r="AY65" s="519">
        <f t="shared" si="103"/>
        <v>0</v>
      </c>
      <c r="AZ65" s="519">
        <f t="shared" si="103"/>
        <v>0</v>
      </c>
      <c r="BA65" s="519">
        <f t="shared" si="103"/>
        <v>0</v>
      </c>
      <c r="BB65" s="519">
        <f t="shared" si="103"/>
        <v>0</v>
      </c>
      <c r="BC65" s="519">
        <f t="shared" si="103"/>
        <v>0</v>
      </c>
      <c r="BD65" s="519">
        <f t="shared" si="103"/>
        <v>0</v>
      </c>
      <c r="BE65" s="520">
        <f t="shared" si="54"/>
        <v>0</v>
      </c>
      <c r="BG65" s="519">
        <f t="shared" si="55"/>
        <v>0</v>
      </c>
      <c r="BH65" s="519">
        <f t="shared" si="55"/>
        <v>0</v>
      </c>
      <c r="BI65" s="519">
        <f t="shared" si="55"/>
        <v>0</v>
      </c>
      <c r="BJ65" s="519">
        <f t="shared" si="55"/>
        <v>0</v>
      </c>
      <c r="BK65" s="519">
        <f t="shared" si="70"/>
        <v>0</v>
      </c>
      <c r="BL65" s="519">
        <f t="shared" si="70"/>
        <v>0</v>
      </c>
      <c r="BM65" s="519">
        <f t="shared" si="70"/>
        <v>0</v>
      </c>
      <c r="BN65" s="519">
        <f t="shared" si="70"/>
        <v>0</v>
      </c>
      <c r="BO65" s="519">
        <f t="shared" si="70"/>
        <v>0</v>
      </c>
      <c r="BP65" s="519">
        <f t="shared" si="70"/>
        <v>0</v>
      </c>
      <c r="BQ65" s="520">
        <f t="shared" si="56"/>
        <v>0</v>
      </c>
      <c r="BS65" s="519">
        <f t="shared" si="104"/>
        <v>0</v>
      </c>
      <c r="BT65" s="519">
        <f t="shared" si="104"/>
        <v>0</v>
      </c>
      <c r="BU65" s="519">
        <f t="shared" si="104"/>
        <v>0</v>
      </c>
      <c r="BV65" s="519">
        <f t="shared" si="104"/>
        <v>0</v>
      </c>
      <c r="BW65" s="519">
        <f t="shared" si="104"/>
        <v>0</v>
      </c>
      <c r="BX65" s="519">
        <f t="shared" si="104"/>
        <v>0</v>
      </c>
      <c r="BY65" s="519">
        <f t="shared" si="104"/>
        <v>0</v>
      </c>
      <c r="BZ65" s="519">
        <f t="shared" si="104"/>
        <v>0</v>
      </c>
      <c r="CA65" s="519">
        <f t="shared" si="104"/>
        <v>0</v>
      </c>
      <c r="CB65" s="519">
        <f t="shared" si="104"/>
        <v>0</v>
      </c>
      <c r="CC65" s="520">
        <f t="shared" si="58"/>
        <v>0</v>
      </c>
      <c r="CE65" s="519">
        <f t="shared" si="59"/>
        <v>0</v>
      </c>
      <c r="CF65" s="519">
        <f t="shared" si="59"/>
        <v>0</v>
      </c>
      <c r="CG65" s="519">
        <f t="shared" si="59"/>
        <v>0</v>
      </c>
      <c r="CH65" s="519">
        <f t="shared" si="59"/>
        <v>0</v>
      </c>
      <c r="CI65" s="519">
        <f t="shared" si="71"/>
        <v>0</v>
      </c>
      <c r="CJ65" s="519">
        <f t="shared" si="71"/>
        <v>0</v>
      </c>
      <c r="CK65" s="519">
        <f t="shared" si="71"/>
        <v>0</v>
      </c>
      <c r="CL65" s="519">
        <f t="shared" si="71"/>
        <v>0</v>
      </c>
      <c r="CM65" s="519">
        <f t="shared" si="71"/>
        <v>0</v>
      </c>
      <c r="CN65" s="519">
        <f t="shared" si="71"/>
        <v>0</v>
      </c>
      <c r="CO65" s="520">
        <f t="shared" si="60"/>
        <v>0</v>
      </c>
      <c r="CQ65" s="519">
        <f t="shared" si="93"/>
        <v>0</v>
      </c>
      <c r="CR65" s="519">
        <f t="shared" si="94"/>
        <v>0</v>
      </c>
      <c r="CS65" s="519">
        <f t="shared" si="95"/>
        <v>0</v>
      </c>
      <c r="CT65" s="519">
        <f t="shared" si="96"/>
        <v>0</v>
      </c>
      <c r="CU65" s="519">
        <f t="shared" si="97"/>
        <v>0</v>
      </c>
      <c r="CV65" s="519">
        <f t="shared" si="98"/>
        <v>0</v>
      </c>
      <c r="CW65" s="519">
        <f t="shared" si="99"/>
        <v>0</v>
      </c>
      <c r="CX65" s="519">
        <f t="shared" si="100"/>
        <v>0</v>
      </c>
      <c r="CY65" s="519">
        <f t="shared" si="101"/>
        <v>0</v>
      </c>
      <c r="CZ65" s="519">
        <f t="shared" si="102"/>
        <v>0</v>
      </c>
      <c r="DA65" s="520">
        <f t="shared" si="61"/>
        <v>0</v>
      </c>
      <c r="DC65" s="519">
        <f t="shared" si="105"/>
        <v>0</v>
      </c>
      <c r="DD65" s="519">
        <f t="shared" si="105"/>
        <v>0</v>
      </c>
      <c r="DE65" s="519">
        <f t="shared" si="105"/>
        <v>0</v>
      </c>
      <c r="DF65" s="519">
        <f t="shared" si="105"/>
        <v>0</v>
      </c>
      <c r="DG65" s="519">
        <f t="shared" si="105"/>
        <v>0</v>
      </c>
      <c r="DH65" s="519">
        <f t="shared" si="105"/>
        <v>0</v>
      </c>
      <c r="DI65" s="519">
        <f t="shared" si="105"/>
        <v>0</v>
      </c>
      <c r="DJ65" s="519">
        <f t="shared" si="105"/>
        <v>0</v>
      </c>
      <c r="DK65" s="519">
        <f t="shared" si="105"/>
        <v>0</v>
      </c>
      <c r="DL65" s="519">
        <f t="shared" si="105"/>
        <v>0</v>
      </c>
      <c r="DM65" s="520">
        <f t="shared" si="63"/>
        <v>0</v>
      </c>
      <c r="DO65" s="519">
        <f t="shared" si="68"/>
        <v>0</v>
      </c>
      <c r="DP65" s="519">
        <f t="shared" si="68"/>
        <v>0</v>
      </c>
      <c r="DQ65" s="519">
        <f t="shared" si="68"/>
        <v>0</v>
      </c>
      <c r="DR65" s="519">
        <f t="shared" si="68"/>
        <v>0</v>
      </c>
      <c r="DS65" s="519">
        <f t="shared" si="68"/>
        <v>0</v>
      </c>
      <c r="DT65" s="519">
        <f t="shared" si="66"/>
        <v>0</v>
      </c>
      <c r="DU65" s="519">
        <f t="shared" si="66"/>
        <v>0</v>
      </c>
      <c r="DV65" s="519">
        <f t="shared" si="66"/>
        <v>0</v>
      </c>
      <c r="DW65" s="519">
        <f t="shared" si="66"/>
        <v>0</v>
      </c>
      <c r="DX65" s="519">
        <f t="shared" si="66"/>
        <v>0</v>
      </c>
      <c r="DY65" s="520">
        <f t="shared" si="64"/>
        <v>0</v>
      </c>
      <c r="EA65" s="519">
        <f t="shared" si="69"/>
        <v>0</v>
      </c>
      <c r="EB65" s="519">
        <f t="shared" si="69"/>
        <v>0</v>
      </c>
      <c r="EC65" s="519">
        <f t="shared" si="69"/>
        <v>0</v>
      </c>
      <c r="ED65" s="519">
        <f t="shared" si="69"/>
        <v>0</v>
      </c>
      <c r="EE65" s="519">
        <f t="shared" si="69"/>
        <v>0</v>
      </c>
      <c r="EF65" s="519">
        <f t="shared" si="67"/>
        <v>0</v>
      </c>
      <c r="EG65" s="519">
        <f t="shared" si="67"/>
        <v>0</v>
      </c>
      <c r="EH65" s="519">
        <f t="shared" si="67"/>
        <v>0</v>
      </c>
      <c r="EI65" s="519">
        <f t="shared" si="67"/>
        <v>0</v>
      </c>
      <c r="EJ65" s="519">
        <f t="shared" si="67"/>
        <v>0</v>
      </c>
      <c r="EK65" s="520">
        <f t="shared" si="65"/>
        <v>0</v>
      </c>
    </row>
    <row r="66" spans="2:141" s="268" customFormat="1" ht="15" customHeight="1" x14ac:dyDescent="0.25">
      <c r="B66" s="446" t="str">
        <f>'2. START'!C$7</f>
        <v>100GEM</v>
      </c>
      <c r="C66" s="469"/>
      <c r="D66" s="594"/>
      <c r="E66" s="522">
        <v>0</v>
      </c>
      <c r="F66" s="522" t="s">
        <v>36</v>
      </c>
      <c r="G66" s="522"/>
      <c r="H66" s="523"/>
      <c r="I66" s="523"/>
      <c r="J66" s="523"/>
      <c r="K66" s="523"/>
      <c r="L66" s="523"/>
      <c r="M66" s="523"/>
      <c r="N66" s="523"/>
      <c r="O66" s="523"/>
      <c r="P66" s="523"/>
      <c r="Q66" s="523"/>
      <c r="R66" s="459">
        <f t="shared" si="72"/>
        <v>0</v>
      </c>
      <c r="S66" s="524">
        <f>IF('2. START'!$C$20="UTB",(SUMIF('3. PARTNER'!B$13:B$80,B66,'3. PARTNER'!M$13:M$80)),(SUMIF('3. PARTNER'!B$13:B$80,B66,'3. PARTNER'!I$13:I$80)))</f>
        <v>0</v>
      </c>
      <c r="T66" s="524">
        <f>IF('2. START'!$C$20="UTB",(SUMIF('3. PARTNER'!B$13:B$80,B66,'3. PARTNER'!N$13:N$80)),(SUMIF('3. PARTNER'!B$13:B$80,B66,'3. PARTNER'!J$13:J$80)))</f>
        <v>0</v>
      </c>
      <c r="U66" s="454">
        <f>IF(F66="NO",0,IF('2. START'!C$13="PERSON+OPERATION",'2. START'!C$12,0)+IF('2. START'!C$13="PERSON+OPERATION+INVEST+FACILIT",'2. START'!C$12,0))</f>
        <v>0</v>
      </c>
      <c r="V66" s="463"/>
      <c r="W66" s="459">
        <f t="shared" si="73"/>
        <v>0</v>
      </c>
      <c r="X66" s="459">
        <f t="shared" si="74"/>
        <v>0</v>
      </c>
      <c r="Y66" s="459">
        <f t="shared" si="75"/>
        <v>0</v>
      </c>
      <c r="Z66" s="459">
        <f t="shared" si="76"/>
        <v>0</v>
      </c>
      <c r="AA66" s="459">
        <f t="shared" si="77"/>
        <v>0</v>
      </c>
      <c r="AB66" s="459">
        <f t="shared" si="78"/>
        <v>0</v>
      </c>
      <c r="AC66" s="459">
        <f t="shared" si="79"/>
        <v>0</v>
      </c>
      <c r="AD66" s="459">
        <f t="shared" si="80"/>
        <v>0</v>
      </c>
      <c r="AE66" s="459">
        <f t="shared" si="81"/>
        <v>0</v>
      </c>
      <c r="AF66" s="459">
        <f t="shared" si="82"/>
        <v>0</v>
      </c>
      <c r="AG66" s="460">
        <f t="shared" si="51"/>
        <v>0</v>
      </c>
      <c r="AH66" s="463"/>
      <c r="AI66" s="459">
        <f t="shared" si="83"/>
        <v>0</v>
      </c>
      <c r="AJ66" s="459">
        <f t="shared" si="84"/>
        <v>0</v>
      </c>
      <c r="AK66" s="459">
        <f t="shared" si="85"/>
        <v>0</v>
      </c>
      <c r="AL66" s="459">
        <f t="shared" si="86"/>
        <v>0</v>
      </c>
      <c r="AM66" s="459">
        <f t="shared" si="87"/>
        <v>0</v>
      </c>
      <c r="AN66" s="459">
        <f t="shared" si="88"/>
        <v>0</v>
      </c>
      <c r="AO66" s="459">
        <f t="shared" si="89"/>
        <v>0</v>
      </c>
      <c r="AP66" s="459">
        <f t="shared" si="90"/>
        <v>0</v>
      </c>
      <c r="AQ66" s="459">
        <f t="shared" si="91"/>
        <v>0</v>
      </c>
      <c r="AR66" s="459">
        <f t="shared" si="92"/>
        <v>0</v>
      </c>
      <c r="AS66" s="460">
        <f t="shared" si="52"/>
        <v>0</v>
      </c>
      <c r="AT66" s="463"/>
      <c r="AU66" s="459">
        <f t="shared" si="103"/>
        <v>0</v>
      </c>
      <c r="AV66" s="459">
        <f t="shared" si="103"/>
        <v>0</v>
      </c>
      <c r="AW66" s="459">
        <f t="shared" si="103"/>
        <v>0</v>
      </c>
      <c r="AX66" s="459">
        <f t="shared" si="103"/>
        <v>0</v>
      </c>
      <c r="AY66" s="459">
        <f t="shared" si="103"/>
        <v>0</v>
      </c>
      <c r="AZ66" s="459">
        <f t="shared" si="103"/>
        <v>0</v>
      </c>
      <c r="BA66" s="459">
        <f t="shared" si="103"/>
        <v>0</v>
      </c>
      <c r="BB66" s="459">
        <f t="shared" si="103"/>
        <v>0</v>
      </c>
      <c r="BC66" s="459">
        <f t="shared" si="103"/>
        <v>0</v>
      </c>
      <c r="BD66" s="459">
        <f t="shared" si="103"/>
        <v>0</v>
      </c>
      <c r="BE66" s="460">
        <f t="shared" si="54"/>
        <v>0</v>
      </c>
      <c r="BF66" s="463"/>
      <c r="BG66" s="459">
        <f t="shared" si="55"/>
        <v>0</v>
      </c>
      <c r="BH66" s="459">
        <f t="shared" si="55"/>
        <v>0</v>
      </c>
      <c r="BI66" s="459">
        <f t="shared" si="55"/>
        <v>0</v>
      </c>
      <c r="BJ66" s="459">
        <f t="shared" si="55"/>
        <v>0</v>
      </c>
      <c r="BK66" s="459">
        <f t="shared" si="70"/>
        <v>0</v>
      </c>
      <c r="BL66" s="459">
        <f t="shared" si="70"/>
        <v>0</v>
      </c>
      <c r="BM66" s="459">
        <f t="shared" si="70"/>
        <v>0</v>
      </c>
      <c r="BN66" s="459">
        <f t="shared" si="70"/>
        <v>0</v>
      </c>
      <c r="BO66" s="459">
        <f t="shared" si="70"/>
        <v>0</v>
      </c>
      <c r="BP66" s="459">
        <f t="shared" si="70"/>
        <v>0</v>
      </c>
      <c r="BQ66" s="460">
        <f t="shared" si="56"/>
        <v>0</v>
      </c>
      <c r="BR66" s="463"/>
      <c r="BS66" s="459">
        <f t="shared" si="104"/>
        <v>0</v>
      </c>
      <c r="BT66" s="459">
        <f t="shared" si="104"/>
        <v>0</v>
      </c>
      <c r="BU66" s="459">
        <f t="shared" si="104"/>
        <v>0</v>
      </c>
      <c r="BV66" s="459">
        <f t="shared" si="104"/>
        <v>0</v>
      </c>
      <c r="BW66" s="459">
        <f t="shared" si="104"/>
        <v>0</v>
      </c>
      <c r="BX66" s="459">
        <f t="shared" si="104"/>
        <v>0</v>
      </c>
      <c r="BY66" s="459">
        <f t="shared" si="104"/>
        <v>0</v>
      </c>
      <c r="BZ66" s="459">
        <f t="shared" si="104"/>
        <v>0</v>
      </c>
      <c r="CA66" s="459">
        <f t="shared" si="104"/>
        <v>0</v>
      </c>
      <c r="CB66" s="459">
        <f t="shared" si="104"/>
        <v>0</v>
      </c>
      <c r="CC66" s="460">
        <f t="shared" si="58"/>
        <v>0</v>
      </c>
      <c r="CD66" s="463"/>
      <c r="CE66" s="459">
        <f t="shared" si="59"/>
        <v>0</v>
      </c>
      <c r="CF66" s="459">
        <f t="shared" si="59"/>
        <v>0</v>
      </c>
      <c r="CG66" s="459">
        <f t="shared" si="59"/>
        <v>0</v>
      </c>
      <c r="CH66" s="459">
        <f t="shared" si="59"/>
        <v>0</v>
      </c>
      <c r="CI66" s="459">
        <f t="shared" si="71"/>
        <v>0</v>
      </c>
      <c r="CJ66" s="459">
        <f t="shared" si="71"/>
        <v>0</v>
      </c>
      <c r="CK66" s="459">
        <f t="shared" si="71"/>
        <v>0</v>
      </c>
      <c r="CL66" s="459">
        <f t="shared" si="71"/>
        <v>0</v>
      </c>
      <c r="CM66" s="459">
        <f t="shared" si="71"/>
        <v>0</v>
      </c>
      <c r="CN66" s="459">
        <f t="shared" si="71"/>
        <v>0</v>
      </c>
      <c r="CO66" s="460">
        <f t="shared" si="60"/>
        <v>0</v>
      </c>
      <c r="CP66" s="463"/>
      <c r="CQ66" s="459">
        <f t="shared" si="93"/>
        <v>0</v>
      </c>
      <c r="CR66" s="459">
        <f t="shared" si="94"/>
        <v>0</v>
      </c>
      <c r="CS66" s="459">
        <f t="shared" si="95"/>
        <v>0</v>
      </c>
      <c r="CT66" s="459">
        <f t="shared" si="96"/>
        <v>0</v>
      </c>
      <c r="CU66" s="459">
        <f t="shared" si="97"/>
        <v>0</v>
      </c>
      <c r="CV66" s="459">
        <f t="shared" si="98"/>
        <v>0</v>
      </c>
      <c r="CW66" s="459">
        <f t="shared" si="99"/>
        <v>0</v>
      </c>
      <c r="CX66" s="459">
        <f t="shared" si="100"/>
        <v>0</v>
      </c>
      <c r="CY66" s="459">
        <f t="shared" si="101"/>
        <v>0</v>
      </c>
      <c r="CZ66" s="459">
        <f t="shared" si="102"/>
        <v>0</v>
      </c>
      <c r="DA66" s="460">
        <f t="shared" si="61"/>
        <v>0</v>
      </c>
      <c r="DB66" s="463"/>
      <c r="DC66" s="459">
        <f t="shared" si="105"/>
        <v>0</v>
      </c>
      <c r="DD66" s="459">
        <f t="shared" si="105"/>
        <v>0</v>
      </c>
      <c r="DE66" s="459">
        <f t="shared" si="105"/>
        <v>0</v>
      </c>
      <c r="DF66" s="459">
        <f t="shared" si="105"/>
        <v>0</v>
      </c>
      <c r="DG66" s="459">
        <f t="shared" si="105"/>
        <v>0</v>
      </c>
      <c r="DH66" s="459">
        <f t="shared" si="105"/>
        <v>0</v>
      </c>
      <c r="DI66" s="459">
        <f t="shared" si="105"/>
        <v>0</v>
      </c>
      <c r="DJ66" s="459">
        <f t="shared" si="105"/>
        <v>0</v>
      </c>
      <c r="DK66" s="459">
        <f t="shared" si="105"/>
        <v>0</v>
      </c>
      <c r="DL66" s="459">
        <f t="shared" si="105"/>
        <v>0</v>
      </c>
      <c r="DM66" s="460">
        <f t="shared" si="63"/>
        <v>0</v>
      </c>
      <c r="DN66" s="463"/>
      <c r="DO66" s="459">
        <f t="shared" si="68"/>
        <v>0</v>
      </c>
      <c r="DP66" s="459">
        <f t="shared" si="68"/>
        <v>0</v>
      </c>
      <c r="DQ66" s="459">
        <f t="shared" si="68"/>
        <v>0</v>
      </c>
      <c r="DR66" s="459">
        <f t="shared" si="68"/>
        <v>0</v>
      </c>
      <c r="DS66" s="459">
        <f t="shared" si="68"/>
        <v>0</v>
      </c>
      <c r="DT66" s="459">
        <f t="shared" si="66"/>
        <v>0</v>
      </c>
      <c r="DU66" s="459">
        <f t="shared" si="66"/>
        <v>0</v>
      </c>
      <c r="DV66" s="459">
        <f t="shared" si="66"/>
        <v>0</v>
      </c>
      <c r="DW66" s="459">
        <f t="shared" si="66"/>
        <v>0</v>
      </c>
      <c r="DX66" s="459">
        <f t="shared" si="66"/>
        <v>0</v>
      </c>
      <c r="DY66" s="460">
        <f t="shared" si="64"/>
        <v>0</v>
      </c>
      <c r="DZ66" s="463"/>
      <c r="EA66" s="459">
        <f t="shared" si="69"/>
        <v>0</v>
      </c>
      <c r="EB66" s="459">
        <f t="shared" si="69"/>
        <v>0</v>
      </c>
      <c r="EC66" s="459">
        <f t="shared" si="69"/>
        <v>0</v>
      </c>
      <c r="ED66" s="459">
        <f t="shared" si="69"/>
        <v>0</v>
      </c>
      <c r="EE66" s="459">
        <f t="shared" si="69"/>
        <v>0</v>
      </c>
      <c r="EF66" s="459">
        <f t="shared" si="67"/>
        <v>0</v>
      </c>
      <c r="EG66" s="459">
        <f t="shared" si="67"/>
        <v>0</v>
      </c>
      <c r="EH66" s="459">
        <f t="shared" si="67"/>
        <v>0</v>
      </c>
      <c r="EI66" s="459">
        <f t="shared" si="67"/>
        <v>0</v>
      </c>
      <c r="EJ66" s="459">
        <f t="shared" si="67"/>
        <v>0</v>
      </c>
      <c r="EK66" s="460">
        <f t="shared" si="65"/>
        <v>0</v>
      </c>
    </row>
    <row r="67" spans="2:141" s="268" customFormat="1" ht="15" customHeight="1" x14ac:dyDescent="0.25">
      <c r="B67" s="464" t="str">
        <f>'2. START'!C$7</f>
        <v>100GEM</v>
      </c>
      <c r="C67" s="470"/>
      <c r="D67" s="593"/>
      <c r="E67" s="527">
        <v>0</v>
      </c>
      <c r="F67" s="527" t="s">
        <v>36</v>
      </c>
      <c r="G67" s="527"/>
      <c r="H67" s="515"/>
      <c r="I67" s="515"/>
      <c r="J67" s="515"/>
      <c r="K67" s="515"/>
      <c r="L67" s="515"/>
      <c r="M67" s="515"/>
      <c r="N67" s="515"/>
      <c r="O67" s="515"/>
      <c r="P67" s="515"/>
      <c r="Q67" s="515"/>
      <c r="R67" s="442">
        <f t="shared" si="72"/>
        <v>0</v>
      </c>
      <c r="S67" s="516">
        <f>IF('2. START'!$C$20="UTB",(SUMIF('3. PARTNER'!B$13:B$80,B67,'3. PARTNER'!M$13:M$80)),(SUMIF('3. PARTNER'!B$13:B$80,B67,'3. PARTNER'!I$13:I$80)))</f>
        <v>0</v>
      </c>
      <c r="T67" s="516">
        <f>IF('2. START'!$C$20="UTB",(SUMIF('3. PARTNER'!B$13:B$80,B67,'3. PARTNER'!N$13:N$80)),(SUMIF('3. PARTNER'!B$13:B$80,B67,'3. PARTNER'!J$13:J$80)))</f>
        <v>0</v>
      </c>
      <c r="U67" s="517">
        <f>IF(F67="NO",0,IF('2. START'!C$13="PERSON+OPERATION",'2. START'!C$12,0)+IF('2. START'!C$13="PERSON+OPERATION+INVEST+FACILIT",'2. START'!C$12,0))</f>
        <v>0</v>
      </c>
      <c r="W67" s="519">
        <f t="shared" si="73"/>
        <v>0</v>
      </c>
      <c r="X67" s="519">
        <f t="shared" si="74"/>
        <v>0</v>
      </c>
      <c r="Y67" s="519">
        <f t="shared" si="75"/>
        <v>0</v>
      </c>
      <c r="Z67" s="519">
        <f t="shared" si="76"/>
        <v>0</v>
      </c>
      <c r="AA67" s="519">
        <f t="shared" si="77"/>
        <v>0</v>
      </c>
      <c r="AB67" s="519">
        <f t="shared" si="78"/>
        <v>0</v>
      </c>
      <c r="AC67" s="519">
        <f t="shared" si="79"/>
        <v>0</v>
      </c>
      <c r="AD67" s="519">
        <f t="shared" si="80"/>
        <v>0</v>
      </c>
      <c r="AE67" s="519">
        <f t="shared" si="81"/>
        <v>0</v>
      </c>
      <c r="AF67" s="519">
        <f t="shared" si="82"/>
        <v>0</v>
      </c>
      <c r="AG67" s="520">
        <f t="shared" si="51"/>
        <v>0</v>
      </c>
      <c r="AI67" s="519">
        <f t="shared" si="83"/>
        <v>0</v>
      </c>
      <c r="AJ67" s="519">
        <f t="shared" si="84"/>
        <v>0</v>
      </c>
      <c r="AK67" s="519">
        <f t="shared" si="85"/>
        <v>0</v>
      </c>
      <c r="AL67" s="519">
        <f t="shared" si="86"/>
        <v>0</v>
      </c>
      <c r="AM67" s="519">
        <f t="shared" si="87"/>
        <v>0</v>
      </c>
      <c r="AN67" s="519">
        <f t="shared" si="88"/>
        <v>0</v>
      </c>
      <c r="AO67" s="519">
        <f t="shared" si="89"/>
        <v>0</v>
      </c>
      <c r="AP67" s="519">
        <f t="shared" si="90"/>
        <v>0</v>
      </c>
      <c r="AQ67" s="519">
        <f t="shared" si="91"/>
        <v>0</v>
      </c>
      <c r="AR67" s="519">
        <f t="shared" si="92"/>
        <v>0</v>
      </c>
      <c r="AS67" s="520">
        <f t="shared" si="52"/>
        <v>0</v>
      </c>
      <c r="AU67" s="519">
        <f t="shared" si="103"/>
        <v>0</v>
      </c>
      <c r="AV67" s="519">
        <f t="shared" si="103"/>
        <v>0</v>
      </c>
      <c r="AW67" s="519">
        <f t="shared" si="103"/>
        <v>0</v>
      </c>
      <c r="AX67" s="519">
        <f t="shared" si="103"/>
        <v>0</v>
      </c>
      <c r="AY67" s="519">
        <f t="shared" si="103"/>
        <v>0</v>
      </c>
      <c r="AZ67" s="519">
        <f t="shared" si="103"/>
        <v>0</v>
      </c>
      <c r="BA67" s="519">
        <f t="shared" si="103"/>
        <v>0</v>
      </c>
      <c r="BB67" s="519">
        <f t="shared" si="103"/>
        <v>0</v>
      </c>
      <c r="BC67" s="519">
        <f t="shared" si="103"/>
        <v>0</v>
      </c>
      <c r="BD67" s="519">
        <f t="shared" si="103"/>
        <v>0</v>
      </c>
      <c r="BE67" s="520">
        <f t="shared" si="54"/>
        <v>0</v>
      </c>
      <c r="BG67" s="519">
        <f t="shared" si="55"/>
        <v>0</v>
      </c>
      <c r="BH67" s="519">
        <f t="shared" si="55"/>
        <v>0</v>
      </c>
      <c r="BI67" s="519">
        <f t="shared" si="55"/>
        <v>0</v>
      </c>
      <c r="BJ67" s="519">
        <f t="shared" si="55"/>
        <v>0</v>
      </c>
      <c r="BK67" s="519">
        <f t="shared" si="70"/>
        <v>0</v>
      </c>
      <c r="BL67" s="519">
        <f t="shared" si="70"/>
        <v>0</v>
      </c>
      <c r="BM67" s="519">
        <f t="shared" si="70"/>
        <v>0</v>
      </c>
      <c r="BN67" s="519">
        <f t="shared" si="70"/>
        <v>0</v>
      </c>
      <c r="BO67" s="519">
        <f t="shared" si="70"/>
        <v>0</v>
      </c>
      <c r="BP67" s="519">
        <f t="shared" si="70"/>
        <v>0</v>
      </c>
      <c r="BQ67" s="520">
        <f t="shared" si="56"/>
        <v>0</v>
      </c>
      <c r="BS67" s="519">
        <f t="shared" si="104"/>
        <v>0</v>
      </c>
      <c r="BT67" s="519">
        <f t="shared" si="104"/>
        <v>0</v>
      </c>
      <c r="BU67" s="519">
        <f t="shared" si="104"/>
        <v>0</v>
      </c>
      <c r="BV67" s="519">
        <f t="shared" si="104"/>
        <v>0</v>
      </c>
      <c r="BW67" s="519">
        <f t="shared" si="104"/>
        <v>0</v>
      </c>
      <c r="BX67" s="519">
        <f t="shared" si="104"/>
        <v>0</v>
      </c>
      <c r="BY67" s="519">
        <f t="shared" si="104"/>
        <v>0</v>
      </c>
      <c r="BZ67" s="519">
        <f t="shared" si="104"/>
        <v>0</v>
      </c>
      <c r="CA67" s="519">
        <f t="shared" si="104"/>
        <v>0</v>
      </c>
      <c r="CB67" s="519">
        <f t="shared" si="104"/>
        <v>0</v>
      </c>
      <c r="CC67" s="520">
        <f t="shared" si="58"/>
        <v>0</v>
      </c>
      <c r="CE67" s="519">
        <f t="shared" si="59"/>
        <v>0</v>
      </c>
      <c r="CF67" s="519">
        <f t="shared" si="59"/>
        <v>0</v>
      </c>
      <c r="CG67" s="519">
        <f t="shared" si="59"/>
        <v>0</v>
      </c>
      <c r="CH67" s="519">
        <f t="shared" si="59"/>
        <v>0</v>
      </c>
      <c r="CI67" s="519">
        <f t="shared" si="71"/>
        <v>0</v>
      </c>
      <c r="CJ67" s="519">
        <f t="shared" si="71"/>
        <v>0</v>
      </c>
      <c r="CK67" s="519">
        <f t="shared" si="71"/>
        <v>0</v>
      </c>
      <c r="CL67" s="519">
        <f t="shared" si="71"/>
        <v>0</v>
      </c>
      <c r="CM67" s="519">
        <f t="shared" si="71"/>
        <v>0</v>
      </c>
      <c r="CN67" s="519">
        <f t="shared" si="71"/>
        <v>0</v>
      </c>
      <c r="CO67" s="520">
        <f t="shared" si="60"/>
        <v>0</v>
      </c>
      <c r="CQ67" s="519">
        <f t="shared" si="93"/>
        <v>0</v>
      </c>
      <c r="CR67" s="519">
        <f t="shared" si="94"/>
        <v>0</v>
      </c>
      <c r="CS67" s="519">
        <f t="shared" si="95"/>
        <v>0</v>
      </c>
      <c r="CT67" s="519">
        <f t="shared" si="96"/>
        <v>0</v>
      </c>
      <c r="CU67" s="519">
        <f t="shared" si="97"/>
        <v>0</v>
      </c>
      <c r="CV67" s="519">
        <f t="shared" si="98"/>
        <v>0</v>
      </c>
      <c r="CW67" s="519">
        <f t="shared" si="99"/>
        <v>0</v>
      </c>
      <c r="CX67" s="519">
        <f t="shared" si="100"/>
        <v>0</v>
      </c>
      <c r="CY67" s="519">
        <f t="shared" si="101"/>
        <v>0</v>
      </c>
      <c r="CZ67" s="519">
        <f t="shared" si="102"/>
        <v>0</v>
      </c>
      <c r="DA67" s="520">
        <f t="shared" si="61"/>
        <v>0</v>
      </c>
      <c r="DC67" s="519">
        <f t="shared" si="105"/>
        <v>0</v>
      </c>
      <c r="DD67" s="519">
        <f t="shared" si="105"/>
        <v>0</v>
      </c>
      <c r="DE67" s="519">
        <f t="shared" si="105"/>
        <v>0</v>
      </c>
      <c r="DF67" s="519">
        <f t="shared" si="105"/>
        <v>0</v>
      </c>
      <c r="DG67" s="519">
        <f t="shared" si="105"/>
        <v>0</v>
      </c>
      <c r="DH67" s="519">
        <f t="shared" si="105"/>
        <v>0</v>
      </c>
      <c r="DI67" s="519">
        <f t="shared" si="105"/>
        <v>0</v>
      </c>
      <c r="DJ67" s="519">
        <f t="shared" si="105"/>
        <v>0</v>
      </c>
      <c r="DK67" s="519">
        <f t="shared" si="105"/>
        <v>0</v>
      </c>
      <c r="DL67" s="519">
        <f t="shared" si="105"/>
        <v>0</v>
      </c>
      <c r="DM67" s="520">
        <f t="shared" si="63"/>
        <v>0</v>
      </c>
      <c r="DO67" s="519">
        <f t="shared" si="68"/>
        <v>0</v>
      </c>
      <c r="DP67" s="519">
        <f t="shared" si="68"/>
        <v>0</v>
      </c>
      <c r="DQ67" s="519">
        <f t="shared" si="68"/>
        <v>0</v>
      </c>
      <c r="DR67" s="519">
        <f t="shared" si="68"/>
        <v>0</v>
      </c>
      <c r="DS67" s="519">
        <f t="shared" si="68"/>
        <v>0</v>
      </c>
      <c r="DT67" s="519">
        <f t="shared" si="66"/>
        <v>0</v>
      </c>
      <c r="DU67" s="519">
        <f t="shared" si="66"/>
        <v>0</v>
      </c>
      <c r="DV67" s="519">
        <f t="shared" si="66"/>
        <v>0</v>
      </c>
      <c r="DW67" s="519">
        <f t="shared" si="66"/>
        <v>0</v>
      </c>
      <c r="DX67" s="519">
        <f t="shared" si="66"/>
        <v>0</v>
      </c>
      <c r="DY67" s="520">
        <f t="shared" si="64"/>
        <v>0</v>
      </c>
      <c r="EA67" s="519">
        <f t="shared" si="69"/>
        <v>0</v>
      </c>
      <c r="EB67" s="519">
        <f t="shared" si="69"/>
        <v>0</v>
      </c>
      <c r="EC67" s="519">
        <f t="shared" si="69"/>
        <v>0</v>
      </c>
      <c r="ED67" s="519">
        <f t="shared" si="69"/>
        <v>0</v>
      </c>
      <c r="EE67" s="519">
        <f t="shared" si="69"/>
        <v>0</v>
      </c>
      <c r="EF67" s="519">
        <f t="shared" si="67"/>
        <v>0</v>
      </c>
      <c r="EG67" s="519">
        <f t="shared" si="67"/>
        <v>0</v>
      </c>
      <c r="EH67" s="519">
        <f t="shared" si="67"/>
        <v>0</v>
      </c>
      <c r="EI67" s="519">
        <f t="shared" si="67"/>
        <v>0</v>
      </c>
      <c r="EJ67" s="519">
        <f t="shared" si="67"/>
        <v>0</v>
      </c>
      <c r="EK67" s="520">
        <f t="shared" si="65"/>
        <v>0</v>
      </c>
    </row>
    <row r="68" spans="2:141" s="268" customFormat="1" ht="15" customHeight="1" x14ac:dyDescent="0.25">
      <c r="B68" s="446" t="str">
        <f>'2. START'!C$7</f>
        <v>100GEM</v>
      </c>
      <c r="C68" s="469"/>
      <c r="D68" s="594"/>
      <c r="E68" s="522">
        <v>0</v>
      </c>
      <c r="F68" s="522" t="s">
        <v>36</v>
      </c>
      <c r="G68" s="522"/>
      <c r="H68" s="523"/>
      <c r="I68" s="523"/>
      <c r="J68" s="523"/>
      <c r="K68" s="523"/>
      <c r="L68" s="523"/>
      <c r="M68" s="523"/>
      <c r="N68" s="523"/>
      <c r="O68" s="523"/>
      <c r="P68" s="523"/>
      <c r="Q68" s="523"/>
      <c r="R68" s="459">
        <f t="shared" si="72"/>
        <v>0</v>
      </c>
      <c r="S68" s="524">
        <f>IF('2. START'!$C$20="UTB",(SUMIF('3. PARTNER'!B$13:B$80,B68,'3. PARTNER'!M$13:M$80)),(SUMIF('3. PARTNER'!B$13:B$80,B68,'3. PARTNER'!I$13:I$80)))</f>
        <v>0</v>
      </c>
      <c r="T68" s="524">
        <f>IF('2. START'!$C$20="UTB",(SUMIF('3. PARTNER'!B$13:B$80,B68,'3. PARTNER'!N$13:N$80)),(SUMIF('3. PARTNER'!B$13:B$80,B68,'3. PARTNER'!J$13:J$80)))</f>
        <v>0</v>
      </c>
      <c r="U68" s="454">
        <f>IF(F68="NO",0,IF('2. START'!C$13="PERSON+OPERATION",'2. START'!C$12,0)+IF('2. START'!C$13="PERSON+OPERATION+INVEST+FACILIT",'2. START'!C$12,0))</f>
        <v>0</v>
      </c>
      <c r="V68" s="463"/>
      <c r="W68" s="459">
        <f t="shared" si="73"/>
        <v>0</v>
      </c>
      <c r="X68" s="459">
        <f t="shared" si="74"/>
        <v>0</v>
      </c>
      <c r="Y68" s="459">
        <f t="shared" si="75"/>
        <v>0</v>
      </c>
      <c r="Z68" s="459">
        <f t="shared" si="76"/>
        <v>0</v>
      </c>
      <c r="AA68" s="459">
        <f t="shared" si="77"/>
        <v>0</v>
      </c>
      <c r="AB68" s="459">
        <f t="shared" si="78"/>
        <v>0</v>
      </c>
      <c r="AC68" s="459">
        <f t="shared" si="79"/>
        <v>0</v>
      </c>
      <c r="AD68" s="459">
        <f t="shared" si="80"/>
        <v>0</v>
      </c>
      <c r="AE68" s="459">
        <f t="shared" si="81"/>
        <v>0</v>
      </c>
      <c r="AF68" s="459">
        <f t="shared" si="82"/>
        <v>0</v>
      </c>
      <c r="AG68" s="460">
        <f t="shared" si="51"/>
        <v>0</v>
      </c>
      <c r="AH68" s="463"/>
      <c r="AI68" s="459">
        <f t="shared" si="83"/>
        <v>0</v>
      </c>
      <c r="AJ68" s="459">
        <f t="shared" si="84"/>
        <v>0</v>
      </c>
      <c r="AK68" s="459">
        <f t="shared" si="85"/>
        <v>0</v>
      </c>
      <c r="AL68" s="459">
        <f t="shared" si="86"/>
        <v>0</v>
      </c>
      <c r="AM68" s="459">
        <f t="shared" si="87"/>
        <v>0</v>
      </c>
      <c r="AN68" s="459">
        <f t="shared" si="88"/>
        <v>0</v>
      </c>
      <c r="AO68" s="459">
        <f t="shared" si="89"/>
        <v>0</v>
      </c>
      <c r="AP68" s="459">
        <f t="shared" si="90"/>
        <v>0</v>
      </c>
      <c r="AQ68" s="459">
        <f t="shared" si="91"/>
        <v>0</v>
      </c>
      <c r="AR68" s="459">
        <f t="shared" si="92"/>
        <v>0</v>
      </c>
      <c r="AS68" s="460">
        <f t="shared" si="52"/>
        <v>0</v>
      </c>
      <c r="AT68" s="463"/>
      <c r="AU68" s="459">
        <f t="shared" si="103"/>
        <v>0</v>
      </c>
      <c r="AV68" s="459">
        <f t="shared" si="103"/>
        <v>0</v>
      </c>
      <c r="AW68" s="459">
        <f t="shared" si="103"/>
        <v>0</v>
      </c>
      <c r="AX68" s="459">
        <f t="shared" si="103"/>
        <v>0</v>
      </c>
      <c r="AY68" s="459">
        <f t="shared" si="103"/>
        <v>0</v>
      </c>
      <c r="AZ68" s="459">
        <f t="shared" si="103"/>
        <v>0</v>
      </c>
      <c r="BA68" s="459">
        <f t="shared" si="103"/>
        <v>0</v>
      </c>
      <c r="BB68" s="459">
        <f t="shared" si="103"/>
        <v>0</v>
      </c>
      <c r="BC68" s="459">
        <f t="shared" si="103"/>
        <v>0</v>
      </c>
      <c r="BD68" s="459">
        <f t="shared" si="103"/>
        <v>0</v>
      </c>
      <c r="BE68" s="460">
        <f t="shared" si="54"/>
        <v>0</v>
      </c>
      <c r="BF68" s="463"/>
      <c r="BG68" s="459">
        <f t="shared" si="55"/>
        <v>0</v>
      </c>
      <c r="BH68" s="459">
        <f t="shared" si="55"/>
        <v>0</v>
      </c>
      <c r="BI68" s="459">
        <f t="shared" si="55"/>
        <v>0</v>
      </c>
      <c r="BJ68" s="459">
        <f t="shared" si="55"/>
        <v>0</v>
      </c>
      <c r="BK68" s="459">
        <f t="shared" si="70"/>
        <v>0</v>
      </c>
      <c r="BL68" s="459">
        <f t="shared" si="70"/>
        <v>0</v>
      </c>
      <c r="BM68" s="459">
        <f t="shared" si="70"/>
        <v>0</v>
      </c>
      <c r="BN68" s="459">
        <f t="shared" si="70"/>
        <v>0</v>
      </c>
      <c r="BO68" s="459">
        <f t="shared" si="70"/>
        <v>0</v>
      </c>
      <c r="BP68" s="459">
        <f t="shared" si="70"/>
        <v>0</v>
      </c>
      <c r="BQ68" s="460">
        <f t="shared" si="56"/>
        <v>0</v>
      </c>
      <c r="BR68" s="463"/>
      <c r="BS68" s="459">
        <f t="shared" si="104"/>
        <v>0</v>
      </c>
      <c r="BT68" s="459">
        <f t="shared" si="104"/>
        <v>0</v>
      </c>
      <c r="BU68" s="459">
        <f t="shared" si="104"/>
        <v>0</v>
      </c>
      <c r="BV68" s="459">
        <f t="shared" si="104"/>
        <v>0</v>
      </c>
      <c r="BW68" s="459">
        <f t="shared" si="104"/>
        <v>0</v>
      </c>
      <c r="BX68" s="459">
        <f t="shared" si="104"/>
        <v>0</v>
      </c>
      <c r="BY68" s="459">
        <f t="shared" si="104"/>
        <v>0</v>
      </c>
      <c r="BZ68" s="459">
        <f t="shared" si="104"/>
        <v>0</v>
      </c>
      <c r="CA68" s="459">
        <f t="shared" si="104"/>
        <v>0</v>
      </c>
      <c r="CB68" s="459">
        <f t="shared" si="104"/>
        <v>0</v>
      </c>
      <c r="CC68" s="460">
        <f t="shared" si="58"/>
        <v>0</v>
      </c>
      <c r="CD68" s="463"/>
      <c r="CE68" s="459">
        <f t="shared" si="59"/>
        <v>0</v>
      </c>
      <c r="CF68" s="459">
        <f t="shared" si="59"/>
        <v>0</v>
      </c>
      <c r="CG68" s="459">
        <f t="shared" si="59"/>
        <v>0</v>
      </c>
      <c r="CH68" s="459">
        <f t="shared" si="59"/>
        <v>0</v>
      </c>
      <c r="CI68" s="459">
        <f t="shared" si="71"/>
        <v>0</v>
      </c>
      <c r="CJ68" s="459">
        <f t="shared" si="71"/>
        <v>0</v>
      </c>
      <c r="CK68" s="459">
        <f t="shared" si="71"/>
        <v>0</v>
      </c>
      <c r="CL68" s="459">
        <f t="shared" si="71"/>
        <v>0</v>
      </c>
      <c r="CM68" s="459">
        <f t="shared" si="71"/>
        <v>0</v>
      </c>
      <c r="CN68" s="459">
        <f t="shared" si="71"/>
        <v>0</v>
      </c>
      <c r="CO68" s="460">
        <f t="shared" si="60"/>
        <v>0</v>
      </c>
      <c r="CP68" s="463"/>
      <c r="CQ68" s="459">
        <f t="shared" si="93"/>
        <v>0</v>
      </c>
      <c r="CR68" s="459">
        <f t="shared" si="94"/>
        <v>0</v>
      </c>
      <c r="CS68" s="459">
        <f t="shared" si="95"/>
        <v>0</v>
      </c>
      <c r="CT68" s="459">
        <f t="shared" si="96"/>
        <v>0</v>
      </c>
      <c r="CU68" s="459">
        <f t="shared" si="97"/>
        <v>0</v>
      </c>
      <c r="CV68" s="459">
        <f t="shared" si="98"/>
        <v>0</v>
      </c>
      <c r="CW68" s="459">
        <f t="shared" si="99"/>
        <v>0</v>
      </c>
      <c r="CX68" s="459">
        <f t="shared" si="100"/>
        <v>0</v>
      </c>
      <c r="CY68" s="459">
        <f t="shared" si="101"/>
        <v>0</v>
      </c>
      <c r="CZ68" s="459">
        <f t="shared" si="102"/>
        <v>0</v>
      </c>
      <c r="DA68" s="460">
        <f t="shared" si="61"/>
        <v>0</v>
      </c>
      <c r="DB68" s="463"/>
      <c r="DC68" s="459">
        <f t="shared" si="105"/>
        <v>0</v>
      </c>
      <c r="DD68" s="459">
        <f t="shared" si="105"/>
        <v>0</v>
      </c>
      <c r="DE68" s="459">
        <f t="shared" si="105"/>
        <v>0</v>
      </c>
      <c r="DF68" s="459">
        <f t="shared" si="105"/>
        <v>0</v>
      </c>
      <c r="DG68" s="459">
        <f t="shared" si="105"/>
        <v>0</v>
      </c>
      <c r="DH68" s="459">
        <f t="shared" si="105"/>
        <v>0</v>
      </c>
      <c r="DI68" s="459">
        <f t="shared" si="105"/>
        <v>0</v>
      </c>
      <c r="DJ68" s="459">
        <f t="shared" si="105"/>
        <v>0</v>
      </c>
      <c r="DK68" s="459">
        <f t="shared" si="105"/>
        <v>0</v>
      </c>
      <c r="DL68" s="459">
        <f t="shared" si="105"/>
        <v>0</v>
      </c>
      <c r="DM68" s="460">
        <f t="shared" si="63"/>
        <v>0</v>
      </c>
      <c r="DN68" s="463"/>
      <c r="DO68" s="459">
        <f t="shared" si="68"/>
        <v>0</v>
      </c>
      <c r="DP68" s="459">
        <f t="shared" si="68"/>
        <v>0</v>
      </c>
      <c r="DQ68" s="459">
        <f t="shared" si="68"/>
        <v>0</v>
      </c>
      <c r="DR68" s="459">
        <f t="shared" si="68"/>
        <v>0</v>
      </c>
      <c r="DS68" s="459">
        <f t="shared" si="68"/>
        <v>0</v>
      </c>
      <c r="DT68" s="459">
        <f t="shared" si="66"/>
        <v>0</v>
      </c>
      <c r="DU68" s="459">
        <f t="shared" si="66"/>
        <v>0</v>
      </c>
      <c r="DV68" s="459">
        <f t="shared" si="66"/>
        <v>0</v>
      </c>
      <c r="DW68" s="459">
        <f t="shared" si="66"/>
        <v>0</v>
      </c>
      <c r="DX68" s="459">
        <f t="shared" si="66"/>
        <v>0</v>
      </c>
      <c r="DY68" s="460">
        <f t="shared" si="64"/>
        <v>0</v>
      </c>
      <c r="DZ68" s="463"/>
      <c r="EA68" s="459">
        <f t="shared" si="69"/>
        <v>0</v>
      </c>
      <c r="EB68" s="459">
        <f t="shared" si="69"/>
        <v>0</v>
      </c>
      <c r="EC68" s="459">
        <f t="shared" si="69"/>
        <v>0</v>
      </c>
      <c r="ED68" s="459">
        <f t="shared" si="69"/>
        <v>0</v>
      </c>
      <c r="EE68" s="459">
        <f t="shared" si="69"/>
        <v>0</v>
      </c>
      <c r="EF68" s="459">
        <f t="shared" si="67"/>
        <v>0</v>
      </c>
      <c r="EG68" s="459">
        <f t="shared" si="67"/>
        <v>0</v>
      </c>
      <c r="EH68" s="459">
        <f t="shared" si="67"/>
        <v>0</v>
      </c>
      <c r="EI68" s="459">
        <f t="shared" si="67"/>
        <v>0</v>
      </c>
      <c r="EJ68" s="459">
        <f t="shared" si="67"/>
        <v>0</v>
      </c>
      <c r="EK68" s="460">
        <f t="shared" si="65"/>
        <v>0</v>
      </c>
    </row>
    <row r="69" spans="2:141" s="268" customFormat="1" ht="15" customHeight="1" x14ac:dyDescent="0.25">
      <c r="B69" s="464" t="str">
        <f>'2. START'!C$7</f>
        <v>100GEM</v>
      </c>
      <c r="C69" s="470"/>
      <c r="D69" s="593"/>
      <c r="E69" s="527">
        <v>0</v>
      </c>
      <c r="F69" s="527" t="s">
        <v>36</v>
      </c>
      <c r="G69" s="527"/>
      <c r="H69" s="515"/>
      <c r="I69" s="515"/>
      <c r="J69" s="515"/>
      <c r="K69" s="515"/>
      <c r="L69" s="515"/>
      <c r="M69" s="515"/>
      <c r="N69" s="515"/>
      <c r="O69" s="515"/>
      <c r="P69" s="515"/>
      <c r="Q69" s="515"/>
      <c r="R69" s="442">
        <f t="shared" si="72"/>
        <v>0</v>
      </c>
      <c r="S69" s="516">
        <f>IF('2. START'!$C$20="UTB",(SUMIF('3. PARTNER'!B$13:B$80,B69,'3. PARTNER'!M$13:M$80)),(SUMIF('3. PARTNER'!B$13:B$80,B69,'3. PARTNER'!I$13:I$80)))</f>
        <v>0</v>
      </c>
      <c r="T69" s="516">
        <f>IF('2. START'!$C$20="UTB",(SUMIF('3. PARTNER'!B$13:B$80,B69,'3. PARTNER'!N$13:N$80)),(SUMIF('3. PARTNER'!B$13:B$80,B69,'3. PARTNER'!J$13:J$80)))</f>
        <v>0</v>
      </c>
      <c r="U69" s="517">
        <f>IF(F69="NO",0,IF('2. START'!C$13="PERSON+OPERATION",'2. START'!C$12,0)+IF('2. START'!C$13="PERSON+OPERATION+INVEST+FACILIT",'2. START'!C$12,0))</f>
        <v>0</v>
      </c>
      <c r="W69" s="519">
        <f t="shared" si="73"/>
        <v>0</v>
      </c>
      <c r="X69" s="519">
        <f t="shared" si="74"/>
        <v>0</v>
      </c>
      <c r="Y69" s="519">
        <f t="shared" si="75"/>
        <v>0</v>
      </c>
      <c r="Z69" s="519">
        <f t="shared" si="76"/>
        <v>0</v>
      </c>
      <c r="AA69" s="519">
        <f t="shared" si="77"/>
        <v>0</v>
      </c>
      <c r="AB69" s="519">
        <f t="shared" si="78"/>
        <v>0</v>
      </c>
      <c r="AC69" s="519">
        <f t="shared" si="79"/>
        <v>0</v>
      </c>
      <c r="AD69" s="519">
        <f t="shared" si="80"/>
        <v>0</v>
      </c>
      <c r="AE69" s="519">
        <f t="shared" si="81"/>
        <v>0</v>
      </c>
      <c r="AF69" s="519">
        <f t="shared" si="82"/>
        <v>0</v>
      </c>
      <c r="AG69" s="520">
        <f t="shared" si="51"/>
        <v>0</v>
      </c>
      <c r="AI69" s="519">
        <f t="shared" si="83"/>
        <v>0</v>
      </c>
      <c r="AJ69" s="519">
        <f t="shared" si="84"/>
        <v>0</v>
      </c>
      <c r="AK69" s="519">
        <f t="shared" si="85"/>
        <v>0</v>
      </c>
      <c r="AL69" s="519">
        <f t="shared" si="86"/>
        <v>0</v>
      </c>
      <c r="AM69" s="519">
        <f t="shared" si="87"/>
        <v>0</v>
      </c>
      <c r="AN69" s="519">
        <f t="shared" si="88"/>
        <v>0</v>
      </c>
      <c r="AO69" s="519">
        <f t="shared" si="89"/>
        <v>0</v>
      </c>
      <c r="AP69" s="519">
        <f t="shared" si="90"/>
        <v>0</v>
      </c>
      <c r="AQ69" s="519">
        <f t="shared" si="91"/>
        <v>0</v>
      </c>
      <c r="AR69" s="519">
        <f t="shared" si="92"/>
        <v>0</v>
      </c>
      <c r="AS69" s="520">
        <f t="shared" si="52"/>
        <v>0</v>
      </c>
      <c r="AU69" s="519">
        <f t="shared" si="103"/>
        <v>0</v>
      </c>
      <c r="AV69" s="519">
        <f t="shared" si="103"/>
        <v>0</v>
      </c>
      <c r="AW69" s="519">
        <f t="shared" si="103"/>
        <v>0</v>
      </c>
      <c r="AX69" s="519">
        <f t="shared" si="103"/>
        <v>0</v>
      </c>
      <c r="AY69" s="519">
        <f t="shared" si="103"/>
        <v>0</v>
      </c>
      <c r="AZ69" s="519">
        <f t="shared" si="103"/>
        <v>0</v>
      </c>
      <c r="BA69" s="519">
        <f t="shared" si="103"/>
        <v>0</v>
      </c>
      <c r="BB69" s="519">
        <f t="shared" si="103"/>
        <v>0</v>
      </c>
      <c r="BC69" s="519">
        <f t="shared" si="103"/>
        <v>0</v>
      </c>
      <c r="BD69" s="519">
        <f t="shared" si="103"/>
        <v>0</v>
      </c>
      <c r="BE69" s="520">
        <f t="shared" si="54"/>
        <v>0</v>
      </c>
      <c r="BG69" s="519">
        <f t="shared" si="55"/>
        <v>0</v>
      </c>
      <c r="BH69" s="519">
        <f t="shared" si="55"/>
        <v>0</v>
      </c>
      <c r="BI69" s="519">
        <f t="shared" si="55"/>
        <v>0</v>
      </c>
      <c r="BJ69" s="519">
        <f t="shared" si="55"/>
        <v>0</v>
      </c>
      <c r="BK69" s="519">
        <f t="shared" si="70"/>
        <v>0</v>
      </c>
      <c r="BL69" s="519">
        <f t="shared" si="70"/>
        <v>0</v>
      </c>
      <c r="BM69" s="519">
        <f t="shared" si="70"/>
        <v>0</v>
      </c>
      <c r="BN69" s="519">
        <f t="shared" si="70"/>
        <v>0</v>
      </c>
      <c r="BO69" s="519">
        <f t="shared" si="70"/>
        <v>0</v>
      </c>
      <c r="BP69" s="519">
        <f t="shared" si="70"/>
        <v>0</v>
      </c>
      <c r="BQ69" s="520">
        <f t="shared" si="56"/>
        <v>0</v>
      </c>
      <c r="BS69" s="519">
        <f t="shared" si="104"/>
        <v>0</v>
      </c>
      <c r="BT69" s="519">
        <f t="shared" si="104"/>
        <v>0</v>
      </c>
      <c r="BU69" s="519">
        <f t="shared" si="104"/>
        <v>0</v>
      </c>
      <c r="BV69" s="519">
        <f t="shared" si="104"/>
        <v>0</v>
      </c>
      <c r="BW69" s="519">
        <f t="shared" si="104"/>
        <v>0</v>
      </c>
      <c r="BX69" s="519">
        <f t="shared" si="104"/>
        <v>0</v>
      </c>
      <c r="BY69" s="519">
        <f t="shared" si="104"/>
        <v>0</v>
      </c>
      <c r="BZ69" s="519">
        <f t="shared" si="104"/>
        <v>0</v>
      </c>
      <c r="CA69" s="519">
        <f t="shared" si="104"/>
        <v>0</v>
      </c>
      <c r="CB69" s="519">
        <f t="shared" si="104"/>
        <v>0</v>
      </c>
      <c r="CC69" s="520">
        <f t="shared" si="58"/>
        <v>0</v>
      </c>
      <c r="CE69" s="519">
        <f t="shared" si="59"/>
        <v>0</v>
      </c>
      <c r="CF69" s="519">
        <f t="shared" si="59"/>
        <v>0</v>
      </c>
      <c r="CG69" s="519">
        <f t="shared" si="59"/>
        <v>0</v>
      </c>
      <c r="CH69" s="519">
        <f t="shared" si="59"/>
        <v>0</v>
      </c>
      <c r="CI69" s="519">
        <f t="shared" si="71"/>
        <v>0</v>
      </c>
      <c r="CJ69" s="519">
        <f t="shared" si="71"/>
        <v>0</v>
      </c>
      <c r="CK69" s="519">
        <f t="shared" si="71"/>
        <v>0</v>
      </c>
      <c r="CL69" s="519">
        <f t="shared" si="71"/>
        <v>0</v>
      </c>
      <c r="CM69" s="519">
        <f t="shared" si="71"/>
        <v>0</v>
      </c>
      <c r="CN69" s="519">
        <f t="shared" si="71"/>
        <v>0</v>
      </c>
      <c r="CO69" s="520">
        <f t="shared" si="60"/>
        <v>0</v>
      </c>
      <c r="CQ69" s="519">
        <f t="shared" si="93"/>
        <v>0</v>
      </c>
      <c r="CR69" s="519">
        <f t="shared" si="94"/>
        <v>0</v>
      </c>
      <c r="CS69" s="519">
        <f t="shared" si="95"/>
        <v>0</v>
      </c>
      <c r="CT69" s="519">
        <f t="shared" si="96"/>
        <v>0</v>
      </c>
      <c r="CU69" s="519">
        <f t="shared" si="97"/>
        <v>0</v>
      </c>
      <c r="CV69" s="519">
        <f t="shared" si="98"/>
        <v>0</v>
      </c>
      <c r="CW69" s="519">
        <f t="shared" si="99"/>
        <v>0</v>
      </c>
      <c r="CX69" s="519">
        <f t="shared" si="100"/>
        <v>0</v>
      </c>
      <c r="CY69" s="519">
        <f t="shared" si="101"/>
        <v>0</v>
      </c>
      <c r="CZ69" s="519">
        <f t="shared" si="102"/>
        <v>0</v>
      </c>
      <c r="DA69" s="520">
        <f t="shared" si="61"/>
        <v>0</v>
      </c>
      <c r="DC69" s="519">
        <f t="shared" si="105"/>
        <v>0</v>
      </c>
      <c r="DD69" s="519">
        <f t="shared" si="105"/>
        <v>0</v>
      </c>
      <c r="DE69" s="519">
        <f t="shared" si="105"/>
        <v>0</v>
      </c>
      <c r="DF69" s="519">
        <f t="shared" si="105"/>
        <v>0</v>
      </c>
      <c r="DG69" s="519">
        <f t="shared" si="105"/>
        <v>0</v>
      </c>
      <c r="DH69" s="519">
        <f t="shared" si="105"/>
        <v>0</v>
      </c>
      <c r="DI69" s="519">
        <f t="shared" si="105"/>
        <v>0</v>
      </c>
      <c r="DJ69" s="519">
        <f t="shared" si="105"/>
        <v>0</v>
      </c>
      <c r="DK69" s="519">
        <f t="shared" si="105"/>
        <v>0</v>
      </c>
      <c r="DL69" s="519">
        <f t="shared" si="105"/>
        <v>0</v>
      </c>
      <c r="DM69" s="520">
        <f t="shared" si="63"/>
        <v>0</v>
      </c>
      <c r="DO69" s="519">
        <f t="shared" si="68"/>
        <v>0</v>
      </c>
      <c r="DP69" s="519">
        <f t="shared" si="68"/>
        <v>0</v>
      </c>
      <c r="DQ69" s="519">
        <f t="shared" si="68"/>
        <v>0</v>
      </c>
      <c r="DR69" s="519">
        <f t="shared" si="68"/>
        <v>0</v>
      </c>
      <c r="DS69" s="519">
        <f t="shared" si="68"/>
        <v>0</v>
      </c>
      <c r="DT69" s="519">
        <f t="shared" si="66"/>
        <v>0</v>
      </c>
      <c r="DU69" s="519">
        <f t="shared" si="66"/>
        <v>0</v>
      </c>
      <c r="DV69" s="519">
        <f t="shared" si="66"/>
        <v>0</v>
      </c>
      <c r="DW69" s="519">
        <f t="shared" si="66"/>
        <v>0</v>
      </c>
      <c r="DX69" s="519">
        <f t="shared" si="66"/>
        <v>0</v>
      </c>
      <c r="DY69" s="520">
        <f t="shared" si="64"/>
        <v>0</v>
      </c>
      <c r="EA69" s="519">
        <f t="shared" si="69"/>
        <v>0</v>
      </c>
      <c r="EB69" s="519">
        <f t="shared" si="69"/>
        <v>0</v>
      </c>
      <c r="EC69" s="519">
        <f t="shared" si="69"/>
        <v>0</v>
      </c>
      <c r="ED69" s="519">
        <f t="shared" si="69"/>
        <v>0</v>
      </c>
      <c r="EE69" s="519">
        <f t="shared" si="69"/>
        <v>0</v>
      </c>
      <c r="EF69" s="519">
        <f t="shared" si="67"/>
        <v>0</v>
      </c>
      <c r="EG69" s="519">
        <f t="shared" si="67"/>
        <v>0</v>
      </c>
      <c r="EH69" s="519">
        <f t="shared" si="67"/>
        <v>0</v>
      </c>
      <c r="EI69" s="519">
        <f t="shared" si="67"/>
        <v>0</v>
      </c>
      <c r="EJ69" s="519">
        <f t="shared" si="67"/>
        <v>0</v>
      </c>
      <c r="EK69" s="520">
        <f t="shared" si="65"/>
        <v>0</v>
      </c>
    </row>
    <row r="70" spans="2:141" s="268" customFormat="1" ht="15" customHeight="1" x14ac:dyDescent="0.25">
      <c r="B70" s="446" t="str">
        <f>'2. START'!C$7</f>
        <v>100GEM</v>
      </c>
      <c r="C70" s="469"/>
      <c r="D70" s="594"/>
      <c r="E70" s="522">
        <v>0</v>
      </c>
      <c r="F70" s="522" t="s">
        <v>36</v>
      </c>
      <c r="G70" s="522"/>
      <c r="H70" s="523"/>
      <c r="I70" s="523"/>
      <c r="J70" s="523"/>
      <c r="K70" s="523"/>
      <c r="L70" s="523"/>
      <c r="M70" s="523"/>
      <c r="N70" s="523"/>
      <c r="O70" s="523"/>
      <c r="P70" s="523"/>
      <c r="Q70" s="523"/>
      <c r="R70" s="459">
        <f t="shared" si="72"/>
        <v>0</v>
      </c>
      <c r="S70" s="524">
        <f>IF('2. START'!$C$20="UTB",(SUMIF('3. PARTNER'!B$13:B$80,B70,'3. PARTNER'!M$13:M$80)),(SUMIF('3. PARTNER'!B$13:B$80,B70,'3. PARTNER'!I$13:I$80)))</f>
        <v>0</v>
      </c>
      <c r="T70" s="524">
        <f>IF('2. START'!$C$20="UTB",(SUMIF('3. PARTNER'!B$13:B$80,B70,'3. PARTNER'!N$13:N$80)),(SUMIF('3. PARTNER'!B$13:B$80,B70,'3. PARTNER'!J$13:J$80)))</f>
        <v>0</v>
      </c>
      <c r="U70" s="454">
        <f>IF(F70="NO",0,IF('2. START'!C$13="PERSON+OPERATION",'2. START'!C$12,0)+IF('2. START'!C$13="PERSON+OPERATION+INVEST+FACILIT",'2. START'!C$12,0))</f>
        <v>0</v>
      </c>
      <c r="V70" s="463"/>
      <c r="W70" s="459">
        <f t="shared" si="73"/>
        <v>0</v>
      </c>
      <c r="X70" s="459">
        <f t="shared" si="74"/>
        <v>0</v>
      </c>
      <c r="Y70" s="459">
        <f t="shared" si="75"/>
        <v>0</v>
      </c>
      <c r="Z70" s="459">
        <f t="shared" si="76"/>
        <v>0</v>
      </c>
      <c r="AA70" s="459">
        <f t="shared" si="77"/>
        <v>0</v>
      </c>
      <c r="AB70" s="459">
        <f t="shared" si="78"/>
        <v>0</v>
      </c>
      <c r="AC70" s="459">
        <f t="shared" si="79"/>
        <v>0</v>
      </c>
      <c r="AD70" s="459">
        <f t="shared" si="80"/>
        <v>0</v>
      </c>
      <c r="AE70" s="459">
        <f t="shared" si="81"/>
        <v>0</v>
      </c>
      <c r="AF70" s="459">
        <f t="shared" si="82"/>
        <v>0</v>
      </c>
      <c r="AG70" s="460">
        <f t="shared" si="51"/>
        <v>0</v>
      </c>
      <c r="AH70" s="463"/>
      <c r="AI70" s="459">
        <f t="shared" si="83"/>
        <v>0</v>
      </c>
      <c r="AJ70" s="459">
        <f t="shared" si="84"/>
        <v>0</v>
      </c>
      <c r="AK70" s="459">
        <f t="shared" si="85"/>
        <v>0</v>
      </c>
      <c r="AL70" s="459">
        <f t="shared" si="86"/>
        <v>0</v>
      </c>
      <c r="AM70" s="459">
        <f t="shared" si="87"/>
        <v>0</v>
      </c>
      <c r="AN70" s="459">
        <f t="shared" si="88"/>
        <v>0</v>
      </c>
      <c r="AO70" s="459">
        <f t="shared" si="89"/>
        <v>0</v>
      </c>
      <c r="AP70" s="459">
        <f t="shared" si="90"/>
        <v>0</v>
      </c>
      <c r="AQ70" s="459">
        <f t="shared" si="91"/>
        <v>0</v>
      </c>
      <c r="AR70" s="459">
        <f t="shared" si="92"/>
        <v>0</v>
      </c>
      <c r="AS70" s="460">
        <f t="shared" si="52"/>
        <v>0</v>
      </c>
      <c r="AT70" s="463"/>
      <c r="AU70" s="459">
        <f t="shared" si="103"/>
        <v>0</v>
      </c>
      <c r="AV70" s="459">
        <f t="shared" si="103"/>
        <v>0</v>
      </c>
      <c r="AW70" s="459">
        <f t="shared" si="103"/>
        <v>0</v>
      </c>
      <c r="AX70" s="459">
        <f t="shared" si="103"/>
        <v>0</v>
      </c>
      <c r="AY70" s="459">
        <f t="shared" si="103"/>
        <v>0</v>
      </c>
      <c r="AZ70" s="459">
        <f t="shared" si="103"/>
        <v>0</v>
      </c>
      <c r="BA70" s="459">
        <f t="shared" si="103"/>
        <v>0</v>
      </c>
      <c r="BB70" s="459">
        <f t="shared" si="103"/>
        <v>0</v>
      </c>
      <c r="BC70" s="459">
        <f t="shared" si="103"/>
        <v>0</v>
      </c>
      <c r="BD70" s="459">
        <f t="shared" si="103"/>
        <v>0</v>
      </c>
      <c r="BE70" s="460">
        <f t="shared" si="54"/>
        <v>0</v>
      </c>
      <c r="BF70" s="463"/>
      <c r="BG70" s="459">
        <f t="shared" si="55"/>
        <v>0</v>
      </c>
      <c r="BH70" s="459">
        <f t="shared" si="55"/>
        <v>0</v>
      </c>
      <c r="BI70" s="459">
        <f t="shared" si="55"/>
        <v>0</v>
      </c>
      <c r="BJ70" s="459">
        <f t="shared" si="55"/>
        <v>0</v>
      </c>
      <c r="BK70" s="459">
        <f t="shared" si="70"/>
        <v>0</v>
      </c>
      <c r="BL70" s="459">
        <f t="shared" si="70"/>
        <v>0</v>
      </c>
      <c r="BM70" s="459">
        <f t="shared" si="70"/>
        <v>0</v>
      </c>
      <c r="BN70" s="459">
        <f t="shared" si="70"/>
        <v>0</v>
      </c>
      <c r="BO70" s="459">
        <f t="shared" si="70"/>
        <v>0</v>
      </c>
      <c r="BP70" s="459">
        <f t="shared" si="70"/>
        <v>0</v>
      </c>
      <c r="BQ70" s="460">
        <f t="shared" si="56"/>
        <v>0</v>
      </c>
      <c r="BR70" s="463"/>
      <c r="BS70" s="459">
        <f t="shared" si="104"/>
        <v>0</v>
      </c>
      <c r="BT70" s="459">
        <f t="shared" si="104"/>
        <v>0</v>
      </c>
      <c r="BU70" s="459">
        <f t="shared" si="104"/>
        <v>0</v>
      </c>
      <c r="BV70" s="459">
        <f t="shared" si="104"/>
        <v>0</v>
      </c>
      <c r="BW70" s="459">
        <f t="shared" si="104"/>
        <v>0</v>
      </c>
      <c r="BX70" s="459">
        <f t="shared" si="104"/>
        <v>0</v>
      </c>
      <c r="BY70" s="459">
        <f t="shared" si="104"/>
        <v>0</v>
      </c>
      <c r="BZ70" s="459">
        <f t="shared" si="104"/>
        <v>0</v>
      </c>
      <c r="CA70" s="459">
        <f t="shared" si="104"/>
        <v>0</v>
      </c>
      <c r="CB70" s="459">
        <f t="shared" si="104"/>
        <v>0</v>
      </c>
      <c r="CC70" s="460">
        <f t="shared" si="58"/>
        <v>0</v>
      </c>
      <c r="CD70" s="463"/>
      <c r="CE70" s="459">
        <f t="shared" si="59"/>
        <v>0</v>
      </c>
      <c r="CF70" s="459">
        <f t="shared" si="59"/>
        <v>0</v>
      </c>
      <c r="CG70" s="459">
        <f t="shared" si="59"/>
        <v>0</v>
      </c>
      <c r="CH70" s="459">
        <f t="shared" si="59"/>
        <v>0</v>
      </c>
      <c r="CI70" s="459">
        <f t="shared" si="71"/>
        <v>0</v>
      </c>
      <c r="CJ70" s="459">
        <f t="shared" si="71"/>
        <v>0</v>
      </c>
      <c r="CK70" s="459">
        <f t="shared" si="71"/>
        <v>0</v>
      </c>
      <c r="CL70" s="459">
        <f t="shared" si="71"/>
        <v>0</v>
      </c>
      <c r="CM70" s="459">
        <f t="shared" si="71"/>
        <v>0</v>
      </c>
      <c r="CN70" s="459">
        <f t="shared" si="71"/>
        <v>0</v>
      </c>
      <c r="CO70" s="460">
        <f t="shared" si="60"/>
        <v>0</v>
      </c>
      <c r="CP70" s="463"/>
      <c r="CQ70" s="459">
        <f t="shared" si="93"/>
        <v>0</v>
      </c>
      <c r="CR70" s="459">
        <f t="shared" si="94"/>
        <v>0</v>
      </c>
      <c r="CS70" s="459">
        <f t="shared" si="95"/>
        <v>0</v>
      </c>
      <c r="CT70" s="459">
        <f t="shared" si="96"/>
        <v>0</v>
      </c>
      <c r="CU70" s="459">
        <f t="shared" si="97"/>
        <v>0</v>
      </c>
      <c r="CV70" s="459">
        <f t="shared" si="98"/>
        <v>0</v>
      </c>
      <c r="CW70" s="459">
        <f t="shared" si="99"/>
        <v>0</v>
      </c>
      <c r="CX70" s="459">
        <f t="shared" si="100"/>
        <v>0</v>
      </c>
      <c r="CY70" s="459">
        <f t="shared" si="101"/>
        <v>0</v>
      </c>
      <c r="CZ70" s="459">
        <f t="shared" si="102"/>
        <v>0</v>
      </c>
      <c r="DA70" s="460">
        <f t="shared" si="61"/>
        <v>0</v>
      </c>
      <c r="DB70" s="463"/>
      <c r="DC70" s="459">
        <f t="shared" si="105"/>
        <v>0</v>
      </c>
      <c r="DD70" s="459">
        <f t="shared" si="105"/>
        <v>0</v>
      </c>
      <c r="DE70" s="459">
        <f t="shared" si="105"/>
        <v>0</v>
      </c>
      <c r="DF70" s="459">
        <f t="shared" si="105"/>
        <v>0</v>
      </c>
      <c r="DG70" s="459">
        <f t="shared" si="105"/>
        <v>0</v>
      </c>
      <c r="DH70" s="459">
        <f t="shared" si="105"/>
        <v>0</v>
      </c>
      <c r="DI70" s="459">
        <f t="shared" si="105"/>
        <v>0</v>
      </c>
      <c r="DJ70" s="459">
        <f t="shared" si="105"/>
        <v>0</v>
      </c>
      <c r="DK70" s="459">
        <f t="shared" si="105"/>
        <v>0</v>
      </c>
      <c r="DL70" s="459">
        <f t="shared" si="105"/>
        <v>0</v>
      </c>
      <c r="DM70" s="460">
        <f t="shared" si="63"/>
        <v>0</v>
      </c>
      <c r="DN70" s="463"/>
      <c r="DO70" s="459">
        <f t="shared" si="68"/>
        <v>0</v>
      </c>
      <c r="DP70" s="459">
        <f t="shared" si="68"/>
        <v>0</v>
      </c>
      <c r="DQ70" s="459">
        <f t="shared" si="68"/>
        <v>0</v>
      </c>
      <c r="DR70" s="459">
        <f t="shared" si="68"/>
        <v>0</v>
      </c>
      <c r="DS70" s="459">
        <f t="shared" si="68"/>
        <v>0</v>
      </c>
      <c r="DT70" s="459">
        <f t="shared" si="66"/>
        <v>0</v>
      </c>
      <c r="DU70" s="459">
        <f t="shared" si="66"/>
        <v>0</v>
      </c>
      <c r="DV70" s="459">
        <f t="shared" si="66"/>
        <v>0</v>
      </c>
      <c r="DW70" s="459">
        <f t="shared" si="66"/>
        <v>0</v>
      </c>
      <c r="DX70" s="459">
        <f t="shared" si="66"/>
        <v>0</v>
      </c>
      <c r="DY70" s="460">
        <f t="shared" si="64"/>
        <v>0</v>
      </c>
      <c r="DZ70" s="463"/>
      <c r="EA70" s="459">
        <f t="shared" si="69"/>
        <v>0</v>
      </c>
      <c r="EB70" s="459">
        <f t="shared" si="69"/>
        <v>0</v>
      </c>
      <c r="EC70" s="459">
        <f t="shared" si="69"/>
        <v>0</v>
      </c>
      <c r="ED70" s="459">
        <f t="shared" si="69"/>
        <v>0</v>
      </c>
      <c r="EE70" s="459">
        <f t="shared" si="69"/>
        <v>0</v>
      </c>
      <c r="EF70" s="459">
        <f t="shared" si="67"/>
        <v>0</v>
      </c>
      <c r="EG70" s="459">
        <f t="shared" si="67"/>
        <v>0</v>
      </c>
      <c r="EH70" s="459">
        <f t="shared" si="67"/>
        <v>0</v>
      </c>
      <c r="EI70" s="459">
        <f t="shared" si="67"/>
        <v>0</v>
      </c>
      <c r="EJ70" s="459">
        <f t="shared" si="67"/>
        <v>0</v>
      </c>
      <c r="EK70" s="460">
        <f t="shared" si="65"/>
        <v>0</v>
      </c>
    </row>
    <row r="71" spans="2:141" s="268" customFormat="1" ht="15" customHeight="1" x14ac:dyDescent="0.25">
      <c r="B71" s="464" t="str">
        <f>'2. START'!C$7</f>
        <v>100GEM</v>
      </c>
      <c r="C71" s="470"/>
      <c r="D71" s="593"/>
      <c r="E71" s="527">
        <v>0</v>
      </c>
      <c r="F71" s="527" t="s">
        <v>36</v>
      </c>
      <c r="G71" s="527"/>
      <c r="H71" s="515"/>
      <c r="I71" s="515"/>
      <c r="J71" s="515"/>
      <c r="K71" s="515"/>
      <c r="L71" s="515"/>
      <c r="M71" s="515"/>
      <c r="N71" s="515"/>
      <c r="O71" s="515"/>
      <c r="P71" s="515"/>
      <c r="Q71" s="515"/>
      <c r="R71" s="442">
        <f t="shared" si="72"/>
        <v>0</v>
      </c>
      <c r="S71" s="516">
        <f>IF('2. START'!$C$20="UTB",(SUMIF('3. PARTNER'!B$13:B$80,B71,'3. PARTNER'!M$13:M$80)),(SUMIF('3. PARTNER'!B$13:B$80,B71,'3. PARTNER'!I$13:I$80)))</f>
        <v>0</v>
      </c>
      <c r="T71" s="516">
        <f>IF('2. START'!$C$20="UTB",(SUMIF('3. PARTNER'!B$13:B$80,B71,'3. PARTNER'!N$13:N$80)),(SUMIF('3. PARTNER'!B$13:B$80,B71,'3. PARTNER'!J$13:J$80)))</f>
        <v>0</v>
      </c>
      <c r="U71" s="517">
        <f>IF(F71="NO",0,IF('2. START'!C$13="PERSON+OPERATION",'2. START'!C$12,0)+IF('2. START'!C$13="PERSON+OPERATION+INVEST+FACILIT",'2. START'!C$12,0))</f>
        <v>0</v>
      </c>
      <c r="W71" s="519">
        <f t="shared" si="73"/>
        <v>0</v>
      </c>
      <c r="X71" s="519">
        <f t="shared" si="74"/>
        <v>0</v>
      </c>
      <c r="Y71" s="519">
        <f t="shared" si="75"/>
        <v>0</v>
      </c>
      <c r="Z71" s="519">
        <f t="shared" si="76"/>
        <v>0</v>
      </c>
      <c r="AA71" s="519">
        <f t="shared" si="77"/>
        <v>0</v>
      </c>
      <c r="AB71" s="519">
        <f t="shared" si="78"/>
        <v>0</v>
      </c>
      <c r="AC71" s="519">
        <f t="shared" si="79"/>
        <v>0</v>
      </c>
      <c r="AD71" s="519">
        <f t="shared" si="80"/>
        <v>0</v>
      </c>
      <c r="AE71" s="519">
        <f t="shared" si="81"/>
        <v>0</v>
      </c>
      <c r="AF71" s="519">
        <f t="shared" si="82"/>
        <v>0</v>
      </c>
      <c r="AG71" s="520">
        <f t="shared" si="51"/>
        <v>0</v>
      </c>
      <c r="AI71" s="519">
        <f t="shared" si="83"/>
        <v>0</v>
      </c>
      <c r="AJ71" s="519">
        <f t="shared" si="84"/>
        <v>0</v>
      </c>
      <c r="AK71" s="519">
        <f t="shared" si="85"/>
        <v>0</v>
      </c>
      <c r="AL71" s="519">
        <f t="shared" si="86"/>
        <v>0</v>
      </c>
      <c r="AM71" s="519">
        <f t="shared" si="87"/>
        <v>0</v>
      </c>
      <c r="AN71" s="519">
        <f t="shared" si="88"/>
        <v>0</v>
      </c>
      <c r="AO71" s="519">
        <f t="shared" si="89"/>
        <v>0</v>
      </c>
      <c r="AP71" s="519">
        <f t="shared" si="90"/>
        <v>0</v>
      </c>
      <c r="AQ71" s="519">
        <f t="shared" si="91"/>
        <v>0</v>
      </c>
      <c r="AR71" s="519">
        <f t="shared" si="92"/>
        <v>0</v>
      </c>
      <c r="AS71" s="520">
        <f t="shared" si="52"/>
        <v>0</v>
      </c>
      <c r="AU71" s="519">
        <f t="shared" si="103"/>
        <v>0</v>
      </c>
      <c r="AV71" s="519">
        <f t="shared" si="103"/>
        <v>0</v>
      </c>
      <c r="AW71" s="519">
        <f t="shared" si="103"/>
        <v>0</v>
      </c>
      <c r="AX71" s="519">
        <f t="shared" si="103"/>
        <v>0</v>
      </c>
      <c r="AY71" s="519">
        <f t="shared" si="103"/>
        <v>0</v>
      </c>
      <c r="AZ71" s="519">
        <f t="shared" si="103"/>
        <v>0</v>
      </c>
      <c r="BA71" s="519">
        <f t="shared" si="103"/>
        <v>0</v>
      </c>
      <c r="BB71" s="519">
        <f t="shared" si="103"/>
        <v>0</v>
      </c>
      <c r="BC71" s="519">
        <f t="shared" si="103"/>
        <v>0</v>
      </c>
      <c r="BD71" s="519">
        <f t="shared" si="103"/>
        <v>0</v>
      </c>
      <c r="BE71" s="520">
        <f t="shared" si="54"/>
        <v>0</v>
      </c>
      <c r="BG71" s="519">
        <f t="shared" si="55"/>
        <v>0</v>
      </c>
      <c r="BH71" s="519">
        <f t="shared" si="55"/>
        <v>0</v>
      </c>
      <c r="BI71" s="519">
        <f t="shared" si="55"/>
        <v>0</v>
      </c>
      <c r="BJ71" s="519">
        <f t="shared" si="55"/>
        <v>0</v>
      </c>
      <c r="BK71" s="519">
        <f t="shared" si="70"/>
        <v>0</v>
      </c>
      <c r="BL71" s="519">
        <f t="shared" si="70"/>
        <v>0</v>
      </c>
      <c r="BM71" s="519">
        <f t="shared" si="70"/>
        <v>0</v>
      </c>
      <c r="BN71" s="519">
        <f t="shared" si="70"/>
        <v>0</v>
      </c>
      <c r="BO71" s="519">
        <f t="shared" si="70"/>
        <v>0</v>
      </c>
      <c r="BP71" s="519">
        <f t="shared" si="70"/>
        <v>0</v>
      </c>
      <c r="BQ71" s="520">
        <f t="shared" si="56"/>
        <v>0</v>
      </c>
      <c r="BS71" s="519">
        <f t="shared" si="104"/>
        <v>0</v>
      </c>
      <c r="BT71" s="519">
        <f t="shared" si="104"/>
        <v>0</v>
      </c>
      <c r="BU71" s="519">
        <f t="shared" si="104"/>
        <v>0</v>
      </c>
      <c r="BV71" s="519">
        <f t="shared" si="104"/>
        <v>0</v>
      </c>
      <c r="BW71" s="519">
        <f t="shared" si="104"/>
        <v>0</v>
      </c>
      <c r="BX71" s="519">
        <f t="shared" si="104"/>
        <v>0</v>
      </c>
      <c r="BY71" s="519">
        <f t="shared" si="104"/>
        <v>0</v>
      </c>
      <c r="BZ71" s="519">
        <f t="shared" si="104"/>
        <v>0</v>
      </c>
      <c r="CA71" s="519">
        <f t="shared" si="104"/>
        <v>0</v>
      </c>
      <c r="CB71" s="519">
        <f t="shared" si="104"/>
        <v>0</v>
      </c>
      <c r="CC71" s="520">
        <f t="shared" si="58"/>
        <v>0</v>
      </c>
      <c r="CE71" s="519">
        <f t="shared" si="59"/>
        <v>0</v>
      </c>
      <c r="CF71" s="519">
        <f t="shared" si="59"/>
        <v>0</v>
      </c>
      <c r="CG71" s="519">
        <f t="shared" si="59"/>
        <v>0</v>
      </c>
      <c r="CH71" s="519">
        <f t="shared" si="59"/>
        <v>0</v>
      </c>
      <c r="CI71" s="519">
        <f t="shared" si="71"/>
        <v>0</v>
      </c>
      <c r="CJ71" s="519">
        <f t="shared" si="71"/>
        <v>0</v>
      </c>
      <c r="CK71" s="519">
        <f t="shared" si="71"/>
        <v>0</v>
      </c>
      <c r="CL71" s="519">
        <f t="shared" si="71"/>
        <v>0</v>
      </c>
      <c r="CM71" s="519">
        <f t="shared" si="71"/>
        <v>0</v>
      </c>
      <c r="CN71" s="519">
        <f t="shared" si="71"/>
        <v>0</v>
      </c>
      <c r="CO71" s="520">
        <f t="shared" si="60"/>
        <v>0</v>
      </c>
      <c r="CQ71" s="519">
        <f t="shared" si="93"/>
        <v>0</v>
      </c>
      <c r="CR71" s="519">
        <f t="shared" si="94"/>
        <v>0</v>
      </c>
      <c r="CS71" s="519">
        <f t="shared" si="95"/>
        <v>0</v>
      </c>
      <c r="CT71" s="519">
        <f t="shared" si="96"/>
        <v>0</v>
      </c>
      <c r="CU71" s="519">
        <f t="shared" si="97"/>
        <v>0</v>
      </c>
      <c r="CV71" s="519">
        <f t="shared" si="98"/>
        <v>0</v>
      </c>
      <c r="CW71" s="519">
        <f t="shared" si="99"/>
        <v>0</v>
      </c>
      <c r="CX71" s="519">
        <f t="shared" si="100"/>
        <v>0</v>
      </c>
      <c r="CY71" s="519">
        <f t="shared" si="101"/>
        <v>0</v>
      </c>
      <c r="CZ71" s="519">
        <f t="shared" si="102"/>
        <v>0</v>
      </c>
      <c r="DA71" s="520">
        <f t="shared" si="61"/>
        <v>0</v>
      </c>
      <c r="DC71" s="519">
        <f t="shared" si="105"/>
        <v>0</v>
      </c>
      <c r="DD71" s="519">
        <f t="shared" si="105"/>
        <v>0</v>
      </c>
      <c r="DE71" s="519">
        <f t="shared" si="105"/>
        <v>0</v>
      </c>
      <c r="DF71" s="519">
        <f t="shared" si="105"/>
        <v>0</v>
      </c>
      <c r="DG71" s="519">
        <f t="shared" si="105"/>
        <v>0</v>
      </c>
      <c r="DH71" s="519">
        <f t="shared" si="105"/>
        <v>0</v>
      </c>
      <c r="DI71" s="519">
        <f t="shared" si="105"/>
        <v>0</v>
      </c>
      <c r="DJ71" s="519">
        <f t="shared" si="105"/>
        <v>0</v>
      </c>
      <c r="DK71" s="519">
        <f t="shared" si="105"/>
        <v>0</v>
      </c>
      <c r="DL71" s="519">
        <f t="shared" si="105"/>
        <v>0</v>
      </c>
      <c r="DM71" s="520">
        <f t="shared" si="63"/>
        <v>0</v>
      </c>
      <c r="DO71" s="519">
        <f t="shared" si="68"/>
        <v>0</v>
      </c>
      <c r="DP71" s="519">
        <f t="shared" si="68"/>
        <v>0</v>
      </c>
      <c r="DQ71" s="519">
        <f t="shared" si="68"/>
        <v>0</v>
      </c>
      <c r="DR71" s="519">
        <f t="shared" si="68"/>
        <v>0</v>
      </c>
      <c r="DS71" s="519">
        <f t="shared" si="68"/>
        <v>0</v>
      </c>
      <c r="DT71" s="519">
        <f t="shared" si="66"/>
        <v>0</v>
      </c>
      <c r="DU71" s="519">
        <f t="shared" si="66"/>
        <v>0</v>
      </c>
      <c r="DV71" s="519">
        <f t="shared" si="66"/>
        <v>0</v>
      </c>
      <c r="DW71" s="519">
        <f t="shared" si="66"/>
        <v>0</v>
      </c>
      <c r="DX71" s="519">
        <f t="shared" si="66"/>
        <v>0</v>
      </c>
      <c r="DY71" s="520">
        <f t="shared" si="64"/>
        <v>0</v>
      </c>
      <c r="EA71" s="519">
        <f t="shared" si="69"/>
        <v>0</v>
      </c>
      <c r="EB71" s="519">
        <f t="shared" si="69"/>
        <v>0</v>
      </c>
      <c r="EC71" s="519">
        <f t="shared" si="69"/>
        <v>0</v>
      </c>
      <c r="ED71" s="519">
        <f t="shared" si="69"/>
        <v>0</v>
      </c>
      <c r="EE71" s="519">
        <f t="shared" si="69"/>
        <v>0</v>
      </c>
      <c r="EF71" s="519">
        <f t="shared" si="67"/>
        <v>0</v>
      </c>
      <c r="EG71" s="519">
        <f t="shared" si="67"/>
        <v>0</v>
      </c>
      <c r="EH71" s="519">
        <f t="shared" si="67"/>
        <v>0</v>
      </c>
      <c r="EI71" s="519">
        <f t="shared" si="67"/>
        <v>0</v>
      </c>
      <c r="EJ71" s="519">
        <f t="shared" si="67"/>
        <v>0</v>
      </c>
      <c r="EK71" s="520">
        <f t="shared" si="65"/>
        <v>0</v>
      </c>
    </row>
    <row r="72" spans="2:141" s="268" customFormat="1" ht="15" customHeight="1" x14ac:dyDescent="0.25">
      <c r="B72" s="446" t="str">
        <f>'2. START'!C$7</f>
        <v>100GEM</v>
      </c>
      <c r="C72" s="469"/>
      <c r="D72" s="594"/>
      <c r="E72" s="522">
        <v>0</v>
      </c>
      <c r="F72" s="522" t="s">
        <v>36</v>
      </c>
      <c r="G72" s="522"/>
      <c r="H72" s="523"/>
      <c r="I72" s="523"/>
      <c r="J72" s="523"/>
      <c r="K72" s="523"/>
      <c r="L72" s="523"/>
      <c r="M72" s="523"/>
      <c r="N72" s="523"/>
      <c r="O72" s="523"/>
      <c r="P72" s="523"/>
      <c r="Q72" s="523"/>
      <c r="R72" s="459">
        <f t="shared" si="72"/>
        <v>0</v>
      </c>
      <c r="S72" s="524">
        <f>IF('2. START'!$C$20="UTB",(SUMIF('3. PARTNER'!B$13:B$80,B72,'3. PARTNER'!M$13:M$80)),(SUMIF('3. PARTNER'!B$13:B$80,B72,'3. PARTNER'!I$13:I$80)))</f>
        <v>0</v>
      </c>
      <c r="T72" s="524">
        <f>IF('2. START'!$C$20="UTB",(SUMIF('3. PARTNER'!B$13:B$80,B72,'3. PARTNER'!N$13:N$80)),(SUMIF('3. PARTNER'!B$13:B$80,B72,'3. PARTNER'!J$13:J$80)))</f>
        <v>0</v>
      </c>
      <c r="U72" s="454">
        <f>IF(F72="NO",0,IF('2. START'!C$13="PERSON+OPERATION",'2. START'!C$12,0)+IF('2. START'!C$13="PERSON+OPERATION+INVEST+FACILIT",'2. START'!C$12,0))</f>
        <v>0</v>
      </c>
      <c r="V72" s="463"/>
      <c r="W72" s="459">
        <f t="shared" si="73"/>
        <v>0</v>
      </c>
      <c r="X72" s="459">
        <f t="shared" si="74"/>
        <v>0</v>
      </c>
      <c r="Y72" s="459">
        <f t="shared" si="75"/>
        <v>0</v>
      </c>
      <c r="Z72" s="459">
        <f t="shared" si="76"/>
        <v>0</v>
      </c>
      <c r="AA72" s="459">
        <f t="shared" si="77"/>
        <v>0</v>
      </c>
      <c r="AB72" s="459">
        <f t="shared" si="78"/>
        <v>0</v>
      </c>
      <c r="AC72" s="459">
        <f t="shared" si="79"/>
        <v>0</v>
      </c>
      <c r="AD72" s="459">
        <f t="shared" si="80"/>
        <v>0</v>
      </c>
      <c r="AE72" s="459">
        <f t="shared" si="81"/>
        <v>0</v>
      </c>
      <c r="AF72" s="459">
        <f t="shared" si="82"/>
        <v>0</v>
      </c>
      <c r="AG72" s="460">
        <f t="shared" si="51"/>
        <v>0</v>
      </c>
      <c r="AH72" s="463"/>
      <c r="AI72" s="459">
        <f t="shared" si="83"/>
        <v>0</v>
      </c>
      <c r="AJ72" s="459">
        <f t="shared" si="84"/>
        <v>0</v>
      </c>
      <c r="AK72" s="459">
        <f t="shared" si="85"/>
        <v>0</v>
      </c>
      <c r="AL72" s="459">
        <f t="shared" si="86"/>
        <v>0</v>
      </c>
      <c r="AM72" s="459">
        <f t="shared" si="87"/>
        <v>0</v>
      </c>
      <c r="AN72" s="459">
        <f t="shared" si="88"/>
        <v>0</v>
      </c>
      <c r="AO72" s="459">
        <f t="shared" si="89"/>
        <v>0</v>
      </c>
      <c r="AP72" s="459">
        <f t="shared" si="90"/>
        <v>0</v>
      </c>
      <c r="AQ72" s="459">
        <f t="shared" si="91"/>
        <v>0</v>
      </c>
      <c r="AR72" s="459">
        <f t="shared" si="92"/>
        <v>0</v>
      </c>
      <c r="AS72" s="460">
        <f t="shared" si="52"/>
        <v>0</v>
      </c>
      <c r="AT72" s="463"/>
      <c r="AU72" s="459">
        <f t="shared" si="103"/>
        <v>0</v>
      </c>
      <c r="AV72" s="459">
        <f t="shared" si="103"/>
        <v>0</v>
      </c>
      <c r="AW72" s="459">
        <f t="shared" si="103"/>
        <v>0</v>
      </c>
      <c r="AX72" s="459">
        <f t="shared" si="103"/>
        <v>0</v>
      </c>
      <c r="AY72" s="459">
        <f t="shared" si="103"/>
        <v>0</v>
      </c>
      <c r="AZ72" s="459">
        <f t="shared" si="103"/>
        <v>0</v>
      </c>
      <c r="BA72" s="459">
        <f t="shared" si="103"/>
        <v>0</v>
      </c>
      <c r="BB72" s="459">
        <f t="shared" si="103"/>
        <v>0</v>
      </c>
      <c r="BC72" s="459">
        <f t="shared" si="103"/>
        <v>0</v>
      </c>
      <c r="BD72" s="459">
        <f t="shared" si="103"/>
        <v>0</v>
      </c>
      <c r="BE72" s="460">
        <f t="shared" si="54"/>
        <v>0</v>
      </c>
      <c r="BF72" s="463"/>
      <c r="BG72" s="459">
        <f t="shared" si="55"/>
        <v>0</v>
      </c>
      <c r="BH72" s="459">
        <f t="shared" si="55"/>
        <v>0</v>
      </c>
      <c r="BI72" s="459">
        <f t="shared" si="55"/>
        <v>0</v>
      </c>
      <c r="BJ72" s="459">
        <f t="shared" si="55"/>
        <v>0</v>
      </c>
      <c r="BK72" s="459">
        <f t="shared" si="70"/>
        <v>0</v>
      </c>
      <c r="BL72" s="459">
        <f t="shared" si="70"/>
        <v>0</v>
      </c>
      <c r="BM72" s="459">
        <f t="shared" si="70"/>
        <v>0</v>
      </c>
      <c r="BN72" s="459">
        <f t="shared" si="70"/>
        <v>0</v>
      </c>
      <c r="BO72" s="459">
        <f t="shared" si="70"/>
        <v>0</v>
      </c>
      <c r="BP72" s="459">
        <f t="shared" si="70"/>
        <v>0</v>
      </c>
      <c r="BQ72" s="460">
        <f t="shared" si="56"/>
        <v>0</v>
      </c>
      <c r="BR72" s="463"/>
      <c r="BS72" s="459">
        <f t="shared" si="104"/>
        <v>0</v>
      </c>
      <c r="BT72" s="459">
        <f t="shared" si="104"/>
        <v>0</v>
      </c>
      <c r="BU72" s="459">
        <f t="shared" si="104"/>
        <v>0</v>
      </c>
      <c r="BV72" s="459">
        <f t="shared" si="104"/>
        <v>0</v>
      </c>
      <c r="BW72" s="459">
        <f t="shared" si="104"/>
        <v>0</v>
      </c>
      <c r="BX72" s="459">
        <f t="shared" si="104"/>
        <v>0</v>
      </c>
      <c r="BY72" s="459">
        <f t="shared" si="104"/>
        <v>0</v>
      </c>
      <c r="BZ72" s="459">
        <f t="shared" si="104"/>
        <v>0</v>
      </c>
      <c r="CA72" s="459">
        <f t="shared" si="104"/>
        <v>0</v>
      </c>
      <c r="CB72" s="459">
        <f t="shared" si="104"/>
        <v>0</v>
      </c>
      <c r="CC72" s="460">
        <f t="shared" si="58"/>
        <v>0</v>
      </c>
      <c r="CD72" s="463"/>
      <c r="CE72" s="459">
        <f t="shared" si="59"/>
        <v>0</v>
      </c>
      <c r="CF72" s="459">
        <f t="shared" si="59"/>
        <v>0</v>
      </c>
      <c r="CG72" s="459">
        <f t="shared" si="59"/>
        <v>0</v>
      </c>
      <c r="CH72" s="459">
        <f t="shared" si="59"/>
        <v>0</v>
      </c>
      <c r="CI72" s="459">
        <f t="shared" si="71"/>
        <v>0</v>
      </c>
      <c r="CJ72" s="459">
        <f t="shared" si="71"/>
        <v>0</v>
      </c>
      <c r="CK72" s="459">
        <f t="shared" si="71"/>
        <v>0</v>
      </c>
      <c r="CL72" s="459">
        <f t="shared" si="71"/>
        <v>0</v>
      </c>
      <c r="CM72" s="459">
        <f t="shared" si="71"/>
        <v>0</v>
      </c>
      <c r="CN72" s="459">
        <f t="shared" si="71"/>
        <v>0</v>
      </c>
      <c r="CO72" s="460">
        <f t="shared" si="60"/>
        <v>0</v>
      </c>
      <c r="CP72" s="463"/>
      <c r="CQ72" s="459">
        <f t="shared" si="93"/>
        <v>0</v>
      </c>
      <c r="CR72" s="459">
        <f t="shared" si="94"/>
        <v>0</v>
      </c>
      <c r="CS72" s="459">
        <f t="shared" si="95"/>
        <v>0</v>
      </c>
      <c r="CT72" s="459">
        <f t="shared" si="96"/>
        <v>0</v>
      </c>
      <c r="CU72" s="459">
        <f t="shared" si="97"/>
        <v>0</v>
      </c>
      <c r="CV72" s="459">
        <f t="shared" si="98"/>
        <v>0</v>
      </c>
      <c r="CW72" s="459">
        <f t="shared" si="99"/>
        <v>0</v>
      </c>
      <c r="CX72" s="459">
        <f t="shared" si="100"/>
        <v>0</v>
      </c>
      <c r="CY72" s="459">
        <f t="shared" si="101"/>
        <v>0</v>
      </c>
      <c r="CZ72" s="459">
        <f t="shared" si="102"/>
        <v>0</v>
      </c>
      <c r="DA72" s="460">
        <f t="shared" si="61"/>
        <v>0</v>
      </c>
      <c r="DB72" s="463"/>
      <c r="DC72" s="459">
        <f t="shared" si="105"/>
        <v>0</v>
      </c>
      <c r="DD72" s="459">
        <f t="shared" si="105"/>
        <v>0</v>
      </c>
      <c r="DE72" s="459">
        <f t="shared" si="105"/>
        <v>0</v>
      </c>
      <c r="DF72" s="459">
        <f t="shared" si="105"/>
        <v>0</v>
      </c>
      <c r="DG72" s="459">
        <f t="shared" si="105"/>
        <v>0</v>
      </c>
      <c r="DH72" s="459">
        <f t="shared" si="105"/>
        <v>0</v>
      </c>
      <c r="DI72" s="459">
        <f t="shared" si="105"/>
        <v>0</v>
      </c>
      <c r="DJ72" s="459">
        <f t="shared" si="105"/>
        <v>0</v>
      </c>
      <c r="DK72" s="459">
        <f t="shared" si="105"/>
        <v>0</v>
      </c>
      <c r="DL72" s="459">
        <f t="shared" si="105"/>
        <v>0</v>
      </c>
      <c r="DM72" s="460">
        <f t="shared" si="63"/>
        <v>0</v>
      </c>
      <c r="DN72" s="463"/>
      <c r="DO72" s="459">
        <f t="shared" si="68"/>
        <v>0</v>
      </c>
      <c r="DP72" s="459">
        <f t="shared" si="68"/>
        <v>0</v>
      </c>
      <c r="DQ72" s="459">
        <f t="shared" si="68"/>
        <v>0</v>
      </c>
      <c r="DR72" s="459">
        <f t="shared" si="68"/>
        <v>0</v>
      </c>
      <c r="DS72" s="459">
        <f t="shared" si="68"/>
        <v>0</v>
      </c>
      <c r="DT72" s="459">
        <f t="shared" si="66"/>
        <v>0</v>
      </c>
      <c r="DU72" s="459">
        <f t="shared" si="66"/>
        <v>0</v>
      </c>
      <c r="DV72" s="459">
        <f t="shared" si="66"/>
        <v>0</v>
      </c>
      <c r="DW72" s="459">
        <f t="shared" si="66"/>
        <v>0</v>
      </c>
      <c r="DX72" s="459">
        <f t="shared" si="66"/>
        <v>0</v>
      </c>
      <c r="DY72" s="460">
        <f t="shared" si="64"/>
        <v>0</v>
      </c>
      <c r="DZ72" s="463"/>
      <c r="EA72" s="459">
        <f t="shared" si="69"/>
        <v>0</v>
      </c>
      <c r="EB72" s="459">
        <f t="shared" si="69"/>
        <v>0</v>
      </c>
      <c r="EC72" s="459">
        <f t="shared" si="69"/>
        <v>0</v>
      </c>
      <c r="ED72" s="459">
        <f t="shared" si="69"/>
        <v>0</v>
      </c>
      <c r="EE72" s="459">
        <f t="shared" si="69"/>
        <v>0</v>
      </c>
      <c r="EF72" s="459">
        <f t="shared" si="67"/>
        <v>0</v>
      </c>
      <c r="EG72" s="459">
        <f t="shared" si="67"/>
        <v>0</v>
      </c>
      <c r="EH72" s="459">
        <f t="shared" si="67"/>
        <v>0</v>
      </c>
      <c r="EI72" s="459">
        <f t="shared" si="67"/>
        <v>0</v>
      </c>
      <c r="EJ72" s="459">
        <f t="shared" si="67"/>
        <v>0</v>
      </c>
      <c r="EK72" s="460">
        <f t="shared" si="65"/>
        <v>0</v>
      </c>
    </row>
    <row r="73" spans="2:141" s="268" customFormat="1" ht="15" customHeight="1" x14ac:dyDescent="0.25">
      <c r="B73" s="464" t="str">
        <f>'2. START'!C$7</f>
        <v>100GEM</v>
      </c>
      <c r="C73" s="470"/>
      <c r="D73" s="593"/>
      <c r="E73" s="527">
        <v>0</v>
      </c>
      <c r="F73" s="527" t="s">
        <v>36</v>
      </c>
      <c r="G73" s="527"/>
      <c r="H73" s="515"/>
      <c r="I73" s="515"/>
      <c r="J73" s="515"/>
      <c r="K73" s="515"/>
      <c r="L73" s="515"/>
      <c r="M73" s="515"/>
      <c r="N73" s="515"/>
      <c r="O73" s="515"/>
      <c r="P73" s="515"/>
      <c r="Q73" s="515"/>
      <c r="R73" s="442">
        <f t="shared" si="72"/>
        <v>0</v>
      </c>
      <c r="S73" s="516">
        <f>IF('2. START'!$C$20="UTB",(SUMIF('3. PARTNER'!B$13:B$80,B73,'3. PARTNER'!M$13:M$80)),(SUMIF('3. PARTNER'!B$13:B$80,B73,'3. PARTNER'!I$13:I$80)))</f>
        <v>0</v>
      </c>
      <c r="T73" s="516">
        <f>IF('2. START'!$C$20="UTB",(SUMIF('3. PARTNER'!B$13:B$80,B73,'3. PARTNER'!N$13:N$80)),(SUMIF('3. PARTNER'!B$13:B$80,B73,'3. PARTNER'!J$13:J$80)))</f>
        <v>0</v>
      </c>
      <c r="U73" s="517">
        <f>IF(F73="NO",0,IF('2. START'!C$13="PERSON+OPERATION",'2. START'!C$12,0)+IF('2. START'!C$13="PERSON+OPERATION+INVEST+FACILIT",'2. START'!C$12,0))</f>
        <v>0</v>
      </c>
      <c r="W73" s="519">
        <f t="shared" si="73"/>
        <v>0</v>
      </c>
      <c r="X73" s="519">
        <f t="shared" si="74"/>
        <v>0</v>
      </c>
      <c r="Y73" s="519">
        <f t="shared" si="75"/>
        <v>0</v>
      </c>
      <c r="Z73" s="519">
        <f t="shared" si="76"/>
        <v>0</v>
      </c>
      <c r="AA73" s="519">
        <f t="shared" si="77"/>
        <v>0</v>
      </c>
      <c r="AB73" s="519">
        <f t="shared" si="78"/>
        <v>0</v>
      </c>
      <c r="AC73" s="519">
        <f t="shared" si="79"/>
        <v>0</v>
      </c>
      <c r="AD73" s="519">
        <f t="shared" si="80"/>
        <v>0</v>
      </c>
      <c r="AE73" s="519">
        <f t="shared" si="81"/>
        <v>0</v>
      </c>
      <c r="AF73" s="519">
        <f t="shared" si="82"/>
        <v>0</v>
      </c>
      <c r="AG73" s="520">
        <f t="shared" si="51"/>
        <v>0</v>
      </c>
      <c r="AI73" s="519">
        <f t="shared" si="83"/>
        <v>0</v>
      </c>
      <c r="AJ73" s="519">
        <f t="shared" si="84"/>
        <v>0</v>
      </c>
      <c r="AK73" s="519">
        <f t="shared" si="85"/>
        <v>0</v>
      </c>
      <c r="AL73" s="519">
        <f t="shared" si="86"/>
        <v>0</v>
      </c>
      <c r="AM73" s="519">
        <f t="shared" si="87"/>
        <v>0</v>
      </c>
      <c r="AN73" s="519">
        <f t="shared" si="88"/>
        <v>0</v>
      </c>
      <c r="AO73" s="519">
        <f t="shared" si="89"/>
        <v>0</v>
      </c>
      <c r="AP73" s="519">
        <f t="shared" si="90"/>
        <v>0</v>
      </c>
      <c r="AQ73" s="519">
        <f t="shared" si="91"/>
        <v>0</v>
      </c>
      <c r="AR73" s="519">
        <f t="shared" si="92"/>
        <v>0</v>
      </c>
      <c r="AS73" s="520">
        <f t="shared" si="52"/>
        <v>0</v>
      </c>
      <c r="AU73" s="519">
        <f t="shared" si="103"/>
        <v>0</v>
      </c>
      <c r="AV73" s="519">
        <f t="shared" si="103"/>
        <v>0</v>
      </c>
      <c r="AW73" s="519">
        <f t="shared" si="103"/>
        <v>0</v>
      </c>
      <c r="AX73" s="519">
        <f t="shared" si="103"/>
        <v>0</v>
      </c>
      <c r="AY73" s="519">
        <f t="shared" si="103"/>
        <v>0</v>
      </c>
      <c r="AZ73" s="519">
        <f t="shared" si="103"/>
        <v>0</v>
      </c>
      <c r="BA73" s="519">
        <f t="shared" si="103"/>
        <v>0</v>
      </c>
      <c r="BB73" s="519">
        <f t="shared" si="103"/>
        <v>0</v>
      </c>
      <c r="BC73" s="519">
        <f t="shared" si="103"/>
        <v>0</v>
      </c>
      <c r="BD73" s="519">
        <f t="shared" si="103"/>
        <v>0</v>
      </c>
      <c r="BE73" s="520">
        <f t="shared" si="54"/>
        <v>0</v>
      </c>
      <c r="BG73" s="519">
        <f t="shared" si="55"/>
        <v>0</v>
      </c>
      <c r="BH73" s="519">
        <f t="shared" si="55"/>
        <v>0</v>
      </c>
      <c r="BI73" s="519">
        <f t="shared" si="55"/>
        <v>0</v>
      </c>
      <c r="BJ73" s="519">
        <f t="shared" si="55"/>
        <v>0</v>
      </c>
      <c r="BK73" s="519">
        <f t="shared" si="70"/>
        <v>0</v>
      </c>
      <c r="BL73" s="519">
        <f t="shared" si="70"/>
        <v>0</v>
      </c>
      <c r="BM73" s="519">
        <f t="shared" si="70"/>
        <v>0</v>
      </c>
      <c r="BN73" s="519">
        <f t="shared" si="70"/>
        <v>0</v>
      </c>
      <c r="BO73" s="519">
        <f t="shared" si="70"/>
        <v>0</v>
      </c>
      <c r="BP73" s="519">
        <f t="shared" si="70"/>
        <v>0</v>
      </c>
      <c r="BQ73" s="520">
        <f t="shared" si="56"/>
        <v>0</v>
      </c>
      <c r="BS73" s="519">
        <f t="shared" si="104"/>
        <v>0</v>
      </c>
      <c r="BT73" s="519">
        <f t="shared" si="104"/>
        <v>0</v>
      </c>
      <c r="BU73" s="519">
        <f t="shared" si="104"/>
        <v>0</v>
      </c>
      <c r="BV73" s="519">
        <f t="shared" si="104"/>
        <v>0</v>
      </c>
      <c r="BW73" s="519">
        <f t="shared" si="104"/>
        <v>0</v>
      </c>
      <c r="BX73" s="519">
        <f t="shared" si="104"/>
        <v>0</v>
      </c>
      <c r="BY73" s="519">
        <f t="shared" si="104"/>
        <v>0</v>
      </c>
      <c r="BZ73" s="519">
        <f t="shared" si="104"/>
        <v>0</v>
      </c>
      <c r="CA73" s="519">
        <f t="shared" si="104"/>
        <v>0</v>
      </c>
      <c r="CB73" s="519">
        <f t="shared" si="104"/>
        <v>0</v>
      </c>
      <c r="CC73" s="520">
        <f t="shared" si="58"/>
        <v>0</v>
      </c>
      <c r="CE73" s="519">
        <f t="shared" si="59"/>
        <v>0</v>
      </c>
      <c r="CF73" s="519">
        <f t="shared" si="59"/>
        <v>0</v>
      </c>
      <c r="CG73" s="519">
        <f t="shared" si="59"/>
        <v>0</v>
      </c>
      <c r="CH73" s="519">
        <f t="shared" si="59"/>
        <v>0</v>
      </c>
      <c r="CI73" s="519">
        <f t="shared" si="71"/>
        <v>0</v>
      </c>
      <c r="CJ73" s="519">
        <f t="shared" si="71"/>
        <v>0</v>
      </c>
      <c r="CK73" s="519">
        <f t="shared" si="71"/>
        <v>0</v>
      </c>
      <c r="CL73" s="519">
        <f t="shared" si="71"/>
        <v>0</v>
      </c>
      <c r="CM73" s="519">
        <f t="shared" si="71"/>
        <v>0</v>
      </c>
      <c r="CN73" s="519">
        <f t="shared" si="71"/>
        <v>0</v>
      </c>
      <c r="CO73" s="520">
        <f t="shared" si="60"/>
        <v>0</v>
      </c>
      <c r="CQ73" s="519">
        <f t="shared" si="93"/>
        <v>0</v>
      </c>
      <c r="CR73" s="519">
        <f t="shared" si="94"/>
        <v>0</v>
      </c>
      <c r="CS73" s="519">
        <f t="shared" si="95"/>
        <v>0</v>
      </c>
      <c r="CT73" s="519">
        <f t="shared" si="96"/>
        <v>0</v>
      </c>
      <c r="CU73" s="519">
        <f t="shared" si="97"/>
        <v>0</v>
      </c>
      <c r="CV73" s="519">
        <f t="shared" si="98"/>
        <v>0</v>
      </c>
      <c r="CW73" s="519">
        <f t="shared" si="99"/>
        <v>0</v>
      </c>
      <c r="CX73" s="519">
        <f t="shared" si="100"/>
        <v>0</v>
      </c>
      <c r="CY73" s="519">
        <f t="shared" si="101"/>
        <v>0</v>
      </c>
      <c r="CZ73" s="519">
        <f t="shared" si="102"/>
        <v>0</v>
      </c>
      <c r="DA73" s="520">
        <f t="shared" si="61"/>
        <v>0</v>
      </c>
      <c r="DC73" s="519">
        <f t="shared" si="105"/>
        <v>0</v>
      </c>
      <c r="DD73" s="519">
        <f t="shared" si="105"/>
        <v>0</v>
      </c>
      <c r="DE73" s="519">
        <f t="shared" si="105"/>
        <v>0</v>
      </c>
      <c r="DF73" s="519">
        <f t="shared" si="105"/>
        <v>0</v>
      </c>
      <c r="DG73" s="519">
        <f t="shared" si="105"/>
        <v>0</v>
      </c>
      <c r="DH73" s="519">
        <f t="shared" si="105"/>
        <v>0</v>
      </c>
      <c r="DI73" s="519">
        <f t="shared" si="105"/>
        <v>0</v>
      </c>
      <c r="DJ73" s="519">
        <f t="shared" si="105"/>
        <v>0</v>
      </c>
      <c r="DK73" s="519">
        <f t="shared" si="105"/>
        <v>0</v>
      </c>
      <c r="DL73" s="519">
        <f t="shared" si="105"/>
        <v>0</v>
      </c>
      <c r="DM73" s="520">
        <f t="shared" si="63"/>
        <v>0</v>
      </c>
      <c r="DO73" s="519">
        <f t="shared" si="68"/>
        <v>0</v>
      </c>
      <c r="DP73" s="519">
        <f t="shared" si="68"/>
        <v>0</v>
      </c>
      <c r="DQ73" s="519">
        <f t="shared" si="68"/>
        <v>0</v>
      </c>
      <c r="DR73" s="519">
        <f t="shared" si="68"/>
        <v>0</v>
      </c>
      <c r="DS73" s="519">
        <f t="shared" si="68"/>
        <v>0</v>
      </c>
      <c r="DT73" s="519">
        <f t="shared" si="66"/>
        <v>0</v>
      </c>
      <c r="DU73" s="519">
        <f t="shared" si="66"/>
        <v>0</v>
      </c>
      <c r="DV73" s="519">
        <f t="shared" si="66"/>
        <v>0</v>
      </c>
      <c r="DW73" s="519">
        <f t="shared" si="66"/>
        <v>0</v>
      </c>
      <c r="DX73" s="519">
        <f t="shared" si="66"/>
        <v>0</v>
      </c>
      <c r="DY73" s="520">
        <f t="shared" si="64"/>
        <v>0</v>
      </c>
      <c r="EA73" s="519">
        <f t="shared" si="69"/>
        <v>0</v>
      </c>
      <c r="EB73" s="519">
        <f t="shared" si="69"/>
        <v>0</v>
      </c>
      <c r="EC73" s="519">
        <f t="shared" si="69"/>
        <v>0</v>
      </c>
      <c r="ED73" s="519">
        <f t="shared" si="69"/>
        <v>0</v>
      </c>
      <c r="EE73" s="519">
        <f t="shared" si="69"/>
        <v>0</v>
      </c>
      <c r="EF73" s="519">
        <f t="shared" si="67"/>
        <v>0</v>
      </c>
      <c r="EG73" s="519">
        <f t="shared" si="67"/>
        <v>0</v>
      </c>
      <c r="EH73" s="519">
        <f t="shared" si="67"/>
        <v>0</v>
      </c>
      <c r="EI73" s="519">
        <f t="shared" si="67"/>
        <v>0</v>
      </c>
      <c r="EJ73" s="519">
        <f t="shared" si="67"/>
        <v>0</v>
      </c>
      <c r="EK73" s="520">
        <f t="shared" si="65"/>
        <v>0</v>
      </c>
    </row>
    <row r="74" spans="2:141" s="268" customFormat="1" ht="15" customHeight="1" x14ac:dyDescent="0.25">
      <c r="B74" s="446" t="str">
        <f>'2. START'!C$7</f>
        <v>100GEM</v>
      </c>
      <c r="C74" s="469"/>
      <c r="D74" s="594"/>
      <c r="E74" s="522">
        <v>0</v>
      </c>
      <c r="F74" s="522" t="s">
        <v>36</v>
      </c>
      <c r="G74" s="522"/>
      <c r="H74" s="523"/>
      <c r="I74" s="523"/>
      <c r="J74" s="523"/>
      <c r="K74" s="523"/>
      <c r="L74" s="523"/>
      <c r="M74" s="523"/>
      <c r="N74" s="523"/>
      <c r="O74" s="523"/>
      <c r="P74" s="523"/>
      <c r="Q74" s="523"/>
      <c r="R74" s="459">
        <f t="shared" si="72"/>
        <v>0</v>
      </c>
      <c r="S74" s="524">
        <f>IF('2. START'!$C$20="UTB",(SUMIF('3. PARTNER'!B$13:B$80,B74,'3. PARTNER'!M$13:M$80)),(SUMIF('3. PARTNER'!B$13:B$80,B74,'3. PARTNER'!I$13:I$80)))</f>
        <v>0</v>
      </c>
      <c r="T74" s="524">
        <f>IF('2. START'!$C$20="UTB",(SUMIF('3. PARTNER'!B$13:B$80,B74,'3. PARTNER'!N$13:N$80)),(SUMIF('3. PARTNER'!B$13:B$80,B74,'3. PARTNER'!J$13:J$80)))</f>
        <v>0</v>
      </c>
      <c r="U74" s="454">
        <f>IF(F74="NO",0,IF('2. START'!C$13="PERSON+OPERATION",'2. START'!C$12,0)+IF('2. START'!C$13="PERSON+OPERATION+INVEST+FACILIT",'2. START'!C$12,0))</f>
        <v>0</v>
      </c>
      <c r="V74" s="463"/>
      <c r="W74" s="459">
        <f t="shared" si="73"/>
        <v>0</v>
      </c>
      <c r="X74" s="459">
        <f t="shared" si="74"/>
        <v>0</v>
      </c>
      <c r="Y74" s="459">
        <f t="shared" si="75"/>
        <v>0</v>
      </c>
      <c r="Z74" s="459">
        <f t="shared" si="76"/>
        <v>0</v>
      </c>
      <c r="AA74" s="459">
        <f t="shared" si="77"/>
        <v>0</v>
      </c>
      <c r="AB74" s="459">
        <f t="shared" si="78"/>
        <v>0</v>
      </c>
      <c r="AC74" s="459">
        <f t="shared" si="79"/>
        <v>0</v>
      </c>
      <c r="AD74" s="459">
        <f t="shared" si="80"/>
        <v>0</v>
      </c>
      <c r="AE74" s="459">
        <f t="shared" si="81"/>
        <v>0</v>
      </c>
      <c r="AF74" s="459">
        <f t="shared" si="82"/>
        <v>0</v>
      </c>
      <c r="AG74" s="460">
        <f t="shared" si="51"/>
        <v>0</v>
      </c>
      <c r="AH74" s="463"/>
      <c r="AI74" s="459">
        <f t="shared" si="83"/>
        <v>0</v>
      </c>
      <c r="AJ74" s="459">
        <f t="shared" si="84"/>
        <v>0</v>
      </c>
      <c r="AK74" s="459">
        <f t="shared" si="85"/>
        <v>0</v>
      </c>
      <c r="AL74" s="459">
        <f t="shared" si="86"/>
        <v>0</v>
      </c>
      <c r="AM74" s="459">
        <f t="shared" si="87"/>
        <v>0</v>
      </c>
      <c r="AN74" s="459">
        <f t="shared" si="88"/>
        <v>0</v>
      </c>
      <c r="AO74" s="459">
        <f t="shared" si="89"/>
        <v>0</v>
      </c>
      <c r="AP74" s="459">
        <f t="shared" si="90"/>
        <v>0</v>
      </c>
      <c r="AQ74" s="459">
        <f t="shared" si="91"/>
        <v>0</v>
      </c>
      <c r="AR74" s="459">
        <f t="shared" si="92"/>
        <v>0</v>
      </c>
      <c r="AS74" s="460">
        <f t="shared" si="52"/>
        <v>0</v>
      </c>
      <c r="AT74" s="463"/>
      <c r="AU74" s="459">
        <f t="shared" si="103"/>
        <v>0</v>
      </c>
      <c r="AV74" s="459">
        <f t="shared" si="103"/>
        <v>0</v>
      </c>
      <c r="AW74" s="459">
        <f t="shared" si="103"/>
        <v>0</v>
      </c>
      <c r="AX74" s="459">
        <f t="shared" si="103"/>
        <v>0</v>
      </c>
      <c r="AY74" s="459">
        <f t="shared" si="103"/>
        <v>0</v>
      </c>
      <c r="AZ74" s="459">
        <f t="shared" si="103"/>
        <v>0</v>
      </c>
      <c r="BA74" s="459">
        <f t="shared" si="103"/>
        <v>0</v>
      </c>
      <c r="BB74" s="459">
        <f t="shared" si="103"/>
        <v>0</v>
      </c>
      <c r="BC74" s="459">
        <f t="shared" si="103"/>
        <v>0</v>
      </c>
      <c r="BD74" s="459">
        <f t="shared" si="103"/>
        <v>0</v>
      </c>
      <c r="BE74" s="460">
        <f t="shared" si="54"/>
        <v>0</v>
      </c>
      <c r="BF74" s="463"/>
      <c r="BG74" s="459">
        <f t="shared" si="55"/>
        <v>0</v>
      </c>
      <c r="BH74" s="459">
        <f t="shared" si="55"/>
        <v>0</v>
      </c>
      <c r="BI74" s="459">
        <f t="shared" si="55"/>
        <v>0</v>
      </c>
      <c r="BJ74" s="459">
        <f t="shared" si="55"/>
        <v>0</v>
      </c>
      <c r="BK74" s="459">
        <f t="shared" si="70"/>
        <v>0</v>
      </c>
      <c r="BL74" s="459">
        <f t="shared" si="70"/>
        <v>0</v>
      </c>
      <c r="BM74" s="459">
        <f t="shared" si="70"/>
        <v>0</v>
      </c>
      <c r="BN74" s="459">
        <f t="shared" si="70"/>
        <v>0</v>
      </c>
      <c r="BO74" s="459">
        <f t="shared" si="70"/>
        <v>0</v>
      </c>
      <c r="BP74" s="459">
        <f t="shared" si="70"/>
        <v>0</v>
      </c>
      <c r="BQ74" s="460">
        <f t="shared" si="56"/>
        <v>0</v>
      </c>
      <c r="BR74" s="463"/>
      <c r="BS74" s="459">
        <f t="shared" si="104"/>
        <v>0</v>
      </c>
      <c r="BT74" s="459">
        <f t="shared" si="104"/>
        <v>0</v>
      </c>
      <c r="BU74" s="459">
        <f t="shared" si="104"/>
        <v>0</v>
      </c>
      <c r="BV74" s="459">
        <f t="shared" si="104"/>
        <v>0</v>
      </c>
      <c r="BW74" s="459">
        <f t="shared" si="104"/>
        <v>0</v>
      </c>
      <c r="BX74" s="459">
        <f t="shared" si="104"/>
        <v>0</v>
      </c>
      <c r="BY74" s="459">
        <f t="shared" si="104"/>
        <v>0</v>
      </c>
      <c r="BZ74" s="459">
        <f t="shared" si="104"/>
        <v>0</v>
      </c>
      <c r="CA74" s="459">
        <f t="shared" si="104"/>
        <v>0</v>
      </c>
      <c r="CB74" s="459">
        <f t="shared" si="104"/>
        <v>0</v>
      </c>
      <c r="CC74" s="460">
        <f t="shared" si="58"/>
        <v>0</v>
      </c>
      <c r="CD74" s="463"/>
      <c r="CE74" s="459">
        <f t="shared" si="59"/>
        <v>0</v>
      </c>
      <c r="CF74" s="459">
        <f t="shared" si="59"/>
        <v>0</v>
      </c>
      <c r="CG74" s="459">
        <f t="shared" si="59"/>
        <v>0</v>
      </c>
      <c r="CH74" s="459">
        <f t="shared" si="59"/>
        <v>0</v>
      </c>
      <c r="CI74" s="459">
        <f t="shared" si="71"/>
        <v>0</v>
      </c>
      <c r="CJ74" s="459">
        <f t="shared" si="71"/>
        <v>0</v>
      </c>
      <c r="CK74" s="459">
        <f t="shared" si="71"/>
        <v>0</v>
      </c>
      <c r="CL74" s="459">
        <f t="shared" si="71"/>
        <v>0</v>
      </c>
      <c r="CM74" s="459">
        <f t="shared" si="71"/>
        <v>0</v>
      </c>
      <c r="CN74" s="459">
        <f t="shared" si="71"/>
        <v>0</v>
      </c>
      <c r="CO74" s="460">
        <f t="shared" si="60"/>
        <v>0</v>
      </c>
      <c r="CP74" s="463"/>
      <c r="CQ74" s="459">
        <f t="shared" si="93"/>
        <v>0</v>
      </c>
      <c r="CR74" s="459">
        <f t="shared" si="94"/>
        <v>0</v>
      </c>
      <c r="CS74" s="459">
        <f t="shared" si="95"/>
        <v>0</v>
      </c>
      <c r="CT74" s="459">
        <f t="shared" si="96"/>
        <v>0</v>
      </c>
      <c r="CU74" s="459">
        <f t="shared" si="97"/>
        <v>0</v>
      </c>
      <c r="CV74" s="459">
        <f t="shared" si="98"/>
        <v>0</v>
      </c>
      <c r="CW74" s="459">
        <f t="shared" si="99"/>
        <v>0</v>
      </c>
      <c r="CX74" s="459">
        <f t="shared" si="100"/>
        <v>0</v>
      </c>
      <c r="CY74" s="459">
        <f t="shared" si="101"/>
        <v>0</v>
      </c>
      <c r="CZ74" s="459">
        <f t="shared" si="102"/>
        <v>0</v>
      </c>
      <c r="DA74" s="460">
        <f t="shared" si="61"/>
        <v>0</v>
      </c>
      <c r="DB74" s="463"/>
      <c r="DC74" s="459">
        <f t="shared" si="105"/>
        <v>0</v>
      </c>
      <c r="DD74" s="459">
        <f t="shared" si="105"/>
        <v>0</v>
      </c>
      <c r="DE74" s="459">
        <f t="shared" si="105"/>
        <v>0</v>
      </c>
      <c r="DF74" s="459">
        <f t="shared" si="105"/>
        <v>0</v>
      </c>
      <c r="DG74" s="459">
        <f t="shared" si="105"/>
        <v>0</v>
      </c>
      <c r="DH74" s="459">
        <f t="shared" si="105"/>
        <v>0</v>
      </c>
      <c r="DI74" s="459">
        <f t="shared" si="105"/>
        <v>0</v>
      </c>
      <c r="DJ74" s="459">
        <f t="shared" si="105"/>
        <v>0</v>
      </c>
      <c r="DK74" s="459">
        <f t="shared" si="105"/>
        <v>0</v>
      </c>
      <c r="DL74" s="459">
        <f t="shared" si="105"/>
        <v>0</v>
      </c>
      <c r="DM74" s="460">
        <f t="shared" si="63"/>
        <v>0</v>
      </c>
      <c r="DN74" s="463"/>
      <c r="DO74" s="459">
        <f t="shared" si="68"/>
        <v>0</v>
      </c>
      <c r="DP74" s="459">
        <f t="shared" si="68"/>
        <v>0</v>
      </c>
      <c r="DQ74" s="459">
        <f t="shared" si="68"/>
        <v>0</v>
      </c>
      <c r="DR74" s="459">
        <f t="shared" si="68"/>
        <v>0</v>
      </c>
      <c r="DS74" s="459">
        <f t="shared" si="68"/>
        <v>0</v>
      </c>
      <c r="DT74" s="459">
        <f t="shared" si="68"/>
        <v>0</v>
      </c>
      <c r="DU74" s="459">
        <f t="shared" si="68"/>
        <v>0</v>
      </c>
      <c r="DV74" s="459">
        <f t="shared" si="68"/>
        <v>0</v>
      </c>
      <c r="DW74" s="459">
        <f t="shared" si="68"/>
        <v>0</v>
      </c>
      <c r="DX74" s="459">
        <f t="shared" si="68"/>
        <v>0</v>
      </c>
      <c r="DY74" s="460">
        <f t="shared" si="64"/>
        <v>0</v>
      </c>
      <c r="DZ74" s="463"/>
      <c r="EA74" s="459">
        <f t="shared" si="69"/>
        <v>0</v>
      </c>
      <c r="EB74" s="459">
        <f t="shared" si="69"/>
        <v>0</v>
      </c>
      <c r="EC74" s="459">
        <f t="shared" si="69"/>
        <v>0</v>
      </c>
      <c r="ED74" s="459">
        <f t="shared" si="69"/>
        <v>0</v>
      </c>
      <c r="EE74" s="459">
        <f t="shared" si="69"/>
        <v>0</v>
      </c>
      <c r="EF74" s="459">
        <f t="shared" si="69"/>
        <v>0</v>
      </c>
      <c r="EG74" s="459">
        <f t="shared" si="69"/>
        <v>0</v>
      </c>
      <c r="EH74" s="459">
        <f t="shared" si="69"/>
        <v>0</v>
      </c>
      <c r="EI74" s="459">
        <f t="shared" si="69"/>
        <v>0</v>
      </c>
      <c r="EJ74" s="459">
        <f t="shared" si="69"/>
        <v>0</v>
      </c>
      <c r="EK74" s="460">
        <f t="shared" si="65"/>
        <v>0</v>
      </c>
    </row>
    <row r="75" spans="2:141" s="268" customFormat="1" ht="15" customHeight="1" x14ac:dyDescent="0.25">
      <c r="B75" s="464" t="str">
        <f>'2. START'!C$7</f>
        <v>100GEM</v>
      </c>
      <c r="C75" s="470"/>
      <c r="D75" s="593"/>
      <c r="E75" s="527">
        <v>0</v>
      </c>
      <c r="F75" s="527" t="s">
        <v>36</v>
      </c>
      <c r="G75" s="527"/>
      <c r="H75" s="515"/>
      <c r="I75" s="515"/>
      <c r="J75" s="515"/>
      <c r="K75" s="515"/>
      <c r="L75" s="515"/>
      <c r="M75" s="515"/>
      <c r="N75" s="515"/>
      <c r="O75" s="515"/>
      <c r="P75" s="515"/>
      <c r="Q75" s="515"/>
      <c r="R75" s="442">
        <f t="shared" si="72"/>
        <v>0</v>
      </c>
      <c r="S75" s="516">
        <f>IF('2. START'!$C$20="UTB",(SUMIF('3. PARTNER'!B$13:B$80,B75,'3. PARTNER'!M$13:M$80)),(SUMIF('3. PARTNER'!B$13:B$80,B75,'3. PARTNER'!I$13:I$80)))</f>
        <v>0</v>
      </c>
      <c r="T75" s="516">
        <f>IF('2. START'!$C$20="UTB",(SUMIF('3. PARTNER'!B$13:B$80,B75,'3. PARTNER'!N$13:N$80)),(SUMIF('3. PARTNER'!B$13:B$80,B75,'3. PARTNER'!J$13:J$80)))</f>
        <v>0</v>
      </c>
      <c r="U75" s="517">
        <f>IF(F75="NO",0,IF('2. START'!C$13="PERSON+OPERATION",'2. START'!C$12,0)+IF('2. START'!C$13="PERSON+OPERATION+INVEST+FACILIT",'2. START'!C$12,0))</f>
        <v>0</v>
      </c>
      <c r="W75" s="519">
        <f t="shared" si="73"/>
        <v>0</v>
      </c>
      <c r="X75" s="519">
        <f t="shared" si="74"/>
        <v>0</v>
      </c>
      <c r="Y75" s="519">
        <f t="shared" si="75"/>
        <v>0</v>
      </c>
      <c r="Z75" s="519">
        <f t="shared" si="76"/>
        <v>0</v>
      </c>
      <c r="AA75" s="519">
        <f t="shared" si="77"/>
        <v>0</v>
      </c>
      <c r="AB75" s="519">
        <f t="shared" si="78"/>
        <v>0</v>
      </c>
      <c r="AC75" s="519">
        <f t="shared" si="79"/>
        <v>0</v>
      </c>
      <c r="AD75" s="519">
        <f t="shared" si="80"/>
        <v>0</v>
      </c>
      <c r="AE75" s="519">
        <f t="shared" si="81"/>
        <v>0</v>
      </c>
      <c r="AF75" s="519">
        <f t="shared" si="82"/>
        <v>0</v>
      </c>
      <c r="AG75" s="520">
        <f t="shared" si="51"/>
        <v>0</v>
      </c>
      <c r="AI75" s="519">
        <f t="shared" si="83"/>
        <v>0</v>
      </c>
      <c r="AJ75" s="519">
        <f t="shared" si="84"/>
        <v>0</v>
      </c>
      <c r="AK75" s="519">
        <f t="shared" si="85"/>
        <v>0</v>
      </c>
      <c r="AL75" s="519">
        <f t="shared" si="86"/>
        <v>0</v>
      </c>
      <c r="AM75" s="519">
        <f t="shared" si="87"/>
        <v>0</v>
      </c>
      <c r="AN75" s="519">
        <f t="shared" si="88"/>
        <v>0</v>
      </c>
      <c r="AO75" s="519">
        <f t="shared" si="89"/>
        <v>0</v>
      </c>
      <c r="AP75" s="519">
        <f t="shared" si="90"/>
        <v>0</v>
      </c>
      <c r="AQ75" s="519">
        <f t="shared" si="91"/>
        <v>0</v>
      </c>
      <c r="AR75" s="519">
        <f t="shared" si="92"/>
        <v>0</v>
      </c>
      <c r="AS75" s="520">
        <f t="shared" si="52"/>
        <v>0</v>
      </c>
      <c r="AU75" s="519">
        <f t="shared" si="103"/>
        <v>0</v>
      </c>
      <c r="AV75" s="519">
        <f t="shared" si="103"/>
        <v>0</v>
      </c>
      <c r="AW75" s="519">
        <f t="shared" si="103"/>
        <v>0</v>
      </c>
      <c r="AX75" s="519">
        <f t="shared" si="103"/>
        <v>0</v>
      </c>
      <c r="AY75" s="519">
        <f t="shared" si="103"/>
        <v>0</v>
      </c>
      <c r="AZ75" s="519">
        <f t="shared" si="103"/>
        <v>0</v>
      </c>
      <c r="BA75" s="519">
        <f t="shared" si="103"/>
        <v>0</v>
      </c>
      <c r="BB75" s="519">
        <f t="shared" si="103"/>
        <v>0</v>
      </c>
      <c r="BC75" s="519">
        <f t="shared" si="103"/>
        <v>0</v>
      </c>
      <c r="BD75" s="519">
        <f t="shared" si="103"/>
        <v>0</v>
      </c>
      <c r="BE75" s="520">
        <f t="shared" si="54"/>
        <v>0</v>
      </c>
      <c r="BG75" s="519">
        <f t="shared" si="55"/>
        <v>0</v>
      </c>
      <c r="BH75" s="519">
        <f t="shared" si="55"/>
        <v>0</v>
      </c>
      <c r="BI75" s="519">
        <f t="shared" si="55"/>
        <v>0</v>
      </c>
      <c r="BJ75" s="519">
        <f t="shared" si="55"/>
        <v>0</v>
      </c>
      <c r="BK75" s="519">
        <f t="shared" si="70"/>
        <v>0</v>
      </c>
      <c r="BL75" s="519">
        <f t="shared" si="70"/>
        <v>0</v>
      </c>
      <c r="BM75" s="519">
        <f t="shared" si="70"/>
        <v>0</v>
      </c>
      <c r="BN75" s="519">
        <f t="shared" si="70"/>
        <v>0</v>
      </c>
      <c r="BO75" s="519">
        <f t="shared" si="70"/>
        <v>0</v>
      </c>
      <c r="BP75" s="519">
        <f t="shared" si="70"/>
        <v>0</v>
      </c>
      <c r="BQ75" s="520">
        <f t="shared" si="56"/>
        <v>0</v>
      </c>
      <c r="BS75" s="519">
        <f t="shared" si="104"/>
        <v>0</v>
      </c>
      <c r="BT75" s="519">
        <f t="shared" si="104"/>
        <v>0</v>
      </c>
      <c r="BU75" s="519">
        <f t="shared" si="104"/>
        <v>0</v>
      </c>
      <c r="BV75" s="519">
        <f t="shared" si="104"/>
        <v>0</v>
      </c>
      <c r="BW75" s="519">
        <f t="shared" si="104"/>
        <v>0</v>
      </c>
      <c r="BX75" s="519">
        <f t="shared" si="104"/>
        <v>0</v>
      </c>
      <c r="BY75" s="519">
        <f t="shared" si="104"/>
        <v>0</v>
      </c>
      <c r="BZ75" s="519">
        <f t="shared" si="104"/>
        <v>0</v>
      </c>
      <c r="CA75" s="519">
        <f t="shared" si="104"/>
        <v>0</v>
      </c>
      <c r="CB75" s="519">
        <f t="shared" si="104"/>
        <v>0</v>
      </c>
      <c r="CC75" s="520">
        <f t="shared" si="58"/>
        <v>0</v>
      </c>
      <c r="CE75" s="519">
        <f t="shared" si="59"/>
        <v>0</v>
      </c>
      <c r="CF75" s="519">
        <f t="shared" si="59"/>
        <v>0</v>
      </c>
      <c r="CG75" s="519">
        <f t="shared" si="59"/>
        <v>0</v>
      </c>
      <c r="CH75" s="519">
        <f t="shared" si="59"/>
        <v>0</v>
      </c>
      <c r="CI75" s="519">
        <f t="shared" si="71"/>
        <v>0</v>
      </c>
      <c r="CJ75" s="519">
        <f t="shared" si="71"/>
        <v>0</v>
      </c>
      <c r="CK75" s="519">
        <f t="shared" si="71"/>
        <v>0</v>
      </c>
      <c r="CL75" s="519">
        <f t="shared" si="71"/>
        <v>0</v>
      </c>
      <c r="CM75" s="519">
        <f t="shared" si="71"/>
        <v>0</v>
      </c>
      <c r="CN75" s="519">
        <f t="shared" si="71"/>
        <v>0</v>
      </c>
      <c r="CO75" s="520">
        <f t="shared" si="60"/>
        <v>0</v>
      </c>
      <c r="CQ75" s="519">
        <f t="shared" si="93"/>
        <v>0</v>
      </c>
      <c r="CR75" s="519">
        <f t="shared" si="94"/>
        <v>0</v>
      </c>
      <c r="CS75" s="519">
        <f t="shared" si="95"/>
        <v>0</v>
      </c>
      <c r="CT75" s="519">
        <f t="shared" si="96"/>
        <v>0</v>
      </c>
      <c r="CU75" s="519">
        <f t="shared" si="97"/>
        <v>0</v>
      </c>
      <c r="CV75" s="519">
        <f t="shared" si="98"/>
        <v>0</v>
      </c>
      <c r="CW75" s="519">
        <f t="shared" si="99"/>
        <v>0</v>
      </c>
      <c r="CX75" s="519">
        <f t="shared" si="100"/>
        <v>0</v>
      </c>
      <c r="CY75" s="519">
        <f t="shared" si="101"/>
        <v>0</v>
      </c>
      <c r="CZ75" s="519">
        <f t="shared" si="102"/>
        <v>0</v>
      </c>
      <c r="DA75" s="520">
        <f t="shared" si="61"/>
        <v>0</v>
      </c>
      <c r="DC75" s="519">
        <f t="shared" si="105"/>
        <v>0</v>
      </c>
      <c r="DD75" s="519">
        <f t="shared" si="105"/>
        <v>0</v>
      </c>
      <c r="DE75" s="519">
        <f t="shared" si="105"/>
        <v>0</v>
      </c>
      <c r="DF75" s="519">
        <f t="shared" si="105"/>
        <v>0</v>
      </c>
      <c r="DG75" s="519">
        <f t="shared" si="105"/>
        <v>0</v>
      </c>
      <c r="DH75" s="519">
        <f t="shared" si="105"/>
        <v>0</v>
      </c>
      <c r="DI75" s="519">
        <f t="shared" si="105"/>
        <v>0</v>
      </c>
      <c r="DJ75" s="519">
        <f t="shared" si="105"/>
        <v>0</v>
      </c>
      <c r="DK75" s="519">
        <f t="shared" si="105"/>
        <v>0</v>
      </c>
      <c r="DL75" s="519">
        <f t="shared" si="105"/>
        <v>0</v>
      </c>
      <c r="DM75" s="520">
        <f t="shared" si="63"/>
        <v>0</v>
      </c>
      <c r="DO75" s="519">
        <f t="shared" ref="DO75:DX149" si="106">W75+AU75+BS75</f>
        <v>0</v>
      </c>
      <c r="DP75" s="519">
        <f t="shared" si="106"/>
        <v>0</v>
      </c>
      <c r="DQ75" s="519">
        <f t="shared" si="106"/>
        <v>0</v>
      </c>
      <c r="DR75" s="519">
        <f t="shared" si="106"/>
        <v>0</v>
      </c>
      <c r="DS75" s="519">
        <f t="shared" si="106"/>
        <v>0</v>
      </c>
      <c r="DT75" s="519">
        <f t="shared" si="106"/>
        <v>0</v>
      </c>
      <c r="DU75" s="519">
        <f t="shared" si="106"/>
        <v>0</v>
      </c>
      <c r="DV75" s="519">
        <f t="shared" si="106"/>
        <v>0</v>
      </c>
      <c r="DW75" s="519">
        <f t="shared" si="106"/>
        <v>0</v>
      </c>
      <c r="DX75" s="519">
        <f t="shared" si="106"/>
        <v>0</v>
      </c>
      <c r="DY75" s="520">
        <f t="shared" si="64"/>
        <v>0</v>
      </c>
      <c r="EA75" s="519">
        <f t="shared" ref="EA75:EJ149" si="107">AI75+BG75+CE75</f>
        <v>0</v>
      </c>
      <c r="EB75" s="519">
        <f t="shared" si="107"/>
        <v>0</v>
      </c>
      <c r="EC75" s="519">
        <f t="shared" si="107"/>
        <v>0</v>
      </c>
      <c r="ED75" s="519">
        <f t="shared" si="107"/>
        <v>0</v>
      </c>
      <c r="EE75" s="519">
        <f t="shared" si="107"/>
        <v>0</v>
      </c>
      <c r="EF75" s="519">
        <f t="shared" si="107"/>
        <v>0</v>
      </c>
      <c r="EG75" s="519">
        <f t="shared" si="107"/>
        <v>0</v>
      </c>
      <c r="EH75" s="519">
        <f t="shared" si="107"/>
        <v>0</v>
      </c>
      <c r="EI75" s="519">
        <f t="shared" si="107"/>
        <v>0</v>
      </c>
      <c r="EJ75" s="519">
        <f t="shared" si="107"/>
        <v>0</v>
      </c>
      <c r="EK75" s="520">
        <f t="shared" si="65"/>
        <v>0</v>
      </c>
    </row>
    <row r="76" spans="2:141" s="268" customFormat="1" ht="15" customHeight="1" x14ac:dyDescent="0.25">
      <c r="B76" s="446" t="str">
        <f>'2. START'!C$7</f>
        <v>100GEM</v>
      </c>
      <c r="C76" s="469"/>
      <c r="D76" s="594"/>
      <c r="E76" s="522">
        <v>0</v>
      </c>
      <c r="F76" s="522" t="s">
        <v>36</v>
      </c>
      <c r="G76" s="522"/>
      <c r="H76" s="523"/>
      <c r="I76" s="523"/>
      <c r="J76" s="523"/>
      <c r="K76" s="523"/>
      <c r="L76" s="523"/>
      <c r="M76" s="523"/>
      <c r="N76" s="523"/>
      <c r="O76" s="523"/>
      <c r="P76" s="523"/>
      <c r="Q76" s="523"/>
      <c r="R76" s="459">
        <f t="shared" si="72"/>
        <v>0</v>
      </c>
      <c r="S76" s="524">
        <f>IF('2. START'!$C$20="UTB",(SUMIF('3. PARTNER'!B$13:B$80,B76,'3. PARTNER'!M$13:M$80)),(SUMIF('3. PARTNER'!B$13:B$80,B76,'3. PARTNER'!I$13:I$80)))</f>
        <v>0</v>
      </c>
      <c r="T76" s="524">
        <f>IF('2. START'!$C$20="UTB",(SUMIF('3. PARTNER'!B$13:B$80,B76,'3. PARTNER'!N$13:N$80)),(SUMIF('3. PARTNER'!B$13:B$80,B76,'3. PARTNER'!J$13:J$80)))</f>
        <v>0</v>
      </c>
      <c r="U76" s="454">
        <f>IF(F76="NO",0,IF('2. START'!C$13="PERSON+OPERATION",'2. START'!C$12,0)+IF('2. START'!C$13="PERSON+OPERATION+INVEST+FACILIT",'2. START'!C$12,0))</f>
        <v>0</v>
      </c>
      <c r="V76" s="463"/>
      <c r="W76" s="459">
        <f t="shared" si="73"/>
        <v>0</v>
      </c>
      <c r="X76" s="459">
        <f t="shared" si="74"/>
        <v>0</v>
      </c>
      <c r="Y76" s="459">
        <f t="shared" si="75"/>
        <v>0</v>
      </c>
      <c r="Z76" s="459">
        <f t="shared" si="76"/>
        <v>0</v>
      </c>
      <c r="AA76" s="459">
        <f t="shared" si="77"/>
        <v>0</v>
      </c>
      <c r="AB76" s="459">
        <f t="shared" si="78"/>
        <v>0</v>
      </c>
      <c r="AC76" s="459">
        <f t="shared" si="79"/>
        <v>0</v>
      </c>
      <c r="AD76" s="459">
        <f t="shared" si="80"/>
        <v>0</v>
      </c>
      <c r="AE76" s="459">
        <f t="shared" si="81"/>
        <v>0</v>
      </c>
      <c r="AF76" s="459">
        <f t="shared" si="82"/>
        <v>0</v>
      </c>
      <c r="AG76" s="460">
        <f t="shared" si="51"/>
        <v>0</v>
      </c>
      <c r="AH76" s="463"/>
      <c r="AI76" s="459">
        <f t="shared" si="83"/>
        <v>0</v>
      </c>
      <c r="AJ76" s="459">
        <f t="shared" si="84"/>
        <v>0</v>
      </c>
      <c r="AK76" s="459">
        <f t="shared" si="85"/>
        <v>0</v>
      </c>
      <c r="AL76" s="459">
        <f t="shared" si="86"/>
        <v>0</v>
      </c>
      <c r="AM76" s="459">
        <f t="shared" si="87"/>
        <v>0</v>
      </c>
      <c r="AN76" s="459">
        <f t="shared" si="88"/>
        <v>0</v>
      </c>
      <c r="AO76" s="459">
        <f t="shared" si="89"/>
        <v>0</v>
      </c>
      <c r="AP76" s="459">
        <f t="shared" si="90"/>
        <v>0</v>
      </c>
      <c r="AQ76" s="459">
        <f t="shared" si="91"/>
        <v>0</v>
      </c>
      <c r="AR76" s="459">
        <f t="shared" si="92"/>
        <v>0</v>
      </c>
      <c r="AS76" s="460">
        <f t="shared" si="52"/>
        <v>0</v>
      </c>
      <c r="AT76" s="463"/>
      <c r="AU76" s="459">
        <f t="shared" si="103"/>
        <v>0</v>
      </c>
      <c r="AV76" s="459">
        <f t="shared" si="103"/>
        <v>0</v>
      </c>
      <c r="AW76" s="459">
        <f t="shared" si="103"/>
        <v>0</v>
      </c>
      <c r="AX76" s="459">
        <f t="shared" si="103"/>
        <v>0</v>
      </c>
      <c r="AY76" s="459">
        <f t="shared" si="103"/>
        <v>0</v>
      </c>
      <c r="AZ76" s="459">
        <f t="shared" si="103"/>
        <v>0</v>
      </c>
      <c r="BA76" s="459">
        <f t="shared" si="103"/>
        <v>0</v>
      </c>
      <c r="BB76" s="459">
        <f t="shared" si="103"/>
        <v>0</v>
      </c>
      <c r="BC76" s="459">
        <f t="shared" si="103"/>
        <v>0</v>
      </c>
      <c r="BD76" s="459">
        <f t="shared" si="103"/>
        <v>0</v>
      </c>
      <c r="BE76" s="460">
        <f t="shared" si="54"/>
        <v>0</v>
      </c>
      <c r="BF76" s="463"/>
      <c r="BG76" s="459">
        <f t="shared" si="55"/>
        <v>0</v>
      </c>
      <c r="BH76" s="459">
        <f t="shared" si="55"/>
        <v>0</v>
      </c>
      <c r="BI76" s="459">
        <f t="shared" si="55"/>
        <v>0</v>
      </c>
      <c r="BJ76" s="459">
        <f t="shared" si="55"/>
        <v>0</v>
      </c>
      <c r="BK76" s="459">
        <f t="shared" si="70"/>
        <v>0</v>
      </c>
      <c r="BL76" s="459">
        <f t="shared" si="70"/>
        <v>0</v>
      </c>
      <c r="BM76" s="459">
        <f t="shared" si="70"/>
        <v>0</v>
      </c>
      <c r="BN76" s="459">
        <f t="shared" si="70"/>
        <v>0</v>
      </c>
      <c r="BO76" s="459">
        <f t="shared" si="70"/>
        <v>0</v>
      </c>
      <c r="BP76" s="459">
        <f t="shared" si="70"/>
        <v>0</v>
      </c>
      <c r="BQ76" s="460">
        <f t="shared" si="56"/>
        <v>0</v>
      </c>
      <c r="BR76" s="463"/>
      <c r="BS76" s="459">
        <f t="shared" si="104"/>
        <v>0</v>
      </c>
      <c r="BT76" s="459">
        <f t="shared" si="104"/>
        <v>0</v>
      </c>
      <c r="BU76" s="459">
        <f t="shared" si="104"/>
        <v>0</v>
      </c>
      <c r="BV76" s="459">
        <f t="shared" si="104"/>
        <v>0</v>
      </c>
      <c r="BW76" s="459">
        <f t="shared" si="104"/>
        <v>0</v>
      </c>
      <c r="BX76" s="459">
        <f t="shared" si="104"/>
        <v>0</v>
      </c>
      <c r="BY76" s="459">
        <f t="shared" si="104"/>
        <v>0</v>
      </c>
      <c r="BZ76" s="459">
        <f t="shared" si="104"/>
        <v>0</v>
      </c>
      <c r="CA76" s="459">
        <f t="shared" si="104"/>
        <v>0</v>
      </c>
      <c r="CB76" s="459">
        <f t="shared" si="104"/>
        <v>0</v>
      </c>
      <c r="CC76" s="460">
        <f t="shared" si="58"/>
        <v>0</v>
      </c>
      <c r="CD76" s="463"/>
      <c r="CE76" s="459">
        <f t="shared" si="59"/>
        <v>0</v>
      </c>
      <c r="CF76" s="459">
        <f t="shared" si="59"/>
        <v>0</v>
      </c>
      <c r="CG76" s="459">
        <f t="shared" si="59"/>
        <v>0</v>
      </c>
      <c r="CH76" s="459">
        <f t="shared" si="59"/>
        <v>0</v>
      </c>
      <c r="CI76" s="459">
        <f t="shared" si="71"/>
        <v>0</v>
      </c>
      <c r="CJ76" s="459">
        <f t="shared" si="71"/>
        <v>0</v>
      </c>
      <c r="CK76" s="459">
        <f t="shared" si="71"/>
        <v>0</v>
      </c>
      <c r="CL76" s="459">
        <f t="shared" si="71"/>
        <v>0</v>
      </c>
      <c r="CM76" s="459">
        <f t="shared" si="71"/>
        <v>0</v>
      </c>
      <c r="CN76" s="459">
        <f t="shared" si="71"/>
        <v>0</v>
      </c>
      <c r="CO76" s="460">
        <f t="shared" si="60"/>
        <v>0</v>
      </c>
      <c r="CP76" s="463"/>
      <c r="CQ76" s="459">
        <f t="shared" si="93"/>
        <v>0</v>
      </c>
      <c r="CR76" s="459">
        <f t="shared" si="94"/>
        <v>0</v>
      </c>
      <c r="CS76" s="459">
        <f t="shared" si="95"/>
        <v>0</v>
      </c>
      <c r="CT76" s="459">
        <f t="shared" si="96"/>
        <v>0</v>
      </c>
      <c r="CU76" s="459">
        <f t="shared" si="97"/>
        <v>0</v>
      </c>
      <c r="CV76" s="459">
        <f t="shared" si="98"/>
        <v>0</v>
      </c>
      <c r="CW76" s="459">
        <f t="shared" si="99"/>
        <v>0</v>
      </c>
      <c r="CX76" s="459">
        <f t="shared" si="100"/>
        <v>0</v>
      </c>
      <c r="CY76" s="459">
        <f t="shared" si="101"/>
        <v>0</v>
      </c>
      <c r="CZ76" s="459">
        <f t="shared" si="102"/>
        <v>0</v>
      </c>
      <c r="DA76" s="460">
        <f t="shared" si="61"/>
        <v>0</v>
      </c>
      <c r="DB76" s="463"/>
      <c r="DC76" s="459">
        <f t="shared" si="105"/>
        <v>0</v>
      </c>
      <c r="DD76" s="459">
        <f t="shared" si="105"/>
        <v>0</v>
      </c>
      <c r="DE76" s="459">
        <f t="shared" si="105"/>
        <v>0</v>
      </c>
      <c r="DF76" s="459">
        <f t="shared" si="105"/>
        <v>0</v>
      </c>
      <c r="DG76" s="459">
        <f t="shared" si="105"/>
        <v>0</v>
      </c>
      <c r="DH76" s="459">
        <f t="shared" si="105"/>
        <v>0</v>
      </c>
      <c r="DI76" s="459">
        <f t="shared" si="105"/>
        <v>0</v>
      </c>
      <c r="DJ76" s="459">
        <f t="shared" si="105"/>
        <v>0</v>
      </c>
      <c r="DK76" s="459">
        <f t="shared" si="105"/>
        <v>0</v>
      </c>
      <c r="DL76" s="459">
        <f t="shared" si="105"/>
        <v>0</v>
      </c>
      <c r="DM76" s="460">
        <f t="shared" si="63"/>
        <v>0</v>
      </c>
      <c r="DN76" s="463"/>
      <c r="DO76" s="459">
        <f t="shared" si="106"/>
        <v>0</v>
      </c>
      <c r="DP76" s="459">
        <f t="shared" si="106"/>
        <v>0</v>
      </c>
      <c r="DQ76" s="459">
        <f t="shared" si="106"/>
        <v>0</v>
      </c>
      <c r="DR76" s="459">
        <f t="shared" si="106"/>
        <v>0</v>
      </c>
      <c r="DS76" s="459">
        <f t="shared" si="106"/>
        <v>0</v>
      </c>
      <c r="DT76" s="459">
        <f t="shared" si="106"/>
        <v>0</v>
      </c>
      <c r="DU76" s="459">
        <f t="shared" si="106"/>
        <v>0</v>
      </c>
      <c r="DV76" s="459">
        <f t="shared" si="106"/>
        <v>0</v>
      </c>
      <c r="DW76" s="459">
        <f t="shared" si="106"/>
        <v>0</v>
      </c>
      <c r="DX76" s="459">
        <f t="shared" si="106"/>
        <v>0</v>
      </c>
      <c r="DY76" s="460">
        <f t="shared" si="64"/>
        <v>0</v>
      </c>
      <c r="DZ76" s="463"/>
      <c r="EA76" s="459">
        <f t="shared" si="107"/>
        <v>0</v>
      </c>
      <c r="EB76" s="459">
        <f t="shared" si="107"/>
        <v>0</v>
      </c>
      <c r="EC76" s="459">
        <f t="shared" si="107"/>
        <v>0</v>
      </c>
      <c r="ED76" s="459">
        <f t="shared" si="107"/>
        <v>0</v>
      </c>
      <c r="EE76" s="459">
        <f t="shared" si="107"/>
        <v>0</v>
      </c>
      <c r="EF76" s="459">
        <f t="shared" si="107"/>
        <v>0</v>
      </c>
      <c r="EG76" s="459">
        <f t="shared" si="107"/>
        <v>0</v>
      </c>
      <c r="EH76" s="459">
        <f t="shared" si="107"/>
        <v>0</v>
      </c>
      <c r="EI76" s="459">
        <f t="shared" si="107"/>
        <v>0</v>
      </c>
      <c r="EJ76" s="459">
        <f t="shared" si="107"/>
        <v>0</v>
      </c>
      <c r="EK76" s="460">
        <f t="shared" si="65"/>
        <v>0</v>
      </c>
    </row>
    <row r="77" spans="2:141" s="268" customFormat="1" ht="15" customHeight="1" x14ac:dyDescent="0.25">
      <c r="B77" s="464" t="str">
        <f>'2. START'!C$7</f>
        <v>100GEM</v>
      </c>
      <c r="C77" s="470"/>
      <c r="D77" s="593"/>
      <c r="E77" s="527">
        <v>0</v>
      </c>
      <c r="F77" s="527" t="s">
        <v>36</v>
      </c>
      <c r="G77" s="527"/>
      <c r="H77" s="515"/>
      <c r="I77" s="515"/>
      <c r="J77" s="515"/>
      <c r="K77" s="515"/>
      <c r="L77" s="515"/>
      <c r="M77" s="515"/>
      <c r="N77" s="515"/>
      <c r="O77" s="515"/>
      <c r="P77" s="515"/>
      <c r="Q77" s="515"/>
      <c r="R77" s="442">
        <f t="shared" si="72"/>
        <v>0</v>
      </c>
      <c r="S77" s="516">
        <f>IF('2. START'!$C$20="UTB",(SUMIF('3. PARTNER'!B$13:B$80,B77,'3. PARTNER'!M$13:M$80)),(SUMIF('3. PARTNER'!B$13:B$80,B77,'3. PARTNER'!I$13:I$80)))</f>
        <v>0</v>
      </c>
      <c r="T77" s="516">
        <f>IF('2. START'!$C$20="UTB",(SUMIF('3. PARTNER'!B$13:B$80,B77,'3. PARTNER'!N$13:N$80)),(SUMIF('3. PARTNER'!B$13:B$80,B77,'3. PARTNER'!J$13:J$80)))</f>
        <v>0</v>
      </c>
      <c r="U77" s="517">
        <f>IF(F77="NO",0,IF('2. START'!C$13="PERSON+OPERATION",'2. START'!C$12,0)+IF('2. START'!C$13="PERSON+OPERATION+INVEST+FACILIT",'2. START'!C$12,0))</f>
        <v>0</v>
      </c>
      <c r="W77" s="519">
        <f t="shared" si="73"/>
        <v>0</v>
      </c>
      <c r="X77" s="519">
        <f t="shared" si="74"/>
        <v>0</v>
      </c>
      <c r="Y77" s="519">
        <f t="shared" si="75"/>
        <v>0</v>
      </c>
      <c r="Z77" s="519">
        <f t="shared" si="76"/>
        <v>0</v>
      </c>
      <c r="AA77" s="519">
        <f t="shared" si="77"/>
        <v>0</v>
      </c>
      <c r="AB77" s="519">
        <f t="shared" si="78"/>
        <v>0</v>
      </c>
      <c r="AC77" s="519">
        <f t="shared" si="79"/>
        <v>0</v>
      </c>
      <c r="AD77" s="519">
        <f t="shared" si="80"/>
        <v>0</v>
      </c>
      <c r="AE77" s="519">
        <f t="shared" si="81"/>
        <v>0</v>
      </c>
      <c r="AF77" s="519">
        <f t="shared" si="82"/>
        <v>0</v>
      </c>
      <c r="AG77" s="520">
        <f t="shared" si="51"/>
        <v>0</v>
      </c>
      <c r="AI77" s="519">
        <f t="shared" si="83"/>
        <v>0</v>
      </c>
      <c r="AJ77" s="519">
        <f t="shared" si="84"/>
        <v>0</v>
      </c>
      <c r="AK77" s="519">
        <f t="shared" si="85"/>
        <v>0</v>
      </c>
      <c r="AL77" s="519">
        <f t="shared" si="86"/>
        <v>0</v>
      </c>
      <c r="AM77" s="519">
        <f t="shared" si="87"/>
        <v>0</v>
      </c>
      <c r="AN77" s="519">
        <f t="shared" si="88"/>
        <v>0</v>
      </c>
      <c r="AO77" s="519">
        <f t="shared" si="89"/>
        <v>0</v>
      </c>
      <c r="AP77" s="519">
        <f t="shared" si="90"/>
        <v>0</v>
      </c>
      <c r="AQ77" s="519">
        <f t="shared" si="91"/>
        <v>0</v>
      </c>
      <c r="AR77" s="519">
        <f t="shared" si="92"/>
        <v>0</v>
      </c>
      <c r="AS77" s="520">
        <f t="shared" si="52"/>
        <v>0</v>
      </c>
      <c r="AU77" s="519">
        <f t="shared" si="103"/>
        <v>0</v>
      </c>
      <c r="AV77" s="519">
        <f t="shared" si="103"/>
        <v>0</v>
      </c>
      <c r="AW77" s="519">
        <f t="shared" si="103"/>
        <v>0</v>
      </c>
      <c r="AX77" s="519">
        <f t="shared" si="103"/>
        <v>0</v>
      </c>
      <c r="AY77" s="519">
        <f t="shared" si="103"/>
        <v>0</v>
      </c>
      <c r="AZ77" s="519">
        <f t="shared" si="103"/>
        <v>0</v>
      </c>
      <c r="BA77" s="519">
        <f t="shared" si="103"/>
        <v>0</v>
      </c>
      <c r="BB77" s="519">
        <f t="shared" si="103"/>
        <v>0</v>
      </c>
      <c r="BC77" s="519">
        <f t="shared" si="103"/>
        <v>0</v>
      </c>
      <c r="BD77" s="519">
        <f t="shared" si="103"/>
        <v>0</v>
      </c>
      <c r="BE77" s="520">
        <f t="shared" si="54"/>
        <v>0</v>
      </c>
      <c r="BG77" s="519">
        <f t="shared" si="55"/>
        <v>0</v>
      </c>
      <c r="BH77" s="519">
        <f t="shared" si="55"/>
        <v>0</v>
      </c>
      <c r="BI77" s="519">
        <f t="shared" si="55"/>
        <v>0</v>
      </c>
      <c r="BJ77" s="519">
        <f t="shared" si="55"/>
        <v>0</v>
      </c>
      <c r="BK77" s="519">
        <f t="shared" si="70"/>
        <v>0</v>
      </c>
      <c r="BL77" s="519">
        <f t="shared" si="70"/>
        <v>0</v>
      </c>
      <c r="BM77" s="519">
        <f t="shared" si="70"/>
        <v>0</v>
      </c>
      <c r="BN77" s="519">
        <f t="shared" si="70"/>
        <v>0</v>
      </c>
      <c r="BO77" s="519">
        <f t="shared" si="70"/>
        <v>0</v>
      </c>
      <c r="BP77" s="519">
        <f t="shared" si="70"/>
        <v>0</v>
      </c>
      <c r="BQ77" s="520">
        <f t="shared" si="56"/>
        <v>0</v>
      </c>
      <c r="BS77" s="519">
        <f t="shared" si="104"/>
        <v>0</v>
      </c>
      <c r="BT77" s="519">
        <f t="shared" si="104"/>
        <v>0</v>
      </c>
      <c r="BU77" s="519">
        <f t="shared" si="104"/>
        <v>0</v>
      </c>
      <c r="BV77" s="519">
        <f t="shared" si="104"/>
        <v>0</v>
      </c>
      <c r="BW77" s="519">
        <f t="shared" si="104"/>
        <v>0</v>
      </c>
      <c r="BX77" s="519">
        <f t="shared" si="104"/>
        <v>0</v>
      </c>
      <c r="BY77" s="519">
        <f t="shared" si="104"/>
        <v>0</v>
      </c>
      <c r="BZ77" s="519">
        <f t="shared" si="104"/>
        <v>0</v>
      </c>
      <c r="CA77" s="519">
        <f t="shared" si="104"/>
        <v>0</v>
      </c>
      <c r="CB77" s="519">
        <f t="shared" si="104"/>
        <v>0</v>
      </c>
      <c r="CC77" s="520">
        <f t="shared" si="58"/>
        <v>0</v>
      </c>
      <c r="CE77" s="519">
        <f t="shared" si="59"/>
        <v>0</v>
      </c>
      <c r="CF77" s="519">
        <f t="shared" si="59"/>
        <v>0</v>
      </c>
      <c r="CG77" s="519">
        <f t="shared" si="59"/>
        <v>0</v>
      </c>
      <c r="CH77" s="519">
        <f t="shared" si="59"/>
        <v>0</v>
      </c>
      <c r="CI77" s="519">
        <f t="shared" si="71"/>
        <v>0</v>
      </c>
      <c r="CJ77" s="519">
        <f t="shared" si="71"/>
        <v>0</v>
      </c>
      <c r="CK77" s="519">
        <f t="shared" si="71"/>
        <v>0</v>
      </c>
      <c r="CL77" s="519">
        <f t="shared" si="71"/>
        <v>0</v>
      </c>
      <c r="CM77" s="519">
        <f t="shared" si="71"/>
        <v>0</v>
      </c>
      <c r="CN77" s="519">
        <f t="shared" si="71"/>
        <v>0</v>
      </c>
      <c r="CO77" s="520">
        <f t="shared" si="60"/>
        <v>0</v>
      </c>
      <c r="CQ77" s="519">
        <f t="shared" si="93"/>
        <v>0</v>
      </c>
      <c r="CR77" s="519">
        <f t="shared" si="94"/>
        <v>0</v>
      </c>
      <c r="CS77" s="519">
        <f t="shared" si="95"/>
        <v>0</v>
      </c>
      <c r="CT77" s="519">
        <f t="shared" si="96"/>
        <v>0</v>
      </c>
      <c r="CU77" s="519">
        <f t="shared" si="97"/>
        <v>0</v>
      </c>
      <c r="CV77" s="519">
        <f t="shared" si="98"/>
        <v>0</v>
      </c>
      <c r="CW77" s="519">
        <f t="shared" si="99"/>
        <v>0</v>
      </c>
      <c r="CX77" s="519">
        <f t="shared" si="100"/>
        <v>0</v>
      </c>
      <c r="CY77" s="519">
        <f t="shared" si="101"/>
        <v>0</v>
      </c>
      <c r="CZ77" s="519">
        <f t="shared" si="102"/>
        <v>0</v>
      </c>
      <c r="DA77" s="520">
        <f t="shared" si="61"/>
        <v>0</v>
      </c>
      <c r="DC77" s="519">
        <f t="shared" si="105"/>
        <v>0</v>
      </c>
      <c r="DD77" s="519">
        <f t="shared" si="105"/>
        <v>0</v>
      </c>
      <c r="DE77" s="519">
        <f t="shared" si="105"/>
        <v>0</v>
      </c>
      <c r="DF77" s="519">
        <f t="shared" si="105"/>
        <v>0</v>
      </c>
      <c r="DG77" s="519">
        <f t="shared" si="105"/>
        <v>0</v>
      </c>
      <c r="DH77" s="519">
        <f t="shared" si="105"/>
        <v>0</v>
      </c>
      <c r="DI77" s="519">
        <f t="shared" si="105"/>
        <v>0</v>
      </c>
      <c r="DJ77" s="519">
        <f t="shared" si="105"/>
        <v>0</v>
      </c>
      <c r="DK77" s="519">
        <f t="shared" si="105"/>
        <v>0</v>
      </c>
      <c r="DL77" s="519">
        <f t="shared" si="105"/>
        <v>0</v>
      </c>
      <c r="DM77" s="520">
        <f t="shared" si="63"/>
        <v>0</v>
      </c>
      <c r="DO77" s="519">
        <f t="shared" si="106"/>
        <v>0</v>
      </c>
      <c r="DP77" s="519">
        <f t="shared" si="106"/>
        <v>0</v>
      </c>
      <c r="DQ77" s="519">
        <f t="shared" si="106"/>
        <v>0</v>
      </c>
      <c r="DR77" s="519">
        <f t="shared" si="106"/>
        <v>0</v>
      </c>
      <c r="DS77" s="519">
        <f t="shared" si="106"/>
        <v>0</v>
      </c>
      <c r="DT77" s="519">
        <f t="shared" si="106"/>
        <v>0</v>
      </c>
      <c r="DU77" s="519">
        <f t="shared" si="106"/>
        <v>0</v>
      </c>
      <c r="DV77" s="519">
        <f t="shared" si="106"/>
        <v>0</v>
      </c>
      <c r="DW77" s="519">
        <f t="shared" si="106"/>
        <v>0</v>
      </c>
      <c r="DX77" s="519">
        <f t="shared" si="106"/>
        <v>0</v>
      </c>
      <c r="DY77" s="520">
        <f t="shared" si="64"/>
        <v>0</v>
      </c>
      <c r="EA77" s="519">
        <f t="shared" si="107"/>
        <v>0</v>
      </c>
      <c r="EB77" s="519">
        <f t="shared" si="107"/>
        <v>0</v>
      </c>
      <c r="EC77" s="519">
        <f t="shared" si="107"/>
        <v>0</v>
      </c>
      <c r="ED77" s="519">
        <f t="shared" si="107"/>
        <v>0</v>
      </c>
      <c r="EE77" s="519">
        <f t="shared" si="107"/>
        <v>0</v>
      </c>
      <c r="EF77" s="519">
        <f t="shared" si="107"/>
        <v>0</v>
      </c>
      <c r="EG77" s="519">
        <f t="shared" si="107"/>
        <v>0</v>
      </c>
      <c r="EH77" s="519">
        <f t="shared" si="107"/>
        <v>0</v>
      </c>
      <c r="EI77" s="519">
        <f t="shared" si="107"/>
        <v>0</v>
      </c>
      <c r="EJ77" s="519">
        <f t="shared" si="107"/>
        <v>0</v>
      </c>
      <c r="EK77" s="520">
        <f t="shared" si="65"/>
        <v>0</v>
      </c>
    </row>
    <row r="78" spans="2:141" s="268" customFormat="1" ht="15" customHeight="1" x14ac:dyDescent="0.25">
      <c r="B78" s="446" t="str">
        <f>'2. START'!C$7</f>
        <v>100GEM</v>
      </c>
      <c r="C78" s="469"/>
      <c r="D78" s="594"/>
      <c r="E78" s="522">
        <v>0</v>
      </c>
      <c r="F78" s="522" t="s">
        <v>36</v>
      </c>
      <c r="G78" s="522"/>
      <c r="H78" s="523"/>
      <c r="I78" s="523"/>
      <c r="J78" s="523"/>
      <c r="K78" s="523"/>
      <c r="L78" s="523"/>
      <c r="M78" s="523"/>
      <c r="N78" s="523"/>
      <c r="O78" s="523"/>
      <c r="P78" s="523"/>
      <c r="Q78" s="523"/>
      <c r="R78" s="459">
        <f t="shared" si="72"/>
        <v>0</v>
      </c>
      <c r="S78" s="524">
        <f>IF('2. START'!$C$20="UTB",(SUMIF('3. PARTNER'!B$13:B$80,B78,'3. PARTNER'!M$13:M$80)),(SUMIF('3. PARTNER'!B$13:B$80,B78,'3. PARTNER'!I$13:I$80)))</f>
        <v>0</v>
      </c>
      <c r="T78" s="524">
        <f>IF('2. START'!$C$20="UTB",(SUMIF('3. PARTNER'!B$13:B$80,B78,'3. PARTNER'!N$13:N$80)),(SUMIF('3. PARTNER'!B$13:B$80,B78,'3. PARTNER'!J$13:J$80)))</f>
        <v>0</v>
      </c>
      <c r="U78" s="454">
        <f>IF(F78="NO",0,IF('2. START'!C$13="PERSON+OPERATION",'2. START'!C$12,0)+IF('2. START'!C$13="PERSON+OPERATION+INVEST+FACILIT",'2. START'!C$12,0))</f>
        <v>0</v>
      </c>
      <c r="V78" s="463"/>
      <c r="W78" s="459">
        <f t="shared" si="73"/>
        <v>0</v>
      </c>
      <c r="X78" s="459">
        <f t="shared" si="74"/>
        <v>0</v>
      </c>
      <c r="Y78" s="459">
        <f t="shared" si="75"/>
        <v>0</v>
      </c>
      <c r="Z78" s="459">
        <f t="shared" si="76"/>
        <v>0</v>
      </c>
      <c r="AA78" s="459">
        <f t="shared" si="77"/>
        <v>0</v>
      </c>
      <c r="AB78" s="459">
        <f t="shared" si="78"/>
        <v>0</v>
      </c>
      <c r="AC78" s="459">
        <f t="shared" si="79"/>
        <v>0</v>
      </c>
      <c r="AD78" s="459">
        <f t="shared" si="80"/>
        <v>0</v>
      </c>
      <c r="AE78" s="459">
        <f t="shared" si="81"/>
        <v>0</v>
      </c>
      <c r="AF78" s="459">
        <f t="shared" si="82"/>
        <v>0</v>
      </c>
      <c r="AG78" s="460">
        <f t="shared" si="51"/>
        <v>0</v>
      </c>
      <c r="AH78" s="463"/>
      <c r="AI78" s="459">
        <f t="shared" si="83"/>
        <v>0</v>
      </c>
      <c r="AJ78" s="459">
        <f t="shared" si="84"/>
        <v>0</v>
      </c>
      <c r="AK78" s="459">
        <f t="shared" si="85"/>
        <v>0</v>
      </c>
      <c r="AL78" s="459">
        <f t="shared" si="86"/>
        <v>0</v>
      </c>
      <c r="AM78" s="459">
        <f t="shared" si="87"/>
        <v>0</v>
      </c>
      <c r="AN78" s="459">
        <f t="shared" si="88"/>
        <v>0</v>
      </c>
      <c r="AO78" s="459">
        <f t="shared" si="89"/>
        <v>0</v>
      </c>
      <c r="AP78" s="459">
        <f t="shared" si="90"/>
        <v>0</v>
      </c>
      <c r="AQ78" s="459">
        <f t="shared" si="91"/>
        <v>0</v>
      </c>
      <c r="AR78" s="459">
        <f t="shared" si="92"/>
        <v>0</v>
      </c>
      <c r="AS78" s="460">
        <f t="shared" si="52"/>
        <v>0</v>
      </c>
      <c r="AT78" s="463"/>
      <c r="AU78" s="459">
        <f t="shared" si="103"/>
        <v>0</v>
      </c>
      <c r="AV78" s="459">
        <f t="shared" si="103"/>
        <v>0</v>
      </c>
      <c r="AW78" s="459">
        <f t="shared" si="103"/>
        <v>0</v>
      </c>
      <c r="AX78" s="459">
        <f t="shared" si="103"/>
        <v>0</v>
      </c>
      <c r="AY78" s="459">
        <f t="shared" si="103"/>
        <v>0</v>
      </c>
      <c r="AZ78" s="459">
        <f t="shared" si="103"/>
        <v>0</v>
      </c>
      <c r="BA78" s="459">
        <f t="shared" si="103"/>
        <v>0</v>
      </c>
      <c r="BB78" s="459">
        <f t="shared" si="103"/>
        <v>0</v>
      </c>
      <c r="BC78" s="459">
        <f t="shared" si="103"/>
        <v>0</v>
      </c>
      <c r="BD78" s="459">
        <f t="shared" si="103"/>
        <v>0</v>
      </c>
      <c r="BE78" s="460">
        <f t="shared" si="54"/>
        <v>0</v>
      </c>
      <c r="BF78" s="463"/>
      <c r="BG78" s="459">
        <f t="shared" si="55"/>
        <v>0</v>
      </c>
      <c r="BH78" s="459">
        <f t="shared" si="55"/>
        <v>0</v>
      </c>
      <c r="BI78" s="459">
        <f t="shared" si="55"/>
        <v>0</v>
      </c>
      <c r="BJ78" s="459">
        <f t="shared" si="55"/>
        <v>0</v>
      </c>
      <c r="BK78" s="459">
        <f t="shared" si="70"/>
        <v>0</v>
      </c>
      <c r="BL78" s="459">
        <f t="shared" si="70"/>
        <v>0</v>
      </c>
      <c r="BM78" s="459">
        <f t="shared" si="70"/>
        <v>0</v>
      </c>
      <c r="BN78" s="459">
        <f t="shared" si="70"/>
        <v>0</v>
      </c>
      <c r="BO78" s="459">
        <f t="shared" si="70"/>
        <v>0</v>
      </c>
      <c r="BP78" s="459">
        <f t="shared" si="70"/>
        <v>0</v>
      </c>
      <c r="BQ78" s="460">
        <f t="shared" si="56"/>
        <v>0</v>
      </c>
      <c r="BR78" s="463"/>
      <c r="BS78" s="459">
        <f t="shared" si="104"/>
        <v>0</v>
      </c>
      <c r="BT78" s="459">
        <f t="shared" si="104"/>
        <v>0</v>
      </c>
      <c r="BU78" s="459">
        <f t="shared" si="104"/>
        <v>0</v>
      </c>
      <c r="BV78" s="459">
        <f t="shared" si="104"/>
        <v>0</v>
      </c>
      <c r="BW78" s="459">
        <f t="shared" si="104"/>
        <v>0</v>
      </c>
      <c r="BX78" s="459">
        <f t="shared" si="104"/>
        <v>0</v>
      </c>
      <c r="BY78" s="459">
        <f t="shared" si="104"/>
        <v>0</v>
      </c>
      <c r="BZ78" s="459">
        <f t="shared" si="104"/>
        <v>0</v>
      </c>
      <c r="CA78" s="459">
        <f t="shared" si="104"/>
        <v>0</v>
      </c>
      <c r="CB78" s="459">
        <f t="shared" si="104"/>
        <v>0</v>
      </c>
      <c r="CC78" s="460">
        <f t="shared" si="58"/>
        <v>0</v>
      </c>
      <c r="CD78" s="463"/>
      <c r="CE78" s="459">
        <f t="shared" si="59"/>
        <v>0</v>
      </c>
      <c r="CF78" s="459">
        <f t="shared" si="59"/>
        <v>0</v>
      </c>
      <c r="CG78" s="459">
        <f t="shared" si="59"/>
        <v>0</v>
      </c>
      <c r="CH78" s="459">
        <f t="shared" si="59"/>
        <v>0</v>
      </c>
      <c r="CI78" s="459">
        <f t="shared" si="71"/>
        <v>0</v>
      </c>
      <c r="CJ78" s="459">
        <f t="shared" si="71"/>
        <v>0</v>
      </c>
      <c r="CK78" s="459">
        <f t="shared" si="71"/>
        <v>0</v>
      </c>
      <c r="CL78" s="459">
        <f t="shared" si="71"/>
        <v>0</v>
      </c>
      <c r="CM78" s="459">
        <f t="shared" si="71"/>
        <v>0</v>
      </c>
      <c r="CN78" s="459">
        <f t="shared" si="71"/>
        <v>0</v>
      </c>
      <c r="CO78" s="460">
        <f t="shared" si="60"/>
        <v>0</v>
      </c>
      <c r="CP78" s="463"/>
      <c r="CQ78" s="459">
        <f t="shared" si="93"/>
        <v>0</v>
      </c>
      <c r="CR78" s="459">
        <f t="shared" si="94"/>
        <v>0</v>
      </c>
      <c r="CS78" s="459">
        <f t="shared" si="95"/>
        <v>0</v>
      </c>
      <c r="CT78" s="459">
        <f t="shared" si="96"/>
        <v>0</v>
      </c>
      <c r="CU78" s="459">
        <f t="shared" si="97"/>
        <v>0</v>
      </c>
      <c r="CV78" s="459">
        <f t="shared" si="98"/>
        <v>0</v>
      </c>
      <c r="CW78" s="459">
        <f t="shared" si="99"/>
        <v>0</v>
      </c>
      <c r="CX78" s="459">
        <f t="shared" si="100"/>
        <v>0</v>
      </c>
      <c r="CY78" s="459">
        <f t="shared" si="101"/>
        <v>0</v>
      </c>
      <c r="CZ78" s="459">
        <f t="shared" si="102"/>
        <v>0</v>
      </c>
      <c r="DA78" s="460">
        <f t="shared" si="61"/>
        <v>0</v>
      </c>
      <c r="DB78" s="463"/>
      <c r="DC78" s="459">
        <f t="shared" si="105"/>
        <v>0</v>
      </c>
      <c r="DD78" s="459">
        <f t="shared" si="105"/>
        <v>0</v>
      </c>
      <c r="DE78" s="459">
        <f t="shared" si="105"/>
        <v>0</v>
      </c>
      <c r="DF78" s="459">
        <f t="shared" si="105"/>
        <v>0</v>
      </c>
      <c r="DG78" s="459">
        <f t="shared" si="105"/>
        <v>0</v>
      </c>
      <c r="DH78" s="459">
        <f t="shared" si="105"/>
        <v>0</v>
      </c>
      <c r="DI78" s="459">
        <f t="shared" si="105"/>
        <v>0</v>
      </c>
      <c r="DJ78" s="459">
        <f t="shared" si="105"/>
        <v>0</v>
      </c>
      <c r="DK78" s="459">
        <f t="shared" si="105"/>
        <v>0</v>
      </c>
      <c r="DL78" s="459">
        <f t="shared" si="105"/>
        <v>0</v>
      </c>
      <c r="DM78" s="460">
        <f t="shared" si="63"/>
        <v>0</v>
      </c>
      <c r="DN78" s="463"/>
      <c r="DO78" s="459">
        <f t="shared" si="106"/>
        <v>0</v>
      </c>
      <c r="DP78" s="459">
        <f t="shared" si="106"/>
        <v>0</v>
      </c>
      <c r="DQ78" s="459">
        <f t="shared" si="106"/>
        <v>0</v>
      </c>
      <c r="DR78" s="459">
        <f t="shared" si="106"/>
        <v>0</v>
      </c>
      <c r="DS78" s="459">
        <f t="shared" si="106"/>
        <v>0</v>
      </c>
      <c r="DT78" s="459">
        <f t="shared" si="106"/>
        <v>0</v>
      </c>
      <c r="DU78" s="459">
        <f t="shared" si="106"/>
        <v>0</v>
      </c>
      <c r="DV78" s="459">
        <f t="shared" si="106"/>
        <v>0</v>
      </c>
      <c r="DW78" s="459">
        <f t="shared" si="106"/>
        <v>0</v>
      </c>
      <c r="DX78" s="459">
        <f t="shared" si="106"/>
        <v>0</v>
      </c>
      <c r="DY78" s="460">
        <f t="shared" si="64"/>
        <v>0</v>
      </c>
      <c r="DZ78" s="463"/>
      <c r="EA78" s="459">
        <f t="shared" si="107"/>
        <v>0</v>
      </c>
      <c r="EB78" s="459">
        <f t="shared" si="107"/>
        <v>0</v>
      </c>
      <c r="EC78" s="459">
        <f t="shared" si="107"/>
        <v>0</v>
      </c>
      <c r="ED78" s="459">
        <f t="shared" si="107"/>
        <v>0</v>
      </c>
      <c r="EE78" s="459">
        <f t="shared" si="107"/>
        <v>0</v>
      </c>
      <c r="EF78" s="459">
        <f t="shared" si="107"/>
        <v>0</v>
      </c>
      <c r="EG78" s="459">
        <f t="shared" si="107"/>
        <v>0</v>
      </c>
      <c r="EH78" s="459">
        <f t="shared" si="107"/>
        <v>0</v>
      </c>
      <c r="EI78" s="459">
        <f t="shared" si="107"/>
        <v>0</v>
      </c>
      <c r="EJ78" s="459">
        <f t="shared" si="107"/>
        <v>0</v>
      </c>
      <c r="EK78" s="460">
        <f t="shared" si="65"/>
        <v>0</v>
      </c>
    </row>
    <row r="79" spans="2:141" s="268" customFormat="1" ht="15" customHeight="1" x14ac:dyDescent="0.25">
      <c r="B79" s="464" t="str">
        <f>'2. START'!C$7</f>
        <v>100GEM</v>
      </c>
      <c r="C79" s="470"/>
      <c r="D79" s="593"/>
      <c r="E79" s="527">
        <v>0</v>
      </c>
      <c r="F79" s="527" t="s">
        <v>36</v>
      </c>
      <c r="G79" s="527"/>
      <c r="H79" s="515"/>
      <c r="I79" s="515"/>
      <c r="J79" s="515"/>
      <c r="K79" s="515"/>
      <c r="L79" s="515"/>
      <c r="M79" s="515"/>
      <c r="N79" s="515"/>
      <c r="O79" s="515"/>
      <c r="P79" s="515"/>
      <c r="Q79" s="515"/>
      <c r="R79" s="442">
        <f t="shared" si="72"/>
        <v>0</v>
      </c>
      <c r="S79" s="516">
        <f>IF('2. START'!$C$20="UTB",(SUMIF('3. PARTNER'!B$13:B$80,B79,'3. PARTNER'!M$13:M$80)),(SUMIF('3. PARTNER'!B$13:B$80,B79,'3. PARTNER'!I$13:I$80)))</f>
        <v>0</v>
      </c>
      <c r="T79" s="516">
        <f>IF('2. START'!$C$20="UTB",(SUMIF('3. PARTNER'!B$13:B$80,B79,'3. PARTNER'!N$13:N$80)),(SUMIF('3. PARTNER'!B$13:B$80,B79,'3. PARTNER'!J$13:J$80)))</f>
        <v>0</v>
      </c>
      <c r="U79" s="517">
        <f>IF(F79="NO",0,IF('2. START'!C$13="PERSON+OPERATION",'2. START'!C$12,0)+IF('2. START'!C$13="PERSON+OPERATION+INVEST+FACILIT",'2. START'!C$12,0))</f>
        <v>0</v>
      </c>
      <c r="W79" s="519">
        <f t="shared" si="73"/>
        <v>0</v>
      </c>
      <c r="X79" s="519">
        <f t="shared" si="74"/>
        <v>0</v>
      </c>
      <c r="Y79" s="519">
        <f t="shared" si="75"/>
        <v>0</v>
      </c>
      <c r="Z79" s="519">
        <f t="shared" si="76"/>
        <v>0</v>
      </c>
      <c r="AA79" s="519">
        <f t="shared" si="77"/>
        <v>0</v>
      </c>
      <c r="AB79" s="519">
        <f t="shared" si="78"/>
        <v>0</v>
      </c>
      <c r="AC79" s="519">
        <f t="shared" si="79"/>
        <v>0</v>
      </c>
      <c r="AD79" s="519">
        <f t="shared" si="80"/>
        <v>0</v>
      </c>
      <c r="AE79" s="519">
        <f t="shared" si="81"/>
        <v>0</v>
      </c>
      <c r="AF79" s="519">
        <f t="shared" si="82"/>
        <v>0</v>
      </c>
      <c r="AG79" s="520">
        <f t="shared" si="51"/>
        <v>0</v>
      </c>
      <c r="AI79" s="519">
        <f t="shared" si="83"/>
        <v>0</v>
      </c>
      <c r="AJ79" s="519">
        <f t="shared" si="84"/>
        <v>0</v>
      </c>
      <c r="AK79" s="519">
        <f t="shared" si="85"/>
        <v>0</v>
      </c>
      <c r="AL79" s="519">
        <f t="shared" si="86"/>
        <v>0</v>
      </c>
      <c r="AM79" s="519">
        <f t="shared" si="87"/>
        <v>0</v>
      </c>
      <c r="AN79" s="519">
        <f t="shared" si="88"/>
        <v>0</v>
      </c>
      <c r="AO79" s="519">
        <f t="shared" si="89"/>
        <v>0</v>
      </c>
      <c r="AP79" s="519">
        <f t="shared" si="90"/>
        <v>0</v>
      </c>
      <c r="AQ79" s="519">
        <f t="shared" si="91"/>
        <v>0</v>
      </c>
      <c r="AR79" s="519">
        <f t="shared" si="92"/>
        <v>0</v>
      </c>
      <c r="AS79" s="520">
        <f t="shared" si="52"/>
        <v>0</v>
      </c>
      <c r="AU79" s="519">
        <f t="shared" si="103"/>
        <v>0</v>
      </c>
      <c r="AV79" s="519">
        <f t="shared" si="103"/>
        <v>0</v>
      </c>
      <c r="AW79" s="519">
        <f t="shared" si="103"/>
        <v>0</v>
      </c>
      <c r="AX79" s="519">
        <f t="shared" si="103"/>
        <v>0</v>
      </c>
      <c r="AY79" s="519">
        <f t="shared" si="103"/>
        <v>0</v>
      </c>
      <c r="AZ79" s="519">
        <f t="shared" si="103"/>
        <v>0</v>
      </c>
      <c r="BA79" s="519">
        <f t="shared" si="103"/>
        <v>0</v>
      </c>
      <c r="BB79" s="519">
        <f t="shared" si="103"/>
        <v>0</v>
      </c>
      <c r="BC79" s="519">
        <f t="shared" si="103"/>
        <v>0</v>
      </c>
      <c r="BD79" s="519">
        <f t="shared" si="103"/>
        <v>0</v>
      </c>
      <c r="BE79" s="520">
        <f t="shared" si="54"/>
        <v>0</v>
      </c>
      <c r="BG79" s="519">
        <f t="shared" si="55"/>
        <v>0</v>
      </c>
      <c r="BH79" s="519">
        <f t="shared" si="55"/>
        <v>0</v>
      </c>
      <c r="BI79" s="519">
        <f t="shared" si="55"/>
        <v>0</v>
      </c>
      <c r="BJ79" s="519">
        <f t="shared" si="55"/>
        <v>0</v>
      </c>
      <c r="BK79" s="519">
        <f t="shared" si="70"/>
        <v>0</v>
      </c>
      <c r="BL79" s="519">
        <f t="shared" si="70"/>
        <v>0</v>
      </c>
      <c r="BM79" s="519">
        <f t="shared" si="70"/>
        <v>0</v>
      </c>
      <c r="BN79" s="519">
        <f t="shared" si="70"/>
        <v>0</v>
      </c>
      <c r="BO79" s="519">
        <f t="shared" si="70"/>
        <v>0</v>
      </c>
      <c r="BP79" s="519">
        <f t="shared" si="70"/>
        <v>0</v>
      </c>
      <c r="BQ79" s="520">
        <f t="shared" si="56"/>
        <v>0</v>
      </c>
      <c r="BS79" s="519">
        <f t="shared" si="104"/>
        <v>0</v>
      </c>
      <c r="BT79" s="519">
        <f t="shared" si="104"/>
        <v>0</v>
      </c>
      <c r="BU79" s="519">
        <f t="shared" si="104"/>
        <v>0</v>
      </c>
      <c r="BV79" s="519">
        <f t="shared" si="104"/>
        <v>0</v>
      </c>
      <c r="BW79" s="519">
        <f t="shared" si="104"/>
        <v>0</v>
      </c>
      <c r="BX79" s="519">
        <f t="shared" si="104"/>
        <v>0</v>
      </c>
      <c r="BY79" s="519">
        <f t="shared" si="104"/>
        <v>0</v>
      </c>
      <c r="BZ79" s="519">
        <f t="shared" si="104"/>
        <v>0</v>
      </c>
      <c r="CA79" s="519">
        <f t="shared" si="104"/>
        <v>0</v>
      </c>
      <c r="CB79" s="519">
        <f t="shared" si="104"/>
        <v>0</v>
      </c>
      <c r="CC79" s="520">
        <f t="shared" si="58"/>
        <v>0</v>
      </c>
      <c r="CE79" s="519">
        <f t="shared" si="59"/>
        <v>0</v>
      </c>
      <c r="CF79" s="519">
        <f t="shared" si="59"/>
        <v>0</v>
      </c>
      <c r="CG79" s="519">
        <f t="shared" si="59"/>
        <v>0</v>
      </c>
      <c r="CH79" s="519">
        <f t="shared" si="59"/>
        <v>0</v>
      </c>
      <c r="CI79" s="519">
        <f t="shared" si="71"/>
        <v>0</v>
      </c>
      <c r="CJ79" s="519">
        <f t="shared" si="71"/>
        <v>0</v>
      </c>
      <c r="CK79" s="519">
        <f t="shared" si="71"/>
        <v>0</v>
      </c>
      <c r="CL79" s="519">
        <f t="shared" si="71"/>
        <v>0</v>
      </c>
      <c r="CM79" s="519">
        <f t="shared" si="71"/>
        <v>0</v>
      </c>
      <c r="CN79" s="519">
        <f t="shared" si="71"/>
        <v>0</v>
      </c>
      <c r="CO79" s="520">
        <f t="shared" si="60"/>
        <v>0</v>
      </c>
      <c r="CQ79" s="519">
        <f t="shared" si="93"/>
        <v>0</v>
      </c>
      <c r="CR79" s="519">
        <f t="shared" si="94"/>
        <v>0</v>
      </c>
      <c r="CS79" s="519">
        <f t="shared" si="95"/>
        <v>0</v>
      </c>
      <c r="CT79" s="519">
        <f t="shared" si="96"/>
        <v>0</v>
      </c>
      <c r="CU79" s="519">
        <f t="shared" si="97"/>
        <v>0</v>
      </c>
      <c r="CV79" s="519">
        <f t="shared" si="98"/>
        <v>0</v>
      </c>
      <c r="CW79" s="519">
        <f t="shared" si="99"/>
        <v>0</v>
      </c>
      <c r="CX79" s="519">
        <f t="shared" si="100"/>
        <v>0</v>
      </c>
      <c r="CY79" s="519">
        <f t="shared" si="101"/>
        <v>0</v>
      </c>
      <c r="CZ79" s="519">
        <f t="shared" si="102"/>
        <v>0</v>
      </c>
      <c r="DA79" s="520">
        <f t="shared" si="61"/>
        <v>0</v>
      </c>
      <c r="DC79" s="519">
        <f t="shared" si="105"/>
        <v>0</v>
      </c>
      <c r="DD79" s="519">
        <f t="shared" si="105"/>
        <v>0</v>
      </c>
      <c r="DE79" s="519">
        <f t="shared" si="105"/>
        <v>0</v>
      </c>
      <c r="DF79" s="519">
        <f t="shared" si="105"/>
        <v>0</v>
      </c>
      <c r="DG79" s="519">
        <f t="shared" si="105"/>
        <v>0</v>
      </c>
      <c r="DH79" s="519">
        <f t="shared" si="105"/>
        <v>0</v>
      </c>
      <c r="DI79" s="519">
        <f t="shared" si="105"/>
        <v>0</v>
      </c>
      <c r="DJ79" s="519">
        <f t="shared" si="105"/>
        <v>0</v>
      </c>
      <c r="DK79" s="519">
        <f t="shared" si="105"/>
        <v>0</v>
      </c>
      <c r="DL79" s="519">
        <f t="shared" si="105"/>
        <v>0</v>
      </c>
      <c r="DM79" s="520">
        <f t="shared" si="63"/>
        <v>0</v>
      </c>
      <c r="DO79" s="519">
        <f t="shared" si="106"/>
        <v>0</v>
      </c>
      <c r="DP79" s="519">
        <f t="shared" si="106"/>
        <v>0</v>
      </c>
      <c r="DQ79" s="519">
        <f t="shared" si="106"/>
        <v>0</v>
      </c>
      <c r="DR79" s="519">
        <f t="shared" si="106"/>
        <v>0</v>
      </c>
      <c r="DS79" s="519">
        <f t="shared" si="106"/>
        <v>0</v>
      </c>
      <c r="DT79" s="519">
        <f t="shared" si="106"/>
        <v>0</v>
      </c>
      <c r="DU79" s="519">
        <f t="shared" si="106"/>
        <v>0</v>
      </c>
      <c r="DV79" s="519">
        <f t="shared" si="106"/>
        <v>0</v>
      </c>
      <c r="DW79" s="519">
        <f t="shared" si="106"/>
        <v>0</v>
      </c>
      <c r="DX79" s="519">
        <f t="shared" si="106"/>
        <v>0</v>
      </c>
      <c r="DY79" s="520">
        <f t="shared" si="64"/>
        <v>0</v>
      </c>
      <c r="EA79" s="519">
        <f t="shared" si="107"/>
        <v>0</v>
      </c>
      <c r="EB79" s="519">
        <f t="shared" si="107"/>
        <v>0</v>
      </c>
      <c r="EC79" s="519">
        <f t="shared" si="107"/>
        <v>0</v>
      </c>
      <c r="ED79" s="519">
        <f t="shared" si="107"/>
        <v>0</v>
      </c>
      <c r="EE79" s="519">
        <f t="shared" si="107"/>
        <v>0</v>
      </c>
      <c r="EF79" s="519">
        <f t="shared" si="107"/>
        <v>0</v>
      </c>
      <c r="EG79" s="519">
        <f t="shared" si="107"/>
        <v>0</v>
      </c>
      <c r="EH79" s="519">
        <f t="shared" si="107"/>
        <v>0</v>
      </c>
      <c r="EI79" s="519">
        <f t="shared" si="107"/>
        <v>0</v>
      </c>
      <c r="EJ79" s="519">
        <f t="shared" si="107"/>
        <v>0</v>
      </c>
      <c r="EK79" s="520">
        <f t="shared" si="65"/>
        <v>0</v>
      </c>
    </row>
    <row r="80" spans="2:141" s="268" customFormat="1" ht="15" customHeight="1" x14ac:dyDescent="0.25">
      <c r="B80" s="446" t="str">
        <f>'2. START'!C$7</f>
        <v>100GEM</v>
      </c>
      <c r="C80" s="469"/>
      <c r="D80" s="594"/>
      <c r="E80" s="522">
        <v>0</v>
      </c>
      <c r="F80" s="522" t="s">
        <v>36</v>
      </c>
      <c r="G80" s="522"/>
      <c r="H80" s="523"/>
      <c r="I80" s="523"/>
      <c r="J80" s="523"/>
      <c r="K80" s="523"/>
      <c r="L80" s="523"/>
      <c r="M80" s="523"/>
      <c r="N80" s="523"/>
      <c r="O80" s="523"/>
      <c r="P80" s="523"/>
      <c r="Q80" s="523"/>
      <c r="R80" s="459">
        <f t="shared" si="72"/>
        <v>0</v>
      </c>
      <c r="S80" s="524">
        <f>IF('2. START'!$C$20="UTB",(SUMIF('3. PARTNER'!B$13:B$80,B80,'3. PARTNER'!M$13:M$80)),(SUMIF('3. PARTNER'!B$13:B$80,B80,'3. PARTNER'!I$13:I$80)))</f>
        <v>0</v>
      </c>
      <c r="T80" s="524">
        <f>IF('2. START'!$C$20="UTB",(SUMIF('3. PARTNER'!B$13:B$80,B80,'3. PARTNER'!N$13:N$80)),(SUMIF('3. PARTNER'!B$13:B$80,B80,'3. PARTNER'!J$13:J$80)))</f>
        <v>0</v>
      </c>
      <c r="U80" s="454">
        <f>IF(F80="NO",0,IF('2. START'!C$13="PERSON+OPERATION",'2. START'!C$12,0)+IF('2. START'!C$13="PERSON+OPERATION+INVEST+FACILIT",'2. START'!C$12,0))</f>
        <v>0</v>
      </c>
      <c r="V80" s="463"/>
      <c r="W80" s="459">
        <f t="shared" si="73"/>
        <v>0</v>
      </c>
      <c r="X80" s="459">
        <f t="shared" si="74"/>
        <v>0</v>
      </c>
      <c r="Y80" s="459">
        <f t="shared" si="75"/>
        <v>0</v>
      </c>
      <c r="Z80" s="459">
        <f t="shared" si="76"/>
        <v>0</v>
      </c>
      <c r="AA80" s="459">
        <f t="shared" si="77"/>
        <v>0</v>
      </c>
      <c r="AB80" s="459">
        <f t="shared" si="78"/>
        <v>0</v>
      </c>
      <c r="AC80" s="459">
        <f t="shared" si="79"/>
        <v>0</v>
      </c>
      <c r="AD80" s="459">
        <f t="shared" si="80"/>
        <v>0</v>
      </c>
      <c r="AE80" s="459">
        <f t="shared" si="81"/>
        <v>0</v>
      </c>
      <c r="AF80" s="459">
        <f t="shared" si="82"/>
        <v>0</v>
      </c>
      <c r="AG80" s="460">
        <f t="shared" si="51"/>
        <v>0</v>
      </c>
      <c r="AH80" s="463"/>
      <c r="AI80" s="459">
        <f t="shared" si="83"/>
        <v>0</v>
      </c>
      <c r="AJ80" s="459">
        <f t="shared" si="84"/>
        <v>0</v>
      </c>
      <c r="AK80" s="459">
        <f t="shared" si="85"/>
        <v>0</v>
      </c>
      <c r="AL80" s="459">
        <f t="shared" si="86"/>
        <v>0</v>
      </c>
      <c r="AM80" s="459">
        <f t="shared" si="87"/>
        <v>0</v>
      </c>
      <c r="AN80" s="459">
        <f t="shared" si="88"/>
        <v>0</v>
      </c>
      <c r="AO80" s="459">
        <f t="shared" si="89"/>
        <v>0</v>
      </c>
      <c r="AP80" s="459">
        <f t="shared" si="90"/>
        <v>0</v>
      </c>
      <c r="AQ80" s="459">
        <f t="shared" si="91"/>
        <v>0</v>
      </c>
      <c r="AR80" s="459">
        <f t="shared" si="92"/>
        <v>0</v>
      </c>
      <c r="AS80" s="460">
        <f t="shared" si="52"/>
        <v>0</v>
      </c>
      <c r="AT80" s="463"/>
      <c r="AU80" s="459">
        <f t="shared" si="103"/>
        <v>0</v>
      </c>
      <c r="AV80" s="459">
        <f t="shared" si="103"/>
        <v>0</v>
      </c>
      <c r="AW80" s="459">
        <f t="shared" si="103"/>
        <v>0</v>
      </c>
      <c r="AX80" s="459">
        <f t="shared" si="103"/>
        <v>0</v>
      </c>
      <c r="AY80" s="459">
        <f t="shared" si="103"/>
        <v>0</v>
      </c>
      <c r="AZ80" s="459">
        <f t="shared" si="103"/>
        <v>0</v>
      </c>
      <c r="BA80" s="459">
        <f t="shared" si="103"/>
        <v>0</v>
      </c>
      <c r="BB80" s="459">
        <f t="shared" si="103"/>
        <v>0</v>
      </c>
      <c r="BC80" s="459">
        <f t="shared" si="103"/>
        <v>0</v>
      </c>
      <c r="BD80" s="459">
        <f t="shared" si="103"/>
        <v>0</v>
      </c>
      <c r="BE80" s="460">
        <f t="shared" si="54"/>
        <v>0</v>
      </c>
      <c r="BF80" s="463"/>
      <c r="BG80" s="459">
        <f t="shared" si="55"/>
        <v>0</v>
      </c>
      <c r="BH80" s="459">
        <f t="shared" si="55"/>
        <v>0</v>
      </c>
      <c r="BI80" s="459">
        <f t="shared" si="55"/>
        <v>0</v>
      </c>
      <c r="BJ80" s="459">
        <f t="shared" si="55"/>
        <v>0</v>
      </c>
      <c r="BK80" s="459">
        <f t="shared" si="70"/>
        <v>0</v>
      </c>
      <c r="BL80" s="459">
        <f t="shared" si="70"/>
        <v>0</v>
      </c>
      <c r="BM80" s="459">
        <f t="shared" si="70"/>
        <v>0</v>
      </c>
      <c r="BN80" s="459">
        <f t="shared" si="70"/>
        <v>0</v>
      </c>
      <c r="BO80" s="459">
        <f t="shared" si="70"/>
        <v>0</v>
      </c>
      <c r="BP80" s="459">
        <f t="shared" si="70"/>
        <v>0</v>
      </c>
      <c r="BQ80" s="460">
        <f t="shared" si="56"/>
        <v>0</v>
      </c>
      <c r="BR80" s="463"/>
      <c r="BS80" s="459">
        <f t="shared" si="104"/>
        <v>0</v>
      </c>
      <c r="BT80" s="459">
        <f t="shared" si="104"/>
        <v>0</v>
      </c>
      <c r="BU80" s="459">
        <f t="shared" si="104"/>
        <v>0</v>
      </c>
      <c r="BV80" s="459">
        <f t="shared" si="104"/>
        <v>0</v>
      </c>
      <c r="BW80" s="459">
        <f t="shared" si="104"/>
        <v>0</v>
      </c>
      <c r="BX80" s="459">
        <f t="shared" si="104"/>
        <v>0</v>
      </c>
      <c r="BY80" s="459">
        <f t="shared" si="104"/>
        <v>0</v>
      </c>
      <c r="BZ80" s="459">
        <f t="shared" si="104"/>
        <v>0</v>
      </c>
      <c r="CA80" s="459">
        <f t="shared" si="104"/>
        <v>0</v>
      </c>
      <c r="CB80" s="459">
        <f t="shared" si="104"/>
        <v>0</v>
      </c>
      <c r="CC80" s="460">
        <f t="shared" si="58"/>
        <v>0</v>
      </c>
      <c r="CD80" s="463"/>
      <c r="CE80" s="459">
        <f t="shared" si="59"/>
        <v>0</v>
      </c>
      <c r="CF80" s="459">
        <f t="shared" si="59"/>
        <v>0</v>
      </c>
      <c r="CG80" s="459">
        <f t="shared" si="59"/>
        <v>0</v>
      </c>
      <c r="CH80" s="459">
        <f t="shared" si="59"/>
        <v>0</v>
      </c>
      <c r="CI80" s="459">
        <f t="shared" si="71"/>
        <v>0</v>
      </c>
      <c r="CJ80" s="459">
        <f t="shared" si="71"/>
        <v>0</v>
      </c>
      <c r="CK80" s="459">
        <f t="shared" si="71"/>
        <v>0</v>
      </c>
      <c r="CL80" s="459">
        <f t="shared" si="71"/>
        <v>0</v>
      </c>
      <c r="CM80" s="459">
        <f t="shared" si="71"/>
        <v>0</v>
      </c>
      <c r="CN80" s="459">
        <f t="shared" si="71"/>
        <v>0</v>
      </c>
      <c r="CO80" s="460">
        <f t="shared" si="60"/>
        <v>0</v>
      </c>
      <c r="CP80" s="463"/>
      <c r="CQ80" s="459">
        <f t="shared" si="93"/>
        <v>0</v>
      </c>
      <c r="CR80" s="459">
        <f t="shared" si="94"/>
        <v>0</v>
      </c>
      <c r="CS80" s="459">
        <f t="shared" si="95"/>
        <v>0</v>
      </c>
      <c r="CT80" s="459">
        <f t="shared" si="96"/>
        <v>0</v>
      </c>
      <c r="CU80" s="459">
        <f t="shared" si="97"/>
        <v>0</v>
      </c>
      <c r="CV80" s="459">
        <f t="shared" si="98"/>
        <v>0</v>
      </c>
      <c r="CW80" s="459">
        <f t="shared" si="99"/>
        <v>0</v>
      </c>
      <c r="CX80" s="459">
        <f t="shared" si="100"/>
        <v>0</v>
      </c>
      <c r="CY80" s="459">
        <f t="shared" si="101"/>
        <v>0</v>
      </c>
      <c r="CZ80" s="459">
        <f t="shared" si="102"/>
        <v>0</v>
      </c>
      <c r="DA80" s="460">
        <f t="shared" si="61"/>
        <v>0</v>
      </c>
      <c r="DB80" s="463"/>
      <c r="DC80" s="459">
        <f t="shared" si="105"/>
        <v>0</v>
      </c>
      <c r="DD80" s="459">
        <f t="shared" si="105"/>
        <v>0</v>
      </c>
      <c r="DE80" s="459">
        <f t="shared" si="105"/>
        <v>0</v>
      </c>
      <c r="DF80" s="459">
        <f t="shared" si="105"/>
        <v>0</v>
      </c>
      <c r="DG80" s="459">
        <f t="shared" si="105"/>
        <v>0</v>
      </c>
      <c r="DH80" s="459">
        <f t="shared" si="105"/>
        <v>0</v>
      </c>
      <c r="DI80" s="459">
        <f t="shared" si="105"/>
        <v>0</v>
      </c>
      <c r="DJ80" s="459">
        <f t="shared" si="105"/>
        <v>0</v>
      </c>
      <c r="DK80" s="459">
        <f t="shared" si="105"/>
        <v>0</v>
      </c>
      <c r="DL80" s="459">
        <f t="shared" si="105"/>
        <v>0</v>
      </c>
      <c r="DM80" s="460">
        <f t="shared" si="63"/>
        <v>0</v>
      </c>
      <c r="DN80" s="463"/>
      <c r="DO80" s="459">
        <f t="shared" si="106"/>
        <v>0</v>
      </c>
      <c r="DP80" s="459">
        <f t="shared" si="106"/>
        <v>0</v>
      </c>
      <c r="DQ80" s="459">
        <f t="shared" si="106"/>
        <v>0</v>
      </c>
      <c r="DR80" s="459">
        <f t="shared" si="106"/>
        <v>0</v>
      </c>
      <c r="DS80" s="459">
        <f t="shared" si="106"/>
        <v>0</v>
      </c>
      <c r="DT80" s="459">
        <f t="shared" si="106"/>
        <v>0</v>
      </c>
      <c r="DU80" s="459">
        <f t="shared" si="106"/>
        <v>0</v>
      </c>
      <c r="DV80" s="459">
        <f t="shared" si="106"/>
        <v>0</v>
      </c>
      <c r="DW80" s="459">
        <f t="shared" si="106"/>
        <v>0</v>
      </c>
      <c r="DX80" s="459">
        <f t="shared" si="106"/>
        <v>0</v>
      </c>
      <c r="DY80" s="460">
        <f t="shared" si="64"/>
        <v>0</v>
      </c>
      <c r="DZ80" s="463"/>
      <c r="EA80" s="459">
        <f t="shared" si="107"/>
        <v>0</v>
      </c>
      <c r="EB80" s="459">
        <f t="shared" si="107"/>
        <v>0</v>
      </c>
      <c r="EC80" s="459">
        <f t="shared" si="107"/>
        <v>0</v>
      </c>
      <c r="ED80" s="459">
        <f t="shared" si="107"/>
        <v>0</v>
      </c>
      <c r="EE80" s="459">
        <f t="shared" si="107"/>
        <v>0</v>
      </c>
      <c r="EF80" s="459">
        <f t="shared" si="107"/>
        <v>0</v>
      </c>
      <c r="EG80" s="459">
        <f t="shared" si="107"/>
        <v>0</v>
      </c>
      <c r="EH80" s="459">
        <f t="shared" si="107"/>
        <v>0</v>
      </c>
      <c r="EI80" s="459">
        <f t="shared" si="107"/>
        <v>0</v>
      </c>
      <c r="EJ80" s="459">
        <f t="shared" si="107"/>
        <v>0</v>
      </c>
      <c r="EK80" s="460">
        <f t="shared" si="65"/>
        <v>0</v>
      </c>
    </row>
    <row r="81" spans="2:141" s="268" customFormat="1" ht="15" customHeight="1" x14ac:dyDescent="0.25">
      <c r="B81" s="464" t="str">
        <f>'2. START'!C$7</f>
        <v>100GEM</v>
      </c>
      <c r="C81" s="470"/>
      <c r="D81" s="593"/>
      <c r="E81" s="527">
        <v>0</v>
      </c>
      <c r="F81" s="527" t="s">
        <v>36</v>
      </c>
      <c r="G81" s="527"/>
      <c r="H81" s="515"/>
      <c r="I81" s="515"/>
      <c r="J81" s="515"/>
      <c r="K81" s="515"/>
      <c r="L81" s="515"/>
      <c r="M81" s="515"/>
      <c r="N81" s="515"/>
      <c r="O81" s="515"/>
      <c r="P81" s="515"/>
      <c r="Q81" s="515"/>
      <c r="R81" s="442">
        <f t="shared" ref="R81:R112" si="108">SUM(H81:Q81)</f>
        <v>0</v>
      </c>
      <c r="S81" s="516">
        <f>IF('2. START'!$C$20="UTB",(SUMIF('3. PARTNER'!B$13:B$80,B81,'3. PARTNER'!M$13:M$80)),(SUMIF('3. PARTNER'!B$13:B$80,B81,'3. PARTNER'!I$13:I$80)))</f>
        <v>0</v>
      </c>
      <c r="T81" s="516">
        <f>IF('2. START'!$C$20="UTB",(SUMIF('3. PARTNER'!B$13:B$80,B81,'3. PARTNER'!N$13:N$80)),(SUMIF('3. PARTNER'!B$13:B$80,B81,'3. PARTNER'!J$13:J$80)))</f>
        <v>0</v>
      </c>
      <c r="U81" s="517">
        <f>IF(F81="NO",0,IF('2. START'!C$13="PERSON+OPERATION",'2. START'!C$12,0)+IF('2. START'!C$13="PERSON+OPERATION+INVEST+FACILIT",'2. START'!C$12,0))</f>
        <v>0</v>
      </c>
      <c r="W81" s="519">
        <f t="shared" ref="W81:W112" si="109">H81*(1-$E81)</f>
        <v>0</v>
      </c>
      <c r="X81" s="519">
        <f t="shared" ref="X81:X112" si="110">I81*(1-$E81)</f>
        <v>0</v>
      </c>
      <c r="Y81" s="519">
        <f t="shared" ref="Y81:Y112" si="111">J81*(1-$E81)</f>
        <v>0</v>
      </c>
      <c r="Z81" s="519">
        <f t="shared" ref="Z81:Z112" si="112">K81*(1-$E81)</f>
        <v>0</v>
      </c>
      <c r="AA81" s="519">
        <f t="shared" ref="AA81:AA112" si="113">L81*(1-$E81)</f>
        <v>0</v>
      </c>
      <c r="AB81" s="519">
        <f t="shared" ref="AB81:AB112" si="114">M81*(1-$E81)</f>
        <v>0</v>
      </c>
      <c r="AC81" s="519">
        <f t="shared" ref="AC81:AC112" si="115">N81*(1-$E81)</f>
        <v>0</v>
      </c>
      <c r="AD81" s="519">
        <f t="shared" ref="AD81:AD112" si="116">O81*(1-$E81)</f>
        <v>0</v>
      </c>
      <c r="AE81" s="519">
        <f t="shared" ref="AE81:AE112" si="117">P81*(1-$E81)</f>
        <v>0</v>
      </c>
      <c r="AF81" s="519">
        <f t="shared" ref="AF81:AF112" si="118">Q81*(1-$E81)</f>
        <v>0</v>
      </c>
      <c r="AG81" s="520">
        <f t="shared" si="51"/>
        <v>0</v>
      </c>
      <c r="AI81" s="519">
        <f t="shared" ref="AI81:AI112" si="119">H81*$E81</f>
        <v>0</v>
      </c>
      <c r="AJ81" s="519">
        <f t="shared" ref="AJ81:AJ112" si="120">I81*$E81</f>
        <v>0</v>
      </c>
      <c r="AK81" s="519">
        <f t="shared" ref="AK81:AK112" si="121">J81*$E81</f>
        <v>0</v>
      </c>
      <c r="AL81" s="519">
        <f t="shared" ref="AL81:AL112" si="122">K81*$E81</f>
        <v>0</v>
      </c>
      <c r="AM81" s="519">
        <f t="shared" ref="AM81:AM112" si="123">L81*$E81</f>
        <v>0</v>
      </c>
      <c r="AN81" s="519">
        <f t="shared" ref="AN81:AN112" si="124">M81*$E81</f>
        <v>0</v>
      </c>
      <c r="AO81" s="519">
        <f t="shared" ref="AO81:AO112" si="125">N81*$E81</f>
        <v>0</v>
      </c>
      <c r="AP81" s="519">
        <f t="shared" ref="AP81:AP112" si="126">O81*$E81</f>
        <v>0</v>
      </c>
      <c r="AQ81" s="519">
        <f t="shared" ref="AQ81:AQ112" si="127">P81*$E81</f>
        <v>0</v>
      </c>
      <c r="AR81" s="519">
        <f t="shared" ref="AR81:AR112" si="128">Q81*$E81</f>
        <v>0</v>
      </c>
      <c r="AS81" s="520">
        <f t="shared" si="52"/>
        <v>0</v>
      </c>
      <c r="AU81" s="519">
        <f t="shared" si="103"/>
        <v>0</v>
      </c>
      <c r="AV81" s="519">
        <f t="shared" si="103"/>
        <v>0</v>
      </c>
      <c r="AW81" s="519">
        <f t="shared" si="103"/>
        <v>0</v>
      </c>
      <c r="AX81" s="519">
        <f t="shared" si="103"/>
        <v>0</v>
      </c>
      <c r="AY81" s="519">
        <f t="shared" si="103"/>
        <v>0</v>
      </c>
      <c r="AZ81" s="519">
        <f t="shared" si="103"/>
        <v>0</v>
      </c>
      <c r="BA81" s="519">
        <f t="shared" si="103"/>
        <v>0</v>
      </c>
      <c r="BB81" s="519">
        <f t="shared" si="103"/>
        <v>0</v>
      </c>
      <c r="BC81" s="519">
        <f t="shared" si="103"/>
        <v>0</v>
      </c>
      <c r="BD81" s="519">
        <f t="shared" si="103"/>
        <v>0</v>
      </c>
      <c r="BE81" s="520">
        <f t="shared" si="54"/>
        <v>0</v>
      </c>
      <c r="BG81" s="519">
        <f t="shared" si="55"/>
        <v>0</v>
      </c>
      <c r="BH81" s="519">
        <f t="shared" si="55"/>
        <v>0</v>
      </c>
      <c r="BI81" s="519">
        <f t="shared" si="55"/>
        <v>0</v>
      </c>
      <c r="BJ81" s="519">
        <f t="shared" si="55"/>
        <v>0</v>
      </c>
      <c r="BK81" s="519">
        <f t="shared" si="70"/>
        <v>0</v>
      </c>
      <c r="BL81" s="519">
        <f t="shared" si="70"/>
        <v>0</v>
      </c>
      <c r="BM81" s="519">
        <f t="shared" si="70"/>
        <v>0</v>
      </c>
      <c r="BN81" s="519">
        <f t="shared" si="70"/>
        <v>0</v>
      </c>
      <c r="BO81" s="519">
        <f t="shared" si="70"/>
        <v>0</v>
      </c>
      <c r="BP81" s="519">
        <f t="shared" si="70"/>
        <v>0</v>
      </c>
      <c r="BQ81" s="520">
        <f t="shared" si="56"/>
        <v>0</v>
      </c>
      <c r="BS81" s="519">
        <f t="shared" si="104"/>
        <v>0</v>
      </c>
      <c r="BT81" s="519">
        <f t="shared" si="104"/>
        <v>0</v>
      </c>
      <c r="BU81" s="519">
        <f t="shared" si="104"/>
        <v>0</v>
      </c>
      <c r="BV81" s="519">
        <f t="shared" si="104"/>
        <v>0</v>
      </c>
      <c r="BW81" s="519">
        <f t="shared" si="104"/>
        <v>0</v>
      </c>
      <c r="BX81" s="519">
        <f t="shared" si="104"/>
        <v>0</v>
      </c>
      <c r="BY81" s="519">
        <f t="shared" si="104"/>
        <v>0</v>
      </c>
      <c r="BZ81" s="519">
        <f t="shared" si="104"/>
        <v>0</v>
      </c>
      <c r="CA81" s="519">
        <f t="shared" si="104"/>
        <v>0</v>
      </c>
      <c r="CB81" s="519">
        <f t="shared" si="104"/>
        <v>0</v>
      </c>
      <c r="CC81" s="520">
        <f t="shared" si="58"/>
        <v>0</v>
      </c>
      <c r="CE81" s="519">
        <f t="shared" si="59"/>
        <v>0</v>
      </c>
      <c r="CF81" s="519">
        <f t="shared" si="59"/>
        <v>0</v>
      </c>
      <c r="CG81" s="519">
        <f t="shared" si="59"/>
        <v>0</v>
      </c>
      <c r="CH81" s="519">
        <f t="shared" si="59"/>
        <v>0</v>
      </c>
      <c r="CI81" s="519">
        <f t="shared" si="71"/>
        <v>0</v>
      </c>
      <c r="CJ81" s="519">
        <f t="shared" si="71"/>
        <v>0</v>
      </c>
      <c r="CK81" s="519">
        <f t="shared" si="71"/>
        <v>0</v>
      </c>
      <c r="CL81" s="519">
        <f t="shared" si="71"/>
        <v>0</v>
      </c>
      <c r="CM81" s="519">
        <f t="shared" si="71"/>
        <v>0</v>
      </c>
      <c r="CN81" s="519">
        <f t="shared" si="71"/>
        <v>0</v>
      </c>
      <c r="CO81" s="520">
        <f t="shared" si="60"/>
        <v>0</v>
      </c>
      <c r="CQ81" s="519">
        <f t="shared" ref="CQ81:CQ112" si="129">IF($F81="YES",$U81*W81,0)</f>
        <v>0</v>
      </c>
      <c r="CR81" s="519">
        <f t="shared" ref="CR81:CR112" si="130">IF($F81="YES",$U81*X81,0)</f>
        <v>0</v>
      </c>
      <c r="CS81" s="519">
        <f t="shared" ref="CS81:CS112" si="131">IF($F81="YES",$U81*Y81,0)</f>
        <v>0</v>
      </c>
      <c r="CT81" s="519">
        <f t="shared" ref="CT81:CT112" si="132">IF($F81="YES",$U81*Z81,0)</f>
        <v>0</v>
      </c>
      <c r="CU81" s="519">
        <f t="shared" ref="CU81:CU112" si="133">IF($F81="YES",$U81*AA81,0)</f>
        <v>0</v>
      </c>
      <c r="CV81" s="519">
        <f t="shared" ref="CV81:CV112" si="134">IF($F81="YES",$U81*AB81,0)</f>
        <v>0</v>
      </c>
      <c r="CW81" s="519">
        <f t="shared" ref="CW81:CW112" si="135">IF($F81="YES",$U81*AC81,0)</f>
        <v>0</v>
      </c>
      <c r="CX81" s="519">
        <f t="shared" ref="CX81:CX112" si="136">IF($F81="YES",$U81*AD81,0)</f>
        <v>0</v>
      </c>
      <c r="CY81" s="519">
        <f t="shared" ref="CY81:CY112" si="137">IF($F81="YES",$U81*AE81,0)</f>
        <v>0</v>
      </c>
      <c r="CZ81" s="519">
        <f t="shared" ref="CZ81:CZ112" si="138">IF($F81="YES",$U81*AF81,0)</f>
        <v>0</v>
      </c>
      <c r="DA81" s="520">
        <f t="shared" si="61"/>
        <v>0</v>
      </c>
      <c r="DC81" s="519">
        <f t="shared" si="105"/>
        <v>0</v>
      </c>
      <c r="DD81" s="519">
        <f t="shared" si="105"/>
        <v>0</v>
      </c>
      <c r="DE81" s="519">
        <f t="shared" si="105"/>
        <v>0</v>
      </c>
      <c r="DF81" s="519">
        <f t="shared" si="105"/>
        <v>0</v>
      </c>
      <c r="DG81" s="519">
        <f t="shared" si="105"/>
        <v>0</v>
      </c>
      <c r="DH81" s="519">
        <f t="shared" si="105"/>
        <v>0</v>
      </c>
      <c r="DI81" s="519">
        <f t="shared" si="105"/>
        <v>0</v>
      </c>
      <c r="DJ81" s="519">
        <f t="shared" si="105"/>
        <v>0</v>
      </c>
      <c r="DK81" s="519">
        <f t="shared" si="105"/>
        <v>0</v>
      </c>
      <c r="DL81" s="519">
        <f t="shared" si="105"/>
        <v>0</v>
      </c>
      <c r="DM81" s="520">
        <f t="shared" si="63"/>
        <v>0</v>
      </c>
      <c r="DO81" s="519">
        <f t="shared" si="106"/>
        <v>0</v>
      </c>
      <c r="DP81" s="519">
        <f t="shared" si="106"/>
        <v>0</v>
      </c>
      <c r="DQ81" s="519">
        <f t="shared" si="106"/>
        <v>0</v>
      </c>
      <c r="DR81" s="519">
        <f t="shared" si="106"/>
        <v>0</v>
      </c>
      <c r="DS81" s="519">
        <f t="shared" si="106"/>
        <v>0</v>
      </c>
      <c r="DT81" s="519">
        <f t="shared" si="106"/>
        <v>0</v>
      </c>
      <c r="DU81" s="519">
        <f t="shared" si="106"/>
        <v>0</v>
      </c>
      <c r="DV81" s="519">
        <f t="shared" si="106"/>
        <v>0</v>
      </c>
      <c r="DW81" s="519">
        <f t="shared" si="106"/>
        <v>0</v>
      </c>
      <c r="DX81" s="519">
        <f t="shared" si="106"/>
        <v>0</v>
      </c>
      <c r="DY81" s="520">
        <f t="shared" si="64"/>
        <v>0</v>
      </c>
      <c r="EA81" s="519">
        <f t="shared" si="107"/>
        <v>0</v>
      </c>
      <c r="EB81" s="519">
        <f t="shared" si="107"/>
        <v>0</v>
      </c>
      <c r="EC81" s="519">
        <f t="shared" si="107"/>
        <v>0</v>
      </c>
      <c r="ED81" s="519">
        <f t="shared" si="107"/>
        <v>0</v>
      </c>
      <c r="EE81" s="519">
        <f t="shared" si="107"/>
        <v>0</v>
      </c>
      <c r="EF81" s="519">
        <f t="shared" si="107"/>
        <v>0</v>
      </c>
      <c r="EG81" s="519">
        <f t="shared" si="107"/>
        <v>0</v>
      </c>
      <c r="EH81" s="519">
        <f t="shared" si="107"/>
        <v>0</v>
      </c>
      <c r="EI81" s="519">
        <f t="shared" si="107"/>
        <v>0</v>
      </c>
      <c r="EJ81" s="519">
        <f t="shared" si="107"/>
        <v>0</v>
      </c>
      <c r="EK81" s="520">
        <f t="shared" si="65"/>
        <v>0</v>
      </c>
    </row>
    <row r="82" spans="2:141" s="268" customFormat="1" ht="15" customHeight="1" x14ac:dyDescent="0.25">
      <c r="B82" s="446" t="str">
        <f>'2. START'!C$7</f>
        <v>100GEM</v>
      </c>
      <c r="C82" s="469"/>
      <c r="D82" s="594"/>
      <c r="E82" s="522">
        <v>0</v>
      </c>
      <c r="F82" s="522" t="s">
        <v>36</v>
      </c>
      <c r="G82" s="522"/>
      <c r="H82" s="523"/>
      <c r="I82" s="523"/>
      <c r="J82" s="523"/>
      <c r="K82" s="523"/>
      <c r="L82" s="523"/>
      <c r="M82" s="523"/>
      <c r="N82" s="523"/>
      <c r="O82" s="523"/>
      <c r="P82" s="523"/>
      <c r="Q82" s="523"/>
      <c r="R82" s="459">
        <f t="shared" si="108"/>
        <v>0</v>
      </c>
      <c r="S82" s="524">
        <f>IF('2. START'!$C$20="UTB",(SUMIF('3. PARTNER'!B$13:B$80,B82,'3. PARTNER'!M$13:M$80)),(SUMIF('3. PARTNER'!B$13:B$80,B82,'3. PARTNER'!I$13:I$80)))</f>
        <v>0</v>
      </c>
      <c r="T82" s="524">
        <f>IF('2. START'!$C$20="UTB",(SUMIF('3. PARTNER'!B$13:B$80,B82,'3. PARTNER'!N$13:N$80)),(SUMIF('3. PARTNER'!B$13:B$80,B82,'3. PARTNER'!J$13:J$80)))</f>
        <v>0</v>
      </c>
      <c r="U82" s="454">
        <f>IF(F82="NO",0,IF('2. START'!C$13="PERSON+OPERATION",'2. START'!C$12,0)+IF('2. START'!C$13="PERSON+OPERATION+INVEST+FACILIT",'2. START'!C$12,0))</f>
        <v>0</v>
      </c>
      <c r="V82" s="463"/>
      <c r="W82" s="459">
        <f t="shared" si="109"/>
        <v>0</v>
      </c>
      <c r="X82" s="459">
        <f t="shared" si="110"/>
        <v>0</v>
      </c>
      <c r="Y82" s="459">
        <f t="shared" si="111"/>
        <v>0</v>
      </c>
      <c r="Z82" s="459">
        <f t="shared" si="112"/>
        <v>0</v>
      </c>
      <c r="AA82" s="459">
        <f t="shared" si="113"/>
        <v>0</v>
      </c>
      <c r="AB82" s="459">
        <f t="shared" si="114"/>
        <v>0</v>
      </c>
      <c r="AC82" s="459">
        <f t="shared" si="115"/>
        <v>0</v>
      </c>
      <c r="AD82" s="459">
        <f t="shared" si="116"/>
        <v>0</v>
      </c>
      <c r="AE82" s="459">
        <f t="shared" si="117"/>
        <v>0</v>
      </c>
      <c r="AF82" s="459">
        <f t="shared" si="118"/>
        <v>0</v>
      </c>
      <c r="AG82" s="460">
        <f t="shared" ref="AG82:AG149" si="139">SUM(W82:AF82)</f>
        <v>0</v>
      </c>
      <c r="AH82" s="463"/>
      <c r="AI82" s="459">
        <f t="shared" si="119"/>
        <v>0</v>
      </c>
      <c r="AJ82" s="459">
        <f t="shared" si="120"/>
        <v>0</v>
      </c>
      <c r="AK82" s="459">
        <f t="shared" si="121"/>
        <v>0</v>
      </c>
      <c r="AL82" s="459">
        <f t="shared" si="122"/>
        <v>0</v>
      </c>
      <c r="AM82" s="459">
        <f t="shared" si="123"/>
        <v>0</v>
      </c>
      <c r="AN82" s="459">
        <f t="shared" si="124"/>
        <v>0</v>
      </c>
      <c r="AO82" s="459">
        <f t="shared" si="125"/>
        <v>0</v>
      </c>
      <c r="AP82" s="459">
        <f t="shared" si="126"/>
        <v>0</v>
      </c>
      <c r="AQ82" s="459">
        <f t="shared" si="127"/>
        <v>0</v>
      </c>
      <c r="AR82" s="459">
        <f t="shared" si="128"/>
        <v>0</v>
      </c>
      <c r="AS82" s="460">
        <f t="shared" ref="AS82:AS149" si="140">SUM(AI82:AR82)</f>
        <v>0</v>
      </c>
      <c r="AT82" s="463"/>
      <c r="AU82" s="459">
        <f t="shared" si="103"/>
        <v>0</v>
      </c>
      <c r="AV82" s="459">
        <f t="shared" si="103"/>
        <v>0</v>
      </c>
      <c r="AW82" s="459">
        <f t="shared" si="103"/>
        <v>0</v>
      </c>
      <c r="AX82" s="459">
        <f t="shared" si="103"/>
        <v>0</v>
      </c>
      <c r="AY82" s="459">
        <f t="shared" si="103"/>
        <v>0</v>
      </c>
      <c r="AZ82" s="459">
        <f t="shared" ref="AZ82:BD149" si="141">$S82*AB82</f>
        <v>0</v>
      </c>
      <c r="BA82" s="459">
        <f t="shared" si="141"/>
        <v>0</v>
      </c>
      <c r="BB82" s="459">
        <f t="shared" si="141"/>
        <v>0</v>
      </c>
      <c r="BC82" s="459">
        <f t="shared" si="141"/>
        <v>0</v>
      </c>
      <c r="BD82" s="459">
        <f t="shared" si="141"/>
        <v>0</v>
      </c>
      <c r="BE82" s="460">
        <f t="shared" ref="BE82:BE149" si="142">SUM(AU82:BD82)</f>
        <v>0</v>
      </c>
      <c r="BF82" s="463"/>
      <c r="BG82" s="459">
        <f t="shared" ref="BG82:BM149" si="143">$S82*AI82</f>
        <v>0</v>
      </c>
      <c r="BH82" s="459">
        <f t="shared" si="143"/>
        <v>0</v>
      </c>
      <c r="BI82" s="459">
        <f t="shared" si="143"/>
        <v>0</v>
      </c>
      <c r="BJ82" s="459">
        <f t="shared" si="143"/>
        <v>0</v>
      </c>
      <c r="BK82" s="459">
        <f t="shared" si="70"/>
        <v>0</v>
      </c>
      <c r="BL82" s="459">
        <f t="shared" si="70"/>
        <v>0</v>
      </c>
      <c r="BM82" s="459">
        <f t="shared" si="70"/>
        <v>0</v>
      </c>
      <c r="BN82" s="459">
        <f t="shared" si="70"/>
        <v>0</v>
      </c>
      <c r="BO82" s="459">
        <f t="shared" si="70"/>
        <v>0</v>
      </c>
      <c r="BP82" s="459">
        <f t="shared" si="70"/>
        <v>0</v>
      </c>
      <c r="BQ82" s="460">
        <f t="shared" ref="BQ82:BQ149" si="144">SUM(BG82:BP82)</f>
        <v>0</v>
      </c>
      <c r="BR82" s="463"/>
      <c r="BS82" s="459">
        <f t="shared" si="104"/>
        <v>0</v>
      </c>
      <c r="BT82" s="459">
        <f t="shared" si="104"/>
        <v>0</v>
      </c>
      <c r="BU82" s="459">
        <f t="shared" si="104"/>
        <v>0</v>
      </c>
      <c r="BV82" s="459">
        <f t="shared" si="104"/>
        <v>0</v>
      </c>
      <c r="BW82" s="459">
        <f t="shared" si="104"/>
        <v>0</v>
      </c>
      <c r="BX82" s="459">
        <f t="shared" ref="BX82:CB149" si="145">$T82*AB82</f>
        <v>0</v>
      </c>
      <c r="BY82" s="459">
        <f t="shared" si="145"/>
        <v>0</v>
      </c>
      <c r="BZ82" s="459">
        <f t="shared" si="145"/>
        <v>0</v>
      </c>
      <c r="CA82" s="459">
        <f t="shared" si="145"/>
        <v>0</v>
      </c>
      <c r="CB82" s="459">
        <f t="shared" si="145"/>
        <v>0</v>
      </c>
      <c r="CC82" s="460">
        <f t="shared" ref="CC82:CC149" si="146">SUM(BS82:CB82)</f>
        <v>0</v>
      </c>
      <c r="CD82" s="463"/>
      <c r="CE82" s="459">
        <f t="shared" ref="CE82:CK149" si="147">$T82*AI82</f>
        <v>0</v>
      </c>
      <c r="CF82" s="459">
        <f t="shared" si="147"/>
        <v>0</v>
      </c>
      <c r="CG82" s="459">
        <f t="shared" si="147"/>
        <v>0</v>
      </c>
      <c r="CH82" s="459">
        <f t="shared" si="147"/>
        <v>0</v>
      </c>
      <c r="CI82" s="459">
        <f t="shared" si="71"/>
        <v>0</v>
      </c>
      <c r="CJ82" s="459">
        <f t="shared" si="71"/>
        <v>0</v>
      </c>
      <c r="CK82" s="459">
        <f t="shared" si="71"/>
        <v>0</v>
      </c>
      <c r="CL82" s="459">
        <f t="shared" si="71"/>
        <v>0</v>
      </c>
      <c r="CM82" s="459">
        <f t="shared" si="71"/>
        <v>0</v>
      </c>
      <c r="CN82" s="459">
        <f t="shared" si="71"/>
        <v>0</v>
      </c>
      <c r="CO82" s="460">
        <f t="shared" ref="CO82:CO149" si="148">SUM(CE82:CN82)</f>
        <v>0</v>
      </c>
      <c r="CP82" s="463"/>
      <c r="CQ82" s="459">
        <f t="shared" si="129"/>
        <v>0</v>
      </c>
      <c r="CR82" s="459">
        <f t="shared" si="130"/>
        <v>0</v>
      </c>
      <c r="CS82" s="459">
        <f t="shared" si="131"/>
        <v>0</v>
      </c>
      <c r="CT82" s="459">
        <f t="shared" si="132"/>
        <v>0</v>
      </c>
      <c r="CU82" s="459">
        <f t="shared" si="133"/>
        <v>0</v>
      </c>
      <c r="CV82" s="459">
        <f t="shared" si="134"/>
        <v>0</v>
      </c>
      <c r="CW82" s="459">
        <f t="shared" si="135"/>
        <v>0</v>
      </c>
      <c r="CX82" s="459">
        <f t="shared" si="136"/>
        <v>0</v>
      </c>
      <c r="CY82" s="459">
        <f t="shared" si="137"/>
        <v>0</v>
      </c>
      <c r="CZ82" s="459">
        <f t="shared" si="138"/>
        <v>0</v>
      </c>
      <c r="DA82" s="460">
        <f t="shared" ref="DA82:DA149" si="149">SUM(CQ82:CZ82)</f>
        <v>0</v>
      </c>
      <c r="DB82" s="463"/>
      <c r="DC82" s="459">
        <f t="shared" si="105"/>
        <v>0</v>
      </c>
      <c r="DD82" s="459">
        <f t="shared" si="105"/>
        <v>0</v>
      </c>
      <c r="DE82" s="459">
        <f t="shared" si="105"/>
        <v>0</v>
      </c>
      <c r="DF82" s="459">
        <f t="shared" si="105"/>
        <v>0</v>
      </c>
      <c r="DG82" s="459">
        <f t="shared" si="105"/>
        <v>0</v>
      </c>
      <c r="DH82" s="459">
        <f t="shared" ref="DH82:DL149" si="150">AZ82+BX82-CV82</f>
        <v>0</v>
      </c>
      <c r="DI82" s="459">
        <f t="shared" si="150"/>
        <v>0</v>
      </c>
      <c r="DJ82" s="459">
        <f t="shared" si="150"/>
        <v>0</v>
      </c>
      <c r="DK82" s="459">
        <f t="shared" si="150"/>
        <v>0</v>
      </c>
      <c r="DL82" s="459">
        <f t="shared" si="150"/>
        <v>0</v>
      </c>
      <c r="DM82" s="460">
        <f t="shared" ref="DM82:DM149" si="151">SUM(DC82:DL82)</f>
        <v>0</v>
      </c>
      <c r="DN82" s="463"/>
      <c r="DO82" s="459">
        <f t="shared" si="106"/>
        <v>0</v>
      </c>
      <c r="DP82" s="459">
        <f t="shared" si="106"/>
        <v>0</v>
      </c>
      <c r="DQ82" s="459">
        <f t="shared" si="106"/>
        <v>0</v>
      </c>
      <c r="DR82" s="459">
        <f t="shared" si="106"/>
        <v>0</v>
      </c>
      <c r="DS82" s="459">
        <f t="shared" si="106"/>
        <v>0</v>
      </c>
      <c r="DT82" s="459">
        <f t="shared" si="106"/>
        <v>0</v>
      </c>
      <c r="DU82" s="459">
        <f t="shared" si="106"/>
        <v>0</v>
      </c>
      <c r="DV82" s="459">
        <f t="shared" si="106"/>
        <v>0</v>
      </c>
      <c r="DW82" s="459">
        <f t="shared" si="106"/>
        <v>0</v>
      </c>
      <c r="DX82" s="459">
        <f t="shared" si="106"/>
        <v>0</v>
      </c>
      <c r="DY82" s="460">
        <f t="shared" ref="DY82:DY149" si="152">SUM(DO82:DX82)</f>
        <v>0</v>
      </c>
      <c r="DZ82" s="463"/>
      <c r="EA82" s="459">
        <f t="shared" si="107"/>
        <v>0</v>
      </c>
      <c r="EB82" s="459">
        <f t="shared" si="107"/>
        <v>0</v>
      </c>
      <c r="EC82" s="459">
        <f t="shared" si="107"/>
        <v>0</v>
      </c>
      <c r="ED82" s="459">
        <f t="shared" si="107"/>
        <v>0</v>
      </c>
      <c r="EE82" s="459">
        <f t="shared" si="107"/>
        <v>0</v>
      </c>
      <c r="EF82" s="459">
        <f t="shared" si="107"/>
        <v>0</v>
      </c>
      <c r="EG82" s="459">
        <f t="shared" si="107"/>
        <v>0</v>
      </c>
      <c r="EH82" s="459">
        <f t="shared" si="107"/>
        <v>0</v>
      </c>
      <c r="EI82" s="459">
        <f t="shared" si="107"/>
        <v>0</v>
      </c>
      <c r="EJ82" s="459">
        <f t="shared" si="107"/>
        <v>0</v>
      </c>
      <c r="EK82" s="460">
        <f t="shared" ref="EK82:EK149" si="153">SUM(EA82:EJ82)</f>
        <v>0</v>
      </c>
    </row>
    <row r="83" spans="2:141" s="268" customFormat="1" ht="15" customHeight="1" x14ac:dyDescent="0.25">
      <c r="B83" s="464" t="str">
        <f>'2. START'!C$7</f>
        <v>100GEM</v>
      </c>
      <c r="C83" s="470"/>
      <c r="D83" s="593"/>
      <c r="E83" s="527">
        <v>0</v>
      </c>
      <c r="F83" s="527" t="s">
        <v>36</v>
      </c>
      <c r="G83" s="527"/>
      <c r="H83" s="515"/>
      <c r="I83" s="515"/>
      <c r="J83" s="515"/>
      <c r="K83" s="515"/>
      <c r="L83" s="515"/>
      <c r="M83" s="515"/>
      <c r="N83" s="515"/>
      <c r="O83" s="515"/>
      <c r="P83" s="515"/>
      <c r="Q83" s="515"/>
      <c r="R83" s="442">
        <f t="shared" si="108"/>
        <v>0</v>
      </c>
      <c r="S83" s="516">
        <f>IF('2. START'!$C$20="UTB",(SUMIF('3. PARTNER'!B$13:B$80,B83,'3. PARTNER'!M$13:M$80)),(SUMIF('3. PARTNER'!B$13:B$80,B83,'3. PARTNER'!I$13:I$80)))</f>
        <v>0</v>
      </c>
      <c r="T83" s="516">
        <f>IF('2. START'!$C$20="UTB",(SUMIF('3. PARTNER'!B$13:B$80,B83,'3. PARTNER'!N$13:N$80)),(SUMIF('3. PARTNER'!B$13:B$80,B83,'3. PARTNER'!J$13:J$80)))</f>
        <v>0</v>
      </c>
      <c r="U83" s="517">
        <f>IF(F83="NO",0,IF('2. START'!C$13="PERSON+OPERATION",'2. START'!C$12,0)+IF('2. START'!C$13="PERSON+OPERATION+INVEST+FACILIT",'2. START'!C$12,0))</f>
        <v>0</v>
      </c>
      <c r="W83" s="519">
        <f t="shared" si="109"/>
        <v>0</v>
      </c>
      <c r="X83" s="519">
        <f t="shared" si="110"/>
        <v>0</v>
      </c>
      <c r="Y83" s="519">
        <f t="shared" si="111"/>
        <v>0</v>
      </c>
      <c r="Z83" s="519">
        <f t="shared" si="112"/>
        <v>0</v>
      </c>
      <c r="AA83" s="519">
        <f t="shared" si="113"/>
        <v>0</v>
      </c>
      <c r="AB83" s="519">
        <f t="shared" si="114"/>
        <v>0</v>
      </c>
      <c r="AC83" s="519">
        <f t="shared" si="115"/>
        <v>0</v>
      </c>
      <c r="AD83" s="519">
        <f t="shared" si="116"/>
        <v>0</v>
      </c>
      <c r="AE83" s="519">
        <f t="shared" si="117"/>
        <v>0</v>
      </c>
      <c r="AF83" s="519">
        <f t="shared" si="118"/>
        <v>0</v>
      </c>
      <c r="AG83" s="520">
        <f t="shared" si="139"/>
        <v>0</v>
      </c>
      <c r="AI83" s="519">
        <f t="shared" si="119"/>
        <v>0</v>
      </c>
      <c r="AJ83" s="519">
        <f t="shared" si="120"/>
        <v>0</v>
      </c>
      <c r="AK83" s="519">
        <f t="shared" si="121"/>
        <v>0</v>
      </c>
      <c r="AL83" s="519">
        <f t="shared" si="122"/>
        <v>0</v>
      </c>
      <c r="AM83" s="519">
        <f t="shared" si="123"/>
        <v>0</v>
      </c>
      <c r="AN83" s="519">
        <f t="shared" si="124"/>
        <v>0</v>
      </c>
      <c r="AO83" s="519">
        <f t="shared" si="125"/>
        <v>0</v>
      </c>
      <c r="AP83" s="519">
        <f t="shared" si="126"/>
        <v>0</v>
      </c>
      <c r="AQ83" s="519">
        <f t="shared" si="127"/>
        <v>0</v>
      </c>
      <c r="AR83" s="519">
        <f t="shared" si="128"/>
        <v>0</v>
      </c>
      <c r="AS83" s="520">
        <f t="shared" si="140"/>
        <v>0</v>
      </c>
      <c r="AU83" s="519">
        <f t="shared" ref="AU83:AY149" si="154">$S83*W83</f>
        <v>0</v>
      </c>
      <c r="AV83" s="519">
        <f t="shared" si="154"/>
        <v>0</v>
      </c>
      <c r="AW83" s="519">
        <f t="shared" si="154"/>
        <v>0</v>
      </c>
      <c r="AX83" s="519">
        <f t="shared" si="154"/>
        <v>0</v>
      </c>
      <c r="AY83" s="519">
        <f t="shared" si="154"/>
        <v>0</v>
      </c>
      <c r="AZ83" s="519">
        <f t="shared" si="141"/>
        <v>0</v>
      </c>
      <c r="BA83" s="519">
        <f t="shared" si="141"/>
        <v>0</v>
      </c>
      <c r="BB83" s="519">
        <f t="shared" si="141"/>
        <v>0</v>
      </c>
      <c r="BC83" s="519">
        <f t="shared" si="141"/>
        <v>0</v>
      </c>
      <c r="BD83" s="519">
        <f t="shared" si="141"/>
        <v>0</v>
      </c>
      <c r="BE83" s="520">
        <f t="shared" si="142"/>
        <v>0</v>
      </c>
      <c r="BG83" s="519">
        <f t="shared" si="143"/>
        <v>0</v>
      </c>
      <c r="BH83" s="519">
        <f t="shared" si="143"/>
        <v>0</v>
      </c>
      <c r="BI83" s="519">
        <f t="shared" si="143"/>
        <v>0</v>
      </c>
      <c r="BJ83" s="519">
        <f t="shared" si="143"/>
        <v>0</v>
      </c>
      <c r="BK83" s="519">
        <f t="shared" si="70"/>
        <v>0</v>
      </c>
      <c r="BL83" s="519">
        <f t="shared" si="70"/>
        <v>0</v>
      </c>
      <c r="BM83" s="519">
        <f t="shared" si="70"/>
        <v>0</v>
      </c>
      <c r="BN83" s="519">
        <f t="shared" si="70"/>
        <v>0</v>
      </c>
      <c r="BO83" s="519">
        <f t="shared" si="70"/>
        <v>0</v>
      </c>
      <c r="BP83" s="519">
        <f t="shared" si="70"/>
        <v>0</v>
      </c>
      <c r="BQ83" s="520">
        <f t="shared" si="144"/>
        <v>0</v>
      </c>
      <c r="BS83" s="519">
        <f t="shared" ref="BS83:BW149" si="155">$T83*W83</f>
        <v>0</v>
      </c>
      <c r="BT83" s="519">
        <f t="shared" si="155"/>
        <v>0</v>
      </c>
      <c r="BU83" s="519">
        <f t="shared" si="155"/>
        <v>0</v>
      </c>
      <c r="BV83" s="519">
        <f t="shared" si="155"/>
        <v>0</v>
      </c>
      <c r="BW83" s="519">
        <f t="shared" si="155"/>
        <v>0</v>
      </c>
      <c r="BX83" s="519">
        <f t="shared" si="145"/>
        <v>0</v>
      </c>
      <c r="BY83" s="519">
        <f t="shared" si="145"/>
        <v>0</v>
      </c>
      <c r="BZ83" s="519">
        <f t="shared" si="145"/>
        <v>0</v>
      </c>
      <c r="CA83" s="519">
        <f t="shared" si="145"/>
        <v>0</v>
      </c>
      <c r="CB83" s="519">
        <f t="shared" si="145"/>
        <v>0</v>
      </c>
      <c r="CC83" s="520">
        <f t="shared" si="146"/>
        <v>0</v>
      </c>
      <c r="CE83" s="519">
        <f t="shared" si="147"/>
        <v>0</v>
      </c>
      <c r="CF83" s="519">
        <f t="shared" si="147"/>
        <v>0</v>
      </c>
      <c r="CG83" s="519">
        <f t="shared" si="147"/>
        <v>0</v>
      </c>
      <c r="CH83" s="519">
        <f t="shared" si="147"/>
        <v>0</v>
      </c>
      <c r="CI83" s="519">
        <f t="shared" si="71"/>
        <v>0</v>
      </c>
      <c r="CJ83" s="519">
        <f t="shared" si="71"/>
        <v>0</v>
      </c>
      <c r="CK83" s="519">
        <f t="shared" si="71"/>
        <v>0</v>
      </c>
      <c r="CL83" s="519">
        <f t="shared" si="71"/>
        <v>0</v>
      </c>
      <c r="CM83" s="519">
        <f t="shared" si="71"/>
        <v>0</v>
      </c>
      <c r="CN83" s="519">
        <f t="shared" si="71"/>
        <v>0</v>
      </c>
      <c r="CO83" s="520">
        <f t="shared" si="148"/>
        <v>0</v>
      </c>
      <c r="CQ83" s="519">
        <f t="shared" si="129"/>
        <v>0</v>
      </c>
      <c r="CR83" s="519">
        <f t="shared" si="130"/>
        <v>0</v>
      </c>
      <c r="CS83" s="519">
        <f t="shared" si="131"/>
        <v>0</v>
      </c>
      <c r="CT83" s="519">
        <f t="shared" si="132"/>
        <v>0</v>
      </c>
      <c r="CU83" s="519">
        <f t="shared" si="133"/>
        <v>0</v>
      </c>
      <c r="CV83" s="519">
        <f t="shared" si="134"/>
        <v>0</v>
      </c>
      <c r="CW83" s="519">
        <f t="shared" si="135"/>
        <v>0</v>
      </c>
      <c r="CX83" s="519">
        <f t="shared" si="136"/>
        <v>0</v>
      </c>
      <c r="CY83" s="519">
        <f t="shared" si="137"/>
        <v>0</v>
      </c>
      <c r="CZ83" s="519">
        <f t="shared" si="138"/>
        <v>0</v>
      </c>
      <c r="DA83" s="520">
        <f t="shared" si="149"/>
        <v>0</v>
      </c>
      <c r="DC83" s="519">
        <f t="shared" ref="DC83:DG149" si="156">AU83+BS83-CQ83</f>
        <v>0</v>
      </c>
      <c r="DD83" s="519">
        <f t="shared" si="156"/>
        <v>0</v>
      </c>
      <c r="DE83" s="519">
        <f t="shared" si="156"/>
        <v>0</v>
      </c>
      <c r="DF83" s="519">
        <f t="shared" si="156"/>
        <v>0</v>
      </c>
      <c r="DG83" s="519">
        <f t="shared" si="156"/>
        <v>0</v>
      </c>
      <c r="DH83" s="519">
        <f t="shared" si="150"/>
        <v>0</v>
      </c>
      <c r="DI83" s="519">
        <f t="shared" si="150"/>
        <v>0</v>
      </c>
      <c r="DJ83" s="519">
        <f t="shared" si="150"/>
        <v>0</v>
      </c>
      <c r="DK83" s="519">
        <f t="shared" si="150"/>
        <v>0</v>
      </c>
      <c r="DL83" s="519">
        <f t="shared" si="150"/>
        <v>0</v>
      </c>
      <c r="DM83" s="520">
        <f t="shared" si="151"/>
        <v>0</v>
      </c>
      <c r="DO83" s="519">
        <f t="shared" si="106"/>
        <v>0</v>
      </c>
      <c r="DP83" s="519">
        <f t="shared" si="106"/>
        <v>0</v>
      </c>
      <c r="DQ83" s="519">
        <f t="shared" si="106"/>
        <v>0</v>
      </c>
      <c r="DR83" s="519">
        <f t="shared" si="106"/>
        <v>0</v>
      </c>
      <c r="DS83" s="519">
        <f t="shared" si="106"/>
        <v>0</v>
      </c>
      <c r="DT83" s="519">
        <f t="shared" si="106"/>
        <v>0</v>
      </c>
      <c r="DU83" s="519">
        <f t="shared" si="106"/>
        <v>0</v>
      </c>
      <c r="DV83" s="519">
        <f t="shared" si="106"/>
        <v>0</v>
      </c>
      <c r="DW83" s="519">
        <f t="shared" si="106"/>
        <v>0</v>
      </c>
      <c r="DX83" s="519">
        <f t="shared" si="106"/>
        <v>0</v>
      </c>
      <c r="DY83" s="520">
        <f t="shared" si="152"/>
        <v>0</v>
      </c>
      <c r="EA83" s="519">
        <f t="shared" si="107"/>
        <v>0</v>
      </c>
      <c r="EB83" s="519">
        <f t="shared" si="107"/>
        <v>0</v>
      </c>
      <c r="EC83" s="519">
        <f t="shared" si="107"/>
        <v>0</v>
      </c>
      <c r="ED83" s="519">
        <f t="shared" si="107"/>
        <v>0</v>
      </c>
      <c r="EE83" s="519">
        <f t="shared" si="107"/>
        <v>0</v>
      </c>
      <c r="EF83" s="519">
        <f t="shared" si="107"/>
        <v>0</v>
      </c>
      <c r="EG83" s="519">
        <f t="shared" si="107"/>
        <v>0</v>
      </c>
      <c r="EH83" s="519">
        <f t="shared" si="107"/>
        <v>0</v>
      </c>
      <c r="EI83" s="519">
        <f t="shared" si="107"/>
        <v>0</v>
      </c>
      <c r="EJ83" s="519">
        <f t="shared" si="107"/>
        <v>0</v>
      </c>
      <c r="EK83" s="520">
        <f t="shared" si="153"/>
        <v>0</v>
      </c>
    </row>
    <row r="84" spans="2:141" s="268" customFormat="1" ht="15" customHeight="1" x14ac:dyDescent="0.25">
      <c r="B84" s="446" t="str">
        <f>'2. START'!C$7</f>
        <v>100GEM</v>
      </c>
      <c r="C84" s="469"/>
      <c r="D84" s="594"/>
      <c r="E84" s="522">
        <v>0</v>
      </c>
      <c r="F84" s="522" t="s">
        <v>36</v>
      </c>
      <c r="G84" s="522"/>
      <c r="H84" s="523"/>
      <c r="I84" s="523"/>
      <c r="J84" s="523"/>
      <c r="K84" s="523"/>
      <c r="L84" s="523"/>
      <c r="M84" s="523"/>
      <c r="N84" s="523"/>
      <c r="O84" s="523"/>
      <c r="P84" s="523"/>
      <c r="Q84" s="523"/>
      <c r="R84" s="459">
        <f t="shared" si="108"/>
        <v>0</v>
      </c>
      <c r="S84" s="524">
        <f>IF('2. START'!$C$20="UTB",(SUMIF('3. PARTNER'!B$13:B$80,B84,'3. PARTNER'!M$13:M$80)),(SUMIF('3. PARTNER'!B$13:B$80,B84,'3. PARTNER'!I$13:I$80)))</f>
        <v>0</v>
      </c>
      <c r="T84" s="524">
        <f>IF('2. START'!$C$20="UTB",(SUMIF('3. PARTNER'!B$13:B$80,B84,'3. PARTNER'!N$13:N$80)),(SUMIF('3. PARTNER'!B$13:B$80,B84,'3. PARTNER'!J$13:J$80)))</f>
        <v>0</v>
      </c>
      <c r="U84" s="454">
        <f>IF(F84="NO",0,IF('2. START'!C$13="PERSON+OPERATION",'2. START'!C$12,0)+IF('2. START'!C$13="PERSON+OPERATION+INVEST+FACILIT",'2. START'!C$12,0))</f>
        <v>0</v>
      </c>
      <c r="V84" s="463"/>
      <c r="W84" s="459">
        <f t="shared" si="109"/>
        <v>0</v>
      </c>
      <c r="X84" s="459">
        <f t="shared" si="110"/>
        <v>0</v>
      </c>
      <c r="Y84" s="459">
        <f t="shared" si="111"/>
        <v>0</v>
      </c>
      <c r="Z84" s="459">
        <f t="shared" si="112"/>
        <v>0</v>
      </c>
      <c r="AA84" s="459">
        <f t="shared" si="113"/>
        <v>0</v>
      </c>
      <c r="AB84" s="459">
        <f t="shared" si="114"/>
        <v>0</v>
      </c>
      <c r="AC84" s="459">
        <f t="shared" si="115"/>
        <v>0</v>
      </c>
      <c r="AD84" s="459">
        <f t="shared" si="116"/>
        <v>0</v>
      </c>
      <c r="AE84" s="459">
        <f t="shared" si="117"/>
        <v>0</v>
      </c>
      <c r="AF84" s="459">
        <f t="shared" si="118"/>
        <v>0</v>
      </c>
      <c r="AG84" s="460">
        <f t="shared" si="139"/>
        <v>0</v>
      </c>
      <c r="AH84" s="463"/>
      <c r="AI84" s="459">
        <f t="shared" si="119"/>
        <v>0</v>
      </c>
      <c r="AJ84" s="459">
        <f t="shared" si="120"/>
        <v>0</v>
      </c>
      <c r="AK84" s="459">
        <f t="shared" si="121"/>
        <v>0</v>
      </c>
      <c r="AL84" s="459">
        <f t="shared" si="122"/>
        <v>0</v>
      </c>
      <c r="AM84" s="459">
        <f t="shared" si="123"/>
        <v>0</v>
      </c>
      <c r="AN84" s="459">
        <f t="shared" si="124"/>
        <v>0</v>
      </c>
      <c r="AO84" s="459">
        <f t="shared" si="125"/>
        <v>0</v>
      </c>
      <c r="AP84" s="459">
        <f t="shared" si="126"/>
        <v>0</v>
      </c>
      <c r="AQ84" s="459">
        <f t="shared" si="127"/>
        <v>0</v>
      </c>
      <c r="AR84" s="459">
        <f t="shared" si="128"/>
        <v>0</v>
      </c>
      <c r="AS84" s="460">
        <f t="shared" si="140"/>
        <v>0</v>
      </c>
      <c r="AT84" s="463"/>
      <c r="AU84" s="459">
        <f t="shared" si="154"/>
        <v>0</v>
      </c>
      <c r="AV84" s="459">
        <f t="shared" si="154"/>
        <v>0</v>
      </c>
      <c r="AW84" s="459">
        <f t="shared" si="154"/>
        <v>0</v>
      </c>
      <c r="AX84" s="459">
        <f t="shared" si="154"/>
        <v>0</v>
      </c>
      <c r="AY84" s="459">
        <f t="shared" si="154"/>
        <v>0</v>
      </c>
      <c r="AZ84" s="459">
        <f t="shared" si="141"/>
        <v>0</v>
      </c>
      <c r="BA84" s="459">
        <f t="shared" si="141"/>
        <v>0</v>
      </c>
      <c r="BB84" s="459">
        <f t="shared" si="141"/>
        <v>0</v>
      </c>
      <c r="BC84" s="459">
        <f t="shared" si="141"/>
        <v>0</v>
      </c>
      <c r="BD84" s="459">
        <f t="shared" si="141"/>
        <v>0</v>
      </c>
      <c r="BE84" s="460">
        <f t="shared" si="142"/>
        <v>0</v>
      </c>
      <c r="BF84" s="463"/>
      <c r="BG84" s="459">
        <f t="shared" si="143"/>
        <v>0</v>
      </c>
      <c r="BH84" s="459">
        <f t="shared" si="143"/>
        <v>0</v>
      </c>
      <c r="BI84" s="459">
        <f t="shared" si="143"/>
        <v>0</v>
      </c>
      <c r="BJ84" s="459">
        <f t="shared" si="143"/>
        <v>0</v>
      </c>
      <c r="BK84" s="459">
        <f t="shared" si="70"/>
        <v>0</v>
      </c>
      <c r="BL84" s="459">
        <f t="shared" si="70"/>
        <v>0</v>
      </c>
      <c r="BM84" s="459">
        <f t="shared" si="70"/>
        <v>0</v>
      </c>
      <c r="BN84" s="459">
        <f t="shared" si="70"/>
        <v>0</v>
      </c>
      <c r="BO84" s="459">
        <f t="shared" si="70"/>
        <v>0</v>
      </c>
      <c r="BP84" s="459">
        <f t="shared" si="70"/>
        <v>0</v>
      </c>
      <c r="BQ84" s="460">
        <f t="shared" si="144"/>
        <v>0</v>
      </c>
      <c r="BR84" s="463"/>
      <c r="BS84" s="459">
        <f t="shared" si="155"/>
        <v>0</v>
      </c>
      <c r="BT84" s="459">
        <f t="shared" si="155"/>
        <v>0</v>
      </c>
      <c r="BU84" s="459">
        <f t="shared" si="155"/>
        <v>0</v>
      </c>
      <c r="BV84" s="459">
        <f t="shared" si="155"/>
        <v>0</v>
      </c>
      <c r="BW84" s="459">
        <f t="shared" si="155"/>
        <v>0</v>
      </c>
      <c r="BX84" s="459">
        <f t="shared" si="145"/>
        <v>0</v>
      </c>
      <c r="BY84" s="459">
        <f t="shared" si="145"/>
        <v>0</v>
      </c>
      <c r="BZ84" s="459">
        <f t="shared" si="145"/>
        <v>0</v>
      </c>
      <c r="CA84" s="459">
        <f t="shared" si="145"/>
        <v>0</v>
      </c>
      <c r="CB84" s="459">
        <f t="shared" si="145"/>
        <v>0</v>
      </c>
      <c r="CC84" s="460">
        <f t="shared" si="146"/>
        <v>0</v>
      </c>
      <c r="CD84" s="463"/>
      <c r="CE84" s="459">
        <f t="shared" si="147"/>
        <v>0</v>
      </c>
      <c r="CF84" s="459">
        <f t="shared" si="147"/>
        <v>0</v>
      </c>
      <c r="CG84" s="459">
        <f t="shared" si="147"/>
        <v>0</v>
      </c>
      <c r="CH84" s="459">
        <f t="shared" si="147"/>
        <v>0</v>
      </c>
      <c r="CI84" s="459">
        <f t="shared" si="71"/>
        <v>0</v>
      </c>
      <c r="CJ84" s="459">
        <f t="shared" si="71"/>
        <v>0</v>
      </c>
      <c r="CK84" s="459">
        <f t="shared" si="71"/>
        <v>0</v>
      </c>
      <c r="CL84" s="459">
        <f t="shared" si="71"/>
        <v>0</v>
      </c>
      <c r="CM84" s="459">
        <f t="shared" si="71"/>
        <v>0</v>
      </c>
      <c r="CN84" s="459">
        <f t="shared" si="71"/>
        <v>0</v>
      </c>
      <c r="CO84" s="460">
        <f t="shared" si="148"/>
        <v>0</v>
      </c>
      <c r="CP84" s="463"/>
      <c r="CQ84" s="459">
        <f t="shared" si="129"/>
        <v>0</v>
      </c>
      <c r="CR84" s="459">
        <f t="shared" si="130"/>
        <v>0</v>
      </c>
      <c r="CS84" s="459">
        <f t="shared" si="131"/>
        <v>0</v>
      </c>
      <c r="CT84" s="459">
        <f t="shared" si="132"/>
        <v>0</v>
      </c>
      <c r="CU84" s="459">
        <f t="shared" si="133"/>
        <v>0</v>
      </c>
      <c r="CV84" s="459">
        <f t="shared" si="134"/>
        <v>0</v>
      </c>
      <c r="CW84" s="459">
        <f t="shared" si="135"/>
        <v>0</v>
      </c>
      <c r="CX84" s="459">
        <f t="shared" si="136"/>
        <v>0</v>
      </c>
      <c r="CY84" s="459">
        <f t="shared" si="137"/>
        <v>0</v>
      </c>
      <c r="CZ84" s="459">
        <f t="shared" si="138"/>
        <v>0</v>
      </c>
      <c r="DA84" s="460">
        <f t="shared" si="149"/>
        <v>0</v>
      </c>
      <c r="DB84" s="463"/>
      <c r="DC84" s="459">
        <f t="shared" si="156"/>
        <v>0</v>
      </c>
      <c r="DD84" s="459">
        <f t="shared" si="156"/>
        <v>0</v>
      </c>
      <c r="DE84" s="459">
        <f t="shared" si="156"/>
        <v>0</v>
      </c>
      <c r="DF84" s="459">
        <f t="shared" si="156"/>
        <v>0</v>
      </c>
      <c r="DG84" s="459">
        <f t="shared" si="156"/>
        <v>0</v>
      </c>
      <c r="DH84" s="459">
        <f t="shared" si="150"/>
        <v>0</v>
      </c>
      <c r="DI84" s="459">
        <f t="shared" si="150"/>
        <v>0</v>
      </c>
      <c r="DJ84" s="459">
        <f t="shared" si="150"/>
        <v>0</v>
      </c>
      <c r="DK84" s="459">
        <f t="shared" si="150"/>
        <v>0</v>
      </c>
      <c r="DL84" s="459">
        <f t="shared" si="150"/>
        <v>0</v>
      </c>
      <c r="DM84" s="460">
        <f t="shared" si="151"/>
        <v>0</v>
      </c>
      <c r="DN84" s="463"/>
      <c r="DO84" s="459">
        <f t="shared" si="106"/>
        <v>0</v>
      </c>
      <c r="DP84" s="459">
        <f t="shared" si="106"/>
        <v>0</v>
      </c>
      <c r="DQ84" s="459">
        <f t="shared" si="106"/>
        <v>0</v>
      </c>
      <c r="DR84" s="459">
        <f t="shared" si="106"/>
        <v>0</v>
      </c>
      <c r="DS84" s="459">
        <f t="shared" si="106"/>
        <v>0</v>
      </c>
      <c r="DT84" s="459">
        <f t="shared" si="106"/>
        <v>0</v>
      </c>
      <c r="DU84" s="459">
        <f t="shared" si="106"/>
        <v>0</v>
      </c>
      <c r="DV84" s="459">
        <f t="shared" si="106"/>
        <v>0</v>
      </c>
      <c r="DW84" s="459">
        <f t="shared" si="106"/>
        <v>0</v>
      </c>
      <c r="DX84" s="459">
        <f t="shared" si="106"/>
        <v>0</v>
      </c>
      <c r="DY84" s="460">
        <f t="shared" si="152"/>
        <v>0</v>
      </c>
      <c r="DZ84" s="463"/>
      <c r="EA84" s="459">
        <f t="shared" si="107"/>
        <v>0</v>
      </c>
      <c r="EB84" s="459">
        <f t="shared" si="107"/>
        <v>0</v>
      </c>
      <c r="EC84" s="459">
        <f t="shared" si="107"/>
        <v>0</v>
      </c>
      <c r="ED84" s="459">
        <f t="shared" si="107"/>
        <v>0</v>
      </c>
      <c r="EE84" s="459">
        <f t="shared" si="107"/>
        <v>0</v>
      </c>
      <c r="EF84" s="459">
        <f t="shared" si="107"/>
        <v>0</v>
      </c>
      <c r="EG84" s="459">
        <f t="shared" si="107"/>
        <v>0</v>
      </c>
      <c r="EH84" s="459">
        <f t="shared" si="107"/>
        <v>0</v>
      </c>
      <c r="EI84" s="459">
        <f t="shared" si="107"/>
        <v>0</v>
      </c>
      <c r="EJ84" s="459">
        <f t="shared" si="107"/>
        <v>0</v>
      </c>
      <c r="EK84" s="460">
        <f t="shared" si="153"/>
        <v>0</v>
      </c>
    </row>
    <row r="85" spans="2:141" s="268" customFormat="1" ht="15" customHeight="1" x14ac:dyDescent="0.25">
      <c r="B85" s="464" t="str">
        <f>'2. START'!C$7</f>
        <v>100GEM</v>
      </c>
      <c r="C85" s="470"/>
      <c r="D85" s="593"/>
      <c r="E85" s="527">
        <v>0</v>
      </c>
      <c r="F85" s="527" t="s">
        <v>36</v>
      </c>
      <c r="G85" s="527"/>
      <c r="H85" s="515"/>
      <c r="I85" s="515"/>
      <c r="J85" s="515"/>
      <c r="K85" s="515"/>
      <c r="L85" s="515"/>
      <c r="M85" s="515"/>
      <c r="N85" s="515"/>
      <c r="O85" s="515"/>
      <c r="P85" s="515"/>
      <c r="Q85" s="515"/>
      <c r="R85" s="442">
        <f t="shared" si="108"/>
        <v>0</v>
      </c>
      <c r="S85" s="516">
        <f>IF('2. START'!$C$20="UTB",(SUMIF('3. PARTNER'!B$13:B$80,B85,'3. PARTNER'!M$13:M$80)),(SUMIF('3. PARTNER'!B$13:B$80,B85,'3. PARTNER'!I$13:I$80)))</f>
        <v>0</v>
      </c>
      <c r="T85" s="516">
        <f>IF('2. START'!$C$20="UTB",(SUMIF('3. PARTNER'!B$13:B$80,B85,'3. PARTNER'!N$13:N$80)),(SUMIF('3. PARTNER'!B$13:B$80,B85,'3. PARTNER'!J$13:J$80)))</f>
        <v>0</v>
      </c>
      <c r="U85" s="517">
        <f>IF(F85="NO",0,IF('2. START'!C$13="PERSON+OPERATION",'2. START'!C$12,0)+IF('2. START'!C$13="PERSON+OPERATION+INVEST+FACILIT",'2. START'!C$12,0))</f>
        <v>0</v>
      </c>
      <c r="W85" s="519">
        <f t="shared" si="109"/>
        <v>0</v>
      </c>
      <c r="X85" s="519">
        <f t="shared" si="110"/>
        <v>0</v>
      </c>
      <c r="Y85" s="519">
        <f t="shared" si="111"/>
        <v>0</v>
      </c>
      <c r="Z85" s="519">
        <f t="shared" si="112"/>
        <v>0</v>
      </c>
      <c r="AA85" s="519">
        <f t="shared" si="113"/>
        <v>0</v>
      </c>
      <c r="AB85" s="519">
        <f t="shared" si="114"/>
        <v>0</v>
      </c>
      <c r="AC85" s="519">
        <f t="shared" si="115"/>
        <v>0</v>
      </c>
      <c r="AD85" s="519">
        <f t="shared" si="116"/>
        <v>0</v>
      </c>
      <c r="AE85" s="519">
        <f t="shared" si="117"/>
        <v>0</v>
      </c>
      <c r="AF85" s="519">
        <f t="shared" si="118"/>
        <v>0</v>
      </c>
      <c r="AG85" s="520">
        <f t="shared" si="139"/>
        <v>0</v>
      </c>
      <c r="AI85" s="519">
        <f t="shared" si="119"/>
        <v>0</v>
      </c>
      <c r="AJ85" s="519">
        <f t="shared" si="120"/>
        <v>0</v>
      </c>
      <c r="AK85" s="519">
        <f t="shared" si="121"/>
        <v>0</v>
      </c>
      <c r="AL85" s="519">
        <f t="shared" si="122"/>
        <v>0</v>
      </c>
      <c r="AM85" s="519">
        <f t="shared" si="123"/>
        <v>0</v>
      </c>
      <c r="AN85" s="519">
        <f t="shared" si="124"/>
        <v>0</v>
      </c>
      <c r="AO85" s="519">
        <f t="shared" si="125"/>
        <v>0</v>
      </c>
      <c r="AP85" s="519">
        <f t="shared" si="126"/>
        <v>0</v>
      </c>
      <c r="AQ85" s="519">
        <f t="shared" si="127"/>
        <v>0</v>
      </c>
      <c r="AR85" s="519">
        <f t="shared" si="128"/>
        <v>0</v>
      </c>
      <c r="AS85" s="520">
        <f t="shared" si="140"/>
        <v>0</v>
      </c>
      <c r="AU85" s="519">
        <f t="shared" si="154"/>
        <v>0</v>
      </c>
      <c r="AV85" s="519">
        <f t="shared" si="154"/>
        <v>0</v>
      </c>
      <c r="AW85" s="519">
        <f t="shared" si="154"/>
        <v>0</v>
      </c>
      <c r="AX85" s="519">
        <f t="shared" si="154"/>
        <v>0</v>
      </c>
      <c r="AY85" s="519">
        <f t="shared" si="154"/>
        <v>0</v>
      </c>
      <c r="AZ85" s="519">
        <f t="shared" si="141"/>
        <v>0</v>
      </c>
      <c r="BA85" s="519">
        <f t="shared" si="141"/>
        <v>0</v>
      </c>
      <c r="BB85" s="519">
        <f t="shared" si="141"/>
        <v>0</v>
      </c>
      <c r="BC85" s="519">
        <f t="shared" si="141"/>
        <v>0</v>
      </c>
      <c r="BD85" s="519">
        <f t="shared" si="141"/>
        <v>0</v>
      </c>
      <c r="BE85" s="520">
        <f t="shared" si="142"/>
        <v>0</v>
      </c>
      <c r="BG85" s="519">
        <f t="shared" si="143"/>
        <v>0</v>
      </c>
      <c r="BH85" s="519">
        <f t="shared" si="143"/>
        <v>0</v>
      </c>
      <c r="BI85" s="519">
        <f t="shared" si="143"/>
        <v>0</v>
      </c>
      <c r="BJ85" s="519">
        <f t="shared" si="143"/>
        <v>0</v>
      </c>
      <c r="BK85" s="519">
        <f t="shared" si="70"/>
        <v>0</v>
      </c>
      <c r="BL85" s="519">
        <f t="shared" si="70"/>
        <v>0</v>
      </c>
      <c r="BM85" s="519">
        <f t="shared" si="70"/>
        <v>0</v>
      </c>
      <c r="BN85" s="519">
        <f t="shared" si="70"/>
        <v>0</v>
      </c>
      <c r="BO85" s="519">
        <f t="shared" si="70"/>
        <v>0</v>
      </c>
      <c r="BP85" s="519">
        <f t="shared" si="70"/>
        <v>0</v>
      </c>
      <c r="BQ85" s="520">
        <f t="shared" si="144"/>
        <v>0</v>
      </c>
      <c r="BS85" s="519">
        <f t="shared" si="155"/>
        <v>0</v>
      </c>
      <c r="BT85" s="519">
        <f t="shared" si="155"/>
        <v>0</v>
      </c>
      <c r="BU85" s="519">
        <f t="shared" si="155"/>
        <v>0</v>
      </c>
      <c r="BV85" s="519">
        <f t="shared" si="155"/>
        <v>0</v>
      </c>
      <c r="BW85" s="519">
        <f t="shared" si="155"/>
        <v>0</v>
      </c>
      <c r="BX85" s="519">
        <f t="shared" si="145"/>
        <v>0</v>
      </c>
      <c r="BY85" s="519">
        <f t="shared" si="145"/>
        <v>0</v>
      </c>
      <c r="BZ85" s="519">
        <f t="shared" si="145"/>
        <v>0</v>
      </c>
      <c r="CA85" s="519">
        <f t="shared" si="145"/>
        <v>0</v>
      </c>
      <c r="CB85" s="519">
        <f t="shared" si="145"/>
        <v>0</v>
      </c>
      <c r="CC85" s="520">
        <f t="shared" si="146"/>
        <v>0</v>
      </c>
      <c r="CE85" s="519">
        <f t="shared" si="147"/>
        <v>0</v>
      </c>
      <c r="CF85" s="519">
        <f t="shared" si="147"/>
        <v>0</v>
      </c>
      <c r="CG85" s="519">
        <f t="shared" si="147"/>
        <v>0</v>
      </c>
      <c r="CH85" s="519">
        <f t="shared" si="147"/>
        <v>0</v>
      </c>
      <c r="CI85" s="519">
        <f t="shared" si="71"/>
        <v>0</v>
      </c>
      <c r="CJ85" s="519">
        <f t="shared" si="71"/>
        <v>0</v>
      </c>
      <c r="CK85" s="519">
        <f t="shared" si="71"/>
        <v>0</v>
      </c>
      <c r="CL85" s="519">
        <f t="shared" si="71"/>
        <v>0</v>
      </c>
      <c r="CM85" s="519">
        <f t="shared" si="71"/>
        <v>0</v>
      </c>
      <c r="CN85" s="519">
        <f t="shared" si="71"/>
        <v>0</v>
      </c>
      <c r="CO85" s="520">
        <f t="shared" si="148"/>
        <v>0</v>
      </c>
      <c r="CQ85" s="519">
        <f t="shared" si="129"/>
        <v>0</v>
      </c>
      <c r="CR85" s="519">
        <f t="shared" si="130"/>
        <v>0</v>
      </c>
      <c r="CS85" s="519">
        <f t="shared" si="131"/>
        <v>0</v>
      </c>
      <c r="CT85" s="519">
        <f t="shared" si="132"/>
        <v>0</v>
      </c>
      <c r="CU85" s="519">
        <f t="shared" si="133"/>
        <v>0</v>
      </c>
      <c r="CV85" s="519">
        <f t="shared" si="134"/>
        <v>0</v>
      </c>
      <c r="CW85" s="519">
        <f t="shared" si="135"/>
        <v>0</v>
      </c>
      <c r="CX85" s="519">
        <f t="shared" si="136"/>
        <v>0</v>
      </c>
      <c r="CY85" s="519">
        <f t="shared" si="137"/>
        <v>0</v>
      </c>
      <c r="CZ85" s="519">
        <f t="shared" si="138"/>
        <v>0</v>
      </c>
      <c r="DA85" s="520">
        <f t="shared" si="149"/>
        <v>0</v>
      </c>
      <c r="DC85" s="519">
        <f t="shared" si="156"/>
        <v>0</v>
      </c>
      <c r="DD85" s="519">
        <f t="shared" si="156"/>
        <v>0</v>
      </c>
      <c r="DE85" s="519">
        <f t="shared" si="156"/>
        <v>0</v>
      </c>
      <c r="DF85" s="519">
        <f t="shared" si="156"/>
        <v>0</v>
      </c>
      <c r="DG85" s="519">
        <f t="shared" si="156"/>
        <v>0</v>
      </c>
      <c r="DH85" s="519">
        <f t="shared" si="150"/>
        <v>0</v>
      </c>
      <c r="DI85" s="519">
        <f t="shared" si="150"/>
        <v>0</v>
      </c>
      <c r="DJ85" s="519">
        <f t="shared" si="150"/>
        <v>0</v>
      </c>
      <c r="DK85" s="519">
        <f t="shared" si="150"/>
        <v>0</v>
      </c>
      <c r="DL85" s="519">
        <f t="shared" si="150"/>
        <v>0</v>
      </c>
      <c r="DM85" s="520">
        <f t="shared" si="151"/>
        <v>0</v>
      </c>
      <c r="DO85" s="519">
        <f t="shared" si="106"/>
        <v>0</v>
      </c>
      <c r="DP85" s="519">
        <f t="shared" si="106"/>
        <v>0</v>
      </c>
      <c r="DQ85" s="519">
        <f t="shared" si="106"/>
        <v>0</v>
      </c>
      <c r="DR85" s="519">
        <f t="shared" si="106"/>
        <v>0</v>
      </c>
      <c r="DS85" s="519">
        <f t="shared" si="106"/>
        <v>0</v>
      </c>
      <c r="DT85" s="519">
        <f t="shared" si="106"/>
        <v>0</v>
      </c>
      <c r="DU85" s="519">
        <f t="shared" si="106"/>
        <v>0</v>
      </c>
      <c r="DV85" s="519">
        <f t="shared" si="106"/>
        <v>0</v>
      </c>
      <c r="DW85" s="519">
        <f t="shared" si="106"/>
        <v>0</v>
      </c>
      <c r="DX85" s="519">
        <f t="shared" si="106"/>
        <v>0</v>
      </c>
      <c r="DY85" s="520">
        <f t="shared" si="152"/>
        <v>0</v>
      </c>
      <c r="EA85" s="519">
        <f t="shared" si="107"/>
        <v>0</v>
      </c>
      <c r="EB85" s="519">
        <f t="shared" si="107"/>
        <v>0</v>
      </c>
      <c r="EC85" s="519">
        <f t="shared" si="107"/>
        <v>0</v>
      </c>
      <c r="ED85" s="519">
        <f t="shared" si="107"/>
        <v>0</v>
      </c>
      <c r="EE85" s="519">
        <f t="shared" si="107"/>
        <v>0</v>
      </c>
      <c r="EF85" s="519">
        <f t="shared" si="107"/>
        <v>0</v>
      </c>
      <c r="EG85" s="519">
        <f t="shared" si="107"/>
        <v>0</v>
      </c>
      <c r="EH85" s="519">
        <f t="shared" si="107"/>
        <v>0</v>
      </c>
      <c r="EI85" s="519">
        <f t="shared" si="107"/>
        <v>0</v>
      </c>
      <c r="EJ85" s="519">
        <f t="shared" si="107"/>
        <v>0</v>
      </c>
      <c r="EK85" s="520">
        <f t="shared" si="153"/>
        <v>0</v>
      </c>
    </row>
    <row r="86" spans="2:141" s="268" customFormat="1" ht="15" customHeight="1" x14ac:dyDescent="0.25">
      <c r="B86" s="446" t="str">
        <f>'2. START'!C$7</f>
        <v>100GEM</v>
      </c>
      <c r="C86" s="469"/>
      <c r="D86" s="594"/>
      <c r="E86" s="522">
        <v>0</v>
      </c>
      <c r="F86" s="522" t="s">
        <v>36</v>
      </c>
      <c r="G86" s="522"/>
      <c r="H86" s="523"/>
      <c r="I86" s="523"/>
      <c r="J86" s="523"/>
      <c r="K86" s="523"/>
      <c r="L86" s="523"/>
      <c r="M86" s="523"/>
      <c r="N86" s="523"/>
      <c r="O86" s="523"/>
      <c r="P86" s="523"/>
      <c r="Q86" s="523"/>
      <c r="R86" s="459">
        <f t="shared" si="108"/>
        <v>0</v>
      </c>
      <c r="S86" s="524">
        <f>IF('2. START'!$C$20="UTB",(SUMIF('3. PARTNER'!B$13:B$80,B86,'3. PARTNER'!M$13:M$80)),(SUMIF('3. PARTNER'!B$13:B$80,B86,'3. PARTNER'!I$13:I$80)))</f>
        <v>0</v>
      </c>
      <c r="T86" s="524">
        <f>IF('2. START'!$C$20="UTB",(SUMIF('3. PARTNER'!B$13:B$80,B86,'3. PARTNER'!N$13:N$80)),(SUMIF('3. PARTNER'!B$13:B$80,B86,'3. PARTNER'!J$13:J$80)))</f>
        <v>0</v>
      </c>
      <c r="U86" s="454">
        <f>IF(F86="NO",0,IF('2. START'!C$13="PERSON+OPERATION",'2. START'!C$12,0)+IF('2. START'!C$13="PERSON+OPERATION+INVEST+FACILIT",'2. START'!C$12,0))</f>
        <v>0</v>
      </c>
      <c r="V86" s="463"/>
      <c r="W86" s="459">
        <f t="shared" si="109"/>
        <v>0</v>
      </c>
      <c r="X86" s="459">
        <f t="shared" si="110"/>
        <v>0</v>
      </c>
      <c r="Y86" s="459">
        <f t="shared" si="111"/>
        <v>0</v>
      </c>
      <c r="Z86" s="459">
        <f t="shared" si="112"/>
        <v>0</v>
      </c>
      <c r="AA86" s="459">
        <f t="shared" si="113"/>
        <v>0</v>
      </c>
      <c r="AB86" s="459">
        <f t="shared" si="114"/>
        <v>0</v>
      </c>
      <c r="AC86" s="459">
        <f t="shared" si="115"/>
        <v>0</v>
      </c>
      <c r="AD86" s="459">
        <f t="shared" si="116"/>
        <v>0</v>
      </c>
      <c r="AE86" s="459">
        <f t="shared" si="117"/>
        <v>0</v>
      </c>
      <c r="AF86" s="459">
        <f t="shared" si="118"/>
        <v>0</v>
      </c>
      <c r="AG86" s="460">
        <f t="shared" si="139"/>
        <v>0</v>
      </c>
      <c r="AH86" s="463"/>
      <c r="AI86" s="459">
        <f t="shared" si="119"/>
        <v>0</v>
      </c>
      <c r="AJ86" s="459">
        <f t="shared" si="120"/>
        <v>0</v>
      </c>
      <c r="AK86" s="459">
        <f t="shared" si="121"/>
        <v>0</v>
      </c>
      <c r="AL86" s="459">
        <f t="shared" si="122"/>
        <v>0</v>
      </c>
      <c r="AM86" s="459">
        <f t="shared" si="123"/>
        <v>0</v>
      </c>
      <c r="AN86" s="459">
        <f t="shared" si="124"/>
        <v>0</v>
      </c>
      <c r="AO86" s="459">
        <f t="shared" si="125"/>
        <v>0</v>
      </c>
      <c r="AP86" s="459">
        <f t="shared" si="126"/>
        <v>0</v>
      </c>
      <c r="AQ86" s="459">
        <f t="shared" si="127"/>
        <v>0</v>
      </c>
      <c r="AR86" s="459">
        <f t="shared" si="128"/>
        <v>0</v>
      </c>
      <c r="AS86" s="460">
        <f t="shared" si="140"/>
        <v>0</v>
      </c>
      <c r="AT86" s="463"/>
      <c r="AU86" s="459">
        <f t="shared" si="154"/>
        <v>0</v>
      </c>
      <c r="AV86" s="459">
        <f t="shared" si="154"/>
        <v>0</v>
      </c>
      <c r="AW86" s="459">
        <f t="shared" si="154"/>
        <v>0</v>
      </c>
      <c r="AX86" s="459">
        <f t="shared" si="154"/>
        <v>0</v>
      </c>
      <c r="AY86" s="459">
        <f t="shared" si="154"/>
        <v>0</v>
      </c>
      <c r="AZ86" s="459">
        <f t="shared" si="141"/>
        <v>0</v>
      </c>
      <c r="BA86" s="459">
        <f t="shared" si="141"/>
        <v>0</v>
      </c>
      <c r="BB86" s="459">
        <f t="shared" si="141"/>
        <v>0</v>
      </c>
      <c r="BC86" s="459">
        <f t="shared" si="141"/>
        <v>0</v>
      </c>
      <c r="BD86" s="459">
        <f t="shared" si="141"/>
        <v>0</v>
      </c>
      <c r="BE86" s="460">
        <f t="shared" si="142"/>
        <v>0</v>
      </c>
      <c r="BF86" s="463"/>
      <c r="BG86" s="459">
        <f t="shared" si="143"/>
        <v>0</v>
      </c>
      <c r="BH86" s="459">
        <f t="shared" si="143"/>
        <v>0</v>
      </c>
      <c r="BI86" s="459">
        <f t="shared" si="143"/>
        <v>0</v>
      </c>
      <c r="BJ86" s="459">
        <f t="shared" si="143"/>
        <v>0</v>
      </c>
      <c r="BK86" s="459">
        <f t="shared" si="70"/>
        <v>0</v>
      </c>
      <c r="BL86" s="459">
        <f t="shared" si="70"/>
        <v>0</v>
      </c>
      <c r="BM86" s="459">
        <f t="shared" si="70"/>
        <v>0</v>
      </c>
      <c r="BN86" s="459">
        <f t="shared" si="70"/>
        <v>0</v>
      </c>
      <c r="BO86" s="459">
        <f t="shared" si="70"/>
        <v>0</v>
      </c>
      <c r="BP86" s="459">
        <f t="shared" si="70"/>
        <v>0</v>
      </c>
      <c r="BQ86" s="460">
        <f t="shared" si="144"/>
        <v>0</v>
      </c>
      <c r="BR86" s="463"/>
      <c r="BS86" s="459">
        <f t="shared" si="155"/>
        <v>0</v>
      </c>
      <c r="BT86" s="459">
        <f t="shared" si="155"/>
        <v>0</v>
      </c>
      <c r="BU86" s="459">
        <f t="shared" si="155"/>
        <v>0</v>
      </c>
      <c r="BV86" s="459">
        <f t="shared" si="155"/>
        <v>0</v>
      </c>
      <c r="BW86" s="459">
        <f t="shared" si="155"/>
        <v>0</v>
      </c>
      <c r="BX86" s="459">
        <f t="shared" si="145"/>
        <v>0</v>
      </c>
      <c r="BY86" s="459">
        <f t="shared" si="145"/>
        <v>0</v>
      </c>
      <c r="BZ86" s="459">
        <f t="shared" si="145"/>
        <v>0</v>
      </c>
      <c r="CA86" s="459">
        <f t="shared" si="145"/>
        <v>0</v>
      </c>
      <c r="CB86" s="459">
        <f t="shared" si="145"/>
        <v>0</v>
      </c>
      <c r="CC86" s="460">
        <f t="shared" si="146"/>
        <v>0</v>
      </c>
      <c r="CD86" s="463"/>
      <c r="CE86" s="459">
        <f t="shared" si="147"/>
        <v>0</v>
      </c>
      <c r="CF86" s="459">
        <f t="shared" si="147"/>
        <v>0</v>
      </c>
      <c r="CG86" s="459">
        <f t="shared" si="147"/>
        <v>0</v>
      </c>
      <c r="CH86" s="459">
        <f t="shared" si="147"/>
        <v>0</v>
      </c>
      <c r="CI86" s="459">
        <f t="shared" si="71"/>
        <v>0</v>
      </c>
      <c r="CJ86" s="459">
        <f t="shared" si="71"/>
        <v>0</v>
      </c>
      <c r="CK86" s="459">
        <f t="shared" si="71"/>
        <v>0</v>
      </c>
      <c r="CL86" s="459">
        <f t="shared" si="71"/>
        <v>0</v>
      </c>
      <c r="CM86" s="459">
        <f t="shared" si="71"/>
        <v>0</v>
      </c>
      <c r="CN86" s="459">
        <f t="shared" si="71"/>
        <v>0</v>
      </c>
      <c r="CO86" s="460">
        <f t="shared" si="148"/>
        <v>0</v>
      </c>
      <c r="CP86" s="463"/>
      <c r="CQ86" s="459">
        <f t="shared" si="129"/>
        <v>0</v>
      </c>
      <c r="CR86" s="459">
        <f t="shared" si="130"/>
        <v>0</v>
      </c>
      <c r="CS86" s="459">
        <f t="shared" si="131"/>
        <v>0</v>
      </c>
      <c r="CT86" s="459">
        <f t="shared" si="132"/>
        <v>0</v>
      </c>
      <c r="CU86" s="459">
        <f t="shared" si="133"/>
        <v>0</v>
      </c>
      <c r="CV86" s="459">
        <f t="shared" si="134"/>
        <v>0</v>
      </c>
      <c r="CW86" s="459">
        <f t="shared" si="135"/>
        <v>0</v>
      </c>
      <c r="CX86" s="459">
        <f t="shared" si="136"/>
        <v>0</v>
      </c>
      <c r="CY86" s="459">
        <f t="shared" si="137"/>
        <v>0</v>
      </c>
      <c r="CZ86" s="459">
        <f t="shared" si="138"/>
        <v>0</v>
      </c>
      <c r="DA86" s="460">
        <f t="shared" si="149"/>
        <v>0</v>
      </c>
      <c r="DB86" s="463"/>
      <c r="DC86" s="459">
        <f t="shared" si="156"/>
        <v>0</v>
      </c>
      <c r="DD86" s="459">
        <f t="shared" si="156"/>
        <v>0</v>
      </c>
      <c r="DE86" s="459">
        <f t="shared" si="156"/>
        <v>0</v>
      </c>
      <c r="DF86" s="459">
        <f t="shared" si="156"/>
        <v>0</v>
      </c>
      <c r="DG86" s="459">
        <f t="shared" si="156"/>
        <v>0</v>
      </c>
      <c r="DH86" s="459">
        <f t="shared" si="150"/>
        <v>0</v>
      </c>
      <c r="DI86" s="459">
        <f t="shared" si="150"/>
        <v>0</v>
      </c>
      <c r="DJ86" s="459">
        <f t="shared" si="150"/>
        <v>0</v>
      </c>
      <c r="DK86" s="459">
        <f t="shared" si="150"/>
        <v>0</v>
      </c>
      <c r="DL86" s="459">
        <f t="shared" si="150"/>
        <v>0</v>
      </c>
      <c r="DM86" s="460">
        <f t="shared" si="151"/>
        <v>0</v>
      </c>
      <c r="DN86" s="463"/>
      <c r="DO86" s="459">
        <f t="shared" si="106"/>
        <v>0</v>
      </c>
      <c r="DP86" s="459">
        <f t="shared" si="106"/>
        <v>0</v>
      </c>
      <c r="DQ86" s="459">
        <f t="shared" si="106"/>
        <v>0</v>
      </c>
      <c r="DR86" s="459">
        <f t="shared" si="106"/>
        <v>0</v>
      </c>
      <c r="DS86" s="459">
        <f t="shared" si="106"/>
        <v>0</v>
      </c>
      <c r="DT86" s="459">
        <f t="shared" si="106"/>
        <v>0</v>
      </c>
      <c r="DU86" s="459">
        <f t="shared" si="106"/>
        <v>0</v>
      </c>
      <c r="DV86" s="459">
        <f t="shared" si="106"/>
        <v>0</v>
      </c>
      <c r="DW86" s="459">
        <f t="shared" si="106"/>
        <v>0</v>
      </c>
      <c r="DX86" s="459">
        <f t="shared" si="106"/>
        <v>0</v>
      </c>
      <c r="DY86" s="460">
        <f t="shared" si="152"/>
        <v>0</v>
      </c>
      <c r="DZ86" s="463"/>
      <c r="EA86" s="459">
        <f t="shared" si="107"/>
        <v>0</v>
      </c>
      <c r="EB86" s="459">
        <f t="shared" si="107"/>
        <v>0</v>
      </c>
      <c r="EC86" s="459">
        <f t="shared" si="107"/>
        <v>0</v>
      </c>
      <c r="ED86" s="459">
        <f t="shared" si="107"/>
        <v>0</v>
      </c>
      <c r="EE86" s="459">
        <f t="shared" si="107"/>
        <v>0</v>
      </c>
      <c r="EF86" s="459">
        <f t="shared" si="107"/>
        <v>0</v>
      </c>
      <c r="EG86" s="459">
        <f t="shared" si="107"/>
        <v>0</v>
      </c>
      <c r="EH86" s="459">
        <f t="shared" si="107"/>
        <v>0</v>
      </c>
      <c r="EI86" s="459">
        <f t="shared" si="107"/>
        <v>0</v>
      </c>
      <c r="EJ86" s="459">
        <f t="shared" si="107"/>
        <v>0</v>
      </c>
      <c r="EK86" s="460">
        <f t="shared" si="153"/>
        <v>0</v>
      </c>
    </row>
    <row r="87" spans="2:141" s="268" customFormat="1" ht="15" customHeight="1" x14ac:dyDescent="0.25">
      <c r="B87" s="464" t="str">
        <f>'2. START'!C$7</f>
        <v>100GEM</v>
      </c>
      <c r="C87" s="470"/>
      <c r="D87" s="593"/>
      <c r="E87" s="527">
        <v>0</v>
      </c>
      <c r="F87" s="527" t="s">
        <v>36</v>
      </c>
      <c r="G87" s="527"/>
      <c r="H87" s="515"/>
      <c r="I87" s="515"/>
      <c r="J87" s="515"/>
      <c r="K87" s="515"/>
      <c r="L87" s="515"/>
      <c r="M87" s="515"/>
      <c r="N87" s="515"/>
      <c r="O87" s="515"/>
      <c r="P87" s="515"/>
      <c r="Q87" s="515"/>
      <c r="R87" s="442">
        <f t="shared" si="108"/>
        <v>0</v>
      </c>
      <c r="S87" s="516">
        <f>IF('2. START'!$C$20="UTB",(SUMIF('3. PARTNER'!B$13:B$80,B87,'3. PARTNER'!M$13:M$80)),(SUMIF('3. PARTNER'!B$13:B$80,B87,'3. PARTNER'!I$13:I$80)))</f>
        <v>0</v>
      </c>
      <c r="T87" s="516">
        <f>IF('2. START'!$C$20="UTB",(SUMIF('3. PARTNER'!B$13:B$80,B87,'3. PARTNER'!N$13:N$80)),(SUMIF('3. PARTNER'!B$13:B$80,B87,'3. PARTNER'!J$13:J$80)))</f>
        <v>0</v>
      </c>
      <c r="U87" s="517">
        <f>IF(F87="NO",0,IF('2. START'!C$13="PERSON+OPERATION",'2. START'!C$12,0)+IF('2. START'!C$13="PERSON+OPERATION+INVEST+FACILIT",'2. START'!C$12,0))</f>
        <v>0</v>
      </c>
      <c r="W87" s="519">
        <f t="shared" si="109"/>
        <v>0</v>
      </c>
      <c r="X87" s="519">
        <f t="shared" si="110"/>
        <v>0</v>
      </c>
      <c r="Y87" s="519">
        <f t="shared" si="111"/>
        <v>0</v>
      </c>
      <c r="Z87" s="519">
        <f t="shared" si="112"/>
        <v>0</v>
      </c>
      <c r="AA87" s="519">
        <f t="shared" si="113"/>
        <v>0</v>
      </c>
      <c r="AB87" s="519">
        <f t="shared" si="114"/>
        <v>0</v>
      </c>
      <c r="AC87" s="519">
        <f t="shared" si="115"/>
        <v>0</v>
      </c>
      <c r="AD87" s="519">
        <f t="shared" si="116"/>
        <v>0</v>
      </c>
      <c r="AE87" s="519">
        <f t="shared" si="117"/>
        <v>0</v>
      </c>
      <c r="AF87" s="519">
        <f t="shared" si="118"/>
        <v>0</v>
      </c>
      <c r="AG87" s="520">
        <f t="shared" si="139"/>
        <v>0</v>
      </c>
      <c r="AI87" s="519">
        <f t="shared" si="119"/>
        <v>0</v>
      </c>
      <c r="AJ87" s="519">
        <f t="shared" si="120"/>
        <v>0</v>
      </c>
      <c r="AK87" s="519">
        <f t="shared" si="121"/>
        <v>0</v>
      </c>
      <c r="AL87" s="519">
        <f t="shared" si="122"/>
        <v>0</v>
      </c>
      <c r="AM87" s="519">
        <f t="shared" si="123"/>
        <v>0</v>
      </c>
      <c r="AN87" s="519">
        <f t="shared" si="124"/>
        <v>0</v>
      </c>
      <c r="AO87" s="519">
        <f t="shared" si="125"/>
        <v>0</v>
      </c>
      <c r="AP87" s="519">
        <f t="shared" si="126"/>
        <v>0</v>
      </c>
      <c r="AQ87" s="519">
        <f t="shared" si="127"/>
        <v>0</v>
      </c>
      <c r="AR87" s="519">
        <f t="shared" si="128"/>
        <v>0</v>
      </c>
      <c r="AS87" s="520">
        <f t="shared" si="140"/>
        <v>0</v>
      </c>
      <c r="AU87" s="519">
        <f t="shared" si="154"/>
        <v>0</v>
      </c>
      <c r="AV87" s="519">
        <f t="shared" si="154"/>
        <v>0</v>
      </c>
      <c r="AW87" s="519">
        <f t="shared" si="154"/>
        <v>0</v>
      </c>
      <c r="AX87" s="519">
        <f t="shared" si="154"/>
        <v>0</v>
      </c>
      <c r="AY87" s="519">
        <f t="shared" si="154"/>
        <v>0</v>
      </c>
      <c r="AZ87" s="519">
        <f t="shared" si="141"/>
        <v>0</v>
      </c>
      <c r="BA87" s="519">
        <f t="shared" si="141"/>
        <v>0</v>
      </c>
      <c r="BB87" s="519">
        <f t="shared" si="141"/>
        <v>0</v>
      </c>
      <c r="BC87" s="519">
        <f t="shared" si="141"/>
        <v>0</v>
      </c>
      <c r="BD87" s="519">
        <f t="shared" si="141"/>
        <v>0</v>
      </c>
      <c r="BE87" s="520">
        <f t="shared" si="142"/>
        <v>0</v>
      </c>
      <c r="BG87" s="519">
        <f t="shared" si="143"/>
        <v>0</v>
      </c>
      <c r="BH87" s="519">
        <f t="shared" si="143"/>
        <v>0</v>
      </c>
      <c r="BI87" s="519">
        <f t="shared" si="143"/>
        <v>0</v>
      </c>
      <c r="BJ87" s="519">
        <f t="shared" si="143"/>
        <v>0</v>
      </c>
      <c r="BK87" s="519">
        <f t="shared" si="70"/>
        <v>0</v>
      </c>
      <c r="BL87" s="519">
        <f t="shared" si="70"/>
        <v>0</v>
      </c>
      <c r="BM87" s="519">
        <f t="shared" si="70"/>
        <v>0</v>
      </c>
      <c r="BN87" s="519">
        <f t="shared" ref="BN87:BP149" si="157">$S87*AP87</f>
        <v>0</v>
      </c>
      <c r="BO87" s="519">
        <f t="shared" si="157"/>
        <v>0</v>
      </c>
      <c r="BP87" s="519">
        <f t="shared" si="157"/>
        <v>0</v>
      </c>
      <c r="BQ87" s="520">
        <f t="shared" si="144"/>
        <v>0</v>
      </c>
      <c r="BS87" s="519">
        <f t="shared" si="155"/>
        <v>0</v>
      </c>
      <c r="BT87" s="519">
        <f t="shared" si="155"/>
        <v>0</v>
      </c>
      <c r="BU87" s="519">
        <f t="shared" si="155"/>
        <v>0</v>
      </c>
      <c r="BV87" s="519">
        <f t="shared" si="155"/>
        <v>0</v>
      </c>
      <c r="BW87" s="519">
        <f t="shared" si="155"/>
        <v>0</v>
      </c>
      <c r="BX87" s="519">
        <f t="shared" si="145"/>
        <v>0</v>
      </c>
      <c r="BY87" s="519">
        <f t="shared" si="145"/>
        <v>0</v>
      </c>
      <c r="BZ87" s="519">
        <f t="shared" si="145"/>
        <v>0</v>
      </c>
      <c r="CA87" s="519">
        <f t="shared" si="145"/>
        <v>0</v>
      </c>
      <c r="CB87" s="519">
        <f t="shared" si="145"/>
        <v>0</v>
      </c>
      <c r="CC87" s="520">
        <f t="shared" si="146"/>
        <v>0</v>
      </c>
      <c r="CE87" s="519">
        <f t="shared" si="147"/>
        <v>0</v>
      </c>
      <c r="CF87" s="519">
        <f t="shared" si="147"/>
        <v>0</v>
      </c>
      <c r="CG87" s="519">
        <f t="shared" si="147"/>
        <v>0</v>
      </c>
      <c r="CH87" s="519">
        <f t="shared" si="147"/>
        <v>0</v>
      </c>
      <c r="CI87" s="519">
        <f t="shared" si="71"/>
        <v>0</v>
      </c>
      <c r="CJ87" s="519">
        <f t="shared" si="71"/>
        <v>0</v>
      </c>
      <c r="CK87" s="519">
        <f t="shared" si="71"/>
        <v>0</v>
      </c>
      <c r="CL87" s="519">
        <f t="shared" ref="CL87:CN149" si="158">$T87*AP87</f>
        <v>0</v>
      </c>
      <c r="CM87" s="519">
        <f t="shared" si="158"/>
        <v>0</v>
      </c>
      <c r="CN87" s="519">
        <f t="shared" si="158"/>
        <v>0</v>
      </c>
      <c r="CO87" s="520">
        <f t="shared" si="148"/>
        <v>0</v>
      </c>
      <c r="CQ87" s="519">
        <f t="shared" si="129"/>
        <v>0</v>
      </c>
      <c r="CR87" s="519">
        <f t="shared" si="130"/>
        <v>0</v>
      </c>
      <c r="CS87" s="519">
        <f t="shared" si="131"/>
        <v>0</v>
      </c>
      <c r="CT87" s="519">
        <f t="shared" si="132"/>
        <v>0</v>
      </c>
      <c r="CU87" s="519">
        <f t="shared" si="133"/>
        <v>0</v>
      </c>
      <c r="CV87" s="519">
        <f t="shared" si="134"/>
        <v>0</v>
      </c>
      <c r="CW87" s="519">
        <f t="shared" si="135"/>
        <v>0</v>
      </c>
      <c r="CX87" s="519">
        <f t="shared" si="136"/>
        <v>0</v>
      </c>
      <c r="CY87" s="519">
        <f t="shared" si="137"/>
        <v>0</v>
      </c>
      <c r="CZ87" s="519">
        <f t="shared" si="138"/>
        <v>0</v>
      </c>
      <c r="DA87" s="520">
        <f t="shared" si="149"/>
        <v>0</v>
      </c>
      <c r="DC87" s="519">
        <f t="shared" si="156"/>
        <v>0</v>
      </c>
      <c r="DD87" s="519">
        <f t="shared" si="156"/>
        <v>0</v>
      </c>
      <c r="DE87" s="519">
        <f t="shared" si="156"/>
        <v>0</v>
      </c>
      <c r="DF87" s="519">
        <f t="shared" si="156"/>
        <v>0</v>
      </c>
      <c r="DG87" s="519">
        <f t="shared" si="156"/>
        <v>0</v>
      </c>
      <c r="DH87" s="519">
        <f t="shared" si="150"/>
        <v>0</v>
      </c>
      <c r="DI87" s="519">
        <f t="shared" si="150"/>
        <v>0</v>
      </c>
      <c r="DJ87" s="519">
        <f t="shared" si="150"/>
        <v>0</v>
      </c>
      <c r="DK87" s="519">
        <f t="shared" si="150"/>
        <v>0</v>
      </c>
      <c r="DL87" s="519">
        <f t="shared" si="150"/>
        <v>0</v>
      </c>
      <c r="DM87" s="520">
        <f t="shared" si="151"/>
        <v>0</v>
      </c>
      <c r="DO87" s="519">
        <f t="shared" si="106"/>
        <v>0</v>
      </c>
      <c r="DP87" s="519">
        <f t="shared" si="106"/>
        <v>0</v>
      </c>
      <c r="DQ87" s="519">
        <f t="shared" si="106"/>
        <v>0</v>
      </c>
      <c r="DR87" s="519">
        <f t="shared" si="106"/>
        <v>0</v>
      </c>
      <c r="DS87" s="519">
        <f t="shared" si="106"/>
        <v>0</v>
      </c>
      <c r="DT87" s="519">
        <f t="shared" si="106"/>
        <v>0</v>
      </c>
      <c r="DU87" s="519">
        <f t="shared" si="106"/>
        <v>0</v>
      </c>
      <c r="DV87" s="519">
        <f t="shared" si="106"/>
        <v>0</v>
      </c>
      <c r="DW87" s="519">
        <f t="shared" si="106"/>
        <v>0</v>
      </c>
      <c r="DX87" s="519">
        <f t="shared" si="106"/>
        <v>0</v>
      </c>
      <c r="DY87" s="520">
        <f t="shared" si="152"/>
        <v>0</v>
      </c>
      <c r="EA87" s="519">
        <f t="shared" si="107"/>
        <v>0</v>
      </c>
      <c r="EB87" s="519">
        <f t="shared" si="107"/>
        <v>0</v>
      </c>
      <c r="EC87" s="519">
        <f t="shared" si="107"/>
        <v>0</v>
      </c>
      <c r="ED87" s="519">
        <f t="shared" si="107"/>
        <v>0</v>
      </c>
      <c r="EE87" s="519">
        <f t="shared" si="107"/>
        <v>0</v>
      </c>
      <c r="EF87" s="519">
        <f t="shared" si="107"/>
        <v>0</v>
      </c>
      <c r="EG87" s="519">
        <f t="shared" si="107"/>
        <v>0</v>
      </c>
      <c r="EH87" s="519">
        <f t="shared" si="107"/>
        <v>0</v>
      </c>
      <c r="EI87" s="519">
        <f t="shared" si="107"/>
        <v>0</v>
      </c>
      <c r="EJ87" s="519">
        <f t="shared" si="107"/>
        <v>0</v>
      </c>
      <c r="EK87" s="520">
        <f t="shared" si="153"/>
        <v>0</v>
      </c>
    </row>
    <row r="88" spans="2:141" s="268" customFormat="1" ht="15" customHeight="1" x14ac:dyDescent="0.25">
      <c r="B88" s="446" t="str">
        <f>'2. START'!C$7</f>
        <v>100GEM</v>
      </c>
      <c r="C88" s="469"/>
      <c r="D88" s="594"/>
      <c r="E88" s="522">
        <v>0</v>
      </c>
      <c r="F88" s="522" t="s">
        <v>36</v>
      </c>
      <c r="G88" s="522"/>
      <c r="H88" s="523"/>
      <c r="I88" s="523"/>
      <c r="J88" s="523"/>
      <c r="K88" s="523"/>
      <c r="L88" s="523"/>
      <c r="M88" s="523"/>
      <c r="N88" s="523"/>
      <c r="O88" s="523"/>
      <c r="P88" s="523"/>
      <c r="Q88" s="523"/>
      <c r="R88" s="459">
        <f t="shared" si="108"/>
        <v>0</v>
      </c>
      <c r="S88" s="524">
        <f>IF('2. START'!$C$20="UTB",(SUMIF('3. PARTNER'!B$13:B$80,B88,'3. PARTNER'!M$13:M$80)),(SUMIF('3. PARTNER'!B$13:B$80,B88,'3. PARTNER'!I$13:I$80)))</f>
        <v>0</v>
      </c>
      <c r="T88" s="524">
        <f>IF('2. START'!$C$20="UTB",(SUMIF('3. PARTNER'!B$13:B$80,B88,'3. PARTNER'!N$13:N$80)),(SUMIF('3. PARTNER'!B$13:B$80,B88,'3. PARTNER'!J$13:J$80)))</f>
        <v>0</v>
      </c>
      <c r="U88" s="454">
        <f>IF(F88="NO",0,IF('2. START'!C$13="PERSON+OPERATION",'2. START'!C$12,0)+IF('2. START'!C$13="PERSON+OPERATION+INVEST+FACILIT",'2. START'!C$12,0))</f>
        <v>0</v>
      </c>
      <c r="V88" s="463"/>
      <c r="W88" s="459">
        <f t="shared" si="109"/>
        <v>0</v>
      </c>
      <c r="X88" s="459">
        <f t="shared" si="110"/>
        <v>0</v>
      </c>
      <c r="Y88" s="459">
        <f t="shared" si="111"/>
        <v>0</v>
      </c>
      <c r="Z88" s="459">
        <f t="shared" si="112"/>
        <v>0</v>
      </c>
      <c r="AA88" s="459">
        <f t="shared" si="113"/>
        <v>0</v>
      </c>
      <c r="AB88" s="459">
        <f t="shared" si="114"/>
        <v>0</v>
      </c>
      <c r="AC88" s="459">
        <f t="shared" si="115"/>
        <v>0</v>
      </c>
      <c r="AD88" s="459">
        <f t="shared" si="116"/>
        <v>0</v>
      </c>
      <c r="AE88" s="459">
        <f t="shared" si="117"/>
        <v>0</v>
      </c>
      <c r="AF88" s="459">
        <f t="shared" si="118"/>
        <v>0</v>
      </c>
      <c r="AG88" s="460">
        <f t="shared" si="139"/>
        <v>0</v>
      </c>
      <c r="AH88" s="463"/>
      <c r="AI88" s="459">
        <f t="shared" si="119"/>
        <v>0</v>
      </c>
      <c r="AJ88" s="459">
        <f t="shared" si="120"/>
        <v>0</v>
      </c>
      <c r="AK88" s="459">
        <f t="shared" si="121"/>
        <v>0</v>
      </c>
      <c r="AL88" s="459">
        <f t="shared" si="122"/>
        <v>0</v>
      </c>
      <c r="AM88" s="459">
        <f t="shared" si="123"/>
        <v>0</v>
      </c>
      <c r="AN88" s="459">
        <f t="shared" si="124"/>
        <v>0</v>
      </c>
      <c r="AO88" s="459">
        <f t="shared" si="125"/>
        <v>0</v>
      </c>
      <c r="AP88" s="459">
        <f t="shared" si="126"/>
        <v>0</v>
      </c>
      <c r="AQ88" s="459">
        <f t="shared" si="127"/>
        <v>0</v>
      </c>
      <c r="AR88" s="459">
        <f t="shared" si="128"/>
        <v>0</v>
      </c>
      <c r="AS88" s="460">
        <f t="shared" si="140"/>
        <v>0</v>
      </c>
      <c r="AT88" s="463"/>
      <c r="AU88" s="459">
        <f t="shared" si="154"/>
        <v>0</v>
      </c>
      <c r="AV88" s="459">
        <f t="shared" si="154"/>
        <v>0</v>
      </c>
      <c r="AW88" s="459">
        <f t="shared" si="154"/>
        <v>0</v>
      </c>
      <c r="AX88" s="459">
        <f t="shared" si="154"/>
        <v>0</v>
      </c>
      <c r="AY88" s="459">
        <f t="shared" si="154"/>
        <v>0</v>
      </c>
      <c r="AZ88" s="459">
        <f t="shared" si="141"/>
        <v>0</v>
      </c>
      <c r="BA88" s="459">
        <f t="shared" si="141"/>
        <v>0</v>
      </c>
      <c r="BB88" s="459">
        <f t="shared" si="141"/>
        <v>0</v>
      </c>
      <c r="BC88" s="459">
        <f t="shared" si="141"/>
        <v>0</v>
      </c>
      <c r="BD88" s="459">
        <f t="shared" si="141"/>
        <v>0</v>
      </c>
      <c r="BE88" s="460">
        <f t="shared" si="142"/>
        <v>0</v>
      </c>
      <c r="BF88" s="463"/>
      <c r="BG88" s="459">
        <f t="shared" si="143"/>
        <v>0</v>
      </c>
      <c r="BH88" s="459">
        <f t="shared" si="143"/>
        <v>0</v>
      </c>
      <c r="BI88" s="459">
        <f t="shared" si="143"/>
        <v>0</v>
      </c>
      <c r="BJ88" s="459">
        <f t="shared" si="143"/>
        <v>0</v>
      </c>
      <c r="BK88" s="459">
        <f t="shared" si="143"/>
        <v>0</v>
      </c>
      <c r="BL88" s="459">
        <f t="shared" si="143"/>
        <v>0</v>
      </c>
      <c r="BM88" s="459">
        <f t="shared" si="143"/>
        <v>0</v>
      </c>
      <c r="BN88" s="459">
        <f t="shared" si="157"/>
        <v>0</v>
      </c>
      <c r="BO88" s="459">
        <f t="shared" si="157"/>
        <v>0</v>
      </c>
      <c r="BP88" s="459">
        <f t="shared" si="157"/>
        <v>0</v>
      </c>
      <c r="BQ88" s="460">
        <f t="shared" si="144"/>
        <v>0</v>
      </c>
      <c r="BR88" s="463"/>
      <c r="BS88" s="459">
        <f t="shared" si="155"/>
        <v>0</v>
      </c>
      <c r="BT88" s="459">
        <f t="shared" si="155"/>
        <v>0</v>
      </c>
      <c r="BU88" s="459">
        <f t="shared" si="155"/>
        <v>0</v>
      </c>
      <c r="BV88" s="459">
        <f t="shared" si="155"/>
        <v>0</v>
      </c>
      <c r="BW88" s="459">
        <f t="shared" si="155"/>
        <v>0</v>
      </c>
      <c r="BX88" s="459">
        <f t="shared" si="145"/>
        <v>0</v>
      </c>
      <c r="BY88" s="459">
        <f t="shared" si="145"/>
        <v>0</v>
      </c>
      <c r="BZ88" s="459">
        <f t="shared" si="145"/>
        <v>0</v>
      </c>
      <c r="CA88" s="459">
        <f t="shared" si="145"/>
        <v>0</v>
      </c>
      <c r="CB88" s="459">
        <f t="shared" si="145"/>
        <v>0</v>
      </c>
      <c r="CC88" s="460">
        <f t="shared" si="146"/>
        <v>0</v>
      </c>
      <c r="CD88" s="463"/>
      <c r="CE88" s="459">
        <f t="shared" si="147"/>
        <v>0</v>
      </c>
      <c r="CF88" s="459">
        <f t="shared" si="147"/>
        <v>0</v>
      </c>
      <c r="CG88" s="459">
        <f t="shared" si="147"/>
        <v>0</v>
      </c>
      <c r="CH88" s="459">
        <f t="shared" si="147"/>
        <v>0</v>
      </c>
      <c r="CI88" s="459">
        <f t="shared" si="147"/>
        <v>0</v>
      </c>
      <c r="CJ88" s="459">
        <f t="shared" si="147"/>
        <v>0</v>
      </c>
      <c r="CK88" s="459">
        <f t="shared" si="147"/>
        <v>0</v>
      </c>
      <c r="CL88" s="459">
        <f t="shared" si="158"/>
        <v>0</v>
      </c>
      <c r="CM88" s="459">
        <f t="shared" si="158"/>
        <v>0</v>
      </c>
      <c r="CN88" s="459">
        <f t="shared" si="158"/>
        <v>0</v>
      </c>
      <c r="CO88" s="460">
        <f t="shared" si="148"/>
        <v>0</v>
      </c>
      <c r="CP88" s="463"/>
      <c r="CQ88" s="459">
        <f t="shared" si="129"/>
        <v>0</v>
      </c>
      <c r="CR88" s="459">
        <f t="shared" si="130"/>
        <v>0</v>
      </c>
      <c r="CS88" s="459">
        <f t="shared" si="131"/>
        <v>0</v>
      </c>
      <c r="CT88" s="459">
        <f t="shared" si="132"/>
        <v>0</v>
      </c>
      <c r="CU88" s="459">
        <f t="shared" si="133"/>
        <v>0</v>
      </c>
      <c r="CV88" s="459">
        <f t="shared" si="134"/>
        <v>0</v>
      </c>
      <c r="CW88" s="459">
        <f t="shared" si="135"/>
        <v>0</v>
      </c>
      <c r="CX88" s="459">
        <f t="shared" si="136"/>
        <v>0</v>
      </c>
      <c r="CY88" s="459">
        <f t="shared" si="137"/>
        <v>0</v>
      </c>
      <c r="CZ88" s="459">
        <f t="shared" si="138"/>
        <v>0</v>
      </c>
      <c r="DA88" s="460">
        <f t="shared" si="149"/>
        <v>0</v>
      </c>
      <c r="DB88" s="463"/>
      <c r="DC88" s="459">
        <f t="shared" si="156"/>
        <v>0</v>
      </c>
      <c r="DD88" s="459">
        <f t="shared" si="156"/>
        <v>0</v>
      </c>
      <c r="DE88" s="459">
        <f t="shared" si="156"/>
        <v>0</v>
      </c>
      <c r="DF88" s="459">
        <f t="shared" si="156"/>
        <v>0</v>
      </c>
      <c r="DG88" s="459">
        <f t="shared" si="156"/>
        <v>0</v>
      </c>
      <c r="DH88" s="459">
        <f t="shared" si="150"/>
        <v>0</v>
      </c>
      <c r="DI88" s="459">
        <f t="shared" si="150"/>
        <v>0</v>
      </c>
      <c r="DJ88" s="459">
        <f t="shared" si="150"/>
        <v>0</v>
      </c>
      <c r="DK88" s="459">
        <f t="shared" si="150"/>
        <v>0</v>
      </c>
      <c r="DL88" s="459">
        <f t="shared" si="150"/>
        <v>0</v>
      </c>
      <c r="DM88" s="460">
        <f t="shared" si="151"/>
        <v>0</v>
      </c>
      <c r="DN88" s="463"/>
      <c r="DO88" s="459">
        <f t="shared" si="106"/>
        <v>0</v>
      </c>
      <c r="DP88" s="459">
        <f t="shared" si="106"/>
        <v>0</v>
      </c>
      <c r="DQ88" s="459">
        <f t="shared" si="106"/>
        <v>0</v>
      </c>
      <c r="DR88" s="459">
        <f t="shared" si="106"/>
        <v>0</v>
      </c>
      <c r="DS88" s="459">
        <f t="shared" si="106"/>
        <v>0</v>
      </c>
      <c r="DT88" s="459">
        <f t="shared" si="106"/>
        <v>0</v>
      </c>
      <c r="DU88" s="459">
        <f t="shared" si="106"/>
        <v>0</v>
      </c>
      <c r="DV88" s="459">
        <f t="shared" si="106"/>
        <v>0</v>
      </c>
      <c r="DW88" s="459">
        <f t="shared" si="106"/>
        <v>0</v>
      </c>
      <c r="DX88" s="459">
        <f t="shared" si="106"/>
        <v>0</v>
      </c>
      <c r="DY88" s="460">
        <f t="shared" si="152"/>
        <v>0</v>
      </c>
      <c r="DZ88" s="463"/>
      <c r="EA88" s="459">
        <f t="shared" si="107"/>
        <v>0</v>
      </c>
      <c r="EB88" s="459">
        <f t="shared" si="107"/>
        <v>0</v>
      </c>
      <c r="EC88" s="459">
        <f t="shared" si="107"/>
        <v>0</v>
      </c>
      <c r="ED88" s="459">
        <f t="shared" si="107"/>
        <v>0</v>
      </c>
      <c r="EE88" s="459">
        <f t="shared" si="107"/>
        <v>0</v>
      </c>
      <c r="EF88" s="459">
        <f t="shared" si="107"/>
        <v>0</v>
      </c>
      <c r="EG88" s="459">
        <f t="shared" si="107"/>
        <v>0</v>
      </c>
      <c r="EH88" s="459">
        <f t="shared" si="107"/>
        <v>0</v>
      </c>
      <c r="EI88" s="459">
        <f t="shared" si="107"/>
        <v>0</v>
      </c>
      <c r="EJ88" s="459">
        <f t="shared" si="107"/>
        <v>0</v>
      </c>
      <c r="EK88" s="460">
        <f t="shared" si="153"/>
        <v>0</v>
      </c>
    </row>
    <row r="89" spans="2:141" s="268" customFormat="1" ht="15" customHeight="1" x14ac:dyDescent="0.25">
      <c r="B89" s="464" t="str">
        <f>'2. START'!C$7</f>
        <v>100GEM</v>
      </c>
      <c r="C89" s="470"/>
      <c r="D89" s="593"/>
      <c r="E89" s="527">
        <v>0</v>
      </c>
      <c r="F89" s="527" t="s">
        <v>36</v>
      </c>
      <c r="G89" s="527"/>
      <c r="H89" s="515"/>
      <c r="I89" s="515"/>
      <c r="J89" s="515"/>
      <c r="K89" s="515"/>
      <c r="L89" s="515"/>
      <c r="M89" s="515"/>
      <c r="N89" s="515"/>
      <c r="O89" s="515"/>
      <c r="P89" s="515"/>
      <c r="Q89" s="515"/>
      <c r="R89" s="442">
        <f t="shared" si="108"/>
        <v>0</v>
      </c>
      <c r="S89" s="516">
        <f>IF('2. START'!$C$20="UTB",(SUMIF('3. PARTNER'!B$13:B$80,B89,'3. PARTNER'!M$13:M$80)),(SUMIF('3. PARTNER'!B$13:B$80,B89,'3. PARTNER'!I$13:I$80)))</f>
        <v>0</v>
      </c>
      <c r="T89" s="516">
        <f>IF('2. START'!$C$20="UTB",(SUMIF('3. PARTNER'!B$13:B$80,B89,'3. PARTNER'!N$13:N$80)),(SUMIF('3. PARTNER'!B$13:B$80,B89,'3. PARTNER'!J$13:J$80)))</f>
        <v>0</v>
      </c>
      <c r="U89" s="517">
        <f>IF(F89="NO",0,IF('2. START'!C$13="PERSON+OPERATION",'2. START'!C$12,0)+IF('2. START'!C$13="PERSON+OPERATION+INVEST+FACILIT",'2. START'!C$12,0))</f>
        <v>0</v>
      </c>
      <c r="W89" s="519">
        <f t="shared" si="109"/>
        <v>0</v>
      </c>
      <c r="X89" s="519">
        <f t="shared" si="110"/>
        <v>0</v>
      </c>
      <c r="Y89" s="519">
        <f t="shared" si="111"/>
        <v>0</v>
      </c>
      <c r="Z89" s="519">
        <f t="shared" si="112"/>
        <v>0</v>
      </c>
      <c r="AA89" s="519">
        <f t="shared" si="113"/>
        <v>0</v>
      </c>
      <c r="AB89" s="519">
        <f t="shared" si="114"/>
        <v>0</v>
      </c>
      <c r="AC89" s="519">
        <f t="shared" si="115"/>
        <v>0</v>
      </c>
      <c r="AD89" s="519">
        <f t="shared" si="116"/>
        <v>0</v>
      </c>
      <c r="AE89" s="519">
        <f t="shared" si="117"/>
        <v>0</v>
      </c>
      <c r="AF89" s="519">
        <f t="shared" si="118"/>
        <v>0</v>
      </c>
      <c r="AG89" s="520">
        <f t="shared" si="139"/>
        <v>0</v>
      </c>
      <c r="AI89" s="519">
        <f t="shared" si="119"/>
        <v>0</v>
      </c>
      <c r="AJ89" s="519">
        <f t="shared" si="120"/>
        <v>0</v>
      </c>
      <c r="AK89" s="519">
        <f t="shared" si="121"/>
        <v>0</v>
      </c>
      <c r="AL89" s="519">
        <f t="shared" si="122"/>
        <v>0</v>
      </c>
      <c r="AM89" s="519">
        <f t="shared" si="123"/>
        <v>0</v>
      </c>
      <c r="AN89" s="519">
        <f t="shared" si="124"/>
        <v>0</v>
      </c>
      <c r="AO89" s="519">
        <f t="shared" si="125"/>
        <v>0</v>
      </c>
      <c r="AP89" s="519">
        <f t="shared" si="126"/>
        <v>0</v>
      </c>
      <c r="AQ89" s="519">
        <f t="shared" si="127"/>
        <v>0</v>
      </c>
      <c r="AR89" s="519">
        <f t="shared" si="128"/>
        <v>0</v>
      </c>
      <c r="AS89" s="520">
        <f t="shared" si="140"/>
        <v>0</v>
      </c>
      <c r="AU89" s="519">
        <f t="shared" si="154"/>
        <v>0</v>
      </c>
      <c r="AV89" s="519">
        <f t="shared" si="154"/>
        <v>0</v>
      </c>
      <c r="AW89" s="519">
        <f t="shared" si="154"/>
        <v>0</v>
      </c>
      <c r="AX89" s="519">
        <f t="shared" si="154"/>
        <v>0</v>
      </c>
      <c r="AY89" s="519">
        <f t="shared" si="154"/>
        <v>0</v>
      </c>
      <c r="AZ89" s="519">
        <f t="shared" si="141"/>
        <v>0</v>
      </c>
      <c r="BA89" s="519">
        <f t="shared" si="141"/>
        <v>0</v>
      </c>
      <c r="BB89" s="519">
        <f t="shared" si="141"/>
        <v>0</v>
      </c>
      <c r="BC89" s="519">
        <f t="shared" si="141"/>
        <v>0</v>
      </c>
      <c r="BD89" s="519">
        <f t="shared" si="141"/>
        <v>0</v>
      </c>
      <c r="BE89" s="520">
        <f t="shared" si="142"/>
        <v>0</v>
      </c>
      <c r="BG89" s="519">
        <f t="shared" si="143"/>
        <v>0</v>
      </c>
      <c r="BH89" s="519">
        <f t="shared" si="143"/>
        <v>0</v>
      </c>
      <c r="BI89" s="519">
        <f t="shared" si="143"/>
        <v>0</v>
      </c>
      <c r="BJ89" s="519">
        <f t="shared" si="143"/>
        <v>0</v>
      </c>
      <c r="BK89" s="519">
        <f t="shared" si="143"/>
        <v>0</v>
      </c>
      <c r="BL89" s="519">
        <f t="shared" si="143"/>
        <v>0</v>
      </c>
      <c r="BM89" s="519">
        <f t="shared" si="143"/>
        <v>0</v>
      </c>
      <c r="BN89" s="519">
        <f t="shared" si="157"/>
        <v>0</v>
      </c>
      <c r="BO89" s="519">
        <f t="shared" si="157"/>
        <v>0</v>
      </c>
      <c r="BP89" s="519">
        <f t="shared" si="157"/>
        <v>0</v>
      </c>
      <c r="BQ89" s="520">
        <f t="shared" si="144"/>
        <v>0</v>
      </c>
      <c r="BS89" s="519">
        <f t="shared" si="155"/>
        <v>0</v>
      </c>
      <c r="BT89" s="519">
        <f t="shared" si="155"/>
        <v>0</v>
      </c>
      <c r="BU89" s="519">
        <f t="shared" si="155"/>
        <v>0</v>
      </c>
      <c r="BV89" s="519">
        <f t="shared" si="155"/>
        <v>0</v>
      </c>
      <c r="BW89" s="519">
        <f t="shared" si="155"/>
        <v>0</v>
      </c>
      <c r="BX89" s="519">
        <f t="shared" si="145"/>
        <v>0</v>
      </c>
      <c r="BY89" s="519">
        <f t="shared" si="145"/>
        <v>0</v>
      </c>
      <c r="BZ89" s="519">
        <f t="shared" si="145"/>
        <v>0</v>
      </c>
      <c r="CA89" s="519">
        <f t="shared" si="145"/>
        <v>0</v>
      </c>
      <c r="CB89" s="519">
        <f t="shared" si="145"/>
        <v>0</v>
      </c>
      <c r="CC89" s="520">
        <f t="shared" si="146"/>
        <v>0</v>
      </c>
      <c r="CE89" s="519">
        <f t="shared" si="147"/>
        <v>0</v>
      </c>
      <c r="CF89" s="519">
        <f t="shared" si="147"/>
        <v>0</v>
      </c>
      <c r="CG89" s="519">
        <f t="shared" si="147"/>
        <v>0</v>
      </c>
      <c r="CH89" s="519">
        <f t="shared" si="147"/>
        <v>0</v>
      </c>
      <c r="CI89" s="519">
        <f t="shared" si="147"/>
        <v>0</v>
      </c>
      <c r="CJ89" s="519">
        <f t="shared" si="147"/>
        <v>0</v>
      </c>
      <c r="CK89" s="519">
        <f t="shared" si="147"/>
        <v>0</v>
      </c>
      <c r="CL89" s="519">
        <f t="shared" si="158"/>
        <v>0</v>
      </c>
      <c r="CM89" s="519">
        <f t="shared" si="158"/>
        <v>0</v>
      </c>
      <c r="CN89" s="519">
        <f t="shared" si="158"/>
        <v>0</v>
      </c>
      <c r="CO89" s="520">
        <f t="shared" si="148"/>
        <v>0</v>
      </c>
      <c r="CQ89" s="519">
        <f t="shared" si="129"/>
        <v>0</v>
      </c>
      <c r="CR89" s="519">
        <f t="shared" si="130"/>
        <v>0</v>
      </c>
      <c r="CS89" s="519">
        <f t="shared" si="131"/>
        <v>0</v>
      </c>
      <c r="CT89" s="519">
        <f t="shared" si="132"/>
        <v>0</v>
      </c>
      <c r="CU89" s="519">
        <f t="shared" si="133"/>
        <v>0</v>
      </c>
      <c r="CV89" s="519">
        <f t="shared" si="134"/>
        <v>0</v>
      </c>
      <c r="CW89" s="519">
        <f t="shared" si="135"/>
        <v>0</v>
      </c>
      <c r="CX89" s="519">
        <f t="shared" si="136"/>
        <v>0</v>
      </c>
      <c r="CY89" s="519">
        <f t="shared" si="137"/>
        <v>0</v>
      </c>
      <c r="CZ89" s="519">
        <f t="shared" si="138"/>
        <v>0</v>
      </c>
      <c r="DA89" s="520">
        <f t="shared" si="149"/>
        <v>0</v>
      </c>
      <c r="DC89" s="519">
        <f t="shared" si="156"/>
        <v>0</v>
      </c>
      <c r="DD89" s="519">
        <f t="shared" si="156"/>
        <v>0</v>
      </c>
      <c r="DE89" s="519">
        <f t="shared" si="156"/>
        <v>0</v>
      </c>
      <c r="DF89" s="519">
        <f t="shared" si="156"/>
        <v>0</v>
      </c>
      <c r="DG89" s="519">
        <f t="shared" si="156"/>
        <v>0</v>
      </c>
      <c r="DH89" s="519">
        <f t="shared" si="150"/>
        <v>0</v>
      </c>
      <c r="DI89" s="519">
        <f t="shared" si="150"/>
        <v>0</v>
      </c>
      <c r="DJ89" s="519">
        <f t="shared" si="150"/>
        <v>0</v>
      </c>
      <c r="DK89" s="519">
        <f t="shared" si="150"/>
        <v>0</v>
      </c>
      <c r="DL89" s="519">
        <f t="shared" si="150"/>
        <v>0</v>
      </c>
      <c r="DM89" s="520">
        <f t="shared" si="151"/>
        <v>0</v>
      </c>
      <c r="DO89" s="519">
        <f t="shared" si="106"/>
        <v>0</v>
      </c>
      <c r="DP89" s="519">
        <f t="shared" si="106"/>
        <v>0</v>
      </c>
      <c r="DQ89" s="519">
        <f t="shared" si="106"/>
        <v>0</v>
      </c>
      <c r="DR89" s="519">
        <f t="shared" si="106"/>
        <v>0</v>
      </c>
      <c r="DS89" s="519">
        <f t="shared" si="106"/>
        <v>0</v>
      </c>
      <c r="DT89" s="519">
        <f t="shared" si="106"/>
        <v>0</v>
      </c>
      <c r="DU89" s="519">
        <f t="shared" si="106"/>
        <v>0</v>
      </c>
      <c r="DV89" s="519">
        <f t="shared" si="106"/>
        <v>0</v>
      </c>
      <c r="DW89" s="519">
        <f t="shared" si="106"/>
        <v>0</v>
      </c>
      <c r="DX89" s="519">
        <f t="shared" si="106"/>
        <v>0</v>
      </c>
      <c r="DY89" s="520">
        <f t="shared" si="152"/>
        <v>0</v>
      </c>
      <c r="EA89" s="519">
        <f t="shared" si="107"/>
        <v>0</v>
      </c>
      <c r="EB89" s="519">
        <f t="shared" si="107"/>
        <v>0</v>
      </c>
      <c r="EC89" s="519">
        <f t="shared" si="107"/>
        <v>0</v>
      </c>
      <c r="ED89" s="519">
        <f t="shared" si="107"/>
        <v>0</v>
      </c>
      <c r="EE89" s="519">
        <f t="shared" si="107"/>
        <v>0</v>
      </c>
      <c r="EF89" s="519">
        <f t="shared" si="107"/>
        <v>0</v>
      </c>
      <c r="EG89" s="519">
        <f t="shared" si="107"/>
        <v>0</v>
      </c>
      <c r="EH89" s="519">
        <f t="shared" si="107"/>
        <v>0</v>
      </c>
      <c r="EI89" s="519">
        <f t="shared" si="107"/>
        <v>0</v>
      </c>
      <c r="EJ89" s="519">
        <f t="shared" si="107"/>
        <v>0</v>
      </c>
      <c r="EK89" s="520">
        <f t="shared" si="153"/>
        <v>0</v>
      </c>
    </row>
    <row r="90" spans="2:141" s="268" customFormat="1" ht="15" customHeight="1" x14ac:dyDescent="0.25">
      <c r="B90" s="446" t="str">
        <f>'2. START'!C$7</f>
        <v>100GEM</v>
      </c>
      <c r="C90" s="469"/>
      <c r="D90" s="594"/>
      <c r="E90" s="522">
        <v>0</v>
      </c>
      <c r="F90" s="522" t="s">
        <v>36</v>
      </c>
      <c r="G90" s="522"/>
      <c r="H90" s="523"/>
      <c r="I90" s="523"/>
      <c r="J90" s="523"/>
      <c r="K90" s="523"/>
      <c r="L90" s="523"/>
      <c r="M90" s="523"/>
      <c r="N90" s="523"/>
      <c r="O90" s="523"/>
      <c r="P90" s="523"/>
      <c r="Q90" s="523"/>
      <c r="R90" s="459">
        <f t="shared" si="108"/>
        <v>0</v>
      </c>
      <c r="S90" s="524">
        <f>IF('2. START'!$C$20="UTB",(SUMIF('3. PARTNER'!B$13:B$80,B90,'3. PARTNER'!M$13:M$80)),(SUMIF('3. PARTNER'!B$13:B$80,B90,'3. PARTNER'!I$13:I$80)))</f>
        <v>0</v>
      </c>
      <c r="T90" s="524">
        <f>IF('2. START'!$C$20="UTB",(SUMIF('3. PARTNER'!B$13:B$80,B90,'3. PARTNER'!N$13:N$80)),(SUMIF('3. PARTNER'!B$13:B$80,B90,'3. PARTNER'!J$13:J$80)))</f>
        <v>0</v>
      </c>
      <c r="U90" s="454">
        <f>IF(F90="NO",0,IF('2. START'!C$13="PERSON+OPERATION",'2. START'!C$12,0)+IF('2. START'!C$13="PERSON+OPERATION+INVEST+FACILIT",'2. START'!C$12,0))</f>
        <v>0</v>
      </c>
      <c r="V90" s="463"/>
      <c r="W90" s="459">
        <f t="shared" si="109"/>
        <v>0</v>
      </c>
      <c r="X90" s="459">
        <f t="shared" si="110"/>
        <v>0</v>
      </c>
      <c r="Y90" s="459">
        <f t="shared" si="111"/>
        <v>0</v>
      </c>
      <c r="Z90" s="459">
        <f t="shared" si="112"/>
        <v>0</v>
      </c>
      <c r="AA90" s="459">
        <f t="shared" si="113"/>
        <v>0</v>
      </c>
      <c r="AB90" s="459">
        <f t="shared" si="114"/>
        <v>0</v>
      </c>
      <c r="AC90" s="459">
        <f t="shared" si="115"/>
        <v>0</v>
      </c>
      <c r="AD90" s="459">
        <f t="shared" si="116"/>
        <v>0</v>
      </c>
      <c r="AE90" s="459">
        <f t="shared" si="117"/>
        <v>0</v>
      </c>
      <c r="AF90" s="459">
        <f t="shared" si="118"/>
        <v>0</v>
      </c>
      <c r="AG90" s="460">
        <f t="shared" si="139"/>
        <v>0</v>
      </c>
      <c r="AH90" s="463"/>
      <c r="AI90" s="459">
        <f t="shared" si="119"/>
        <v>0</v>
      </c>
      <c r="AJ90" s="459">
        <f t="shared" si="120"/>
        <v>0</v>
      </c>
      <c r="AK90" s="459">
        <f t="shared" si="121"/>
        <v>0</v>
      </c>
      <c r="AL90" s="459">
        <f t="shared" si="122"/>
        <v>0</v>
      </c>
      <c r="AM90" s="459">
        <f t="shared" si="123"/>
        <v>0</v>
      </c>
      <c r="AN90" s="459">
        <f t="shared" si="124"/>
        <v>0</v>
      </c>
      <c r="AO90" s="459">
        <f t="shared" si="125"/>
        <v>0</v>
      </c>
      <c r="AP90" s="459">
        <f t="shared" si="126"/>
        <v>0</v>
      </c>
      <c r="AQ90" s="459">
        <f t="shared" si="127"/>
        <v>0</v>
      </c>
      <c r="AR90" s="459">
        <f t="shared" si="128"/>
        <v>0</v>
      </c>
      <c r="AS90" s="460">
        <f t="shared" si="140"/>
        <v>0</v>
      </c>
      <c r="AT90" s="463"/>
      <c r="AU90" s="459">
        <f t="shared" si="154"/>
        <v>0</v>
      </c>
      <c r="AV90" s="459">
        <f t="shared" si="154"/>
        <v>0</v>
      </c>
      <c r="AW90" s="459">
        <f t="shared" si="154"/>
        <v>0</v>
      </c>
      <c r="AX90" s="459">
        <f t="shared" si="154"/>
        <v>0</v>
      </c>
      <c r="AY90" s="459">
        <f t="shared" si="154"/>
        <v>0</v>
      </c>
      <c r="AZ90" s="459">
        <f t="shared" si="141"/>
        <v>0</v>
      </c>
      <c r="BA90" s="459">
        <f t="shared" si="141"/>
        <v>0</v>
      </c>
      <c r="BB90" s="459">
        <f t="shared" si="141"/>
        <v>0</v>
      </c>
      <c r="BC90" s="459">
        <f t="shared" si="141"/>
        <v>0</v>
      </c>
      <c r="BD90" s="459">
        <f t="shared" si="141"/>
        <v>0</v>
      </c>
      <c r="BE90" s="460">
        <f t="shared" si="142"/>
        <v>0</v>
      </c>
      <c r="BF90" s="463"/>
      <c r="BG90" s="459">
        <f t="shared" si="143"/>
        <v>0</v>
      </c>
      <c r="BH90" s="459">
        <f t="shared" si="143"/>
        <v>0</v>
      </c>
      <c r="BI90" s="459">
        <f t="shared" si="143"/>
        <v>0</v>
      </c>
      <c r="BJ90" s="459">
        <f t="shared" si="143"/>
        <v>0</v>
      </c>
      <c r="BK90" s="459">
        <f t="shared" si="143"/>
        <v>0</v>
      </c>
      <c r="BL90" s="459">
        <f t="shared" si="143"/>
        <v>0</v>
      </c>
      <c r="BM90" s="459">
        <f t="shared" si="143"/>
        <v>0</v>
      </c>
      <c r="BN90" s="459">
        <f t="shared" si="157"/>
        <v>0</v>
      </c>
      <c r="BO90" s="459">
        <f t="shared" si="157"/>
        <v>0</v>
      </c>
      <c r="BP90" s="459">
        <f t="shared" si="157"/>
        <v>0</v>
      </c>
      <c r="BQ90" s="460">
        <f t="shared" si="144"/>
        <v>0</v>
      </c>
      <c r="BR90" s="463"/>
      <c r="BS90" s="459">
        <f t="shared" si="155"/>
        <v>0</v>
      </c>
      <c r="BT90" s="459">
        <f t="shared" si="155"/>
        <v>0</v>
      </c>
      <c r="BU90" s="459">
        <f t="shared" si="155"/>
        <v>0</v>
      </c>
      <c r="BV90" s="459">
        <f t="shared" si="155"/>
        <v>0</v>
      </c>
      <c r="BW90" s="459">
        <f t="shared" si="155"/>
        <v>0</v>
      </c>
      <c r="BX90" s="459">
        <f t="shared" si="145"/>
        <v>0</v>
      </c>
      <c r="BY90" s="459">
        <f t="shared" si="145"/>
        <v>0</v>
      </c>
      <c r="BZ90" s="459">
        <f t="shared" si="145"/>
        <v>0</v>
      </c>
      <c r="CA90" s="459">
        <f t="shared" si="145"/>
        <v>0</v>
      </c>
      <c r="CB90" s="459">
        <f t="shared" si="145"/>
        <v>0</v>
      </c>
      <c r="CC90" s="460">
        <f t="shared" si="146"/>
        <v>0</v>
      </c>
      <c r="CD90" s="463"/>
      <c r="CE90" s="459">
        <f t="shared" si="147"/>
        <v>0</v>
      </c>
      <c r="CF90" s="459">
        <f t="shared" si="147"/>
        <v>0</v>
      </c>
      <c r="CG90" s="459">
        <f t="shared" si="147"/>
        <v>0</v>
      </c>
      <c r="CH90" s="459">
        <f t="shared" si="147"/>
        <v>0</v>
      </c>
      <c r="CI90" s="459">
        <f t="shared" si="147"/>
        <v>0</v>
      </c>
      <c r="CJ90" s="459">
        <f t="shared" si="147"/>
        <v>0</v>
      </c>
      <c r="CK90" s="459">
        <f t="shared" si="147"/>
        <v>0</v>
      </c>
      <c r="CL90" s="459">
        <f t="shared" si="158"/>
        <v>0</v>
      </c>
      <c r="CM90" s="459">
        <f t="shared" si="158"/>
        <v>0</v>
      </c>
      <c r="CN90" s="459">
        <f t="shared" si="158"/>
        <v>0</v>
      </c>
      <c r="CO90" s="460">
        <f t="shared" si="148"/>
        <v>0</v>
      </c>
      <c r="CP90" s="463"/>
      <c r="CQ90" s="459">
        <f t="shared" si="129"/>
        <v>0</v>
      </c>
      <c r="CR90" s="459">
        <f t="shared" si="130"/>
        <v>0</v>
      </c>
      <c r="CS90" s="459">
        <f t="shared" si="131"/>
        <v>0</v>
      </c>
      <c r="CT90" s="459">
        <f t="shared" si="132"/>
        <v>0</v>
      </c>
      <c r="CU90" s="459">
        <f t="shared" si="133"/>
        <v>0</v>
      </c>
      <c r="CV90" s="459">
        <f t="shared" si="134"/>
        <v>0</v>
      </c>
      <c r="CW90" s="459">
        <f t="shared" si="135"/>
        <v>0</v>
      </c>
      <c r="CX90" s="459">
        <f t="shared" si="136"/>
        <v>0</v>
      </c>
      <c r="CY90" s="459">
        <f t="shared" si="137"/>
        <v>0</v>
      </c>
      <c r="CZ90" s="459">
        <f t="shared" si="138"/>
        <v>0</v>
      </c>
      <c r="DA90" s="460">
        <f t="shared" si="149"/>
        <v>0</v>
      </c>
      <c r="DB90" s="463"/>
      <c r="DC90" s="459">
        <f t="shared" si="156"/>
        <v>0</v>
      </c>
      <c r="DD90" s="459">
        <f t="shared" si="156"/>
        <v>0</v>
      </c>
      <c r="DE90" s="459">
        <f t="shared" si="156"/>
        <v>0</v>
      </c>
      <c r="DF90" s="459">
        <f t="shared" si="156"/>
        <v>0</v>
      </c>
      <c r="DG90" s="459">
        <f t="shared" si="156"/>
        <v>0</v>
      </c>
      <c r="DH90" s="459">
        <f t="shared" si="150"/>
        <v>0</v>
      </c>
      <c r="DI90" s="459">
        <f t="shared" si="150"/>
        <v>0</v>
      </c>
      <c r="DJ90" s="459">
        <f t="shared" si="150"/>
        <v>0</v>
      </c>
      <c r="DK90" s="459">
        <f t="shared" si="150"/>
        <v>0</v>
      </c>
      <c r="DL90" s="459">
        <f t="shared" si="150"/>
        <v>0</v>
      </c>
      <c r="DM90" s="460">
        <f t="shared" si="151"/>
        <v>0</v>
      </c>
      <c r="DN90" s="463"/>
      <c r="DO90" s="459">
        <f t="shared" si="106"/>
        <v>0</v>
      </c>
      <c r="DP90" s="459">
        <f t="shared" si="106"/>
        <v>0</v>
      </c>
      <c r="DQ90" s="459">
        <f t="shared" si="106"/>
        <v>0</v>
      </c>
      <c r="DR90" s="459">
        <f t="shared" si="106"/>
        <v>0</v>
      </c>
      <c r="DS90" s="459">
        <f t="shared" si="106"/>
        <v>0</v>
      </c>
      <c r="DT90" s="459">
        <f t="shared" si="106"/>
        <v>0</v>
      </c>
      <c r="DU90" s="459">
        <f t="shared" si="106"/>
        <v>0</v>
      </c>
      <c r="DV90" s="459">
        <f t="shared" si="106"/>
        <v>0</v>
      </c>
      <c r="DW90" s="459">
        <f t="shared" si="106"/>
        <v>0</v>
      </c>
      <c r="DX90" s="459">
        <f t="shared" si="106"/>
        <v>0</v>
      </c>
      <c r="DY90" s="460">
        <f t="shared" si="152"/>
        <v>0</v>
      </c>
      <c r="DZ90" s="463"/>
      <c r="EA90" s="459">
        <f t="shared" si="107"/>
        <v>0</v>
      </c>
      <c r="EB90" s="459">
        <f t="shared" si="107"/>
        <v>0</v>
      </c>
      <c r="EC90" s="459">
        <f t="shared" si="107"/>
        <v>0</v>
      </c>
      <c r="ED90" s="459">
        <f t="shared" si="107"/>
        <v>0</v>
      </c>
      <c r="EE90" s="459">
        <f t="shared" si="107"/>
        <v>0</v>
      </c>
      <c r="EF90" s="459">
        <f t="shared" si="107"/>
        <v>0</v>
      </c>
      <c r="EG90" s="459">
        <f t="shared" si="107"/>
        <v>0</v>
      </c>
      <c r="EH90" s="459">
        <f t="shared" si="107"/>
        <v>0</v>
      </c>
      <c r="EI90" s="459">
        <f t="shared" si="107"/>
        <v>0</v>
      </c>
      <c r="EJ90" s="459">
        <f t="shared" si="107"/>
        <v>0</v>
      </c>
      <c r="EK90" s="460">
        <f t="shared" si="153"/>
        <v>0</v>
      </c>
    </row>
    <row r="91" spans="2:141" s="268" customFormat="1" ht="15" customHeight="1" x14ac:dyDescent="0.25">
      <c r="B91" s="464" t="str">
        <f>'2. START'!C$7</f>
        <v>100GEM</v>
      </c>
      <c r="C91" s="470"/>
      <c r="D91" s="593"/>
      <c r="E91" s="527">
        <v>0</v>
      </c>
      <c r="F91" s="527" t="s">
        <v>36</v>
      </c>
      <c r="G91" s="527"/>
      <c r="H91" s="515"/>
      <c r="I91" s="515"/>
      <c r="J91" s="515"/>
      <c r="K91" s="515"/>
      <c r="L91" s="515"/>
      <c r="M91" s="515"/>
      <c r="N91" s="515"/>
      <c r="O91" s="515"/>
      <c r="P91" s="515"/>
      <c r="Q91" s="515"/>
      <c r="R91" s="442">
        <f t="shared" si="108"/>
        <v>0</v>
      </c>
      <c r="S91" s="516">
        <f>IF('2. START'!$C$20="UTB",(SUMIF('3. PARTNER'!B$13:B$80,B91,'3. PARTNER'!M$13:M$80)),(SUMIF('3. PARTNER'!B$13:B$80,B91,'3. PARTNER'!I$13:I$80)))</f>
        <v>0</v>
      </c>
      <c r="T91" s="516">
        <f>IF('2. START'!$C$20="UTB",(SUMIF('3. PARTNER'!B$13:B$80,B91,'3. PARTNER'!N$13:N$80)),(SUMIF('3. PARTNER'!B$13:B$80,B91,'3. PARTNER'!J$13:J$80)))</f>
        <v>0</v>
      </c>
      <c r="U91" s="517">
        <f>IF(F91="NO",0,IF('2. START'!C$13="PERSON+OPERATION",'2. START'!C$12,0)+IF('2. START'!C$13="PERSON+OPERATION+INVEST+FACILIT",'2. START'!C$12,0))</f>
        <v>0</v>
      </c>
      <c r="W91" s="519">
        <f t="shared" si="109"/>
        <v>0</v>
      </c>
      <c r="X91" s="519">
        <f t="shared" si="110"/>
        <v>0</v>
      </c>
      <c r="Y91" s="519">
        <f t="shared" si="111"/>
        <v>0</v>
      </c>
      <c r="Z91" s="519">
        <f t="shared" si="112"/>
        <v>0</v>
      </c>
      <c r="AA91" s="519">
        <f t="shared" si="113"/>
        <v>0</v>
      </c>
      <c r="AB91" s="519">
        <f t="shared" si="114"/>
        <v>0</v>
      </c>
      <c r="AC91" s="519">
        <f t="shared" si="115"/>
        <v>0</v>
      </c>
      <c r="AD91" s="519">
        <f t="shared" si="116"/>
        <v>0</v>
      </c>
      <c r="AE91" s="519">
        <f t="shared" si="117"/>
        <v>0</v>
      </c>
      <c r="AF91" s="519">
        <f t="shared" si="118"/>
        <v>0</v>
      </c>
      <c r="AG91" s="520">
        <f t="shared" si="139"/>
        <v>0</v>
      </c>
      <c r="AI91" s="519">
        <f t="shared" si="119"/>
        <v>0</v>
      </c>
      <c r="AJ91" s="519">
        <f t="shared" si="120"/>
        <v>0</v>
      </c>
      <c r="AK91" s="519">
        <f t="shared" si="121"/>
        <v>0</v>
      </c>
      <c r="AL91" s="519">
        <f t="shared" si="122"/>
        <v>0</v>
      </c>
      <c r="AM91" s="519">
        <f t="shared" si="123"/>
        <v>0</v>
      </c>
      <c r="AN91" s="519">
        <f t="shared" si="124"/>
        <v>0</v>
      </c>
      <c r="AO91" s="519">
        <f t="shared" si="125"/>
        <v>0</v>
      </c>
      <c r="AP91" s="519">
        <f t="shared" si="126"/>
        <v>0</v>
      </c>
      <c r="AQ91" s="519">
        <f t="shared" si="127"/>
        <v>0</v>
      </c>
      <c r="AR91" s="519">
        <f t="shared" si="128"/>
        <v>0</v>
      </c>
      <c r="AS91" s="520">
        <f t="shared" si="140"/>
        <v>0</v>
      </c>
      <c r="AU91" s="519">
        <f t="shared" si="154"/>
        <v>0</v>
      </c>
      <c r="AV91" s="519">
        <f t="shared" si="154"/>
        <v>0</v>
      </c>
      <c r="AW91" s="519">
        <f t="shared" si="154"/>
        <v>0</v>
      </c>
      <c r="AX91" s="519">
        <f t="shared" si="154"/>
        <v>0</v>
      </c>
      <c r="AY91" s="519">
        <f t="shared" si="154"/>
        <v>0</v>
      </c>
      <c r="AZ91" s="519">
        <f t="shared" si="141"/>
        <v>0</v>
      </c>
      <c r="BA91" s="519">
        <f t="shared" si="141"/>
        <v>0</v>
      </c>
      <c r="BB91" s="519">
        <f t="shared" si="141"/>
        <v>0</v>
      </c>
      <c r="BC91" s="519">
        <f t="shared" si="141"/>
        <v>0</v>
      </c>
      <c r="BD91" s="519">
        <f t="shared" si="141"/>
        <v>0</v>
      </c>
      <c r="BE91" s="520">
        <f t="shared" si="142"/>
        <v>0</v>
      </c>
      <c r="BG91" s="519">
        <f t="shared" si="143"/>
        <v>0</v>
      </c>
      <c r="BH91" s="519">
        <f t="shared" si="143"/>
        <v>0</v>
      </c>
      <c r="BI91" s="519">
        <f t="shared" si="143"/>
        <v>0</v>
      </c>
      <c r="BJ91" s="519">
        <f t="shared" si="143"/>
        <v>0</v>
      </c>
      <c r="BK91" s="519">
        <f t="shared" si="143"/>
        <v>0</v>
      </c>
      <c r="BL91" s="519">
        <f t="shared" si="143"/>
        <v>0</v>
      </c>
      <c r="BM91" s="519">
        <f t="shared" si="143"/>
        <v>0</v>
      </c>
      <c r="BN91" s="519">
        <f t="shared" si="157"/>
        <v>0</v>
      </c>
      <c r="BO91" s="519">
        <f t="shared" si="157"/>
        <v>0</v>
      </c>
      <c r="BP91" s="519">
        <f t="shared" si="157"/>
        <v>0</v>
      </c>
      <c r="BQ91" s="520">
        <f t="shared" si="144"/>
        <v>0</v>
      </c>
      <c r="BS91" s="519">
        <f t="shared" si="155"/>
        <v>0</v>
      </c>
      <c r="BT91" s="519">
        <f t="shared" si="155"/>
        <v>0</v>
      </c>
      <c r="BU91" s="519">
        <f t="shared" si="155"/>
        <v>0</v>
      </c>
      <c r="BV91" s="519">
        <f t="shared" si="155"/>
        <v>0</v>
      </c>
      <c r="BW91" s="519">
        <f t="shared" si="155"/>
        <v>0</v>
      </c>
      <c r="BX91" s="519">
        <f t="shared" si="145"/>
        <v>0</v>
      </c>
      <c r="BY91" s="519">
        <f t="shared" si="145"/>
        <v>0</v>
      </c>
      <c r="BZ91" s="519">
        <f t="shared" si="145"/>
        <v>0</v>
      </c>
      <c r="CA91" s="519">
        <f t="shared" si="145"/>
        <v>0</v>
      </c>
      <c r="CB91" s="519">
        <f t="shared" si="145"/>
        <v>0</v>
      </c>
      <c r="CC91" s="520">
        <f t="shared" si="146"/>
        <v>0</v>
      </c>
      <c r="CE91" s="519">
        <f t="shared" si="147"/>
        <v>0</v>
      </c>
      <c r="CF91" s="519">
        <f t="shared" si="147"/>
        <v>0</v>
      </c>
      <c r="CG91" s="519">
        <f t="shared" si="147"/>
        <v>0</v>
      </c>
      <c r="CH91" s="519">
        <f t="shared" si="147"/>
        <v>0</v>
      </c>
      <c r="CI91" s="519">
        <f t="shared" si="147"/>
        <v>0</v>
      </c>
      <c r="CJ91" s="519">
        <f t="shared" si="147"/>
        <v>0</v>
      </c>
      <c r="CK91" s="519">
        <f t="shared" si="147"/>
        <v>0</v>
      </c>
      <c r="CL91" s="519">
        <f t="shared" si="158"/>
        <v>0</v>
      </c>
      <c r="CM91" s="519">
        <f t="shared" si="158"/>
        <v>0</v>
      </c>
      <c r="CN91" s="519">
        <f t="shared" si="158"/>
        <v>0</v>
      </c>
      <c r="CO91" s="520">
        <f t="shared" si="148"/>
        <v>0</v>
      </c>
      <c r="CQ91" s="519">
        <f t="shared" si="129"/>
        <v>0</v>
      </c>
      <c r="CR91" s="519">
        <f t="shared" si="130"/>
        <v>0</v>
      </c>
      <c r="CS91" s="519">
        <f t="shared" si="131"/>
        <v>0</v>
      </c>
      <c r="CT91" s="519">
        <f t="shared" si="132"/>
        <v>0</v>
      </c>
      <c r="CU91" s="519">
        <f t="shared" si="133"/>
        <v>0</v>
      </c>
      <c r="CV91" s="519">
        <f t="shared" si="134"/>
        <v>0</v>
      </c>
      <c r="CW91" s="519">
        <f t="shared" si="135"/>
        <v>0</v>
      </c>
      <c r="CX91" s="519">
        <f t="shared" si="136"/>
        <v>0</v>
      </c>
      <c r="CY91" s="519">
        <f t="shared" si="137"/>
        <v>0</v>
      </c>
      <c r="CZ91" s="519">
        <f t="shared" si="138"/>
        <v>0</v>
      </c>
      <c r="DA91" s="520">
        <f t="shared" si="149"/>
        <v>0</v>
      </c>
      <c r="DC91" s="519">
        <f t="shared" si="156"/>
        <v>0</v>
      </c>
      <c r="DD91" s="519">
        <f t="shared" si="156"/>
        <v>0</v>
      </c>
      <c r="DE91" s="519">
        <f t="shared" si="156"/>
        <v>0</v>
      </c>
      <c r="DF91" s="519">
        <f t="shared" si="156"/>
        <v>0</v>
      </c>
      <c r="DG91" s="519">
        <f t="shared" si="156"/>
        <v>0</v>
      </c>
      <c r="DH91" s="519">
        <f t="shared" si="150"/>
        <v>0</v>
      </c>
      <c r="DI91" s="519">
        <f t="shared" si="150"/>
        <v>0</v>
      </c>
      <c r="DJ91" s="519">
        <f t="shared" si="150"/>
        <v>0</v>
      </c>
      <c r="DK91" s="519">
        <f t="shared" si="150"/>
        <v>0</v>
      </c>
      <c r="DL91" s="519">
        <f t="shared" si="150"/>
        <v>0</v>
      </c>
      <c r="DM91" s="520">
        <f t="shared" si="151"/>
        <v>0</v>
      </c>
      <c r="DO91" s="519">
        <f t="shared" si="106"/>
        <v>0</v>
      </c>
      <c r="DP91" s="519">
        <f t="shared" si="106"/>
        <v>0</v>
      </c>
      <c r="DQ91" s="519">
        <f t="shared" si="106"/>
        <v>0</v>
      </c>
      <c r="DR91" s="519">
        <f t="shared" si="106"/>
        <v>0</v>
      </c>
      <c r="DS91" s="519">
        <f t="shared" si="106"/>
        <v>0</v>
      </c>
      <c r="DT91" s="519">
        <f t="shared" si="106"/>
        <v>0</v>
      </c>
      <c r="DU91" s="519">
        <f t="shared" si="106"/>
        <v>0</v>
      </c>
      <c r="DV91" s="519">
        <f t="shared" si="106"/>
        <v>0</v>
      </c>
      <c r="DW91" s="519">
        <f t="shared" si="106"/>
        <v>0</v>
      </c>
      <c r="DX91" s="519">
        <f t="shared" si="106"/>
        <v>0</v>
      </c>
      <c r="DY91" s="520">
        <f t="shared" si="152"/>
        <v>0</v>
      </c>
      <c r="EA91" s="519">
        <f t="shared" si="107"/>
        <v>0</v>
      </c>
      <c r="EB91" s="519">
        <f t="shared" si="107"/>
        <v>0</v>
      </c>
      <c r="EC91" s="519">
        <f t="shared" si="107"/>
        <v>0</v>
      </c>
      <c r="ED91" s="519">
        <f t="shared" si="107"/>
        <v>0</v>
      </c>
      <c r="EE91" s="519">
        <f t="shared" si="107"/>
        <v>0</v>
      </c>
      <c r="EF91" s="519">
        <f t="shared" si="107"/>
        <v>0</v>
      </c>
      <c r="EG91" s="519">
        <f t="shared" si="107"/>
        <v>0</v>
      </c>
      <c r="EH91" s="519">
        <f t="shared" si="107"/>
        <v>0</v>
      </c>
      <c r="EI91" s="519">
        <f t="shared" si="107"/>
        <v>0</v>
      </c>
      <c r="EJ91" s="519">
        <f t="shared" si="107"/>
        <v>0</v>
      </c>
      <c r="EK91" s="520">
        <f t="shared" si="153"/>
        <v>0</v>
      </c>
    </row>
    <row r="92" spans="2:141" s="268" customFormat="1" ht="15" customHeight="1" x14ac:dyDescent="0.25">
      <c r="B92" s="446" t="str">
        <f>'2. START'!C$7</f>
        <v>100GEM</v>
      </c>
      <c r="C92" s="469"/>
      <c r="D92" s="594"/>
      <c r="E92" s="522">
        <v>0</v>
      </c>
      <c r="F92" s="522" t="s">
        <v>36</v>
      </c>
      <c r="G92" s="522"/>
      <c r="H92" s="523"/>
      <c r="I92" s="523"/>
      <c r="J92" s="523"/>
      <c r="K92" s="523"/>
      <c r="L92" s="523"/>
      <c r="M92" s="523"/>
      <c r="N92" s="523"/>
      <c r="O92" s="523"/>
      <c r="P92" s="523"/>
      <c r="Q92" s="523"/>
      <c r="R92" s="459">
        <f t="shared" si="108"/>
        <v>0</v>
      </c>
      <c r="S92" s="524">
        <f>IF('2. START'!$C$20="UTB",(SUMIF('3. PARTNER'!B$13:B$80,B92,'3. PARTNER'!M$13:M$80)),(SUMIF('3. PARTNER'!B$13:B$80,B92,'3. PARTNER'!I$13:I$80)))</f>
        <v>0</v>
      </c>
      <c r="T92" s="524">
        <f>IF('2. START'!$C$20="UTB",(SUMIF('3. PARTNER'!B$13:B$80,B92,'3. PARTNER'!N$13:N$80)),(SUMIF('3. PARTNER'!B$13:B$80,B92,'3. PARTNER'!J$13:J$80)))</f>
        <v>0</v>
      </c>
      <c r="U92" s="454">
        <f>IF(F92="NO",0,IF('2. START'!C$13="PERSON+OPERATION",'2. START'!C$12,0)+IF('2. START'!C$13="PERSON+OPERATION+INVEST+FACILIT",'2. START'!C$12,0))</f>
        <v>0</v>
      </c>
      <c r="V92" s="463"/>
      <c r="W92" s="459">
        <f t="shared" si="109"/>
        <v>0</v>
      </c>
      <c r="X92" s="459">
        <f t="shared" si="110"/>
        <v>0</v>
      </c>
      <c r="Y92" s="459">
        <f t="shared" si="111"/>
        <v>0</v>
      </c>
      <c r="Z92" s="459">
        <f t="shared" si="112"/>
        <v>0</v>
      </c>
      <c r="AA92" s="459">
        <f t="shared" si="113"/>
        <v>0</v>
      </c>
      <c r="AB92" s="459">
        <f t="shared" si="114"/>
        <v>0</v>
      </c>
      <c r="AC92" s="459">
        <f t="shared" si="115"/>
        <v>0</v>
      </c>
      <c r="AD92" s="459">
        <f t="shared" si="116"/>
        <v>0</v>
      </c>
      <c r="AE92" s="459">
        <f t="shared" si="117"/>
        <v>0</v>
      </c>
      <c r="AF92" s="459">
        <f t="shared" si="118"/>
        <v>0</v>
      </c>
      <c r="AG92" s="460">
        <f t="shared" si="139"/>
        <v>0</v>
      </c>
      <c r="AH92" s="463"/>
      <c r="AI92" s="459">
        <f t="shared" si="119"/>
        <v>0</v>
      </c>
      <c r="AJ92" s="459">
        <f t="shared" si="120"/>
        <v>0</v>
      </c>
      <c r="AK92" s="459">
        <f t="shared" si="121"/>
        <v>0</v>
      </c>
      <c r="AL92" s="459">
        <f t="shared" si="122"/>
        <v>0</v>
      </c>
      <c r="AM92" s="459">
        <f t="shared" si="123"/>
        <v>0</v>
      </c>
      <c r="AN92" s="459">
        <f t="shared" si="124"/>
        <v>0</v>
      </c>
      <c r="AO92" s="459">
        <f t="shared" si="125"/>
        <v>0</v>
      </c>
      <c r="AP92" s="459">
        <f t="shared" si="126"/>
        <v>0</v>
      </c>
      <c r="AQ92" s="459">
        <f t="shared" si="127"/>
        <v>0</v>
      </c>
      <c r="AR92" s="459">
        <f t="shared" si="128"/>
        <v>0</v>
      </c>
      <c r="AS92" s="460">
        <f t="shared" si="140"/>
        <v>0</v>
      </c>
      <c r="AT92" s="463"/>
      <c r="AU92" s="459">
        <f t="shared" si="154"/>
        <v>0</v>
      </c>
      <c r="AV92" s="459">
        <f t="shared" si="154"/>
        <v>0</v>
      </c>
      <c r="AW92" s="459">
        <f t="shared" si="154"/>
        <v>0</v>
      </c>
      <c r="AX92" s="459">
        <f t="shared" si="154"/>
        <v>0</v>
      </c>
      <c r="AY92" s="459">
        <f t="shared" si="154"/>
        <v>0</v>
      </c>
      <c r="AZ92" s="459">
        <f t="shared" si="141"/>
        <v>0</v>
      </c>
      <c r="BA92" s="459">
        <f t="shared" si="141"/>
        <v>0</v>
      </c>
      <c r="BB92" s="459">
        <f t="shared" si="141"/>
        <v>0</v>
      </c>
      <c r="BC92" s="459">
        <f t="shared" si="141"/>
        <v>0</v>
      </c>
      <c r="BD92" s="459">
        <f t="shared" si="141"/>
        <v>0</v>
      </c>
      <c r="BE92" s="460">
        <f t="shared" si="142"/>
        <v>0</v>
      </c>
      <c r="BF92" s="463"/>
      <c r="BG92" s="459">
        <f t="shared" si="143"/>
        <v>0</v>
      </c>
      <c r="BH92" s="459">
        <f t="shared" si="143"/>
        <v>0</v>
      </c>
      <c r="BI92" s="459">
        <f t="shared" si="143"/>
        <v>0</v>
      </c>
      <c r="BJ92" s="459">
        <f t="shared" si="143"/>
        <v>0</v>
      </c>
      <c r="BK92" s="459">
        <f t="shared" si="143"/>
        <v>0</v>
      </c>
      <c r="BL92" s="459">
        <f t="shared" si="143"/>
        <v>0</v>
      </c>
      <c r="BM92" s="459">
        <f t="shared" si="143"/>
        <v>0</v>
      </c>
      <c r="BN92" s="459">
        <f t="shared" si="157"/>
        <v>0</v>
      </c>
      <c r="BO92" s="459">
        <f t="shared" si="157"/>
        <v>0</v>
      </c>
      <c r="BP92" s="459">
        <f t="shared" si="157"/>
        <v>0</v>
      </c>
      <c r="BQ92" s="460">
        <f t="shared" si="144"/>
        <v>0</v>
      </c>
      <c r="BR92" s="463"/>
      <c r="BS92" s="459">
        <f t="shared" si="155"/>
        <v>0</v>
      </c>
      <c r="BT92" s="459">
        <f t="shared" si="155"/>
        <v>0</v>
      </c>
      <c r="BU92" s="459">
        <f t="shared" si="155"/>
        <v>0</v>
      </c>
      <c r="BV92" s="459">
        <f t="shared" si="155"/>
        <v>0</v>
      </c>
      <c r="BW92" s="459">
        <f t="shared" si="155"/>
        <v>0</v>
      </c>
      <c r="BX92" s="459">
        <f t="shared" si="145"/>
        <v>0</v>
      </c>
      <c r="BY92" s="459">
        <f t="shared" si="145"/>
        <v>0</v>
      </c>
      <c r="BZ92" s="459">
        <f t="shared" si="145"/>
        <v>0</v>
      </c>
      <c r="CA92" s="459">
        <f t="shared" si="145"/>
        <v>0</v>
      </c>
      <c r="CB92" s="459">
        <f t="shared" si="145"/>
        <v>0</v>
      </c>
      <c r="CC92" s="460">
        <f t="shared" si="146"/>
        <v>0</v>
      </c>
      <c r="CD92" s="463"/>
      <c r="CE92" s="459">
        <f t="shared" si="147"/>
        <v>0</v>
      </c>
      <c r="CF92" s="459">
        <f t="shared" si="147"/>
        <v>0</v>
      </c>
      <c r="CG92" s="459">
        <f t="shared" si="147"/>
        <v>0</v>
      </c>
      <c r="CH92" s="459">
        <f t="shared" si="147"/>
        <v>0</v>
      </c>
      <c r="CI92" s="459">
        <f t="shared" si="147"/>
        <v>0</v>
      </c>
      <c r="CJ92" s="459">
        <f t="shared" si="147"/>
        <v>0</v>
      </c>
      <c r="CK92" s="459">
        <f t="shared" si="147"/>
        <v>0</v>
      </c>
      <c r="CL92" s="459">
        <f t="shared" si="158"/>
        <v>0</v>
      </c>
      <c r="CM92" s="459">
        <f t="shared" si="158"/>
        <v>0</v>
      </c>
      <c r="CN92" s="459">
        <f t="shared" si="158"/>
        <v>0</v>
      </c>
      <c r="CO92" s="460">
        <f t="shared" si="148"/>
        <v>0</v>
      </c>
      <c r="CP92" s="463"/>
      <c r="CQ92" s="459">
        <f t="shared" si="129"/>
        <v>0</v>
      </c>
      <c r="CR92" s="459">
        <f t="shared" si="130"/>
        <v>0</v>
      </c>
      <c r="CS92" s="459">
        <f t="shared" si="131"/>
        <v>0</v>
      </c>
      <c r="CT92" s="459">
        <f t="shared" si="132"/>
        <v>0</v>
      </c>
      <c r="CU92" s="459">
        <f t="shared" si="133"/>
        <v>0</v>
      </c>
      <c r="CV92" s="459">
        <f t="shared" si="134"/>
        <v>0</v>
      </c>
      <c r="CW92" s="459">
        <f t="shared" si="135"/>
        <v>0</v>
      </c>
      <c r="CX92" s="459">
        <f t="shared" si="136"/>
        <v>0</v>
      </c>
      <c r="CY92" s="459">
        <f t="shared" si="137"/>
        <v>0</v>
      </c>
      <c r="CZ92" s="459">
        <f t="shared" si="138"/>
        <v>0</v>
      </c>
      <c r="DA92" s="460">
        <f t="shared" si="149"/>
        <v>0</v>
      </c>
      <c r="DB92" s="463"/>
      <c r="DC92" s="459">
        <f t="shared" si="156"/>
        <v>0</v>
      </c>
      <c r="DD92" s="459">
        <f t="shared" si="156"/>
        <v>0</v>
      </c>
      <c r="DE92" s="459">
        <f t="shared" si="156"/>
        <v>0</v>
      </c>
      <c r="DF92" s="459">
        <f t="shared" si="156"/>
        <v>0</v>
      </c>
      <c r="DG92" s="459">
        <f t="shared" si="156"/>
        <v>0</v>
      </c>
      <c r="DH92" s="459">
        <f t="shared" si="150"/>
        <v>0</v>
      </c>
      <c r="DI92" s="459">
        <f t="shared" si="150"/>
        <v>0</v>
      </c>
      <c r="DJ92" s="459">
        <f t="shared" si="150"/>
        <v>0</v>
      </c>
      <c r="DK92" s="459">
        <f t="shared" si="150"/>
        <v>0</v>
      </c>
      <c r="DL92" s="459">
        <f t="shared" si="150"/>
        <v>0</v>
      </c>
      <c r="DM92" s="460">
        <f t="shared" si="151"/>
        <v>0</v>
      </c>
      <c r="DN92" s="463"/>
      <c r="DO92" s="459">
        <f t="shared" si="106"/>
        <v>0</v>
      </c>
      <c r="DP92" s="459">
        <f t="shared" si="106"/>
        <v>0</v>
      </c>
      <c r="DQ92" s="459">
        <f t="shared" si="106"/>
        <v>0</v>
      </c>
      <c r="DR92" s="459">
        <f t="shared" si="106"/>
        <v>0</v>
      </c>
      <c r="DS92" s="459">
        <f t="shared" si="106"/>
        <v>0</v>
      </c>
      <c r="DT92" s="459">
        <f t="shared" si="106"/>
        <v>0</v>
      </c>
      <c r="DU92" s="459">
        <f t="shared" si="106"/>
        <v>0</v>
      </c>
      <c r="DV92" s="459">
        <f t="shared" si="106"/>
        <v>0</v>
      </c>
      <c r="DW92" s="459">
        <f t="shared" si="106"/>
        <v>0</v>
      </c>
      <c r="DX92" s="459">
        <f t="shared" si="106"/>
        <v>0</v>
      </c>
      <c r="DY92" s="460">
        <f t="shared" si="152"/>
        <v>0</v>
      </c>
      <c r="DZ92" s="463"/>
      <c r="EA92" s="459">
        <f t="shared" si="107"/>
        <v>0</v>
      </c>
      <c r="EB92" s="459">
        <f t="shared" si="107"/>
        <v>0</v>
      </c>
      <c r="EC92" s="459">
        <f t="shared" si="107"/>
        <v>0</v>
      </c>
      <c r="ED92" s="459">
        <f t="shared" si="107"/>
        <v>0</v>
      </c>
      <c r="EE92" s="459">
        <f t="shared" si="107"/>
        <v>0</v>
      </c>
      <c r="EF92" s="459">
        <f t="shared" si="107"/>
        <v>0</v>
      </c>
      <c r="EG92" s="459">
        <f t="shared" si="107"/>
        <v>0</v>
      </c>
      <c r="EH92" s="459">
        <f t="shared" si="107"/>
        <v>0</v>
      </c>
      <c r="EI92" s="459">
        <f t="shared" si="107"/>
        <v>0</v>
      </c>
      <c r="EJ92" s="459">
        <f t="shared" si="107"/>
        <v>0</v>
      </c>
      <c r="EK92" s="460">
        <f t="shared" si="153"/>
        <v>0</v>
      </c>
    </row>
    <row r="93" spans="2:141" s="268" customFormat="1" ht="15" customHeight="1" x14ac:dyDescent="0.25">
      <c r="B93" s="464" t="str">
        <f>'2. START'!C$7</f>
        <v>100GEM</v>
      </c>
      <c r="C93" s="470"/>
      <c r="D93" s="593"/>
      <c r="E93" s="527">
        <v>0</v>
      </c>
      <c r="F93" s="527" t="s">
        <v>36</v>
      </c>
      <c r="G93" s="527"/>
      <c r="H93" s="515"/>
      <c r="I93" s="515"/>
      <c r="J93" s="515"/>
      <c r="K93" s="515"/>
      <c r="L93" s="515"/>
      <c r="M93" s="515"/>
      <c r="N93" s="515"/>
      <c r="O93" s="515"/>
      <c r="P93" s="515"/>
      <c r="Q93" s="515"/>
      <c r="R93" s="442">
        <f t="shared" si="108"/>
        <v>0</v>
      </c>
      <c r="S93" s="516">
        <f>IF('2. START'!$C$20="UTB",(SUMIF('3. PARTNER'!B$13:B$80,B93,'3. PARTNER'!M$13:M$80)),(SUMIF('3. PARTNER'!B$13:B$80,B93,'3. PARTNER'!I$13:I$80)))</f>
        <v>0</v>
      </c>
      <c r="T93" s="516">
        <f>IF('2. START'!$C$20="UTB",(SUMIF('3. PARTNER'!B$13:B$80,B93,'3. PARTNER'!N$13:N$80)),(SUMIF('3. PARTNER'!B$13:B$80,B93,'3. PARTNER'!J$13:J$80)))</f>
        <v>0</v>
      </c>
      <c r="U93" s="517">
        <f>IF(F93="NO",0,IF('2. START'!C$13="PERSON+OPERATION",'2. START'!C$12,0)+IF('2. START'!C$13="PERSON+OPERATION+INVEST+FACILIT",'2. START'!C$12,0))</f>
        <v>0</v>
      </c>
      <c r="W93" s="519">
        <f t="shared" si="109"/>
        <v>0</v>
      </c>
      <c r="X93" s="519">
        <f t="shared" si="110"/>
        <v>0</v>
      </c>
      <c r="Y93" s="519">
        <f t="shared" si="111"/>
        <v>0</v>
      </c>
      <c r="Z93" s="519">
        <f t="shared" si="112"/>
        <v>0</v>
      </c>
      <c r="AA93" s="519">
        <f t="shared" si="113"/>
        <v>0</v>
      </c>
      <c r="AB93" s="519">
        <f t="shared" si="114"/>
        <v>0</v>
      </c>
      <c r="AC93" s="519">
        <f t="shared" si="115"/>
        <v>0</v>
      </c>
      <c r="AD93" s="519">
        <f t="shared" si="116"/>
        <v>0</v>
      </c>
      <c r="AE93" s="519">
        <f t="shared" si="117"/>
        <v>0</v>
      </c>
      <c r="AF93" s="519">
        <f t="shared" si="118"/>
        <v>0</v>
      </c>
      <c r="AG93" s="520">
        <f t="shared" si="139"/>
        <v>0</v>
      </c>
      <c r="AI93" s="519">
        <f t="shared" si="119"/>
        <v>0</v>
      </c>
      <c r="AJ93" s="519">
        <f t="shared" si="120"/>
        <v>0</v>
      </c>
      <c r="AK93" s="519">
        <f t="shared" si="121"/>
        <v>0</v>
      </c>
      <c r="AL93" s="519">
        <f t="shared" si="122"/>
        <v>0</v>
      </c>
      <c r="AM93" s="519">
        <f t="shared" si="123"/>
        <v>0</v>
      </c>
      <c r="AN93" s="519">
        <f t="shared" si="124"/>
        <v>0</v>
      </c>
      <c r="AO93" s="519">
        <f t="shared" si="125"/>
        <v>0</v>
      </c>
      <c r="AP93" s="519">
        <f t="shared" si="126"/>
        <v>0</v>
      </c>
      <c r="AQ93" s="519">
        <f t="shared" si="127"/>
        <v>0</v>
      </c>
      <c r="AR93" s="519">
        <f t="shared" si="128"/>
        <v>0</v>
      </c>
      <c r="AS93" s="520">
        <f t="shared" si="140"/>
        <v>0</v>
      </c>
      <c r="AU93" s="519">
        <f t="shared" si="154"/>
        <v>0</v>
      </c>
      <c r="AV93" s="519">
        <f t="shared" si="154"/>
        <v>0</v>
      </c>
      <c r="AW93" s="519">
        <f t="shared" si="154"/>
        <v>0</v>
      </c>
      <c r="AX93" s="519">
        <f t="shared" si="154"/>
        <v>0</v>
      </c>
      <c r="AY93" s="519">
        <f t="shared" si="154"/>
        <v>0</v>
      </c>
      <c r="AZ93" s="519">
        <f t="shared" si="141"/>
        <v>0</v>
      </c>
      <c r="BA93" s="519">
        <f t="shared" si="141"/>
        <v>0</v>
      </c>
      <c r="BB93" s="519">
        <f t="shared" si="141"/>
        <v>0</v>
      </c>
      <c r="BC93" s="519">
        <f t="shared" si="141"/>
        <v>0</v>
      </c>
      <c r="BD93" s="519">
        <f t="shared" si="141"/>
        <v>0</v>
      </c>
      <c r="BE93" s="520">
        <f t="shared" si="142"/>
        <v>0</v>
      </c>
      <c r="BG93" s="519">
        <f t="shared" si="143"/>
        <v>0</v>
      </c>
      <c r="BH93" s="519">
        <f t="shared" si="143"/>
        <v>0</v>
      </c>
      <c r="BI93" s="519">
        <f t="shared" si="143"/>
        <v>0</v>
      </c>
      <c r="BJ93" s="519">
        <f t="shared" si="143"/>
        <v>0</v>
      </c>
      <c r="BK93" s="519">
        <f t="shared" si="143"/>
        <v>0</v>
      </c>
      <c r="BL93" s="519">
        <f t="shared" si="143"/>
        <v>0</v>
      </c>
      <c r="BM93" s="519">
        <f t="shared" si="143"/>
        <v>0</v>
      </c>
      <c r="BN93" s="519">
        <f t="shared" si="157"/>
        <v>0</v>
      </c>
      <c r="BO93" s="519">
        <f t="shared" si="157"/>
        <v>0</v>
      </c>
      <c r="BP93" s="519">
        <f t="shared" si="157"/>
        <v>0</v>
      </c>
      <c r="BQ93" s="520">
        <f t="shared" si="144"/>
        <v>0</v>
      </c>
      <c r="BS93" s="519">
        <f t="shared" si="155"/>
        <v>0</v>
      </c>
      <c r="BT93" s="519">
        <f t="shared" si="155"/>
        <v>0</v>
      </c>
      <c r="BU93" s="519">
        <f t="shared" si="155"/>
        <v>0</v>
      </c>
      <c r="BV93" s="519">
        <f t="shared" si="155"/>
        <v>0</v>
      </c>
      <c r="BW93" s="519">
        <f t="shared" si="155"/>
        <v>0</v>
      </c>
      <c r="BX93" s="519">
        <f t="shared" si="145"/>
        <v>0</v>
      </c>
      <c r="BY93" s="519">
        <f t="shared" si="145"/>
        <v>0</v>
      </c>
      <c r="BZ93" s="519">
        <f t="shared" si="145"/>
        <v>0</v>
      </c>
      <c r="CA93" s="519">
        <f t="shared" si="145"/>
        <v>0</v>
      </c>
      <c r="CB93" s="519">
        <f t="shared" si="145"/>
        <v>0</v>
      </c>
      <c r="CC93" s="520">
        <f t="shared" si="146"/>
        <v>0</v>
      </c>
      <c r="CE93" s="519">
        <f t="shared" si="147"/>
        <v>0</v>
      </c>
      <c r="CF93" s="519">
        <f t="shared" si="147"/>
        <v>0</v>
      </c>
      <c r="CG93" s="519">
        <f t="shared" si="147"/>
        <v>0</v>
      </c>
      <c r="CH93" s="519">
        <f t="shared" si="147"/>
        <v>0</v>
      </c>
      <c r="CI93" s="519">
        <f t="shared" si="147"/>
        <v>0</v>
      </c>
      <c r="CJ93" s="519">
        <f t="shared" si="147"/>
        <v>0</v>
      </c>
      <c r="CK93" s="519">
        <f t="shared" si="147"/>
        <v>0</v>
      </c>
      <c r="CL93" s="519">
        <f t="shared" si="158"/>
        <v>0</v>
      </c>
      <c r="CM93" s="519">
        <f t="shared" si="158"/>
        <v>0</v>
      </c>
      <c r="CN93" s="519">
        <f t="shared" si="158"/>
        <v>0</v>
      </c>
      <c r="CO93" s="520">
        <f t="shared" si="148"/>
        <v>0</v>
      </c>
      <c r="CQ93" s="519">
        <f t="shared" si="129"/>
        <v>0</v>
      </c>
      <c r="CR93" s="519">
        <f t="shared" si="130"/>
        <v>0</v>
      </c>
      <c r="CS93" s="519">
        <f t="shared" si="131"/>
        <v>0</v>
      </c>
      <c r="CT93" s="519">
        <f t="shared" si="132"/>
        <v>0</v>
      </c>
      <c r="CU93" s="519">
        <f t="shared" si="133"/>
        <v>0</v>
      </c>
      <c r="CV93" s="519">
        <f t="shared" si="134"/>
        <v>0</v>
      </c>
      <c r="CW93" s="519">
        <f t="shared" si="135"/>
        <v>0</v>
      </c>
      <c r="CX93" s="519">
        <f t="shared" si="136"/>
        <v>0</v>
      </c>
      <c r="CY93" s="519">
        <f t="shared" si="137"/>
        <v>0</v>
      </c>
      <c r="CZ93" s="519">
        <f t="shared" si="138"/>
        <v>0</v>
      </c>
      <c r="DA93" s="520">
        <f t="shared" si="149"/>
        <v>0</v>
      </c>
      <c r="DC93" s="519">
        <f t="shared" si="156"/>
        <v>0</v>
      </c>
      <c r="DD93" s="519">
        <f t="shared" si="156"/>
        <v>0</v>
      </c>
      <c r="DE93" s="519">
        <f t="shared" si="156"/>
        <v>0</v>
      </c>
      <c r="DF93" s="519">
        <f t="shared" si="156"/>
        <v>0</v>
      </c>
      <c r="DG93" s="519">
        <f t="shared" si="156"/>
        <v>0</v>
      </c>
      <c r="DH93" s="519">
        <f t="shared" si="150"/>
        <v>0</v>
      </c>
      <c r="DI93" s="519">
        <f t="shared" si="150"/>
        <v>0</v>
      </c>
      <c r="DJ93" s="519">
        <f t="shared" si="150"/>
        <v>0</v>
      </c>
      <c r="DK93" s="519">
        <f t="shared" si="150"/>
        <v>0</v>
      </c>
      <c r="DL93" s="519">
        <f t="shared" si="150"/>
        <v>0</v>
      </c>
      <c r="DM93" s="520">
        <f t="shared" si="151"/>
        <v>0</v>
      </c>
      <c r="DO93" s="519">
        <f t="shared" si="106"/>
        <v>0</v>
      </c>
      <c r="DP93" s="519">
        <f t="shared" si="106"/>
        <v>0</v>
      </c>
      <c r="DQ93" s="519">
        <f t="shared" si="106"/>
        <v>0</v>
      </c>
      <c r="DR93" s="519">
        <f t="shared" si="106"/>
        <v>0</v>
      </c>
      <c r="DS93" s="519">
        <f t="shared" si="106"/>
        <v>0</v>
      </c>
      <c r="DT93" s="519">
        <f t="shared" si="106"/>
        <v>0</v>
      </c>
      <c r="DU93" s="519">
        <f t="shared" si="106"/>
        <v>0</v>
      </c>
      <c r="DV93" s="519">
        <f t="shared" si="106"/>
        <v>0</v>
      </c>
      <c r="DW93" s="519">
        <f t="shared" si="106"/>
        <v>0</v>
      </c>
      <c r="DX93" s="519">
        <f t="shared" si="106"/>
        <v>0</v>
      </c>
      <c r="DY93" s="520">
        <f t="shared" si="152"/>
        <v>0</v>
      </c>
      <c r="EA93" s="519">
        <f t="shared" si="107"/>
        <v>0</v>
      </c>
      <c r="EB93" s="519">
        <f t="shared" si="107"/>
        <v>0</v>
      </c>
      <c r="EC93" s="519">
        <f t="shared" si="107"/>
        <v>0</v>
      </c>
      <c r="ED93" s="519">
        <f t="shared" si="107"/>
        <v>0</v>
      </c>
      <c r="EE93" s="519">
        <f t="shared" si="107"/>
        <v>0</v>
      </c>
      <c r="EF93" s="519">
        <f t="shared" si="107"/>
        <v>0</v>
      </c>
      <c r="EG93" s="519">
        <f t="shared" si="107"/>
        <v>0</v>
      </c>
      <c r="EH93" s="519">
        <f t="shared" si="107"/>
        <v>0</v>
      </c>
      <c r="EI93" s="519">
        <f t="shared" si="107"/>
        <v>0</v>
      </c>
      <c r="EJ93" s="519">
        <f t="shared" si="107"/>
        <v>0</v>
      </c>
      <c r="EK93" s="520">
        <f t="shared" si="153"/>
        <v>0</v>
      </c>
    </row>
    <row r="94" spans="2:141" s="268" customFormat="1" ht="15" customHeight="1" x14ac:dyDescent="0.25">
      <c r="B94" s="446" t="str">
        <f>'2. START'!C$7</f>
        <v>100GEM</v>
      </c>
      <c r="C94" s="469"/>
      <c r="D94" s="594"/>
      <c r="E94" s="522">
        <v>0</v>
      </c>
      <c r="F94" s="522" t="s">
        <v>36</v>
      </c>
      <c r="G94" s="522"/>
      <c r="H94" s="523"/>
      <c r="I94" s="523"/>
      <c r="J94" s="523"/>
      <c r="K94" s="523"/>
      <c r="L94" s="523"/>
      <c r="M94" s="523"/>
      <c r="N94" s="523"/>
      <c r="O94" s="523"/>
      <c r="P94" s="523"/>
      <c r="Q94" s="523"/>
      <c r="R94" s="459">
        <f t="shared" si="108"/>
        <v>0</v>
      </c>
      <c r="S94" s="524">
        <f>IF('2. START'!$C$20="UTB",(SUMIF('3. PARTNER'!B$13:B$80,B94,'3. PARTNER'!M$13:M$80)),(SUMIF('3. PARTNER'!B$13:B$80,B94,'3. PARTNER'!I$13:I$80)))</f>
        <v>0</v>
      </c>
      <c r="T94" s="524">
        <f>IF('2. START'!$C$20="UTB",(SUMIF('3. PARTNER'!B$13:B$80,B94,'3. PARTNER'!N$13:N$80)),(SUMIF('3. PARTNER'!B$13:B$80,B94,'3. PARTNER'!J$13:J$80)))</f>
        <v>0</v>
      </c>
      <c r="U94" s="454">
        <f>IF(F94="NO",0,IF('2. START'!C$13="PERSON+OPERATION",'2. START'!C$12,0)+IF('2. START'!C$13="PERSON+OPERATION+INVEST+FACILIT",'2. START'!C$12,0))</f>
        <v>0</v>
      </c>
      <c r="V94" s="463"/>
      <c r="W94" s="459">
        <f t="shared" si="109"/>
        <v>0</v>
      </c>
      <c r="X94" s="459">
        <f t="shared" si="110"/>
        <v>0</v>
      </c>
      <c r="Y94" s="459">
        <f t="shared" si="111"/>
        <v>0</v>
      </c>
      <c r="Z94" s="459">
        <f t="shared" si="112"/>
        <v>0</v>
      </c>
      <c r="AA94" s="459">
        <f t="shared" si="113"/>
        <v>0</v>
      </c>
      <c r="AB94" s="459">
        <f t="shared" si="114"/>
        <v>0</v>
      </c>
      <c r="AC94" s="459">
        <f t="shared" si="115"/>
        <v>0</v>
      </c>
      <c r="AD94" s="459">
        <f t="shared" si="116"/>
        <v>0</v>
      </c>
      <c r="AE94" s="459">
        <f t="shared" si="117"/>
        <v>0</v>
      </c>
      <c r="AF94" s="459">
        <f t="shared" si="118"/>
        <v>0</v>
      </c>
      <c r="AG94" s="460">
        <f t="shared" si="139"/>
        <v>0</v>
      </c>
      <c r="AH94" s="463"/>
      <c r="AI94" s="459">
        <f t="shared" si="119"/>
        <v>0</v>
      </c>
      <c r="AJ94" s="459">
        <f t="shared" si="120"/>
        <v>0</v>
      </c>
      <c r="AK94" s="459">
        <f t="shared" si="121"/>
        <v>0</v>
      </c>
      <c r="AL94" s="459">
        <f t="shared" si="122"/>
        <v>0</v>
      </c>
      <c r="AM94" s="459">
        <f t="shared" si="123"/>
        <v>0</v>
      </c>
      <c r="AN94" s="459">
        <f t="shared" si="124"/>
        <v>0</v>
      </c>
      <c r="AO94" s="459">
        <f t="shared" si="125"/>
        <v>0</v>
      </c>
      <c r="AP94" s="459">
        <f t="shared" si="126"/>
        <v>0</v>
      </c>
      <c r="AQ94" s="459">
        <f t="shared" si="127"/>
        <v>0</v>
      </c>
      <c r="AR94" s="459">
        <f t="shared" si="128"/>
        <v>0</v>
      </c>
      <c r="AS94" s="460">
        <f t="shared" si="140"/>
        <v>0</v>
      </c>
      <c r="AT94" s="463"/>
      <c r="AU94" s="459">
        <f t="shared" si="154"/>
        <v>0</v>
      </c>
      <c r="AV94" s="459">
        <f t="shared" si="154"/>
        <v>0</v>
      </c>
      <c r="AW94" s="459">
        <f t="shared" si="154"/>
        <v>0</v>
      </c>
      <c r="AX94" s="459">
        <f t="shared" si="154"/>
        <v>0</v>
      </c>
      <c r="AY94" s="459">
        <f t="shared" si="154"/>
        <v>0</v>
      </c>
      <c r="AZ94" s="459">
        <f t="shared" si="141"/>
        <v>0</v>
      </c>
      <c r="BA94" s="459">
        <f t="shared" si="141"/>
        <v>0</v>
      </c>
      <c r="BB94" s="459">
        <f t="shared" si="141"/>
        <v>0</v>
      </c>
      <c r="BC94" s="459">
        <f t="shared" si="141"/>
        <v>0</v>
      </c>
      <c r="BD94" s="459">
        <f t="shared" si="141"/>
        <v>0</v>
      </c>
      <c r="BE94" s="460">
        <f t="shared" si="142"/>
        <v>0</v>
      </c>
      <c r="BF94" s="463"/>
      <c r="BG94" s="459">
        <f t="shared" si="143"/>
        <v>0</v>
      </c>
      <c r="BH94" s="459">
        <f t="shared" si="143"/>
        <v>0</v>
      </c>
      <c r="BI94" s="459">
        <f t="shared" si="143"/>
        <v>0</v>
      </c>
      <c r="BJ94" s="459">
        <f t="shared" si="143"/>
        <v>0</v>
      </c>
      <c r="BK94" s="459">
        <f t="shared" si="143"/>
        <v>0</v>
      </c>
      <c r="BL94" s="459">
        <f t="shared" si="143"/>
        <v>0</v>
      </c>
      <c r="BM94" s="459">
        <f t="shared" si="143"/>
        <v>0</v>
      </c>
      <c r="BN94" s="459">
        <f t="shared" si="157"/>
        <v>0</v>
      </c>
      <c r="BO94" s="459">
        <f t="shared" si="157"/>
        <v>0</v>
      </c>
      <c r="BP94" s="459">
        <f t="shared" si="157"/>
        <v>0</v>
      </c>
      <c r="BQ94" s="460">
        <f t="shared" si="144"/>
        <v>0</v>
      </c>
      <c r="BR94" s="463"/>
      <c r="BS94" s="459">
        <f t="shared" si="155"/>
        <v>0</v>
      </c>
      <c r="BT94" s="459">
        <f t="shared" si="155"/>
        <v>0</v>
      </c>
      <c r="BU94" s="459">
        <f t="shared" si="155"/>
        <v>0</v>
      </c>
      <c r="BV94" s="459">
        <f t="shared" si="155"/>
        <v>0</v>
      </c>
      <c r="BW94" s="459">
        <f t="shared" si="155"/>
        <v>0</v>
      </c>
      <c r="BX94" s="459">
        <f t="shared" si="145"/>
        <v>0</v>
      </c>
      <c r="BY94" s="459">
        <f t="shared" si="145"/>
        <v>0</v>
      </c>
      <c r="BZ94" s="459">
        <f t="shared" si="145"/>
        <v>0</v>
      </c>
      <c r="CA94" s="459">
        <f t="shared" si="145"/>
        <v>0</v>
      </c>
      <c r="CB94" s="459">
        <f t="shared" si="145"/>
        <v>0</v>
      </c>
      <c r="CC94" s="460">
        <f t="shared" si="146"/>
        <v>0</v>
      </c>
      <c r="CD94" s="463"/>
      <c r="CE94" s="459">
        <f t="shared" si="147"/>
        <v>0</v>
      </c>
      <c r="CF94" s="459">
        <f t="shared" si="147"/>
        <v>0</v>
      </c>
      <c r="CG94" s="459">
        <f t="shared" si="147"/>
        <v>0</v>
      </c>
      <c r="CH94" s="459">
        <f t="shared" si="147"/>
        <v>0</v>
      </c>
      <c r="CI94" s="459">
        <f t="shared" si="147"/>
        <v>0</v>
      </c>
      <c r="CJ94" s="459">
        <f t="shared" si="147"/>
        <v>0</v>
      </c>
      <c r="CK94" s="459">
        <f t="shared" si="147"/>
        <v>0</v>
      </c>
      <c r="CL94" s="459">
        <f t="shared" si="158"/>
        <v>0</v>
      </c>
      <c r="CM94" s="459">
        <f t="shared" si="158"/>
        <v>0</v>
      </c>
      <c r="CN94" s="459">
        <f t="shared" si="158"/>
        <v>0</v>
      </c>
      <c r="CO94" s="460">
        <f t="shared" si="148"/>
        <v>0</v>
      </c>
      <c r="CP94" s="463"/>
      <c r="CQ94" s="459">
        <f t="shared" si="129"/>
        <v>0</v>
      </c>
      <c r="CR94" s="459">
        <f t="shared" si="130"/>
        <v>0</v>
      </c>
      <c r="CS94" s="459">
        <f t="shared" si="131"/>
        <v>0</v>
      </c>
      <c r="CT94" s="459">
        <f t="shared" si="132"/>
        <v>0</v>
      </c>
      <c r="CU94" s="459">
        <f t="shared" si="133"/>
        <v>0</v>
      </c>
      <c r="CV94" s="459">
        <f t="shared" si="134"/>
        <v>0</v>
      </c>
      <c r="CW94" s="459">
        <f t="shared" si="135"/>
        <v>0</v>
      </c>
      <c r="CX94" s="459">
        <f t="shared" si="136"/>
        <v>0</v>
      </c>
      <c r="CY94" s="459">
        <f t="shared" si="137"/>
        <v>0</v>
      </c>
      <c r="CZ94" s="459">
        <f t="shared" si="138"/>
        <v>0</v>
      </c>
      <c r="DA94" s="460">
        <f t="shared" si="149"/>
        <v>0</v>
      </c>
      <c r="DB94" s="463"/>
      <c r="DC94" s="459">
        <f t="shared" si="156"/>
        <v>0</v>
      </c>
      <c r="DD94" s="459">
        <f t="shared" si="156"/>
        <v>0</v>
      </c>
      <c r="DE94" s="459">
        <f t="shared" si="156"/>
        <v>0</v>
      </c>
      <c r="DF94" s="459">
        <f t="shared" si="156"/>
        <v>0</v>
      </c>
      <c r="DG94" s="459">
        <f t="shared" si="156"/>
        <v>0</v>
      </c>
      <c r="DH94" s="459">
        <f t="shared" si="150"/>
        <v>0</v>
      </c>
      <c r="DI94" s="459">
        <f t="shared" si="150"/>
        <v>0</v>
      </c>
      <c r="DJ94" s="459">
        <f t="shared" si="150"/>
        <v>0</v>
      </c>
      <c r="DK94" s="459">
        <f t="shared" si="150"/>
        <v>0</v>
      </c>
      <c r="DL94" s="459">
        <f t="shared" si="150"/>
        <v>0</v>
      </c>
      <c r="DM94" s="460">
        <f t="shared" si="151"/>
        <v>0</v>
      </c>
      <c r="DN94" s="463"/>
      <c r="DO94" s="459">
        <f t="shared" si="106"/>
        <v>0</v>
      </c>
      <c r="DP94" s="459">
        <f t="shared" si="106"/>
        <v>0</v>
      </c>
      <c r="DQ94" s="459">
        <f t="shared" si="106"/>
        <v>0</v>
      </c>
      <c r="DR94" s="459">
        <f t="shared" si="106"/>
        <v>0</v>
      </c>
      <c r="DS94" s="459">
        <f t="shared" si="106"/>
        <v>0</v>
      </c>
      <c r="DT94" s="459">
        <f t="shared" si="106"/>
        <v>0</v>
      </c>
      <c r="DU94" s="459">
        <f t="shared" si="106"/>
        <v>0</v>
      </c>
      <c r="DV94" s="459">
        <f t="shared" si="106"/>
        <v>0</v>
      </c>
      <c r="DW94" s="459">
        <f t="shared" si="106"/>
        <v>0</v>
      </c>
      <c r="DX94" s="459">
        <f t="shared" si="106"/>
        <v>0</v>
      </c>
      <c r="DY94" s="460">
        <f t="shared" si="152"/>
        <v>0</v>
      </c>
      <c r="DZ94" s="463"/>
      <c r="EA94" s="459">
        <f t="shared" si="107"/>
        <v>0</v>
      </c>
      <c r="EB94" s="459">
        <f t="shared" si="107"/>
        <v>0</v>
      </c>
      <c r="EC94" s="459">
        <f t="shared" si="107"/>
        <v>0</v>
      </c>
      <c r="ED94" s="459">
        <f t="shared" si="107"/>
        <v>0</v>
      </c>
      <c r="EE94" s="459">
        <f t="shared" si="107"/>
        <v>0</v>
      </c>
      <c r="EF94" s="459">
        <f t="shared" si="107"/>
        <v>0</v>
      </c>
      <c r="EG94" s="459">
        <f t="shared" si="107"/>
        <v>0</v>
      </c>
      <c r="EH94" s="459">
        <f t="shared" si="107"/>
        <v>0</v>
      </c>
      <c r="EI94" s="459">
        <f t="shared" si="107"/>
        <v>0</v>
      </c>
      <c r="EJ94" s="459">
        <f t="shared" si="107"/>
        <v>0</v>
      </c>
      <c r="EK94" s="460">
        <f t="shared" si="153"/>
        <v>0</v>
      </c>
    </row>
    <row r="95" spans="2:141" s="268" customFormat="1" ht="15" customHeight="1" x14ac:dyDescent="0.25">
      <c r="B95" s="464" t="str">
        <f>'2. START'!C$7</f>
        <v>100GEM</v>
      </c>
      <c r="C95" s="470"/>
      <c r="D95" s="593"/>
      <c r="E95" s="527">
        <v>0</v>
      </c>
      <c r="F95" s="527" t="s">
        <v>36</v>
      </c>
      <c r="G95" s="527"/>
      <c r="H95" s="515"/>
      <c r="I95" s="515"/>
      <c r="J95" s="515"/>
      <c r="K95" s="515"/>
      <c r="L95" s="515"/>
      <c r="M95" s="515"/>
      <c r="N95" s="515"/>
      <c r="O95" s="515"/>
      <c r="P95" s="515"/>
      <c r="Q95" s="515"/>
      <c r="R95" s="442">
        <f t="shared" si="108"/>
        <v>0</v>
      </c>
      <c r="S95" s="516">
        <f>IF('2. START'!$C$20="UTB",(SUMIF('3. PARTNER'!B$13:B$80,B95,'3. PARTNER'!M$13:M$80)),(SUMIF('3. PARTNER'!B$13:B$80,B95,'3. PARTNER'!I$13:I$80)))</f>
        <v>0</v>
      </c>
      <c r="T95" s="516">
        <f>IF('2. START'!$C$20="UTB",(SUMIF('3. PARTNER'!B$13:B$80,B95,'3. PARTNER'!N$13:N$80)),(SUMIF('3. PARTNER'!B$13:B$80,B95,'3. PARTNER'!J$13:J$80)))</f>
        <v>0</v>
      </c>
      <c r="U95" s="517">
        <f>IF(F95="NO",0,IF('2. START'!C$13="PERSON+OPERATION",'2. START'!C$12,0)+IF('2. START'!C$13="PERSON+OPERATION+INVEST+FACILIT",'2. START'!C$12,0))</f>
        <v>0</v>
      </c>
      <c r="W95" s="519">
        <f t="shared" si="109"/>
        <v>0</v>
      </c>
      <c r="X95" s="519">
        <f t="shared" si="110"/>
        <v>0</v>
      </c>
      <c r="Y95" s="519">
        <f t="shared" si="111"/>
        <v>0</v>
      </c>
      <c r="Z95" s="519">
        <f t="shared" si="112"/>
        <v>0</v>
      </c>
      <c r="AA95" s="519">
        <f t="shared" si="113"/>
        <v>0</v>
      </c>
      <c r="AB95" s="519">
        <f t="shared" si="114"/>
        <v>0</v>
      </c>
      <c r="AC95" s="519">
        <f t="shared" si="115"/>
        <v>0</v>
      </c>
      <c r="AD95" s="519">
        <f t="shared" si="116"/>
        <v>0</v>
      </c>
      <c r="AE95" s="519">
        <f t="shared" si="117"/>
        <v>0</v>
      </c>
      <c r="AF95" s="519">
        <f t="shared" si="118"/>
        <v>0</v>
      </c>
      <c r="AG95" s="520">
        <f t="shared" si="139"/>
        <v>0</v>
      </c>
      <c r="AI95" s="519">
        <f t="shared" si="119"/>
        <v>0</v>
      </c>
      <c r="AJ95" s="519">
        <f t="shared" si="120"/>
        <v>0</v>
      </c>
      <c r="AK95" s="519">
        <f t="shared" si="121"/>
        <v>0</v>
      </c>
      <c r="AL95" s="519">
        <f t="shared" si="122"/>
        <v>0</v>
      </c>
      <c r="AM95" s="519">
        <f t="shared" si="123"/>
        <v>0</v>
      </c>
      <c r="AN95" s="519">
        <f t="shared" si="124"/>
        <v>0</v>
      </c>
      <c r="AO95" s="519">
        <f t="shared" si="125"/>
        <v>0</v>
      </c>
      <c r="AP95" s="519">
        <f t="shared" si="126"/>
        <v>0</v>
      </c>
      <c r="AQ95" s="519">
        <f t="shared" si="127"/>
        <v>0</v>
      </c>
      <c r="AR95" s="519">
        <f t="shared" si="128"/>
        <v>0</v>
      </c>
      <c r="AS95" s="520">
        <f t="shared" si="140"/>
        <v>0</v>
      </c>
      <c r="AU95" s="519">
        <f t="shared" si="154"/>
        <v>0</v>
      </c>
      <c r="AV95" s="519">
        <f t="shared" si="154"/>
        <v>0</v>
      </c>
      <c r="AW95" s="519">
        <f t="shared" si="154"/>
        <v>0</v>
      </c>
      <c r="AX95" s="519">
        <f t="shared" si="154"/>
        <v>0</v>
      </c>
      <c r="AY95" s="519">
        <f t="shared" si="154"/>
        <v>0</v>
      </c>
      <c r="AZ95" s="519">
        <f t="shared" si="141"/>
        <v>0</v>
      </c>
      <c r="BA95" s="519">
        <f t="shared" si="141"/>
        <v>0</v>
      </c>
      <c r="BB95" s="519">
        <f t="shared" si="141"/>
        <v>0</v>
      </c>
      <c r="BC95" s="519">
        <f t="shared" si="141"/>
        <v>0</v>
      </c>
      <c r="BD95" s="519">
        <f t="shared" si="141"/>
        <v>0</v>
      </c>
      <c r="BE95" s="520">
        <f t="shared" si="142"/>
        <v>0</v>
      </c>
      <c r="BG95" s="519">
        <f t="shared" si="143"/>
        <v>0</v>
      </c>
      <c r="BH95" s="519">
        <f t="shared" si="143"/>
        <v>0</v>
      </c>
      <c r="BI95" s="519">
        <f t="shared" si="143"/>
        <v>0</v>
      </c>
      <c r="BJ95" s="519">
        <f t="shared" si="143"/>
        <v>0</v>
      </c>
      <c r="BK95" s="519">
        <f t="shared" si="143"/>
        <v>0</v>
      </c>
      <c r="BL95" s="519">
        <f t="shared" si="143"/>
        <v>0</v>
      </c>
      <c r="BM95" s="519">
        <f t="shared" si="143"/>
        <v>0</v>
      </c>
      <c r="BN95" s="519">
        <f t="shared" si="157"/>
        <v>0</v>
      </c>
      <c r="BO95" s="519">
        <f t="shared" si="157"/>
        <v>0</v>
      </c>
      <c r="BP95" s="519">
        <f t="shared" si="157"/>
        <v>0</v>
      </c>
      <c r="BQ95" s="520">
        <f t="shared" si="144"/>
        <v>0</v>
      </c>
      <c r="BS95" s="519">
        <f t="shared" si="155"/>
        <v>0</v>
      </c>
      <c r="BT95" s="519">
        <f t="shared" si="155"/>
        <v>0</v>
      </c>
      <c r="BU95" s="519">
        <f t="shared" si="155"/>
        <v>0</v>
      </c>
      <c r="BV95" s="519">
        <f t="shared" si="155"/>
        <v>0</v>
      </c>
      <c r="BW95" s="519">
        <f t="shared" si="155"/>
        <v>0</v>
      </c>
      <c r="BX95" s="519">
        <f t="shared" si="145"/>
        <v>0</v>
      </c>
      <c r="BY95" s="519">
        <f t="shared" si="145"/>
        <v>0</v>
      </c>
      <c r="BZ95" s="519">
        <f t="shared" si="145"/>
        <v>0</v>
      </c>
      <c r="CA95" s="519">
        <f t="shared" si="145"/>
        <v>0</v>
      </c>
      <c r="CB95" s="519">
        <f t="shared" si="145"/>
        <v>0</v>
      </c>
      <c r="CC95" s="520">
        <f t="shared" si="146"/>
        <v>0</v>
      </c>
      <c r="CE95" s="519">
        <f t="shared" si="147"/>
        <v>0</v>
      </c>
      <c r="CF95" s="519">
        <f t="shared" si="147"/>
        <v>0</v>
      </c>
      <c r="CG95" s="519">
        <f t="shared" si="147"/>
        <v>0</v>
      </c>
      <c r="CH95" s="519">
        <f t="shared" si="147"/>
        <v>0</v>
      </c>
      <c r="CI95" s="519">
        <f t="shared" si="147"/>
        <v>0</v>
      </c>
      <c r="CJ95" s="519">
        <f t="shared" si="147"/>
        <v>0</v>
      </c>
      <c r="CK95" s="519">
        <f t="shared" si="147"/>
        <v>0</v>
      </c>
      <c r="CL95" s="519">
        <f t="shared" si="158"/>
        <v>0</v>
      </c>
      <c r="CM95" s="519">
        <f t="shared" si="158"/>
        <v>0</v>
      </c>
      <c r="CN95" s="519">
        <f t="shared" si="158"/>
        <v>0</v>
      </c>
      <c r="CO95" s="520">
        <f t="shared" si="148"/>
        <v>0</v>
      </c>
      <c r="CQ95" s="519">
        <f t="shared" si="129"/>
        <v>0</v>
      </c>
      <c r="CR95" s="519">
        <f t="shared" si="130"/>
        <v>0</v>
      </c>
      <c r="CS95" s="519">
        <f t="shared" si="131"/>
        <v>0</v>
      </c>
      <c r="CT95" s="519">
        <f t="shared" si="132"/>
        <v>0</v>
      </c>
      <c r="CU95" s="519">
        <f t="shared" si="133"/>
        <v>0</v>
      </c>
      <c r="CV95" s="519">
        <f t="shared" si="134"/>
        <v>0</v>
      </c>
      <c r="CW95" s="519">
        <f t="shared" si="135"/>
        <v>0</v>
      </c>
      <c r="CX95" s="519">
        <f t="shared" si="136"/>
        <v>0</v>
      </c>
      <c r="CY95" s="519">
        <f t="shared" si="137"/>
        <v>0</v>
      </c>
      <c r="CZ95" s="519">
        <f t="shared" si="138"/>
        <v>0</v>
      </c>
      <c r="DA95" s="520">
        <f t="shared" si="149"/>
        <v>0</v>
      </c>
      <c r="DC95" s="519">
        <f t="shared" si="156"/>
        <v>0</v>
      </c>
      <c r="DD95" s="519">
        <f t="shared" si="156"/>
        <v>0</v>
      </c>
      <c r="DE95" s="519">
        <f t="shared" si="156"/>
        <v>0</v>
      </c>
      <c r="DF95" s="519">
        <f t="shared" si="156"/>
        <v>0</v>
      </c>
      <c r="DG95" s="519">
        <f t="shared" si="156"/>
        <v>0</v>
      </c>
      <c r="DH95" s="519">
        <f t="shared" si="150"/>
        <v>0</v>
      </c>
      <c r="DI95" s="519">
        <f t="shared" si="150"/>
        <v>0</v>
      </c>
      <c r="DJ95" s="519">
        <f t="shared" si="150"/>
        <v>0</v>
      </c>
      <c r="DK95" s="519">
        <f t="shared" si="150"/>
        <v>0</v>
      </c>
      <c r="DL95" s="519">
        <f t="shared" si="150"/>
        <v>0</v>
      </c>
      <c r="DM95" s="520">
        <f t="shared" si="151"/>
        <v>0</v>
      </c>
      <c r="DO95" s="519">
        <f t="shared" si="106"/>
        <v>0</v>
      </c>
      <c r="DP95" s="519">
        <f t="shared" si="106"/>
        <v>0</v>
      </c>
      <c r="DQ95" s="519">
        <f t="shared" si="106"/>
        <v>0</v>
      </c>
      <c r="DR95" s="519">
        <f t="shared" si="106"/>
        <v>0</v>
      </c>
      <c r="DS95" s="519">
        <f t="shared" si="106"/>
        <v>0</v>
      </c>
      <c r="DT95" s="519">
        <f t="shared" si="106"/>
        <v>0</v>
      </c>
      <c r="DU95" s="519">
        <f t="shared" si="106"/>
        <v>0</v>
      </c>
      <c r="DV95" s="519">
        <f t="shared" si="106"/>
        <v>0</v>
      </c>
      <c r="DW95" s="519">
        <f t="shared" si="106"/>
        <v>0</v>
      </c>
      <c r="DX95" s="519">
        <f t="shared" si="106"/>
        <v>0</v>
      </c>
      <c r="DY95" s="520">
        <f t="shared" si="152"/>
        <v>0</v>
      </c>
      <c r="EA95" s="519">
        <f t="shared" si="107"/>
        <v>0</v>
      </c>
      <c r="EB95" s="519">
        <f t="shared" si="107"/>
        <v>0</v>
      </c>
      <c r="EC95" s="519">
        <f t="shared" si="107"/>
        <v>0</v>
      </c>
      <c r="ED95" s="519">
        <f t="shared" si="107"/>
        <v>0</v>
      </c>
      <c r="EE95" s="519">
        <f t="shared" si="107"/>
        <v>0</v>
      </c>
      <c r="EF95" s="519">
        <f t="shared" si="107"/>
        <v>0</v>
      </c>
      <c r="EG95" s="519">
        <f t="shared" si="107"/>
        <v>0</v>
      </c>
      <c r="EH95" s="519">
        <f t="shared" si="107"/>
        <v>0</v>
      </c>
      <c r="EI95" s="519">
        <f t="shared" si="107"/>
        <v>0</v>
      </c>
      <c r="EJ95" s="519">
        <f t="shared" si="107"/>
        <v>0</v>
      </c>
      <c r="EK95" s="520">
        <f t="shared" si="153"/>
        <v>0</v>
      </c>
    </row>
    <row r="96" spans="2:141" s="268" customFormat="1" ht="15" customHeight="1" x14ac:dyDescent="0.25">
      <c r="B96" s="446" t="str">
        <f>'2. START'!C$7</f>
        <v>100GEM</v>
      </c>
      <c r="C96" s="469"/>
      <c r="D96" s="594"/>
      <c r="E96" s="522">
        <v>0</v>
      </c>
      <c r="F96" s="522" t="s">
        <v>36</v>
      </c>
      <c r="G96" s="522"/>
      <c r="H96" s="523"/>
      <c r="I96" s="523"/>
      <c r="J96" s="523"/>
      <c r="K96" s="523"/>
      <c r="L96" s="523"/>
      <c r="M96" s="523"/>
      <c r="N96" s="523"/>
      <c r="O96" s="523"/>
      <c r="P96" s="523"/>
      <c r="Q96" s="523"/>
      <c r="R96" s="459">
        <f t="shared" si="108"/>
        <v>0</v>
      </c>
      <c r="S96" s="524">
        <f>IF('2. START'!$C$20="UTB",(SUMIF('3. PARTNER'!B$13:B$80,B96,'3. PARTNER'!M$13:M$80)),(SUMIF('3. PARTNER'!B$13:B$80,B96,'3. PARTNER'!I$13:I$80)))</f>
        <v>0</v>
      </c>
      <c r="T96" s="524">
        <f>IF('2. START'!$C$20="UTB",(SUMIF('3. PARTNER'!B$13:B$80,B96,'3. PARTNER'!N$13:N$80)),(SUMIF('3. PARTNER'!B$13:B$80,B96,'3. PARTNER'!J$13:J$80)))</f>
        <v>0</v>
      </c>
      <c r="U96" s="454">
        <f>IF(F96="NO",0,IF('2. START'!C$13="PERSON+OPERATION",'2. START'!C$12,0)+IF('2. START'!C$13="PERSON+OPERATION+INVEST+FACILIT",'2. START'!C$12,0))</f>
        <v>0</v>
      </c>
      <c r="V96" s="463"/>
      <c r="W96" s="459">
        <f t="shared" si="109"/>
        <v>0</v>
      </c>
      <c r="X96" s="459">
        <f t="shared" si="110"/>
        <v>0</v>
      </c>
      <c r="Y96" s="459">
        <f t="shared" si="111"/>
        <v>0</v>
      </c>
      <c r="Z96" s="459">
        <f t="shared" si="112"/>
        <v>0</v>
      </c>
      <c r="AA96" s="459">
        <f t="shared" si="113"/>
        <v>0</v>
      </c>
      <c r="AB96" s="459">
        <f t="shared" si="114"/>
        <v>0</v>
      </c>
      <c r="AC96" s="459">
        <f t="shared" si="115"/>
        <v>0</v>
      </c>
      <c r="AD96" s="459">
        <f t="shared" si="116"/>
        <v>0</v>
      </c>
      <c r="AE96" s="459">
        <f t="shared" si="117"/>
        <v>0</v>
      </c>
      <c r="AF96" s="459">
        <f t="shared" si="118"/>
        <v>0</v>
      </c>
      <c r="AG96" s="460">
        <f t="shared" si="139"/>
        <v>0</v>
      </c>
      <c r="AH96" s="463"/>
      <c r="AI96" s="459">
        <f t="shared" si="119"/>
        <v>0</v>
      </c>
      <c r="AJ96" s="459">
        <f t="shared" si="120"/>
        <v>0</v>
      </c>
      <c r="AK96" s="459">
        <f t="shared" si="121"/>
        <v>0</v>
      </c>
      <c r="AL96" s="459">
        <f t="shared" si="122"/>
        <v>0</v>
      </c>
      <c r="AM96" s="459">
        <f t="shared" si="123"/>
        <v>0</v>
      </c>
      <c r="AN96" s="459">
        <f t="shared" si="124"/>
        <v>0</v>
      </c>
      <c r="AO96" s="459">
        <f t="shared" si="125"/>
        <v>0</v>
      </c>
      <c r="AP96" s="459">
        <f t="shared" si="126"/>
        <v>0</v>
      </c>
      <c r="AQ96" s="459">
        <f t="shared" si="127"/>
        <v>0</v>
      </c>
      <c r="AR96" s="459">
        <f t="shared" si="128"/>
        <v>0</v>
      </c>
      <c r="AS96" s="460">
        <f t="shared" si="140"/>
        <v>0</v>
      </c>
      <c r="AT96" s="463"/>
      <c r="AU96" s="459">
        <f t="shared" si="154"/>
        <v>0</v>
      </c>
      <c r="AV96" s="459">
        <f t="shared" si="154"/>
        <v>0</v>
      </c>
      <c r="AW96" s="459">
        <f t="shared" si="154"/>
        <v>0</v>
      </c>
      <c r="AX96" s="459">
        <f t="shared" si="154"/>
        <v>0</v>
      </c>
      <c r="AY96" s="459">
        <f t="shared" si="154"/>
        <v>0</v>
      </c>
      <c r="AZ96" s="459">
        <f t="shared" si="141"/>
        <v>0</v>
      </c>
      <c r="BA96" s="459">
        <f t="shared" si="141"/>
        <v>0</v>
      </c>
      <c r="BB96" s="459">
        <f t="shared" si="141"/>
        <v>0</v>
      </c>
      <c r="BC96" s="459">
        <f t="shared" si="141"/>
        <v>0</v>
      </c>
      <c r="BD96" s="459">
        <f t="shared" si="141"/>
        <v>0</v>
      </c>
      <c r="BE96" s="460">
        <f t="shared" si="142"/>
        <v>0</v>
      </c>
      <c r="BF96" s="463"/>
      <c r="BG96" s="459">
        <f t="shared" si="143"/>
        <v>0</v>
      </c>
      <c r="BH96" s="459">
        <f t="shared" si="143"/>
        <v>0</v>
      </c>
      <c r="BI96" s="459">
        <f t="shared" si="143"/>
        <v>0</v>
      </c>
      <c r="BJ96" s="459">
        <f t="shared" si="143"/>
        <v>0</v>
      </c>
      <c r="BK96" s="459">
        <f t="shared" si="143"/>
        <v>0</v>
      </c>
      <c r="BL96" s="459">
        <f t="shared" si="143"/>
        <v>0</v>
      </c>
      <c r="BM96" s="459">
        <f t="shared" si="143"/>
        <v>0</v>
      </c>
      <c r="BN96" s="459">
        <f t="shared" si="157"/>
        <v>0</v>
      </c>
      <c r="BO96" s="459">
        <f t="shared" si="157"/>
        <v>0</v>
      </c>
      <c r="BP96" s="459">
        <f t="shared" si="157"/>
        <v>0</v>
      </c>
      <c r="BQ96" s="460">
        <f t="shared" si="144"/>
        <v>0</v>
      </c>
      <c r="BR96" s="463"/>
      <c r="BS96" s="459">
        <f t="shared" si="155"/>
        <v>0</v>
      </c>
      <c r="BT96" s="459">
        <f t="shared" si="155"/>
        <v>0</v>
      </c>
      <c r="BU96" s="459">
        <f t="shared" si="155"/>
        <v>0</v>
      </c>
      <c r="BV96" s="459">
        <f t="shared" si="155"/>
        <v>0</v>
      </c>
      <c r="BW96" s="459">
        <f t="shared" si="155"/>
        <v>0</v>
      </c>
      <c r="BX96" s="459">
        <f t="shared" si="145"/>
        <v>0</v>
      </c>
      <c r="BY96" s="459">
        <f t="shared" si="145"/>
        <v>0</v>
      </c>
      <c r="BZ96" s="459">
        <f t="shared" si="145"/>
        <v>0</v>
      </c>
      <c r="CA96" s="459">
        <f t="shared" si="145"/>
        <v>0</v>
      </c>
      <c r="CB96" s="459">
        <f t="shared" si="145"/>
        <v>0</v>
      </c>
      <c r="CC96" s="460">
        <f t="shared" si="146"/>
        <v>0</v>
      </c>
      <c r="CD96" s="463"/>
      <c r="CE96" s="459">
        <f t="shared" si="147"/>
        <v>0</v>
      </c>
      <c r="CF96" s="459">
        <f t="shared" si="147"/>
        <v>0</v>
      </c>
      <c r="CG96" s="459">
        <f t="shared" si="147"/>
        <v>0</v>
      </c>
      <c r="CH96" s="459">
        <f t="shared" si="147"/>
        <v>0</v>
      </c>
      <c r="CI96" s="459">
        <f t="shared" si="147"/>
        <v>0</v>
      </c>
      <c r="CJ96" s="459">
        <f t="shared" si="147"/>
        <v>0</v>
      </c>
      <c r="CK96" s="459">
        <f t="shared" si="147"/>
        <v>0</v>
      </c>
      <c r="CL96" s="459">
        <f t="shared" si="158"/>
        <v>0</v>
      </c>
      <c r="CM96" s="459">
        <f t="shared" si="158"/>
        <v>0</v>
      </c>
      <c r="CN96" s="459">
        <f t="shared" si="158"/>
        <v>0</v>
      </c>
      <c r="CO96" s="460">
        <f t="shared" si="148"/>
        <v>0</v>
      </c>
      <c r="CP96" s="463"/>
      <c r="CQ96" s="459">
        <f t="shared" si="129"/>
        <v>0</v>
      </c>
      <c r="CR96" s="459">
        <f t="shared" si="130"/>
        <v>0</v>
      </c>
      <c r="CS96" s="459">
        <f t="shared" si="131"/>
        <v>0</v>
      </c>
      <c r="CT96" s="459">
        <f t="shared" si="132"/>
        <v>0</v>
      </c>
      <c r="CU96" s="459">
        <f t="shared" si="133"/>
        <v>0</v>
      </c>
      <c r="CV96" s="459">
        <f t="shared" si="134"/>
        <v>0</v>
      </c>
      <c r="CW96" s="459">
        <f t="shared" si="135"/>
        <v>0</v>
      </c>
      <c r="CX96" s="459">
        <f t="shared" si="136"/>
        <v>0</v>
      </c>
      <c r="CY96" s="459">
        <f t="shared" si="137"/>
        <v>0</v>
      </c>
      <c r="CZ96" s="459">
        <f t="shared" si="138"/>
        <v>0</v>
      </c>
      <c r="DA96" s="460">
        <f t="shared" si="149"/>
        <v>0</v>
      </c>
      <c r="DB96" s="463"/>
      <c r="DC96" s="459">
        <f t="shared" si="156"/>
        <v>0</v>
      </c>
      <c r="DD96" s="459">
        <f t="shared" si="156"/>
        <v>0</v>
      </c>
      <c r="DE96" s="459">
        <f t="shared" si="156"/>
        <v>0</v>
      </c>
      <c r="DF96" s="459">
        <f t="shared" si="156"/>
        <v>0</v>
      </c>
      <c r="DG96" s="459">
        <f t="shared" si="156"/>
        <v>0</v>
      </c>
      <c r="DH96" s="459">
        <f t="shared" si="150"/>
        <v>0</v>
      </c>
      <c r="DI96" s="459">
        <f t="shared" si="150"/>
        <v>0</v>
      </c>
      <c r="DJ96" s="459">
        <f t="shared" si="150"/>
        <v>0</v>
      </c>
      <c r="DK96" s="459">
        <f t="shared" si="150"/>
        <v>0</v>
      </c>
      <c r="DL96" s="459">
        <f t="shared" si="150"/>
        <v>0</v>
      </c>
      <c r="DM96" s="460">
        <f t="shared" si="151"/>
        <v>0</v>
      </c>
      <c r="DN96" s="463"/>
      <c r="DO96" s="459">
        <f t="shared" si="106"/>
        <v>0</v>
      </c>
      <c r="DP96" s="459">
        <f t="shared" si="106"/>
        <v>0</v>
      </c>
      <c r="DQ96" s="459">
        <f t="shared" si="106"/>
        <v>0</v>
      </c>
      <c r="DR96" s="459">
        <f t="shared" si="106"/>
        <v>0</v>
      </c>
      <c r="DS96" s="459">
        <f t="shared" si="106"/>
        <v>0</v>
      </c>
      <c r="DT96" s="459">
        <f t="shared" si="106"/>
        <v>0</v>
      </c>
      <c r="DU96" s="459">
        <f t="shared" si="106"/>
        <v>0</v>
      </c>
      <c r="DV96" s="459">
        <f t="shared" si="106"/>
        <v>0</v>
      </c>
      <c r="DW96" s="459">
        <f t="shared" si="106"/>
        <v>0</v>
      </c>
      <c r="DX96" s="459">
        <f t="shared" si="106"/>
        <v>0</v>
      </c>
      <c r="DY96" s="460">
        <f t="shared" si="152"/>
        <v>0</v>
      </c>
      <c r="DZ96" s="463"/>
      <c r="EA96" s="459">
        <f t="shared" si="107"/>
        <v>0</v>
      </c>
      <c r="EB96" s="459">
        <f t="shared" si="107"/>
        <v>0</v>
      </c>
      <c r="EC96" s="459">
        <f t="shared" si="107"/>
        <v>0</v>
      </c>
      <c r="ED96" s="459">
        <f t="shared" si="107"/>
        <v>0</v>
      </c>
      <c r="EE96" s="459">
        <f t="shared" si="107"/>
        <v>0</v>
      </c>
      <c r="EF96" s="459">
        <f t="shared" si="107"/>
        <v>0</v>
      </c>
      <c r="EG96" s="459">
        <f t="shared" si="107"/>
        <v>0</v>
      </c>
      <c r="EH96" s="459">
        <f t="shared" si="107"/>
        <v>0</v>
      </c>
      <c r="EI96" s="459">
        <f t="shared" si="107"/>
        <v>0</v>
      </c>
      <c r="EJ96" s="459">
        <f t="shared" si="107"/>
        <v>0</v>
      </c>
      <c r="EK96" s="460">
        <f t="shared" si="153"/>
        <v>0</v>
      </c>
    </row>
    <row r="97" spans="2:141" s="268" customFormat="1" ht="15" customHeight="1" x14ac:dyDescent="0.25">
      <c r="B97" s="464" t="str">
        <f>'2. START'!C$7</f>
        <v>100GEM</v>
      </c>
      <c r="C97" s="470"/>
      <c r="D97" s="593"/>
      <c r="E97" s="527">
        <v>0</v>
      </c>
      <c r="F97" s="527" t="s">
        <v>36</v>
      </c>
      <c r="G97" s="527"/>
      <c r="H97" s="515"/>
      <c r="I97" s="515"/>
      <c r="J97" s="515"/>
      <c r="K97" s="515"/>
      <c r="L97" s="515"/>
      <c r="M97" s="515"/>
      <c r="N97" s="515"/>
      <c r="O97" s="515"/>
      <c r="P97" s="515"/>
      <c r="Q97" s="515"/>
      <c r="R97" s="442">
        <f t="shared" si="108"/>
        <v>0</v>
      </c>
      <c r="S97" s="516">
        <f>IF('2. START'!$C$20="UTB",(SUMIF('3. PARTNER'!B$13:B$80,B97,'3. PARTNER'!M$13:M$80)),(SUMIF('3. PARTNER'!B$13:B$80,B97,'3. PARTNER'!I$13:I$80)))</f>
        <v>0</v>
      </c>
      <c r="T97" s="516">
        <f>IF('2. START'!$C$20="UTB",(SUMIF('3. PARTNER'!B$13:B$80,B97,'3. PARTNER'!N$13:N$80)),(SUMIF('3. PARTNER'!B$13:B$80,B97,'3. PARTNER'!J$13:J$80)))</f>
        <v>0</v>
      </c>
      <c r="U97" s="517">
        <f>IF(F97="NO",0,IF('2. START'!C$13="PERSON+OPERATION",'2. START'!C$12,0)+IF('2. START'!C$13="PERSON+OPERATION+INVEST+FACILIT",'2. START'!C$12,0))</f>
        <v>0</v>
      </c>
      <c r="W97" s="519">
        <f t="shared" si="109"/>
        <v>0</v>
      </c>
      <c r="X97" s="519">
        <f t="shared" si="110"/>
        <v>0</v>
      </c>
      <c r="Y97" s="519">
        <f t="shared" si="111"/>
        <v>0</v>
      </c>
      <c r="Z97" s="519">
        <f t="shared" si="112"/>
        <v>0</v>
      </c>
      <c r="AA97" s="519">
        <f t="shared" si="113"/>
        <v>0</v>
      </c>
      <c r="AB97" s="519">
        <f t="shared" si="114"/>
        <v>0</v>
      </c>
      <c r="AC97" s="519">
        <f t="shared" si="115"/>
        <v>0</v>
      </c>
      <c r="AD97" s="519">
        <f t="shared" si="116"/>
        <v>0</v>
      </c>
      <c r="AE97" s="519">
        <f t="shared" si="117"/>
        <v>0</v>
      </c>
      <c r="AF97" s="519">
        <f t="shared" si="118"/>
        <v>0</v>
      </c>
      <c r="AG97" s="520">
        <f t="shared" si="139"/>
        <v>0</v>
      </c>
      <c r="AI97" s="519">
        <f t="shared" si="119"/>
        <v>0</v>
      </c>
      <c r="AJ97" s="519">
        <f t="shared" si="120"/>
        <v>0</v>
      </c>
      <c r="AK97" s="519">
        <f t="shared" si="121"/>
        <v>0</v>
      </c>
      <c r="AL97" s="519">
        <f t="shared" si="122"/>
        <v>0</v>
      </c>
      <c r="AM97" s="519">
        <f t="shared" si="123"/>
        <v>0</v>
      </c>
      <c r="AN97" s="519">
        <f t="shared" si="124"/>
        <v>0</v>
      </c>
      <c r="AO97" s="519">
        <f t="shared" si="125"/>
        <v>0</v>
      </c>
      <c r="AP97" s="519">
        <f t="shared" si="126"/>
        <v>0</v>
      </c>
      <c r="AQ97" s="519">
        <f t="shared" si="127"/>
        <v>0</v>
      </c>
      <c r="AR97" s="519">
        <f t="shared" si="128"/>
        <v>0</v>
      </c>
      <c r="AS97" s="520">
        <f t="shared" si="140"/>
        <v>0</v>
      </c>
      <c r="AU97" s="519">
        <f t="shared" si="154"/>
        <v>0</v>
      </c>
      <c r="AV97" s="519">
        <f t="shared" si="154"/>
        <v>0</v>
      </c>
      <c r="AW97" s="519">
        <f t="shared" si="154"/>
        <v>0</v>
      </c>
      <c r="AX97" s="519">
        <f t="shared" si="154"/>
        <v>0</v>
      </c>
      <c r="AY97" s="519">
        <f t="shared" si="154"/>
        <v>0</v>
      </c>
      <c r="AZ97" s="519">
        <f t="shared" si="141"/>
        <v>0</v>
      </c>
      <c r="BA97" s="519">
        <f t="shared" si="141"/>
        <v>0</v>
      </c>
      <c r="BB97" s="519">
        <f t="shared" si="141"/>
        <v>0</v>
      </c>
      <c r="BC97" s="519">
        <f t="shared" si="141"/>
        <v>0</v>
      </c>
      <c r="BD97" s="519">
        <f t="shared" si="141"/>
        <v>0</v>
      </c>
      <c r="BE97" s="520">
        <f t="shared" si="142"/>
        <v>0</v>
      </c>
      <c r="BG97" s="519">
        <f t="shared" si="143"/>
        <v>0</v>
      </c>
      <c r="BH97" s="519">
        <f t="shared" si="143"/>
        <v>0</v>
      </c>
      <c r="BI97" s="519">
        <f t="shared" si="143"/>
        <v>0</v>
      </c>
      <c r="BJ97" s="519">
        <f t="shared" si="143"/>
        <v>0</v>
      </c>
      <c r="BK97" s="519">
        <f t="shared" si="143"/>
        <v>0</v>
      </c>
      <c r="BL97" s="519">
        <f t="shared" si="143"/>
        <v>0</v>
      </c>
      <c r="BM97" s="519">
        <f t="shared" si="143"/>
        <v>0</v>
      </c>
      <c r="BN97" s="519">
        <f t="shared" si="157"/>
        <v>0</v>
      </c>
      <c r="BO97" s="519">
        <f t="shared" si="157"/>
        <v>0</v>
      </c>
      <c r="BP97" s="519">
        <f t="shared" si="157"/>
        <v>0</v>
      </c>
      <c r="BQ97" s="520">
        <f t="shared" si="144"/>
        <v>0</v>
      </c>
      <c r="BS97" s="519">
        <f t="shared" si="155"/>
        <v>0</v>
      </c>
      <c r="BT97" s="519">
        <f t="shared" si="155"/>
        <v>0</v>
      </c>
      <c r="BU97" s="519">
        <f t="shared" si="155"/>
        <v>0</v>
      </c>
      <c r="BV97" s="519">
        <f t="shared" si="155"/>
        <v>0</v>
      </c>
      <c r="BW97" s="519">
        <f t="shared" si="155"/>
        <v>0</v>
      </c>
      <c r="BX97" s="519">
        <f t="shared" si="145"/>
        <v>0</v>
      </c>
      <c r="BY97" s="519">
        <f t="shared" si="145"/>
        <v>0</v>
      </c>
      <c r="BZ97" s="519">
        <f t="shared" si="145"/>
        <v>0</v>
      </c>
      <c r="CA97" s="519">
        <f t="shared" si="145"/>
        <v>0</v>
      </c>
      <c r="CB97" s="519">
        <f t="shared" si="145"/>
        <v>0</v>
      </c>
      <c r="CC97" s="520">
        <f t="shared" si="146"/>
        <v>0</v>
      </c>
      <c r="CE97" s="519">
        <f t="shared" si="147"/>
        <v>0</v>
      </c>
      <c r="CF97" s="519">
        <f t="shared" si="147"/>
        <v>0</v>
      </c>
      <c r="CG97" s="519">
        <f t="shared" si="147"/>
        <v>0</v>
      </c>
      <c r="CH97" s="519">
        <f t="shared" si="147"/>
        <v>0</v>
      </c>
      <c r="CI97" s="519">
        <f t="shared" si="147"/>
        <v>0</v>
      </c>
      <c r="CJ97" s="519">
        <f t="shared" si="147"/>
        <v>0</v>
      </c>
      <c r="CK97" s="519">
        <f t="shared" si="147"/>
        <v>0</v>
      </c>
      <c r="CL97" s="519">
        <f t="shared" si="158"/>
        <v>0</v>
      </c>
      <c r="CM97" s="519">
        <f t="shared" si="158"/>
        <v>0</v>
      </c>
      <c r="CN97" s="519">
        <f t="shared" si="158"/>
        <v>0</v>
      </c>
      <c r="CO97" s="520">
        <f t="shared" si="148"/>
        <v>0</v>
      </c>
      <c r="CQ97" s="519">
        <f t="shared" si="129"/>
        <v>0</v>
      </c>
      <c r="CR97" s="519">
        <f t="shared" si="130"/>
        <v>0</v>
      </c>
      <c r="CS97" s="519">
        <f t="shared" si="131"/>
        <v>0</v>
      </c>
      <c r="CT97" s="519">
        <f t="shared" si="132"/>
        <v>0</v>
      </c>
      <c r="CU97" s="519">
        <f t="shared" si="133"/>
        <v>0</v>
      </c>
      <c r="CV97" s="519">
        <f t="shared" si="134"/>
        <v>0</v>
      </c>
      <c r="CW97" s="519">
        <f t="shared" si="135"/>
        <v>0</v>
      </c>
      <c r="CX97" s="519">
        <f t="shared" si="136"/>
        <v>0</v>
      </c>
      <c r="CY97" s="519">
        <f t="shared" si="137"/>
        <v>0</v>
      </c>
      <c r="CZ97" s="519">
        <f t="shared" si="138"/>
        <v>0</v>
      </c>
      <c r="DA97" s="520">
        <f t="shared" si="149"/>
        <v>0</v>
      </c>
      <c r="DC97" s="519">
        <f t="shared" si="156"/>
        <v>0</v>
      </c>
      <c r="DD97" s="519">
        <f t="shared" si="156"/>
        <v>0</v>
      </c>
      <c r="DE97" s="519">
        <f t="shared" si="156"/>
        <v>0</v>
      </c>
      <c r="DF97" s="519">
        <f t="shared" si="156"/>
        <v>0</v>
      </c>
      <c r="DG97" s="519">
        <f t="shared" si="156"/>
        <v>0</v>
      </c>
      <c r="DH97" s="519">
        <f t="shared" si="150"/>
        <v>0</v>
      </c>
      <c r="DI97" s="519">
        <f t="shared" si="150"/>
        <v>0</v>
      </c>
      <c r="DJ97" s="519">
        <f t="shared" si="150"/>
        <v>0</v>
      </c>
      <c r="DK97" s="519">
        <f t="shared" si="150"/>
        <v>0</v>
      </c>
      <c r="DL97" s="519">
        <f t="shared" si="150"/>
        <v>0</v>
      </c>
      <c r="DM97" s="520">
        <f t="shared" si="151"/>
        <v>0</v>
      </c>
      <c r="DO97" s="519">
        <f t="shared" si="106"/>
        <v>0</v>
      </c>
      <c r="DP97" s="519">
        <f t="shared" si="106"/>
        <v>0</v>
      </c>
      <c r="DQ97" s="519">
        <f t="shared" si="106"/>
        <v>0</v>
      </c>
      <c r="DR97" s="519">
        <f t="shared" si="106"/>
        <v>0</v>
      </c>
      <c r="DS97" s="519">
        <f t="shared" si="106"/>
        <v>0</v>
      </c>
      <c r="DT97" s="519">
        <f t="shared" si="106"/>
        <v>0</v>
      </c>
      <c r="DU97" s="519">
        <f t="shared" si="106"/>
        <v>0</v>
      </c>
      <c r="DV97" s="519">
        <f t="shared" si="106"/>
        <v>0</v>
      </c>
      <c r="DW97" s="519">
        <f t="shared" si="106"/>
        <v>0</v>
      </c>
      <c r="DX97" s="519">
        <f t="shared" si="106"/>
        <v>0</v>
      </c>
      <c r="DY97" s="520">
        <f t="shared" si="152"/>
        <v>0</v>
      </c>
      <c r="EA97" s="519">
        <f t="shared" si="107"/>
        <v>0</v>
      </c>
      <c r="EB97" s="519">
        <f t="shared" si="107"/>
        <v>0</v>
      </c>
      <c r="EC97" s="519">
        <f t="shared" si="107"/>
        <v>0</v>
      </c>
      <c r="ED97" s="519">
        <f t="shared" si="107"/>
        <v>0</v>
      </c>
      <c r="EE97" s="519">
        <f t="shared" si="107"/>
        <v>0</v>
      </c>
      <c r="EF97" s="519">
        <f t="shared" si="107"/>
        <v>0</v>
      </c>
      <c r="EG97" s="519">
        <f t="shared" si="107"/>
        <v>0</v>
      </c>
      <c r="EH97" s="519">
        <f t="shared" si="107"/>
        <v>0</v>
      </c>
      <c r="EI97" s="519">
        <f t="shared" si="107"/>
        <v>0</v>
      </c>
      <c r="EJ97" s="519">
        <f t="shared" si="107"/>
        <v>0</v>
      </c>
      <c r="EK97" s="520">
        <f t="shared" si="153"/>
        <v>0</v>
      </c>
    </row>
    <row r="98" spans="2:141" s="268" customFormat="1" ht="15" customHeight="1" x14ac:dyDescent="0.25">
      <c r="B98" s="446" t="str">
        <f>'2. START'!C$7</f>
        <v>100GEM</v>
      </c>
      <c r="C98" s="469"/>
      <c r="D98" s="594"/>
      <c r="E98" s="522">
        <v>0</v>
      </c>
      <c r="F98" s="522" t="s">
        <v>36</v>
      </c>
      <c r="G98" s="522"/>
      <c r="H98" s="523"/>
      <c r="I98" s="523"/>
      <c r="J98" s="523"/>
      <c r="K98" s="523"/>
      <c r="L98" s="523"/>
      <c r="M98" s="523"/>
      <c r="N98" s="523"/>
      <c r="O98" s="523"/>
      <c r="P98" s="523"/>
      <c r="Q98" s="523"/>
      <c r="R98" s="459">
        <f t="shared" si="108"/>
        <v>0</v>
      </c>
      <c r="S98" s="524">
        <f>IF('2. START'!$C$20="UTB",(SUMIF('3. PARTNER'!B$13:B$80,B98,'3. PARTNER'!M$13:M$80)),(SUMIF('3. PARTNER'!B$13:B$80,B98,'3. PARTNER'!I$13:I$80)))</f>
        <v>0</v>
      </c>
      <c r="T98" s="524">
        <f>IF('2. START'!$C$20="UTB",(SUMIF('3. PARTNER'!B$13:B$80,B98,'3. PARTNER'!N$13:N$80)),(SUMIF('3. PARTNER'!B$13:B$80,B98,'3. PARTNER'!J$13:J$80)))</f>
        <v>0</v>
      </c>
      <c r="U98" s="454">
        <f>IF(F98="NO",0,IF('2. START'!C$13="PERSON+OPERATION",'2. START'!C$12,0)+IF('2. START'!C$13="PERSON+OPERATION+INVEST+FACILIT",'2. START'!C$12,0))</f>
        <v>0</v>
      </c>
      <c r="V98" s="463"/>
      <c r="W98" s="459">
        <f t="shared" si="109"/>
        <v>0</v>
      </c>
      <c r="X98" s="459">
        <f t="shared" si="110"/>
        <v>0</v>
      </c>
      <c r="Y98" s="459">
        <f t="shared" si="111"/>
        <v>0</v>
      </c>
      <c r="Z98" s="459">
        <f t="shared" si="112"/>
        <v>0</v>
      </c>
      <c r="AA98" s="459">
        <f t="shared" si="113"/>
        <v>0</v>
      </c>
      <c r="AB98" s="459">
        <f t="shared" si="114"/>
        <v>0</v>
      </c>
      <c r="AC98" s="459">
        <f t="shared" si="115"/>
        <v>0</v>
      </c>
      <c r="AD98" s="459">
        <f t="shared" si="116"/>
        <v>0</v>
      </c>
      <c r="AE98" s="459">
        <f t="shared" si="117"/>
        <v>0</v>
      </c>
      <c r="AF98" s="459">
        <f t="shared" si="118"/>
        <v>0</v>
      </c>
      <c r="AG98" s="460">
        <f t="shared" si="139"/>
        <v>0</v>
      </c>
      <c r="AH98" s="463"/>
      <c r="AI98" s="459">
        <f t="shared" si="119"/>
        <v>0</v>
      </c>
      <c r="AJ98" s="459">
        <f t="shared" si="120"/>
        <v>0</v>
      </c>
      <c r="AK98" s="459">
        <f t="shared" si="121"/>
        <v>0</v>
      </c>
      <c r="AL98" s="459">
        <f t="shared" si="122"/>
        <v>0</v>
      </c>
      <c r="AM98" s="459">
        <f t="shared" si="123"/>
        <v>0</v>
      </c>
      <c r="AN98" s="459">
        <f t="shared" si="124"/>
        <v>0</v>
      </c>
      <c r="AO98" s="459">
        <f t="shared" si="125"/>
        <v>0</v>
      </c>
      <c r="AP98" s="459">
        <f t="shared" si="126"/>
        <v>0</v>
      </c>
      <c r="AQ98" s="459">
        <f t="shared" si="127"/>
        <v>0</v>
      </c>
      <c r="AR98" s="459">
        <f t="shared" si="128"/>
        <v>0</v>
      </c>
      <c r="AS98" s="460">
        <f t="shared" si="140"/>
        <v>0</v>
      </c>
      <c r="AT98" s="463"/>
      <c r="AU98" s="459">
        <f t="shared" si="154"/>
        <v>0</v>
      </c>
      <c r="AV98" s="459">
        <f t="shared" si="154"/>
        <v>0</v>
      </c>
      <c r="AW98" s="459">
        <f t="shared" si="154"/>
        <v>0</v>
      </c>
      <c r="AX98" s="459">
        <f t="shared" si="154"/>
        <v>0</v>
      </c>
      <c r="AY98" s="459">
        <f t="shared" si="154"/>
        <v>0</v>
      </c>
      <c r="AZ98" s="459">
        <f t="shared" si="141"/>
        <v>0</v>
      </c>
      <c r="BA98" s="459">
        <f t="shared" si="141"/>
        <v>0</v>
      </c>
      <c r="BB98" s="459">
        <f t="shared" si="141"/>
        <v>0</v>
      </c>
      <c r="BC98" s="459">
        <f t="shared" si="141"/>
        <v>0</v>
      </c>
      <c r="BD98" s="459">
        <f t="shared" si="141"/>
        <v>0</v>
      </c>
      <c r="BE98" s="460">
        <f t="shared" si="142"/>
        <v>0</v>
      </c>
      <c r="BF98" s="463"/>
      <c r="BG98" s="459">
        <f t="shared" si="143"/>
        <v>0</v>
      </c>
      <c r="BH98" s="459">
        <f t="shared" si="143"/>
        <v>0</v>
      </c>
      <c r="BI98" s="459">
        <f t="shared" si="143"/>
        <v>0</v>
      </c>
      <c r="BJ98" s="459">
        <f t="shared" si="143"/>
        <v>0</v>
      </c>
      <c r="BK98" s="459">
        <f t="shared" si="143"/>
        <v>0</v>
      </c>
      <c r="BL98" s="459">
        <f t="shared" si="143"/>
        <v>0</v>
      </c>
      <c r="BM98" s="459">
        <f t="shared" si="143"/>
        <v>0</v>
      </c>
      <c r="BN98" s="459">
        <f t="shared" si="157"/>
        <v>0</v>
      </c>
      <c r="BO98" s="459">
        <f t="shared" si="157"/>
        <v>0</v>
      </c>
      <c r="BP98" s="459">
        <f t="shared" si="157"/>
        <v>0</v>
      </c>
      <c r="BQ98" s="460">
        <f t="shared" si="144"/>
        <v>0</v>
      </c>
      <c r="BR98" s="463"/>
      <c r="BS98" s="459">
        <f t="shared" si="155"/>
        <v>0</v>
      </c>
      <c r="BT98" s="459">
        <f t="shared" si="155"/>
        <v>0</v>
      </c>
      <c r="BU98" s="459">
        <f t="shared" si="155"/>
        <v>0</v>
      </c>
      <c r="BV98" s="459">
        <f t="shared" si="155"/>
        <v>0</v>
      </c>
      <c r="BW98" s="459">
        <f t="shared" si="155"/>
        <v>0</v>
      </c>
      <c r="BX98" s="459">
        <f t="shared" si="145"/>
        <v>0</v>
      </c>
      <c r="BY98" s="459">
        <f t="shared" si="145"/>
        <v>0</v>
      </c>
      <c r="BZ98" s="459">
        <f t="shared" si="145"/>
        <v>0</v>
      </c>
      <c r="CA98" s="459">
        <f t="shared" si="145"/>
        <v>0</v>
      </c>
      <c r="CB98" s="459">
        <f t="shared" si="145"/>
        <v>0</v>
      </c>
      <c r="CC98" s="460">
        <f t="shared" si="146"/>
        <v>0</v>
      </c>
      <c r="CD98" s="463"/>
      <c r="CE98" s="459">
        <f t="shared" si="147"/>
        <v>0</v>
      </c>
      <c r="CF98" s="459">
        <f t="shared" si="147"/>
        <v>0</v>
      </c>
      <c r="CG98" s="459">
        <f t="shared" si="147"/>
        <v>0</v>
      </c>
      <c r="CH98" s="459">
        <f t="shared" si="147"/>
        <v>0</v>
      </c>
      <c r="CI98" s="459">
        <f t="shared" si="147"/>
        <v>0</v>
      </c>
      <c r="CJ98" s="459">
        <f t="shared" si="147"/>
        <v>0</v>
      </c>
      <c r="CK98" s="459">
        <f t="shared" si="147"/>
        <v>0</v>
      </c>
      <c r="CL98" s="459">
        <f t="shared" si="158"/>
        <v>0</v>
      </c>
      <c r="CM98" s="459">
        <f t="shared" si="158"/>
        <v>0</v>
      </c>
      <c r="CN98" s="459">
        <f t="shared" si="158"/>
        <v>0</v>
      </c>
      <c r="CO98" s="460">
        <f t="shared" si="148"/>
        <v>0</v>
      </c>
      <c r="CP98" s="463"/>
      <c r="CQ98" s="459">
        <f t="shared" si="129"/>
        <v>0</v>
      </c>
      <c r="CR98" s="459">
        <f t="shared" si="130"/>
        <v>0</v>
      </c>
      <c r="CS98" s="459">
        <f t="shared" si="131"/>
        <v>0</v>
      </c>
      <c r="CT98" s="459">
        <f t="shared" si="132"/>
        <v>0</v>
      </c>
      <c r="CU98" s="459">
        <f t="shared" si="133"/>
        <v>0</v>
      </c>
      <c r="CV98" s="459">
        <f t="shared" si="134"/>
        <v>0</v>
      </c>
      <c r="CW98" s="459">
        <f t="shared" si="135"/>
        <v>0</v>
      </c>
      <c r="CX98" s="459">
        <f t="shared" si="136"/>
        <v>0</v>
      </c>
      <c r="CY98" s="459">
        <f t="shared" si="137"/>
        <v>0</v>
      </c>
      <c r="CZ98" s="459">
        <f t="shared" si="138"/>
        <v>0</v>
      </c>
      <c r="DA98" s="460">
        <f t="shared" si="149"/>
        <v>0</v>
      </c>
      <c r="DB98" s="463"/>
      <c r="DC98" s="459">
        <f t="shared" si="156"/>
        <v>0</v>
      </c>
      <c r="DD98" s="459">
        <f t="shared" si="156"/>
        <v>0</v>
      </c>
      <c r="DE98" s="459">
        <f t="shared" si="156"/>
        <v>0</v>
      </c>
      <c r="DF98" s="459">
        <f t="shared" si="156"/>
        <v>0</v>
      </c>
      <c r="DG98" s="459">
        <f t="shared" si="156"/>
        <v>0</v>
      </c>
      <c r="DH98" s="459">
        <f t="shared" si="150"/>
        <v>0</v>
      </c>
      <c r="DI98" s="459">
        <f t="shared" si="150"/>
        <v>0</v>
      </c>
      <c r="DJ98" s="459">
        <f t="shared" si="150"/>
        <v>0</v>
      </c>
      <c r="DK98" s="459">
        <f t="shared" si="150"/>
        <v>0</v>
      </c>
      <c r="DL98" s="459">
        <f t="shared" si="150"/>
        <v>0</v>
      </c>
      <c r="DM98" s="460">
        <f t="shared" si="151"/>
        <v>0</v>
      </c>
      <c r="DN98" s="463"/>
      <c r="DO98" s="459">
        <f t="shared" si="106"/>
        <v>0</v>
      </c>
      <c r="DP98" s="459">
        <f t="shared" si="106"/>
        <v>0</v>
      </c>
      <c r="DQ98" s="459">
        <f t="shared" si="106"/>
        <v>0</v>
      </c>
      <c r="DR98" s="459">
        <f t="shared" si="106"/>
        <v>0</v>
      </c>
      <c r="DS98" s="459">
        <f t="shared" si="106"/>
        <v>0</v>
      </c>
      <c r="DT98" s="459">
        <f t="shared" si="106"/>
        <v>0</v>
      </c>
      <c r="DU98" s="459">
        <f t="shared" si="106"/>
        <v>0</v>
      </c>
      <c r="DV98" s="459">
        <f t="shared" si="106"/>
        <v>0</v>
      </c>
      <c r="DW98" s="459">
        <f t="shared" si="106"/>
        <v>0</v>
      </c>
      <c r="DX98" s="459">
        <f t="shared" si="106"/>
        <v>0</v>
      </c>
      <c r="DY98" s="460">
        <f t="shared" si="152"/>
        <v>0</v>
      </c>
      <c r="DZ98" s="463"/>
      <c r="EA98" s="459">
        <f t="shared" si="107"/>
        <v>0</v>
      </c>
      <c r="EB98" s="459">
        <f t="shared" si="107"/>
        <v>0</v>
      </c>
      <c r="EC98" s="459">
        <f t="shared" si="107"/>
        <v>0</v>
      </c>
      <c r="ED98" s="459">
        <f t="shared" si="107"/>
        <v>0</v>
      </c>
      <c r="EE98" s="459">
        <f t="shared" si="107"/>
        <v>0</v>
      </c>
      <c r="EF98" s="459">
        <f t="shared" si="107"/>
        <v>0</v>
      </c>
      <c r="EG98" s="459">
        <f t="shared" si="107"/>
        <v>0</v>
      </c>
      <c r="EH98" s="459">
        <f t="shared" si="107"/>
        <v>0</v>
      </c>
      <c r="EI98" s="459">
        <f t="shared" si="107"/>
        <v>0</v>
      </c>
      <c r="EJ98" s="459">
        <f t="shared" si="107"/>
        <v>0</v>
      </c>
      <c r="EK98" s="460">
        <f t="shared" si="153"/>
        <v>0</v>
      </c>
    </row>
    <row r="99" spans="2:141" s="270" customFormat="1" ht="15" customHeight="1" x14ac:dyDescent="0.25">
      <c r="B99" s="464" t="str">
        <f>'2. START'!C$7</f>
        <v>100GEM</v>
      </c>
      <c r="C99" s="470"/>
      <c r="D99" s="593"/>
      <c r="E99" s="527">
        <v>0</v>
      </c>
      <c r="F99" s="527" t="s">
        <v>36</v>
      </c>
      <c r="G99" s="527"/>
      <c r="H99" s="515"/>
      <c r="I99" s="515"/>
      <c r="J99" s="515"/>
      <c r="K99" s="515"/>
      <c r="L99" s="515"/>
      <c r="M99" s="515"/>
      <c r="N99" s="515"/>
      <c r="O99" s="515"/>
      <c r="P99" s="515"/>
      <c r="Q99" s="515"/>
      <c r="R99" s="442">
        <f t="shared" si="108"/>
        <v>0</v>
      </c>
      <c r="S99" s="516">
        <f>IF('2. START'!$C$20="UTB",(SUMIF('3. PARTNER'!B$13:B$80,B99,'3. PARTNER'!M$13:M$80)),(SUMIF('3. PARTNER'!B$13:B$80,B99,'3. PARTNER'!I$13:I$80)))</f>
        <v>0</v>
      </c>
      <c r="T99" s="516">
        <f>IF('2. START'!$C$20="UTB",(SUMIF('3. PARTNER'!B$13:B$80,B99,'3. PARTNER'!N$13:N$80)),(SUMIF('3. PARTNER'!B$13:B$80,B99,'3. PARTNER'!J$13:J$80)))</f>
        <v>0</v>
      </c>
      <c r="U99" s="517">
        <f>IF(F99="NO",0,IF('2. START'!C$13="PERSON+OPERATION",'2. START'!C$12,0)+IF('2. START'!C$13="PERSON+OPERATION+INVEST+FACILIT",'2. START'!C$12,0))</f>
        <v>0</v>
      </c>
      <c r="W99" s="442">
        <f t="shared" si="109"/>
        <v>0</v>
      </c>
      <c r="X99" s="442">
        <f t="shared" si="110"/>
        <v>0</v>
      </c>
      <c r="Y99" s="442">
        <f t="shared" si="111"/>
        <v>0</v>
      </c>
      <c r="Z99" s="442">
        <f t="shared" si="112"/>
        <v>0</v>
      </c>
      <c r="AA99" s="442">
        <f t="shared" si="113"/>
        <v>0</v>
      </c>
      <c r="AB99" s="442">
        <f t="shared" si="114"/>
        <v>0</v>
      </c>
      <c r="AC99" s="442">
        <f t="shared" si="115"/>
        <v>0</v>
      </c>
      <c r="AD99" s="442">
        <f t="shared" si="116"/>
        <v>0</v>
      </c>
      <c r="AE99" s="442">
        <f t="shared" si="117"/>
        <v>0</v>
      </c>
      <c r="AF99" s="442">
        <f t="shared" si="118"/>
        <v>0</v>
      </c>
      <c r="AG99" s="443">
        <f t="shared" ref="AG99:AG147" si="159">SUM(W99:AF99)</f>
        <v>0</v>
      </c>
      <c r="AI99" s="442">
        <f t="shared" si="119"/>
        <v>0</v>
      </c>
      <c r="AJ99" s="442">
        <f t="shared" si="120"/>
        <v>0</v>
      </c>
      <c r="AK99" s="442">
        <f t="shared" si="121"/>
        <v>0</v>
      </c>
      <c r="AL99" s="442">
        <f t="shared" si="122"/>
        <v>0</v>
      </c>
      <c r="AM99" s="442">
        <f t="shared" si="123"/>
        <v>0</v>
      </c>
      <c r="AN99" s="442">
        <f t="shared" si="124"/>
        <v>0</v>
      </c>
      <c r="AO99" s="442">
        <f t="shared" si="125"/>
        <v>0</v>
      </c>
      <c r="AP99" s="442">
        <f t="shared" si="126"/>
        <v>0</v>
      </c>
      <c r="AQ99" s="442">
        <f t="shared" si="127"/>
        <v>0</v>
      </c>
      <c r="AR99" s="442">
        <f t="shared" si="128"/>
        <v>0</v>
      </c>
      <c r="AS99" s="443">
        <f t="shared" ref="AS99:AS147" si="160">SUM(AI99:AR99)</f>
        <v>0</v>
      </c>
      <c r="AU99" s="442">
        <f t="shared" ref="AU99:AU147" si="161">$S99*W99</f>
        <v>0</v>
      </c>
      <c r="AV99" s="442">
        <f t="shared" ref="AV99:AV147" si="162">$S99*X99</f>
        <v>0</v>
      </c>
      <c r="AW99" s="442">
        <f t="shared" ref="AW99:AW147" si="163">$S99*Y99</f>
        <v>0</v>
      </c>
      <c r="AX99" s="442">
        <f t="shared" ref="AX99:AX147" si="164">$S99*Z99</f>
        <v>0</v>
      </c>
      <c r="AY99" s="442">
        <f t="shared" ref="AY99:AY147" si="165">$S99*AA99</f>
        <v>0</v>
      </c>
      <c r="AZ99" s="442">
        <f t="shared" ref="AZ99:AZ147" si="166">$S99*AB99</f>
        <v>0</v>
      </c>
      <c r="BA99" s="442">
        <f t="shared" ref="BA99:BA147" si="167">$S99*AC99</f>
        <v>0</v>
      </c>
      <c r="BB99" s="442">
        <f t="shared" ref="BB99:BB147" si="168">$S99*AD99</f>
        <v>0</v>
      </c>
      <c r="BC99" s="442">
        <f t="shared" ref="BC99:BC147" si="169">$S99*AE99</f>
        <v>0</v>
      </c>
      <c r="BD99" s="442">
        <f t="shared" ref="BD99:BD147" si="170">$S99*AF99</f>
        <v>0</v>
      </c>
      <c r="BE99" s="443">
        <f t="shared" ref="BE99:BE147" si="171">SUM(AU99:BD99)</f>
        <v>0</v>
      </c>
      <c r="BG99" s="442">
        <f t="shared" ref="BG99:BG147" si="172">$S99*AI99</f>
        <v>0</v>
      </c>
      <c r="BH99" s="442">
        <f t="shared" ref="BH99:BH147" si="173">$S99*AJ99</f>
        <v>0</v>
      </c>
      <c r="BI99" s="442">
        <f t="shared" ref="BI99:BI147" si="174">$S99*AK99</f>
        <v>0</v>
      </c>
      <c r="BJ99" s="442">
        <f t="shared" ref="BJ99:BJ147" si="175">$S99*AL99</f>
        <v>0</v>
      </c>
      <c r="BK99" s="442">
        <f t="shared" ref="BK99:BK147" si="176">$S99*AM99</f>
        <v>0</v>
      </c>
      <c r="BL99" s="442">
        <f t="shared" ref="BL99:BL147" si="177">$S99*AN99</f>
        <v>0</v>
      </c>
      <c r="BM99" s="442">
        <f t="shared" ref="BM99:BM147" si="178">$S99*AO99</f>
        <v>0</v>
      </c>
      <c r="BN99" s="442">
        <f t="shared" ref="BN99:BN147" si="179">$S99*AP99</f>
        <v>0</v>
      </c>
      <c r="BO99" s="442">
        <f t="shared" ref="BO99:BO147" si="180">$S99*AQ99</f>
        <v>0</v>
      </c>
      <c r="BP99" s="442">
        <f t="shared" ref="BP99:BP147" si="181">$S99*AR99</f>
        <v>0</v>
      </c>
      <c r="BQ99" s="443">
        <f t="shared" ref="BQ99:BQ147" si="182">SUM(BG99:BP99)</f>
        <v>0</v>
      </c>
      <c r="BS99" s="442">
        <f t="shared" ref="BS99:BS147" si="183">$T99*W99</f>
        <v>0</v>
      </c>
      <c r="BT99" s="442">
        <f t="shared" ref="BT99:BT147" si="184">$T99*X99</f>
        <v>0</v>
      </c>
      <c r="BU99" s="442">
        <f t="shared" ref="BU99:BU147" si="185">$T99*Y99</f>
        <v>0</v>
      </c>
      <c r="BV99" s="442">
        <f t="shared" ref="BV99:BV147" si="186">$T99*Z99</f>
        <v>0</v>
      </c>
      <c r="BW99" s="442">
        <f t="shared" ref="BW99:BW147" si="187">$T99*AA99</f>
        <v>0</v>
      </c>
      <c r="BX99" s="442">
        <f t="shared" ref="BX99:BX147" si="188">$T99*AB99</f>
        <v>0</v>
      </c>
      <c r="BY99" s="442">
        <f t="shared" ref="BY99:BY147" si="189">$T99*AC99</f>
        <v>0</v>
      </c>
      <c r="BZ99" s="442">
        <f t="shared" ref="BZ99:BZ147" si="190">$T99*AD99</f>
        <v>0</v>
      </c>
      <c r="CA99" s="442">
        <f t="shared" ref="CA99:CA147" si="191">$T99*AE99</f>
        <v>0</v>
      </c>
      <c r="CB99" s="442">
        <f t="shared" ref="CB99:CB147" si="192">$T99*AF99</f>
        <v>0</v>
      </c>
      <c r="CC99" s="443">
        <f t="shared" ref="CC99:CC147" si="193">SUM(BS99:CB99)</f>
        <v>0</v>
      </c>
      <c r="CE99" s="442">
        <f t="shared" ref="CE99:CE147" si="194">$T99*AI99</f>
        <v>0</v>
      </c>
      <c r="CF99" s="442">
        <f t="shared" ref="CF99:CF147" si="195">$T99*AJ99</f>
        <v>0</v>
      </c>
      <c r="CG99" s="442">
        <f t="shared" ref="CG99:CG147" si="196">$T99*AK99</f>
        <v>0</v>
      </c>
      <c r="CH99" s="442">
        <f t="shared" ref="CH99:CH147" si="197">$T99*AL99</f>
        <v>0</v>
      </c>
      <c r="CI99" s="442">
        <f t="shared" ref="CI99:CI147" si="198">$T99*AM99</f>
        <v>0</v>
      </c>
      <c r="CJ99" s="442">
        <f t="shared" ref="CJ99:CJ147" si="199">$T99*AN99</f>
        <v>0</v>
      </c>
      <c r="CK99" s="442">
        <f t="shared" ref="CK99:CK147" si="200">$T99*AO99</f>
        <v>0</v>
      </c>
      <c r="CL99" s="442">
        <f t="shared" ref="CL99:CL147" si="201">$T99*AP99</f>
        <v>0</v>
      </c>
      <c r="CM99" s="442">
        <f t="shared" ref="CM99:CM147" si="202">$T99*AQ99</f>
        <v>0</v>
      </c>
      <c r="CN99" s="442">
        <f t="shared" ref="CN99:CN147" si="203">$T99*AR99</f>
        <v>0</v>
      </c>
      <c r="CO99" s="443">
        <f t="shared" ref="CO99:CO147" si="204">SUM(CE99:CN99)</f>
        <v>0</v>
      </c>
      <c r="CQ99" s="442">
        <f t="shared" si="129"/>
        <v>0</v>
      </c>
      <c r="CR99" s="442">
        <f t="shared" si="130"/>
        <v>0</v>
      </c>
      <c r="CS99" s="442">
        <f t="shared" si="131"/>
        <v>0</v>
      </c>
      <c r="CT99" s="442">
        <f t="shared" si="132"/>
        <v>0</v>
      </c>
      <c r="CU99" s="442">
        <f t="shared" si="133"/>
        <v>0</v>
      </c>
      <c r="CV99" s="442">
        <f t="shared" si="134"/>
        <v>0</v>
      </c>
      <c r="CW99" s="442">
        <f t="shared" si="135"/>
        <v>0</v>
      </c>
      <c r="CX99" s="442">
        <f t="shared" si="136"/>
        <v>0</v>
      </c>
      <c r="CY99" s="442">
        <f t="shared" si="137"/>
        <v>0</v>
      </c>
      <c r="CZ99" s="442">
        <f t="shared" si="138"/>
        <v>0</v>
      </c>
      <c r="DA99" s="443">
        <f t="shared" ref="DA99:DA147" si="205">SUM(CQ99:CZ99)</f>
        <v>0</v>
      </c>
      <c r="DC99" s="442">
        <f t="shared" ref="DC99:DC147" si="206">AU99+BS99-CQ99</f>
        <v>0</v>
      </c>
      <c r="DD99" s="442">
        <f t="shared" ref="DD99:DD147" si="207">AV99+BT99-CR99</f>
        <v>0</v>
      </c>
      <c r="DE99" s="442">
        <f t="shared" ref="DE99:DE147" si="208">AW99+BU99-CS99</f>
        <v>0</v>
      </c>
      <c r="DF99" s="442">
        <f t="shared" ref="DF99:DF147" si="209">AX99+BV99-CT99</f>
        <v>0</v>
      </c>
      <c r="DG99" s="442">
        <f t="shared" ref="DG99:DG147" si="210">AY99+BW99-CU99</f>
        <v>0</v>
      </c>
      <c r="DH99" s="442">
        <f t="shared" ref="DH99:DH147" si="211">AZ99+BX99-CV99</f>
        <v>0</v>
      </c>
      <c r="DI99" s="442">
        <f t="shared" ref="DI99:DI147" si="212">BA99+BY99-CW99</f>
        <v>0</v>
      </c>
      <c r="DJ99" s="442">
        <f t="shared" ref="DJ99:DJ147" si="213">BB99+BZ99-CX99</f>
        <v>0</v>
      </c>
      <c r="DK99" s="442">
        <f t="shared" ref="DK99:DK147" si="214">BC99+CA99-CY99</f>
        <v>0</v>
      </c>
      <c r="DL99" s="442">
        <f t="shared" ref="DL99:DL147" si="215">BD99+CB99-CZ99</f>
        <v>0</v>
      </c>
      <c r="DM99" s="443">
        <f t="shared" ref="DM99:DM147" si="216">SUM(DC99:DL99)</f>
        <v>0</v>
      </c>
      <c r="DO99" s="442">
        <f t="shared" ref="DO99:DX124" si="217">W99+AU99+BS99</f>
        <v>0</v>
      </c>
      <c r="DP99" s="442">
        <f t="shared" si="217"/>
        <v>0</v>
      </c>
      <c r="DQ99" s="442">
        <f t="shared" si="217"/>
        <v>0</v>
      </c>
      <c r="DR99" s="442">
        <f t="shared" si="217"/>
        <v>0</v>
      </c>
      <c r="DS99" s="442">
        <f t="shared" si="217"/>
        <v>0</v>
      </c>
      <c r="DT99" s="442">
        <f t="shared" si="217"/>
        <v>0</v>
      </c>
      <c r="DU99" s="442">
        <f t="shared" si="217"/>
        <v>0</v>
      </c>
      <c r="DV99" s="442">
        <f t="shared" si="217"/>
        <v>0</v>
      </c>
      <c r="DW99" s="442">
        <f t="shared" si="217"/>
        <v>0</v>
      </c>
      <c r="DX99" s="442">
        <f t="shared" si="217"/>
        <v>0</v>
      </c>
      <c r="DY99" s="443">
        <f t="shared" ref="DY99:DY147" si="218">SUM(DO99:DX99)</f>
        <v>0</v>
      </c>
      <c r="EA99" s="442">
        <f t="shared" ref="EA99:EJ124" si="219">AI99+BG99+CE99</f>
        <v>0</v>
      </c>
      <c r="EB99" s="442">
        <f t="shared" si="219"/>
        <v>0</v>
      </c>
      <c r="EC99" s="442">
        <f t="shared" si="219"/>
        <v>0</v>
      </c>
      <c r="ED99" s="442">
        <f t="shared" si="219"/>
        <v>0</v>
      </c>
      <c r="EE99" s="442">
        <f t="shared" si="219"/>
        <v>0</v>
      </c>
      <c r="EF99" s="442">
        <f t="shared" si="219"/>
        <v>0</v>
      </c>
      <c r="EG99" s="442">
        <f t="shared" si="219"/>
        <v>0</v>
      </c>
      <c r="EH99" s="442">
        <f t="shared" si="219"/>
        <v>0</v>
      </c>
      <c r="EI99" s="442">
        <f t="shared" si="219"/>
        <v>0</v>
      </c>
      <c r="EJ99" s="442">
        <f t="shared" si="219"/>
        <v>0</v>
      </c>
      <c r="EK99" s="443">
        <f t="shared" ref="EK99:EK147" si="220">SUM(EA99:EJ99)</f>
        <v>0</v>
      </c>
    </row>
    <row r="100" spans="2:141" s="268" customFormat="1" ht="15" customHeight="1" x14ac:dyDescent="0.25">
      <c r="B100" s="446" t="str">
        <f>'2. START'!C$7</f>
        <v>100GEM</v>
      </c>
      <c r="C100" s="469"/>
      <c r="D100" s="594"/>
      <c r="E100" s="522">
        <v>0</v>
      </c>
      <c r="F100" s="522" t="s">
        <v>36</v>
      </c>
      <c r="G100" s="522"/>
      <c r="H100" s="523"/>
      <c r="I100" s="523"/>
      <c r="J100" s="523"/>
      <c r="K100" s="523"/>
      <c r="L100" s="523"/>
      <c r="M100" s="523"/>
      <c r="N100" s="523"/>
      <c r="O100" s="523"/>
      <c r="P100" s="523"/>
      <c r="Q100" s="523"/>
      <c r="R100" s="459">
        <f t="shared" si="108"/>
        <v>0</v>
      </c>
      <c r="S100" s="524">
        <f>IF('2. START'!$C$20="UTB",(SUMIF('3. PARTNER'!B$13:B$80,B100,'3. PARTNER'!M$13:M$80)),(SUMIF('3. PARTNER'!B$13:B$80,B100,'3. PARTNER'!I$13:I$80)))</f>
        <v>0</v>
      </c>
      <c r="T100" s="524">
        <f>IF('2. START'!$C$20="UTB",(SUMIF('3. PARTNER'!B$13:B$80,B100,'3. PARTNER'!N$13:N$80)),(SUMIF('3. PARTNER'!B$13:B$80,B100,'3. PARTNER'!J$13:J$80)))</f>
        <v>0</v>
      </c>
      <c r="U100" s="454">
        <f>IF(F100="NO",0,IF('2. START'!C$13="PERSON+OPERATION",'2. START'!C$12,0)+IF('2. START'!C$13="PERSON+OPERATION+INVEST+FACILIT",'2. START'!C$12,0))</f>
        <v>0</v>
      </c>
      <c r="V100" s="463"/>
      <c r="W100" s="459">
        <f t="shared" si="109"/>
        <v>0</v>
      </c>
      <c r="X100" s="459">
        <f t="shared" si="110"/>
        <v>0</v>
      </c>
      <c r="Y100" s="459">
        <f t="shared" si="111"/>
        <v>0</v>
      </c>
      <c r="Z100" s="459">
        <f t="shared" si="112"/>
        <v>0</v>
      </c>
      <c r="AA100" s="459">
        <f t="shared" si="113"/>
        <v>0</v>
      </c>
      <c r="AB100" s="459">
        <f t="shared" si="114"/>
        <v>0</v>
      </c>
      <c r="AC100" s="459">
        <f t="shared" si="115"/>
        <v>0</v>
      </c>
      <c r="AD100" s="459">
        <f t="shared" si="116"/>
        <v>0</v>
      </c>
      <c r="AE100" s="459">
        <f t="shared" si="117"/>
        <v>0</v>
      </c>
      <c r="AF100" s="459">
        <f t="shared" si="118"/>
        <v>0</v>
      </c>
      <c r="AG100" s="460">
        <f t="shared" si="159"/>
        <v>0</v>
      </c>
      <c r="AH100" s="463"/>
      <c r="AI100" s="459">
        <f t="shared" si="119"/>
        <v>0</v>
      </c>
      <c r="AJ100" s="459">
        <f t="shared" si="120"/>
        <v>0</v>
      </c>
      <c r="AK100" s="459">
        <f t="shared" si="121"/>
        <v>0</v>
      </c>
      <c r="AL100" s="459">
        <f t="shared" si="122"/>
        <v>0</v>
      </c>
      <c r="AM100" s="459">
        <f t="shared" si="123"/>
        <v>0</v>
      </c>
      <c r="AN100" s="459">
        <f t="shared" si="124"/>
        <v>0</v>
      </c>
      <c r="AO100" s="459">
        <f t="shared" si="125"/>
        <v>0</v>
      </c>
      <c r="AP100" s="459">
        <f t="shared" si="126"/>
        <v>0</v>
      </c>
      <c r="AQ100" s="459">
        <f t="shared" si="127"/>
        <v>0</v>
      </c>
      <c r="AR100" s="459">
        <f t="shared" si="128"/>
        <v>0</v>
      </c>
      <c r="AS100" s="460">
        <f t="shared" si="160"/>
        <v>0</v>
      </c>
      <c r="AT100" s="463"/>
      <c r="AU100" s="459">
        <f t="shared" si="161"/>
        <v>0</v>
      </c>
      <c r="AV100" s="459">
        <f t="shared" si="162"/>
        <v>0</v>
      </c>
      <c r="AW100" s="459">
        <f t="shared" si="163"/>
        <v>0</v>
      </c>
      <c r="AX100" s="459">
        <f t="shared" si="164"/>
        <v>0</v>
      </c>
      <c r="AY100" s="459">
        <f t="shared" si="165"/>
        <v>0</v>
      </c>
      <c r="AZ100" s="459">
        <f t="shared" si="166"/>
        <v>0</v>
      </c>
      <c r="BA100" s="459">
        <f t="shared" si="167"/>
        <v>0</v>
      </c>
      <c r="BB100" s="459">
        <f t="shared" si="168"/>
        <v>0</v>
      </c>
      <c r="BC100" s="459">
        <f t="shared" si="169"/>
        <v>0</v>
      </c>
      <c r="BD100" s="459">
        <f t="shared" si="170"/>
        <v>0</v>
      </c>
      <c r="BE100" s="460">
        <f t="shared" si="171"/>
        <v>0</v>
      </c>
      <c r="BF100" s="463"/>
      <c r="BG100" s="459">
        <f t="shared" si="172"/>
        <v>0</v>
      </c>
      <c r="BH100" s="459">
        <f t="shared" si="173"/>
        <v>0</v>
      </c>
      <c r="BI100" s="459">
        <f t="shared" si="174"/>
        <v>0</v>
      </c>
      <c r="BJ100" s="459">
        <f t="shared" si="175"/>
        <v>0</v>
      </c>
      <c r="BK100" s="459">
        <f t="shared" si="176"/>
        <v>0</v>
      </c>
      <c r="BL100" s="459">
        <f t="shared" si="177"/>
        <v>0</v>
      </c>
      <c r="BM100" s="459">
        <f t="shared" si="178"/>
        <v>0</v>
      </c>
      <c r="BN100" s="459">
        <f t="shared" si="179"/>
        <v>0</v>
      </c>
      <c r="BO100" s="459">
        <f t="shared" si="180"/>
        <v>0</v>
      </c>
      <c r="BP100" s="459">
        <f t="shared" si="181"/>
        <v>0</v>
      </c>
      <c r="BQ100" s="460">
        <f t="shared" si="182"/>
        <v>0</v>
      </c>
      <c r="BR100" s="463"/>
      <c r="BS100" s="459">
        <f t="shared" si="183"/>
        <v>0</v>
      </c>
      <c r="BT100" s="459">
        <f t="shared" si="184"/>
        <v>0</v>
      </c>
      <c r="BU100" s="459">
        <f t="shared" si="185"/>
        <v>0</v>
      </c>
      <c r="BV100" s="459">
        <f t="shared" si="186"/>
        <v>0</v>
      </c>
      <c r="BW100" s="459">
        <f t="shared" si="187"/>
        <v>0</v>
      </c>
      <c r="BX100" s="459">
        <f t="shared" si="188"/>
        <v>0</v>
      </c>
      <c r="BY100" s="459">
        <f t="shared" si="189"/>
        <v>0</v>
      </c>
      <c r="BZ100" s="459">
        <f t="shared" si="190"/>
        <v>0</v>
      </c>
      <c r="CA100" s="459">
        <f t="shared" si="191"/>
        <v>0</v>
      </c>
      <c r="CB100" s="459">
        <f t="shared" si="192"/>
        <v>0</v>
      </c>
      <c r="CC100" s="460">
        <f t="shared" si="193"/>
        <v>0</v>
      </c>
      <c r="CD100" s="463"/>
      <c r="CE100" s="459">
        <f t="shared" si="194"/>
        <v>0</v>
      </c>
      <c r="CF100" s="459">
        <f t="shared" si="195"/>
        <v>0</v>
      </c>
      <c r="CG100" s="459">
        <f t="shared" si="196"/>
        <v>0</v>
      </c>
      <c r="CH100" s="459">
        <f t="shared" si="197"/>
        <v>0</v>
      </c>
      <c r="CI100" s="459">
        <f t="shared" si="198"/>
        <v>0</v>
      </c>
      <c r="CJ100" s="459">
        <f t="shared" si="199"/>
        <v>0</v>
      </c>
      <c r="CK100" s="459">
        <f t="shared" si="200"/>
        <v>0</v>
      </c>
      <c r="CL100" s="459">
        <f t="shared" si="201"/>
        <v>0</v>
      </c>
      <c r="CM100" s="459">
        <f t="shared" si="202"/>
        <v>0</v>
      </c>
      <c r="CN100" s="459">
        <f t="shared" si="203"/>
        <v>0</v>
      </c>
      <c r="CO100" s="460">
        <f t="shared" si="204"/>
        <v>0</v>
      </c>
      <c r="CP100" s="463"/>
      <c r="CQ100" s="459">
        <f t="shared" si="129"/>
        <v>0</v>
      </c>
      <c r="CR100" s="459">
        <f t="shared" si="130"/>
        <v>0</v>
      </c>
      <c r="CS100" s="459">
        <f t="shared" si="131"/>
        <v>0</v>
      </c>
      <c r="CT100" s="459">
        <f t="shared" si="132"/>
        <v>0</v>
      </c>
      <c r="CU100" s="459">
        <f t="shared" si="133"/>
        <v>0</v>
      </c>
      <c r="CV100" s="459">
        <f t="shared" si="134"/>
        <v>0</v>
      </c>
      <c r="CW100" s="459">
        <f t="shared" si="135"/>
        <v>0</v>
      </c>
      <c r="CX100" s="459">
        <f t="shared" si="136"/>
        <v>0</v>
      </c>
      <c r="CY100" s="459">
        <f t="shared" si="137"/>
        <v>0</v>
      </c>
      <c r="CZ100" s="459">
        <f t="shared" si="138"/>
        <v>0</v>
      </c>
      <c r="DA100" s="460">
        <f t="shared" si="205"/>
        <v>0</v>
      </c>
      <c r="DB100" s="463"/>
      <c r="DC100" s="459">
        <f t="shared" si="206"/>
        <v>0</v>
      </c>
      <c r="DD100" s="459">
        <f t="shared" si="207"/>
        <v>0</v>
      </c>
      <c r="DE100" s="459">
        <f t="shared" si="208"/>
        <v>0</v>
      </c>
      <c r="DF100" s="459">
        <f t="shared" si="209"/>
        <v>0</v>
      </c>
      <c r="DG100" s="459">
        <f t="shared" si="210"/>
        <v>0</v>
      </c>
      <c r="DH100" s="459">
        <f t="shared" si="211"/>
        <v>0</v>
      </c>
      <c r="DI100" s="459">
        <f t="shared" si="212"/>
        <v>0</v>
      </c>
      <c r="DJ100" s="459">
        <f t="shared" si="213"/>
        <v>0</v>
      </c>
      <c r="DK100" s="459">
        <f t="shared" si="214"/>
        <v>0</v>
      </c>
      <c r="DL100" s="459">
        <f t="shared" si="215"/>
        <v>0</v>
      </c>
      <c r="DM100" s="460">
        <f t="shared" si="216"/>
        <v>0</v>
      </c>
      <c r="DN100" s="463"/>
      <c r="DO100" s="459">
        <f t="shared" si="217"/>
        <v>0</v>
      </c>
      <c r="DP100" s="459">
        <f t="shared" si="217"/>
        <v>0</v>
      </c>
      <c r="DQ100" s="459">
        <f t="shared" si="217"/>
        <v>0</v>
      </c>
      <c r="DR100" s="459">
        <f t="shared" si="217"/>
        <v>0</v>
      </c>
      <c r="DS100" s="459">
        <f t="shared" si="217"/>
        <v>0</v>
      </c>
      <c r="DT100" s="459">
        <f t="shared" si="217"/>
        <v>0</v>
      </c>
      <c r="DU100" s="459">
        <f t="shared" si="217"/>
        <v>0</v>
      </c>
      <c r="DV100" s="459">
        <f t="shared" si="217"/>
        <v>0</v>
      </c>
      <c r="DW100" s="459">
        <f t="shared" si="217"/>
        <v>0</v>
      </c>
      <c r="DX100" s="459">
        <f t="shared" si="217"/>
        <v>0</v>
      </c>
      <c r="DY100" s="460">
        <f t="shared" si="218"/>
        <v>0</v>
      </c>
      <c r="DZ100" s="463"/>
      <c r="EA100" s="459">
        <f t="shared" si="219"/>
        <v>0</v>
      </c>
      <c r="EB100" s="459">
        <f t="shared" si="219"/>
        <v>0</v>
      </c>
      <c r="EC100" s="459">
        <f t="shared" si="219"/>
        <v>0</v>
      </c>
      <c r="ED100" s="459">
        <f t="shared" si="219"/>
        <v>0</v>
      </c>
      <c r="EE100" s="459">
        <f t="shared" si="219"/>
        <v>0</v>
      </c>
      <c r="EF100" s="459">
        <f t="shared" si="219"/>
        <v>0</v>
      </c>
      <c r="EG100" s="459">
        <f t="shared" si="219"/>
        <v>0</v>
      </c>
      <c r="EH100" s="459">
        <f t="shared" si="219"/>
        <v>0</v>
      </c>
      <c r="EI100" s="459">
        <f t="shared" si="219"/>
        <v>0</v>
      </c>
      <c r="EJ100" s="459">
        <f t="shared" si="219"/>
        <v>0</v>
      </c>
      <c r="EK100" s="460">
        <f t="shared" si="220"/>
        <v>0</v>
      </c>
    </row>
    <row r="101" spans="2:141" s="270" customFormat="1" ht="15" customHeight="1" x14ac:dyDescent="0.25">
      <c r="B101" s="464" t="str">
        <f>'2. START'!C$7</f>
        <v>100GEM</v>
      </c>
      <c r="C101" s="470"/>
      <c r="D101" s="593"/>
      <c r="E101" s="527">
        <v>0</v>
      </c>
      <c r="F101" s="527" t="s">
        <v>36</v>
      </c>
      <c r="G101" s="527"/>
      <c r="H101" s="515"/>
      <c r="I101" s="515"/>
      <c r="J101" s="515"/>
      <c r="K101" s="515"/>
      <c r="L101" s="515"/>
      <c r="M101" s="515"/>
      <c r="N101" s="515"/>
      <c r="O101" s="515"/>
      <c r="P101" s="515"/>
      <c r="Q101" s="515"/>
      <c r="R101" s="442">
        <f t="shared" si="108"/>
        <v>0</v>
      </c>
      <c r="S101" s="516">
        <f>IF('2. START'!$C$20="UTB",(SUMIF('3. PARTNER'!B$13:B$80,B101,'3. PARTNER'!M$13:M$80)),(SUMIF('3. PARTNER'!B$13:B$80,B101,'3. PARTNER'!I$13:I$80)))</f>
        <v>0</v>
      </c>
      <c r="T101" s="516">
        <f>IF('2. START'!$C$20="UTB",(SUMIF('3. PARTNER'!B$13:B$80,B101,'3. PARTNER'!N$13:N$80)),(SUMIF('3. PARTNER'!B$13:B$80,B101,'3. PARTNER'!J$13:J$80)))</f>
        <v>0</v>
      </c>
      <c r="U101" s="517">
        <f>IF(F101="NO",0,IF('2. START'!C$13="PERSON+OPERATION",'2. START'!C$12,0)+IF('2. START'!C$13="PERSON+OPERATION+INVEST+FACILIT",'2. START'!C$12,0))</f>
        <v>0</v>
      </c>
      <c r="W101" s="442">
        <f t="shared" si="109"/>
        <v>0</v>
      </c>
      <c r="X101" s="442">
        <f t="shared" si="110"/>
        <v>0</v>
      </c>
      <c r="Y101" s="442">
        <f t="shared" si="111"/>
        <v>0</v>
      </c>
      <c r="Z101" s="442">
        <f t="shared" si="112"/>
        <v>0</v>
      </c>
      <c r="AA101" s="442">
        <f t="shared" si="113"/>
        <v>0</v>
      </c>
      <c r="AB101" s="442">
        <f t="shared" si="114"/>
        <v>0</v>
      </c>
      <c r="AC101" s="442">
        <f t="shared" si="115"/>
        <v>0</v>
      </c>
      <c r="AD101" s="442">
        <f t="shared" si="116"/>
        <v>0</v>
      </c>
      <c r="AE101" s="442">
        <f t="shared" si="117"/>
        <v>0</v>
      </c>
      <c r="AF101" s="442">
        <f t="shared" si="118"/>
        <v>0</v>
      </c>
      <c r="AG101" s="443">
        <f t="shared" si="159"/>
        <v>0</v>
      </c>
      <c r="AI101" s="442">
        <f t="shared" si="119"/>
        <v>0</v>
      </c>
      <c r="AJ101" s="442">
        <f t="shared" si="120"/>
        <v>0</v>
      </c>
      <c r="AK101" s="442">
        <f t="shared" si="121"/>
        <v>0</v>
      </c>
      <c r="AL101" s="442">
        <f t="shared" si="122"/>
        <v>0</v>
      </c>
      <c r="AM101" s="442">
        <f t="shared" si="123"/>
        <v>0</v>
      </c>
      <c r="AN101" s="442">
        <f t="shared" si="124"/>
        <v>0</v>
      </c>
      <c r="AO101" s="442">
        <f t="shared" si="125"/>
        <v>0</v>
      </c>
      <c r="AP101" s="442">
        <f t="shared" si="126"/>
        <v>0</v>
      </c>
      <c r="AQ101" s="442">
        <f t="shared" si="127"/>
        <v>0</v>
      </c>
      <c r="AR101" s="442">
        <f t="shared" si="128"/>
        <v>0</v>
      </c>
      <c r="AS101" s="443">
        <f t="shared" si="160"/>
        <v>0</v>
      </c>
      <c r="AU101" s="442">
        <f t="shared" si="161"/>
        <v>0</v>
      </c>
      <c r="AV101" s="442">
        <f t="shared" si="162"/>
        <v>0</v>
      </c>
      <c r="AW101" s="442">
        <f t="shared" si="163"/>
        <v>0</v>
      </c>
      <c r="AX101" s="442">
        <f t="shared" si="164"/>
        <v>0</v>
      </c>
      <c r="AY101" s="442">
        <f t="shared" si="165"/>
        <v>0</v>
      </c>
      <c r="AZ101" s="442">
        <f t="shared" si="166"/>
        <v>0</v>
      </c>
      <c r="BA101" s="442">
        <f t="shared" si="167"/>
        <v>0</v>
      </c>
      <c r="BB101" s="442">
        <f t="shared" si="168"/>
        <v>0</v>
      </c>
      <c r="BC101" s="442">
        <f t="shared" si="169"/>
        <v>0</v>
      </c>
      <c r="BD101" s="442">
        <f t="shared" si="170"/>
        <v>0</v>
      </c>
      <c r="BE101" s="443">
        <f t="shared" si="171"/>
        <v>0</v>
      </c>
      <c r="BG101" s="442">
        <f t="shared" si="172"/>
        <v>0</v>
      </c>
      <c r="BH101" s="442">
        <f t="shared" si="173"/>
        <v>0</v>
      </c>
      <c r="BI101" s="442">
        <f t="shared" si="174"/>
        <v>0</v>
      </c>
      <c r="BJ101" s="442">
        <f t="shared" si="175"/>
        <v>0</v>
      </c>
      <c r="BK101" s="442">
        <f t="shared" si="176"/>
        <v>0</v>
      </c>
      <c r="BL101" s="442">
        <f t="shared" si="177"/>
        <v>0</v>
      </c>
      <c r="BM101" s="442">
        <f t="shared" si="178"/>
        <v>0</v>
      </c>
      <c r="BN101" s="442">
        <f t="shared" si="179"/>
        <v>0</v>
      </c>
      <c r="BO101" s="442">
        <f t="shared" si="180"/>
        <v>0</v>
      </c>
      <c r="BP101" s="442">
        <f t="shared" si="181"/>
        <v>0</v>
      </c>
      <c r="BQ101" s="443">
        <f t="shared" si="182"/>
        <v>0</v>
      </c>
      <c r="BS101" s="442">
        <f t="shared" si="183"/>
        <v>0</v>
      </c>
      <c r="BT101" s="442">
        <f t="shared" si="184"/>
        <v>0</v>
      </c>
      <c r="BU101" s="442">
        <f t="shared" si="185"/>
        <v>0</v>
      </c>
      <c r="BV101" s="442">
        <f t="shared" si="186"/>
        <v>0</v>
      </c>
      <c r="BW101" s="442">
        <f t="shared" si="187"/>
        <v>0</v>
      </c>
      <c r="BX101" s="442">
        <f t="shared" si="188"/>
        <v>0</v>
      </c>
      <c r="BY101" s="442">
        <f t="shared" si="189"/>
        <v>0</v>
      </c>
      <c r="BZ101" s="442">
        <f t="shared" si="190"/>
        <v>0</v>
      </c>
      <c r="CA101" s="442">
        <f t="shared" si="191"/>
        <v>0</v>
      </c>
      <c r="CB101" s="442">
        <f t="shared" si="192"/>
        <v>0</v>
      </c>
      <c r="CC101" s="443">
        <f t="shared" si="193"/>
        <v>0</v>
      </c>
      <c r="CE101" s="442">
        <f t="shared" si="194"/>
        <v>0</v>
      </c>
      <c r="CF101" s="442">
        <f t="shared" si="195"/>
        <v>0</v>
      </c>
      <c r="CG101" s="442">
        <f t="shared" si="196"/>
        <v>0</v>
      </c>
      <c r="CH101" s="442">
        <f t="shared" si="197"/>
        <v>0</v>
      </c>
      <c r="CI101" s="442">
        <f t="shared" si="198"/>
        <v>0</v>
      </c>
      <c r="CJ101" s="442">
        <f t="shared" si="199"/>
        <v>0</v>
      </c>
      <c r="CK101" s="442">
        <f t="shared" si="200"/>
        <v>0</v>
      </c>
      <c r="CL101" s="442">
        <f t="shared" si="201"/>
        <v>0</v>
      </c>
      <c r="CM101" s="442">
        <f t="shared" si="202"/>
        <v>0</v>
      </c>
      <c r="CN101" s="442">
        <f t="shared" si="203"/>
        <v>0</v>
      </c>
      <c r="CO101" s="443">
        <f t="shared" si="204"/>
        <v>0</v>
      </c>
      <c r="CQ101" s="442">
        <f t="shared" si="129"/>
        <v>0</v>
      </c>
      <c r="CR101" s="442">
        <f t="shared" si="130"/>
        <v>0</v>
      </c>
      <c r="CS101" s="442">
        <f t="shared" si="131"/>
        <v>0</v>
      </c>
      <c r="CT101" s="442">
        <f t="shared" si="132"/>
        <v>0</v>
      </c>
      <c r="CU101" s="442">
        <f t="shared" si="133"/>
        <v>0</v>
      </c>
      <c r="CV101" s="442">
        <f t="shared" si="134"/>
        <v>0</v>
      </c>
      <c r="CW101" s="442">
        <f t="shared" si="135"/>
        <v>0</v>
      </c>
      <c r="CX101" s="442">
        <f t="shared" si="136"/>
        <v>0</v>
      </c>
      <c r="CY101" s="442">
        <f t="shared" si="137"/>
        <v>0</v>
      </c>
      <c r="CZ101" s="442">
        <f t="shared" si="138"/>
        <v>0</v>
      </c>
      <c r="DA101" s="443">
        <f t="shared" si="205"/>
        <v>0</v>
      </c>
      <c r="DC101" s="442">
        <f t="shared" si="206"/>
        <v>0</v>
      </c>
      <c r="DD101" s="442">
        <f t="shared" si="207"/>
        <v>0</v>
      </c>
      <c r="DE101" s="442">
        <f t="shared" si="208"/>
        <v>0</v>
      </c>
      <c r="DF101" s="442">
        <f t="shared" si="209"/>
        <v>0</v>
      </c>
      <c r="DG101" s="442">
        <f t="shared" si="210"/>
        <v>0</v>
      </c>
      <c r="DH101" s="442">
        <f t="shared" si="211"/>
        <v>0</v>
      </c>
      <c r="DI101" s="442">
        <f t="shared" si="212"/>
        <v>0</v>
      </c>
      <c r="DJ101" s="442">
        <f t="shared" si="213"/>
        <v>0</v>
      </c>
      <c r="DK101" s="442">
        <f t="shared" si="214"/>
        <v>0</v>
      </c>
      <c r="DL101" s="442">
        <f t="shared" si="215"/>
        <v>0</v>
      </c>
      <c r="DM101" s="443">
        <f t="shared" si="216"/>
        <v>0</v>
      </c>
      <c r="DO101" s="442">
        <f t="shared" si="217"/>
        <v>0</v>
      </c>
      <c r="DP101" s="442">
        <f t="shared" si="217"/>
        <v>0</v>
      </c>
      <c r="DQ101" s="442">
        <f t="shared" si="217"/>
        <v>0</v>
      </c>
      <c r="DR101" s="442">
        <f t="shared" si="217"/>
        <v>0</v>
      </c>
      <c r="DS101" s="442">
        <f t="shared" si="217"/>
        <v>0</v>
      </c>
      <c r="DT101" s="442">
        <f t="shared" si="217"/>
        <v>0</v>
      </c>
      <c r="DU101" s="442">
        <f t="shared" si="217"/>
        <v>0</v>
      </c>
      <c r="DV101" s="442">
        <f t="shared" si="217"/>
        <v>0</v>
      </c>
      <c r="DW101" s="442">
        <f t="shared" si="217"/>
        <v>0</v>
      </c>
      <c r="DX101" s="442">
        <f t="shared" si="217"/>
        <v>0</v>
      </c>
      <c r="DY101" s="443">
        <f t="shared" si="218"/>
        <v>0</v>
      </c>
      <c r="EA101" s="442">
        <f t="shared" si="219"/>
        <v>0</v>
      </c>
      <c r="EB101" s="442">
        <f t="shared" si="219"/>
        <v>0</v>
      </c>
      <c r="EC101" s="442">
        <f t="shared" si="219"/>
        <v>0</v>
      </c>
      <c r="ED101" s="442">
        <f t="shared" si="219"/>
        <v>0</v>
      </c>
      <c r="EE101" s="442">
        <f t="shared" si="219"/>
        <v>0</v>
      </c>
      <c r="EF101" s="442">
        <f t="shared" si="219"/>
        <v>0</v>
      </c>
      <c r="EG101" s="442">
        <f t="shared" si="219"/>
        <v>0</v>
      </c>
      <c r="EH101" s="442">
        <f t="shared" si="219"/>
        <v>0</v>
      </c>
      <c r="EI101" s="442">
        <f t="shared" si="219"/>
        <v>0</v>
      </c>
      <c r="EJ101" s="442">
        <f t="shared" si="219"/>
        <v>0</v>
      </c>
      <c r="EK101" s="443">
        <f t="shared" si="220"/>
        <v>0</v>
      </c>
    </row>
    <row r="102" spans="2:141" s="268" customFormat="1" ht="15" customHeight="1" x14ac:dyDescent="0.25">
      <c r="B102" s="446" t="str">
        <f>'2. START'!C$7</f>
        <v>100GEM</v>
      </c>
      <c r="C102" s="469"/>
      <c r="D102" s="594"/>
      <c r="E102" s="522">
        <v>0</v>
      </c>
      <c r="F102" s="522" t="s">
        <v>36</v>
      </c>
      <c r="G102" s="522"/>
      <c r="H102" s="523"/>
      <c r="I102" s="523"/>
      <c r="J102" s="523"/>
      <c r="K102" s="523"/>
      <c r="L102" s="523"/>
      <c r="M102" s="523"/>
      <c r="N102" s="523"/>
      <c r="O102" s="523"/>
      <c r="P102" s="523"/>
      <c r="Q102" s="523"/>
      <c r="R102" s="459">
        <f t="shared" si="108"/>
        <v>0</v>
      </c>
      <c r="S102" s="524">
        <f>IF('2. START'!$C$20="UTB",(SUMIF('3. PARTNER'!B$13:B$80,B102,'3. PARTNER'!M$13:M$80)),(SUMIF('3. PARTNER'!B$13:B$80,B102,'3. PARTNER'!I$13:I$80)))</f>
        <v>0</v>
      </c>
      <c r="T102" s="524">
        <f>IF('2. START'!$C$20="UTB",(SUMIF('3. PARTNER'!B$13:B$80,B102,'3. PARTNER'!N$13:N$80)),(SUMIF('3. PARTNER'!B$13:B$80,B102,'3. PARTNER'!J$13:J$80)))</f>
        <v>0</v>
      </c>
      <c r="U102" s="454">
        <f>IF(F102="NO",0,IF('2. START'!C$13="PERSON+OPERATION",'2. START'!C$12,0)+IF('2. START'!C$13="PERSON+OPERATION+INVEST+FACILIT",'2. START'!C$12,0))</f>
        <v>0</v>
      </c>
      <c r="V102" s="463"/>
      <c r="W102" s="459">
        <f t="shared" si="109"/>
        <v>0</v>
      </c>
      <c r="X102" s="459">
        <f t="shared" si="110"/>
        <v>0</v>
      </c>
      <c r="Y102" s="459">
        <f t="shared" si="111"/>
        <v>0</v>
      </c>
      <c r="Z102" s="459">
        <f t="shared" si="112"/>
        <v>0</v>
      </c>
      <c r="AA102" s="459">
        <f t="shared" si="113"/>
        <v>0</v>
      </c>
      <c r="AB102" s="459">
        <f t="shared" si="114"/>
        <v>0</v>
      </c>
      <c r="AC102" s="459">
        <f t="shared" si="115"/>
        <v>0</v>
      </c>
      <c r="AD102" s="459">
        <f t="shared" si="116"/>
        <v>0</v>
      </c>
      <c r="AE102" s="459">
        <f t="shared" si="117"/>
        <v>0</v>
      </c>
      <c r="AF102" s="459">
        <f t="shared" si="118"/>
        <v>0</v>
      </c>
      <c r="AG102" s="460">
        <f t="shared" si="159"/>
        <v>0</v>
      </c>
      <c r="AH102" s="463"/>
      <c r="AI102" s="459">
        <f t="shared" si="119"/>
        <v>0</v>
      </c>
      <c r="AJ102" s="459">
        <f t="shared" si="120"/>
        <v>0</v>
      </c>
      <c r="AK102" s="459">
        <f t="shared" si="121"/>
        <v>0</v>
      </c>
      <c r="AL102" s="459">
        <f t="shared" si="122"/>
        <v>0</v>
      </c>
      <c r="AM102" s="459">
        <f t="shared" si="123"/>
        <v>0</v>
      </c>
      <c r="AN102" s="459">
        <f t="shared" si="124"/>
        <v>0</v>
      </c>
      <c r="AO102" s="459">
        <f t="shared" si="125"/>
        <v>0</v>
      </c>
      <c r="AP102" s="459">
        <f t="shared" si="126"/>
        <v>0</v>
      </c>
      <c r="AQ102" s="459">
        <f t="shared" si="127"/>
        <v>0</v>
      </c>
      <c r="AR102" s="459">
        <f t="shared" si="128"/>
        <v>0</v>
      </c>
      <c r="AS102" s="460">
        <f t="shared" si="160"/>
        <v>0</v>
      </c>
      <c r="AT102" s="463"/>
      <c r="AU102" s="459">
        <f t="shared" si="161"/>
        <v>0</v>
      </c>
      <c r="AV102" s="459">
        <f t="shared" si="162"/>
        <v>0</v>
      </c>
      <c r="AW102" s="459">
        <f t="shared" si="163"/>
        <v>0</v>
      </c>
      <c r="AX102" s="459">
        <f t="shared" si="164"/>
        <v>0</v>
      </c>
      <c r="AY102" s="459">
        <f t="shared" si="165"/>
        <v>0</v>
      </c>
      <c r="AZ102" s="459">
        <f t="shared" si="166"/>
        <v>0</v>
      </c>
      <c r="BA102" s="459">
        <f t="shared" si="167"/>
        <v>0</v>
      </c>
      <c r="BB102" s="459">
        <f t="shared" si="168"/>
        <v>0</v>
      </c>
      <c r="BC102" s="459">
        <f t="shared" si="169"/>
        <v>0</v>
      </c>
      <c r="BD102" s="459">
        <f t="shared" si="170"/>
        <v>0</v>
      </c>
      <c r="BE102" s="460">
        <f t="shared" si="171"/>
        <v>0</v>
      </c>
      <c r="BF102" s="463"/>
      <c r="BG102" s="459">
        <f t="shared" si="172"/>
        <v>0</v>
      </c>
      <c r="BH102" s="459">
        <f t="shared" si="173"/>
        <v>0</v>
      </c>
      <c r="BI102" s="459">
        <f t="shared" si="174"/>
        <v>0</v>
      </c>
      <c r="BJ102" s="459">
        <f t="shared" si="175"/>
        <v>0</v>
      </c>
      <c r="BK102" s="459">
        <f t="shared" si="176"/>
        <v>0</v>
      </c>
      <c r="BL102" s="459">
        <f t="shared" si="177"/>
        <v>0</v>
      </c>
      <c r="BM102" s="459">
        <f t="shared" si="178"/>
        <v>0</v>
      </c>
      <c r="BN102" s="459">
        <f t="shared" si="179"/>
        <v>0</v>
      </c>
      <c r="BO102" s="459">
        <f t="shared" si="180"/>
        <v>0</v>
      </c>
      <c r="BP102" s="459">
        <f t="shared" si="181"/>
        <v>0</v>
      </c>
      <c r="BQ102" s="460">
        <f t="shared" si="182"/>
        <v>0</v>
      </c>
      <c r="BR102" s="463"/>
      <c r="BS102" s="459">
        <f t="shared" si="183"/>
        <v>0</v>
      </c>
      <c r="BT102" s="459">
        <f t="shared" si="184"/>
        <v>0</v>
      </c>
      <c r="BU102" s="459">
        <f t="shared" si="185"/>
        <v>0</v>
      </c>
      <c r="BV102" s="459">
        <f t="shared" si="186"/>
        <v>0</v>
      </c>
      <c r="BW102" s="459">
        <f t="shared" si="187"/>
        <v>0</v>
      </c>
      <c r="BX102" s="459">
        <f t="shared" si="188"/>
        <v>0</v>
      </c>
      <c r="BY102" s="459">
        <f t="shared" si="189"/>
        <v>0</v>
      </c>
      <c r="BZ102" s="459">
        <f t="shared" si="190"/>
        <v>0</v>
      </c>
      <c r="CA102" s="459">
        <f t="shared" si="191"/>
        <v>0</v>
      </c>
      <c r="CB102" s="459">
        <f t="shared" si="192"/>
        <v>0</v>
      </c>
      <c r="CC102" s="460">
        <f t="shared" si="193"/>
        <v>0</v>
      </c>
      <c r="CD102" s="463"/>
      <c r="CE102" s="459">
        <f t="shared" si="194"/>
        <v>0</v>
      </c>
      <c r="CF102" s="459">
        <f t="shared" si="195"/>
        <v>0</v>
      </c>
      <c r="CG102" s="459">
        <f t="shared" si="196"/>
        <v>0</v>
      </c>
      <c r="CH102" s="459">
        <f t="shared" si="197"/>
        <v>0</v>
      </c>
      <c r="CI102" s="459">
        <f t="shared" si="198"/>
        <v>0</v>
      </c>
      <c r="CJ102" s="459">
        <f t="shared" si="199"/>
        <v>0</v>
      </c>
      <c r="CK102" s="459">
        <f t="shared" si="200"/>
        <v>0</v>
      </c>
      <c r="CL102" s="459">
        <f t="shared" si="201"/>
        <v>0</v>
      </c>
      <c r="CM102" s="459">
        <f t="shared" si="202"/>
        <v>0</v>
      </c>
      <c r="CN102" s="459">
        <f t="shared" si="203"/>
        <v>0</v>
      </c>
      <c r="CO102" s="460">
        <f t="shared" si="204"/>
        <v>0</v>
      </c>
      <c r="CP102" s="463"/>
      <c r="CQ102" s="459">
        <f t="shared" si="129"/>
        <v>0</v>
      </c>
      <c r="CR102" s="459">
        <f t="shared" si="130"/>
        <v>0</v>
      </c>
      <c r="CS102" s="459">
        <f t="shared" si="131"/>
        <v>0</v>
      </c>
      <c r="CT102" s="459">
        <f t="shared" si="132"/>
        <v>0</v>
      </c>
      <c r="CU102" s="459">
        <f t="shared" si="133"/>
        <v>0</v>
      </c>
      <c r="CV102" s="459">
        <f t="shared" si="134"/>
        <v>0</v>
      </c>
      <c r="CW102" s="459">
        <f t="shared" si="135"/>
        <v>0</v>
      </c>
      <c r="CX102" s="459">
        <f t="shared" si="136"/>
        <v>0</v>
      </c>
      <c r="CY102" s="459">
        <f t="shared" si="137"/>
        <v>0</v>
      </c>
      <c r="CZ102" s="459">
        <f t="shared" si="138"/>
        <v>0</v>
      </c>
      <c r="DA102" s="460">
        <f t="shared" si="205"/>
        <v>0</v>
      </c>
      <c r="DB102" s="463"/>
      <c r="DC102" s="459">
        <f t="shared" si="206"/>
        <v>0</v>
      </c>
      <c r="DD102" s="459">
        <f t="shared" si="207"/>
        <v>0</v>
      </c>
      <c r="DE102" s="459">
        <f t="shared" si="208"/>
        <v>0</v>
      </c>
      <c r="DF102" s="459">
        <f t="shared" si="209"/>
        <v>0</v>
      </c>
      <c r="DG102" s="459">
        <f t="shared" si="210"/>
        <v>0</v>
      </c>
      <c r="DH102" s="459">
        <f t="shared" si="211"/>
        <v>0</v>
      </c>
      <c r="DI102" s="459">
        <f t="shared" si="212"/>
        <v>0</v>
      </c>
      <c r="DJ102" s="459">
        <f t="shared" si="213"/>
        <v>0</v>
      </c>
      <c r="DK102" s="459">
        <f t="shared" si="214"/>
        <v>0</v>
      </c>
      <c r="DL102" s="459">
        <f t="shared" si="215"/>
        <v>0</v>
      </c>
      <c r="DM102" s="460">
        <f t="shared" si="216"/>
        <v>0</v>
      </c>
      <c r="DN102" s="463"/>
      <c r="DO102" s="459">
        <f t="shared" si="217"/>
        <v>0</v>
      </c>
      <c r="DP102" s="459">
        <f t="shared" si="217"/>
        <v>0</v>
      </c>
      <c r="DQ102" s="459">
        <f t="shared" si="217"/>
        <v>0</v>
      </c>
      <c r="DR102" s="459">
        <f t="shared" si="217"/>
        <v>0</v>
      </c>
      <c r="DS102" s="459">
        <f t="shared" si="217"/>
        <v>0</v>
      </c>
      <c r="DT102" s="459">
        <f t="shared" si="217"/>
        <v>0</v>
      </c>
      <c r="DU102" s="459">
        <f t="shared" si="217"/>
        <v>0</v>
      </c>
      <c r="DV102" s="459">
        <f t="shared" si="217"/>
        <v>0</v>
      </c>
      <c r="DW102" s="459">
        <f t="shared" si="217"/>
        <v>0</v>
      </c>
      <c r="DX102" s="459">
        <f t="shared" si="217"/>
        <v>0</v>
      </c>
      <c r="DY102" s="460">
        <f t="shared" si="218"/>
        <v>0</v>
      </c>
      <c r="DZ102" s="463"/>
      <c r="EA102" s="459">
        <f t="shared" si="219"/>
        <v>0</v>
      </c>
      <c r="EB102" s="459">
        <f t="shared" si="219"/>
        <v>0</v>
      </c>
      <c r="EC102" s="459">
        <f t="shared" si="219"/>
        <v>0</v>
      </c>
      <c r="ED102" s="459">
        <f t="shared" si="219"/>
        <v>0</v>
      </c>
      <c r="EE102" s="459">
        <f t="shared" si="219"/>
        <v>0</v>
      </c>
      <c r="EF102" s="459">
        <f t="shared" si="219"/>
        <v>0</v>
      </c>
      <c r="EG102" s="459">
        <f t="shared" si="219"/>
        <v>0</v>
      </c>
      <c r="EH102" s="459">
        <f t="shared" si="219"/>
        <v>0</v>
      </c>
      <c r="EI102" s="459">
        <f t="shared" si="219"/>
        <v>0</v>
      </c>
      <c r="EJ102" s="459">
        <f t="shared" si="219"/>
        <v>0</v>
      </c>
      <c r="EK102" s="460">
        <f t="shared" si="220"/>
        <v>0</v>
      </c>
    </row>
    <row r="103" spans="2:141" s="270" customFormat="1" ht="15" customHeight="1" x14ac:dyDescent="0.25">
      <c r="B103" s="464" t="str">
        <f>'2. START'!C$7</f>
        <v>100GEM</v>
      </c>
      <c r="C103" s="470"/>
      <c r="D103" s="593"/>
      <c r="E103" s="527">
        <v>0</v>
      </c>
      <c r="F103" s="527" t="s">
        <v>36</v>
      </c>
      <c r="G103" s="527"/>
      <c r="H103" s="515"/>
      <c r="I103" s="515"/>
      <c r="J103" s="515"/>
      <c r="K103" s="515"/>
      <c r="L103" s="515"/>
      <c r="M103" s="515"/>
      <c r="N103" s="515"/>
      <c r="O103" s="515"/>
      <c r="P103" s="515"/>
      <c r="Q103" s="515"/>
      <c r="R103" s="442">
        <f t="shared" si="108"/>
        <v>0</v>
      </c>
      <c r="S103" s="516">
        <f>IF('2. START'!$C$20="UTB",(SUMIF('3. PARTNER'!B$13:B$80,B103,'3. PARTNER'!M$13:M$80)),(SUMIF('3. PARTNER'!B$13:B$80,B103,'3. PARTNER'!I$13:I$80)))</f>
        <v>0</v>
      </c>
      <c r="T103" s="516">
        <f>IF('2. START'!$C$20="UTB",(SUMIF('3. PARTNER'!B$13:B$80,B103,'3. PARTNER'!N$13:N$80)),(SUMIF('3. PARTNER'!B$13:B$80,B103,'3. PARTNER'!J$13:J$80)))</f>
        <v>0</v>
      </c>
      <c r="U103" s="517">
        <f>IF(F103="NO",0,IF('2. START'!C$13="PERSON+OPERATION",'2. START'!C$12,0)+IF('2. START'!C$13="PERSON+OPERATION+INVEST+FACILIT",'2. START'!C$12,0))</f>
        <v>0</v>
      </c>
      <c r="W103" s="442">
        <f t="shared" si="109"/>
        <v>0</v>
      </c>
      <c r="X103" s="442">
        <f t="shared" si="110"/>
        <v>0</v>
      </c>
      <c r="Y103" s="442">
        <f t="shared" si="111"/>
        <v>0</v>
      </c>
      <c r="Z103" s="442">
        <f t="shared" si="112"/>
        <v>0</v>
      </c>
      <c r="AA103" s="442">
        <f t="shared" si="113"/>
        <v>0</v>
      </c>
      <c r="AB103" s="442">
        <f t="shared" si="114"/>
        <v>0</v>
      </c>
      <c r="AC103" s="442">
        <f t="shared" si="115"/>
        <v>0</v>
      </c>
      <c r="AD103" s="442">
        <f t="shared" si="116"/>
        <v>0</v>
      </c>
      <c r="AE103" s="442">
        <f t="shared" si="117"/>
        <v>0</v>
      </c>
      <c r="AF103" s="442">
        <f t="shared" si="118"/>
        <v>0</v>
      </c>
      <c r="AG103" s="443">
        <f t="shared" si="159"/>
        <v>0</v>
      </c>
      <c r="AI103" s="442">
        <f t="shared" si="119"/>
        <v>0</v>
      </c>
      <c r="AJ103" s="442">
        <f t="shared" si="120"/>
        <v>0</v>
      </c>
      <c r="AK103" s="442">
        <f t="shared" si="121"/>
        <v>0</v>
      </c>
      <c r="AL103" s="442">
        <f t="shared" si="122"/>
        <v>0</v>
      </c>
      <c r="AM103" s="442">
        <f t="shared" si="123"/>
        <v>0</v>
      </c>
      <c r="AN103" s="442">
        <f t="shared" si="124"/>
        <v>0</v>
      </c>
      <c r="AO103" s="442">
        <f t="shared" si="125"/>
        <v>0</v>
      </c>
      <c r="AP103" s="442">
        <f t="shared" si="126"/>
        <v>0</v>
      </c>
      <c r="AQ103" s="442">
        <f t="shared" si="127"/>
        <v>0</v>
      </c>
      <c r="AR103" s="442">
        <f t="shared" si="128"/>
        <v>0</v>
      </c>
      <c r="AS103" s="443">
        <f t="shared" si="160"/>
        <v>0</v>
      </c>
      <c r="AU103" s="442">
        <f t="shared" si="161"/>
        <v>0</v>
      </c>
      <c r="AV103" s="442">
        <f t="shared" si="162"/>
        <v>0</v>
      </c>
      <c r="AW103" s="442">
        <f t="shared" si="163"/>
        <v>0</v>
      </c>
      <c r="AX103" s="442">
        <f t="shared" si="164"/>
        <v>0</v>
      </c>
      <c r="AY103" s="442">
        <f t="shared" si="165"/>
        <v>0</v>
      </c>
      <c r="AZ103" s="442">
        <f t="shared" si="166"/>
        <v>0</v>
      </c>
      <c r="BA103" s="442">
        <f t="shared" si="167"/>
        <v>0</v>
      </c>
      <c r="BB103" s="442">
        <f t="shared" si="168"/>
        <v>0</v>
      </c>
      <c r="BC103" s="442">
        <f t="shared" si="169"/>
        <v>0</v>
      </c>
      <c r="BD103" s="442">
        <f t="shared" si="170"/>
        <v>0</v>
      </c>
      <c r="BE103" s="443">
        <f t="shared" si="171"/>
        <v>0</v>
      </c>
      <c r="BG103" s="442">
        <f t="shared" si="172"/>
        <v>0</v>
      </c>
      <c r="BH103" s="442">
        <f t="shared" si="173"/>
        <v>0</v>
      </c>
      <c r="BI103" s="442">
        <f t="shared" si="174"/>
        <v>0</v>
      </c>
      <c r="BJ103" s="442">
        <f t="shared" si="175"/>
        <v>0</v>
      </c>
      <c r="BK103" s="442">
        <f t="shared" si="176"/>
        <v>0</v>
      </c>
      <c r="BL103" s="442">
        <f t="shared" si="177"/>
        <v>0</v>
      </c>
      <c r="BM103" s="442">
        <f t="shared" si="178"/>
        <v>0</v>
      </c>
      <c r="BN103" s="442">
        <f t="shared" si="179"/>
        <v>0</v>
      </c>
      <c r="BO103" s="442">
        <f t="shared" si="180"/>
        <v>0</v>
      </c>
      <c r="BP103" s="442">
        <f t="shared" si="181"/>
        <v>0</v>
      </c>
      <c r="BQ103" s="443">
        <f t="shared" si="182"/>
        <v>0</v>
      </c>
      <c r="BS103" s="442">
        <f t="shared" si="183"/>
        <v>0</v>
      </c>
      <c r="BT103" s="442">
        <f t="shared" si="184"/>
        <v>0</v>
      </c>
      <c r="BU103" s="442">
        <f t="shared" si="185"/>
        <v>0</v>
      </c>
      <c r="BV103" s="442">
        <f t="shared" si="186"/>
        <v>0</v>
      </c>
      <c r="BW103" s="442">
        <f t="shared" si="187"/>
        <v>0</v>
      </c>
      <c r="BX103" s="442">
        <f t="shared" si="188"/>
        <v>0</v>
      </c>
      <c r="BY103" s="442">
        <f t="shared" si="189"/>
        <v>0</v>
      </c>
      <c r="BZ103" s="442">
        <f t="shared" si="190"/>
        <v>0</v>
      </c>
      <c r="CA103" s="442">
        <f t="shared" si="191"/>
        <v>0</v>
      </c>
      <c r="CB103" s="442">
        <f t="shared" si="192"/>
        <v>0</v>
      </c>
      <c r="CC103" s="443">
        <f t="shared" si="193"/>
        <v>0</v>
      </c>
      <c r="CE103" s="442">
        <f t="shared" si="194"/>
        <v>0</v>
      </c>
      <c r="CF103" s="442">
        <f t="shared" si="195"/>
        <v>0</v>
      </c>
      <c r="CG103" s="442">
        <f t="shared" si="196"/>
        <v>0</v>
      </c>
      <c r="CH103" s="442">
        <f t="shared" si="197"/>
        <v>0</v>
      </c>
      <c r="CI103" s="442">
        <f t="shared" si="198"/>
        <v>0</v>
      </c>
      <c r="CJ103" s="442">
        <f t="shared" si="199"/>
        <v>0</v>
      </c>
      <c r="CK103" s="442">
        <f t="shared" si="200"/>
        <v>0</v>
      </c>
      <c r="CL103" s="442">
        <f t="shared" si="201"/>
        <v>0</v>
      </c>
      <c r="CM103" s="442">
        <f t="shared" si="202"/>
        <v>0</v>
      </c>
      <c r="CN103" s="442">
        <f t="shared" si="203"/>
        <v>0</v>
      </c>
      <c r="CO103" s="443">
        <f t="shared" si="204"/>
        <v>0</v>
      </c>
      <c r="CQ103" s="442">
        <f t="shared" si="129"/>
        <v>0</v>
      </c>
      <c r="CR103" s="442">
        <f t="shared" si="130"/>
        <v>0</v>
      </c>
      <c r="CS103" s="442">
        <f t="shared" si="131"/>
        <v>0</v>
      </c>
      <c r="CT103" s="442">
        <f t="shared" si="132"/>
        <v>0</v>
      </c>
      <c r="CU103" s="442">
        <f t="shared" si="133"/>
        <v>0</v>
      </c>
      <c r="CV103" s="442">
        <f t="shared" si="134"/>
        <v>0</v>
      </c>
      <c r="CW103" s="442">
        <f t="shared" si="135"/>
        <v>0</v>
      </c>
      <c r="CX103" s="442">
        <f t="shared" si="136"/>
        <v>0</v>
      </c>
      <c r="CY103" s="442">
        <f t="shared" si="137"/>
        <v>0</v>
      </c>
      <c r="CZ103" s="442">
        <f t="shared" si="138"/>
        <v>0</v>
      </c>
      <c r="DA103" s="443">
        <f t="shared" si="205"/>
        <v>0</v>
      </c>
      <c r="DC103" s="442">
        <f t="shared" si="206"/>
        <v>0</v>
      </c>
      <c r="DD103" s="442">
        <f t="shared" si="207"/>
        <v>0</v>
      </c>
      <c r="DE103" s="442">
        <f t="shared" si="208"/>
        <v>0</v>
      </c>
      <c r="DF103" s="442">
        <f t="shared" si="209"/>
        <v>0</v>
      </c>
      <c r="DG103" s="442">
        <f t="shared" si="210"/>
        <v>0</v>
      </c>
      <c r="DH103" s="442">
        <f t="shared" si="211"/>
        <v>0</v>
      </c>
      <c r="DI103" s="442">
        <f t="shared" si="212"/>
        <v>0</v>
      </c>
      <c r="DJ103" s="442">
        <f t="shared" si="213"/>
        <v>0</v>
      </c>
      <c r="DK103" s="442">
        <f t="shared" si="214"/>
        <v>0</v>
      </c>
      <c r="DL103" s="442">
        <f t="shared" si="215"/>
        <v>0</v>
      </c>
      <c r="DM103" s="443">
        <f t="shared" si="216"/>
        <v>0</v>
      </c>
      <c r="DO103" s="442">
        <f t="shared" si="217"/>
        <v>0</v>
      </c>
      <c r="DP103" s="442">
        <f t="shared" si="217"/>
        <v>0</v>
      </c>
      <c r="DQ103" s="442">
        <f t="shared" si="217"/>
        <v>0</v>
      </c>
      <c r="DR103" s="442">
        <f t="shared" si="217"/>
        <v>0</v>
      </c>
      <c r="DS103" s="442">
        <f t="shared" si="217"/>
        <v>0</v>
      </c>
      <c r="DT103" s="442">
        <f t="shared" si="217"/>
        <v>0</v>
      </c>
      <c r="DU103" s="442">
        <f t="shared" si="217"/>
        <v>0</v>
      </c>
      <c r="DV103" s="442">
        <f t="shared" si="217"/>
        <v>0</v>
      </c>
      <c r="DW103" s="442">
        <f t="shared" si="217"/>
        <v>0</v>
      </c>
      <c r="DX103" s="442">
        <f t="shared" si="217"/>
        <v>0</v>
      </c>
      <c r="DY103" s="443">
        <f t="shared" si="218"/>
        <v>0</v>
      </c>
      <c r="EA103" s="442">
        <f t="shared" si="219"/>
        <v>0</v>
      </c>
      <c r="EB103" s="442">
        <f t="shared" si="219"/>
        <v>0</v>
      </c>
      <c r="EC103" s="442">
        <f t="shared" si="219"/>
        <v>0</v>
      </c>
      <c r="ED103" s="442">
        <f t="shared" si="219"/>
        <v>0</v>
      </c>
      <c r="EE103" s="442">
        <f t="shared" si="219"/>
        <v>0</v>
      </c>
      <c r="EF103" s="442">
        <f t="shared" si="219"/>
        <v>0</v>
      </c>
      <c r="EG103" s="442">
        <f t="shared" si="219"/>
        <v>0</v>
      </c>
      <c r="EH103" s="442">
        <f t="shared" si="219"/>
        <v>0</v>
      </c>
      <c r="EI103" s="442">
        <f t="shared" si="219"/>
        <v>0</v>
      </c>
      <c r="EJ103" s="442">
        <f t="shared" si="219"/>
        <v>0</v>
      </c>
      <c r="EK103" s="443">
        <f t="shared" si="220"/>
        <v>0</v>
      </c>
    </row>
    <row r="104" spans="2:141" s="268" customFormat="1" ht="15" customHeight="1" x14ac:dyDescent="0.25">
      <c r="B104" s="446" t="str">
        <f>'2. START'!C$7</f>
        <v>100GEM</v>
      </c>
      <c r="C104" s="469"/>
      <c r="D104" s="594"/>
      <c r="E104" s="522">
        <v>0</v>
      </c>
      <c r="F104" s="522" t="s">
        <v>36</v>
      </c>
      <c r="G104" s="522"/>
      <c r="H104" s="523"/>
      <c r="I104" s="523"/>
      <c r="J104" s="523"/>
      <c r="K104" s="523"/>
      <c r="L104" s="523"/>
      <c r="M104" s="523"/>
      <c r="N104" s="523"/>
      <c r="O104" s="523"/>
      <c r="P104" s="523"/>
      <c r="Q104" s="523"/>
      <c r="R104" s="459">
        <f t="shared" si="108"/>
        <v>0</v>
      </c>
      <c r="S104" s="524">
        <f>IF('2. START'!$C$20="UTB",(SUMIF('3. PARTNER'!B$13:B$80,B104,'3. PARTNER'!M$13:M$80)),(SUMIF('3. PARTNER'!B$13:B$80,B104,'3. PARTNER'!I$13:I$80)))</f>
        <v>0</v>
      </c>
      <c r="T104" s="524">
        <f>IF('2. START'!$C$20="UTB",(SUMIF('3. PARTNER'!B$13:B$80,B104,'3. PARTNER'!N$13:N$80)),(SUMIF('3. PARTNER'!B$13:B$80,B104,'3. PARTNER'!J$13:J$80)))</f>
        <v>0</v>
      </c>
      <c r="U104" s="454">
        <f>IF(F104="NO",0,IF('2. START'!C$13="PERSON+OPERATION",'2. START'!C$12,0)+IF('2. START'!C$13="PERSON+OPERATION+INVEST+FACILIT",'2. START'!C$12,0))</f>
        <v>0</v>
      </c>
      <c r="V104" s="463"/>
      <c r="W104" s="459">
        <f t="shared" si="109"/>
        <v>0</v>
      </c>
      <c r="X104" s="459">
        <f t="shared" si="110"/>
        <v>0</v>
      </c>
      <c r="Y104" s="459">
        <f t="shared" si="111"/>
        <v>0</v>
      </c>
      <c r="Z104" s="459">
        <f t="shared" si="112"/>
        <v>0</v>
      </c>
      <c r="AA104" s="459">
        <f t="shared" si="113"/>
        <v>0</v>
      </c>
      <c r="AB104" s="459">
        <f t="shared" si="114"/>
        <v>0</v>
      </c>
      <c r="AC104" s="459">
        <f t="shared" si="115"/>
        <v>0</v>
      </c>
      <c r="AD104" s="459">
        <f t="shared" si="116"/>
        <v>0</v>
      </c>
      <c r="AE104" s="459">
        <f t="shared" si="117"/>
        <v>0</v>
      </c>
      <c r="AF104" s="459">
        <f t="shared" si="118"/>
        <v>0</v>
      </c>
      <c r="AG104" s="460">
        <f t="shared" si="159"/>
        <v>0</v>
      </c>
      <c r="AH104" s="463"/>
      <c r="AI104" s="459">
        <f t="shared" si="119"/>
        <v>0</v>
      </c>
      <c r="AJ104" s="459">
        <f t="shared" si="120"/>
        <v>0</v>
      </c>
      <c r="AK104" s="459">
        <f t="shared" si="121"/>
        <v>0</v>
      </c>
      <c r="AL104" s="459">
        <f t="shared" si="122"/>
        <v>0</v>
      </c>
      <c r="AM104" s="459">
        <f t="shared" si="123"/>
        <v>0</v>
      </c>
      <c r="AN104" s="459">
        <f t="shared" si="124"/>
        <v>0</v>
      </c>
      <c r="AO104" s="459">
        <f t="shared" si="125"/>
        <v>0</v>
      </c>
      <c r="AP104" s="459">
        <f t="shared" si="126"/>
        <v>0</v>
      </c>
      <c r="AQ104" s="459">
        <f t="shared" si="127"/>
        <v>0</v>
      </c>
      <c r="AR104" s="459">
        <f t="shared" si="128"/>
        <v>0</v>
      </c>
      <c r="AS104" s="460">
        <f t="shared" si="160"/>
        <v>0</v>
      </c>
      <c r="AT104" s="463"/>
      <c r="AU104" s="459">
        <f t="shared" si="161"/>
        <v>0</v>
      </c>
      <c r="AV104" s="459">
        <f t="shared" si="162"/>
        <v>0</v>
      </c>
      <c r="AW104" s="459">
        <f t="shared" si="163"/>
        <v>0</v>
      </c>
      <c r="AX104" s="459">
        <f t="shared" si="164"/>
        <v>0</v>
      </c>
      <c r="AY104" s="459">
        <f t="shared" si="165"/>
        <v>0</v>
      </c>
      <c r="AZ104" s="459">
        <f t="shared" si="166"/>
        <v>0</v>
      </c>
      <c r="BA104" s="459">
        <f t="shared" si="167"/>
        <v>0</v>
      </c>
      <c r="BB104" s="459">
        <f t="shared" si="168"/>
        <v>0</v>
      </c>
      <c r="BC104" s="459">
        <f t="shared" si="169"/>
        <v>0</v>
      </c>
      <c r="BD104" s="459">
        <f t="shared" si="170"/>
        <v>0</v>
      </c>
      <c r="BE104" s="460">
        <f t="shared" si="171"/>
        <v>0</v>
      </c>
      <c r="BF104" s="463"/>
      <c r="BG104" s="459">
        <f t="shared" si="172"/>
        <v>0</v>
      </c>
      <c r="BH104" s="459">
        <f t="shared" si="173"/>
        <v>0</v>
      </c>
      <c r="BI104" s="459">
        <f t="shared" si="174"/>
        <v>0</v>
      </c>
      <c r="BJ104" s="459">
        <f t="shared" si="175"/>
        <v>0</v>
      </c>
      <c r="BK104" s="459">
        <f t="shared" si="176"/>
        <v>0</v>
      </c>
      <c r="BL104" s="459">
        <f t="shared" si="177"/>
        <v>0</v>
      </c>
      <c r="BM104" s="459">
        <f t="shared" si="178"/>
        <v>0</v>
      </c>
      <c r="BN104" s="459">
        <f t="shared" si="179"/>
        <v>0</v>
      </c>
      <c r="BO104" s="459">
        <f t="shared" si="180"/>
        <v>0</v>
      </c>
      <c r="BP104" s="459">
        <f t="shared" si="181"/>
        <v>0</v>
      </c>
      <c r="BQ104" s="460">
        <f t="shared" si="182"/>
        <v>0</v>
      </c>
      <c r="BR104" s="463"/>
      <c r="BS104" s="459">
        <f t="shared" si="183"/>
        <v>0</v>
      </c>
      <c r="BT104" s="459">
        <f t="shared" si="184"/>
        <v>0</v>
      </c>
      <c r="BU104" s="459">
        <f t="shared" si="185"/>
        <v>0</v>
      </c>
      <c r="BV104" s="459">
        <f t="shared" si="186"/>
        <v>0</v>
      </c>
      <c r="BW104" s="459">
        <f t="shared" si="187"/>
        <v>0</v>
      </c>
      <c r="BX104" s="459">
        <f t="shared" si="188"/>
        <v>0</v>
      </c>
      <c r="BY104" s="459">
        <f t="shared" si="189"/>
        <v>0</v>
      </c>
      <c r="BZ104" s="459">
        <f t="shared" si="190"/>
        <v>0</v>
      </c>
      <c r="CA104" s="459">
        <f t="shared" si="191"/>
        <v>0</v>
      </c>
      <c r="CB104" s="459">
        <f t="shared" si="192"/>
        <v>0</v>
      </c>
      <c r="CC104" s="460">
        <f t="shared" si="193"/>
        <v>0</v>
      </c>
      <c r="CD104" s="463"/>
      <c r="CE104" s="459">
        <f t="shared" si="194"/>
        <v>0</v>
      </c>
      <c r="CF104" s="459">
        <f t="shared" si="195"/>
        <v>0</v>
      </c>
      <c r="CG104" s="459">
        <f t="shared" si="196"/>
        <v>0</v>
      </c>
      <c r="CH104" s="459">
        <f t="shared" si="197"/>
        <v>0</v>
      </c>
      <c r="CI104" s="459">
        <f t="shared" si="198"/>
        <v>0</v>
      </c>
      <c r="CJ104" s="459">
        <f t="shared" si="199"/>
        <v>0</v>
      </c>
      <c r="CK104" s="459">
        <f t="shared" si="200"/>
        <v>0</v>
      </c>
      <c r="CL104" s="459">
        <f t="shared" si="201"/>
        <v>0</v>
      </c>
      <c r="CM104" s="459">
        <f t="shared" si="202"/>
        <v>0</v>
      </c>
      <c r="CN104" s="459">
        <f t="shared" si="203"/>
        <v>0</v>
      </c>
      <c r="CO104" s="460">
        <f t="shared" si="204"/>
        <v>0</v>
      </c>
      <c r="CP104" s="463"/>
      <c r="CQ104" s="459">
        <f t="shared" si="129"/>
        <v>0</v>
      </c>
      <c r="CR104" s="459">
        <f t="shared" si="130"/>
        <v>0</v>
      </c>
      <c r="CS104" s="459">
        <f t="shared" si="131"/>
        <v>0</v>
      </c>
      <c r="CT104" s="459">
        <f t="shared" si="132"/>
        <v>0</v>
      </c>
      <c r="CU104" s="459">
        <f t="shared" si="133"/>
        <v>0</v>
      </c>
      <c r="CV104" s="459">
        <f t="shared" si="134"/>
        <v>0</v>
      </c>
      <c r="CW104" s="459">
        <f t="shared" si="135"/>
        <v>0</v>
      </c>
      <c r="CX104" s="459">
        <f t="shared" si="136"/>
        <v>0</v>
      </c>
      <c r="CY104" s="459">
        <f t="shared" si="137"/>
        <v>0</v>
      </c>
      <c r="CZ104" s="459">
        <f t="shared" si="138"/>
        <v>0</v>
      </c>
      <c r="DA104" s="460">
        <f t="shared" si="205"/>
        <v>0</v>
      </c>
      <c r="DB104" s="463"/>
      <c r="DC104" s="459">
        <f t="shared" si="206"/>
        <v>0</v>
      </c>
      <c r="DD104" s="459">
        <f t="shared" si="207"/>
        <v>0</v>
      </c>
      <c r="DE104" s="459">
        <f t="shared" si="208"/>
        <v>0</v>
      </c>
      <c r="DF104" s="459">
        <f t="shared" si="209"/>
        <v>0</v>
      </c>
      <c r="DG104" s="459">
        <f t="shared" si="210"/>
        <v>0</v>
      </c>
      <c r="DH104" s="459">
        <f t="shared" si="211"/>
        <v>0</v>
      </c>
      <c r="DI104" s="459">
        <f t="shared" si="212"/>
        <v>0</v>
      </c>
      <c r="DJ104" s="459">
        <f t="shared" si="213"/>
        <v>0</v>
      </c>
      <c r="DK104" s="459">
        <f t="shared" si="214"/>
        <v>0</v>
      </c>
      <c r="DL104" s="459">
        <f t="shared" si="215"/>
        <v>0</v>
      </c>
      <c r="DM104" s="460">
        <f t="shared" si="216"/>
        <v>0</v>
      </c>
      <c r="DN104" s="463"/>
      <c r="DO104" s="459">
        <f t="shared" si="217"/>
        <v>0</v>
      </c>
      <c r="DP104" s="459">
        <f t="shared" si="217"/>
        <v>0</v>
      </c>
      <c r="DQ104" s="459">
        <f t="shared" si="217"/>
        <v>0</v>
      </c>
      <c r="DR104" s="459">
        <f t="shared" si="217"/>
        <v>0</v>
      </c>
      <c r="DS104" s="459">
        <f t="shared" si="217"/>
        <v>0</v>
      </c>
      <c r="DT104" s="459">
        <f t="shared" si="217"/>
        <v>0</v>
      </c>
      <c r="DU104" s="459">
        <f t="shared" si="217"/>
        <v>0</v>
      </c>
      <c r="DV104" s="459">
        <f t="shared" si="217"/>
        <v>0</v>
      </c>
      <c r="DW104" s="459">
        <f t="shared" si="217"/>
        <v>0</v>
      </c>
      <c r="DX104" s="459">
        <f t="shared" si="217"/>
        <v>0</v>
      </c>
      <c r="DY104" s="460">
        <f t="shared" si="218"/>
        <v>0</v>
      </c>
      <c r="DZ104" s="463"/>
      <c r="EA104" s="459">
        <f t="shared" si="219"/>
        <v>0</v>
      </c>
      <c r="EB104" s="459">
        <f t="shared" si="219"/>
        <v>0</v>
      </c>
      <c r="EC104" s="459">
        <f t="shared" si="219"/>
        <v>0</v>
      </c>
      <c r="ED104" s="459">
        <f t="shared" si="219"/>
        <v>0</v>
      </c>
      <c r="EE104" s="459">
        <f t="shared" si="219"/>
        <v>0</v>
      </c>
      <c r="EF104" s="459">
        <f t="shared" si="219"/>
        <v>0</v>
      </c>
      <c r="EG104" s="459">
        <f t="shared" si="219"/>
        <v>0</v>
      </c>
      <c r="EH104" s="459">
        <f t="shared" si="219"/>
        <v>0</v>
      </c>
      <c r="EI104" s="459">
        <f t="shared" si="219"/>
        <v>0</v>
      </c>
      <c r="EJ104" s="459">
        <f t="shared" si="219"/>
        <v>0</v>
      </c>
      <c r="EK104" s="460">
        <f t="shared" si="220"/>
        <v>0</v>
      </c>
    </row>
    <row r="105" spans="2:141" s="270" customFormat="1" ht="15" customHeight="1" x14ac:dyDescent="0.25">
      <c r="B105" s="464" t="str">
        <f>'2. START'!C$7</f>
        <v>100GEM</v>
      </c>
      <c r="C105" s="470"/>
      <c r="D105" s="593"/>
      <c r="E105" s="527">
        <v>0</v>
      </c>
      <c r="F105" s="527" t="s">
        <v>36</v>
      </c>
      <c r="G105" s="527"/>
      <c r="H105" s="515"/>
      <c r="I105" s="515"/>
      <c r="J105" s="515"/>
      <c r="K105" s="515"/>
      <c r="L105" s="515"/>
      <c r="M105" s="515"/>
      <c r="N105" s="515"/>
      <c r="O105" s="515"/>
      <c r="P105" s="515"/>
      <c r="Q105" s="515"/>
      <c r="R105" s="442">
        <f t="shared" si="108"/>
        <v>0</v>
      </c>
      <c r="S105" s="516">
        <f>IF('2. START'!$C$20="UTB",(SUMIF('3. PARTNER'!B$13:B$80,B105,'3. PARTNER'!M$13:M$80)),(SUMIF('3. PARTNER'!B$13:B$80,B105,'3. PARTNER'!I$13:I$80)))</f>
        <v>0</v>
      </c>
      <c r="T105" s="516">
        <f>IF('2. START'!$C$20="UTB",(SUMIF('3. PARTNER'!B$13:B$80,B105,'3. PARTNER'!N$13:N$80)),(SUMIF('3. PARTNER'!B$13:B$80,B105,'3. PARTNER'!J$13:J$80)))</f>
        <v>0</v>
      </c>
      <c r="U105" s="517">
        <f>IF(F105="NO",0,IF('2. START'!C$13="PERSON+OPERATION",'2. START'!C$12,0)+IF('2. START'!C$13="PERSON+OPERATION+INVEST+FACILIT",'2. START'!C$12,0))</f>
        <v>0</v>
      </c>
      <c r="W105" s="442">
        <f t="shared" si="109"/>
        <v>0</v>
      </c>
      <c r="X105" s="442">
        <f t="shared" si="110"/>
        <v>0</v>
      </c>
      <c r="Y105" s="442">
        <f t="shared" si="111"/>
        <v>0</v>
      </c>
      <c r="Z105" s="442">
        <f t="shared" si="112"/>
        <v>0</v>
      </c>
      <c r="AA105" s="442">
        <f t="shared" si="113"/>
        <v>0</v>
      </c>
      <c r="AB105" s="442">
        <f t="shared" si="114"/>
        <v>0</v>
      </c>
      <c r="AC105" s="442">
        <f t="shared" si="115"/>
        <v>0</v>
      </c>
      <c r="AD105" s="442">
        <f t="shared" si="116"/>
        <v>0</v>
      </c>
      <c r="AE105" s="442">
        <f t="shared" si="117"/>
        <v>0</v>
      </c>
      <c r="AF105" s="442">
        <f t="shared" si="118"/>
        <v>0</v>
      </c>
      <c r="AG105" s="443">
        <f t="shared" si="159"/>
        <v>0</v>
      </c>
      <c r="AI105" s="442">
        <f t="shared" si="119"/>
        <v>0</v>
      </c>
      <c r="AJ105" s="442">
        <f t="shared" si="120"/>
        <v>0</v>
      </c>
      <c r="AK105" s="442">
        <f t="shared" si="121"/>
        <v>0</v>
      </c>
      <c r="AL105" s="442">
        <f t="shared" si="122"/>
        <v>0</v>
      </c>
      <c r="AM105" s="442">
        <f t="shared" si="123"/>
        <v>0</v>
      </c>
      <c r="AN105" s="442">
        <f t="shared" si="124"/>
        <v>0</v>
      </c>
      <c r="AO105" s="442">
        <f t="shared" si="125"/>
        <v>0</v>
      </c>
      <c r="AP105" s="442">
        <f t="shared" si="126"/>
        <v>0</v>
      </c>
      <c r="AQ105" s="442">
        <f t="shared" si="127"/>
        <v>0</v>
      </c>
      <c r="AR105" s="442">
        <f t="shared" si="128"/>
        <v>0</v>
      </c>
      <c r="AS105" s="443">
        <f t="shared" si="160"/>
        <v>0</v>
      </c>
      <c r="AU105" s="442">
        <f t="shared" si="161"/>
        <v>0</v>
      </c>
      <c r="AV105" s="442">
        <f t="shared" si="162"/>
        <v>0</v>
      </c>
      <c r="AW105" s="442">
        <f t="shared" si="163"/>
        <v>0</v>
      </c>
      <c r="AX105" s="442">
        <f t="shared" si="164"/>
        <v>0</v>
      </c>
      <c r="AY105" s="442">
        <f t="shared" si="165"/>
        <v>0</v>
      </c>
      <c r="AZ105" s="442">
        <f t="shared" si="166"/>
        <v>0</v>
      </c>
      <c r="BA105" s="442">
        <f t="shared" si="167"/>
        <v>0</v>
      </c>
      <c r="BB105" s="442">
        <f t="shared" si="168"/>
        <v>0</v>
      </c>
      <c r="BC105" s="442">
        <f t="shared" si="169"/>
        <v>0</v>
      </c>
      <c r="BD105" s="442">
        <f t="shared" si="170"/>
        <v>0</v>
      </c>
      <c r="BE105" s="443">
        <f t="shared" si="171"/>
        <v>0</v>
      </c>
      <c r="BG105" s="442">
        <f t="shared" si="172"/>
        <v>0</v>
      </c>
      <c r="BH105" s="442">
        <f t="shared" si="173"/>
        <v>0</v>
      </c>
      <c r="BI105" s="442">
        <f t="shared" si="174"/>
        <v>0</v>
      </c>
      <c r="BJ105" s="442">
        <f t="shared" si="175"/>
        <v>0</v>
      </c>
      <c r="BK105" s="442">
        <f t="shared" si="176"/>
        <v>0</v>
      </c>
      <c r="BL105" s="442">
        <f t="shared" si="177"/>
        <v>0</v>
      </c>
      <c r="BM105" s="442">
        <f t="shared" si="178"/>
        <v>0</v>
      </c>
      <c r="BN105" s="442">
        <f t="shared" si="179"/>
        <v>0</v>
      </c>
      <c r="BO105" s="442">
        <f t="shared" si="180"/>
        <v>0</v>
      </c>
      <c r="BP105" s="442">
        <f t="shared" si="181"/>
        <v>0</v>
      </c>
      <c r="BQ105" s="443">
        <f t="shared" si="182"/>
        <v>0</v>
      </c>
      <c r="BS105" s="442">
        <f t="shared" si="183"/>
        <v>0</v>
      </c>
      <c r="BT105" s="442">
        <f t="shared" si="184"/>
        <v>0</v>
      </c>
      <c r="BU105" s="442">
        <f t="shared" si="185"/>
        <v>0</v>
      </c>
      <c r="BV105" s="442">
        <f t="shared" si="186"/>
        <v>0</v>
      </c>
      <c r="BW105" s="442">
        <f t="shared" si="187"/>
        <v>0</v>
      </c>
      <c r="BX105" s="442">
        <f t="shared" si="188"/>
        <v>0</v>
      </c>
      <c r="BY105" s="442">
        <f t="shared" si="189"/>
        <v>0</v>
      </c>
      <c r="BZ105" s="442">
        <f t="shared" si="190"/>
        <v>0</v>
      </c>
      <c r="CA105" s="442">
        <f t="shared" si="191"/>
        <v>0</v>
      </c>
      <c r="CB105" s="442">
        <f t="shared" si="192"/>
        <v>0</v>
      </c>
      <c r="CC105" s="443">
        <f t="shared" si="193"/>
        <v>0</v>
      </c>
      <c r="CE105" s="442">
        <f t="shared" si="194"/>
        <v>0</v>
      </c>
      <c r="CF105" s="442">
        <f t="shared" si="195"/>
        <v>0</v>
      </c>
      <c r="CG105" s="442">
        <f t="shared" si="196"/>
        <v>0</v>
      </c>
      <c r="CH105" s="442">
        <f t="shared" si="197"/>
        <v>0</v>
      </c>
      <c r="CI105" s="442">
        <f t="shared" si="198"/>
        <v>0</v>
      </c>
      <c r="CJ105" s="442">
        <f t="shared" si="199"/>
        <v>0</v>
      </c>
      <c r="CK105" s="442">
        <f t="shared" si="200"/>
        <v>0</v>
      </c>
      <c r="CL105" s="442">
        <f t="shared" si="201"/>
        <v>0</v>
      </c>
      <c r="CM105" s="442">
        <f t="shared" si="202"/>
        <v>0</v>
      </c>
      <c r="CN105" s="442">
        <f t="shared" si="203"/>
        <v>0</v>
      </c>
      <c r="CO105" s="443">
        <f t="shared" si="204"/>
        <v>0</v>
      </c>
      <c r="CQ105" s="442">
        <f t="shared" si="129"/>
        <v>0</v>
      </c>
      <c r="CR105" s="442">
        <f t="shared" si="130"/>
        <v>0</v>
      </c>
      <c r="CS105" s="442">
        <f t="shared" si="131"/>
        <v>0</v>
      </c>
      <c r="CT105" s="442">
        <f t="shared" si="132"/>
        <v>0</v>
      </c>
      <c r="CU105" s="442">
        <f t="shared" si="133"/>
        <v>0</v>
      </c>
      <c r="CV105" s="442">
        <f t="shared" si="134"/>
        <v>0</v>
      </c>
      <c r="CW105" s="442">
        <f t="shared" si="135"/>
        <v>0</v>
      </c>
      <c r="CX105" s="442">
        <f t="shared" si="136"/>
        <v>0</v>
      </c>
      <c r="CY105" s="442">
        <f t="shared" si="137"/>
        <v>0</v>
      </c>
      <c r="CZ105" s="442">
        <f t="shared" si="138"/>
        <v>0</v>
      </c>
      <c r="DA105" s="443">
        <f t="shared" si="205"/>
        <v>0</v>
      </c>
      <c r="DC105" s="442">
        <f t="shared" si="206"/>
        <v>0</v>
      </c>
      <c r="DD105" s="442">
        <f t="shared" si="207"/>
        <v>0</v>
      </c>
      <c r="DE105" s="442">
        <f t="shared" si="208"/>
        <v>0</v>
      </c>
      <c r="DF105" s="442">
        <f t="shared" si="209"/>
        <v>0</v>
      </c>
      <c r="DG105" s="442">
        <f t="shared" si="210"/>
        <v>0</v>
      </c>
      <c r="DH105" s="442">
        <f t="shared" si="211"/>
        <v>0</v>
      </c>
      <c r="DI105" s="442">
        <f t="shared" si="212"/>
        <v>0</v>
      </c>
      <c r="DJ105" s="442">
        <f t="shared" si="213"/>
        <v>0</v>
      </c>
      <c r="DK105" s="442">
        <f t="shared" si="214"/>
        <v>0</v>
      </c>
      <c r="DL105" s="442">
        <f t="shared" si="215"/>
        <v>0</v>
      </c>
      <c r="DM105" s="443">
        <f t="shared" si="216"/>
        <v>0</v>
      </c>
      <c r="DO105" s="442">
        <f t="shared" si="217"/>
        <v>0</v>
      </c>
      <c r="DP105" s="442">
        <f t="shared" si="217"/>
        <v>0</v>
      </c>
      <c r="DQ105" s="442">
        <f t="shared" si="217"/>
        <v>0</v>
      </c>
      <c r="DR105" s="442">
        <f t="shared" si="217"/>
        <v>0</v>
      </c>
      <c r="DS105" s="442">
        <f t="shared" si="217"/>
        <v>0</v>
      </c>
      <c r="DT105" s="442">
        <f t="shared" si="217"/>
        <v>0</v>
      </c>
      <c r="DU105" s="442">
        <f t="shared" si="217"/>
        <v>0</v>
      </c>
      <c r="DV105" s="442">
        <f t="shared" si="217"/>
        <v>0</v>
      </c>
      <c r="DW105" s="442">
        <f t="shared" si="217"/>
        <v>0</v>
      </c>
      <c r="DX105" s="442">
        <f t="shared" si="217"/>
        <v>0</v>
      </c>
      <c r="DY105" s="443">
        <f t="shared" si="218"/>
        <v>0</v>
      </c>
      <c r="EA105" s="442">
        <f t="shared" si="219"/>
        <v>0</v>
      </c>
      <c r="EB105" s="442">
        <f t="shared" si="219"/>
        <v>0</v>
      </c>
      <c r="EC105" s="442">
        <f t="shared" si="219"/>
        <v>0</v>
      </c>
      <c r="ED105" s="442">
        <f t="shared" si="219"/>
        <v>0</v>
      </c>
      <c r="EE105" s="442">
        <f t="shared" si="219"/>
        <v>0</v>
      </c>
      <c r="EF105" s="442">
        <f t="shared" si="219"/>
        <v>0</v>
      </c>
      <c r="EG105" s="442">
        <f t="shared" si="219"/>
        <v>0</v>
      </c>
      <c r="EH105" s="442">
        <f t="shared" si="219"/>
        <v>0</v>
      </c>
      <c r="EI105" s="442">
        <f t="shared" si="219"/>
        <v>0</v>
      </c>
      <c r="EJ105" s="442">
        <f t="shared" si="219"/>
        <v>0</v>
      </c>
      <c r="EK105" s="443">
        <f t="shared" si="220"/>
        <v>0</v>
      </c>
    </row>
    <row r="106" spans="2:141" s="268" customFormat="1" ht="15" customHeight="1" x14ac:dyDescent="0.25">
      <c r="B106" s="446" t="str">
        <f>'2. START'!C$7</f>
        <v>100GEM</v>
      </c>
      <c r="C106" s="469"/>
      <c r="D106" s="594"/>
      <c r="E106" s="522">
        <v>0</v>
      </c>
      <c r="F106" s="522" t="s">
        <v>36</v>
      </c>
      <c r="G106" s="522"/>
      <c r="H106" s="523"/>
      <c r="I106" s="523"/>
      <c r="J106" s="523"/>
      <c r="K106" s="523"/>
      <c r="L106" s="523"/>
      <c r="M106" s="523"/>
      <c r="N106" s="523"/>
      <c r="O106" s="523"/>
      <c r="P106" s="523"/>
      <c r="Q106" s="523"/>
      <c r="R106" s="459">
        <f t="shared" si="108"/>
        <v>0</v>
      </c>
      <c r="S106" s="524">
        <f>IF('2. START'!$C$20="UTB",(SUMIF('3. PARTNER'!B$13:B$80,B106,'3. PARTNER'!M$13:M$80)),(SUMIF('3. PARTNER'!B$13:B$80,B106,'3. PARTNER'!I$13:I$80)))</f>
        <v>0</v>
      </c>
      <c r="T106" s="524">
        <f>IF('2. START'!$C$20="UTB",(SUMIF('3. PARTNER'!B$13:B$80,B106,'3. PARTNER'!N$13:N$80)),(SUMIF('3. PARTNER'!B$13:B$80,B106,'3. PARTNER'!J$13:J$80)))</f>
        <v>0</v>
      </c>
      <c r="U106" s="454">
        <f>IF(F106="NO",0,IF('2. START'!C$13="PERSON+OPERATION",'2. START'!C$12,0)+IF('2. START'!C$13="PERSON+OPERATION+INVEST+FACILIT",'2. START'!C$12,0))</f>
        <v>0</v>
      </c>
      <c r="V106" s="463"/>
      <c r="W106" s="459">
        <f t="shared" si="109"/>
        <v>0</v>
      </c>
      <c r="X106" s="459">
        <f t="shared" si="110"/>
        <v>0</v>
      </c>
      <c r="Y106" s="459">
        <f t="shared" si="111"/>
        <v>0</v>
      </c>
      <c r="Z106" s="459">
        <f t="shared" si="112"/>
        <v>0</v>
      </c>
      <c r="AA106" s="459">
        <f t="shared" si="113"/>
        <v>0</v>
      </c>
      <c r="AB106" s="459">
        <f t="shared" si="114"/>
        <v>0</v>
      </c>
      <c r="AC106" s="459">
        <f t="shared" si="115"/>
        <v>0</v>
      </c>
      <c r="AD106" s="459">
        <f t="shared" si="116"/>
        <v>0</v>
      </c>
      <c r="AE106" s="459">
        <f t="shared" si="117"/>
        <v>0</v>
      </c>
      <c r="AF106" s="459">
        <f t="shared" si="118"/>
        <v>0</v>
      </c>
      <c r="AG106" s="460">
        <f t="shared" si="159"/>
        <v>0</v>
      </c>
      <c r="AH106" s="463"/>
      <c r="AI106" s="459">
        <f t="shared" si="119"/>
        <v>0</v>
      </c>
      <c r="AJ106" s="459">
        <f t="shared" si="120"/>
        <v>0</v>
      </c>
      <c r="AK106" s="459">
        <f t="shared" si="121"/>
        <v>0</v>
      </c>
      <c r="AL106" s="459">
        <f t="shared" si="122"/>
        <v>0</v>
      </c>
      <c r="AM106" s="459">
        <f t="shared" si="123"/>
        <v>0</v>
      </c>
      <c r="AN106" s="459">
        <f t="shared" si="124"/>
        <v>0</v>
      </c>
      <c r="AO106" s="459">
        <f t="shared" si="125"/>
        <v>0</v>
      </c>
      <c r="AP106" s="459">
        <f t="shared" si="126"/>
        <v>0</v>
      </c>
      <c r="AQ106" s="459">
        <f t="shared" si="127"/>
        <v>0</v>
      </c>
      <c r="AR106" s="459">
        <f t="shared" si="128"/>
        <v>0</v>
      </c>
      <c r="AS106" s="460">
        <f t="shared" si="160"/>
        <v>0</v>
      </c>
      <c r="AT106" s="463"/>
      <c r="AU106" s="459">
        <f t="shared" si="161"/>
        <v>0</v>
      </c>
      <c r="AV106" s="459">
        <f t="shared" si="162"/>
        <v>0</v>
      </c>
      <c r="AW106" s="459">
        <f t="shared" si="163"/>
        <v>0</v>
      </c>
      <c r="AX106" s="459">
        <f t="shared" si="164"/>
        <v>0</v>
      </c>
      <c r="AY106" s="459">
        <f t="shared" si="165"/>
        <v>0</v>
      </c>
      <c r="AZ106" s="459">
        <f t="shared" si="166"/>
        <v>0</v>
      </c>
      <c r="BA106" s="459">
        <f t="shared" si="167"/>
        <v>0</v>
      </c>
      <c r="BB106" s="459">
        <f t="shared" si="168"/>
        <v>0</v>
      </c>
      <c r="BC106" s="459">
        <f t="shared" si="169"/>
        <v>0</v>
      </c>
      <c r="BD106" s="459">
        <f t="shared" si="170"/>
        <v>0</v>
      </c>
      <c r="BE106" s="460">
        <f t="shared" si="171"/>
        <v>0</v>
      </c>
      <c r="BF106" s="463"/>
      <c r="BG106" s="459">
        <f t="shared" si="172"/>
        <v>0</v>
      </c>
      <c r="BH106" s="459">
        <f t="shared" si="173"/>
        <v>0</v>
      </c>
      <c r="BI106" s="459">
        <f t="shared" si="174"/>
        <v>0</v>
      </c>
      <c r="BJ106" s="459">
        <f t="shared" si="175"/>
        <v>0</v>
      </c>
      <c r="BK106" s="459">
        <f t="shared" si="176"/>
        <v>0</v>
      </c>
      <c r="BL106" s="459">
        <f t="shared" si="177"/>
        <v>0</v>
      </c>
      <c r="BM106" s="459">
        <f t="shared" si="178"/>
        <v>0</v>
      </c>
      <c r="BN106" s="459">
        <f t="shared" si="179"/>
        <v>0</v>
      </c>
      <c r="BO106" s="459">
        <f t="shared" si="180"/>
        <v>0</v>
      </c>
      <c r="BP106" s="459">
        <f t="shared" si="181"/>
        <v>0</v>
      </c>
      <c r="BQ106" s="460">
        <f t="shared" si="182"/>
        <v>0</v>
      </c>
      <c r="BR106" s="463"/>
      <c r="BS106" s="459">
        <f t="shared" si="183"/>
        <v>0</v>
      </c>
      <c r="BT106" s="459">
        <f t="shared" si="184"/>
        <v>0</v>
      </c>
      <c r="BU106" s="459">
        <f t="shared" si="185"/>
        <v>0</v>
      </c>
      <c r="BV106" s="459">
        <f t="shared" si="186"/>
        <v>0</v>
      </c>
      <c r="BW106" s="459">
        <f t="shared" si="187"/>
        <v>0</v>
      </c>
      <c r="BX106" s="459">
        <f t="shared" si="188"/>
        <v>0</v>
      </c>
      <c r="BY106" s="459">
        <f t="shared" si="189"/>
        <v>0</v>
      </c>
      <c r="BZ106" s="459">
        <f t="shared" si="190"/>
        <v>0</v>
      </c>
      <c r="CA106" s="459">
        <f t="shared" si="191"/>
        <v>0</v>
      </c>
      <c r="CB106" s="459">
        <f t="shared" si="192"/>
        <v>0</v>
      </c>
      <c r="CC106" s="460">
        <f t="shared" si="193"/>
        <v>0</v>
      </c>
      <c r="CD106" s="463"/>
      <c r="CE106" s="459">
        <f t="shared" si="194"/>
        <v>0</v>
      </c>
      <c r="CF106" s="459">
        <f t="shared" si="195"/>
        <v>0</v>
      </c>
      <c r="CG106" s="459">
        <f t="shared" si="196"/>
        <v>0</v>
      </c>
      <c r="CH106" s="459">
        <f t="shared" si="197"/>
        <v>0</v>
      </c>
      <c r="CI106" s="459">
        <f t="shared" si="198"/>
        <v>0</v>
      </c>
      <c r="CJ106" s="459">
        <f t="shared" si="199"/>
        <v>0</v>
      </c>
      <c r="CK106" s="459">
        <f t="shared" si="200"/>
        <v>0</v>
      </c>
      <c r="CL106" s="459">
        <f t="shared" si="201"/>
        <v>0</v>
      </c>
      <c r="CM106" s="459">
        <f t="shared" si="202"/>
        <v>0</v>
      </c>
      <c r="CN106" s="459">
        <f t="shared" si="203"/>
        <v>0</v>
      </c>
      <c r="CO106" s="460">
        <f t="shared" si="204"/>
        <v>0</v>
      </c>
      <c r="CP106" s="463"/>
      <c r="CQ106" s="459">
        <f t="shared" si="129"/>
        <v>0</v>
      </c>
      <c r="CR106" s="459">
        <f t="shared" si="130"/>
        <v>0</v>
      </c>
      <c r="CS106" s="459">
        <f t="shared" si="131"/>
        <v>0</v>
      </c>
      <c r="CT106" s="459">
        <f t="shared" si="132"/>
        <v>0</v>
      </c>
      <c r="CU106" s="459">
        <f t="shared" si="133"/>
        <v>0</v>
      </c>
      <c r="CV106" s="459">
        <f t="shared" si="134"/>
        <v>0</v>
      </c>
      <c r="CW106" s="459">
        <f t="shared" si="135"/>
        <v>0</v>
      </c>
      <c r="CX106" s="459">
        <f t="shared" si="136"/>
        <v>0</v>
      </c>
      <c r="CY106" s="459">
        <f t="shared" si="137"/>
        <v>0</v>
      </c>
      <c r="CZ106" s="459">
        <f t="shared" si="138"/>
        <v>0</v>
      </c>
      <c r="DA106" s="460">
        <f t="shared" si="205"/>
        <v>0</v>
      </c>
      <c r="DB106" s="463"/>
      <c r="DC106" s="459">
        <f t="shared" si="206"/>
        <v>0</v>
      </c>
      <c r="DD106" s="459">
        <f t="shared" si="207"/>
        <v>0</v>
      </c>
      <c r="DE106" s="459">
        <f t="shared" si="208"/>
        <v>0</v>
      </c>
      <c r="DF106" s="459">
        <f t="shared" si="209"/>
        <v>0</v>
      </c>
      <c r="DG106" s="459">
        <f t="shared" si="210"/>
        <v>0</v>
      </c>
      <c r="DH106" s="459">
        <f t="shared" si="211"/>
        <v>0</v>
      </c>
      <c r="DI106" s="459">
        <f t="shared" si="212"/>
        <v>0</v>
      </c>
      <c r="DJ106" s="459">
        <f t="shared" si="213"/>
        <v>0</v>
      </c>
      <c r="DK106" s="459">
        <f t="shared" si="214"/>
        <v>0</v>
      </c>
      <c r="DL106" s="459">
        <f t="shared" si="215"/>
        <v>0</v>
      </c>
      <c r="DM106" s="460">
        <f t="shared" si="216"/>
        <v>0</v>
      </c>
      <c r="DN106" s="463"/>
      <c r="DO106" s="459">
        <f t="shared" si="217"/>
        <v>0</v>
      </c>
      <c r="DP106" s="459">
        <f t="shared" si="217"/>
        <v>0</v>
      </c>
      <c r="DQ106" s="459">
        <f t="shared" si="217"/>
        <v>0</v>
      </c>
      <c r="DR106" s="459">
        <f t="shared" si="217"/>
        <v>0</v>
      </c>
      <c r="DS106" s="459">
        <f t="shared" si="217"/>
        <v>0</v>
      </c>
      <c r="DT106" s="459">
        <f t="shared" si="217"/>
        <v>0</v>
      </c>
      <c r="DU106" s="459">
        <f t="shared" si="217"/>
        <v>0</v>
      </c>
      <c r="DV106" s="459">
        <f t="shared" si="217"/>
        <v>0</v>
      </c>
      <c r="DW106" s="459">
        <f t="shared" si="217"/>
        <v>0</v>
      </c>
      <c r="DX106" s="459">
        <f t="shared" si="217"/>
        <v>0</v>
      </c>
      <c r="DY106" s="460">
        <f t="shared" si="218"/>
        <v>0</v>
      </c>
      <c r="DZ106" s="463"/>
      <c r="EA106" s="459">
        <f t="shared" si="219"/>
        <v>0</v>
      </c>
      <c r="EB106" s="459">
        <f t="shared" si="219"/>
        <v>0</v>
      </c>
      <c r="EC106" s="459">
        <f t="shared" si="219"/>
        <v>0</v>
      </c>
      <c r="ED106" s="459">
        <f t="shared" si="219"/>
        <v>0</v>
      </c>
      <c r="EE106" s="459">
        <f t="shared" si="219"/>
        <v>0</v>
      </c>
      <c r="EF106" s="459">
        <f t="shared" si="219"/>
        <v>0</v>
      </c>
      <c r="EG106" s="459">
        <f t="shared" si="219"/>
        <v>0</v>
      </c>
      <c r="EH106" s="459">
        <f t="shared" si="219"/>
        <v>0</v>
      </c>
      <c r="EI106" s="459">
        <f t="shared" si="219"/>
        <v>0</v>
      </c>
      <c r="EJ106" s="459">
        <f t="shared" si="219"/>
        <v>0</v>
      </c>
      <c r="EK106" s="460">
        <f t="shared" si="220"/>
        <v>0</v>
      </c>
    </row>
    <row r="107" spans="2:141" s="270" customFormat="1" ht="15" customHeight="1" x14ac:dyDescent="0.25">
      <c r="B107" s="464" t="str">
        <f>'2. START'!C$7</f>
        <v>100GEM</v>
      </c>
      <c r="C107" s="470"/>
      <c r="D107" s="593"/>
      <c r="E107" s="527">
        <v>0</v>
      </c>
      <c r="F107" s="527" t="s">
        <v>36</v>
      </c>
      <c r="G107" s="527"/>
      <c r="H107" s="515"/>
      <c r="I107" s="515"/>
      <c r="J107" s="515"/>
      <c r="K107" s="515"/>
      <c r="L107" s="515"/>
      <c r="M107" s="515"/>
      <c r="N107" s="515"/>
      <c r="O107" s="515"/>
      <c r="P107" s="515"/>
      <c r="Q107" s="515"/>
      <c r="R107" s="442">
        <f t="shared" si="108"/>
        <v>0</v>
      </c>
      <c r="S107" s="516">
        <f>IF('2. START'!$C$20="UTB",(SUMIF('3. PARTNER'!B$13:B$80,B107,'3. PARTNER'!M$13:M$80)),(SUMIF('3. PARTNER'!B$13:B$80,B107,'3. PARTNER'!I$13:I$80)))</f>
        <v>0</v>
      </c>
      <c r="T107" s="516">
        <f>IF('2. START'!$C$20="UTB",(SUMIF('3. PARTNER'!B$13:B$80,B107,'3. PARTNER'!N$13:N$80)),(SUMIF('3. PARTNER'!B$13:B$80,B107,'3. PARTNER'!J$13:J$80)))</f>
        <v>0</v>
      </c>
      <c r="U107" s="517">
        <f>IF(F107="NO",0,IF('2. START'!C$13="PERSON+OPERATION",'2. START'!C$12,0)+IF('2. START'!C$13="PERSON+OPERATION+INVEST+FACILIT",'2. START'!C$12,0))</f>
        <v>0</v>
      </c>
      <c r="W107" s="442">
        <f t="shared" si="109"/>
        <v>0</v>
      </c>
      <c r="X107" s="442">
        <f t="shared" si="110"/>
        <v>0</v>
      </c>
      <c r="Y107" s="442">
        <f t="shared" si="111"/>
        <v>0</v>
      </c>
      <c r="Z107" s="442">
        <f t="shared" si="112"/>
        <v>0</v>
      </c>
      <c r="AA107" s="442">
        <f t="shared" si="113"/>
        <v>0</v>
      </c>
      <c r="AB107" s="442">
        <f t="shared" si="114"/>
        <v>0</v>
      </c>
      <c r="AC107" s="442">
        <f t="shared" si="115"/>
        <v>0</v>
      </c>
      <c r="AD107" s="442">
        <f t="shared" si="116"/>
        <v>0</v>
      </c>
      <c r="AE107" s="442">
        <f t="shared" si="117"/>
        <v>0</v>
      </c>
      <c r="AF107" s="442">
        <f t="shared" si="118"/>
        <v>0</v>
      </c>
      <c r="AG107" s="443">
        <f t="shared" si="159"/>
        <v>0</v>
      </c>
      <c r="AI107" s="442">
        <f t="shared" si="119"/>
        <v>0</v>
      </c>
      <c r="AJ107" s="442">
        <f t="shared" si="120"/>
        <v>0</v>
      </c>
      <c r="AK107" s="442">
        <f t="shared" si="121"/>
        <v>0</v>
      </c>
      <c r="AL107" s="442">
        <f t="shared" si="122"/>
        <v>0</v>
      </c>
      <c r="AM107" s="442">
        <f t="shared" si="123"/>
        <v>0</v>
      </c>
      <c r="AN107" s="442">
        <f t="shared" si="124"/>
        <v>0</v>
      </c>
      <c r="AO107" s="442">
        <f t="shared" si="125"/>
        <v>0</v>
      </c>
      <c r="AP107" s="442">
        <f t="shared" si="126"/>
        <v>0</v>
      </c>
      <c r="AQ107" s="442">
        <f t="shared" si="127"/>
        <v>0</v>
      </c>
      <c r="AR107" s="442">
        <f t="shared" si="128"/>
        <v>0</v>
      </c>
      <c r="AS107" s="443">
        <f t="shared" si="160"/>
        <v>0</v>
      </c>
      <c r="AU107" s="442">
        <f t="shared" si="161"/>
        <v>0</v>
      </c>
      <c r="AV107" s="442">
        <f t="shared" si="162"/>
        <v>0</v>
      </c>
      <c r="AW107" s="442">
        <f t="shared" si="163"/>
        <v>0</v>
      </c>
      <c r="AX107" s="442">
        <f t="shared" si="164"/>
        <v>0</v>
      </c>
      <c r="AY107" s="442">
        <f t="shared" si="165"/>
        <v>0</v>
      </c>
      <c r="AZ107" s="442">
        <f t="shared" si="166"/>
        <v>0</v>
      </c>
      <c r="BA107" s="442">
        <f t="shared" si="167"/>
        <v>0</v>
      </c>
      <c r="BB107" s="442">
        <f t="shared" si="168"/>
        <v>0</v>
      </c>
      <c r="BC107" s="442">
        <f t="shared" si="169"/>
        <v>0</v>
      </c>
      <c r="BD107" s="442">
        <f t="shared" si="170"/>
        <v>0</v>
      </c>
      <c r="BE107" s="443">
        <f t="shared" si="171"/>
        <v>0</v>
      </c>
      <c r="BG107" s="442">
        <f t="shared" si="172"/>
        <v>0</v>
      </c>
      <c r="BH107" s="442">
        <f t="shared" si="173"/>
        <v>0</v>
      </c>
      <c r="BI107" s="442">
        <f t="shared" si="174"/>
        <v>0</v>
      </c>
      <c r="BJ107" s="442">
        <f t="shared" si="175"/>
        <v>0</v>
      </c>
      <c r="BK107" s="442">
        <f t="shared" si="176"/>
        <v>0</v>
      </c>
      <c r="BL107" s="442">
        <f t="shared" si="177"/>
        <v>0</v>
      </c>
      <c r="BM107" s="442">
        <f t="shared" si="178"/>
        <v>0</v>
      </c>
      <c r="BN107" s="442">
        <f t="shared" si="179"/>
        <v>0</v>
      </c>
      <c r="BO107" s="442">
        <f t="shared" si="180"/>
        <v>0</v>
      </c>
      <c r="BP107" s="442">
        <f t="shared" si="181"/>
        <v>0</v>
      </c>
      <c r="BQ107" s="443">
        <f t="shared" si="182"/>
        <v>0</v>
      </c>
      <c r="BS107" s="442">
        <f t="shared" si="183"/>
        <v>0</v>
      </c>
      <c r="BT107" s="442">
        <f t="shared" si="184"/>
        <v>0</v>
      </c>
      <c r="BU107" s="442">
        <f t="shared" si="185"/>
        <v>0</v>
      </c>
      <c r="BV107" s="442">
        <f t="shared" si="186"/>
        <v>0</v>
      </c>
      <c r="BW107" s="442">
        <f t="shared" si="187"/>
        <v>0</v>
      </c>
      <c r="BX107" s="442">
        <f t="shared" si="188"/>
        <v>0</v>
      </c>
      <c r="BY107" s="442">
        <f t="shared" si="189"/>
        <v>0</v>
      </c>
      <c r="BZ107" s="442">
        <f t="shared" si="190"/>
        <v>0</v>
      </c>
      <c r="CA107" s="442">
        <f t="shared" si="191"/>
        <v>0</v>
      </c>
      <c r="CB107" s="442">
        <f t="shared" si="192"/>
        <v>0</v>
      </c>
      <c r="CC107" s="443">
        <f t="shared" si="193"/>
        <v>0</v>
      </c>
      <c r="CE107" s="442">
        <f t="shared" si="194"/>
        <v>0</v>
      </c>
      <c r="CF107" s="442">
        <f t="shared" si="195"/>
        <v>0</v>
      </c>
      <c r="CG107" s="442">
        <f t="shared" si="196"/>
        <v>0</v>
      </c>
      <c r="CH107" s="442">
        <f t="shared" si="197"/>
        <v>0</v>
      </c>
      <c r="CI107" s="442">
        <f t="shared" si="198"/>
        <v>0</v>
      </c>
      <c r="CJ107" s="442">
        <f t="shared" si="199"/>
        <v>0</v>
      </c>
      <c r="CK107" s="442">
        <f t="shared" si="200"/>
        <v>0</v>
      </c>
      <c r="CL107" s="442">
        <f t="shared" si="201"/>
        <v>0</v>
      </c>
      <c r="CM107" s="442">
        <f t="shared" si="202"/>
        <v>0</v>
      </c>
      <c r="CN107" s="442">
        <f t="shared" si="203"/>
        <v>0</v>
      </c>
      <c r="CO107" s="443">
        <f t="shared" si="204"/>
        <v>0</v>
      </c>
      <c r="CQ107" s="442">
        <f t="shared" si="129"/>
        <v>0</v>
      </c>
      <c r="CR107" s="442">
        <f t="shared" si="130"/>
        <v>0</v>
      </c>
      <c r="CS107" s="442">
        <f t="shared" si="131"/>
        <v>0</v>
      </c>
      <c r="CT107" s="442">
        <f t="shared" si="132"/>
        <v>0</v>
      </c>
      <c r="CU107" s="442">
        <f t="shared" si="133"/>
        <v>0</v>
      </c>
      <c r="CV107" s="442">
        <f t="shared" si="134"/>
        <v>0</v>
      </c>
      <c r="CW107" s="442">
        <f t="shared" si="135"/>
        <v>0</v>
      </c>
      <c r="CX107" s="442">
        <f t="shared" si="136"/>
        <v>0</v>
      </c>
      <c r="CY107" s="442">
        <f t="shared" si="137"/>
        <v>0</v>
      </c>
      <c r="CZ107" s="442">
        <f t="shared" si="138"/>
        <v>0</v>
      </c>
      <c r="DA107" s="443">
        <f t="shared" si="205"/>
        <v>0</v>
      </c>
      <c r="DC107" s="442">
        <f t="shared" si="206"/>
        <v>0</v>
      </c>
      <c r="DD107" s="442">
        <f t="shared" si="207"/>
        <v>0</v>
      </c>
      <c r="DE107" s="442">
        <f t="shared" si="208"/>
        <v>0</v>
      </c>
      <c r="DF107" s="442">
        <f t="shared" si="209"/>
        <v>0</v>
      </c>
      <c r="DG107" s="442">
        <f t="shared" si="210"/>
        <v>0</v>
      </c>
      <c r="DH107" s="442">
        <f t="shared" si="211"/>
        <v>0</v>
      </c>
      <c r="DI107" s="442">
        <f t="shared" si="212"/>
        <v>0</v>
      </c>
      <c r="DJ107" s="442">
        <f t="shared" si="213"/>
        <v>0</v>
      </c>
      <c r="DK107" s="442">
        <f t="shared" si="214"/>
        <v>0</v>
      </c>
      <c r="DL107" s="442">
        <f t="shared" si="215"/>
        <v>0</v>
      </c>
      <c r="DM107" s="443">
        <f t="shared" si="216"/>
        <v>0</v>
      </c>
      <c r="DO107" s="442">
        <f t="shared" si="217"/>
        <v>0</v>
      </c>
      <c r="DP107" s="442">
        <f t="shared" si="217"/>
        <v>0</v>
      </c>
      <c r="DQ107" s="442">
        <f t="shared" si="217"/>
        <v>0</v>
      </c>
      <c r="DR107" s="442">
        <f t="shared" si="217"/>
        <v>0</v>
      </c>
      <c r="DS107" s="442">
        <f t="shared" si="217"/>
        <v>0</v>
      </c>
      <c r="DT107" s="442">
        <f t="shared" si="217"/>
        <v>0</v>
      </c>
      <c r="DU107" s="442">
        <f t="shared" si="217"/>
        <v>0</v>
      </c>
      <c r="DV107" s="442">
        <f t="shared" si="217"/>
        <v>0</v>
      </c>
      <c r="DW107" s="442">
        <f t="shared" si="217"/>
        <v>0</v>
      </c>
      <c r="DX107" s="442">
        <f t="shared" si="217"/>
        <v>0</v>
      </c>
      <c r="DY107" s="443">
        <f t="shared" si="218"/>
        <v>0</v>
      </c>
      <c r="EA107" s="442">
        <f t="shared" si="219"/>
        <v>0</v>
      </c>
      <c r="EB107" s="442">
        <f t="shared" si="219"/>
        <v>0</v>
      </c>
      <c r="EC107" s="442">
        <f t="shared" si="219"/>
        <v>0</v>
      </c>
      <c r="ED107" s="442">
        <f t="shared" si="219"/>
        <v>0</v>
      </c>
      <c r="EE107" s="442">
        <f t="shared" si="219"/>
        <v>0</v>
      </c>
      <c r="EF107" s="442">
        <f t="shared" si="219"/>
        <v>0</v>
      </c>
      <c r="EG107" s="442">
        <f t="shared" si="219"/>
        <v>0</v>
      </c>
      <c r="EH107" s="442">
        <f t="shared" si="219"/>
        <v>0</v>
      </c>
      <c r="EI107" s="442">
        <f t="shared" si="219"/>
        <v>0</v>
      </c>
      <c r="EJ107" s="442">
        <f t="shared" si="219"/>
        <v>0</v>
      </c>
      <c r="EK107" s="443">
        <f t="shared" si="220"/>
        <v>0</v>
      </c>
    </row>
    <row r="108" spans="2:141" s="268" customFormat="1" ht="15" customHeight="1" x14ac:dyDescent="0.25">
      <c r="B108" s="446" t="str">
        <f>'2. START'!C$7</f>
        <v>100GEM</v>
      </c>
      <c r="C108" s="469"/>
      <c r="D108" s="594"/>
      <c r="E108" s="522">
        <v>0</v>
      </c>
      <c r="F108" s="522" t="s">
        <v>36</v>
      </c>
      <c r="G108" s="522"/>
      <c r="H108" s="523"/>
      <c r="I108" s="523"/>
      <c r="J108" s="523"/>
      <c r="K108" s="523"/>
      <c r="L108" s="523"/>
      <c r="M108" s="523"/>
      <c r="N108" s="523"/>
      <c r="O108" s="523"/>
      <c r="P108" s="523"/>
      <c r="Q108" s="523"/>
      <c r="R108" s="459">
        <f t="shared" si="108"/>
        <v>0</v>
      </c>
      <c r="S108" s="524">
        <f>IF('2. START'!$C$20="UTB",(SUMIF('3. PARTNER'!B$13:B$80,B108,'3. PARTNER'!M$13:M$80)),(SUMIF('3. PARTNER'!B$13:B$80,B108,'3. PARTNER'!I$13:I$80)))</f>
        <v>0</v>
      </c>
      <c r="T108" s="524">
        <f>IF('2. START'!$C$20="UTB",(SUMIF('3. PARTNER'!B$13:B$80,B108,'3. PARTNER'!N$13:N$80)),(SUMIF('3. PARTNER'!B$13:B$80,B108,'3. PARTNER'!J$13:J$80)))</f>
        <v>0</v>
      </c>
      <c r="U108" s="454">
        <f>IF(F108="NO",0,IF('2. START'!C$13="PERSON+OPERATION",'2. START'!C$12,0)+IF('2. START'!C$13="PERSON+OPERATION+INVEST+FACILIT",'2. START'!C$12,0))</f>
        <v>0</v>
      </c>
      <c r="V108" s="463"/>
      <c r="W108" s="459">
        <f t="shared" si="109"/>
        <v>0</v>
      </c>
      <c r="X108" s="459">
        <f t="shared" si="110"/>
        <v>0</v>
      </c>
      <c r="Y108" s="459">
        <f t="shared" si="111"/>
        <v>0</v>
      </c>
      <c r="Z108" s="459">
        <f t="shared" si="112"/>
        <v>0</v>
      </c>
      <c r="AA108" s="459">
        <f t="shared" si="113"/>
        <v>0</v>
      </c>
      <c r="AB108" s="459">
        <f t="shared" si="114"/>
        <v>0</v>
      </c>
      <c r="AC108" s="459">
        <f t="shared" si="115"/>
        <v>0</v>
      </c>
      <c r="AD108" s="459">
        <f t="shared" si="116"/>
        <v>0</v>
      </c>
      <c r="AE108" s="459">
        <f t="shared" si="117"/>
        <v>0</v>
      </c>
      <c r="AF108" s="459">
        <f t="shared" si="118"/>
        <v>0</v>
      </c>
      <c r="AG108" s="460">
        <f t="shared" si="159"/>
        <v>0</v>
      </c>
      <c r="AH108" s="463"/>
      <c r="AI108" s="459">
        <f t="shared" si="119"/>
        <v>0</v>
      </c>
      <c r="AJ108" s="459">
        <f t="shared" si="120"/>
        <v>0</v>
      </c>
      <c r="AK108" s="459">
        <f t="shared" si="121"/>
        <v>0</v>
      </c>
      <c r="AL108" s="459">
        <f t="shared" si="122"/>
        <v>0</v>
      </c>
      <c r="AM108" s="459">
        <f t="shared" si="123"/>
        <v>0</v>
      </c>
      <c r="AN108" s="459">
        <f t="shared" si="124"/>
        <v>0</v>
      </c>
      <c r="AO108" s="459">
        <f t="shared" si="125"/>
        <v>0</v>
      </c>
      <c r="AP108" s="459">
        <f t="shared" si="126"/>
        <v>0</v>
      </c>
      <c r="AQ108" s="459">
        <f t="shared" si="127"/>
        <v>0</v>
      </c>
      <c r="AR108" s="459">
        <f t="shared" si="128"/>
        <v>0</v>
      </c>
      <c r="AS108" s="460">
        <f t="shared" si="160"/>
        <v>0</v>
      </c>
      <c r="AT108" s="463"/>
      <c r="AU108" s="459">
        <f t="shared" si="161"/>
        <v>0</v>
      </c>
      <c r="AV108" s="459">
        <f t="shared" si="162"/>
        <v>0</v>
      </c>
      <c r="AW108" s="459">
        <f t="shared" si="163"/>
        <v>0</v>
      </c>
      <c r="AX108" s="459">
        <f t="shared" si="164"/>
        <v>0</v>
      </c>
      <c r="AY108" s="459">
        <f t="shared" si="165"/>
        <v>0</v>
      </c>
      <c r="AZ108" s="459">
        <f t="shared" si="166"/>
        <v>0</v>
      </c>
      <c r="BA108" s="459">
        <f t="shared" si="167"/>
        <v>0</v>
      </c>
      <c r="BB108" s="459">
        <f t="shared" si="168"/>
        <v>0</v>
      </c>
      <c r="BC108" s="459">
        <f t="shared" si="169"/>
        <v>0</v>
      </c>
      <c r="BD108" s="459">
        <f t="shared" si="170"/>
        <v>0</v>
      </c>
      <c r="BE108" s="460">
        <f t="shared" si="171"/>
        <v>0</v>
      </c>
      <c r="BF108" s="463"/>
      <c r="BG108" s="459">
        <f t="shared" si="172"/>
        <v>0</v>
      </c>
      <c r="BH108" s="459">
        <f t="shared" si="173"/>
        <v>0</v>
      </c>
      <c r="BI108" s="459">
        <f t="shared" si="174"/>
        <v>0</v>
      </c>
      <c r="BJ108" s="459">
        <f t="shared" si="175"/>
        <v>0</v>
      </c>
      <c r="BK108" s="459">
        <f t="shared" si="176"/>
        <v>0</v>
      </c>
      <c r="BL108" s="459">
        <f t="shared" si="177"/>
        <v>0</v>
      </c>
      <c r="BM108" s="459">
        <f t="shared" si="178"/>
        <v>0</v>
      </c>
      <c r="BN108" s="459">
        <f t="shared" si="179"/>
        <v>0</v>
      </c>
      <c r="BO108" s="459">
        <f t="shared" si="180"/>
        <v>0</v>
      </c>
      <c r="BP108" s="459">
        <f t="shared" si="181"/>
        <v>0</v>
      </c>
      <c r="BQ108" s="460">
        <f t="shared" si="182"/>
        <v>0</v>
      </c>
      <c r="BR108" s="463"/>
      <c r="BS108" s="459">
        <f t="shared" si="183"/>
        <v>0</v>
      </c>
      <c r="BT108" s="459">
        <f t="shared" si="184"/>
        <v>0</v>
      </c>
      <c r="BU108" s="459">
        <f t="shared" si="185"/>
        <v>0</v>
      </c>
      <c r="BV108" s="459">
        <f t="shared" si="186"/>
        <v>0</v>
      </c>
      <c r="BW108" s="459">
        <f t="shared" si="187"/>
        <v>0</v>
      </c>
      <c r="BX108" s="459">
        <f t="shared" si="188"/>
        <v>0</v>
      </c>
      <c r="BY108" s="459">
        <f t="shared" si="189"/>
        <v>0</v>
      </c>
      <c r="BZ108" s="459">
        <f t="shared" si="190"/>
        <v>0</v>
      </c>
      <c r="CA108" s="459">
        <f t="shared" si="191"/>
        <v>0</v>
      </c>
      <c r="CB108" s="459">
        <f t="shared" si="192"/>
        <v>0</v>
      </c>
      <c r="CC108" s="460">
        <f t="shared" si="193"/>
        <v>0</v>
      </c>
      <c r="CD108" s="463"/>
      <c r="CE108" s="459">
        <f t="shared" si="194"/>
        <v>0</v>
      </c>
      <c r="CF108" s="459">
        <f t="shared" si="195"/>
        <v>0</v>
      </c>
      <c r="CG108" s="459">
        <f t="shared" si="196"/>
        <v>0</v>
      </c>
      <c r="CH108" s="459">
        <f t="shared" si="197"/>
        <v>0</v>
      </c>
      <c r="CI108" s="459">
        <f t="shared" si="198"/>
        <v>0</v>
      </c>
      <c r="CJ108" s="459">
        <f t="shared" si="199"/>
        <v>0</v>
      </c>
      <c r="CK108" s="459">
        <f t="shared" si="200"/>
        <v>0</v>
      </c>
      <c r="CL108" s="459">
        <f t="shared" si="201"/>
        <v>0</v>
      </c>
      <c r="CM108" s="459">
        <f t="shared" si="202"/>
        <v>0</v>
      </c>
      <c r="CN108" s="459">
        <f t="shared" si="203"/>
        <v>0</v>
      </c>
      <c r="CO108" s="460">
        <f t="shared" si="204"/>
        <v>0</v>
      </c>
      <c r="CP108" s="463"/>
      <c r="CQ108" s="459">
        <f t="shared" si="129"/>
        <v>0</v>
      </c>
      <c r="CR108" s="459">
        <f t="shared" si="130"/>
        <v>0</v>
      </c>
      <c r="CS108" s="459">
        <f t="shared" si="131"/>
        <v>0</v>
      </c>
      <c r="CT108" s="459">
        <f t="shared" si="132"/>
        <v>0</v>
      </c>
      <c r="CU108" s="459">
        <f t="shared" si="133"/>
        <v>0</v>
      </c>
      <c r="CV108" s="459">
        <f t="shared" si="134"/>
        <v>0</v>
      </c>
      <c r="CW108" s="459">
        <f t="shared" si="135"/>
        <v>0</v>
      </c>
      <c r="CX108" s="459">
        <f t="shared" si="136"/>
        <v>0</v>
      </c>
      <c r="CY108" s="459">
        <f t="shared" si="137"/>
        <v>0</v>
      </c>
      <c r="CZ108" s="459">
        <f t="shared" si="138"/>
        <v>0</v>
      </c>
      <c r="DA108" s="460">
        <f t="shared" si="205"/>
        <v>0</v>
      </c>
      <c r="DB108" s="463"/>
      <c r="DC108" s="459">
        <f t="shared" si="206"/>
        <v>0</v>
      </c>
      <c r="DD108" s="459">
        <f t="shared" si="207"/>
        <v>0</v>
      </c>
      <c r="DE108" s="459">
        <f t="shared" si="208"/>
        <v>0</v>
      </c>
      <c r="DF108" s="459">
        <f t="shared" si="209"/>
        <v>0</v>
      </c>
      <c r="DG108" s="459">
        <f t="shared" si="210"/>
        <v>0</v>
      </c>
      <c r="DH108" s="459">
        <f t="shared" si="211"/>
        <v>0</v>
      </c>
      <c r="DI108" s="459">
        <f t="shared" si="212"/>
        <v>0</v>
      </c>
      <c r="DJ108" s="459">
        <f t="shared" si="213"/>
        <v>0</v>
      </c>
      <c r="DK108" s="459">
        <f t="shared" si="214"/>
        <v>0</v>
      </c>
      <c r="DL108" s="459">
        <f t="shared" si="215"/>
        <v>0</v>
      </c>
      <c r="DM108" s="460">
        <f t="shared" si="216"/>
        <v>0</v>
      </c>
      <c r="DN108" s="463"/>
      <c r="DO108" s="459">
        <f t="shared" si="217"/>
        <v>0</v>
      </c>
      <c r="DP108" s="459">
        <f t="shared" si="217"/>
        <v>0</v>
      </c>
      <c r="DQ108" s="459">
        <f t="shared" si="217"/>
        <v>0</v>
      </c>
      <c r="DR108" s="459">
        <f t="shared" si="217"/>
        <v>0</v>
      </c>
      <c r="DS108" s="459">
        <f t="shared" si="217"/>
        <v>0</v>
      </c>
      <c r="DT108" s="459">
        <f t="shared" si="217"/>
        <v>0</v>
      </c>
      <c r="DU108" s="459">
        <f t="shared" si="217"/>
        <v>0</v>
      </c>
      <c r="DV108" s="459">
        <f t="shared" si="217"/>
        <v>0</v>
      </c>
      <c r="DW108" s="459">
        <f t="shared" si="217"/>
        <v>0</v>
      </c>
      <c r="DX108" s="459">
        <f t="shared" si="217"/>
        <v>0</v>
      </c>
      <c r="DY108" s="460">
        <f t="shared" si="218"/>
        <v>0</v>
      </c>
      <c r="DZ108" s="463"/>
      <c r="EA108" s="459">
        <f t="shared" si="219"/>
        <v>0</v>
      </c>
      <c r="EB108" s="459">
        <f t="shared" si="219"/>
        <v>0</v>
      </c>
      <c r="EC108" s="459">
        <f t="shared" si="219"/>
        <v>0</v>
      </c>
      <c r="ED108" s="459">
        <f t="shared" si="219"/>
        <v>0</v>
      </c>
      <c r="EE108" s="459">
        <f t="shared" si="219"/>
        <v>0</v>
      </c>
      <c r="EF108" s="459">
        <f t="shared" si="219"/>
        <v>0</v>
      </c>
      <c r="EG108" s="459">
        <f t="shared" si="219"/>
        <v>0</v>
      </c>
      <c r="EH108" s="459">
        <f t="shared" si="219"/>
        <v>0</v>
      </c>
      <c r="EI108" s="459">
        <f t="shared" si="219"/>
        <v>0</v>
      </c>
      <c r="EJ108" s="459">
        <f t="shared" si="219"/>
        <v>0</v>
      </c>
      <c r="EK108" s="460">
        <f t="shared" si="220"/>
        <v>0</v>
      </c>
    </row>
    <row r="109" spans="2:141" s="270" customFormat="1" ht="15" customHeight="1" x14ac:dyDescent="0.25">
      <c r="B109" s="464" t="str">
        <f>'2. START'!C$7</f>
        <v>100GEM</v>
      </c>
      <c r="C109" s="470"/>
      <c r="D109" s="593"/>
      <c r="E109" s="527">
        <v>0</v>
      </c>
      <c r="F109" s="527" t="s">
        <v>36</v>
      </c>
      <c r="G109" s="527"/>
      <c r="H109" s="515"/>
      <c r="I109" s="515"/>
      <c r="J109" s="515"/>
      <c r="K109" s="515"/>
      <c r="L109" s="515"/>
      <c r="M109" s="515"/>
      <c r="N109" s="515"/>
      <c r="O109" s="515"/>
      <c r="P109" s="515"/>
      <c r="Q109" s="515"/>
      <c r="R109" s="442">
        <f t="shared" si="108"/>
        <v>0</v>
      </c>
      <c r="S109" s="516">
        <f>IF('2. START'!$C$20="UTB",(SUMIF('3. PARTNER'!B$13:B$80,B109,'3. PARTNER'!M$13:M$80)),(SUMIF('3. PARTNER'!B$13:B$80,B109,'3. PARTNER'!I$13:I$80)))</f>
        <v>0</v>
      </c>
      <c r="T109" s="516">
        <f>IF('2. START'!$C$20="UTB",(SUMIF('3. PARTNER'!B$13:B$80,B109,'3. PARTNER'!N$13:N$80)),(SUMIF('3. PARTNER'!B$13:B$80,B109,'3. PARTNER'!J$13:J$80)))</f>
        <v>0</v>
      </c>
      <c r="U109" s="517">
        <f>IF(F109="NO",0,IF('2. START'!C$13="PERSON+OPERATION",'2. START'!C$12,0)+IF('2. START'!C$13="PERSON+OPERATION+INVEST+FACILIT",'2. START'!C$12,0))</f>
        <v>0</v>
      </c>
      <c r="W109" s="442">
        <f t="shared" si="109"/>
        <v>0</v>
      </c>
      <c r="X109" s="442">
        <f t="shared" si="110"/>
        <v>0</v>
      </c>
      <c r="Y109" s="442">
        <f t="shared" si="111"/>
        <v>0</v>
      </c>
      <c r="Z109" s="442">
        <f t="shared" si="112"/>
        <v>0</v>
      </c>
      <c r="AA109" s="442">
        <f t="shared" si="113"/>
        <v>0</v>
      </c>
      <c r="AB109" s="442">
        <f t="shared" si="114"/>
        <v>0</v>
      </c>
      <c r="AC109" s="442">
        <f t="shared" si="115"/>
        <v>0</v>
      </c>
      <c r="AD109" s="442">
        <f t="shared" si="116"/>
        <v>0</v>
      </c>
      <c r="AE109" s="442">
        <f t="shared" si="117"/>
        <v>0</v>
      </c>
      <c r="AF109" s="442">
        <f t="shared" si="118"/>
        <v>0</v>
      </c>
      <c r="AG109" s="443">
        <f t="shared" si="159"/>
        <v>0</v>
      </c>
      <c r="AI109" s="442">
        <f t="shared" si="119"/>
        <v>0</v>
      </c>
      <c r="AJ109" s="442">
        <f t="shared" si="120"/>
        <v>0</v>
      </c>
      <c r="AK109" s="442">
        <f t="shared" si="121"/>
        <v>0</v>
      </c>
      <c r="AL109" s="442">
        <f t="shared" si="122"/>
        <v>0</v>
      </c>
      <c r="AM109" s="442">
        <f t="shared" si="123"/>
        <v>0</v>
      </c>
      <c r="AN109" s="442">
        <f t="shared" si="124"/>
        <v>0</v>
      </c>
      <c r="AO109" s="442">
        <f t="shared" si="125"/>
        <v>0</v>
      </c>
      <c r="AP109" s="442">
        <f t="shared" si="126"/>
        <v>0</v>
      </c>
      <c r="AQ109" s="442">
        <f t="shared" si="127"/>
        <v>0</v>
      </c>
      <c r="AR109" s="442">
        <f t="shared" si="128"/>
        <v>0</v>
      </c>
      <c r="AS109" s="443">
        <f t="shared" si="160"/>
        <v>0</v>
      </c>
      <c r="AU109" s="442">
        <f t="shared" si="161"/>
        <v>0</v>
      </c>
      <c r="AV109" s="442">
        <f t="shared" si="162"/>
        <v>0</v>
      </c>
      <c r="AW109" s="442">
        <f t="shared" si="163"/>
        <v>0</v>
      </c>
      <c r="AX109" s="442">
        <f t="shared" si="164"/>
        <v>0</v>
      </c>
      <c r="AY109" s="442">
        <f t="shared" si="165"/>
        <v>0</v>
      </c>
      <c r="AZ109" s="442">
        <f t="shared" si="166"/>
        <v>0</v>
      </c>
      <c r="BA109" s="442">
        <f t="shared" si="167"/>
        <v>0</v>
      </c>
      <c r="BB109" s="442">
        <f t="shared" si="168"/>
        <v>0</v>
      </c>
      <c r="BC109" s="442">
        <f t="shared" si="169"/>
        <v>0</v>
      </c>
      <c r="BD109" s="442">
        <f t="shared" si="170"/>
        <v>0</v>
      </c>
      <c r="BE109" s="443">
        <f t="shared" si="171"/>
        <v>0</v>
      </c>
      <c r="BG109" s="442">
        <f t="shared" si="172"/>
        <v>0</v>
      </c>
      <c r="BH109" s="442">
        <f t="shared" si="173"/>
        <v>0</v>
      </c>
      <c r="BI109" s="442">
        <f t="shared" si="174"/>
        <v>0</v>
      </c>
      <c r="BJ109" s="442">
        <f t="shared" si="175"/>
        <v>0</v>
      </c>
      <c r="BK109" s="442">
        <f t="shared" si="176"/>
        <v>0</v>
      </c>
      <c r="BL109" s="442">
        <f t="shared" si="177"/>
        <v>0</v>
      </c>
      <c r="BM109" s="442">
        <f t="shared" si="178"/>
        <v>0</v>
      </c>
      <c r="BN109" s="442">
        <f t="shared" si="179"/>
        <v>0</v>
      </c>
      <c r="BO109" s="442">
        <f t="shared" si="180"/>
        <v>0</v>
      </c>
      <c r="BP109" s="442">
        <f t="shared" si="181"/>
        <v>0</v>
      </c>
      <c r="BQ109" s="443">
        <f t="shared" si="182"/>
        <v>0</v>
      </c>
      <c r="BS109" s="442">
        <f t="shared" si="183"/>
        <v>0</v>
      </c>
      <c r="BT109" s="442">
        <f t="shared" si="184"/>
        <v>0</v>
      </c>
      <c r="BU109" s="442">
        <f t="shared" si="185"/>
        <v>0</v>
      </c>
      <c r="BV109" s="442">
        <f t="shared" si="186"/>
        <v>0</v>
      </c>
      <c r="BW109" s="442">
        <f t="shared" si="187"/>
        <v>0</v>
      </c>
      <c r="BX109" s="442">
        <f t="shared" si="188"/>
        <v>0</v>
      </c>
      <c r="BY109" s="442">
        <f t="shared" si="189"/>
        <v>0</v>
      </c>
      <c r="BZ109" s="442">
        <f t="shared" si="190"/>
        <v>0</v>
      </c>
      <c r="CA109" s="442">
        <f t="shared" si="191"/>
        <v>0</v>
      </c>
      <c r="CB109" s="442">
        <f t="shared" si="192"/>
        <v>0</v>
      </c>
      <c r="CC109" s="443">
        <f t="shared" si="193"/>
        <v>0</v>
      </c>
      <c r="CE109" s="442">
        <f t="shared" si="194"/>
        <v>0</v>
      </c>
      <c r="CF109" s="442">
        <f t="shared" si="195"/>
        <v>0</v>
      </c>
      <c r="CG109" s="442">
        <f t="shared" si="196"/>
        <v>0</v>
      </c>
      <c r="CH109" s="442">
        <f t="shared" si="197"/>
        <v>0</v>
      </c>
      <c r="CI109" s="442">
        <f t="shared" si="198"/>
        <v>0</v>
      </c>
      <c r="CJ109" s="442">
        <f t="shared" si="199"/>
        <v>0</v>
      </c>
      <c r="CK109" s="442">
        <f t="shared" si="200"/>
        <v>0</v>
      </c>
      <c r="CL109" s="442">
        <f t="shared" si="201"/>
        <v>0</v>
      </c>
      <c r="CM109" s="442">
        <f t="shared" si="202"/>
        <v>0</v>
      </c>
      <c r="CN109" s="442">
        <f t="shared" si="203"/>
        <v>0</v>
      </c>
      <c r="CO109" s="443">
        <f t="shared" si="204"/>
        <v>0</v>
      </c>
      <c r="CQ109" s="442">
        <f t="shared" si="129"/>
        <v>0</v>
      </c>
      <c r="CR109" s="442">
        <f t="shared" si="130"/>
        <v>0</v>
      </c>
      <c r="CS109" s="442">
        <f t="shared" si="131"/>
        <v>0</v>
      </c>
      <c r="CT109" s="442">
        <f t="shared" si="132"/>
        <v>0</v>
      </c>
      <c r="CU109" s="442">
        <f t="shared" si="133"/>
        <v>0</v>
      </c>
      <c r="CV109" s="442">
        <f t="shared" si="134"/>
        <v>0</v>
      </c>
      <c r="CW109" s="442">
        <f t="shared" si="135"/>
        <v>0</v>
      </c>
      <c r="CX109" s="442">
        <f t="shared" si="136"/>
        <v>0</v>
      </c>
      <c r="CY109" s="442">
        <f t="shared" si="137"/>
        <v>0</v>
      </c>
      <c r="CZ109" s="442">
        <f t="shared" si="138"/>
        <v>0</v>
      </c>
      <c r="DA109" s="443">
        <f t="shared" si="205"/>
        <v>0</v>
      </c>
      <c r="DC109" s="442">
        <f t="shared" si="206"/>
        <v>0</v>
      </c>
      <c r="DD109" s="442">
        <f t="shared" si="207"/>
        <v>0</v>
      </c>
      <c r="DE109" s="442">
        <f t="shared" si="208"/>
        <v>0</v>
      </c>
      <c r="DF109" s="442">
        <f t="shared" si="209"/>
        <v>0</v>
      </c>
      <c r="DG109" s="442">
        <f t="shared" si="210"/>
        <v>0</v>
      </c>
      <c r="DH109" s="442">
        <f t="shared" si="211"/>
        <v>0</v>
      </c>
      <c r="DI109" s="442">
        <f t="shared" si="212"/>
        <v>0</v>
      </c>
      <c r="DJ109" s="442">
        <f t="shared" si="213"/>
        <v>0</v>
      </c>
      <c r="DK109" s="442">
        <f t="shared" si="214"/>
        <v>0</v>
      </c>
      <c r="DL109" s="442">
        <f t="shared" si="215"/>
        <v>0</v>
      </c>
      <c r="DM109" s="443">
        <f t="shared" si="216"/>
        <v>0</v>
      </c>
      <c r="DO109" s="442">
        <f t="shared" si="217"/>
        <v>0</v>
      </c>
      <c r="DP109" s="442">
        <f t="shared" si="217"/>
        <v>0</v>
      </c>
      <c r="DQ109" s="442">
        <f t="shared" si="217"/>
        <v>0</v>
      </c>
      <c r="DR109" s="442">
        <f t="shared" si="217"/>
        <v>0</v>
      </c>
      <c r="DS109" s="442">
        <f t="shared" si="217"/>
        <v>0</v>
      </c>
      <c r="DT109" s="442">
        <f t="shared" si="217"/>
        <v>0</v>
      </c>
      <c r="DU109" s="442">
        <f t="shared" si="217"/>
        <v>0</v>
      </c>
      <c r="DV109" s="442">
        <f t="shared" si="217"/>
        <v>0</v>
      </c>
      <c r="DW109" s="442">
        <f t="shared" si="217"/>
        <v>0</v>
      </c>
      <c r="DX109" s="442">
        <f t="shared" si="217"/>
        <v>0</v>
      </c>
      <c r="DY109" s="443">
        <f t="shared" si="218"/>
        <v>0</v>
      </c>
      <c r="EA109" s="442">
        <f t="shared" si="219"/>
        <v>0</v>
      </c>
      <c r="EB109" s="442">
        <f t="shared" si="219"/>
        <v>0</v>
      </c>
      <c r="EC109" s="442">
        <f t="shared" si="219"/>
        <v>0</v>
      </c>
      <c r="ED109" s="442">
        <f t="shared" si="219"/>
        <v>0</v>
      </c>
      <c r="EE109" s="442">
        <f t="shared" si="219"/>
        <v>0</v>
      </c>
      <c r="EF109" s="442">
        <f t="shared" si="219"/>
        <v>0</v>
      </c>
      <c r="EG109" s="442">
        <f t="shared" si="219"/>
        <v>0</v>
      </c>
      <c r="EH109" s="442">
        <f t="shared" si="219"/>
        <v>0</v>
      </c>
      <c r="EI109" s="442">
        <f t="shared" si="219"/>
        <v>0</v>
      </c>
      <c r="EJ109" s="442">
        <f t="shared" si="219"/>
        <v>0</v>
      </c>
      <c r="EK109" s="443">
        <f t="shared" si="220"/>
        <v>0</v>
      </c>
    </row>
    <row r="110" spans="2:141" s="268" customFormat="1" ht="15" customHeight="1" x14ac:dyDescent="0.25">
      <c r="B110" s="446" t="str">
        <f>'2. START'!C$7</f>
        <v>100GEM</v>
      </c>
      <c r="C110" s="469"/>
      <c r="D110" s="594"/>
      <c r="E110" s="522">
        <v>0</v>
      </c>
      <c r="F110" s="522" t="s">
        <v>36</v>
      </c>
      <c r="G110" s="522"/>
      <c r="H110" s="523"/>
      <c r="I110" s="523"/>
      <c r="J110" s="523"/>
      <c r="K110" s="523"/>
      <c r="L110" s="523"/>
      <c r="M110" s="523"/>
      <c r="N110" s="523"/>
      <c r="O110" s="523"/>
      <c r="P110" s="523"/>
      <c r="Q110" s="523"/>
      <c r="R110" s="459">
        <f t="shared" si="108"/>
        <v>0</v>
      </c>
      <c r="S110" s="524">
        <f>IF('2. START'!$C$20="UTB",(SUMIF('3. PARTNER'!B$13:B$80,B110,'3. PARTNER'!M$13:M$80)),(SUMIF('3. PARTNER'!B$13:B$80,B110,'3. PARTNER'!I$13:I$80)))</f>
        <v>0</v>
      </c>
      <c r="T110" s="524">
        <f>IF('2. START'!$C$20="UTB",(SUMIF('3. PARTNER'!B$13:B$80,B110,'3. PARTNER'!N$13:N$80)),(SUMIF('3. PARTNER'!B$13:B$80,B110,'3. PARTNER'!J$13:J$80)))</f>
        <v>0</v>
      </c>
      <c r="U110" s="454">
        <f>IF(F110="NO",0,IF('2. START'!C$13="PERSON+OPERATION",'2. START'!C$12,0)+IF('2. START'!C$13="PERSON+OPERATION+INVEST+FACILIT",'2. START'!C$12,0))</f>
        <v>0</v>
      </c>
      <c r="V110" s="463"/>
      <c r="W110" s="459">
        <f t="shared" si="109"/>
        <v>0</v>
      </c>
      <c r="X110" s="459">
        <f t="shared" si="110"/>
        <v>0</v>
      </c>
      <c r="Y110" s="459">
        <f t="shared" si="111"/>
        <v>0</v>
      </c>
      <c r="Z110" s="459">
        <f t="shared" si="112"/>
        <v>0</v>
      </c>
      <c r="AA110" s="459">
        <f t="shared" si="113"/>
        <v>0</v>
      </c>
      <c r="AB110" s="459">
        <f t="shared" si="114"/>
        <v>0</v>
      </c>
      <c r="AC110" s="459">
        <f t="shared" si="115"/>
        <v>0</v>
      </c>
      <c r="AD110" s="459">
        <f t="shared" si="116"/>
        <v>0</v>
      </c>
      <c r="AE110" s="459">
        <f t="shared" si="117"/>
        <v>0</v>
      </c>
      <c r="AF110" s="459">
        <f t="shared" si="118"/>
        <v>0</v>
      </c>
      <c r="AG110" s="460">
        <f t="shared" si="159"/>
        <v>0</v>
      </c>
      <c r="AH110" s="463"/>
      <c r="AI110" s="459">
        <f t="shared" si="119"/>
        <v>0</v>
      </c>
      <c r="AJ110" s="459">
        <f t="shared" si="120"/>
        <v>0</v>
      </c>
      <c r="AK110" s="459">
        <f t="shared" si="121"/>
        <v>0</v>
      </c>
      <c r="AL110" s="459">
        <f t="shared" si="122"/>
        <v>0</v>
      </c>
      <c r="AM110" s="459">
        <f t="shared" si="123"/>
        <v>0</v>
      </c>
      <c r="AN110" s="459">
        <f t="shared" si="124"/>
        <v>0</v>
      </c>
      <c r="AO110" s="459">
        <f t="shared" si="125"/>
        <v>0</v>
      </c>
      <c r="AP110" s="459">
        <f t="shared" si="126"/>
        <v>0</v>
      </c>
      <c r="AQ110" s="459">
        <f t="shared" si="127"/>
        <v>0</v>
      </c>
      <c r="AR110" s="459">
        <f t="shared" si="128"/>
        <v>0</v>
      </c>
      <c r="AS110" s="460">
        <f t="shared" si="160"/>
        <v>0</v>
      </c>
      <c r="AT110" s="463"/>
      <c r="AU110" s="459">
        <f t="shared" si="161"/>
        <v>0</v>
      </c>
      <c r="AV110" s="459">
        <f t="shared" si="162"/>
        <v>0</v>
      </c>
      <c r="AW110" s="459">
        <f t="shared" si="163"/>
        <v>0</v>
      </c>
      <c r="AX110" s="459">
        <f t="shared" si="164"/>
        <v>0</v>
      </c>
      <c r="AY110" s="459">
        <f t="shared" si="165"/>
        <v>0</v>
      </c>
      <c r="AZ110" s="459">
        <f t="shared" si="166"/>
        <v>0</v>
      </c>
      <c r="BA110" s="459">
        <f t="shared" si="167"/>
        <v>0</v>
      </c>
      <c r="BB110" s="459">
        <f t="shared" si="168"/>
        <v>0</v>
      </c>
      <c r="BC110" s="459">
        <f t="shared" si="169"/>
        <v>0</v>
      </c>
      <c r="BD110" s="459">
        <f t="shared" si="170"/>
        <v>0</v>
      </c>
      <c r="BE110" s="460">
        <f t="shared" si="171"/>
        <v>0</v>
      </c>
      <c r="BF110" s="463"/>
      <c r="BG110" s="459">
        <f t="shared" si="172"/>
        <v>0</v>
      </c>
      <c r="BH110" s="459">
        <f t="shared" si="173"/>
        <v>0</v>
      </c>
      <c r="BI110" s="459">
        <f t="shared" si="174"/>
        <v>0</v>
      </c>
      <c r="BJ110" s="459">
        <f t="shared" si="175"/>
        <v>0</v>
      </c>
      <c r="BK110" s="459">
        <f t="shared" si="176"/>
        <v>0</v>
      </c>
      <c r="BL110" s="459">
        <f t="shared" si="177"/>
        <v>0</v>
      </c>
      <c r="BM110" s="459">
        <f t="shared" si="178"/>
        <v>0</v>
      </c>
      <c r="BN110" s="459">
        <f t="shared" si="179"/>
        <v>0</v>
      </c>
      <c r="BO110" s="459">
        <f t="shared" si="180"/>
        <v>0</v>
      </c>
      <c r="BP110" s="459">
        <f t="shared" si="181"/>
        <v>0</v>
      </c>
      <c r="BQ110" s="460">
        <f t="shared" si="182"/>
        <v>0</v>
      </c>
      <c r="BR110" s="463"/>
      <c r="BS110" s="459">
        <f t="shared" si="183"/>
        <v>0</v>
      </c>
      <c r="BT110" s="459">
        <f t="shared" si="184"/>
        <v>0</v>
      </c>
      <c r="BU110" s="459">
        <f t="shared" si="185"/>
        <v>0</v>
      </c>
      <c r="BV110" s="459">
        <f t="shared" si="186"/>
        <v>0</v>
      </c>
      <c r="BW110" s="459">
        <f t="shared" si="187"/>
        <v>0</v>
      </c>
      <c r="BX110" s="459">
        <f t="shared" si="188"/>
        <v>0</v>
      </c>
      <c r="BY110" s="459">
        <f t="shared" si="189"/>
        <v>0</v>
      </c>
      <c r="BZ110" s="459">
        <f t="shared" si="190"/>
        <v>0</v>
      </c>
      <c r="CA110" s="459">
        <f t="shared" si="191"/>
        <v>0</v>
      </c>
      <c r="CB110" s="459">
        <f t="shared" si="192"/>
        <v>0</v>
      </c>
      <c r="CC110" s="460">
        <f t="shared" si="193"/>
        <v>0</v>
      </c>
      <c r="CD110" s="463"/>
      <c r="CE110" s="459">
        <f t="shared" si="194"/>
        <v>0</v>
      </c>
      <c r="CF110" s="459">
        <f t="shared" si="195"/>
        <v>0</v>
      </c>
      <c r="CG110" s="459">
        <f t="shared" si="196"/>
        <v>0</v>
      </c>
      <c r="CH110" s="459">
        <f t="shared" si="197"/>
        <v>0</v>
      </c>
      <c r="CI110" s="459">
        <f t="shared" si="198"/>
        <v>0</v>
      </c>
      <c r="CJ110" s="459">
        <f t="shared" si="199"/>
        <v>0</v>
      </c>
      <c r="CK110" s="459">
        <f t="shared" si="200"/>
        <v>0</v>
      </c>
      <c r="CL110" s="459">
        <f t="shared" si="201"/>
        <v>0</v>
      </c>
      <c r="CM110" s="459">
        <f t="shared" si="202"/>
        <v>0</v>
      </c>
      <c r="CN110" s="459">
        <f t="shared" si="203"/>
        <v>0</v>
      </c>
      <c r="CO110" s="460">
        <f t="shared" si="204"/>
        <v>0</v>
      </c>
      <c r="CP110" s="463"/>
      <c r="CQ110" s="459">
        <f t="shared" si="129"/>
        <v>0</v>
      </c>
      <c r="CR110" s="459">
        <f t="shared" si="130"/>
        <v>0</v>
      </c>
      <c r="CS110" s="459">
        <f t="shared" si="131"/>
        <v>0</v>
      </c>
      <c r="CT110" s="459">
        <f t="shared" si="132"/>
        <v>0</v>
      </c>
      <c r="CU110" s="459">
        <f t="shared" si="133"/>
        <v>0</v>
      </c>
      <c r="CV110" s="459">
        <f t="shared" si="134"/>
        <v>0</v>
      </c>
      <c r="CW110" s="459">
        <f t="shared" si="135"/>
        <v>0</v>
      </c>
      <c r="CX110" s="459">
        <f t="shared" si="136"/>
        <v>0</v>
      </c>
      <c r="CY110" s="459">
        <f t="shared" si="137"/>
        <v>0</v>
      </c>
      <c r="CZ110" s="459">
        <f t="shared" si="138"/>
        <v>0</v>
      </c>
      <c r="DA110" s="460">
        <f t="shared" si="205"/>
        <v>0</v>
      </c>
      <c r="DB110" s="463"/>
      <c r="DC110" s="459">
        <f t="shared" si="206"/>
        <v>0</v>
      </c>
      <c r="DD110" s="459">
        <f t="shared" si="207"/>
        <v>0</v>
      </c>
      <c r="DE110" s="459">
        <f t="shared" si="208"/>
        <v>0</v>
      </c>
      <c r="DF110" s="459">
        <f t="shared" si="209"/>
        <v>0</v>
      </c>
      <c r="DG110" s="459">
        <f t="shared" si="210"/>
        <v>0</v>
      </c>
      <c r="DH110" s="459">
        <f t="shared" si="211"/>
        <v>0</v>
      </c>
      <c r="DI110" s="459">
        <f t="shared" si="212"/>
        <v>0</v>
      </c>
      <c r="DJ110" s="459">
        <f t="shared" si="213"/>
        <v>0</v>
      </c>
      <c r="DK110" s="459">
        <f t="shared" si="214"/>
        <v>0</v>
      </c>
      <c r="DL110" s="459">
        <f t="shared" si="215"/>
        <v>0</v>
      </c>
      <c r="DM110" s="460">
        <f t="shared" si="216"/>
        <v>0</v>
      </c>
      <c r="DN110" s="463"/>
      <c r="DO110" s="459">
        <f t="shared" si="217"/>
        <v>0</v>
      </c>
      <c r="DP110" s="459">
        <f t="shared" si="217"/>
        <v>0</v>
      </c>
      <c r="DQ110" s="459">
        <f t="shared" si="217"/>
        <v>0</v>
      </c>
      <c r="DR110" s="459">
        <f t="shared" si="217"/>
        <v>0</v>
      </c>
      <c r="DS110" s="459">
        <f t="shared" si="217"/>
        <v>0</v>
      </c>
      <c r="DT110" s="459">
        <f t="shared" si="217"/>
        <v>0</v>
      </c>
      <c r="DU110" s="459">
        <f t="shared" si="217"/>
        <v>0</v>
      </c>
      <c r="DV110" s="459">
        <f t="shared" si="217"/>
        <v>0</v>
      </c>
      <c r="DW110" s="459">
        <f t="shared" si="217"/>
        <v>0</v>
      </c>
      <c r="DX110" s="459">
        <f t="shared" si="217"/>
        <v>0</v>
      </c>
      <c r="DY110" s="460">
        <f t="shared" si="218"/>
        <v>0</v>
      </c>
      <c r="DZ110" s="463"/>
      <c r="EA110" s="459">
        <f t="shared" si="219"/>
        <v>0</v>
      </c>
      <c r="EB110" s="459">
        <f t="shared" si="219"/>
        <v>0</v>
      </c>
      <c r="EC110" s="459">
        <f t="shared" si="219"/>
        <v>0</v>
      </c>
      <c r="ED110" s="459">
        <f t="shared" si="219"/>
        <v>0</v>
      </c>
      <c r="EE110" s="459">
        <f t="shared" si="219"/>
        <v>0</v>
      </c>
      <c r="EF110" s="459">
        <f t="shared" si="219"/>
        <v>0</v>
      </c>
      <c r="EG110" s="459">
        <f t="shared" si="219"/>
        <v>0</v>
      </c>
      <c r="EH110" s="459">
        <f t="shared" si="219"/>
        <v>0</v>
      </c>
      <c r="EI110" s="459">
        <f t="shared" si="219"/>
        <v>0</v>
      </c>
      <c r="EJ110" s="459">
        <f t="shared" si="219"/>
        <v>0</v>
      </c>
      <c r="EK110" s="460">
        <f t="shared" si="220"/>
        <v>0</v>
      </c>
    </row>
    <row r="111" spans="2:141" s="270" customFormat="1" ht="15" customHeight="1" x14ac:dyDescent="0.25">
      <c r="B111" s="464" t="str">
        <f>'2. START'!C$7</f>
        <v>100GEM</v>
      </c>
      <c r="C111" s="470"/>
      <c r="D111" s="593"/>
      <c r="E111" s="527">
        <v>0</v>
      </c>
      <c r="F111" s="527" t="s">
        <v>36</v>
      </c>
      <c r="G111" s="527"/>
      <c r="H111" s="515"/>
      <c r="I111" s="515"/>
      <c r="J111" s="515"/>
      <c r="K111" s="515"/>
      <c r="L111" s="515"/>
      <c r="M111" s="515"/>
      <c r="N111" s="515"/>
      <c r="O111" s="515"/>
      <c r="P111" s="515"/>
      <c r="Q111" s="515"/>
      <c r="R111" s="442">
        <f t="shared" si="108"/>
        <v>0</v>
      </c>
      <c r="S111" s="516">
        <f>IF('2. START'!$C$20="UTB",(SUMIF('3. PARTNER'!B$13:B$80,B111,'3. PARTNER'!M$13:M$80)),(SUMIF('3. PARTNER'!B$13:B$80,B111,'3. PARTNER'!I$13:I$80)))</f>
        <v>0</v>
      </c>
      <c r="T111" s="516">
        <f>IF('2. START'!$C$20="UTB",(SUMIF('3. PARTNER'!B$13:B$80,B111,'3. PARTNER'!N$13:N$80)),(SUMIF('3. PARTNER'!B$13:B$80,B111,'3. PARTNER'!J$13:J$80)))</f>
        <v>0</v>
      </c>
      <c r="U111" s="517">
        <f>IF(F111="NO",0,IF('2. START'!C$13="PERSON+OPERATION",'2. START'!C$12,0)+IF('2. START'!C$13="PERSON+OPERATION+INVEST+FACILIT",'2. START'!C$12,0))</f>
        <v>0</v>
      </c>
      <c r="W111" s="442">
        <f t="shared" si="109"/>
        <v>0</v>
      </c>
      <c r="X111" s="442">
        <f t="shared" si="110"/>
        <v>0</v>
      </c>
      <c r="Y111" s="442">
        <f t="shared" si="111"/>
        <v>0</v>
      </c>
      <c r="Z111" s="442">
        <f t="shared" si="112"/>
        <v>0</v>
      </c>
      <c r="AA111" s="442">
        <f t="shared" si="113"/>
        <v>0</v>
      </c>
      <c r="AB111" s="442">
        <f t="shared" si="114"/>
        <v>0</v>
      </c>
      <c r="AC111" s="442">
        <f t="shared" si="115"/>
        <v>0</v>
      </c>
      <c r="AD111" s="442">
        <f t="shared" si="116"/>
        <v>0</v>
      </c>
      <c r="AE111" s="442">
        <f t="shared" si="117"/>
        <v>0</v>
      </c>
      <c r="AF111" s="442">
        <f t="shared" si="118"/>
        <v>0</v>
      </c>
      <c r="AG111" s="443">
        <f t="shared" si="159"/>
        <v>0</v>
      </c>
      <c r="AI111" s="442">
        <f t="shared" si="119"/>
        <v>0</v>
      </c>
      <c r="AJ111" s="442">
        <f t="shared" si="120"/>
        <v>0</v>
      </c>
      <c r="AK111" s="442">
        <f t="shared" si="121"/>
        <v>0</v>
      </c>
      <c r="AL111" s="442">
        <f t="shared" si="122"/>
        <v>0</v>
      </c>
      <c r="AM111" s="442">
        <f t="shared" si="123"/>
        <v>0</v>
      </c>
      <c r="AN111" s="442">
        <f t="shared" si="124"/>
        <v>0</v>
      </c>
      <c r="AO111" s="442">
        <f t="shared" si="125"/>
        <v>0</v>
      </c>
      <c r="AP111" s="442">
        <f t="shared" si="126"/>
        <v>0</v>
      </c>
      <c r="AQ111" s="442">
        <f t="shared" si="127"/>
        <v>0</v>
      </c>
      <c r="AR111" s="442">
        <f t="shared" si="128"/>
        <v>0</v>
      </c>
      <c r="AS111" s="443">
        <f t="shared" si="160"/>
        <v>0</v>
      </c>
      <c r="AU111" s="442">
        <f t="shared" si="161"/>
        <v>0</v>
      </c>
      <c r="AV111" s="442">
        <f t="shared" si="162"/>
        <v>0</v>
      </c>
      <c r="AW111" s="442">
        <f t="shared" si="163"/>
        <v>0</v>
      </c>
      <c r="AX111" s="442">
        <f t="shared" si="164"/>
        <v>0</v>
      </c>
      <c r="AY111" s="442">
        <f t="shared" si="165"/>
        <v>0</v>
      </c>
      <c r="AZ111" s="442">
        <f t="shared" si="166"/>
        <v>0</v>
      </c>
      <c r="BA111" s="442">
        <f t="shared" si="167"/>
        <v>0</v>
      </c>
      <c r="BB111" s="442">
        <f t="shared" si="168"/>
        <v>0</v>
      </c>
      <c r="BC111" s="442">
        <f t="shared" si="169"/>
        <v>0</v>
      </c>
      <c r="BD111" s="442">
        <f t="shared" si="170"/>
        <v>0</v>
      </c>
      <c r="BE111" s="443">
        <f t="shared" si="171"/>
        <v>0</v>
      </c>
      <c r="BG111" s="442">
        <f t="shared" si="172"/>
        <v>0</v>
      </c>
      <c r="BH111" s="442">
        <f t="shared" si="173"/>
        <v>0</v>
      </c>
      <c r="BI111" s="442">
        <f t="shared" si="174"/>
        <v>0</v>
      </c>
      <c r="BJ111" s="442">
        <f t="shared" si="175"/>
        <v>0</v>
      </c>
      <c r="BK111" s="442">
        <f t="shared" si="176"/>
        <v>0</v>
      </c>
      <c r="BL111" s="442">
        <f t="shared" si="177"/>
        <v>0</v>
      </c>
      <c r="BM111" s="442">
        <f t="shared" si="178"/>
        <v>0</v>
      </c>
      <c r="BN111" s="442">
        <f t="shared" si="179"/>
        <v>0</v>
      </c>
      <c r="BO111" s="442">
        <f t="shared" si="180"/>
        <v>0</v>
      </c>
      <c r="BP111" s="442">
        <f t="shared" si="181"/>
        <v>0</v>
      </c>
      <c r="BQ111" s="443">
        <f t="shared" si="182"/>
        <v>0</v>
      </c>
      <c r="BS111" s="442">
        <f t="shared" si="183"/>
        <v>0</v>
      </c>
      <c r="BT111" s="442">
        <f t="shared" si="184"/>
        <v>0</v>
      </c>
      <c r="BU111" s="442">
        <f t="shared" si="185"/>
        <v>0</v>
      </c>
      <c r="BV111" s="442">
        <f t="shared" si="186"/>
        <v>0</v>
      </c>
      <c r="BW111" s="442">
        <f t="shared" si="187"/>
        <v>0</v>
      </c>
      <c r="BX111" s="442">
        <f t="shared" si="188"/>
        <v>0</v>
      </c>
      <c r="BY111" s="442">
        <f t="shared" si="189"/>
        <v>0</v>
      </c>
      <c r="BZ111" s="442">
        <f t="shared" si="190"/>
        <v>0</v>
      </c>
      <c r="CA111" s="442">
        <f t="shared" si="191"/>
        <v>0</v>
      </c>
      <c r="CB111" s="442">
        <f t="shared" si="192"/>
        <v>0</v>
      </c>
      <c r="CC111" s="443">
        <f t="shared" si="193"/>
        <v>0</v>
      </c>
      <c r="CE111" s="442">
        <f t="shared" si="194"/>
        <v>0</v>
      </c>
      <c r="CF111" s="442">
        <f t="shared" si="195"/>
        <v>0</v>
      </c>
      <c r="CG111" s="442">
        <f t="shared" si="196"/>
        <v>0</v>
      </c>
      <c r="CH111" s="442">
        <f t="shared" si="197"/>
        <v>0</v>
      </c>
      <c r="CI111" s="442">
        <f t="shared" si="198"/>
        <v>0</v>
      </c>
      <c r="CJ111" s="442">
        <f t="shared" si="199"/>
        <v>0</v>
      </c>
      <c r="CK111" s="442">
        <f t="shared" si="200"/>
        <v>0</v>
      </c>
      <c r="CL111" s="442">
        <f t="shared" si="201"/>
        <v>0</v>
      </c>
      <c r="CM111" s="442">
        <f t="shared" si="202"/>
        <v>0</v>
      </c>
      <c r="CN111" s="442">
        <f t="shared" si="203"/>
        <v>0</v>
      </c>
      <c r="CO111" s="443">
        <f t="shared" si="204"/>
        <v>0</v>
      </c>
      <c r="CQ111" s="442">
        <f t="shared" si="129"/>
        <v>0</v>
      </c>
      <c r="CR111" s="442">
        <f t="shared" si="130"/>
        <v>0</v>
      </c>
      <c r="CS111" s="442">
        <f t="shared" si="131"/>
        <v>0</v>
      </c>
      <c r="CT111" s="442">
        <f t="shared" si="132"/>
        <v>0</v>
      </c>
      <c r="CU111" s="442">
        <f t="shared" si="133"/>
        <v>0</v>
      </c>
      <c r="CV111" s="442">
        <f t="shared" si="134"/>
        <v>0</v>
      </c>
      <c r="CW111" s="442">
        <f t="shared" si="135"/>
        <v>0</v>
      </c>
      <c r="CX111" s="442">
        <f t="shared" si="136"/>
        <v>0</v>
      </c>
      <c r="CY111" s="442">
        <f t="shared" si="137"/>
        <v>0</v>
      </c>
      <c r="CZ111" s="442">
        <f t="shared" si="138"/>
        <v>0</v>
      </c>
      <c r="DA111" s="443">
        <f t="shared" si="205"/>
        <v>0</v>
      </c>
      <c r="DC111" s="442">
        <f t="shared" si="206"/>
        <v>0</v>
      </c>
      <c r="DD111" s="442">
        <f t="shared" si="207"/>
        <v>0</v>
      </c>
      <c r="DE111" s="442">
        <f t="shared" si="208"/>
        <v>0</v>
      </c>
      <c r="DF111" s="442">
        <f t="shared" si="209"/>
        <v>0</v>
      </c>
      <c r="DG111" s="442">
        <f t="shared" si="210"/>
        <v>0</v>
      </c>
      <c r="DH111" s="442">
        <f t="shared" si="211"/>
        <v>0</v>
      </c>
      <c r="DI111" s="442">
        <f t="shared" si="212"/>
        <v>0</v>
      </c>
      <c r="DJ111" s="442">
        <f t="shared" si="213"/>
        <v>0</v>
      </c>
      <c r="DK111" s="442">
        <f t="shared" si="214"/>
        <v>0</v>
      </c>
      <c r="DL111" s="442">
        <f t="shared" si="215"/>
        <v>0</v>
      </c>
      <c r="DM111" s="443">
        <f t="shared" si="216"/>
        <v>0</v>
      </c>
      <c r="DO111" s="442">
        <f t="shared" si="217"/>
        <v>0</v>
      </c>
      <c r="DP111" s="442">
        <f t="shared" si="217"/>
        <v>0</v>
      </c>
      <c r="DQ111" s="442">
        <f t="shared" si="217"/>
        <v>0</v>
      </c>
      <c r="DR111" s="442">
        <f t="shared" si="217"/>
        <v>0</v>
      </c>
      <c r="DS111" s="442">
        <f t="shared" si="217"/>
        <v>0</v>
      </c>
      <c r="DT111" s="442">
        <f t="shared" si="217"/>
        <v>0</v>
      </c>
      <c r="DU111" s="442">
        <f t="shared" si="217"/>
        <v>0</v>
      </c>
      <c r="DV111" s="442">
        <f t="shared" si="217"/>
        <v>0</v>
      </c>
      <c r="DW111" s="442">
        <f t="shared" si="217"/>
        <v>0</v>
      </c>
      <c r="DX111" s="442">
        <f t="shared" si="217"/>
        <v>0</v>
      </c>
      <c r="DY111" s="443">
        <f t="shared" si="218"/>
        <v>0</v>
      </c>
      <c r="EA111" s="442">
        <f t="shared" si="219"/>
        <v>0</v>
      </c>
      <c r="EB111" s="442">
        <f t="shared" si="219"/>
        <v>0</v>
      </c>
      <c r="EC111" s="442">
        <f t="shared" si="219"/>
        <v>0</v>
      </c>
      <c r="ED111" s="442">
        <f t="shared" si="219"/>
        <v>0</v>
      </c>
      <c r="EE111" s="442">
        <f t="shared" si="219"/>
        <v>0</v>
      </c>
      <c r="EF111" s="442">
        <f t="shared" si="219"/>
        <v>0</v>
      </c>
      <c r="EG111" s="442">
        <f t="shared" si="219"/>
        <v>0</v>
      </c>
      <c r="EH111" s="442">
        <f t="shared" si="219"/>
        <v>0</v>
      </c>
      <c r="EI111" s="442">
        <f t="shared" si="219"/>
        <v>0</v>
      </c>
      <c r="EJ111" s="442">
        <f t="shared" si="219"/>
        <v>0</v>
      </c>
      <c r="EK111" s="443">
        <f t="shared" si="220"/>
        <v>0</v>
      </c>
    </row>
    <row r="112" spans="2:141" s="268" customFormat="1" ht="15" customHeight="1" x14ac:dyDescent="0.25">
      <c r="B112" s="446" t="str">
        <f>'2. START'!C$7</f>
        <v>100GEM</v>
      </c>
      <c r="C112" s="469"/>
      <c r="D112" s="594"/>
      <c r="E112" s="522">
        <v>0</v>
      </c>
      <c r="F112" s="522" t="s">
        <v>36</v>
      </c>
      <c r="G112" s="522"/>
      <c r="H112" s="523"/>
      <c r="I112" s="523"/>
      <c r="J112" s="523"/>
      <c r="K112" s="523"/>
      <c r="L112" s="523"/>
      <c r="M112" s="523"/>
      <c r="N112" s="523"/>
      <c r="O112" s="523"/>
      <c r="P112" s="523"/>
      <c r="Q112" s="523"/>
      <c r="R112" s="459">
        <f t="shared" si="108"/>
        <v>0</v>
      </c>
      <c r="S112" s="524">
        <f>IF('2. START'!$C$20="UTB",(SUMIF('3. PARTNER'!B$13:B$80,B112,'3. PARTNER'!M$13:M$80)),(SUMIF('3. PARTNER'!B$13:B$80,B112,'3. PARTNER'!I$13:I$80)))</f>
        <v>0</v>
      </c>
      <c r="T112" s="524">
        <f>IF('2. START'!$C$20="UTB",(SUMIF('3. PARTNER'!B$13:B$80,B112,'3. PARTNER'!N$13:N$80)),(SUMIF('3. PARTNER'!B$13:B$80,B112,'3. PARTNER'!J$13:J$80)))</f>
        <v>0</v>
      </c>
      <c r="U112" s="454">
        <f>IF(F112="NO",0,IF('2. START'!C$13="PERSON+OPERATION",'2. START'!C$12,0)+IF('2. START'!C$13="PERSON+OPERATION+INVEST+FACILIT",'2. START'!C$12,0))</f>
        <v>0</v>
      </c>
      <c r="V112" s="463"/>
      <c r="W112" s="459">
        <f t="shared" si="109"/>
        <v>0</v>
      </c>
      <c r="X112" s="459">
        <f t="shared" si="110"/>
        <v>0</v>
      </c>
      <c r="Y112" s="459">
        <f t="shared" si="111"/>
        <v>0</v>
      </c>
      <c r="Z112" s="459">
        <f t="shared" si="112"/>
        <v>0</v>
      </c>
      <c r="AA112" s="459">
        <f t="shared" si="113"/>
        <v>0</v>
      </c>
      <c r="AB112" s="459">
        <f t="shared" si="114"/>
        <v>0</v>
      </c>
      <c r="AC112" s="459">
        <f t="shared" si="115"/>
        <v>0</v>
      </c>
      <c r="AD112" s="459">
        <f t="shared" si="116"/>
        <v>0</v>
      </c>
      <c r="AE112" s="459">
        <f t="shared" si="117"/>
        <v>0</v>
      </c>
      <c r="AF112" s="459">
        <f t="shared" si="118"/>
        <v>0</v>
      </c>
      <c r="AG112" s="460">
        <f t="shared" si="159"/>
        <v>0</v>
      </c>
      <c r="AH112" s="463"/>
      <c r="AI112" s="459">
        <f t="shared" si="119"/>
        <v>0</v>
      </c>
      <c r="AJ112" s="459">
        <f t="shared" si="120"/>
        <v>0</v>
      </c>
      <c r="AK112" s="459">
        <f t="shared" si="121"/>
        <v>0</v>
      </c>
      <c r="AL112" s="459">
        <f t="shared" si="122"/>
        <v>0</v>
      </c>
      <c r="AM112" s="459">
        <f t="shared" si="123"/>
        <v>0</v>
      </c>
      <c r="AN112" s="459">
        <f t="shared" si="124"/>
        <v>0</v>
      </c>
      <c r="AO112" s="459">
        <f t="shared" si="125"/>
        <v>0</v>
      </c>
      <c r="AP112" s="459">
        <f t="shared" si="126"/>
        <v>0</v>
      </c>
      <c r="AQ112" s="459">
        <f t="shared" si="127"/>
        <v>0</v>
      </c>
      <c r="AR112" s="459">
        <f t="shared" si="128"/>
        <v>0</v>
      </c>
      <c r="AS112" s="460">
        <f t="shared" si="160"/>
        <v>0</v>
      </c>
      <c r="AT112" s="463"/>
      <c r="AU112" s="459">
        <f t="shared" si="161"/>
        <v>0</v>
      </c>
      <c r="AV112" s="459">
        <f t="shared" si="162"/>
        <v>0</v>
      </c>
      <c r="AW112" s="459">
        <f t="shared" si="163"/>
        <v>0</v>
      </c>
      <c r="AX112" s="459">
        <f t="shared" si="164"/>
        <v>0</v>
      </c>
      <c r="AY112" s="459">
        <f t="shared" si="165"/>
        <v>0</v>
      </c>
      <c r="AZ112" s="459">
        <f t="shared" si="166"/>
        <v>0</v>
      </c>
      <c r="BA112" s="459">
        <f t="shared" si="167"/>
        <v>0</v>
      </c>
      <c r="BB112" s="459">
        <f t="shared" si="168"/>
        <v>0</v>
      </c>
      <c r="BC112" s="459">
        <f t="shared" si="169"/>
        <v>0</v>
      </c>
      <c r="BD112" s="459">
        <f t="shared" si="170"/>
        <v>0</v>
      </c>
      <c r="BE112" s="460">
        <f t="shared" si="171"/>
        <v>0</v>
      </c>
      <c r="BF112" s="463"/>
      <c r="BG112" s="459">
        <f t="shared" si="172"/>
        <v>0</v>
      </c>
      <c r="BH112" s="459">
        <f t="shared" si="173"/>
        <v>0</v>
      </c>
      <c r="BI112" s="459">
        <f t="shared" si="174"/>
        <v>0</v>
      </c>
      <c r="BJ112" s="459">
        <f t="shared" si="175"/>
        <v>0</v>
      </c>
      <c r="BK112" s="459">
        <f t="shared" si="176"/>
        <v>0</v>
      </c>
      <c r="BL112" s="459">
        <f t="shared" si="177"/>
        <v>0</v>
      </c>
      <c r="BM112" s="459">
        <f t="shared" si="178"/>
        <v>0</v>
      </c>
      <c r="BN112" s="459">
        <f t="shared" si="179"/>
        <v>0</v>
      </c>
      <c r="BO112" s="459">
        <f t="shared" si="180"/>
        <v>0</v>
      </c>
      <c r="BP112" s="459">
        <f t="shared" si="181"/>
        <v>0</v>
      </c>
      <c r="BQ112" s="460">
        <f t="shared" si="182"/>
        <v>0</v>
      </c>
      <c r="BR112" s="463"/>
      <c r="BS112" s="459">
        <f t="shared" si="183"/>
        <v>0</v>
      </c>
      <c r="BT112" s="459">
        <f t="shared" si="184"/>
        <v>0</v>
      </c>
      <c r="BU112" s="459">
        <f t="shared" si="185"/>
        <v>0</v>
      </c>
      <c r="BV112" s="459">
        <f t="shared" si="186"/>
        <v>0</v>
      </c>
      <c r="BW112" s="459">
        <f t="shared" si="187"/>
        <v>0</v>
      </c>
      <c r="BX112" s="459">
        <f t="shared" si="188"/>
        <v>0</v>
      </c>
      <c r="BY112" s="459">
        <f t="shared" si="189"/>
        <v>0</v>
      </c>
      <c r="BZ112" s="459">
        <f t="shared" si="190"/>
        <v>0</v>
      </c>
      <c r="CA112" s="459">
        <f t="shared" si="191"/>
        <v>0</v>
      </c>
      <c r="CB112" s="459">
        <f t="shared" si="192"/>
        <v>0</v>
      </c>
      <c r="CC112" s="460">
        <f t="shared" si="193"/>
        <v>0</v>
      </c>
      <c r="CD112" s="463"/>
      <c r="CE112" s="459">
        <f t="shared" si="194"/>
        <v>0</v>
      </c>
      <c r="CF112" s="459">
        <f t="shared" si="195"/>
        <v>0</v>
      </c>
      <c r="CG112" s="459">
        <f t="shared" si="196"/>
        <v>0</v>
      </c>
      <c r="CH112" s="459">
        <f t="shared" si="197"/>
        <v>0</v>
      </c>
      <c r="CI112" s="459">
        <f t="shared" si="198"/>
        <v>0</v>
      </c>
      <c r="CJ112" s="459">
        <f t="shared" si="199"/>
        <v>0</v>
      </c>
      <c r="CK112" s="459">
        <f t="shared" si="200"/>
        <v>0</v>
      </c>
      <c r="CL112" s="459">
        <f t="shared" si="201"/>
        <v>0</v>
      </c>
      <c r="CM112" s="459">
        <f t="shared" si="202"/>
        <v>0</v>
      </c>
      <c r="CN112" s="459">
        <f t="shared" si="203"/>
        <v>0</v>
      </c>
      <c r="CO112" s="460">
        <f t="shared" si="204"/>
        <v>0</v>
      </c>
      <c r="CP112" s="463"/>
      <c r="CQ112" s="459">
        <f t="shared" si="129"/>
        <v>0</v>
      </c>
      <c r="CR112" s="459">
        <f t="shared" si="130"/>
        <v>0</v>
      </c>
      <c r="CS112" s="459">
        <f t="shared" si="131"/>
        <v>0</v>
      </c>
      <c r="CT112" s="459">
        <f t="shared" si="132"/>
        <v>0</v>
      </c>
      <c r="CU112" s="459">
        <f t="shared" si="133"/>
        <v>0</v>
      </c>
      <c r="CV112" s="459">
        <f t="shared" si="134"/>
        <v>0</v>
      </c>
      <c r="CW112" s="459">
        <f t="shared" si="135"/>
        <v>0</v>
      </c>
      <c r="CX112" s="459">
        <f t="shared" si="136"/>
        <v>0</v>
      </c>
      <c r="CY112" s="459">
        <f t="shared" si="137"/>
        <v>0</v>
      </c>
      <c r="CZ112" s="459">
        <f t="shared" si="138"/>
        <v>0</v>
      </c>
      <c r="DA112" s="460">
        <f t="shared" si="205"/>
        <v>0</v>
      </c>
      <c r="DB112" s="463"/>
      <c r="DC112" s="459">
        <f t="shared" si="206"/>
        <v>0</v>
      </c>
      <c r="DD112" s="459">
        <f t="shared" si="207"/>
        <v>0</v>
      </c>
      <c r="DE112" s="459">
        <f t="shared" si="208"/>
        <v>0</v>
      </c>
      <c r="DF112" s="459">
        <f t="shared" si="209"/>
        <v>0</v>
      </c>
      <c r="DG112" s="459">
        <f t="shared" si="210"/>
        <v>0</v>
      </c>
      <c r="DH112" s="459">
        <f t="shared" si="211"/>
        <v>0</v>
      </c>
      <c r="DI112" s="459">
        <f t="shared" si="212"/>
        <v>0</v>
      </c>
      <c r="DJ112" s="459">
        <f t="shared" si="213"/>
        <v>0</v>
      </c>
      <c r="DK112" s="459">
        <f t="shared" si="214"/>
        <v>0</v>
      </c>
      <c r="DL112" s="459">
        <f t="shared" si="215"/>
        <v>0</v>
      </c>
      <c r="DM112" s="460">
        <f t="shared" si="216"/>
        <v>0</v>
      </c>
      <c r="DN112" s="463"/>
      <c r="DO112" s="459">
        <f t="shared" si="217"/>
        <v>0</v>
      </c>
      <c r="DP112" s="459">
        <f t="shared" si="217"/>
        <v>0</v>
      </c>
      <c r="DQ112" s="459">
        <f t="shared" si="217"/>
        <v>0</v>
      </c>
      <c r="DR112" s="459">
        <f t="shared" si="217"/>
        <v>0</v>
      </c>
      <c r="DS112" s="459">
        <f t="shared" si="217"/>
        <v>0</v>
      </c>
      <c r="DT112" s="459">
        <f t="shared" si="217"/>
        <v>0</v>
      </c>
      <c r="DU112" s="459">
        <f t="shared" si="217"/>
        <v>0</v>
      </c>
      <c r="DV112" s="459">
        <f t="shared" si="217"/>
        <v>0</v>
      </c>
      <c r="DW112" s="459">
        <f t="shared" si="217"/>
        <v>0</v>
      </c>
      <c r="DX112" s="459">
        <f t="shared" si="217"/>
        <v>0</v>
      </c>
      <c r="DY112" s="460">
        <f t="shared" si="218"/>
        <v>0</v>
      </c>
      <c r="DZ112" s="463"/>
      <c r="EA112" s="459">
        <f t="shared" si="219"/>
        <v>0</v>
      </c>
      <c r="EB112" s="459">
        <f t="shared" si="219"/>
        <v>0</v>
      </c>
      <c r="EC112" s="459">
        <f t="shared" si="219"/>
        <v>0</v>
      </c>
      <c r="ED112" s="459">
        <f t="shared" si="219"/>
        <v>0</v>
      </c>
      <c r="EE112" s="459">
        <f t="shared" si="219"/>
        <v>0</v>
      </c>
      <c r="EF112" s="459">
        <f t="shared" si="219"/>
        <v>0</v>
      </c>
      <c r="EG112" s="459">
        <f t="shared" si="219"/>
        <v>0</v>
      </c>
      <c r="EH112" s="459">
        <f t="shared" si="219"/>
        <v>0</v>
      </c>
      <c r="EI112" s="459">
        <f t="shared" si="219"/>
        <v>0</v>
      </c>
      <c r="EJ112" s="459">
        <f t="shared" si="219"/>
        <v>0</v>
      </c>
      <c r="EK112" s="460">
        <f t="shared" si="220"/>
        <v>0</v>
      </c>
    </row>
    <row r="113" spans="2:141" s="270" customFormat="1" ht="15" customHeight="1" x14ac:dyDescent="0.25">
      <c r="B113" s="464" t="str">
        <f>'2. START'!C$7</f>
        <v>100GEM</v>
      </c>
      <c r="C113" s="470"/>
      <c r="D113" s="593"/>
      <c r="E113" s="527">
        <v>0</v>
      </c>
      <c r="F113" s="527" t="s">
        <v>36</v>
      </c>
      <c r="G113" s="527"/>
      <c r="H113" s="515"/>
      <c r="I113" s="515"/>
      <c r="J113" s="515"/>
      <c r="K113" s="515"/>
      <c r="L113" s="515"/>
      <c r="M113" s="515"/>
      <c r="N113" s="515"/>
      <c r="O113" s="515"/>
      <c r="P113" s="515"/>
      <c r="Q113" s="515"/>
      <c r="R113" s="442">
        <f t="shared" ref="R113:R144" si="221">SUM(H113:Q113)</f>
        <v>0</v>
      </c>
      <c r="S113" s="516">
        <f>IF('2. START'!$C$20="UTB",(SUMIF('3. PARTNER'!B$13:B$80,B113,'3. PARTNER'!M$13:M$80)),(SUMIF('3. PARTNER'!B$13:B$80,B113,'3. PARTNER'!I$13:I$80)))</f>
        <v>0</v>
      </c>
      <c r="T113" s="516">
        <f>IF('2. START'!$C$20="UTB",(SUMIF('3. PARTNER'!B$13:B$80,B113,'3. PARTNER'!N$13:N$80)),(SUMIF('3. PARTNER'!B$13:B$80,B113,'3. PARTNER'!J$13:J$80)))</f>
        <v>0</v>
      </c>
      <c r="U113" s="517">
        <f>IF(F113="NO",0,IF('2. START'!C$13="PERSON+OPERATION",'2. START'!C$12,0)+IF('2. START'!C$13="PERSON+OPERATION+INVEST+FACILIT",'2. START'!C$12,0))</f>
        <v>0</v>
      </c>
      <c r="W113" s="442">
        <f t="shared" ref="W113:W149" si="222">H113*(1-$E113)</f>
        <v>0</v>
      </c>
      <c r="X113" s="442">
        <f t="shared" ref="X113:X149" si="223">I113*(1-$E113)</f>
        <v>0</v>
      </c>
      <c r="Y113" s="442">
        <f t="shared" ref="Y113:Y149" si="224">J113*(1-$E113)</f>
        <v>0</v>
      </c>
      <c r="Z113" s="442">
        <f t="shared" ref="Z113:Z149" si="225">K113*(1-$E113)</f>
        <v>0</v>
      </c>
      <c r="AA113" s="442">
        <f t="shared" ref="AA113:AA149" si="226">L113*(1-$E113)</f>
        <v>0</v>
      </c>
      <c r="AB113" s="442">
        <f t="shared" ref="AB113:AB149" si="227">M113*(1-$E113)</f>
        <v>0</v>
      </c>
      <c r="AC113" s="442">
        <f t="shared" ref="AC113:AC149" si="228">N113*(1-$E113)</f>
        <v>0</v>
      </c>
      <c r="AD113" s="442">
        <f t="shared" ref="AD113:AD149" si="229">O113*(1-$E113)</f>
        <v>0</v>
      </c>
      <c r="AE113" s="442">
        <f t="shared" ref="AE113:AE149" si="230">P113*(1-$E113)</f>
        <v>0</v>
      </c>
      <c r="AF113" s="442">
        <f t="shared" ref="AF113:AF149" si="231">Q113*(1-$E113)</f>
        <v>0</v>
      </c>
      <c r="AG113" s="443">
        <f t="shared" si="159"/>
        <v>0</v>
      </c>
      <c r="AI113" s="442">
        <f t="shared" ref="AI113:AI149" si="232">H113*$E113</f>
        <v>0</v>
      </c>
      <c r="AJ113" s="442">
        <f t="shared" ref="AJ113:AJ149" si="233">I113*$E113</f>
        <v>0</v>
      </c>
      <c r="AK113" s="442">
        <f t="shared" ref="AK113:AK149" si="234">J113*$E113</f>
        <v>0</v>
      </c>
      <c r="AL113" s="442">
        <f t="shared" ref="AL113:AL149" si="235">K113*$E113</f>
        <v>0</v>
      </c>
      <c r="AM113" s="442">
        <f t="shared" ref="AM113:AM149" si="236">L113*$E113</f>
        <v>0</v>
      </c>
      <c r="AN113" s="442">
        <f t="shared" ref="AN113:AN149" si="237">M113*$E113</f>
        <v>0</v>
      </c>
      <c r="AO113" s="442">
        <f t="shared" ref="AO113:AO149" si="238">N113*$E113</f>
        <v>0</v>
      </c>
      <c r="AP113" s="442">
        <f t="shared" ref="AP113:AP149" si="239">O113*$E113</f>
        <v>0</v>
      </c>
      <c r="AQ113" s="442">
        <f t="shared" ref="AQ113:AQ149" si="240">P113*$E113</f>
        <v>0</v>
      </c>
      <c r="AR113" s="442">
        <f t="shared" ref="AR113:AR149" si="241">Q113*$E113</f>
        <v>0</v>
      </c>
      <c r="AS113" s="443">
        <f t="shared" si="160"/>
        <v>0</v>
      </c>
      <c r="AU113" s="442">
        <f t="shared" si="161"/>
        <v>0</v>
      </c>
      <c r="AV113" s="442">
        <f t="shared" si="162"/>
        <v>0</v>
      </c>
      <c r="AW113" s="442">
        <f t="shared" si="163"/>
        <v>0</v>
      </c>
      <c r="AX113" s="442">
        <f t="shared" si="164"/>
        <v>0</v>
      </c>
      <c r="AY113" s="442">
        <f t="shared" si="165"/>
        <v>0</v>
      </c>
      <c r="AZ113" s="442">
        <f t="shared" si="166"/>
        <v>0</v>
      </c>
      <c r="BA113" s="442">
        <f t="shared" si="167"/>
        <v>0</v>
      </c>
      <c r="BB113" s="442">
        <f t="shared" si="168"/>
        <v>0</v>
      </c>
      <c r="BC113" s="442">
        <f t="shared" si="169"/>
        <v>0</v>
      </c>
      <c r="BD113" s="442">
        <f t="shared" si="170"/>
        <v>0</v>
      </c>
      <c r="BE113" s="443">
        <f t="shared" si="171"/>
        <v>0</v>
      </c>
      <c r="BG113" s="442">
        <f t="shared" si="172"/>
        <v>0</v>
      </c>
      <c r="BH113" s="442">
        <f t="shared" si="173"/>
        <v>0</v>
      </c>
      <c r="BI113" s="442">
        <f t="shared" si="174"/>
        <v>0</v>
      </c>
      <c r="BJ113" s="442">
        <f t="shared" si="175"/>
        <v>0</v>
      </c>
      <c r="BK113" s="442">
        <f t="shared" si="176"/>
        <v>0</v>
      </c>
      <c r="BL113" s="442">
        <f t="shared" si="177"/>
        <v>0</v>
      </c>
      <c r="BM113" s="442">
        <f t="shared" si="178"/>
        <v>0</v>
      </c>
      <c r="BN113" s="442">
        <f t="shared" si="179"/>
        <v>0</v>
      </c>
      <c r="BO113" s="442">
        <f t="shared" si="180"/>
        <v>0</v>
      </c>
      <c r="BP113" s="442">
        <f t="shared" si="181"/>
        <v>0</v>
      </c>
      <c r="BQ113" s="443">
        <f t="shared" si="182"/>
        <v>0</v>
      </c>
      <c r="BS113" s="442">
        <f t="shared" si="183"/>
        <v>0</v>
      </c>
      <c r="BT113" s="442">
        <f t="shared" si="184"/>
        <v>0</v>
      </c>
      <c r="BU113" s="442">
        <f t="shared" si="185"/>
        <v>0</v>
      </c>
      <c r="BV113" s="442">
        <f t="shared" si="186"/>
        <v>0</v>
      </c>
      <c r="BW113" s="442">
        <f t="shared" si="187"/>
        <v>0</v>
      </c>
      <c r="BX113" s="442">
        <f t="shared" si="188"/>
        <v>0</v>
      </c>
      <c r="BY113" s="442">
        <f t="shared" si="189"/>
        <v>0</v>
      </c>
      <c r="BZ113" s="442">
        <f t="shared" si="190"/>
        <v>0</v>
      </c>
      <c r="CA113" s="442">
        <f t="shared" si="191"/>
        <v>0</v>
      </c>
      <c r="CB113" s="442">
        <f t="shared" si="192"/>
        <v>0</v>
      </c>
      <c r="CC113" s="443">
        <f t="shared" si="193"/>
        <v>0</v>
      </c>
      <c r="CE113" s="442">
        <f t="shared" si="194"/>
        <v>0</v>
      </c>
      <c r="CF113" s="442">
        <f t="shared" si="195"/>
        <v>0</v>
      </c>
      <c r="CG113" s="442">
        <f t="shared" si="196"/>
        <v>0</v>
      </c>
      <c r="CH113" s="442">
        <f t="shared" si="197"/>
        <v>0</v>
      </c>
      <c r="CI113" s="442">
        <f t="shared" si="198"/>
        <v>0</v>
      </c>
      <c r="CJ113" s="442">
        <f t="shared" si="199"/>
        <v>0</v>
      </c>
      <c r="CK113" s="442">
        <f t="shared" si="200"/>
        <v>0</v>
      </c>
      <c r="CL113" s="442">
        <f t="shared" si="201"/>
        <v>0</v>
      </c>
      <c r="CM113" s="442">
        <f t="shared" si="202"/>
        <v>0</v>
      </c>
      <c r="CN113" s="442">
        <f t="shared" si="203"/>
        <v>0</v>
      </c>
      <c r="CO113" s="443">
        <f t="shared" si="204"/>
        <v>0</v>
      </c>
      <c r="CQ113" s="442">
        <f t="shared" ref="CQ113:CQ149" si="242">IF($F113="YES",$U113*W113,0)</f>
        <v>0</v>
      </c>
      <c r="CR113" s="442">
        <f t="shared" ref="CR113:CR149" si="243">IF($F113="YES",$U113*X113,0)</f>
        <v>0</v>
      </c>
      <c r="CS113" s="442">
        <f t="shared" ref="CS113:CS149" si="244">IF($F113="YES",$U113*Y113,0)</f>
        <v>0</v>
      </c>
      <c r="CT113" s="442">
        <f t="shared" ref="CT113:CT149" si="245">IF($F113="YES",$U113*Z113,0)</f>
        <v>0</v>
      </c>
      <c r="CU113" s="442">
        <f t="shared" ref="CU113:CU149" si="246">IF($F113="YES",$U113*AA113,0)</f>
        <v>0</v>
      </c>
      <c r="CV113" s="442">
        <f t="shared" ref="CV113:CV149" si="247">IF($F113="YES",$U113*AB113,0)</f>
        <v>0</v>
      </c>
      <c r="CW113" s="442">
        <f t="shared" ref="CW113:CW149" si="248">IF($F113="YES",$U113*AC113,0)</f>
        <v>0</v>
      </c>
      <c r="CX113" s="442">
        <f t="shared" ref="CX113:CX149" si="249">IF($F113="YES",$U113*AD113,0)</f>
        <v>0</v>
      </c>
      <c r="CY113" s="442">
        <f t="shared" ref="CY113:CY149" si="250">IF($F113="YES",$U113*AE113,0)</f>
        <v>0</v>
      </c>
      <c r="CZ113" s="442">
        <f t="shared" ref="CZ113:CZ149" si="251">IF($F113="YES",$U113*AF113,0)</f>
        <v>0</v>
      </c>
      <c r="DA113" s="443">
        <f t="shared" si="205"/>
        <v>0</v>
      </c>
      <c r="DC113" s="442">
        <f t="shared" si="206"/>
        <v>0</v>
      </c>
      <c r="DD113" s="442">
        <f t="shared" si="207"/>
        <v>0</v>
      </c>
      <c r="DE113" s="442">
        <f t="shared" si="208"/>
        <v>0</v>
      </c>
      <c r="DF113" s="442">
        <f t="shared" si="209"/>
        <v>0</v>
      </c>
      <c r="DG113" s="442">
        <f t="shared" si="210"/>
        <v>0</v>
      </c>
      <c r="DH113" s="442">
        <f t="shared" si="211"/>
        <v>0</v>
      </c>
      <c r="DI113" s="442">
        <f t="shared" si="212"/>
        <v>0</v>
      </c>
      <c r="DJ113" s="442">
        <f t="shared" si="213"/>
        <v>0</v>
      </c>
      <c r="DK113" s="442">
        <f t="shared" si="214"/>
        <v>0</v>
      </c>
      <c r="DL113" s="442">
        <f t="shared" si="215"/>
        <v>0</v>
      </c>
      <c r="DM113" s="443">
        <f t="shared" si="216"/>
        <v>0</v>
      </c>
      <c r="DO113" s="442">
        <f t="shared" si="217"/>
        <v>0</v>
      </c>
      <c r="DP113" s="442">
        <f t="shared" si="217"/>
        <v>0</v>
      </c>
      <c r="DQ113" s="442">
        <f t="shared" si="217"/>
        <v>0</v>
      </c>
      <c r="DR113" s="442">
        <f t="shared" si="217"/>
        <v>0</v>
      </c>
      <c r="DS113" s="442">
        <f t="shared" si="217"/>
        <v>0</v>
      </c>
      <c r="DT113" s="442">
        <f t="shared" si="217"/>
        <v>0</v>
      </c>
      <c r="DU113" s="442">
        <f t="shared" si="217"/>
        <v>0</v>
      </c>
      <c r="DV113" s="442">
        <f t="shared" si="217"/>
        <v>0</v>
      </c>
      <c r="DW113" s="442">
        <f t="shared" si="217"/>
        <v>0</v>
      </c>
      <c r="DX113" s="442">
        <f t="shared" si="217"/>
        <v>0</v>
      </c>
      <c r="DY113" s="443">
        <f t="shared" si="218"/>
        <v>0</v>
      </c>
      <c r="EA113" s="442">
        <f t="shared" si="219"/>
        <v>0</v>
      </c>
      <c r="EB113" s="442">
        <f t="shared" si="219"/>
        <v>0</v>
      </c>
      <c r="EC113" s="442">
        <f t="shared" si="219"/>
        <v>0</v>
      </c>
      <c r="ED113" s="442">
        <f t="shared" si="219"/>
        <v>0</v>
      </c>
      <c r="EE113" s="442">
        <f t="shared" si="219"/>
        <v>0</v>
      </c>
      <c r="EF113" s="442">
        <f t="shared" si="219"/>
        <v>0</v>
      </c>
      <c r="EG113" s="442">
        <f t="shared" si="219"/>
        <v>0</v>
      </c>
      <c r="EH113" s="442">
        <f t="shared" si="219"/>
        <v>0</v>
      </c>
      <c r="EI113" s="442">
        <f t="shared" si="219"/>
        <v>0</v>
      </c>
      <c r="EJ113" s="442">
        <f t="shared" si="219"/>
        <v>0</v>
      </c>
      <c r="EK113" s="443">
        <f t="shared" si="220"/>
        <v>0</v>
      </c>
    </row>
    <row r="114" spans="2:141" s="268" customFormat="1" ht="15" customHeight="1" x14ac:dyDescent="0.25">
      <c r="B114" s="446" t="str">
        <f>'2. START'!C$7</f>
        <v>100GEM</v>
      </c>
      <c r="C114" s="469"/>
      <c r="D114" s="594"/>
      <c r="E114" s="522">
        <v>0</v>
      </c>
      <c r="F114" s="522" t="s">
        <v>36</v>
      </c>
      <c r="G114" s="522"/>
      <c r="H114" s="523"/>
      <c r="I114" s="523"/>
      <c r="J114" s="523"/>
      <c r="K114" s="523"/>
      <c r="L114" s="523"/>
      <c r="M114" s="523"/>
      <c r="N114" s="523"/>
      <c r="O114" s="523"/>
      <c r="P114" s="523"/>
      <c r="Q114" s="523"/>
      <c r="R114" s="459">
        <f t="shared" si="221"/>
        <v>0</v>
      </c>
      <c r="S114" s="524">
        <f>IF('2. START'!$C$20="UTB",(SUMIF('3. PARTNER'!B$13:B$80,B114,'3. PARTNER'!M$13:M$80)),(SUMIF('3. PARTNER'!B$13:B$80,B114,'3. PARTNER'!I$13:I$80)))</f>
        <v>0</v>
      </c>
      <c r="T114" s="524">
        <f>IF('2. START'!$C$20="UTB",(SUMIF('3. PARTNER'!B$13:B$80,B114,'3. PARTNER'!N$13:N$80)),(SUMIF('3. PARTNER'!B$13:B$80,B114,'3. PARTNER'!J$13:J$80)))</f>
        <v>0</v>
      </c>
      <c r="U114" s="454">
        <f>IF(F114="NO",0,IF('2. START'!C$13="PERSON+OPERATION",'2. START'!C$12,0)+IF('2. START'!C$13="PERSON+OPERATION+INVEST+FACILIT",'2. START'!C$12,0))</f>
        <v>0</v>
      </c>
      <c r="V114" s="463"/>
      <c r="W114" s="459">
        <f t="shared" si="222"/>
        <v>0</v>
      </c>
      <c r="X114" s="459">
        <f t="shared" si="223"/>
        <v>0</v>
      </c>
      <c r="Y114" s="459">
        <f t="shared" si="224"/>
        <v>0</v>
      </c>
      <c r="Z114" s="459">
        <f t="shared" si="225"/>
        <v>0</v>
      </c>
      <c r="AA114" s="459">
        <f t="shared" si="226"/>
        <v>0</v>
      </c>
      <c r="AB114" s="459">
        <f t="shared" si="227"/>
        <v>0</v>
      </c>
      <c r="AC114" s="459">
        <f t="shared" si="228"/>
        <v>0</v>
      </c>
      <c r="AD114" s="459">
        <f t="shared" si="229"/>
        <v>0</v>
      </c>
      <c r="AE114" s="459">
        <f t="shared" si="230"/>
        <v>0</v>
      </c>
      <c r="AF114" s="459">
        <f t="shared" si="231"/>
        <v>0</v>
      </c>
      <c r="AG114" s="460">
        <f t="shared" si="159"/>
        <v>0</v>
      </c>
      <c r="AH114" s="463"/>
      <c r="AI114" s="459">
        <f t="shared" si="232"/>
        <v>0</v>
      </c>
      <c r="AJ114" s="459">
        <f t="shared" si="233"/>
        <v>0</v>
      </c>
      <c r="AK114" s="459">
        <f t="shared" si="234"/>
        <v>0</v>
      </c>
      <c r="AL114" s="459">
        <f t="shared" si="235"/>
        <v>0</v>
      </c>
      <c r="AM114" s="459">
        <f t="shared" si="236"/>
        <v>0</v>
      </c>
      <c r="AN114" s="459">
        <f t="shared" si="237"/>
        <v>0</v>
      </c>
      <c r="AO114" s="459">
        <f t="shared" si="238"/>
        <v>0</v>
      </c>
      <c r="AP114" s="459">
        <f t="shared" si="239"/>
        <v>0</v>
      </c>
      <c r="AQ114" s="459">
        <f t="shared" si="240"/>
        <v>0</v>
      </c>
      <c r="AR114" s="459">
        <f t="shared" si="241"/>
        <v>0</v>
      </c>
      <c r="AS114" s="460">
        <f t="shared" si="160"/>
        <v>0</v>
      </c>
      <c r="AT114" s="463"/>
      <c r="AU114" s="459">
        <f t="shared" si="161"/>
        <v>0</v>
      </c>
      <c r="AV114" s="459">
        <f t="shared" si="162"/>
        <v>0</v>
      </c>
      <c r="AW114" s="459">
        <f t="shared" si="163"/>
        <v>0</v>
      </c>
      <c r="AX114" s="459">
        <f t="shared" si="164"/>
        <v>0</v>
      </c>
      <c r="AY114" s="459">
        <f t="shared" si="165"/>
        <v>0</v>
      </c>
      <c r="AZ114" s="459">
        <f t="shared" si="166"/>
        <v>0</v>
      </c>
      <c r="BA114" s="459">
        <f t="shared" si="167"/>
        <v>0</v>
      </c>
      <c r="BB114" s="459">
        <f t="shared" si="168"/>
        <v>0</v>
      </c>
      <c r="BC114" s="459">
        <f t="shared" si="169"/>
        <v>0</v>
      </c>
      <c r="BD114" s="459">
        <f t="shared" si="170"/>
        <v>0</v>
      </c>
      <c r="BE114" s="460">
        <f t="shared" si="171"/>
        <v>0</v>
      </c>
      <c r="BF114" s="463"/>
      <c r="BG114" s="459">
        <f t="shared" si="172"/>
        <v>0</v>
      </c>
      <c r="BH114" s="459">
        <f t="shared" si="173"/>
        <v>0</v>
      </c>
      <c r="BI114" s="459">
        <f t="shared" si="174"/>
        <v>0</v>
      </c>
      <c r="BJ114" s="459">
        <f t="shared" si="175"/>
        <v>0</v>
      </c>
      <c r="BK114" s="459">
        <f t="shared" si="176"/>
        <v>0</v>
      </c>
      <c r="BL114" s="459">
        <f t="shared" si="177"/>
        <v>0</v>
      </c>
      <c r="BM114" s="459">
        <f t="shared" si="178"/>
        <v>0</v>
      </c>
      <c r="BN114" s="459">
        <f t="shared" si="179"/>
        <v>0</v>
      </c>
      <c r="BO114" s="459">
        <f t="shared" si="180"/>
        <v>0</v>
      </c>
      <c r="BP114" s="459">
        <f t="shared" si="181"/>
        <v>0</v>
      </c>
      <c r="BQ114" s="460">
        <f t="shared" si="182"/>
        <v>0</v>
      </c>
      <c r="BR114" s="463"/>
      <c r="BS114" s="459">
        <f t="shared" si="183"/>
        <v>0</v>
      </c>
      <c r="BT114" s="459">
        <f t="shared" si="184"/>
        <v>0</v>
      </c>
      <c r="BU114" s="459">
        <f t="shared" si="185"/>
        <v>0</v>
      </c>
      <c r="BV114" s="459">
        <f t="shared" si="186"/>
        <v>0</v>
      </c>
      <c r="BW114" s="459">
        <f t="shared" si="187"/>
        <v>0</v>
      </c>
      <c r="BX114" s="459">
        <f t="shared" si="188"/>
        <v>0</v>
      </c>
      <c r="BY114" s="459">
        <f t="shared" si="189"/>
        <v>0</v>
      </c>
      <c r="BZ114" s="459">
        <f t="shared" si="190"/>
        <v>0</v>
      </c>
      <c r="CA114" s="459">
        <f t="shared" si="191"/>
        <v>0</v>
      </c>
      <c r="CB114" s="459">
        <f t="shared" si="192"/>
        <v>0</v>
      </c>
      <c r="CC114" s="460">
        <f t="shared" si="193"/>
        <v>0</v>
      </c>
      <c r="CD114" s="463"/>
      <c r="CE114" s="459">
        <f t="shared" si="194"/>
        <v>0</v>
      </c>
      <c r="CF114" s="459">
        <f t="shared" si="195"/>
        <v>0</v>
      </c>
      <c r="CG114" s="459">
        <f t="shared" si="196"/>
        <v>0</v>
      </c>
      <c r="CH114" s="459">
        <f t="shared" si="197"/>
        <v>0</v>
      </c>
      <c r="CI114" s="459">
        <f t="shared" si="198"/>
        <v>0</v>
      </c>
      <c r="CJ114" s="459">
        <f t="shared" si="199"/>
        <v>0</v>
      </c>
      <c r="CK114" s="459">
        <f t="shared" si="200"/>
        <v>0</v>
      </c>
      <c r="CL114" s="459">
        <f t="shared" si="201"/>
        <v>0</v>
      </c>
      <c r="CM114" s="459">
        <f t="shared" si="202"/>
        <v>0</v>
      </c>
      <c r="CN114" s="459">
        <f t="shared" si="203"/>
        <v>0</v>
      </c>
      <c r="CO114" s="460">
        <f t="shared" si="204"/>
        <v>0</v>
      </c>
      <c r="CP114" s="463"/>
      <c r="CQ114" s="459">
        <f t="shared" si="242"/>
        <v>0</v>
      </c>
      <c r="CR114" s="459">
        <f t="shared" si="243"/>
        <v>0</v>
      </c>
      <c r="CS114" s="459">
        <f t="shared" si="244"/>
        <v>0</v>
      </c>
      <c r="CT114" s="459">
        <f t="shared" si="245"/>
        <v>0</v>
      </c>
      <c r="CU114" s="459">
        <f t="shared" si="246"/>
        <v>0</v>
      </c>
      <c r="CV114" s="459">
        <f t="shared" si="247"/>
        <v>0</v>
      </c>
      <c r="CW114" s="459">
        <f t="shared" si="248"/>
        <v>0</v>
      </c>
      <c r="CX114" s="459">
        <f t="shared" si="249"/>
        <v>0</v>
      </c>
      <c r="CY114" s="459">
        <f t="shared" si="250"/>
        <v>0</v>
      </c>
      <c r="CZ114" s="459">
        <f t="shared" si="251"/>
        <v>0</v>
      </c>
      <c r="DA114" s="460">
        <f t="shared" si="205"/>
        <v>0</v>
      </c>
      <c r="DB114" s="463"/>
      <c r="DC114" s="459">
        <f t="shared" si="206"/>
        <v>0</v>
      </c>
      <c r="DD114" s="459">
        <f t="shared" si="207"/>
        <v>0</v>
      </c>
      <c r="DE114" s="459">
        <f t="shared" si="208"/>
        <v>0</v>
      </c>
      <c r="DF114" s="459">
        <f t="shared" si="209"/>
        <v>0</v>
      </c>
      <c r="DG114" s="459">
        <f t="shared" si="210"/>
        <v>0</v>
      </c>
      <c r="DH114" s="459">
        <f t="shared" si="211"/>
        <v>0</v>
      </c>
      <c r="DI114" s="459">
        <f t="shared" si="212"/>
        <v>0</v>
      </c>
      <c r="DJ114" s="459">
        <f t="shared" si="213"/>
        <v>0</v>
      </c>
      <c r="DK114" s="459">
        <f t="shared" si="214"/>
        <v>0</v>
      </c>
      <c r="DL114" s="459">
        <f t="shared" si="215"/>
        <v>0</v>
      </c>
      <c r="DM114" s="460">
        <f t="shared" si="216"/>
        <v>0</v>
      </c>
      <c r="DN114" s="463"/>
      <c r="DO114" s="459">
        <f t="shared" si="217"/>
        <v>0</v>
      </c>
      <c r="DP114" s="459">
        <f t="shared" si="217"/>
        <v>0</v>
      </c>
      <c r="DQ114" s="459">
        <f t="shared" si="217"/>
        <v>0</v>
      </c>
      <c r="DR114" s="459">
        <f t="shared" si="217"/>
        <v>0</v>
      </c>
      <c r="DS114" s="459">
        <f t="shared" si="217"/>
        <v>0</v>
      </c>
      <c r="DT114" s="459">
        <f t="shared" si="217"/>
        <v>0</v>
      </c>
      <c r="DU114" s="459">
        <f t="shared" si="217"/>
        <v>0</v>
      </c>
      <c r="DV114" s="459">
        <f t="shared" si="217"/>
        <v>0</v>
      </c>
      <c r="DW114" s="459">
        <f t="shared" si="217"/>
        <v>0</v>
      </c>
      <c r="DX114" s="459">
        <f t="shared" si="217"/>
        <v>0</v>
      </c>
      <c r="DY114" s="460">
        <f t="shared" si="218"/>
        <v>0</v>
      </c>
      <c r="DZ114" s="463"/>
      <c r="EA114" s="459">
        <f t="shared" si="219"/>
        <v>0</v>
      </c>
      <c r="EB114" s="459">
        <f t="shared" si="219"/>
        <v>0</v>
      </c>
      <c r="EC114" s="459">
        <f t="shared" si="219"/>
        <v>0</v>
      </c>
      <c r="ED114" s="459">
        <f t="shared" si="219"/>
        <v>0</v>
      </c>
      <c r="EE114" s="459">
        <f t="shared" si="219"/>
        <v>0</v>
      </c>
      <c r="EF114" s="459">
        <f t="shared" si="219"/>
        <v>0</v>
      </c>
      <c r="EG114" s="459">
        <f t="shared" si="219"/>
        <v>0</v>
      </c>
      <c r="EH114" s="459">
        <f t="shared" si="219"/>
        <v>0</v>
      </c>
      <c r="EI114" s="459">
        <f t="shared" si="219"/>
        <v>0</v>
      </c>
      <c r="EJ114" s="459">
        <f t="shared" si="219"/>
        <v>0</v>
      </c>
      <c r="EK114" s="460">
        <f t="shared" si="220"/>
        <v>0</v>
      </c>
    </row>
    <row r="115" spans="2:141" s="270" customFormat="1" ht="15" customHeight="1" x14ac:dyDescent="0.25">
      <c r="B115" s="464" t="str">
        <f>'2. START'!C$7</f>
        <v>100GEM</v>
      </c>
      <c r="C115" s="470"/>
      <c r="D115" s="593"/>
      <c r="E115" s="527">
        <v>0</v>
      </c>
      <c r="F115" s="527" t="s">
        <v>36</v>
      </c>
      <c r="G115" s="527"/>
      <c r="H115" s="515"/>
      <c r="I115" s="515"/>
      <c r="J115" s="515"/>
      <c r="K115" s="515"/>
      <c r="L115" s="515"/>
      <c r="M115" s="515"/>
      <c r="N115" s="515"/>
      <c r="O115" s="515"/>
      <c r="P115" s="515"/>
      <c r="Q115" s="515"/>
      <c r="R115" s="442">
        <f t="shared" si="221"/>
        <v>0</v>
      </c>
      <c r="S115" s="516">
        <f>IF('2. START'!$C$20="UTB",(SUMIF('3. PARTNER'!B$13:B$80,B115,'3. PARTNER'!M$13:M$80)),(SUMIF('3. PARTNER'!B$13:B$80,B115,'3. PARTNER'!I$13:I$80)))</f>
        <v>0</v>
      </c>
      <c r="T115" s="516">
        <f>IF('2. START'!$C$20="UTB",(SUMIF('3. PARTNER'!B$13:B$80,B115,'3. PARTNER'!N$13:N$80)),(SUMIF('3. PARTNER'!B$13:B$80,B115,'3. PARTNER'!J$13:J$80)))</f>
        <v>0</v>
      </c>
      <c r="U115" s="517">
        <f>IF(F115="NO",0,IF('2. START'!C$13="PERSON+OPERATION",'2. START'!C$12,0)+IF('2. START'!C$13="PERSON+OPERATION+INVEST+FACILIT",'2. START'!C$12,0))</f>
        <v>0</v>
      </c>
      <c r="W115" s="442">
        <f t="shared" si="222"/>
        <v>0</v>
      </c>
      <c r="X115" s="442">
        <f t="shared" si="223"/>
        <v>0</v>
      </c>
      <c r="Y115" s="442">
        <f t="shared" si="224"/>
        <v>0</v>
      </c>
      <c r="Z115" s="442">
        <f t="shared" si="225"/>
        <v>0</v>
      </c>
      <c r="AA115" s="442">
        <f t="shared" si="226"/>
        <v>0</v>
      </c>
      <c r="AB115" s="442">
        <f t="shared" si="227"/>
        <v>0</v>
      </c>
      <c r="AC115" s="442">
        <f t="shared" si="228"/>
        <v>0</v>
      </c>
      <c r="AD115" s="442">
        <f t="shared" si="229"/>
        <v>0</v>
      </c>
      <c r="AE115" s="442">
        <f t="shared" si="230"/>
        <v>0</v>
      </c>
      <c r="AF115" s="442">
        <f t="shared" si="231"/>
        <v>0</v>
      </c>
      <c r="AG115" s="443">
        <f t="shared" si="159"/>
        <v>0</v>
      </c>
      <c r="AI115" s="442">
        <f t="shared" si="232"/>
        <v>0</v>
      </c>
      <c r="AJ115" s="442">
        <f t="shared" si="233"/>
        <v>0</v>
      </c>
      <c r="AK115" s="442">
        <f t="shared" si="234"/>
        <v>0</v>
      </c>
      <c r="AL115" s="442">
        <f t="shared" si="235"/>
        <v>0</v>
      </c>
      <c r="AM115" s="442">
        <f t="shared" si="236"/>
        <v>0</v>
      </c>
      <c r="AN115" s="442">
        <f t="shared" si="237"/>
        <v>0</v>
      </c>
      <c r="AO115" s="442">
        <f t="shared" si="238"/>
        <v>0</v>
      </c>
      <c r="AP115" s="442">
        <f t="shared" si="239"/>
        <v>0</v>
      </c>
      <c r="AQ115" s="442">
        <f t="shared" si="240"/>
        <v>0</v>
      </c>
      <c r="AR115" s="442">
        <f t="shared" si="241"/>
        <v>0</v>
      </c>
      <c r="AS115" s="443">
        <f t="shared" si="160"/>
        <v>0</v>
      </c>
      <c r="AU115" s="442">
        <f t="shared" si="161"/>
        <v>0</v>
      </c>
      <c r="AV115" s="442">
        <f t="shared" si="162"/>
        <v>0</v>
      </c>
      <c r="AW115" s="442">
        <f t="shared" si="163"/>
        <v>0</v>
      </c>
      <c r="AX115" s="442">
        <f t="shared" si="164"/>
        <v>0</v>
      </c>
      <c r="AY115" s="442">
        <f t="shared" si="165"/>
        <v>0</v>
      </c>
      <c r="AZ115" s="442">
        <f t="shared" si="166"/>
        <v>0</v>
      </c>
      <c r="BA115" s="442">
        <f t="shared" si="167"/>
        <v>0</v>
      </c>
      <c r="BB115" s="442">
        <f t="shared" si="168"/>
        <v>0</v>
      </c>
      <c r="BC115" s="442">
        <f t="shared" si="169"/>
        <v>0</v>
      </c>
      <c r="BD115" s="442">
        <f t="shared" si="170"/>
        <v>0</v>
      </c>
      <c r="BE115" s="443">
        <f t="shared" si="171"/>
        <v>0</v>
      </c>
      <c r="BG115" s="442">
        <f t="shared" si="172"/>
        <v>0</v>
      </c>
      <c r="BH115" s="442">
        <f t="shared" si="173"/>
        <v>0</v>
      </c>
      <c r="BI115" s="442">
        <f t="shared" si="174"/>
        <v>0</v>
      </c>
      <c r="BJ115" s="442">
        <f t="shared" si="175"/>
        <v>0</v>
      </c>
      <c r="BK115" s="442">
        <f t="shared" si="176"/>
        <v>0</v>
      </c>
      <c r="BL115" s="442">
        <f t="shared" si="177"/>
        <v>0</v>
      </c>
      <c r="BM115" s="442">
        <f t="shared" si="178"/>
        <v>0</v>
      </c>
      <c r="BN115" s="442">
        <f t="shared" si="179"/>
        <v>0</v>
      </c>
      <c r="BO115" s="442">
        <f t="shared" si="180"/>
        <v>0</v>
      </c>
      <c r="BP115" s="442">
        <f t="shared" si="181"/>
        <v>0</v>
      </c>
      <c r="BQ115" s="443">
        <f t="shared" si="182"/>
        <v>0</v>
      </c>
      <c r="BS115" s="442">
        <f t="shared" si="183"/>
        <v>0</v>
      </c>
      <c r="BT115" s="442">
        <f t="shared" si="184"/>
        <v>0</v>
      </c>
      <c r="BU115" s="442">
        <f t="shared" si="185"/>
        <v>0</v>
      </c>
      <c r="BV115" s="442">
        <f t="shared" si="186"/>
        <v>0</v>
      </c>
      <c r="BW115" s="442">
        <f t="shared" si="187"/>
        <v>0</v>
      </c>
      <c r="BX115" s="442">
        <f t="shared" si="188"/>
        <v>0</v>
      </c>
      <c r="BY115" s="442">
        <f t="shared" si="189"/>
        <v>0</v>
      </c>
      <c r="BZ115" s="442">
        <f t="shared" si="190"/>
        <v>0</v>
      </c>
      <c r="CA115" s="442">
        <f t="shared" si="191"/>
        <v>0</v>
      </c>
      <c r="CB115" s="442">
        <f t="shared" si="192"/>
        <v>0</v>
      </c>
      <c r="CC115" s="443">
        <f t="shared" si="193"/>
        <v>0</v>
      </c>
      <c r="CE115" s="442">
        <f t="shared" si="194"/>
        <v>0</v>
      </c>
      <c r="CF115" s="442">
        <f t="shared" si="195"/>
        <v>0</v>
      </c>
      <c r="CG115" s="442">
        <f t="shared" si="196"/>
        <v>0</v>
      </c>
      <c r="CH115" s="442">
        <f t="shared" si="197"/>
        <v>0</v>
      </c>
      <c r="CI115" s="442">
        <f t="shared" si="198"/>
        <v>0</v>
      </c>
      <c r="CJ115" s="442">
        <f t="shared" si="199"/>
        <v>0</v>
      </c>
      <c r="CK115" s="442">
        <f t="shared" si="200"/>
        <v>0</v>
      </c>
      <c r="CL115" s="442">
        <f t="shared" si="201"/>
        <v>0</v>
      </c>
      <c r="CM115" s="442">
        <f t="shared" si="202"/>
        <v>0</v>
      </c>
      <c r="CN115" s="442">
        <f t="shared" si="203"/>
        <v>0</v>
      </c>
      <c r="CO115" s="443">
        <f t="shared" si="204"/>
        <v>0</v>
      </c>
      <c r="CQ115" s="442">
        <f t="shared" si="242"/>
        <v>0</v>
      </c>
      <c r="CR115" s="442">
        <f t="shared" si="243"/>
        <v>0</v>
      </c>
      <c r="CS115" s="442">
        <f t="shared" si="244"/>
        <v>0</v>
      </c>
      <c r="CT115" s="442">
        <f t="shared" si="245"/>
        <v>0</v>
      </c>
      <c r="CU115" s="442">
        <f t="shared" si="246"/>
        <v>0</v>
      </c>
      <c r="CV115" s="442">
        <f t="shared" si="247"/>
        <v>0</v>
      </c>
      <c r="CW115" s="442">
        <f t="shared" si="248"/>
        <v>0</v>
      </c>
      <c r="CX115" s="442">
        <f t="shared" si="249"/>
        <v>0</v>
      </c>
      <c r="CY115" s="442">
        <f t="shared" si="250"/>
        <v>0</v>
      </c>
      <c r="CZ115" s="442">
        <f t="shared" si="251"/>
        <v>0</v>
      </c>
      <c r="DA115" s="443">
        <f t="shared" si="205"/>
        <v>0</v>
      </c>
      <c r="DC115" s="442">
        <f t="shared" si="206"/>
        <v>0</v>
      </c>
      <c r="DD115" s="442">
        <f t="shared" si="207"/>
        <v>0</v>
      </c>
      <c r="DE115" s="442">
        <f t="shared" si="208"/>
        <v>0</v>
      </c>
      <c r="DF115" s="442">
        <f t="shared" si="209"/>
        <v>0</v>
      </c>
      <c r="DG115" s="442">
        <f t="shared" si="210"/>
        <v>0</v>
      </c>
      <c r="DH115" s="442">
        <f t="shared" si="211"/>
        <v>0</v>
      </c>
      <c r="DI115" s="442">
        <f t="shared" si="212"/>
        <v>0</v>
      </c>
      <c r="DJ115" s="442">
        <f t="shared" si="213"/>
        <v>0</v>
      </c>
      <c r="DK115" s="442">
        <f t="shared" si="214"/>
        <v>0</v>
      </c>
      <c r="DL115" s="442">
        <f t="shared" si="215"/>
        <v>0</v>
      </c>
      <c r="DM115" s="443">
        <f t="shared" si="216"/>
        <v>0</v>
      </c>
      <c r="DO115" s="442">
        <f t="shared" si="217"/>
        <v>0</v>
      </c>
      <c r="DP115" s="442">
        <f t="shared" si="217"/>
        <v>0</v>
      </c>
      <c r="DQ115" s="442">
        <f t="shared" si="217"/>
        <v>0</v>
      </c>
      <c r="DR115" s="442">
        <f t="shared" si="217"/>
        <v>0</v>
      </c>
      <c r="DS115" s="442">
        <f t="shared" si="217"/>
        <v>0</v>
      </c>
      <c r="DT115" s="442">
        <f t="shared" si="217"/>
        <v>0</v>
      </c>
      <c r="DU115" s="442">
        <f t="shared" si="217"/>
        <v>0</v>
      </c>
      <c r="DV115" s="442">
        <f t="shared" si="217"/>
        <v>0</v>
      </c>
      <c r="DW115" s="442">
        <f t="shared" si="217"/>
        <v>0</v>
      </c>
      <c r="DX115" s="442">
        <f t="shared" si="217"/>
        <v>0</v>
      </c>
      <c r="DY115" s="443">
        <f t="shared" si="218"/>
        <v>0</v>
      </c>
      <c r="EA115" s="442">
        <f t="shared" si="219"/>
        <v>0</v>
      </c>
      <c r="EB115" s="442">
        <f t="shared" si="219"/>
        <v>0</v>
      </c>
      <c r="EC115" s="442">
        <f t="shared" si="219"/>
        <v>0</v>
      </c>
      <c r="ED115" s="442">
        <f t="shared" si="219"/>
        <v>0</v>
      </c>
      <c r="EE115" s="442">
        <f t="shared" si="219"/>
        <v>0</v>
      </c>
      <c r="EF115" s="442">
        <f t="shared" si="219"/>
        <v>0</v>
      </c>
      <c r="EG115" s="442">
        <f t="shared" si="219"/>
        <v>0</v>
      </c>
      <c r="EH115" s="442">
        <f t="shared" si="219"/>
        <v>0</v>
      </c>
      <c r="EI115" s="442">
        <f t="shared" si="219"/>
        <v>0</v>
      </c>
      <c r="EJ115" s="442">
        <f t="shared" si="219"/>
        <v>0</v>
      </c>
      <c r="EK115" s="443">
        <f t="shared" si="220"/>
        <v>0</v>
      </c>
    </row>
    <row r="116" spans="2:141" s="268" customFormat="1" ht="15" customHeight="1" x14ac:dyDescent="0.25">
      <c r="B116" s="446" t="str">
        <f>'2. START'!C$7</f>
        <v>100GEM</v>
      </c>
      <c r="C116" s="469"/>
      <c r="D116" s="594"/>
      <c r="E116" s="522">
        <v>0</v>
      </c>
      <c r="F116" s="522" t="s">
        <v>36</v>
      </c>
      <c r="G116" s="522"/>
      <c r="H116" s="523"/>
      <c r="I116" s="523"/>
      <c r="J116" s="523"/>
      <c r="K116" s="523"/>
      <c r="L116" s="523"/>
      <c r="M116" s="523"/>
      <c r="N116" s="523"/>
      <c r="O116" s="523"/>
      <c r="P116" s="523"/>
      <c r="Q116" s="523"/>
      <c r="R116" s="459">
        <f t="shared" si="221"/>
        <v>0</v>
      </c>
      <c r="S116" s="524">
        <f>IF('2. START'!$C$20="UTB",(SUMIF('3. PARTNER'!B$13:B$80,B116,'3. PARTNER'!M$13:M$80)),(SUMIF('3. PARTNER'!B$13:B$80,B116,'3. PARTNER'!I$13:I$80)))</f>
        <v>0</v>
      </c>
      <c r="T116" s="524">
        <f>IF('2. START'!$C$20="UTB",(SUMIF('3. PARTNER'!B$13:B$80,B116,'3. PARTNER'!N$13:N$80)),(SUMIF('3. PARTNER'!B$13:B$80,B116,'3. PARTNER'!J$13:J$80)))</f>
        <v>0</v>
      </c>
      <c r="U116" s="454">
        <f>IF(F116="NO",0,IF('2. START'!C$13="PERSON+OPERATION",'2. START'!C$12,0)+IF('2. START'!C$13="PERSON+OPERATION+INVEST+FACILIT",'2. START'!C$12,0))</f>
        <v>0</v>
      </c>
      <c r="V116" s="463"/>
      <c r="W116" s="459">
        <f t="shared" si="222"/>
        <v>0</v>
      </c>
      <c r="X116" s="459">
        <f t="shared" si="223"/>
        <v>0</v>
      </c>
      <c r="Y116" s="459">
        <f t="shared" si="224"/>
        <v>0</v>
      </c>
      <c r="Z116" s="459">
        <f t="shared" si="225"/>
        <v>0</v>
      </c>
      <c r="AA116" s="459">
        <f t="shared" si="226"/>
        <v>0</v>
      </c>
      <c r="AB116" s="459">
        <f t="shared" si="227"/>
        <v>0</v>
      </c>
      <c r="AC116" s="459">
        <f t="shared" si="228"/>
        <v>0</v>
      </c>
      <c r="AD116" s="459">
        <f t="shared" si="229"/>
        <v>0</v>
      </c>
      <c r="AE116" s="459">
        <f t="shared" si="230"/>
        <v>0</v>
      </c>
      <c r="AF116" s="459">
        <f t="shared" si="231"/>
        <v>0</v>
      </c>
      <c r="AG116" s="460">
        <f t="shared" si="159"/>
        <v>0</v>
      </c>
      <c r="AH116" s="463"/>
      <c r="AI116" s="459">
        <f t="shared" si="232"/>
        <v>0</v>
      </c>
      <c r="AJ116" s="459">
        <f t="shared" si="233"/>
        <v>0</v>
      </c>
      <c r="AK116" s="459">
        <f t="shared" si="234"/>
        <v>0</v>
      </c>
      <c r="AL116" s="459">
        <f t="shared" si="235"/>
        <v>0</v>
      </c>
      <c r="AM116" s="459">
        <f t="shared" si="236"/>
        <v>0</v>
      </c>
      <c r="AN116" s="459">
        <f t="shared" si="237"/>
        <v>0</v>
      </c>
      <c r="AO116" s="459">
        <f t="shared" si="238"/>
        <v>0</v>
      </c>
      <c r="AP116" s="459">
        <f t="shared" si="239"/>
        <v>0</v>
      </c>
      <c r="AQ116" s="459">
        <f t="shared" si="240"/>
        <v>0</v>
      </c>
      <c r="AR116" s="459">
        <f t="shared" si="241"/>
        <v>0</v>
      </c>
      <c r="AS116" s="460">
        <f t="shared" si="160"/>
        <v>0</v>
      </c>
      <c r="AT116" s="463"/>
      <c r="AU116" s="459">
        <f t="shared" si="161"/>
        <v>0</v>
      </c>
      <c r="AV116" s="459">
        <f t="shared" si="162"/>
        <v>0</v>
      </c>
      <c r="AW116" s="459">
        <f t="shared" si="163"/>
        <v>0</v>
      </c>
      <c r="AX116" s="459">
        <f t="shared" si="164"/>
        <v>0</v>
      </c>
      <c r="AY116" s="459">
        <f t="shared" si="165"/>
        <v>0</v>
      </c>
      <c r="AZ116" s="459">
        <f t="shared" si="166"/>
        <v>0</v>
      </c>
      <c r="BA116" s="459">
        <f t="shared" si="167"/>
        <v>0</v>
      </c>
      <c r="BB116" s="459">
        <f t="shared" si="168"/>
        <v>0</v>
      </c>
      <c r="BC116" s="459">
        <f t="shared" si="169"/>
        <v>0</v>
      </c>
      <c r="BD116" s="459">
        <f t="shared" si="170"/>
        <v>0</v>
      </c>
      <c r="BE116" s="460">
        <f t="shared" si="171"/>
        <v>0</v>
      </c>
      <c r="BF116" s="463"/>
      <c r="BG116" s="459">
        <f t="shared" si="172"/>
        <v>0</v>
      </c>
      <c r="BH116" s="459">
        <f t="shared" si="173"/>
        <v>0</v>
      </c>
      <c r="BI116" s="459">
        <f t="shared" si="174"/>
        <v>0</v>
      </c>
      <c r="BJ116" s="459">
        <f t="shared" si="175"/>
        <v>0</v>
      </c>
      <c r="BK116" s="459">
        <f t="shared" si="176"/>
        <v>0</v>
      </c>
      <c r="BL116" s="459">
        <f t="shared" si="177"/>
        <v>0</v>
      </c>
      <c r="BM116" s="459">
        <f t="shared" si="178"/>
        <v>0</v>
      </c>
      <c r="BN116" s="459">
        <f t="shared" si="179"/>
        <v>0</v>
      </c>
      <c r="BO116" s="459">
        <f t="shared" si="180"/>
        <v>0</v>
      </c>
      <c r="BP116" s="459">
        <f t="shared" si="181"/>
        <v>0</v>
      </c>
      <c r="BQ116" s="460">
        <f t="shared" si="182"/>
        <v>0</v>
      </c>
      <c r="BR116" s="463"/>
      <c r="BS116" s="459">
        <f t="shared" si="183"/>
        <v>0</v>
      </c>
      <c r="BT116" s="459">
        <f t="shared" si="184"/>
        <v>0</v>
      </c>
      <c r="BU116" s="459">
        <f t="shared" si="185"/>
        <v>0</v>
      </c>
      <c r="BV116" s="459">
        <f t="shared" si="186"/>
        <v>0</v>
      </c>
      <c r="BW116" s="459">
        <f t="shared" si="187"/>
        <v>0</v>
      </c>
      <c r="BX116" s="459">
        <f t="shared" si="188"/>
        <v>0</v>
      </c>
      <c r="BY116" s="459">
        <f t="shared" si="189"/>
        <v>0</v>
      </c>
      <c r="BZ116" s="459">
        <f t="shared" si="190"/>
        <v>0</v>
      </c>
      <c r="CA116" s="459">
        <f t="shared" si="191"/>
        <v>0</v>
      </c>
      <c r="CB116" s="459">
        <f t="shared" si="192"/>
        <v>0</v>
      </c>
      <c r="CC116" s="460">
        <f t="shared" si="193"/>
        <v>0</v>
      </c>
      <c r="CD116" s="463"/>
      <c r="CE116" s="459">
        <f t="shared" si="194"/>
        <v>0</v>
      </c>
      <c r="CF116" s="459">
        <f t="shared" si="195"/>
        <v>0</v>
      </c>
      <c r="CG116" s="459">
        <f t="shared" si="196"/>
        <v>0</v>
      </c>
      <c r="CH116" s="459">
        <f t="shared" si="197"/>
        <v>0</v>
      </c>
      <c r="CI116" s="459">
        <f t="shared" si="198"/>
        <v>0</v>
      </c>
      <c r="CJ116" s="459">
        <f t="shared" si="199"/>
        <v>0</v>
      </c>
      <c r="CK116" s="459">
        <f t="shared" si="200"/>
        <v>0</v>
      </c>
      <c r="CL116" s="459">
        <f t="shared" si="201"/>
        <v>0</v>
      </c>
      <c r="CM116" s="459">
        <f t="shared" si="202"/>
        <v>0</v>
      </c>
      <c r="CN116" s="459">
        <f t="shared" si="203"/>
        <v>0</v>
      </c>
      <c r="CO116" s="460">
        <f t="shared" si="204"/>
        <v>0</v>
      </c>
      <c r="CP116" s="463"/>
      <c r="CQ116" s="459">
        <f t="shared" si="242"/>
        <v>0</v>
      </c>
      <c r="CR116" s="459">
        <f t="shared" si="243"/>
        <v>0</v>
      </c>
      <c r="CS116" s="459">
        <f t="shared" si="244"/>
        <v>0</v>
      </c>
      <c r="CT116" s="459">
        <f t="shared" si="245"/>
        <v>0</v>
      </c>
      <c r="CU116" s="459">
        <f t="shared" si="246"/>
        <v>0</v>
      </c>
      <c r="CV116" s="459">
        <f t="shared" si="247"/>
        <v>0</v>
      </c>
      <c r="CW116" s="459">
        <f t="shared" si="248"/>
        <v>0</v>
      </c>
      <c r="CX116" s="459">
        <f t="shared" si="249"/>
        <v>0</v>
      </c>
      <c r="CY116" s="459">
        <f t="shared" si="250"/>
        <v>0</v>
      </c>
      <c r="CZ116" s="459">
        <f t="shared" si="251"/>
        <v>0</v>
      </c>
      <c r="DA116" s="460">
        <f t="shared" si="205"/>
        <v>0</v>
      </c>
      <c r="DB116" s="463"/>
      <c r="DC116" s="459">
        <f t="shared" si="206"/>
        <v>0</v>
      </c>
      <c r="DD116" s="459">
        <f t="shared" si="207"/>
        <v>0</v>
      </c>
      <c r="DE116" s="459">
        <f t="shared" si="208"/>
        <v>0</v>
      </c>
      <c r="DF116" s="459">
        <f t="shared" si="209"/>
        <v>0</v>
      </c>
      <c r="DG116" s="459">
        <f t="shared" si="210"/>
        <v>0</v>
      </c>
      <c r="DH116" s="459">
        <f t="shared" si="211"/>
        <v>0</v>
      </c>
      <c r="DI116" s="459">
        <f t="shared" si="212"/>
        <v>0</v>
      </c>
      <c r="DJ116" s="459">
        <f t="shared" si="213"/>
        <v>0</v>
      </c>
      <c r="DK116" s="459">
        <f t="shared" si="214"/>
        <v>0</v>
      </c>
      <c r="DL116" s="459">
        <f t="shared" si="215"/>
        <v>0</v>
      </c>
      <c r="DM116" s="460">
        <f t="shared" si="216"/>
        <v>0</v>
      </c>
      <c r="DN116" s="463"/>
      <c r="DO116" s="459">
        <f t="shared" si="217"/>
        <v>0</v>
      </c>
      <c r="DP116" s="459">
        <f t="shared" si="217"/>
        <v>0</v>
      </c>
      <c r="DQ116" s="459">
        <f t="shared" si="217"/>
        <v>0</v>
      </c>
      <c r="DR116" s="459">
        <f t="shared" si="217"/>
        <v>0</v>
      </c>
      <c r="DS116" s="459">
        <f t="shared" si="217"/>
        <v>0</v>
      </c>
      <c r="DT116" s="459">
        <f t="shared" si="217"/>
        <v>0</v>
      </c>
      <c r="DU116" s="459">
        <f t="shared" si="217"/>
        <v>0</v>
      </c>
      <c r="DV116" s="459">
        <f t="shared" si="217"/>
        <v>0</v>
      </c>
      <c r="DW116" s="459">
        <f t="shared" si="217"/>
        <v>0</v>
      </c>
      <c r="DX116" s="459">
        <f t="shared" si="217"/>
        <v>0</v>
      </c>
      <c r="DY116" s="460">
        <f t="shared" si="218"/>
        <v>0</v>
      </c>
      <c r="DZ116" s="463"/>
      <c r="EA116" s="459">
        <f t="shared" si="219"/>
        <v>0</v>
      </c>
      <c r="EB116" s="459">
        <f t="shared" si="219"/>
        <v>0</v>
      </c>
      <c r="EC116" s="459">
        <f t="shared" si="219"/>
        <v>0</v>
      </c>
      <c r="ED116" s="459">
        <f t="shared" si="219"/>
        <v>0</v>
      </c>
      <c r="EE116" s="459">
        <f t="shared" si="219"/>
        <v>0</v>
      </c>
      <c r="EF116" s="459">
        <f t="shared" si="219"/>
        <v>0</v>
      </c>
      <c r="EG116" s="459">
        <f t="shared" si="219"/>
        <v>0</v>
      </c>
      <c r="EH116" s="459">
        <f t="shared" si="219"/>
        <v>0</v>
      </c>
      <c r="EI116" s="459">
        <f t="shared" si="219"/>
        <v>0</v>
      </c>
      <c r="EJ116" s="459">
        <f t="shared" si="219"/>
        <v>0</v>
      </c>
      <c r="EK116" s="460">
        <f t="shared" si="220"/>
        <v>0</v>
      </c>
    </row>
    <row r="117" spans="2:141" s="270" customFormat="1" ht="15" customHeight="1" x14ac:dyDescent="0.25">
      <c r="B117" s="464" t="str">
        <f>'2. START'!C$7</f>
        <v>100GEM</v>
      </c>
      <c r="C117" s="470"/>
      <c r="D117" s="593"/>
      <c r="E117" s="527">
        <v>0</v>
      </c>
      <c r="F117" s="527" t="s">
        <v>36</v>
      </c>
      <c r="G117" s="527"/>
      <c r="H117" s="515"/>
      <c r="I117" s="515"/>
      <c r="J117" s="515"/>
      <c r="K117" s="515"/>
      <c r="L117" s="515"/>
      <c r="M117" s="515"/>
      <c r="N117" s="515"/>
      <c r="O117" s="515"/>
      <c r="P117" s="515"/>
      <c r="Q117" s="515"/>
      <c r="R117" s="442">
        <f t="shared" si="221"/>
        <v>0</v>
      </c>
      <c r="S117" s="516">
        <f>IF('2. START'!$C$20="UTB",(SUMIF('3. PARTNER'!B$13:B$80,B117,'3. PARTNER'!M$13:M$80)),(SUMIF('3. PARTNER'!B$13:B$80,B117,'3. PARTNER'!I$13:I$80)))</f>
        <v>0</v>
      </c>
      <c r="T117" s="516">
        <f>IF('2. START'!$C$20="UTB",(SUMIF('3. PARTNER'!B$13:B$80,B117,'3. PARTNER'!N$13:N$80)),(SUMIF('3. PARTNER'!B$13:B$80,B117,'3. PARTNER'!J$13:J$80)))</f>
        <v>0</v>
      </c>
      <c r="U117" s="517">
        <f>IF(F117="NO",0,IF('2. START'!C$13="PERSON+OPERATION",'2. START'!C$12,0)+IF('2. START'!C$13="PERSON+OPERATION+INVEST+FACILIT",'2. START'!C$12,0))</f>
        <v>0</v>
      </c>
      <c r="W117" s="442">
        <f t="shared" si="222"/>
        <v>0</v>
      </c>
      <c r="X117" s="442">
        <f t="shared" si="223"/>
        <v>0</v>
      </c>
      <c r="Y117" s="442">
        <f t="shared" si="224"/>
        <v>0</v>
      </c>
      <c r="Z117" s="442">
        <f t="shared" si="225"/>
        <v>0</v>
      </c>
      <c r="AA117" s="442">
        <f t="shared" si="226"/>
        <v>0</v>
      </c>
      <c r="AB117" s="442">
        <f t="shared" si="227"/>
        <v>0</v>
      </c>
      <c r="AC117" s="442">
        <f t="shared" si="228"/>
        <v>0</v>
      </c>
      <c r="AD117" s="442">
        <f t="shared" si="229"/>
        <v>0</v>
      </c>
      <c r="AE117" s="442">
        <f t="shared" si="230"/>
        <v>0</v>
      </c>
      <c r="AF117" s="442">
        <f t="shared" si="231"/>
        <v>0</v>
      </c>
      <c r="AG117" s="443">
        <f t="shared" si="159"/>
        <v>0</v>
      </c>
      <c r="AI117" s="442">
        <f t="shared" si="232"/>
        <v>0</v>
      </c>
      <c r="AJ117" s="442">
        <f t="shared" si="233"/>
        <v>0</v>
      </c>
      <c r="AK117" s="442">
        <f t="shared" si="234"/>
        <v>0</v>
      </c>
      <c r="AL117" s="442">
        <f t="shared" si="235"/>
        <v>0</v>
      </c>
      <c r="AM117" s="442">
        <f t="shared" si="236"/>
        <v>0</v>
      </c>
      <c r="AN117" s="442">
        <f t="shared" si="237"/>
        <v>0</v>
      </c>
      <c r="AO117" s="442">
        <f t="shared" si="238"/>
        <v>0</v>
      </c>
      <c r="AP117" s="442">
        <f t="shared" si="239"/>
        <v>0</v>
      </c>
      <c r="AQ117" s="442">
        <f t="shared" si="240"/>
        <v>0</v>
      </c>
      <c r="AR117" s="442">
        <f t="shared" si="241"/>
        <v>0</v>
      </c>
      <c r="AS117" s="443">
        <f t="shared" si="160"/>
        <v>0</v>
      </c>
      <c r="AU117" s="442">
        <f t="shared" si="161"/>
        <v>0</v>
      </c>
      <c r="AV117" s="442">
        <f t="shared" si="162"/>
        <v>0</v>
      </c>
      <c r="AW117" s="442">
        <f t="shared" si="163"/>
        <v>0</v>
      </c>
      <c r="AX117" s="442">
        <f t="shared" si="164"/>
        <v>0</v>
      </c>
      <c r="AY117" s="442">
        <f t="shared" si="165"/>
        <v>0</v>
      </c>
      <c r="AZ117" s="442">
        <f t="shared" si="166"/>
        <v>0</v>
      </c>
      <c r="BA117" s="442">
        <f t="shared" si="167"/>
        <v>0</v>
      </c>
      <c r="BB117" s="442">
        <f t="shared" si="168"/>
        <v>0</v>
      </c>
      <c r="BC117" s="442">
        <f t="shared" si="169"/>
        <v>0</v>
      </c>
      <c r="BD117" s="442">
        <f t="shared" si="170"/>
        <v>0</v>
      </c>
      <c r="BE117" s="443">
        <f t="shared" si="171"/>
        <v>0</v>
      </c>
      <c r="BG117" s="442">
        <f t="shared" si="172"/>
        <v>0</v>
      </c>
      <c r="BH117" s="442">
        <f t="shared" si="173"/>
        <v>0</v>
      </c>
      <c r="BI117" s="442">
        <f t="shared" si="174"/>
        <v>0</v>
      </c>
      <c r="BJ117" s="442">
        <f t="shared" si="175"/>
        <v>0</v>
      </c>
      <c r="BK117" s="442">
        <f t="shared" si="176"/>
        <v>0</v>
      </c>
      <c r="BL117" s="442">
        <f t="shared" si="177"/>
        <v>0</v>
      </c>
      <c r="BM117" s="442">
        <f t="shared" si="178"/>
        <v>0</v>
      </c>
      <c r="BN117" s="442">
        <f t="shared" si="179"/>
        <v>0</v>
      </c>
      <c r="BO117" s="442">
        <f t="shared" si="180"/>
        <v>0</v>
      </c>
      <c r="BP117" s="442">
        <f t="shared" si="181"/>
        <v>0</v>
      </c>
      <c r="BQ117" s="443">
        <f t="shared" si="182"/>
        <v>0</v>
      </c>
      <c r="BS117" s="442">
        <f t="shared" si="183"/>
        <v>0</v>
      </c>
      <c r="BT117" s="442">
        <f t="shared" si="184"/>
        <v>0</v>
      </c>
      <c r="BU117" s="442">
        <f t="shared" si="185"/>
        <v>0</v>
      </c>
      <c r="BV117" s="442">
        <f t="shared" si="186"/>
        <v>0</v>
      </c>
      <c r="BW117" s="442">
        <f t="shared" si="187"/>
        <v>0</v>
      </c>
      <c r="BX117" s="442">
        <f t="shared" si="188"/>
        <v>0</v>
      </c>
      <c r="BY117" s="442">
        <f t="shared" si="189"/>
        <v>0</v>
      </c>
      <c r="BZ117" s="442">
        <f t="shared" si="190"/>
        <v>0</v>
      </c>
      <c r="CA117" s="442">
        <f t="shared" si="191"/>
        <v>0</v>
      </c>
      <c r="CB117" s="442">
        <f t="shared" si="192"/>
        <v>0</v>
      </c>
      <c r="CC117" s="443">
        <f t="shared" si="193"/>
        <v>0</v>
      </c>
      <c r="CE117" s="442">
        <f t="shared" si="194"/>
        <v>0</v>
      </c>
      <c r="CF117" s="442">
        <f t="shared" si="195"/>
        <v>0</v>
      </c>
      <c r="CG117" s="442">
        <f t="shared" si="196"/>
        <v>0</v>
      </c>
      <c r="CH117" s="442">
        <f t="shared" si="197"/>
        <v>0</v>
      </c>
      <c r="CI117" s="442">
        <f t="shared" si="198"/>
        <v>0</v>
      </c>
      <c r="CJ117" s="442">
        <f t="shared" si="199"/>
        <v>0</v>
      </c>
      <c r="CK117" s="442">
        <f t="shared" si="200"/>
        <v>0</v>
      </c>
      <c r="CL117" s="442">
        <f t="shared" si="201"/>
        <v>0</v>
      </c>
      <c r="CM117" s="442">
        <f t="shared" si="202"/>
        <v>0</v>
      </c>
      <c r="CN117" s="442">
        <f t="shared" si="203"/>
        <v>0</v>
      </c>
      <c r="CO117" s="443">
        <f t="shared" si="204"/>
        <v>0</v>
      </c>
      <c r="CQ117" s="442">
        <f t="shared" si="242"/>
        <v>0</v>
      </c>
      <c r="CR117" s="442">
        <f t="shared" si="243"/>
        <v>0</v>
      </c>
      <c r="CS117" s="442">
        <f t="shared" si="244"/>
        <v>0</v>
      </c>
      <c r="CT117" s="442">
        <f t="shared" si="245"/>
        <v>0</v>
      </c>
      <c r="CU117" s="442">
        <f t="shared" si="246"/>
        <v>0</v>
      </c>
      <c r="CV117" s="442">
        <f t="shared" si="247"/>
        <v>0</v>
      </c>
      <c r="CW117" s="442">
        <f t="shared" si="248"/>
        <v>0</v>
      </c>
      <c r="CX117" s="442">
        <f t="shared" si="249"/>
        <v>0</v>
      </c>
      <c r="CY117" s="442">
        <f t="shared" si="250"/>
        <v>0</v>
      </c>
      <c r="CZ117" s="442">
        <f t="shared" si="251"/>
        <v>0</v>
      </c>
      <c r="DA117" s="443">
        <f t="shared" si="205"/>
        <v>0</v>
      </c>
      <c r="DC117" s="442">
        <f t="shared" si="206"/>
        <v>0</v>
      </c>
      <c r="DD117" s="442">
        <f t="shared" si="207"/>
        <v>0</v>
      </c>
      <c r="DE117" s="442">
        <f t="shared" si="208"/>
        <v>0</v>
      </c>
      <c r="DF117" s="442">
        <f t="shared" si="209"/>
        <v>0</v>
      </c>
      <c r="DG117" s="442">
        <f t="shared" si="210"/>
        <v>0</v>
      </c>
      <c r="DH117" s="442">
        <f t="shared" si="211"/>
        <v>0</v>
      </c>
      <c r="DI117" s="442">
        <f t="shared" si="212"/>
        <v>0</v>
      </c>
      <c r="DJ117" s="442">
        <f t="shared" si="213"/>
        <v>0</v>
      </c>
      <c r="DK117" s="442">
        <f t="shared" si="214"/>
        <v>0</v>
      </c>
      <c r="DL117" s="442">
        <f t="shared" si="215"/>
        <v>0</v>
      </c>
      <c r="DM117" s="443">
        <f t="shared" si="216"/>
        <v>0</v>
      </c>
      <c r="DO117" s="442">
        <f t="shared" si="217"/>
        <v>0</v>
      </c>
      <c r="DP117" s="442">
        <f t="shared" si="217"/>
        <v>0</v>
      </c>
      <c r="DQ117" s="442">
        <f t="shared" si="217"/>
        <v>0</v>
      </c>
      <c r="DR117" s="442">
        <f t="shared" si="217"/>
        <v>0</v>
      </c>
      <c r="DS117" s="442">
        <f t="shared" si="217"/>
        <v>0</v>
      </c>
      <c r="DT117" s="442">
        <f t="shared" si="217"/>
        <v>0</v>
      </c>
      <c r="DU117" s="442">
        <f t="shared" si="217"/>
        <v>0</v>
      </c>
      <c r="DV117" s="442">
        <f t="shared" si="217"/>
        <v>0</v>
      </c>
      <c r="DW117" s="442">
        <f t="shared" si="217"/>
        <v>0</v>
      </c>
      <c r="DX117" s="442">
        <f t="shared" si="217"/>
        <v>0</v>
      </c>
      <c r="DY117" s="443">
        <f t="shared" si="218"/>
        <v>0</v>
      </c>
      <c r="EA117" s="442">
        <f t="shared" si="219"/>
        <v>0</v>
      </c>
      <c r="EB117" s="442">
        <f t="shared" si="219"/>
        <v>0</v>
      </c>
      <c r="EC117" s="442">
        <f t="shared" si="219"/>
        <v>0</v>
      </c>
      <c r="ED117" s="442">
        <f t="shared" si="219"/>
        <v>0</v>
      </c>
      <c r="EE117" s="442">
        <f t="shared" si="219"/>
        <v>0</v>
      </c>
      <c r="EF117" s="442">
        <f t="shared" si="219"/>
        <v>0</v>
      </c>
      <c r="EG117" s="442">
        <f t="shared" si="219"/>
        <v>0</v>
      </c>
      <c r="EH117" s="442">
        <f t="shared" si="219"/>
        <v>0</v>
      </c>
      <c r="EI117" s="442">
        <f t="shared" si="219"/>
        <v>0</v>
      </c>
      <c r="EJ117" s="442">
        <f t="shared" si="219"/>
        <v>0</v>
      </c>
      <c r="EK117" s="443">
        <f t="shared" si="220"/>
        <v>0</v>
      </c>
    </row>
    <row r="118" spans="2:141" s="268" customFormat="1" ht="15" customHeight="1" x14ac:dyDescent="0.25">
      <c r="B118" s="446" t="str">
        <f>'2. START'!C$7</f>
        <v>100GEM</v>
      </c>
      <c r="C118" s="469"/>
      <c r="D118" s="594"/>
      <c r="E118" s="522">
        <v>0</v>
      </c>
      <c r="F118" s="522" t="s">
        <v>36</v>
      </c>
      <c r="G118" s="522"/>
      <c r="H118" s="523"/>
      <c r="I118" s="523"/>
      <c r="J118" s="523"/>
      <c r="K118" s="523"/>
      <c r="L118" s="523"/>
      <c r="M118" s="523"/>
      <c r="N118" s="523"/>
      <c r="O118" s="523"/>
      <c r="P118" s="523"/>
      <c r="Q118" s="523"/>
      <c r="R118" s="459">
        <f t="shared" si="221"/>
        <v>0</v>
      </c>
      <c r="S118" s="524">
        <f>IF('2. START'!$C$20="UTB",(SUMIF('3. PARTNER'!B$13:B$80,B118,'3. PARTNER'!M$13:M$80)),(SUMIF('3. PARTNER'!B$13:B$80,B118,'3. PARTNER'!I$13:I$80)))</f>
        <v>0</v>
      </c>
      <c r="T118" s="524">
        <f>IF('2. START'!$C$20="UTB",(SUMIF('3. PARTNER'!B$13:B$80,B118,'3. PARTNER'!N$13:N$80)),(SUMIF('3. PARTNER'!B$13:B$80,B118,'3. PARTNER'!J$13:J$80)))</f>
        <v>0</v>
      </c>
      <c r="U118" s="454">
        <f>IF(F118="NO",0,IF('2. START'!C$13="PERSON+OPERATION",'2. START'!C$12,0)+IF('2. START'!C$13="PERSON+OPERATION+INVEST+FACILIT",'2. START'!C$12,0))</f>
        <v>0</v>
      </c>
      <c r="V118" s="463"/>
      <c r="W118" s="459">
        <f t="shared" si="222"/>
        <v>0</v>
      </c>
      <c r="X118" s="459">
        <f t="shared" si="223"/>
        <v>0</v>
      </c>
      <c r="Y118" s="459">
        <f t="shared" si="224"/>
        <v>0</v>
      </c>
      <c r="Z118" s="459">
        <f t="shared" si="225"/>
        <v>0</v>
      </c>
      <c r="AA118" s="459">
        <f t="shared" si="226"/>
        <v>0</v>
      </c>
      <c r="AB118" s="459">
        <f t="shared" si="227"/>
        <v>0</v>
      </c>
      <c r="AC118" s="459">
        <f t="shared" si="228"/>
        <v>0</v>
      </c>
      <c r="AD118" s="459">
        <f t="shared" si="229"/>
        <v>0</v>
      </c>
      <c r="AE118" s="459">
        <f t="shared" si="230"/>
        <v>0</v>
      </c>
      <c r="AF118" s="459">
        <f t="shared" si="231"/>
        <v>0</v>
      </c>
      <c r="AG118" s="460">
        <f t="shared" si="159"/>
        <v>0</v>
      </c>
      <c r="AH118" s="463"/>
      <c r="AI118" s="459">
        <f t="shared" si="232"/>
        <v>0</v>
      </c>
      <c r="AJ118" s="459">
        <f t="shared" si="233"/>
        <v>0</v>
      </c>
      <c r="AK118" s="459">
        <f t="shared" si="234"/>
        <v>0</v>
      </c>
      <c r="AL118" s="459">
        <f t="shared" si="235"/>
        <v>0</v>
      </c>
      <c r="AM118" s="459">
        <f t="shared" si="236"/>
        <v>0</v>
      </c>
      <c r="AN118" s="459">
        <f t="shared" si="237"/>
        <v>0</v>
      </c>
      <c r="AO118" s="459">
        <f t="shared" si="238"/>
        <v>0</v>
      </c>
      <c r="AP118" s="459">
        <f t="shared" si="239"/>
        <v>0</v>
      </c>
      <c r="AQ118" s="459">
        <f t="shared" si="240"/>
        <v>0</v>
      </c>
      <c r="AR118" s="459">
        <f t="shared" si="241"/>
        <v>0</v>
      </c>
      <c r="AS118" s="460">
        <f t="shared" si="160"/>
        <v>0</v>
      </c>
      <c r="AT118" s="463"/>
      <c r="AU118" s="459">
        <f t="shared" si="161"/>
        <v>0</v>
      </c>
      <c r="AV118" s="459">
        <f t="shared" si="162"/>
        <v>0</v>
      </c>
      <c r="AW118" s="459">
        <f t="shared" si="163"/>
        <v>0</v>
      </c>
      <c r="AX118" s="459">
        <f t="shared" si="164"/>
        <v>0</v>
      </c>
      <c r="AY118" s="459">
        <f t="shared" si="165"/>
        <v>0</v>
      </c>
      <c r="AZ118" s="459">
        <f t="shared" si="166"/>
        <v>0</v>
      </c>
      <c r="BA118" s="459">
        <f t="shared" si="167"/>
        <v>0</v>
      </c>
      <c r="BB118" s="459">
        <f t="shared" si="168"/>
        <v>0</v>
      </c>
      <c r="BC118" s="459">
        <f t="shared" si="169"/>
        <v>0</v>
      </c>
      <c r="BD118" s="459">
        <f t="shared" si="170"/>
        <v>0</v>
      </c>
      <c r="BE118" s="460">
        <f t="shared" si="171"/>
        <v>0</v>
      </c>
      <c r="BF118" s="463"/>
      <c r="BG118" s="459">
        <f t="shared" si="172"/>
        <v>0</v>
      </c>
      <c r="BH118" s="459">
        <f t="shared" si="173"/>
        <v>0</v>
      </c>
      <c r="BI118" s="459">
        <f t="shared" si="174"/>
        <v>0</v>
      </c>
      <c r="BJ118" s="459">
        <f t="shared" si="175"/>
        <v>0</v>
      </c>
      <c r="BK118" s="459">
        <f t="shared" si="176"/>
        <v>0</v>
      </c>
      <c r="BL118" s="459">
        <f t="shared" si="177"/>
        <v>0</v>
      </c>
      <c r="BM118" s="459">
        <f t="shared" si="178"/>
        <v>0</v>
      </c>
      <c r="BN118" s="459">
        <f t="shared" si="179"/>
        <v>0</v>
      </c>
      <c r="BO118" s="459">
        <f t="shared" si="180"/>
        <v>0</v>
      </c>
      <c r="BP118" s="459">
        <f t="shared" si="181"/>
        <v>0</v>
      </c>
      <c r="BQ118" s="460">
        <f t="shared" si="182"/>
        <v>0</v>
      </c>
      <c r="BR118" s="463"/>
      <c r="BS118" s="459">
        <f t="shared" si="183"/>
        <v>0</v>
      </c>
      <c r="BT118" s="459">
        <f t="shared" si="184"/>
        <v>0</v>
      </c>
      <c r="BU118" s="459">
        <f t="shared" si="185"/>
        <v>0</v>
      </c>
      <c r="BV118" s="459">
        <f t="shared" si="186"/>
        <v>0</v>
      </c>
      <c r="BW118" s="459">
        <f t="shared" si="187"/>
        <v>0</v>
      </c>
      <c r="BX118" s="459">
        <f t="shared" si="188"/>
        <v>0</v>
      </c>
      <c r="BY118" s="459">
        <f t="shared" si="189"/>
        <v>0</v>
      </c>
      <c r="BZ118" s="459">
        <f t="shared" si="190"/>
        <v>0</v>
      </c>
      <c r="CA118" s="459">
        <f t="shared" si="191"/>
        <v>0</v>
      </c>
      <c r="CB118" s="459">
        <f t="shared" si="192"/>
        <v>0</v>
      </c>
      <c r="CC118" s="460">
        <f t="shared" si="193"/>
        <v>0</v>
      </c>
      <c r="CD118" s="463"/>
      <c r="CE118" s="459">
        <f t="shared" si="194"/>
        <v>0</v>
      </c>
      <c r="CF118" s="459">
        <f t="shared" si="195"/>
        <v>0</v>
      </c>
      <c r="CG118" s="459">
        <f t="shared" si="196"/>
        <v>0</v>
      </c>
      <c r="CH118" s="459">
        <f t="shared" si="197"/>
        <v>0</v>
      </c>
      <c r="CI118" s="459">
        <f t="shared" si="198"/>
        <v>0</v>
      </c>
      <c r="CJ118" s="459">
        <f t="shared" si="199"/>
        <v>0</v>
      </c>
      <c r="CK118" s="459">
        <f t="shared" si="200"/>
        <v>0</v>
      </c>
      <c r="CL118" s="459">
        <f t="shared" si="201"/>
        <v>0</v>
      </c>
      <c r="CM118" s="459">
        <f t="shared" si="202"/>
        <v>0</v>
      </c>
      <c r="CN118" s="459">
        <f t="shared" si="203"/>
        <v>0</v>
      </c>
      <c r="CO118" s="460">
        <f t="shared" si="204"/>
        <v>0</v>
      </c>
      <c r="CP118" s="463"/>
      <c r="CQ118" s="459">
        <f t="shared" si="242"/>
        <v>0</v>
      </c>
      <c r="CR118" s="459">
        <f t="shared" si="243"/>
        <v>0</v>
      </c>
      <c r="CS118" s="459">
        <f t="shared" si="244"/>
        <v>0</v>
      </c>
      <c r="CT118" s="459">
        <f t="shared" si="245"/>
        <v>0</v>
      </c>
      <c r="CU118" s="459">
        <f t="shared" si="246"/>
        <v>0</v>
      </c>
      <c r="CV118" s="459">
        <f t="shared" si="247"/>
        <v>0</v>
      </c>
      <c r="CW118" s="459">
        <f t="shared" si="248"/>
        <v>0</v>
      </c>
      <c r="CX118" s="459">
        <f t="shared" si="249"/>
        <v>0</v>
      </c>
      <c r="CY118" s="459">
        <f t="shared" si="250"/>
        <v>0</v>
      </c>
      <c r="CZ118" s="459">
        <f t="shared" si="251"/>
        <v>0</v>
      </c>
      <c r="DA118" s="460">
        <f t="shared" si="205"/>
        <v>0</v>
      </c>
      <c r="DB118" s="463"/>
      <c r="DC118" s="459">
        <f t="shared" si="206"/>
        <v>0</v>
      </c>
      <c r="DD118" s="459">
        <f t="shared" si="207"/>
        <v>0</v>
      </c>
      <c r="DE118" s="459">
        <f t="shared" si="208"/>
        <v>0</v>
      </c>
      <c r="DF118" s="459">
        <f t="shared" si="209"/>
        <v>0</v>
      </c>
      <c r="DG118" s="459">
        <f t="shared" si="210"/>
        <v>0</v>
      </c>
      <c r="DH118" s="459">
        <f t="shared" si="211"/>
        <v>0</v>
      </c>
      <c r="DI118" s="459">
        <f t="shared" si="212"/>
        <v>0</v>
      </c>
      <c r="DJ118" s="459">
        <f t="shared" si="213"/>
        <v>0</v>
      </c>
      <c r="DK118" s="459">
        <f t="shared" si="214"/>
        <v>0</v>
      </c>
      <c r="DL118" s="459">
        <f t="shared" si="215"/>
        <v>0</v>
      </c>
      <c r="DM118" s="460">
        <f t="shared" si="216"/>
        <v>0</v>
      </c>
      <c r="DN118" s="463"/>
      <c r="DO118" s="459">
        <f t="shared" si="217"/>
        <v>0</v>
      </c>
      <c r="DP118" s="459">
        <f t="shared" si="217"/>
        <v>0</v>
      </c>
      <c r="DQ118" s="459">
        <f t="shared" si="217"/>
        <v>0</v>
      </c>
      <c r="DR118" s="459">
        <f t="shared" si="217"/>
        <v>0</v>
      </c>
      <c r="DS118" s="459">
        <f t="shared" si="217"/>
        <v>0</v>
      </c>
      <c r="DT118" s="459">
        <f t="shared" si="217"/>
        <v>0</v>
      </c>
      <c r="DU118" s="459">
        <f t="shared" si="217"/>
        <v>0</v>
      </c>
      <c r="DV118" s="459">
        <f t="shared" si="217"/>
        <v>0</v>
      </c>
      <c r="DW118" s="459">
        <f t="shared" si="217"/>
        <v>0</v>
      </c>
      <c r="DX118" s="459">
        <f t="shared" si="217"/>
        <v>0</v>
      </c>
      <c r="DY118" s="460">
        <f t="shared" si="218"/>
        <v>0</v>
      </c>
      <c r="DZ118" s="463"/>
      <c r="EA118" s="459">
        <f t="shared" si="219"/>
        <v>0</v>
      </c>
      <c r="EB118" s="459">
        <f t="shared" si="219"/>
        <v>0</v>
      </c>
      <c r="EC118" s="459">
        <f t="shared" si="219"/>
        <v>0</v>
      </c>
      <c r="ED118" s="459">
        <f t="shared" si="219"/>
        <v>0</v>
      </c>
      <c r="EE118" s="459">
        <f t="shared" si="219"/>
        <v>0</v>
      </c>
      <c r="EF118" s="459">
        <f t="shared" si="219"/>
        <v>0</v>
      </c>
      <c r="EG118" s="459">
        <f t="shared" si="219"/>
        <v>0</v>
      </c>
      <c r="EH118" s="459">
        <f t="shared" si="219"/>
        <v>0</v>
      </c>
      <c r="EI118" s="459">
        <f t="shared" si="219"/>
        <v>0</v>
      </c>
      <c r="EJ118" s="459">
        <f t="shared" si="219"/>
        <v>0</v>
      </c>
      <c r="EK118" s="460">
        <f t="shared" si="220"/>
        <v>0</v>
      </c>
    </row>
    <row r="119" spans="2:141" s="270" customFormat="1" ht="15" customHeight="1" x14ac:dyDescent="0.25">
      <c r="B119" s="464" t="str">
        <f>'2. START'!C$7</f>
        <v>100GEM</v>
      </c>
      <c r="C119" s="470"/>
      <c r="D119" s="593"/>
      <c r="E119" s="527">
        <v>0</v>
      </c>
      <c r="F119" s="527" t="s">
        <v>36</v>
      </c>
      <c r="G119" s="527"/>
      <c r="H119" s="515"/>
      <c r="I119" s="515"/>
      <c r="J119" s="515"/>
      <c r="K119" s="515"/>
      <c r="L119" s="515"/>
      <c r="M119" s="515"/>
      <c r="N119" s="515"/>
      <c r="O119" s="515"/>
      <c r="P119" s="515"/>
      <c r="Q119" s="515"/>
      <c r="R119" s="442">
        <f t="shared" si="221"/>
        <v>0</v>
      </c>
      <c r="S119" s="516">
        <f>IF('2. START'!$C$20="UTB",(SUMIF('3. PARTNER'!B$13:B$80,B119,'3. PARTNER'!M$13:M$80)),(SUMIF('3. PARTNER'!B$13:B$80,B119,'3. PARTNER'!I$13:I$80)))</f>
        <v>0</v>
      </c>
      <c r="T119" s="516">
        <f>IF('2. START'!$C$20="UTB",(SUMIF('3. PARTNER'!B$13:B$80,B119,'3. PARTNER'!N$13:N$80)),(SUMIF('3. PARTNER'!B$13:B$80,B119,'3. PARTNER'!J$13:J$80)))</f>
        <v>0</v>
      </c>
      <c r="U119" s="517">
        <f>IF(F119="NO",0,IF('2. START'!C$13="PERSON+OPERATION",'2. START'!C$12,0)+IF('2. START'!C$13="PERSON+OPERATION+INVEST+FACILIT",'2. START'!C$12,0))</f>
        <v>0</v>
      </c>
      <c r="W119" s="442">
        <f t="shared" si="222"/>
        <v>0</v>
      </c>
      <c r="X119" s="442">
        <f t="shared" si="223"/>
        <v>0</v>
      </c>
      <c r="Y119" s="442">
        <f t="shared" si="224"/>
        <v>0</v>
      </c>
      <c r="Z119" s="442">
        <f t="shared" si="225"/>
        <v>0</v>
      </c>
      <c r="AA119" s="442">
        <f t="shared" si="226"/>
        <v>0</v>
      </c>
      <c r="AB119" s="442">
        <f t="shared" si="227"/>
        <v>0</v>
      </c>
      <c r="AC119" s="442">
        <f t="shared" si="228"/>
        <v>0</v>
      </c>
      <c r="AD119" s="442">
        <f t="shared" si="229"/>
        <v>0</v>
      </c>
      <c r="AE119" s="442">
        <f t="shared" si="230"/>
        <v>0</v>
      </c>
      <c r="AF119" s="442">
        <f t="shared" si="231"/>
        <v>0</v>
      </c>
      <c r="AG119" s="443">
        <f t="shared" si="159"/>
        <v>0</v>
      </c>
      <c r="AI119" s="442">
        <f t="shared" si="232"/>
        <v>0</v>
      </c>
      <c r="AJ119" s="442">
        <f t="shared" si="233"/>
        <v>0</v>
      </c>
      <c r="AK119" s="442">
        <f t="shared" si="234"/>
        <v>0</v>
      </c>
      <c r="AL119" s="442">
        <f t="shared" si="235"/>
        <v>0</v>
      </c>
      <c r="AM119" s="442">
        <f t="shared" si="236"/>
        <v>0</v>
      </c>
      <c r="AN119" s="442">
        <f t="shared" si="237"/>
        <v>0</v>
      </c>
      <c r="AO119" s="442">
        <f t="shared" si="238"/>
        <v>0</v>
      </c>
      <c r="AP119" s="442">
        <f t="shared" si="239"/>
        <v>0</v>
      </c>
      <c r="AQ119" s="442">
        <f t="shared" si="240"/>
        <v>0</v>
      </c>
      <c r="AR119" s="442">
        <f t="shared" si="241"/>
        <v>0</v>
      </c>
      <c r="AS119" s="443">
        <f t="shared" si="160"/>
        <v>0</v>
      </c>
      <c r="AU119" s="442">
        <f t="shared" si="161"/>
        <v>0</v>
      </c>
      <c r="AV119" s="442">
        <f t="shared" si="162"/>
        <v>0</v>
      </c>
      <c r="AW119" s="442">
        <f t="shared" si="163"/>
        <v>0</v>
      </c>
      <c r="AX119" s="442">
        <f t="shared" si="164"/>
        <v>0</v>
      </c>
      <c r="AY119" s="442">
        <f t="shared" si="165"/>
        <v>0</v>
      </c>
      <c r="AZ119" s="442">
        <f t="shared" si="166"/>
        <v>0</v>
      </c>
      <c r="BA119" s="442">
        <f t="shared" si="167"/>
        <v>0</v>
      </c>
      <c r="BB119" s="442">
        <f t="shared" si="168"/>
        <v>0</v>
      </c>
      <c r="BC119" s="442">
        <f t="shared" si="169"/>
        <v>0</v>
      </c>
      <c r="BD119" s="442">
        <f t="shared" si="170"/>
        <v>0</v>
      </c>
      <c r="BE119" s="443">
        <f t="shared" si="171"/>
        <v>0</v>
      </c>
      <c r="BG119" s="442">
        <f t="shared" si="172"/>
        <v>0</v>
      </c>
      <c r="BH119" s="442">
        <f t="shared" si="173"/>
        <v>0</v>
      </c>
      <c r="BI119" s="442">
        <f t="shared" si="174"/>
        <v>0</v>
      </c>
      <c r="BJ119" s="442">
        <f t="shared" si="175"/>
        <v>0</v>
      </c>
      <c r="BK119" s="442">
        <f t="shared" si="176"/>
        <v>0</v>
      </c>
      <c r="BL119" s="442">
        <f t="shared" si="177"/>
        <v>0</v>
      </c>
      <c r="BM119" s="442">
        <f t="shared" si="178"/>
        <v>0</v>
      </c>
      <c r="BN119" s="442">
        <f t="shared" si="179"/>
        <v>0</v>
      </c>
      <c r="BO119" s="442">
        <f t="shared" si="180"/>
        <v>0</v>
      </c>
      <c r="BP119" s="442">
        <f t="shared" si="181"/>
        <v>0</v>
      </c>
      <c r="BQ119" s="443">
        <f t="shared" si="182"/>
        <v>0</v>
      </c>
      <c r="BS119" s="442">
        <f t="shared" si="183"/>
        <v>0</v>
      </c>
      <c r="BT119" s="442">
        <f t="shared" si="184"/>
        <v>0</v>
      </c>
      <c r="BU119" s="442">
        <f t="shared" si="185"/>
        <v>0</v>
      </c>
      <c r="BV119" s="442">
        <f t="shared" si="186"/>
        <v>0</v>
      </c>
      <c r="BW119" s="442">
        <f t="shared" si="187"/>
        <v>0</v>
      </c>
      <c r="BX119" s="442">
        <f t="shared" si="188"/>
        <v>0</v>
      </c>
      <c r="BY119" s="442">
        <f t="shared" si="189"/>
        <v>0</v>
      </c>
      <c r="BZ119" s="442">
        <f t="shared" si="190"/>
        <v>0</v>
      </c>
      <c r="CA119" s="442">
        <f t="shared" si="191"/>
        <v>0</v>
      </c>
      <c r="CB119" s="442">
        <f t="shared" si="192"/>
        <v>0</v>
      </c>
      <c r="CC119" s="443">
        <f t="shared" si="193"/>
        <v>0</v>
      </c>
      <c r="CE119" s="442">
        <f t="shared" si="194"/>
        <v>0</v>
      </c>
      <c r="CF119" s="442">
        <f t="shared" si="195"/>
        <v>0</v>
      </c>
      <c r="CG119" s="442">
        <f t="shared" si="196"/>
        <v>0</v>
      </c>
      <c r="CH119" s="442">
        <f t="shared" si="197"/>
        <v>0</v>
      </c>
      <c r="CI119" s="442">
        <f t="shared" si="198"/>
        <v>0</v>
      </c>
      <c r="CJ119" s="442">
        <f t="shared" si="199"/>
        <v>0</v>
      </c>
      <c r="CK119" s="442">
        <f t="shared" si="200"/>
        <v>0</v>
      </c>
      <c r="CL119" s="442">
        <f t="shared" si="201"/>
        <v>0</v>
      </c>
      <c r="CM119" s="442">
        <f t="shared" si="202"/>
        <v>0</v>
      </c>
      <c r="CN119" s="442">
        <f t="shared" si="203"/>
        <v>0</v>
      </c>
      <c r="CO119" s="443">
        <f t="shared" si="204"/>
        <v>0</v>
      </c>
      <c r="CQ119" s="442">
        <f t="shared" si="242"/>
        <v>0</v>
      </c>
      <c r="CR119" s="442">
        <f t="shared" si="243"/>
        <v>0</v>
      </c>
      <c r="CS119" s="442">
        <f t="shared" si="244"/>
        <v>0</v>
      </c>
      <c r="CT119" s="442">
        <f t="shared" si="245"/>
        <v>0</v>
      </c>
      <c r="CU119" s="442">
        <f t="shared" si="246"/>
        <v>0</v>
      </c>
      <c r="CV119" s="442">
        <f t="shared" si="247"/>
        <v>0</v>
      </c>
      <c r="CW119" s="442">
        <f t="shared" si="248"/>
        <v>0</v>
      </c>
      <c r="CX119" s="442">
        <f t="shared" si="249"/>
        <v>0</v>
      </c>
      <c r="CY119" s="442">
        <f t="shared" si="250"/>
        <v>0</v>
      </c>
      <c r="CZ119" s="442">
        <f t="shared" si="251"/>
        <v>0</v>
      </c>
      <c r="DA119" s="443">
        <f t="shared" si="205"/>
        <v>0</v>
      </c>
      <c r="DC119" s="442">
        <f t="shared" si="206"/>
        <v>0</v>
      </c>
      <c r="DD119" s="442">
        <f t="shared" si="207"/>
        <v>0</v>
      </c>
      <c r="DE119" s="442">
        <f t="shared" si="208"/>
        <v>0</v>
      </c>
      <c r="DF119" s="442">
        <f t="shared" si="209"/>
        <v>0</v>
      </c>
      <c r="DG119" s="442">
        <f t="shared" si="210"/>
        <v>0</v>
      </c>
      <c r="DH119" s="442">
        <f t="shared" si="211"/>
        <v>0</v>
      </c>
      <c r="DI119" s="442">
        <f t="shared" si="212"/>
        <v>0</v>
      </c>
      <c r="DJ119" s="442">
        <f t="shared" si="213"/>
        <v>0</v>
      </c>
      <c r="DK119" s="442">
        <f t="shared" si="214"/>
        <v>0</v>
      </c>
      <c r="DL119" s="442">
        <f t="shared" si="215"/>
        <v>0</v>
      </c>
      <c r="DM119" s="443">
        <f t="shared" si="216"/>
        <v>0</v>
      </c>
      <c r="DO119" s="442">
        <f t="shared" si="217"/>
        <v>0</v>
      </c>
      <c r="DP119" s="442">
        <f t="shared" si="217"/>
        <v>0</v>
      </c>
      <c r="DQ119" s="442">
        <f t="shared" si="217"/>
        <v>0</v>
      </c>
      <c r="DR119" s="442">
        <f t="shared" si="217"/>
        <v>0</v>
      </c>
      <c r="DS119" s="442">
        <f t="shared" si="217"/>
        <v>0</v>
      </c>
      <c r="DT119" s="442">
        <f t="shared" si="217"/>
        <v>0</v>
      </c>
      <c r="DU119" s="442">
        <f t="shared" si="217"/>
        <v>0</v>
      </c>
      <c r="DV119" s="442">
        <f t="shared" si="217"/>
        <v>0</v>
      </c>
      <c r="DW119" s="442">
        <f t="shared" si="217"/>
        <v>0</v>
      </c>
      <c r="DX119" s="442">
        <f t="shared" si="217"/>
        <v>0</v>
      </c>
      <c r="DY119" s="443">
        <f t="shared" si="218"/>
        <v>0</v>
      </c>
      <c r="EA119" s="442">
        <f t="shared" si="219"/>
        <v>0</v>
      </c>
      <c r="EB119" s="442">
        <f t="shared" si="219"/>
        <v>0</v>
      </c>
      <c r="EC119" s="442">
        <f t="shared" si="219"/>
        <v>0</v>
      </c>
      <c r="ED119" s="442">
        <f t="shared" si="219"/>
        <v>0</v>
      </c>
      <c r="EE119" s="442">
        <f t="shared" si="219"/>
        <v>0</v>
      </c>
      <c r="EF119" s="442">
        <f t="shared" si="219"/>
        <v>0</v>
      </c>
      <c r="EG119" s="442">
        <f t="shared" si="219"/>
        <v>0</v>
      </c>
      <c r="EH119" s="442">
        <f t="shared" si="219"/>
        <v>0</v>
      </c>
      <c r="EI119" s="442">
        <f t="shared" si="219"/>
        <v>0</v>
      </c>
      <c r="EJ119" s="442">
        <f t="shared" si="219"/>
        <v>0</v>
      </c>
      <c r="EK119" s="443">
        <f t="shared" si="220"/>
        <v>0</v>
      </c>
    </row>
    <row r="120" spans="2:141" s="268" customFormat="1" ht="15" customHeight="1" x14ac:dyDescent="0.25">
      <c r="B120" s="446" t="str">
        <f>'2. START'!C$7</f>
        <v>100GEM</v>
      </c>
      <c r="C120" s="469"/>
      <c r="D120" s="594"/>
      <c r="E120" s="522">
        <v>0</v>
      </c>
      <c r="F120" s="522" t="s">
        <v>36</v>
      </c>
      <c r="G120" s="522"/>
      <c r="H120" s="523"/>
      <c r="I120" s="523"/>
      <c r="J120" s="523"/>
      <c r="K120" s="523"/>
      <c r="L120" s="523"/>
      <c r="M120" s="523"/>
      <c r="N120" s="523"/>
      <c r="O120" s="523"/>
      <c r="P120" s="523"/>
      <c r="Q120" s="523"/>
      <c r="R120" s="459">
        <f t="shared" si="221"/>
        <v>0</v>
      </c>
      <c r="S120" s="524">
        <f>IF('2. START'!$C$20="UTB",(SUMIF('3. PARTNER'!B$13:B$80,B120,'3. PARTNER'!M$13:M$80)),(SUMIF('3. PARTNER'!B$13:B$80,B120,'3. PARTNER'!I$13:I$80)))</f>
        <v>0</v>
      </c>
      <c r="T120" s="524">
        <f>IF('2. START'!$C$20="UTB",(SUMIF('3. PARTNER'!B$13:B$80,B120,'3. PARTNER'!N$13:N$80)),(SUMIF('3. PARTNER'!B$13:B$80,B120,'3. PARTNER'!J$13:J$80)))</f>
        <v>0</v>
      </c>
      <c r="U120" s="454">
        <f>IF(F120="NO",0,IF('2. START'!C$13="PERSON+OPERATION",'2. START'!C$12,0)+IF('2. START'!C$13="PERSON+OPERATION+INVEST+FACILIT",'2. START'!C$12,0))</f>
        <v>0</v>
      </c>
      <c r="V120" s="463"/>
      <c r="W120" s="459">
        <f t="shared" si="222"/>
        <v>0</v>
      </c>
      <c r="X120" s="459">
        <f t="shared" si="223"/>
        <v>0</v>
      </c>
      <c r="Y120" s="459">
        <f t="shared" si="224"/>
        <v>0</v>
      </c>
      <c r="Z120" s="459">
        <f t="shared" si="225"/>
        <v>0</v>
      </c>
      <c r="AA120" s="459">
        <f t="shared" si="226"/>
        <v>0</v>
      </c>
      <c r="AB120" s="459">
        <f t="shared" si="227"/>
        <v>0</v>
      </c>
      <c r="AC120" s="459">
        <f t="shared" si="228"/>
        <v>0</v>
      </c>
      <c r="AD120" s="459">
        <f t="shared" si="229"/>
        <v>0</v>
      </c>
      <c r="AE120" s="459">
        <f t="shared" si="230"/>
        <v>0</v>
      </c>
      <c r="AF120" s="459">
        <f t="shared" si="231"/>
        <v>0</v>
      </c>
      <c r="AG120" s="460">
        <f t="shared" si="159"/>
        <v>0</v>
      </c>
      <c r="AH120" s="463"/>
      <c r="AI120" s="459">
        <f t="shared" si="232"/>
        <v>0</v>
      </c>
      <c r="AJ120" s="459">
        <f t="shared" si="233"/>
        <v>0</v>
      </c>
      <c r="AK120" s="459">
        <f t="shared" si="234"/>
        <v>0</v>
      </c>
      <c r="AL120" s="459">
        <f t="shared" si="235"/>
        <v>0</v>
      </c>
      <c r="AM120" s="459">
        <f t="shared" si="236"/>
        <v>0</v>
      </c>
      <c r="AN120" s="459">
        <f t="shared" si="237"/>
        <v>0</v>
      </c>
      <c r="AO120" s="459">
        <f t="shared" si="238"/>
        <v>0</v>
      </c>
      <c r="AP120" s="459">
        <f t="shared" si="239"/>
        <v>0</v>
      </c>
      <c r="AQ120" s="459">
        <f t="shared" si="240"/>
        <v>0</v>
      </c>
      <c r="AR120" s="459">
        <f t="shared" si="241"/>
        <v>0</v>
      </c>
      <c r="AS120" s="460">
        <f t="shared" si="160"/>
        <v>0</v>
      </c>
      <c r="AT120" s="463"/>
      <c r="AU120" s="459">
        <f t="shared" si="161"/>
        <v>0</v>
      </c>
      <c r="AV120" s="459">
        <f t="shared" si="162"/>
        <v>0</v>
      </c>
      <c r="AW120" s="459">
        <f t="shared" si="163"/>
        <v>0</v>
      </c>
      <c r="AX120" s="459">
        <f t="shared" si="164"/>
        <v>0</v>
      </c>
      <c r="AY120" s="459">
        <f t="shared" si="165"/>
        <v>0</v>
      </c>
      <c r="AZ120" s="459">
        <f t="shared" si="166"/>
        <v>0</v>
      </c>
      <c r="BA120" s="459">
        <f t="shared" si="167"/>
        <v>0</v>
      </c>
      <c r="BB120" s="459">
        <f t="shared" si="168"/>
        <v>0</v>
      </c>
      <c r="BC120" s="459">
        <f t="shared" si="169"/>
        <v>0</v>
      </c>
      <c r="BD120" s="459">
        <f t="shared" si="170"/>
        <v>0</v>
      </c>
      <c r="BE120" s="460">
        <f t="shared" si="171"/>
        <v>0</v>
      </c>
      <c r="BF120" s="463"/>
      <c r="BG120" s="459">
        <f t="shared" si="172"/>
        <v>0</v>
      </c>
      <c r="BH120" s="459">
        <f t="shared" si="173"/>
        <v>0</v>
      </c>
      <c r="BI120" s="459">
        <f t="shared" si="174"/>
        <v>0</v>
      </c>
      <c r="BJ120" s="459">
        <f t="shared" si="175"/>
        <v>0</v>
      </c>
      <c r="BK120" s="459">
        <f t="shared" si="176"/>
        <v>0</v>
      </c>
      <c r="BL120" s="459">
        <f t="shared" si="177"/>
        <v>0</v>
      </c>
      <c r="BM120" s="459">
        <f t="shared" si="178"/>
        <v>0</v>
      </c>
      <c r="BN120" s="459">
        <f t="shared" si="179"/>
        <v>0</v>
      </c>
      <c r="BO120" s="459">
        <f t="shared" si="180"/>
        <v>0</v>
      </c>
      <c r="BP120" s="459">
        <f t="shared" si="181"/>
        <v>0</v>
      </c>
      <c r="BQ120" s="460">
        <f t="shared" si="182"/>
        <v>0</v>
      </c>
      <c r="BR120" s="463"/>
      <c r="BS120" s="459">
        <f t="shared" si="183"/>
        <v>0</v>
      </c>
      <c r="BT120" s="459">
        <f t="shared" si="184"/>
        <v>0</v>
      </c>
      <c r="BU120" s="459">
        <f t="shared" si="185"/>
        <v>0</v>
      </c>
      <c r="BV120" s="459">
        <f t="shared" si="186"/>
        <v>0</v>
      </c>
      <c r="BW120" s="459">
        <f t="shared" si="187"/>
        <v>0</v>
      </c>
      <c r="BX120" s="459">
        <f t="shared" si="188"/>
        <v>0</v>
      </c>
      <c r="BY120" s="459">
        <f t="shared" si="189"/>
        <v>0</v>
      </c>
      <c r="BZ120" s="459">
        <f t="shared" si="190"/>
        <v>0</v>
      </c>
      <c r="CA120" s="459">
        <f t="shared" si="191"/>
        <v>0</v>
      </c>
      <c r="CB120" s="459">
        <f t="shared" si="192"/>
        <v>0</v>
      </c>
      <c r="CC120" s="460">
        <f t="shared" si="193"/>
        <v>0</v>
      </c>
      <c r="CD120" s="463"/>
      <c r="CE120" s="459">
        <f t="shared" si="194"/>
        <v>0</v>
      </c>
      <c r="CF120" s="459">
        <f t="shared" si="195"/>
        <v>0</v>
      </c>
      <c r="CG120" s="459">
        <f t="shared" si="196"/>
        <v>0</v>
      </c>
      <c r="CH120" s="459">
        <f t="shared" si="197"/>
        <v>0</v>
      </c>
      <c r="CI120" s="459">
        <f t="shared" si="198"/>
        <v>0</v>
      </c>
      <c r="CJ120" s="459">
        <f t="shared" si="199"/>
        <v>0</v>
      </c>
      <c r="CK120" s="459">
        <f t="shared" si="200"/>
        <v>0</v>
      </c>
      <c r="CL120" s="459">
        <f t="shared" si="201"/>
        <v>0</v>
      </c>
      <c r="CM120" s="459">
        <f t="shared" si="202"/>
        <v>0</v>
      </c>
      <c r="CN120" s="459">
        <f t="shared" si="203"/>
        <v>0</v>
      </c>
      <c r="CO120" s="460">
        <f t="shared" si="204"/>
        <v>0</v>
      </c>
      <c r="CP120" s="463"/>
      <c r="CQ120" s="459">
        <f t="shared" si="242"/>
        <v>0</v>
      </c>
      <c r="CR120" s="459">
        <f t="shared" si="243"/>
        <v>0</v>
      </c>
      <c r="CS120" s="459">
        <f t="shared" si="244"/>
        <v>0</v>
      </c>
      <c r="CT120" s="459">
        <f t="shared" si="245"/>
        <v>0</v>
      </c>
      <c r="CU120" s="459">
        <f t="shared" si="246"/>
        <v>0</v>
      </c>
      <c r="CV120" s="459">
        <f t="shared" si="247"/>
        <v>0</v>
      </c>
      <c r="CW120" s="459">
        <f t="shared" si="248"/>
        <v>0</v>
      </c>
      <c r="CX120" s="459">
        <f t="shared" si="249"/>
        <v>0</v>
      </c>
      <c r="CY120" s="459">
        <f t="shared" si="250"/>
        <v>0</v>
      </c>
      <c r="CZ120" s="459">
        <f t="shared" si="251"/>
        <v>0</v>
      </c>
      <c r="DA120" s="460">
        <f t="shared" si="205"/>
        <v>0</v>
      </c>
      <c r="DB120" s="463"/>
      <c r="DC120" s="459">
        <f t="shared" si="206"/>
        <v>0</v>
      </c>
      <c r="DD120" s="459">
        <f t="shared" si="207"/>
        <v>0</v>
      </c>
      <c r="DE120" s="459">
        <f t="shared" si="208"/>
        <v>0</v>
      </c>
      <c r="DF120" s="459">
        <f t="shared" si="209"/>
        <v>0</v>
      </c>
      <c r="DG120" s="459">
        <f t="shared" si="210"/>
        <v>0</v>
      </c>
      <c r="DH120" s="459">
        <f t="shared" si="211"/>
        <v>0</v>
      </c>
      <c r="DI120" s="459">
        <f t="shared" si="212"/>
        <v>0</v>
      </c>
      <c r="DJ120" s="459">
        <f t="shared" si="213"/>
        <v>0</v>
      </c>
      <c r="DK120" s="459">
        <f t="shared" si="214"/>
        <v>0</v>
      </c>
      <c r="DL120" s="459">
        <f t="shared" si="215"/>
        <v>0</v>
      </c>
      <c r="DM120" s="460">
        <f t="shared" si="216"/>
        <v>0</v>
      </c>
      <c r="DN120" s="463"/>
      <c r="DO120" s="459">
        <f t="shared" si="217"/>
        <v>0</v>
      </c>
      <c r="DP120" s="459">
        <f t="shared" si="217"/>
        <v>0</v>
      </c>
      <c r="DQ120" s="459">
        <f t="shared" si="217"/>
        <v>0</v>
      </c>
      <c r="DR120" s="459">
        <f t="shared" si="217"/>
        <v>0</v>
      </c>
      <c r="DS120" s="459">
        <f t="shared" si="217"/>
        <v>0</v>
      </c>
      <c r="DT120" s="459">
        <f t="shared" si="217"/>
        <v>0</v>
      </c>
      <c r="DU120" s="459">
        <f t="shared" si="217"/>
        <v>0</v>
      </c>
      <c r="DV120" s="459">
        <f t="shared" si="217"/>
        <v>0</v>
      </c>
      <c r="DW120" s="459">
        <f t="shared" si="217"/>
        <v>0</v>
      </c>
      <c r="DX120" s="459">
        <f t="shared" si="217"/>
        <v>0</v>
      </c>
      <c r="DY120" s="460">
        <f t="shared" si="218"/>
        <v>0</v>
      </c>
      <c r="DZ120" s="463"/>
      <c r="EA120" s="459">
        <f t="shared" si="219"/>
        <v>0</v>
      </c>
      <c r="EB120" s="459">
        <f t="shared" si="219"/>
        <v>0</v>
      </c>
      <c r="EC120" s="459">
        <f t="shared" si="219"/>
        <v>0</v>
      </c>
      <c r="ED120" s="459">
        <f t="shared" si="219"/>
        <v>0</v>
      </c>
      <c r="EE120" s="459">
        <f t="shared" si="219"/>
        <v>0</v>
      </c>
      <c r="EF120" s="459">
        <f t="shared" si="219"/>
        <v>0</v>
      </c>
      <c r="EG120" s="459">
        <f t="shared" si="219"/>
        <v>0</v>
      </c>
      <c r="EH120" s="459">
        <f t="shared" si="219"/>
        <v>0</v>
      </c>
      <c r="EI120" s="459">
        <f t="shared" si="219"/>
        <v>0</v>
      </c>
      <c r="EJ120" s="459">
        <f t="shared" si="219"/>
        <v>0</v>
      </c>
      <c r="EK120" s="460">
        <f t="shared" si="220"/>
        <v>0</v>
      </c>
    </row>
    <row r="121" spans="2:141" s="270" customFormat="1" ht="15" customHeight="1" x14ac:dyDescent="0.25">
      <c r="B121" s="464" t="str">
        <f>'2. START'!C$7</f>
        <v>100GEM</v>
      </c>
      <c r="C121" s="470"/>
      <c r="D121" s="593"/>
      <c r="E121" s="527">
        <v>0</v>
      </c>
      <c r="F121" s="527" t="s">
        <v>36</v>
      </c>
      <c r="G121" s="527"/>
      <c r="H121" s="515"/>
      <c r="I121" s="515"/>
      <c r="J121" s="515"/>
      <c r="K121" s="515"/>
      <c r="L121" s="515"/>
      <c r="M121" s="515"/>
      <c r="N121" s="515"/>
      <c r="O121" s="515"/>
      <c r="P121" s="515"/>
      <c r="Q121" s="515"/>
      <c r="R121" s="442">
        <f t="shared" si="221"/>
        <v>0</v>
      </c>
      <c r="S121" s="516">
        <f>IF('2. START'!$C$20="UTB",(SUMIF('3. PARTNER'!B$13:B$80,B121,'3. PARTNER'!M$13:M$80)),(SUMIF('3. PARTNER'!B$13:B$80,B121,'3. PARTNER'!I$13:I$80)))</f>
        <v>0</v>
      </c>
      <c r="T121" s="516">
        <f>IF('2. START'!$C$20="UTB",(SUMIF('3. PARTNER'!B$13:B$80,B121,'3. PARTNER'!N$13:N$80)),(SUMIF('3. PARTNER'!B$13:B$80,B121,'3. PARTNER'!J$13:J$80)))</f>
        <v>0</v>
      </c>
      <c r="U121" s="517">
        <f>IF(F121="NO",0,IF('2. START'!C$13="PERSON+OPERATION",'2. START'!C$12,0)+IF('2. START'!C$13="PERSON+OPERATION+INVEST+FACILIT",'2. START'!C$12,0))</f>
        <v>0</v>
      </c>
      <c r="W121" s="442">
        <f t="shared" si="222"/>
        <v>0</v>
      </c>
      <c r="X121" s="442">
        <f t="shared" si="223"/>
        <v>0</v>
      </c>
      <c r="Y121" s="442">
        <f t="shared" si="224"/>
        <v>0</v>
      </c>
      <c r="Z121" s="442">
        <f t="shared" si="225"/>
        <v>0</v>
      </c>
      <c r="AA121" s="442">
        <f t="shared" si="226"/>
        <v>0</v>
      </c>
      <c r="AB121" s="442">
        <f t="shared" si="227"/>
        <v>0</v>
      </c>
      <c r="AC121" s="442">
        <f t="shared" si="228"/>
        <v>0</v>
      </c>
      <c r="AD121" s="442">
        <f t="shared" si="229"/>
        <v>0</v>
      </c>
      <c r="AE121" s="442">
        <f t="shared" si="230"/>
        <v>0</v>
      </c>
      <c r="AF121" s="442">
        <f t="shared" si="231"/>
        <v>0</v>
      </c>
      <c r="AG121" s="443">
        <f t="shared" si="159"/>
        <v>0</v>
      </c>
      <c r="AI121" s="442">
        <f t="shared" si="232"/>
        <v>0</v>
      </c>
      <c r="AJ121" s="442">
        <f t="shared" si="233"/>
        <v>0</v>
      </c>
      <c r="AK121" s="442">
        <f t="shared" si="234"/>
        <v>0</v>
      </c>
      <c r="AL121" s="442">
        <f t="shared" si="235"/>
        <v>0</v>
      </c>
      <c r="AM121" s="442">
        <f t="shared" si="236"/>
        <v>0</v>
      </c>
      <c r="AN121" s="442">
        <f t="shared" si="237"/>
        <v>0</v>
      </c>
      <c r="AO121" s="442">
        <f t="shared" si="238"/>
        <v>0</v>
      </c>
      <c r="AP121" s="442">
        <f t="shared" si="239"/>
        <v>0</v>
      </c>
      <c r="AQ121" s="442">
        <f t="shared" si="240"/>
        <v>0</v>
      </c>
      <c r="AR121" s="442">
        <f t="shared" si="241"/>
        <v>0</v>
      </c>
      <c r="AS121" s="443">
        <f t="shared" si="160"/>
        <v>0</v>
      </c>
      <c r="AU121" s="442">
        <f t="shared" si="161"/>
        <v>0</v>
      </c>
      <c r="AV121" s="442">
        <f t="shared" si="162"/>
        <v>0</v>
      </c>
      <c r="AW121" s="442">
        <f t="shared" si="163"/>
        <v>0</v>
      </c>
      <c r="AX121" s="442">
        <f t="shared" si="164"/>
        <v>0</v>
      </c>
      <c r="AY121" s="442">
        <f t="shared" si="165"/>
        <v>0</v>
      </c>
      <c r="AZ121" s="442">
        <f t="shared" si="166"/>
        <v>0</v>
      </c>
      <c r="BA121" s="442">
        <f t="shared" si="167"/>
        <v>0</v>
      </c>
      <c r="BB121" s="442">
        <f t="shared" si="168"/>
        <v>0</v>
      </c>
      <c r="BC121" s="442">
        <f t="shared" si="169"/>
        <v>0</v>
      </c>
      <c r="BD121" s="442">
        <f t="shared" si="170"/>
        <v>0</v>
      </c>
      <c r="BE121" s="443">
        <f t="shared" si="171"/>
        <v>0</v>
      </c>
      <c r="BG121" s="442">
        <f t="shared" si="172"/>
        <v>0</v>
      </c>
      <c r="BH121" s="442">
        <f t="shared" si="173"/>
        <v>0</v>
      </c>
      <c r="BI121" s="442">
        <f t="shared" si="174"/>
        <v>0</v>
      </c>
      <c r="BJ121" s="442">
        <f t="shared" si="175"/>
        <v>0</v>
      </c>
      <c r="BK121" s="442">
        <f t="shared" si="176"/>
        <v>0</v>
      </c>
      <c r="BL121" s="442">
        <f t="shared" si="177"/>
        <v>0</v>
      </c>
      <c r="BM121" s="442">
        <f t="shared" si="178"/>
        <v>0</v>
      </c>
      <c r="BN121" s="442">
        <f t="shared" si="179"/>
        <v>0</v>
      </c>
      <c r="BO121" s="442">
        <f t="shared" si="180"/>
        <v>0</v>
      </c>
      <c r="BP121" s="442">
        <f t="shared" si="181"/>
        <v>0</v>
      </c>
      <c r="BQ121" s="443">
        <f t="shared" si="182"/>
        <v>0</v>
      </c>
      <c r="BS121" s="442">
        <f t="shared" si="183"/>
        <v>0</v>
      </c>
      <c r="BT121" s="442">
        <f t="shared" si="184"/>
        <v>0</v>
      </c>
      <c r="BU121" s="442">
        <f t="shared" si="185"/>
        <v>0</v>
      </c>
      <c r="BV121" s="442">
        <f t="shared" si="186"/>
        <v>0</v>
      </c>
      <c r="BW121" s="442">
        <f t="shared" si="187"/>
        <v>0</v>
      </c>
      <c r="BX121" s="442">
        <f t="shared" si="188"/>
        <v>0</v>
      </c>
      <c r="BY121" s="442">
        <f t="shared" si="189"/>
        <v>0</v>
      </c>
      <c r="BZ121" s="442">
        <f t="shared" si="190"/>
        <v>0</v>
      </c>
      <c r="CA121" s="442">
        <f t="shared" si="191"/>
        <v>0</v>
      </c>
      <c r="CB121" s="442">
        <f t="shared" si="192"/>
        <v>0</v>
      </c>
      <c r="CC121" s="443">
        <f t="shared" si="193"/>
        <v>0</v>
      </c>
      <c r="CE121" s="442">
        <f t="shared" si="194"/>
        <v>0</v>
      </c>
      <c r="CF121" s="442">
        <f t="shared" si="195"/>
        <v>0</v>
      </c>
      <c r="CG121" s="442">
        <f t="shared" si="196"/>
        <v>0</v>
      </c>
      <c r="CH121" s="442">
        <f t="shared" si="197"/>
        <v>0</v>
      </c>
      <c r="CI121" s="442">
        <f t="shared" si="198"/>
        <v>0</v>
      </c>
      <c r="CJ121" s="442">
        <f t="shared" si="199"/>
        <v>0</v>
      </c>
      <c r="CK121" s="442">
        <f t="shared" si="200"/>
        <v>0</v>
      </c>
      <c r="CL121" s="442">
        <f t="shared" si="201"/>
        <v>0</v>
      </c>
      <c r="CM121" s="442">
        <f t="shared" si="202"/>
        <v>0</v>
      </c>
      <c r="CN121" s="442">
        <f t="shared" si="203"/>
        <v>0</v>
      </c>
      <c r="CO121" s="443">
        <f t="shared" si="204"/>
        <v>0</v>
      </c>
      <c r="CQ121" s="442">
        <f t="shared" si="242"/>
        <v>0</v>
      </c>
      <c r="CR121" s="442">
        <f t="shared" si="243"/>
        <v>0</v>
      </c>
      <c r="CS121" s="442">
        <f t="shared" si="244"/>
        <v>0</v>
      </c>
      <c r="CT121" s="442">
        <f t="shared" si="245"/>
        <v>0</v>
      </c>
      <c r="CU121" s="442">
        <f t="shared" si="246"/>
        <v>0</v>
      </c>
      <c r="CV121" s="442">
        <f t="shared" si="247"/>
        <v>0</v>
      </c>
      <c r="CW121" s="442">
        <f t="shared" si="248"/>
        <v>0</v>
      </c>
      <c r="CX121" s="442">
        <f t="shared" si="249"/>
        <v>0</v>
      </c>
      <c r="CY121" s="442">
        <f t="shared" si="250"/>
        <v>0</v>
      </c>
      <c r="CZ121" s="442">
        <f t="shared" si="251"/>
        <v>0</v>
      </c>
      <c r="DA121" s="443">
        <f t="shared" si="205"/>
        <v>0</v>
      </c>
      <c r="DC121" s="442">
        <f t="shared" si="206"/>
        <v>0</v>
      </c>
      <c r="DD121" s="442">
        <f t="shared" si="207"/>
        <v>0</v>
      </c>
      <c r="DE121" s="442">
        <f t="shared" si="208"/>
        <v>0</v>
      </c>
      <c r="DF121" s="442">
        <f t="shared" si="209"/>
        <v>0</v>
      </c>
      <c r="DG121" s="442">
        <f t="shared" si="210"/>
        <v>0</v>
      </c>
      <c r="DH121" s="442">
        <f t="shared" si="211"/>
        <v>0</v>
      </c>
      <c r="DI121" s="442">
        <f t="shared" si="212"/>
        <v>0</v>
      </c>
      <c r="DJ121" s="442">
        <f t="shared" si="213"/>
        <v>0</v>
      </c>
      <c r="DK121" s="442">
        <f t="shared" si="214"/>
        <v>0</v>
      </c>
      <c r="DL121" s="442">
        <f t="shared" si="215"/>
        <v>0</v>
      </c>
      <c r="DM121" s="443">
        <f t="shared" si="216"/>
        <v>0</v>
      </c>
      <c r="DO121" s="442">
        <f t="shared" si="217"/>
        <v>0</v>
      </c>
      <c r="DP121" s="442">
        <f t="shared" si="217"/>
        <v>0</v>
      </c>
      <c r="DQ121" s="442">
        <f t="shared" si="217"/>
        <v>0</v>
      </c>
      <c r="DR121" s="442">
        <f t="shared" si="217"/>
        <v>0</v>
      </c>
      <c r="DS121" s="442">
        <f t="shared" si="217"/>
        <v>0</v>
      </c>
      <c r="DT121" s="442">
        <f t="shared" si="217"/>
        <v>0</v>
      </c>
      <c r="DU121" s="442">
        <f t="shared" si="217"/>
        <v>0</v>
      </c>
      <c r="DV121" s="442">
        <f t="shared" si="217"/>
        <v>0</v>
      </c>
      <c r="DW121" s="442">
        <f t="shared" si="217"/>
        <v>0</v>
      </c>
      <c r="DX121" s="442">
        <f t="shared" si="217"/>
        <v>0</v>
      </c>
      <c r="DY121" s="443">
        <f t="shared" si="218"/>
        <v>0</v>
      </c>
      <c r="EA121" s="442">
        <f t="shared" si="219"/>
        <v>0</v>
      </c>
      <c r="EB121" s="442">
        <f t="shared" si="219"/>
        <v>0</v>
      </c>
      <c r="EC121" s="442">
        <f t="shared" si="219"/>
        <v>0</v>
      </c>
      <c r="ED121" s="442">
        <f t="shared" si="219"/>
        <v>0</v>
      </c>
      <c r="EE121" s="442">
        <f t="shared" si="219"/>
        <v>0</v>
      </c>
      <c r="EF121" s="442">
        <f t="shared" si="219"/>
        <v>0</v>
      </c>
      <c r="EG121" s="442">
        <f t="shared" si="219"/>
        <v>0</v>
      </c>
      <c r="EH121" s="442">
        <f t="shared" si="219"/>
        <v>0</v>
      </c>
      <c r="EI121" s="442">
        <f t="shared" si="219"/>
        <v>0</v>
      </c>
      <c r="EJ121" s="442">
        <f t="shared" si="219"/>
        <v>0</v>
      </c>
      <c r="EK121" s="443">
        <f t="shared" si="220"/>
        <v>0</v>
      </c>
    </row>
    <row r="122" spans="2:141" s="268" customFormat="1" ht="15" customHeight="1" x14ac:dyDescent="0.25">
      <c r="B122" s="446" t="str">
        <f>'2. START'!C$7</f>
        <v>100GEM</v>
      </c>
      <c r="C122" s="469"/>
      <c r="D122" s="594"/>
      <c r="E122" s="522">
        <v>0</v>
      </c>
      <c r="F122" s="522" t="s">
        <v>36</v>
      </c>
      <c r="G122" s="522"/>
      <c r="H122" s="523"/>
      <c r="I122" s="523"/>
      <c r="J122" s="523"/>
      <c r="K122" s="523"/>
      <c r="L122" s="523"/>
      <c r="M122" s="523"/>
      <c r="N122" s="523"/>
      <c r="O122" s="523"/>
      <c r="P122" s="523"/>
      <c r="Q122" s="523"/>
      <c r="R122" s="459">
        <f t="shared" si="221"/>
        <v>0</v>
      </c>
      <c r="S122" s="524">
        <f>IF('2. START'!$C$20="UTB",(SUMIF('3. PARTNER'!B$13:B$80,B122,'3. PARTNER'!M$13:M$80)),(SUMIF('3. PARTNER'!B$13:B$80,B122,'3. PARTNER'!I$13:I$80)))</f>
        <v>0</v>
      </c>
      <c r="T122" s="524">
        <f>IF('2. START'!$C$20="UTB",(SUMIF('3. PARTNER'!B$13:B$80,B122,'3. PARTNER'!N$13:N$80)),(SUMIF('3. PARTNER'!B$13:B$80,B122,'3. PARTNER'!J$13:J$80)))</f>
        <v>0</v>
      </c>
      <c r="U122" s="454">
        <f>IF(F122="NO",0,IF('2. START'!C$13="PERSON+OPERATION",'2. START'!C$12,0)+IF('2. START'!C$13="PERSON+OPERATION+INVEST+FACILIT",'2. START'!C$12,0))</f>
        <v>0</v>
      </c>
      <c r="V122" s="463"/>
      <c r="W122" s="459">
        <f t="shared" si="222"/>
        <v>0</v>
      </c>
      <c r="X122" s="459">
        <f t="shared" si="223"/>
        <v>0</v>
      </c>
      <c r="Y122" s="459">
        <f t="shared" si="224"/>
        <v>0</v>
      </c>
      <c r="Z122" s="459">
        <f t="shared" si="225"/>
        <v>0</v>
      </c>
      <c r="AA122" s="459">
        <f t="shared" si="226"/>
        <v>0</v>
      </c>
      <c r="AB122" s="459">
        <f t="shared" si="227"/>
        <v>0</v>
      </c>
      <c r="AC122" s="459">
        <f t="shared" si="228"/>
        <v>0</v>
      </c>
      <c r="AD122" s="459">
        <f t="shared" si="229"/>
        <v>0</v>
      </c>
      <c r="AE122" s="459">
        <f t="shared" si="230"/>
        <v>0</v>
      </c>
      <c r="AF122" s="459">
        <f t="shared" si="231"/>
        <v>0</v>
      </c>
      <c r="AG122" s="460">
        <f t="shared" si="159"/>
        <v>0</v>
      </c>
      <c r="AH122" s="463"/>
      <c r="AI122" s="459">
        <f t="shared" si="232"/>
        <v>0</v>
      </c>
      <c r="AJ122" s="459">
        <f t="shared" si="233"/>
        <v>0</v>
      </c>
      <c r="AK122" s="459">
        <f t="shared" si="234"/>
        <v>0</v>
      </c>
      <c r="AL122" s="459">
        <f t="shared" si="235"/>
        <v>0</v>
      </c>
      <c r="AM122" s="459">
        <f t="shared" si="236"/>
        <v>0</v>
      </c>
      <c r="AN122" s="459">
        <f t="shared" si="237"/>
        <v>0</v>
      </c>
      <c r="AO122" s="459">
        <f t="shared" si="238"/>
        <v>0</v>
      </c>
      <c r="AP122" s="459">
        <f t="shared" si="239"/>
        <v>0</v>
      </c>
      <c r="AQ122" s="459">
        <f t="shared" si="240"/>
        <v>0</v>
      </c>
      <c r="AR122" s="459">
        <f t="shared" si="241"/>
        <v>0</v>
      </c>
      <c r="AS122" s="460">
        <f t="shared" si="160"/>
        <v>0</v>
      </c>
      <c r="AT122" s="463"/>
      <c r="AU122" s="459">
        <f t="shared" si="161"/>
        <v>0</v>
      </c>
      <c r="AV122" s="459">
        <f t="shared" si="162"/>
        <v>0</v>
      </c>
      <c r="AW122" s="459">
        <f t="shared" si="163"/>
        <v>0</v>
      </c>
      <c r="AX122" s="459">
        <f t="shared" si="164"/>
        <v>0</v>
      </c>
      <c r="AY122" s="459">
        <f t="shared" si="165"/>
        <v>0</v>
      </c>
      <c r="AZ122" s="459">
        <f t="shared" si="166"/>
        <v>0</v>
      </c>
      <c r="BA122" s="459">
        <f t="shared" si="167"/>
        <v>0</v>
      </c>
      <c r="BB122" s="459">
        <f t="shared" si="168"/>
        <v>0</v>
      </c>
      <c r="BC122" s="459">
        <f t="shared" si="169"/>
        <v>0</v>
      </c>
      <c r="BD122" s="459">
        <f t="shared" si="170"/>
        <v>0</v>
      </c>
      <c r="BE122" s="460">
        <f t="shared" si="171"/>
        <v>0</v>
      </c>
      <c r="BF122" s="463"/>
      <c r="BG122" s="459">
        <f t="shared" si="172"/>
        <v>0</v>
      </c>
      <c r="BH122" s="459">
        <f t="shared" si="173"/>
        <v>0</v>
      </c>
      <c r="BI122" s="459">
        <f t="shared" si="174"/>
        <v>0</v>
      </c>
      <c r="BJ122" s="459">
        <f t="shared" si="175"/>
        <v>0</v>
      </c>
      <c r="BK122" s="459">
        <f t="shared" si="176"/>
        <v>0</v>
      </c>
      <c r="BL122" s="459">
        <f t="shared" si="177"/>
        <v>0</v>
      </c>
      <c r="BM122" s="459">
        <f t="shared" si="178"/>
        <v>0</v>
      </c>
      <c r="BN122" s="459">
        <f t="shared" si="179"/>
        <v>0</v>
      </c>
      <c r="BO122" s="459">
        <f t="shared" si="180"/>
        <v>0</v>
      </c>
      <c r="BP122" s="459">
        <f t="shared" si="181"/>
        <v>0</v>
      </c>
      <c r="BQ122" s="460">
        <f t="shared" si="182"/>
        <v>0</v>
      </c>
      <c r="BR122" s="463"/>
      <c r="BS122" s="459">
        <f t="shared" si="183"/>
        <v>0</v>
      </c>
      <c r="BT122" s="459">
        <f t="shared" si="184"/>
        <v>0</v>
      </c>
      <c r="BU122" s="459">
        <f t="shared" si="185"/>
        <v>0</v>
      </c>
      <c r="BV122" s="459">
        <f t="shared" si="186"/>
        <v>0</v>
      </c>
      <c r="BW122" s="459">
        <f t="shared" si="187"/>
        <v>0</v>
      </c>
      <c r="BX122" s="459">
        <f t="shared" si="188"/>
        <v>0</v>
      </c>
      <c r="BY122" s="459">
        <f t="shared" si="189"/>
        <v>0</v>
      </c>
      <c r="BZ122" s="459">
        <f t="shared" si="190"/>
        <v>0</v>
      </c>
      <c r="CA122" s="459">
        <f t="shared" si="191"/>
        <v>0</v>
      </c>
      <c r="CB122" s="459">
        <f t="shared" si="192"/>
        <v>0</v>
      </c>
      <c r="CC122" s="460">
        <f t="shared" si="193"/>
        <v>0</v>
      </c>
      <c r="CD122" s="463"/>
      <c r="CE122" s="459">
        <f t="shared" si="194"/>
        <v>0</v>
      </c>
      <c r="CF122" s="459">
        <f t="shared" si="195"/>
        <v>0</v>
      </c>
      <c r="CG122" s="459">
        <f t="shared" si="196"/>
        <v>0</v>
      </c>
      <c r="CH122" s="459">
        <f t="shared" si="197"/>
        <v>0</v>
      </c>
      <c r="CI122" s="459">
        <f t="shared" si="198"/>
        <v>0</v>
      </c>
      <c r="CJ122" s="459">
        <f t="shared" si="199"/>
        <v>0</v>
      </c>
      <c r="CK122" s="459">
        <f t="shared" si="200"/>
        <v>0</v>
      </c>
      <c r="CL122" s="459">
        <f t="shared" si="201"/>
        <v>0</v>
      </c>
      <c r="CM122" s="459">
        <f t="shared" si="202"/>
        <v>0</v>
      </c>
      <c r="CN122" s="459">
        <f t="shared" si="203"/>
        <v>0</v>
      </c>
      <c r="CO122" s="460">
        <f t="shared" si="204"/>
        <v>0</v>
      </c>
      <c r="CP122" s="463"/>
      <c r="CQ122" s="459">
        <f t="shared" si="242"/>
        <v>0</v>
      </c>
      <c r="CR122" s="459">
        <f t="shared" si="243"/>
        <v>0</v>
      </c>
      <c r="CS122" s="459">
        <f t="shared" si="244"/>
        <v>0</v>
      </c>
      <c r="CT122" s="459">
        <f t="shared" si="245"/>
        <v>0</v>
      </c>
      <c r="CU122" s="459">
        <f t="shared" si="246"/>
        <v>0</v>
      </c>
      <c r="CV122" s="459">
        <f t="shared" si="247"/>
        <v>0</v>
      </c>
      <c r="CW122" s="459">
        <f t="shared" si="248"/>
        <v>0</v>
      </c>
      <c r="CX122" s="459">
        <f t="shared" si="249"/>
        <v>0</v>
      </c>
      <c r="CY122" s="459">
        <f t="shared" si="250"/>
        <v>0</v>
      </c>
      <c r="CZ122" s="459">
        <f t="shared" si="251"/>
        <v>0</v>
      </c>
      <c r="DA122" s="460">
        <f t="shared" si="205"/>
        <v>0</v>
      </c>
      <c r="DB122" s="463"/>
      <c r="DC122" s="459">
        <f t="shared" si="206"/>
        <v>0</v>
      </c>
      <c r="DD122" s="459">
        <f t="shared" si="207"/>
        <v>0</v>
      </c>
      <c r="DE122" s="459">
        <f t="shared" si="208"/>
        <v>0</v>
      </c>
      <c r="DF122" s="459">
        <f t="shared" si="209"/>
        <v>0</v>
      </c>
      <c r="DG122" s="459">
        <f t="shared" si="210"/>
        <v>0</v>
      </c>
      <c r="DH122" s="459">
        <f t="shared" si="211"/>
        <v>0</v>
      </c>
      <c r="DI122" s="459">
        <f t="shared" si="212"/>
        <v>0</v>
      </c>
      <c r="DJ122" s="459">
        <f t="shared" si="213"/>
        <v>0</v>
      </c>
      <c r="DK122" s="459">
        <f t="shared" si="214"/>
        <v>0</v>
      </c>
      <c r="DL122" s="459">
        <f t="shared" si="215"/>
        <v>0</v>
      </c>
      <c r="DM122" s="460">
        <f t="shared" si="216"/>
        <v>0</v>
      </c>
      <c r="DN122" s="463"/>
      <c r="DO122" s="459">
        <f t="shared" si="217"/>
        <v>0</v>
      </c>
      <c r="DP122" s="459">
        <f t="shared" si="217"/>
        <v>0</v>
      </c>
      <c r="DQ122" s="459">
        <f t="shared" si="217"/>
        <v>0</v>
      </c>
      <c r="DR122" s="459">
        <f t="shared" si="217"/>
        <v>0</v>
      </c>
      <c r="DS122" s="459">
        <f t="shared" si="217"/>
        <v>0</v>
      </c>
      <c r="DT122" s="459">
        <f t="shared" si="217"/>
        <v>0</v>
      </c>
      <c r="DU122" s="459">
        <f t="shared" si="217"/>
        <v>0</v>
      </c>
      <c r="DV122" s="459">
        <f t="shared" si="217"/>
        <v>0</v>
      </c>
      <c r="DW122" s="459">
        <f t="shared" si="217"/>
        <v>0</v>
      </c>
      <c r="DX122" s="459">
        <f t="shared" si="217"/>
        <v>0</v>
      </c>
      <c r="DY122" s="460">
        <f t="shared" si="218"/>
        <v>0</v>
      </c>
      <c r="DZ122" s="463"/>
      <c r="EA122" s="459">
        <f t="shared" si="219"/>
        <v>0</v>
      </c>
      <c r="EB122" s="459">
        <f t="shared" si="219"/>
        <v>0</v>
      </c>
      <c r="EC122" s="459">
        <f t="shared" si="219"/>
        <v>0</v>
      </c>
      <c r="ED122" s="459">
        <f t="shared" si="219"/>
        <v>0</v>
      </c>
      <c r="EE122" s="459">
        <f t="shared" si="219"/>
        <v>0</v>
      </c>
      <c r="EF122" s="459">
        <f t="shared" si="219"/>
        <v>0</v>
      </c>
      <c r="EG122" s="459">
        <f t="shared" si="219"/>
        <v>0</v>
      </c>
      <c r="EH122" s="459">
        <f t="shared" si="219"/>
        <v>0</v>
      </c>
      <c r="EI122" s="459">
        <f t="shared" si="219"/>
        <v>0</v>
      </c>
      <c r="EJ122" s="459">
        <f t="shared" si="219"/>
        <v>0</v>
      </c>
      <c r="EK122" s="460">
        <f t="shared" si="220"/>
        <v>0</v>
      </c>
    </row>
    <row r="123" spans="2:141" s="270" customFormat="1" ht="15" customHeight="1" x14ac:dyDescent="0.25">
      <c r="B123" s="464" t="str">
        <f>'2. START'!C$7</f>
        <v>100GEM</v>
      </c>
      <c r="C123" s="470"/>
      <c r="D123" s="593"/>
      <c r="E123" s="527">
        <v>0</v>
      </c>
      <c r="F123" s="527" t="s">
        <v>36</v>
      </c>
      <c r="G123" s="527"/>
      <c r="H123" s="515"/>
      <c r="I123" s="515"/>
      <c r="J123" s="515"/>
      <c r="K123" s="515"/>
      <c r="L123" s="515"/>
      <c r="M123" s="515"/>
      <c r="N123" s="515"/>
      <c r="O123" s="515"/>
      <c r="P123" s="515"/>
      <c r="Q123" s="515"/>
      <c r="R123" s="442">
        <f t="shared" si="221"/>
        <v>0</v>
      </c>
      <c r="S123" s="516">
        <f>IF('2. START'!$C$20="UTB",(SUMIF('3. PARTNER'!B$13:B$80,B123,'3. PARTNER'!M$13:M$80)),(SUMIF('3. PARTNER'!B$13:B$80,B123,'3. PARTNER'!I$13:I$80)))</f>
        <v>0</v>
      </c>
      <c r="T123" s="516">
        <f>IF('2. START'!$C$20="UTB",(SUMIF('3. PARTNER'!B$13:B$80,B123,'3. PARTNER'!N$13:N$80)),(SUMIF('3. PARTNER'!B$13:B$80,B123,'3. PARTNER'!J$13:J$80)))</f>
        <v>0</v>
      </c>
      <c r="U123" s="517">
        <f>IF(F123="NO",0,IF('2. START'!C$13="PERSON+OPERATION",'2. START'!C$12,0)+IF('2. START'!C$13="PERSON+OPERATION+INVEST+FACILIT",'2. START'!C$12,0))</f>
        <v>0</v>
      </c>
      <c r="W123" s="442">
        <f t="shared" si="222"/>
        <v>0</v>
      </c>
      <c r="X123" s="442">
        <f t="shared" si="223"/>
        <v>0</v>
      </c>
      <c r="Y123" s="442">
        <f t="shared" si="224"/>
        <v>0</v>
      </c>
      <c r="Z123" s="442">
        <f t="shared" si="225"/>
        <v>0</v>
      </c>
      <c r="AA123" s="442">
        <f t="shared" si="226"/>
        <v>0</v>
      </c>
      <c r="AB123" s="442">
        <f t="shared" si="227"/>
        <v>0</v>
      </c>
      <c r="AC123" s="442">
        <f t="shared" si="228"/>
        <v>0</v>
      </c>
      <c r="AD123" s="442">
        <f t="shared" si="229"/>
        <v>0</v>
      </c>
      <c r="AE123" s="442">
        <f t="shared" si="230"/>
        <v>0</v>
      </c>
      <c r="AF123" s="442">
        <f t="shared" si="231"/>
        <v>0</v>
      </c>
      <c r="AG123" s="443">
        <f t="shared" si="159"/>
        <v>0</v>
      </c>
      <c r="AI123" s="442">
        <f t="shared" si="232"/>
        <v>0</v>
      </c>
      <c r="AJ123" s="442">
        <f t="shared" si="233"/>
        <v>0</v>
      </c>
      <c r="AK123" s="442">
        <f t="shared" si="234"/>
        <v>0</v>
      </c>
      <c r="AL123" s="442">
        <f t="shared" si="235"/>
        <v>0</v>
      </c>
      <c r="AM123" s="442">
        <f t="shared" si="236"/>
        <v>0</v>
      </c>
      <c r="AN123" s="442">
        <f t="shared" si="237"/>
        <v>0</v>
      </c>
      <c r="AO123" s="442">
        <f t="shared" si="238"/>
        <v>0</v>
      </c>
      <c r="AP123" s="442">
        <f t="shared" si="239"/>
        <v>0</v>
      </c>
      <c r="AQ123" s="442">
        <f t="shared" si="240"/>
        <v>0</v>
      </c>
      <c r="AR123" s="442">
        <f t="shared" si="241"/>
        <v>0</v>
      </c>
      <c r="AS123" s="443">
        <f t="shared" si="160"/>
        <v>0</v>
      </c>
      <c r="AU123" s="442">
        <f t="shared" si="161"/>
        <v>0</v>
      </c>
      <c r="AV123" s="442">
        <f t="shared" si="162"/>
        <v>0</v>
      </c>
      <c r="AW123" s="442">
        <f t="shared" si="163"/>
        <v>0</v>
      </c>
      <c r="AX123" s="442">
        <f t="shared" si="164"/>
        <v>0</v>
      </c>
      <c r="AY123" s="442">
        <f t="shared" si="165"/>
        <v>0</v>
      </c>
      <c r="AZ123" s="442">
        <f t="shared" si="166"/>
        <v>0</v>
      </c>
      <c r="BA123" s="442">
        <f t="shared" si="167"/>
        <v>0</v>
      </c>
      <c r="BB123" s="442">
        <f t="shared" si="168"/>
        <v>0</v>
      </c>
      <c r="BC123" s="442">
        <f t="shared" si="169"/>
        <v>0</v>
      </c>
      <c r="BD123" s="442">
        <f t="shared" si="170"/>
        <v>0</v>
      </c>
      <c r="BE123" s="443">
        <f t="shared" si="171"/>
        <v>0</v>
      </c>
      <c r="BG123" s="442">
        <f t="shared" si="172"/>
        <v>0</v>
      </c>
      <c r="BH123" s="442">
        <f t="shared" si="173"/>
        <v>0</v>
      </c>
      <c r="BI123" s="442">
        <f t="shared" si="174"/>
        <v>0</v>
      </c>
      <c r="BJ123" s="442">
        <f t="shared" si="175"/>
        <v>0</v>
      </c>
      <c r="BK123" s="442">
        <f t="shared" si="176"/>
        <v>0</v>
      </c>
      <c r="BL123" s="442">
        <f t="shared" si="177"/>
        <v>0</v>
      </c>
      <c r="BM123" s="442">
        <f t="shared" si="178"/>
        <v>0</v>
      </c>
      <c r="BN123" s="442">
        <f t="shared" si="179"/>
        <v>0</v>
      </c>
      <c r="BO123" s="442">
        <f t="shared" si="180"/>
        <v>0</v>
      </c>
      <c r="BP123" s="442">
        <f t="shared" si="181"/>
        <v>0</v>
      </c>
      <c r="BQ123" s="443">
        <f t="shared" si="182"/>
        <v>0</v>
      </c>
      <c r="BS123" s="442">
        <f t="shared" si="183"/>
        <v>0</v>
      </c>
      <c r="BT123" s="442">
        <f t="shared" si="184"/>
        <v>0</v>
      </c>
      <c r="BU123" s="442">
        <f t="shared" si="185"/>
        <v>0</v>
      </c>
      <c r="BV123" s="442">
        <f t="shared" si="186"/>
        <v>0</v>
      </c>
      <c r="BW123" s="442">
        <f t="shared" si="187"/>
        <v>0</v>
      </c>
      <c r="BX123" s="442">
        <f t="shared" si="188"/>
        <v>0</v>
      </c>
      <c r="BY123" s="442">
        <f t="shared" si="189"/>
        <v>0</v>
      </c>
      <c r="BZ123" s="442">
        <f t="shared" si="190"/>
        <v>0</v>
      </c>
      <c r="CA123" s="442">
        <f t="shared" si="191"/>
        <v>0</v>
      </c>
      <c r="CB123" s="442">
        <f t="shared" si="192"/>
        <v>0</v>
      </c>
      <c r="CC123" s="443">
        <f t="shared" si="193"/>
        <v>0</v>
      </c>
      <c r="CE123" s="442">
        <f t="shared" si="194"/>
        <v>0</v>
      </c>
      <c r="CF123" s="442">
        <f t="shared" si="195"/>
        <v>0</v>
      </c>
      <c r="CG123" s="442">
        <f t="shared" si="196"/>
        <v>0</v>
      </c>
      <c r="CH123" s="442">
        <f t="shared" si="197"/>
        <v>0</v>
      </c>
      <c r="CI123" s="442">
        <f t="shared" si="198"/>
        <v>0</v>
      </c>
      <c r="CJ123" s="442">
        <f t="shared" si="199"/>
        <v>0</v>
      </c>
      <c r="CK123" s="442">
        <f t="shared" si="200"/>
        <v>0</v>
      </c>
      <c r="CL123" s="442">
        <f t="shared" si="201"/>
        <v>0</v>
      </c>
      <c r="CM123" s="442">
        <f t="shared" si="202"/>
        <v>0</v>
      </c>
      <c r="CN123" s="442">
        <f t="shared" si="203"/>
        <v>0</v>
      </c>
      <c r="CO123" s="443">
        <f t="shared" si="204"/>
        <v>0</v>
      </c>
      <c r="CQ123" s="442">
        <f t="shared" si="242"/>
        <v>0</v>
      </c>
      <c r="CR123" s="442">
        <f t="shared" si="243"/>
        <v>0</v>
      </c>
      <c r="CS123" s="442">
        <f t="shared" si="244"/>
        <v>0</v>
      </c>
      <c r="CT123" s="442">
        <f t="shared" si="245"/>
        <v>0</v>
      </c>
      <c r="CU123" s="442">
        <f t="shared" si="246"/>
        <v>0</v>
      </c>
      <c r="CV123" s="442">
        <f t="shared" si="247"/>
        <v>0</v>
      </c>
      <c r="CW123" s="442">
        <f t="shared" si="248"/>
        <v>0</v>
      </c>
      <c r="CX123" s="442">
        <f t="shared" si="249"/>
        <v>0</v>
      </c>
      <c r="CY123" s="442">
        <f t="shared" si="250"/>
        <v>0</v>
      </c>
      <c r="CZ123" s="442">
        <f t="shared" si="251"/>
        <v>0</v>
      </c>
      <c r="DA123" s="443">
        <f t="shared" si="205"/>
        <v>0</v>
      </c>
      <c r="DC123" s="442">
        <f t="shared" si="206"/>
        <v>0</v>
      </c>
      <c r="DD123" s="442">
        <f t="shared" si="207"/>
        <v>0</v>
      </c>
      <c r="DE123" s="442">
        <f t="shared" si="208"/>
        <v>0</v>
      </c>
      <c r="DF123" s="442">
        <f t="shared" si="209"/>
        <v>0</v>
      </c>
      <c r="DG123" s="442">
        <f t="shared" si="210"/>
        <v>0</v>
      </c>
      <c r="DH123" s="442">
        <f t="shared" si="211"/>
        <v>0</v>
      </c>
      <c r="DI123" s="442">
        <f t="shared" si="212"/>
        <v>0</v>
      </c>
      <c r="DJ123" s="442">
        <f t="shared" si="213"/>
        <v>0</v>
      </c>
      <c r="DK123" s="442">
        <f t="shared" si="214"/>
        <v>0</v>
      </c>
      <c r="DL123" s="442">
        <f t="shared" si="215"/>
        <v>0</v>
      </c>
      <c r="DM123" s="443">
        <f t="shared" si="216"/>
        <v>0</v>
      </c>
      <c r="DO123" s="442">
        <f t="shared" si="217"/>
        <v>0</v>
      </c>
      <c r="DP123" s="442">
        <f t="shared" si="217"/>
        <v>0</v>
      </c>
      <c r="DQ123" s="442">
        <f t="shared" si="217"/>
        <v>0</v>
      </c>
      <c r="DR123" s="442">
        <f t="shared" si="217"/>
        <v>0</v>
      </c>
      <c r="DS123" s="442">
        <f t="shared" si="217"/>
        <v>0</v>
      </c>
      <c r="DT123" s="442">
        <f t="shared" si="217"/>
        <v>0</v>
      </c>
      <c r="DU123" s="442">
        <f t="shared" si="217"/>
        <v>0</v>
      </c>
      <c r="DV123" s="442">
        <f t="shared" si="217"/>
        <v>0</v>
      </c>
      <c r="DW123" s="442">
        <f t="shared" si="217"/>
        <v>0</v>
      </c>
      <c r="DX123" s="442">
        <f t="shared" si="217"/>
        <v>0</v>
      </c>
      <c r="DY123" s="443">
        <f t="shared" si="218"/>
        <v>0</v>
      </c>
      <c r="EA123" s="442">
        <f t="shared" si="219"/>
        <v>0</v>
      </c>
      <c r="EB123" s="442">
        <f t="shared" si="219"/>
        <v>0</v>
      </c>
      <c r="EC123" s="442">
        <f t="shared" si="219"/>
        <v>0</v>
      </c>
      <c r="ED123" s="442">
        <f t="shared" si="219"/>
        <v>0</v>
      </c>
      <c r="EE123" s="442">
        <f t="shared" si="219"/>
        <v>0</v>
      </c>
      <c r="EF123" s="442">
        <f t="shared" si="219"/>
        <v>0</v>
      </c>
      <c r="EG123" s="442">
        <f t="shared" si="219"/>
        <v>0</v>
      </c>
      <c r="EH123" s="442">
        <f t="shared" si="219"/>
        <v>0</v>
      </c>
      <c r="EI123" s="442">
        <f t="shared" si="219"/>
        <v>0</v>
      </c>
      <c r="EJ123" s="442">
        <f t="shared" si="219"/>
        <v>0</v>
      </c>
      <c r="EK123" s="443">
        <f t="shared" si="220"/>
        <v>0</v>
      </c>
    </row>
    <row r="124" spans="2:141" s="268" customFormat="1" ht="15" customHeight="1" x14ac:dyDescent="0.25">
      <c r="B124" s="446" t="str">
        <f>'2. START'!C$7</f>
        <v>100GEM</v>
      </c>
      <c r="C124" s="469"/>
      <c r="D124" s="594"/>
      <c r="E124" s="522">
        <v>0</v>
      </c>
      <c r="F124" s="522" t="s">
        <v>36</v>
      </c>
      <c r="G124" s="522"/>
      <c r="H124" s="523"/>
      <c r="I124" s="523"/>
      <c r="J124" s="523"/>
      <c r="K124" s="523"/>
      <c r="L124" s="523"/>
      <c r="M124" s="523"/>
      <c r="N124" s="523"/>
      <c r="O124" s="523"/>
      <c r="P124" s="523"/>
      <c r="Q124" s="523"/>
      <c r="R124" s="459">
        <f t="shared" si="221"/>
        <v>0</v>
      </c>
      <c r="S124" s="524">
        <f>IF('2. START'!$C$20="UTB",(SUMIF('3. PARTNER'!B$13:B$80,B124,'3. PARTNER'!M$13:M$80)),(SUMIF('3. PARTNER'!B$13:B$80,B124,'3. PARTNER'!I$13:I$80)))</f>
        <v>0</v>
      </c>
      <c r="T124" s="524">
        <f>IF('2. START'!$C$20="UTB",(SUMIF('3. PARTNER'!B$13:B$80,B124,'3. PARTNER'!N$13:N$80)),(SUMIF('3. PARTNER'!B$13:B$80,B124,'3. PARTNER'!J$13:J$80)))</f>
        <v>0</v>
      </c>
      <c r="U124" s="454">
        <f>IF(F124="NO",0,IF('2. START'!C$13="PERSON+OPERATION",'2. START'!C$12,0)+IF('2. START'!C$13="PERSON+OPERATION+INVEST+FACILIT",'2. START'!C$12,0))</f>
        <v>0</v>
      </c>
      <c r="V124" s="463"/>
      <c r="W124" s="459">
        <f t="shared" si="222"/>
        <v>0</v>
      </c>
      <c r="X124" s="459">
        <f t="shared" si="223"/>
        <v>0</v>
      </c>
      <c r="Y124" s="459">
        <f t="shared" si="224"/>
        <v>0</v>
      </c>
      <c r="Z124" s="459">
        <f t="shared" si="225"/>
        <v>0</v>
      </c>
      <c r="AA124" s="459">
        <f t="shared" si="226"/>
        <v>0</v>
      </c>
      <c r="AB124" s="459">
        <f t="shared" si="227"/>
        <v>0</v>
      </c>
      <c r="AC124" s="459">
        <f t="shared" si="228"/>
        <v>0</v>
      </c>
      <c r="AD124" s="459">
        <f t="shared" si="229"/>
        <v>0</v>
      </c>
      <c r="AE124" s="459">
        <f t="shared" si="230"/>
        <v>0</v>
      </c>
      <c r="AF124" s="459">
        <f t="shared" si="231"/>
        <v>0</v>
      </c>
      <c r="AG124" s="460">
        <f t="shared" si="159"/>
        <v>0</v>
      </c>
      <c r="AH124" s="463"/>
      <c r="AI124" s="459">
        <f t="shared" si="232"/>
        <v>0</v>
      </c>
      <c r="AJ124" s="459">
        <f t="shared" si="233"/>
        <v>0</v>
      </c>
      <c r="AK124" s="459">
        <f t="shared" si="234"/>
        <v>0</v>
      </c>
      <c r="AL124" s="459">
        <f t="shared" si="235"/>
        <v>0</v>
      </c>
      <c r="AM124" s="459">
        <f t="shared" si="236"/>
        <v>0</v>
      </c>
      <c r="AN124" s="459">
        <f t="shared" si="237"/>
        <v>0</v>
      </c>
      <c r="AO124" s="459">
        <f t="shared" si="238"/>
        <v>0</v>
      </c>
      <c r="AP124" s="459">
        <f t="shared" si="239"/>
        <v>0</v>
      </c>
      <c r="AQ124" s="459">
        <f t="shared" si="240"/>
        <v>0</v>
      </c>
      <c r="AR124" s="459">
        <f t="shared" si="241"/>
        <v>0</v>
      </c>
      <c r="AS124" s="460">
        <f t="shared" si="160"/>
        <v>0</v>
      </c>
      <c r="AT124" s="463"/>
      <c r="AU124" s="459">
        <f t="shared" si="161"/>
        <v>0</v>
      </c>
      <c r="AV124" s="459">
        <f t="shared" si="162"/>
        <v>0</v>
      </c>
      <c r="AW124" s="459">
        <f t="shared" si="163"/>
        <v>0</v>
      </c>
      <c r="AX124" s="459">
        <f t="shared" si="164"/>
        <v>0</v>
      </c>
      <c r="AY124" s="459">
        <f t="shared" si="165"/>
        <v>0</v>
      </c>
      <c r="AZ124" s="459">
        <f t="shared" si="166"/>
        <v>0</v>
      </c>
      <c r="BA124" s="459">
        <f t="shared" si="167"/>
        <v>0</v>
      </c>
      <c r="BB124" s="459">
        <f t="shared" si="168"/>
        <v>0</v>
      </c>
      <c r="BC124" s="459">
        <f t="shared" si="169"/>
        <v>0</v>
      </c>
      <c r="BD124" s="459">
        <f t="shared" si="170"/>
        <v>0</v>
      </c>
      <c r="BE124" s="460">
        <f t="shared" si="171"/>
        <v>0</v>
      </c>
      <c r="BF124" s="463"/>
      <c r="BG124" s="459">
        <f t="shared" si="172"/>
        <v>0</v>
      </c>
      <c r="BH124" s="459">
        <f t="shared" si="173"/>
        <v>0</v>
      </c>
      <c r="BI124" s="459">
        <f t="shared" si="174"/>
        <v>0</v>
      </c>
      <c r="BJ124" s="459">
        <f t="shared" si="175"/>
        <v>0</v>
      </c>
      <c r="BK124" s="459">
        <f t="shared" si="176"/>
        <v>0</v>
      </c>
      <c r="BL124" s="459">
        <f t="shared" si="177"/>
        <v>0</v>
      </c>
      <c r="BM124" s="459">
        <f t="shared" si="178"/>
        <v>0</v>
      </c>
      <c r="BN124" s="459">
        <f t="shared" si="179"/>
        <v>0</v>
      </c>
      <c r="BO124" s="459">
        <f t="shared" si="180"/>
        <v>0</v>
      </c>
      <c r="BP124" s="459">
        <f t="shared" si="181"/>
        <v>0</v>
      </c>
      <c r="BQ124" s="460">
        <f t="shared" si="182"/>
        <v>0</v>
      </c>
      <c r="BR124" s="463"/>
      <c r="BS124" s="459">
        <f t="shared" si="183"/>
        <v>0</v>
      </c>
      <c r="BT124" s="459">
        <f t="shared" si="184"/>
        <v>0</v>
      </c>
      <c r="BU124" s="459">
        <f t="shared" si="185"/>
        <v>0</v>
      </c>
      <c r="BV124" s="459">
        <f t="shared" si="186"/>
        <v>0</v>
      </c>
      <c r="BW124" s="459">
        <f t="shared" si="187"/>
        <v>0</v>
      </c>
      <c r="BX124" s="459">
        <f t="shared" si="188"/>
        <v>0</v>
      </c>
      <c r="BY124" s="459">
        <f t="shared" si="189"/>
        <v>0</v>
      </c>
      <c r="BZ124" s="459">
        <f t="shared" si="190"/>
        <v>0</v>
      </c>
      <c r="CA124" s="459">
        <f t="shared" si="191"/>
        <v>0</v>
      </c>
      <c r="CB124" s="459">
        <f t="shared" si="192"/>
        <v>0</v>
      </c>
      <c r="CC124" s="460">
        <f t="shared" si="193"/>
        <v>0</v>
      </c>
      <c r="CD124" s="463"/>
      <c r="CE124" s="459">
        <f t="shared" si="194"/>
        <v>0</v>
      </c>
      <c r="CF124" s="459">
        <f t="shared" si="195"/>
        <v>0</v>
      </c>
      <c r="CG124" s="459">
        <f t="shared" si="196"/>
        <v>0</v>
      </c>
      <c r="CH124" s="459">
        <f t="shared" si="197"/>
        <v>0</v>
      </c>
      <c r="CI124" s="459">
        <f t="shared" si="198"/>
        <v>0</v>
      </c>
      <c r="CJ124" s="459">
        <f t="shared" si="199"/>
        <v>0</v>
      </c>
      <c r="CK124" s="459">
        <f t="shared" si="200"/>
        <v>0</v>
      </c>
      <c r="CL124" s="459">
        <f t="shared" si="201"/>
        <v>0</v>
      </c>
      <c r="CM124" s="459">
        <f t="shared" si="202"/>
        <v>0</v>
      </c>
      <c r="CN124" s="459">
        <f t="shared" si="203"/>
        <v>0</v>
      </c>
      <c r="CO124" s="460">
        <f t="shared" si="204"/>
        <v>0</v>
      </c>
      <c r="CP124" s="463"/>
      <c r="CQ124" s="459">
        <f t="shared" si="242"/>
        <v>0</v>
      </c>
      <c r="CR124" s="459">
        <f t="shared" si="243"/>
        <v>0</v>
      </c>
      <c r="CS124" s="459">
        <f t="shared" si="244"/>
        <v>0</v>
      </c>
      <c r="CT124" s="459">
        <f t="shared" si="245"/>
        <v>0</v>
      </c>
      <c r="CU124" s="459">
        <f t="shared" si="246"/>
        <v>0</v>
      </c>
      <c r="CV124" s="459">
        <f t="shared" si="247"/>
        <v>0</v>
      </c>
      <c r="CW124" s="459">
        <f t="shared" si="248"/>
        <v>0</v>
      </c>
      <c r="CX124" s="459">
        <f t="shared" si="249"/>
        <v>0</v>
      </c>
      <c r="CY124" s="459">
        <f t="shared" si="250"/>
        <v>0</v>
      </c>
      <c r="CZ124" s="459">
        <f t="shared" si="251"/>
        <v>0</v>
      </c>
      <c r="DA124" s="460">
        <f t="shared" si="205"/>
        <v>0</v>
      </c>
      <c r="DB124" s="463"/>
      <c r="DC124" s="459">
        <f t="shared" si="206"/>
        <v>0</v>
      </c>
      <c r="DD124" s="459">
        <f t="shared" si="207"/>
        <v>0</v>
      </c>
      <c r="DE124" s="459">
        <f t="shared" si="208"/>
        <v>0</v>
      </c>
      <c r="DF124" s="459">
        <f t="shared" si="209"/>
        <v>0</v>
      </c>
      <c r="DG124" s="459">
        <f t="shared" si="210"/>
        <v>0</v>
      </c>
      <c r="DH124" s="459">
        <f t="shared" si="211"/>
        <v>0</v>
      </c>
      <c r="DI124" s="459">
        <f t="shared" si="212"/>
        <v>0</v>
      </c>
      <c r="DJ124" s="459">
        <f t="shared" si="213"/>
        <v>0</v>
      </c>
      <c r="DK124" s="459">
        <f t="shared" si="214"/>
        <v>0</v>
      </c>
      <c r="DL124" s="459">
        <f t="shared" si="215"/>
        <v>0</v>
      </c>
      <c r="DM124" s="460">
        <f t="shared" si="216"/>
        <v>0</v>
      </c>
      <c r="DN124" s="463"/>
      <c r="DO124" s="459">
        <f t="shared" si="217"/>
        <v>0</v>
      </c>
      <c r="DP124" s="459">
        <f t="shared" si="217"/>
        <v>0</v>
      </c>
      <c r="DQ124" s="459">
        <f t="shared" si="217"/>
        <v>0</v>
      </c>
      <c r="DR124" s="459">
        <f t="shared" si="217"/>
        <v>0</v>
      </c>
      <c r="DS124" s="459">
        <f t="shared" si="217"/>
        <v>0</v>
      </c>
      <c r="DT124" s="459">
        <f t="shared" ref="DO124:DX147" si="252">AB124+AZ124+BX124</f>
        <v>0</v>
      </c>
      <c r="DU124" s="459">
        <f t="shared" si="252"/>
        <v>0</v>
      </c>
      <c r="DV124" s="459">
        <f t="shared" si="252"/>
        <v>0</v>
      </c>
      <c r="DW124" s="459">
        <f t="shared" si="252"/>
        <v>0</v>
      </c>
      <c r="DX124" s="459">
        <f t="shared" si="252"/>
        <v>0</v>
      </c>
      <c r="DY124" s="460">
        <f t="shared" si="218"/>
        <v>0</v>
      </c>
      <c r="DZ124" s="463"/>
      <c r="EA124" s="459">
        <f t="shared" si="219"/>
        <v>0</v>
      </c>
      <c r="EB124" s="459">
        <f t="shared" si="219"/>
        <v>0</v>
      </c>
      <c r="EC124" s="459">
        <f t="shared" si="219"/>
        <v>0</v>
      </c>
      <c r="ED124" s="459">
        <f t="shared" si="219"/>
        <v>0</v>
      </c>
      <c r="EE124" s="459">
        <f t="shared" si="219"/>
        <v>0</v>
      </c>
      <c r="EF124" s="459">
        <f t="shared" ref="EA124:EJ147" si="253">AN124+BL124+CJ124</f>
        <v>0</v>
      </c>
      <c r="EG124" s="459">
        <f t="shared" si="253"/>
        <v>0</v>
      </c>
      <c r="EH124" s="459">
        <f t="shared" si="253"/>
        <v>0</v>
      </c>
      <c r="EI124" s="459">
        <f t="shared" si="253"/>
        <v>0</v>
      </c>
      <c r="EJ124" s="459">
        <f t="shared" si="253"/>
        <v>0</v>
      </c>
      <c r="EK124" s="460">
        <f t="shared" si="220"/>
        <v>0</v>
      </c>
    </row>
    <row r="125" spans="2:141" s="270" customFormat="1" ht="15" customHeight="1" x14ac:dyDescent="0.25">
      <c r="B125" s="464" t="str">
        <f>'2. START'!C$7</f>
        <v>100GEM</v>
      </c>
      <c r="C125" s="470"/>
      <c r="D125" s="593"/>
      <c r="E125" s="527">
        <v>0</v>
      </c>
      <c r="F125" s="527" t="s">
        <v>36</v>
      </c>
      <c r="G125" s="527"/>
      <c r="H125" s="515"/>
      <c r="I125" s="515"/>
      <c r="J125" s="515"/>
      <c r="K125" s="515"/>
      <c r="L125" s="515"/>
      <c r="M125" s="515"/>
      <c r="N125" s="515"/>
      <c r="O125" s="515"/>
      <c r="P125" s="515"/>
      <c r="Q125" s="515"/>
      <c r="R125" s="442">
        <f t="shared" si="221"/>
        <v>0</v>
      </c>
      <c r="S125" s="516">
        <f>IF('2. START'!$C$20="UTB",(SUMIF('3. PARTNER'!B$13:B$80,B125,'3. PARTNER'!M$13:M$80)),(SUMIF('3. PARTNER'!B$13:B$80,B125,'3. PARTNER'!I$13:I$80)))</f>
        <v>0</v>
      </c>
      <c r="T125" s="516">
        <f>IF('2. START'!$C$20="UTB",(SUMIF('3. PARTNER'!B$13:B$80,B125,'3. PARTNER'!N$13:N$80)),(SUMIF('3. PARTNER'!B$13:B$80,B125,'3. PARTNER'!J$13:J$80)))</f>
        <v>0</v>
      </c>
      <c r="U125" s="517">
        <f>IF(F125="NO",0,IF('2. START'!C$13="PERSON+OPERATION",'2. START'!C$12,0)+IF('2. START'!C$13="PERSON+OPERATION+INVEST+FACILIT",'2. START'!C$12,0))</f>
        <v>0</v>
      </c>
      <c r="W125" s="442">
        <f t="shared" si="222"/>
        <v>0</v>
      </c>
      <c r="X125" s="442">
        <f t="shared" si="223"/>
        <v>0</v>
      </c>
      <c r="Y125" s="442">
        <f t="shared" si="224"/>
        <v>0</v>
      </c>
      <c r="Z125" s="442">
        <f t="shared" si="225"/>
        <v>0</v>
      </c>
      <c r="AA125" s="442">
        <f t="shared" si="226"/>
        <v>0</v>
      </c>
      <c r="AB125" s="442">
        <f t="shared" si="227"/>
        <v>0</v>
      </c>
      <c r="AC125" s="442">
        <f t="shared" si="228"/>
        <v>0</v>
      </c>
      <c r="AD125" s="442">
        <f t="shared" si="229"/>
        <v>0</v>
      </c>
      <c r="AE125" s="442">
        <f t="shared" si="230"/>
        <v>0</v>
      </c>
      <c r="AF125" s="442">
        <f t="shared" si="231"/>
        <v>0</v>
      </c>
      <c r="AG125" s="443">
        <f t="shared" si="159"/>
        <v>0</v>
      </c>
      <c r="AI125" s="442">
        <f t="shared" si="232"/>
        <v>0</v>
      </c>
      <c r="AJ125" s="442">
        <f t="shared" si="233"/>
        <v>0</v>
      </c>
      <c r="AK125" s="442">
        <f t="shared" si="234"/>
        <v>0</v>
      </c>
      <c r="AL125" s="442">
        <f t="shared" si="235"/>
        <v>0</v>
      </c>
      <c r="AM125" s="442">
        <f t="shared" si="236"/>
        <v>0</v>
      </c>
      <c r="AN125" s="442">
        <f t="shared" si="237"/>
        <v>0</v>
      </c>
      <c r="AO125" s="442">
        <f t="shared" si="238"/>
        <v>0</v>
      </c>
      <c r="AP125" s="442">
        <f t="shared" si="239"/>
        <v>0</v>
      </c>
      <c r="AQ125" s="442">
        <f t="shared" si="240"/>
        <v>0</v>
      </c>
      <c r="AR125" s="442">
        <f t="shared" si="241"/>
        <v>0</v>
      </c>
      <c r="AS125" s="443">
        <f t="shared" si="160"/>
        <v>0</v>
      </c>
      <c r="AU125" s="442">
        <f t="shared" si="161"/>
        <v>0</v>
      </c>
      <c r="AV125" s="442">
        <f t="shared" si="162"/>
        <v>0</v>
      </c>
      <c r="AW125" s="442">
        <f t="shared" si="163"/>
        <v>0</v>
      </c>
      <c r="AX125" s="442">
        <f t="shared" si="164"/>
        <v>0</v>
      </c>
      <c r="AY125" s="442">
        <f t="shared" si="165"/>
        <v>0</v>
      </c>
      <c r="AZ125" s="442">
        <f t="shared" si="166"/>
        <v>0</v>
      </c>
      <c r="BA125" s="442">
        <f t="shared" si="167"/>
        <v>0</v>
      </c>
      <c r="BB125" s="442">
        <f t="shared" si="168"/>
        <v>0</v>
      </c>
      <c r="BC125" s="442">
        <f t="shared" si="169"/>
        <v>0</v>
      </c>
      <c r="BD125" s="442">
        <f t="shared" si="170"/>
        <v>0</v>
      </c>
      <c r="BE125" s="443">
        <f t="shared" si="171"/>
        <v>0</v>
      </c>
      <c r="BG125" s="442">
        <f t="shared" si="172"/>
        <v>0</v>
      </c>
      <c r="BH125" s="442">
        <f t="shared" si="173"/>
        <v>0</v>
      </c>
      <c r="BI125" s="442">
        <f t="shared" si="174"/>
        <v>0</v>
      </c>
      <c r="BJ125" s="442">
        <f t="shared" si="175"/>
        <v>0</v>
      </c>
      <c r="BK125" s="442">
        <f t="shared" si="176"/>
        <v>0</v>
      </c>
      <c r="BL125" s="442">
        <f t="shared" si="177"/>
        <v>0</v>
      </c>
      <c r="BM125" s="442">
        <f t="shared" si="178"/>
        <v>0</v>
      </c>
      <c r="BN125" s="442">
        <f t="shared" si="179"/>
        <v>0</v>
      </c>
      <c r="BO125" s="442">
        <f t="shared" si="180"/>
        <v>0</v>
      </c>
      <c r="BP125" s="442">
        <f t="shared" si="181"/>
        <v>0</v>
      </c>
      <c r="BQ125" s="443">
        <f t="shared" si="182"/>
        <v>0</v>
      </c>
      <c r="BS125" s="442">
        <f t="shared" si="183"/>
        <v>0</v>
      </c>
      <c r="BT125" s="442">
        <f t="shared" si="184"/>
        <v>0</v>
      </c>
      <c r="BU125" s="442">
        <f t="shared" si="185"/>
        <v>0</v>
      </c>
      <c r="BV125" s="442">
        <f t="shared" si="186"/>
        <v>0</v>
      </c>
      <c r="BW125" s="442">
        <f t="shared" si="187"/>
        <v>0</v>
      </c>
      <c r="BX125" s="442">
        <f t="shared" si="188"/>
        <v>0</v>
      </c>
      <c r="BY125" s="442">
        <f t="shared" si="189"/>
        <v>0</v>
      </c>
      <c r="BZ125" s="442">
        <f t="shared" si="190"/>
        <v>0</v>
      </c>
      <c r="CA125" s="442">
        <f t="shared" si="191"/>
        <v>0</v>
      </c>
      <c r="CB125" s="442">
        <f t="shared" si="192"/>
        <v>0</v>
      </c>
      <c r="CC125" s="443">
        <f t="shared" si="193"/>
        <v>0</v>
      </c>
      <c r="CE125" s="442">
        <f t="shared" si="194"/>
        <v>0</v>
      </c>
      <c r="CF125" s="442">
        <f t="shared" si="195"/>
        <v>0</v>
      </c>
      <c r="CG125" s="442">
        <f t="shared" si="196"/>
        <v>0</v>
      </c>
      <c r="CH125" s="442">
        <f t="shared" si="197"/>
        <v>0</v>
      </c>
      <c r="CI125" s="442">
        <f t="shared" si="198"/>
        <v>0</v>
      </c>
      <c r="CJ125" s="442">
        <f t="shared" si="199"/>
        <v>0</v>
      </c>
      <c r="CK125" s="442">
        <f t="shared" si="200"/>
        <v>0</v>
      </c>
      <c r="CL125" s="442">
        <f t="shared" si="201"/>
        <v>0</v>
      </c>
      <c r="CM125" s="442">
        <f t="shared" si="202"/>
        <v>0</v>
      </c>
      <c r="CN125" s="442">
        <f t="shared" si="203"/>
        <v>0</v>
      </c>
      <c r="CO125" s="443">
        <f t="shared" si="204"/>
        <v>0</v>
      </c>
      <c r="CQ125" s="442">
        <f t="shared" si="242"/>
        <v>0</v>
      </c>
      <c r="CR125" s="442">
        <f t="shared" si="243"/>
        <v>0</v>
      </c>
      <c r="CS125" s="442">
        <f t="shared" si="244"/>
        <v>0</v>
      </c>
      <c r="CT125" s="442">
        <f t="shared" si="245"/>
        <v>0</v>
      </c>
      <c r="CU125" s="442">
        <f t="shared" si="246"/>
        <v>0</v>
      </c>
      <c r="CV125" s="442">
        <f t="shared" si="247"/>
        <v>0</v>
      </c>
      <c r="CW125" s="442">
        <f t="shared" si="248"/>
        <v>0</v>
      </c>
      <c r="CX125" s="442">
        <f t="shared" si="249"/>
        <v>0</v>
      </c>
      <c r="CY125" s="442">
        <f t="shared" si="250"/>
        <v>0</v>
      </c>
      <c r="CZ125" s="442">
        <f t="shared" si="251"/>
        <v>0</v>
      </c>
      <c r="DA125" s="443">
        <f t="shared" si="205"/>
        <v>0</v>
      </c>
      <c r="DC125" s="442">
        <f t="shared" si="206"/>
        <v>0</v>
      </c>
      <c r="DD125" s="442">
        <f t="shared" si="207"/>
        <v>0</v>
      </c>
      <c r="DE125" s="442">
        <f t="shared" si="208"/>
        <v>0</v>
      </c>
      <c r="DF125" s="442">
        <f t="shared" si="209"/>
        <v>0</v>
      </c>
      <c r="DG125" s="442">
        <f t="shared" si="210"/>
        <v>0</v>
      </c>
      <c r="DH125" s="442">
        <f t="shared" si="211"/>
        <v>0</v>
      </c>
      <c r="DI125" s="442">
        <f t="shared" si="212"/>
        <v>0</v>
      </c>
      <c r="DJ125" s="442">
        <f t="shared" si="213"/>
        <v>0</v>
      </c>
      <c r="DK125" s="442">
        <f t="shared" si="214"/>
        <v>0</v>
      </c>
      <c r="DL125" s="442">
        <f t="shared" si="215"/>
        <v>0</v>
      </c>
      <c r="DM125" s="443">
        <f t="shared" si="216"/>
        <v>0</v>
      </c>
      <c r="DO125" s="442">
        <f t="shared" si="252"/>
        <v>0</v>
      </c>
      <c r="DP125" s="442">
        <f t="shared" si="252"/>
        <v>0</v>
      </c>
      <c r="DQ125" s="442">
        <f t="shared" si="252"/>
        <v>0</v>
      </c>
      <c r="DR125" s="442">
        <f t="shared" si="252"/>
        <v>0</v>
      </c>
      <c r="DS125" s="442">
        <f t="shared" si="252"/>
        <v>0</v>
      </c>
      <c r="DT125" s="442">
        <f t="shared" si="252"/>
        <v>0</v>
      </c>
      <c r="DU125" s="442">
        <f t="shared" si="252"/>
        <v>0</v>
      </c>
      <c r="DV125" s="442">
        <f t="shared" si="252"/>
        <v>0</v>
      </c>
      <c r="DW125" s="442">
        <f t="shared" si="252"/>
        <v>0</v>
      </c>
      <c r="DX125" s="442">
        <f t="shared" si="252"/>
        <v>0</v>
      </c>
      <c r="DY125" s="443">
        <f t="shared" si="218"/>
        <v>0</v>
      </c>
      <c r="EA125" s="442">
        <f t="shared" si="253"/>
        <v>0</v>
      </c>
      <c r="EB125" s="442">
        <f t="shared" si="253"/>
        <v>0</v>
      </c>
      <c r="EC125" s="442">
        <f t="shared" si="253"/>
        <v>0</v>
      </c>
      <c r="ED125" s="442">
        <f t="shared" si="253"/>
        <v>0</v>
      </c>
      <c r="EE125" s="442">
        <f t="shared" si="253"/>
        <v>0</v>
      </c>
      <c r="EF125" s="442">
        <f t="shared" si="253"/>
        <v>0</v>
      </c>
      <c r="EG125" s="442">
        <f t="shared" si="253"/>
        <v>0</v>
      </c>
      <c r="EH125" s="442">
        <f t="shared" si="253"/>
        <v>0</v>
      </c>
      <c r="EI125" s="442">
        <f t="shared" si="253"/>
        <v>0</v>
      </c>
      <c r="EJ125" s="442">
        <f t="shared" si="253"/>
        <v>0</v>
      </c>
      <c r="EK125" s="443">
        <f t="shared" si="220"/>
        <v>0</v>
      </c>
    </row>
    <row r="126" spans="2:141" s="268" customFormat="1" ht="15" customHeight="1" x14ac:dyDescent="0.25">
      <c r="B126" s="446" t="str">
        <f>'2. START'!C$7</f>
        <v>100GEM</v>
      </c>
      <c r="C126" s="469"/>
      <c r="D126" s="594"/>
      <c r="E126" s="522">
        <v>0</v>
      </c>
      <c r="F126" s="522" t="s">
        <v>36</v>
      </c>
      <c r="G126" s="522"/>
      <c r="H126" s="523"/>
      <c r="I126" s="523"/>
      <c r="J126" s="523"/>
      <c r="K126" s="523"/>
      <c r="L126" s="523"/>
      <c r="M126" s="523"/>
      <c r="N126" s="523"/>
      <c r="O126" s="523"/>
      <c r="P126" s="523"/>
      <c r="Q126" s="523"/>
      <c r="R126" s="459">
        <f t="shared" si="221"/>
        <v>0</v>
      </c>
      <c r="S126" s="524">
        <f>IF('2. START'!$C$20="UTB",(SUMIF('3. PARTNER'!B$13:B$80,B126,'3. PARTNER'!M$13:M$80)),(SUMIF('3. PARTNER'!B$13:B$80,B126,'3. PARTNER'!I$13:I$80)))</f>
        <v>0</v>
      </c>
      <c r="T126" s="524">
        <f>IF('2. START'!$C$20="UTB",(SUMIF('3. PARTNER'!B$13:B$80,B126,'3. PARTNER'!N$13:N$80)),(SUMIF('3. PARTNER'!B$13:B$80,B126,'3. PARTNER'!J$13:J$80)))</f>
        <v>0</v>
      </c>
      <c r="U126" s="454">
        <f>IF(F126="NO",0,IF('2. START'!C$13="PERSON+OPERATION",'2. START'!C$12,0)+IF('2. START'!C$13="PERSON+OPERATION+INVEST+FACILIT",'2. START'!C$12,0))</f>
        <v>0</v>
      </c>
      <c r="V126" s="463"/>
      <c r="W126" s="459">
        <f t="shared" si="222"/>
        <v>0</v>
      </c>
      <c r="X126" s="459">
        <f t="shared" si="223"/>
        <v>0</v>
      </c>
      <c r="Y126" s="459">
        <f t="shared" si="224"/>
        <v>0</v>
      </c>
      <c r="Z126" s="459">
        <f t="shared" si="225"/>
        <v>0</v>
      </c>
      <c r="AA126" s="459">
        <f t="shared" si="226"/>
        <v>0</v>
      </c>
      <c r="AB126" s="459">
        <f t="shared" si="227"/>
        <v>0</v>
      </c>
      <c r="AC126" s="459">
        <f t="shared" si="228"/>
        <v>0</v>
      </c>
      <c r="AD126" s="459">
        <f t="shared" si="229"/>
        <v>0</v>
      </c>
      <c r="AE126" s="459">
        <f t="shared" si="230"/>
        <v>0</v>
      </c>
      <c r="AF126" s="459">
        <f t="shared" si="231"/>
        <v>0</v>
      </c>
      <c r="AG126" s="460">
        <f t="shared" si="159"/>
        <v>0</v>
      </c>
      <c r="AH126" s="463"/>
      <c r="AI126" s="459">
        <f t="shared" si="232"/>
        <v>0</v>
      </c>
      <c r="AJ126" s="459">
        <f t="shared" si="233"/>
        <v>0</v>
      </c>
      <c r="AK126" s="459">
        <f t="shared" si="234"/>
        <v>0</v>
      </c>
      <c r="AL126" s="459">
        <f t="shared" si="235"/>
        <v>0</v>
      </c>
      <c r="AM126" s="459">
        <f t="shared" si="236"/>
        <v>0</v>
      </c>
      <c r="AN126" s="459">
        <f t="shared" si="237"/>
        <v>0</v>
      </c>
      <c r="AO126" s="459">
        <f t="shared" si="238"/>
        <v>0</v>
      </c>
      <c r="AP126" s="459">
        <f t="shared" si="239"/>
        <v>0</v>
      </c>
      <c r="AQ126" s="459">
        <f t="shared" si="240"/>
        <v>0</v>
      </c>
      <c r="AR126" s="459">
        <f t="shared" si="241"/>
        <v>0</v>
      </c>
      <c r="AS126" s="460">
        <f t="shared" si="160"/>
        <v>0</v>
      </c>
      <c r="AT126" s="463"/>
      <c r="AU126" s="459">
        <f t="shared" si="161"/>
        <v>0</v>
      </c>
      <c r="AV126" s="459">
        <f t="shared" si="162"/>
        <v>0</v>
      </c>
      <c r="AW126" s="459">
        <f t="shared" si="163"/>
        <v>0</v>
      </c>
      <c r="AX126" s="459">
        <f t="shared" si="164"/>
        <v>0</v>
      </c>
      <c r="AY126" s="459">
        <f t="shared" si="165"/>
        <v>0</v>
      </c>
      <c r="AZ126" s="459">
        <f t="shared" si="166"/>
        <v>0</v>
      </c>
      <c r="BA126" s="459">
        <f t="shared" si="167"/>
        <v>0</v>
      </c>
      <c r="BB126" s="459">
        <f t="shared" si="168"/>
        <v>0</v>
      </c>
      <c r="BC126" s="459">
        <f t="shared" si="169"/>
        <v>0</v>
      </c>
      <c r="BD126" s="459">
        <f t="shared" si="170"/>
        <v>0</v>
      </c>
      <c r="BE126" s="460">
        <f t="shared" si="171"/>
        <v>0</v>
      </c>
      <c r="BF126" s="463"/>
      <c r="BG126" s="459">
        <f t="shared" si="172"/>
        <v>0</v>
      </c>
      <c r="BH126" s="459">
        <f t="shared" si="173"/>
        <v>0</v>
      </c>
      <c r="BI126" s="459">
        <f t="shared" si="174"/>
        <v>0</v>
      </c>
      <c r="BJ126" s="459">
        <f t="shared" si="175"/>
        <v>0</v>
      </c>
      <c r="BK126" s="459">
        <f t="shared" si="176"/>
        <v>0</v>
      </c>
      <c r="BL126" s="459">
        <f t="shared" si="177"/>
        <v>0</v>
      </c>
      <c r="BM126" s="459">
        <f t="shared" si="178"/>
        <v>0</v>
      </c>
      <c r="BN126" s="459">
        <f t="shared" si="179"/>
        <v>0</v>
      </c>
      <c r="BO126" s="459">
        <f t="shared" si="180"/>
        <v>0</v>
      </c>
      <c r="BP126" s="459">
        <f t="shared" si="181"/>
        <v>0</v>
      </c>
      <c r="BQ126" s="460">
        <f t="shared" si="182"/>
        <v>0</v>
      </c>
      <c r="BR126" s="463"/>
      <c r="BS126" s="459">
        <f t="shared" si="183"/>
        <v>0</v>
      </c>
      <c r="BT126" s="459">
        <f t="shared" si="184"/>
        <v>0</v>
      </c>
      <c r="BU126" s="459">
        <f t="shared" si="185"/>
        <v>0</v>
      </c>
      <c r="BV126" s="459">
        <f t="shared" si="186"/>
        <v>0</v>
      </c>
      <c r="BW126" s="459">
        <f t="shared" si="187"/>
        <v>0</v>
      </c>
      <c r="BX126" s="459">
        <f t="shared" si="188"/>
        <v>0</v>
      </c>
      <c r="BY126" s="459">
        <f t="shared" si="189"/>
        <v>0</v>
      </c>
      <c r="BZ126" s="459">
        <f t="shared" si="190"/>
        <v>0</v>
      </c>
      <c r="CA126" s="459">
        <f t="shared" si="191"/>
        <v>0</v>
      </c>
      <c r="CB126" s="459">
        <f t="shared" si="192"/>
        <v>0</v>
      </c>
      <c r="CC126" s="460">
        <f t="shared" si="193"/>
        <v>0</v>
      </c>
      <c r="CD126" s="463"/>
      <c r="CE126" s="459">
        <f t="shared" si="194"/>
        <v>0</v>
      </c>
      <c r="CF126" s="459">
        <f t="shared" si="195"/>
        <v>0</v>
      </c>
      <c r="CG126" s="459">
        <f t="shared" si="196"/>
        <v>0</v>
      </c>
      <c r="CH126" s="459">
        <f t="shared" si="197"/>
        <v>0</v>
      </c>
      <c r="CI126" s="459">
        <f t="shared" si="198"/>
        <v>0</v>
      </c>
      <c r="CJ126" s="459">
        <f t="shared" si="199"/>
        <v>0</v>
      </c>
      <c r="CK126" s="459">
        <f t="shared" si="200"/>
        <v>0</v>
      </c>
      <c r="CL126" s="459">
        <f t="shared" si="201"/>
        <v>0</v>
      </c>
      <c r="CM126" s="459">
        <f t="shared" si="202"/>
        <v>0</v>
      </c>
      <c r="CN126" s="459">
        <f t="shared" si="203"/>
        <v>0</v>
      </c>
      <c r="CO126" s="460">
        <f t="shared" si="204"/>
        <v>0</v>
      </c>
      <c r="CP126" s="463"/>
      <c r="CQ126" s="459">
        <f t="shared" si="242"/>
        <v>0</v>
      </c>
      <c r="CR126" s="459">
        <f t="shared" si="243"/>
        <v>0</v>
      </c>
      <c r="CS126" s="459">
        <f t="shared" si="244"/>
        <v>0</v>
      </c>
      <c r="CT126" s="459">
        <f t="shared" si="245"/>
        <v>0</v>
      </c>
      <c r="CU126" s="459">
        <f t="shared" si="246"/>
        <v>0</v>
      </c>
      <c r="CV126" s="459">
        <f t="shared" si="247"/>
        <v>0</v>
      </c>
      <c r="CW126" s="459">
        <f t="shared" si="248"/>
        <v>0</v>
      </c>
      <c r="CX126" s="459">
        <f t="shared" si="249"/>
        <v>0</v>
      </c>
      <c r="CY126" s="459">
        <f t="shared" si="250"/>
        <v>0</v>
      </c>
      <c r="CZ126" s="459">
        <f t="shared" si="251"/>
        <v>0</v>
      </c>
      <c r="DA126" s="460">
        <f t="shared" si="205"/>
        <v>0</v>
      </c>
      <c r="DB126" s="463"/>
      <c r="DC126" s="459">
        <f t="shared" si="206"/>
        <v>0</v>
      </c>
      <c r="DD126" s="459">
        <f t="shared" si="207"/>
        <v>0</v>
      </c>
      <c r="DE126" s="459">
        <f t="shared" si="208"/>
        <v>0</v>
      </c>
      <c r="DF126" s="459">
        <f t="shared" si="209"/>
        <v>0</v>
      </c>
      <c r="DG126" s="459">
        <f t="shared" si="210"/>
        <v>0</v>
      </c>
      <c r="DH126" s="459">
        <f t="shared" si="211"/>
        <v>0</v>
      </c>
      <c r="DI126" s="459">
        <f t="shared" si="212"/>
        <v>0</v>
      </c>
      <c r="DJ126" s="459">
        <f t="shared" si="213"/>
        <v>0</v>
      </c>
      <c r="DK126" s="459">
        <f t="shared" si="214"/>
        <v>0</v>
      </c>
      <c r="DL126" s="459">
        <f t="shared" si="215"/>
        <v>0</v>
      </c>
      <c r="DM126" s="460">
        <f t="shared" si="216"/>
        <v>0</v>
      </c>
      <c r="DN126" s="463"/>
      <c r="DO126" s="459">
        <f t="shared" si="252"/>
        <v>0</v>
      </c>
      <c r="DP126" s="459">
        <f t="shared" si="252"/>
        <v>0</v>
      </c>
      <c r="DQ126" s="459">
        <f t="shared" si="252"/>
        <v>0</v>
      </c>
      <c r="DR126" s="459">
        <f t="shared" si="252"/>
        <v>0</v>
      </c>
      <c r="DS126" s="459">
        <f t="shared" si="252"/>
        <v>0</v>
      </c>
      <c r="DT126" s="459">
        <f t="shared" si="252"/>
        <v>0</v>
      </c>
      <c r="DU126" s="459">
        <f t="shared" si="252"/>
        <v>0</v>
      </c>
      <c r="DV126" s="459">
        <f t="shared" si="252"/>
        <v>0</v>
      </c>
      <c r="DW126" s="459">
        <f t="shared" si="252"/>
        <v>0</v>
      </c>
      <c r="DX126" s="459">
        <f t="shared" si="252"/>
        <v>0</v>
      </c>
      <c r="DY126" s="460">
        <f t="shared" si="218"/>
        <v>0</v>
      </c>
      <c r="DZ126" s="463"/>
      <c r="EA126" s="459">
        <f t="shared" si="253"/>
        <v>0</v>
      </c>
      <c r="EB126" s="459">
        <f t="shared" si="253"/>
        <v>0</v>
      </c>
      <c r="EC126" s="459">
        <f t="shared" si="253"/>
        <v>0</v>
      </c>
      <c r="ED126" s="459">
        <f t="shared" si="253"/>
        <v>0</v>
      </c>
      <c r="EE126" s="459">
        <f t="shared" si="253"/>
        <v>0</v>
      </c>
      <c r="EF126" s="459">
        <f t="shared" si="253"/>
        <v>0</v>
      </c>
      <c r="EG126" s="459">
        <f t="shared" si="253"/>
        <v>0</v>
      </c>
      <c r="EH126" s="459">
        <f t="shared" si="253"/>
        <v>0</v>
      </c>
      <c r="EI126" s="459">
        <f t="shared" si="253"/>
        <v>0</v>
      </c>
      <c r="EJ126" s="459">
        <f t="shared" si="253"/>
        <v>0</v>
      </c>
      <c r="EK126" s="460">
        <f t="shared" si="220"/>
        <v>0</v>
      </c>
    </row>
    <row r="127" spans="2:141" s="270" customFormat="1" ht="15" customHeight="1" x14ac:dyDescent="0.25">
      <c r="B127" s="464" t="str">
        <f>'2. START'!C$7</f>
        <v>100GEM</v>
      </c>
      <c r="C127" s="470"/>
      <c r="D127" s="593"/>
      <c r="E127" s="527">
        <v>0</v>
      </c>
      <c r="F127" s="527" t="s">
        <v>36</v>
      </c>
      <c r="G127" s="527"/>
      <c r="H127" s="515"/>
      <c r="I127" s="515"/>
      <c r="J127" s="515"/>
      <c r="K127" s="515"/>
      <c r="L127" s="515"/>
      <c r="M127" s="515"/>
      <c r="N127" s="515"/>
      <c r="O127" s="515"/>
      <c r="P127" s="515"/>
      <c r="Q127" s="515"/>
      <c r="R127" s="442">
        <f t="shared" si="221"/>
        <v>0</v>
      </c>
      <c r="S127" s="516">
        <f>IF('2. START'!$C$20="UTB",(SUMIF('3. PARTNER'!B$13:B$80,B127,'3. PARTNER'!M$13:M$80)),(SUMIF('3. PARTNER'!B$13:B$80,B127,'3. PARTNER'!I$13:I$80)))</f>
        <v>0</v>
      </c>
      <c r="T127" s="516">
        <f>IF('2. START'!$C$20="UTB",(SUMIF('3. PARTNER'!B$13:B$80,B127,'3. PARTNER'!N$13:N$80)),(SUMIF('3. PARTNER'!B$13:B$80,B127,'3. PARTNER'!J$13:J$80)))</f>
        <v>0</v>
      </c>
      <c r="U127" s="517">
        <f>IF(F127="NO",0,IF('2. START'!C$13="PERSON+OPERATION",'2. START'!C$12,0)+IF('2. START'!C$13="PERSON+OPERATION+INVEST+FACILIT",'2. START'!C$12,0))</f>
        <v>0</v>
      </c>
      <c r="W127" s="442">
        <f t="shared" si="222"/>
        <v>0</v>
      </c>
      <c r="X127" s="442">
        <f t="shared" si="223"/>
        <v>0</v>
      </c>
      <c r="Y127" s="442">
        <f t="shared" si="224"/>
        <v>0</v>
      </c>
      <c r="Z127" s="442">
        <f t="shared" si="225"/>
        <v>0</v>
      </c>
      <c r="AA127" s="442">
        <f t="shared" si="226"/>
        <v>0</v>
      </c>
      <c r="AB127" s="442">
        <f t="shared" si="227"/>
        <v>0</v>
      </c>
      <c r="AC127" s="442">
        <f t="shared" si="228"/>
        <v>0</v>
      </c>
      <c r="AD127" s="442">
        <f t="shared" si="229"/>
        <v>0</v>
      </c>
      <c r="AE127" s="442">
        <f t="shared" si="230"/>
        <v>0</v>
      </c>
      <c r="AF127" s="442">
        <f t="shared" si="231"/>
        <v>0</v>
      </c>
      <c r="AG127" s="443">
        <f t="shared" si="159"/>
        <v>0</v>
      </c>
      <c r="AI127" s="442">
        <f t="shared" si="232"/>
        <v>0</v>
      </c>
      <c r="AJ127" s="442">
        <f t="shared" si="233"/>
        <v>0</v>
      </c>
      <c r="AK127" s="442">
        <f t="shared" si="234"/>
        <v>0</v>
      </c>
      <c r="AL127" s="442">
        <f t="shared" si="235"/>
        <v>0</v>
      </c>
      <c r="AM127" s="442">
        <f t="shared" si="236"/>
        <v>0</v>
      </c>
      <c r="AN127" s="442">
        <f t="shared" si="237"/>
        <v>0</v>
      </c>
      <c r="AO127" s="442">
        <f t="shared" si="238"/>
        <v>0</v>
      </c>
      <c r="AP127" s="442">
        <f t="shared" si="239"/>
        <v>0</v>
      </c>
      <c r="AQ127" s="442">
        <f t="shared" si="240"/>
        <v>0</v>
      </c>
      <c r="AR127" s="442">
        <f t="shared" si="241"/>
        <v>0</v>
      </c>
      <c r="AS127" s="443">
        <f t="shared" si="160"/>
        <v>0</v>
      </c>
      <c r="AU127" s="442">
        <f t="shared" si="161"/>
        <v>0</v>
      </c>
      <c r="AV127" s="442">
        <f t="shared" si="162"/>
        <v>0</v>
      </c>
      <c r="AW127" s="442">
        <f t="shared" si="163"/>
        <v>0</v>
      </c>
      <c r="AX127" s="442">
        <f t="shared" si="164"/>
        <v>0</v>
      </c>
      <c r="AY127" s="442">
        <f t="shared" si="165"/>
        <v>0</v>
      </c>
      <c r="AZ127" s="442">
        <f t="shared" si="166"/>
        <v>0</v>
      </c>
      <c r="BA127" s="442">
        <f t="shared" si="167"/>
        <v>0</v>
      </c>
      <c r="BB127" s="442">
        <f t="shared" si="168"/>
        <v>0</v>
      </c>
      <c r="BC127" s="442">
        <f t="shared" si="169"/>
        <v>0</v>
      </c>
      <c r="BD127" s="442">
        <f t="shared" si="170"/>
        <v>0</v>
      </c>
      <c r="BE127" s="443">
        <f t="shared" si="171"/>
        <v>0</v>
      </c>
      <c r="BG127" s="442">
        <f t="shared" si="172"/>
        <v>0</v>
      </c>
      <c r="BH127" s="442">
        <f t="shared" si="173"/>
        <v>0</v>
      </c>
      <c r="BI127" s="442">
        <f t="shared" si="174"/>
        <v>0</v>
      </c>
      <c r="BJ127" s="442">
        <f t="shared" si="175"/>
        <v>0</v>
      </c>
      <c r="BK127" s="442">
        <f t="shared" si="176"/>
        <v>0</v>
      </c>
      <c r="BL127" s="442">
        <f t="shared" si="177"/>
        <v>0</v>
      </c>
      <c r="BM127" s="442">
        <f t="shared" si="178"/>
        <v>0</v>
      </c>
      <c r="BN127" s="442">
        <f t="shared" si="179"/>
        <v>0</v>
      </c>
      <c r="BO127" s="442">
        <f t="shared" si="180"/>
        <v>0</v>
      </c>
      <c r="BP127" s="442">
        <f t="shared" si="181"/>
        <v>0</v>
      </c>
      <c r="BQ127" s="443">
        <f t="shared" si="182"/>
        <v>0</v>
      </c>
      <c r="BS127" s="442">
        <f t="shared" si="183"/>
        <v>0</v>
      </c>
      <c r="BT127" s="442">
        <f t="shared" si="184"/>
        <v>0</v>
      </c>
      <c r="BU127" s="442">
        <f t="shared" si="185"/>
        <v>0</v>
      </c>
      <c r="BV127" s="442">
        <f t="shared" si="186"/>
        <v>0</v>
      </c>
      <c r="BW127" s="442">
        <f t="shared" si="187"/>
        <v>0</v>
      </c>
      <c r="BX127" s="442">
        <f t="shared" si="188"/>
        <v>0</v>
      </c>
      <c r="BY127" s="442">
        <f t="shared" si="189"/>
        <v>0</v>
      </c>
      <c r="BZ127" s="442">
        <f t="shared" si="190"/>
        <v>0</v>
      </c>
      <c r="CA127" s="442">
        <f t="shared" si="191"/>
        <v>0</v>
      </c>
      <c r="CB127" s="442">
        <f t="shared" si="192"/>
        <v>0</v>
      </c>
      <c r="CC127" s="443">
        <f t="shared" si="193"/>
        <v>0</v>
      </c>
      <c r="CE127" s="442">
        <f t="shared" si="194"/>
        <v>0</v>
      </c>
      <c r="CF127" s="442">
        <f t="shared" si="195"/>
        <v>0</v>
      </c>
      <c r="CG127" s="442">
        <f t="shared" si="196"/>
        <v>0</v>
      </c>
      <c r="CH127" s="442">
        <f t="shared" si="197"/>
        <v>0</v>
      </c>
      <c r="CI127" s="442">
        <f t="shared" si="198"/>
        <v>0</v>
      </c>
      <c r="CJ127" s="442">
        <f t="shared" si="199"/>
        <v>0</v>
      </c>
      <c r="CK127" s="442">
        <f t="shared" si="200"/>
        <v>0</v>
      </c>
      <c r="CL127" s="442">
        <f t="shared" si="201"/>
        <v>0</v>
      </c>
      <c r="CM127" s="442">
        <f t="shared" si="202"/>
        <v>0</v>
      </c>
      <c r="CN127" s="442">
        <f t="shared" si="203"/>
        <v>0</v>
      </c>
      <c r="CO127" s="443">
        <f t="shared" si="204"/>
        <v>0</v>
      </c>
      <c r="CQ127" s="442">
        <f t="shared" si="242"/>
        <v>0</v>
      </c>
      <c r="CR127" s="442">
        <f t="shared" si="243"/>
        <v>0</v>
      </c>
      <c r="CS127" s="442">
        <f t="shared" si="244"/>
        <v>0</v>
      </c>
      <c r="CT127" s="442">
        <f t="shared" si="245"/>
        <v>0</v>
      </c>
      <c r="CU127" s="442">
        <f t="shared" si="246"/>
        <v>0</v>
      </c>
      <c r="CV127" s="442">
        <f t="shared" si="247"/>
        <v>0</v>
      </c>
      <c r="CW127" s="442">
        <f t="shared" si="248"/>
        <v>0</v>
      </c>
      <c r="CX127" s="442">
        <f t="shared" si="249"/>
        <v>0</v>
      </c>
      <c r="CY127" s="442">
        <f t="shared" si="250"/>
        <v>0</v>
      </c>
      <c r="CZ127" s="442">
        <f t="shared" si="251"/>
        <v>0</v>
      </c>
      <c r="DA127" s="443">
        <f t="shared" si="205"/>
        <v>0</v>
      </c>
      <c r="DC127" s="442">
        <f t="shared" si="206"/>
        <v>0</v>
      </c>
      <c r="DD127" s="442">
        <f t="shared" si="207"/>
        <v>0</v>
      </c>
      <c r="DE127" s="442">
        <f t="shared" si="208"/>
        <v>0</v>
      </c>
      <c r="DF127" s="442">
        <f t="shared" si="209"/>
        <v>0</v>
      </c>
      <c r="DG127" s="442">
        <f t="shared" si="210"/>
        <v>0</v>
      </c>
      <c r="DH127" s="442">
        <f t="shared" si="211"/>
        <v>0</v>
      </c>
      <c r="DI127" s="442">
        <f t="shared" si="212"/>
        <v>0</v>
      </c>
      <c r="DJ127" s="442">
        <f t="shared" si="213"/>
        <v>0</v>
      </c>
      <c r="DK127" s="442">
        <f t="shared" si="214"/>
        <v>0</v>
      </c>
      <c r="DL127" s="442">
        <f t="shared" si="215"/>
        <v>0</v>
      </c>
      <c r="DM127" s="443">
        <f t="shared" si="216"/>
        <v>0</v>
      </c>
      <c r="DO127" s="442">
        <f t="shared" si="252"/>
        <v>0</v>
      </c>
      <c r="DP127" s="442">
        <f t="shared" si="252"/>
        <v>0</v>
      </c>
      <c r="DQ127" s="442">
        <f t="shared" si="252"/>
        <v>0</v>
      </c>
      <c r="DR127" s="442">
        <f t="shared" si="252"/>
        <v>0</v>
      </c>
      <c r="DS127" s="442">
        <f t="shared" si="252"/>
        <v>0</v>
      </c>
      <c r="DT127" s="442">
        <f t="shared" si="252"/>
        <v>0</v>
      </c>
      <c r="DU127" s="442">
        <f t="shared" si="252"/>
        <v>0</v>
      </c>
      <c r="DV127" s="442">
        <f t="shared" si="252"/>
        <v>0</v>
      </c>
      <c r="DW127" s="442">
        <f t="shared" si="252"/>
        <v>0</v>
      </c>
      <c r="DX127" s="442">
        <f t="shared" si="252"/>
        <v>0</v>
      </c>
      <c r="DY127" s="443">
        <f t="shared" si="218"/>
        <v>0</v>
      </c>
      <c r="EA127" s="442">
        <f t="shared" si="253"/>
        <v>0</v>
      </c>
      <c r="EB127" s="442">
        <f t="shared" si="253"/>
        <v>0</v>
      </c>
      <c r="EC127" s="442">
        <f t="shared" si="253"/>
        <v>0</v>
      </c>
      <c r="ED127" s="442">
        <f t="shared" si="253"/>
        <v>0</v>
      </c>
      <c r="EE127" s="442">
        <f t="shared" si="253"/>
        <v>0</v>
      </c>
      <c r="EF127" s="442">
        <f t="shared" si="253"/>
        <v>0</v>
      </c>
      <c r="EG127" s="442">
        <f t="shared" si="253"/>
        <v>0</v>
      </c>
      <c r="EH127" s="442">
        <f t="shared" si="253"/>
        <v>0</v>
      </c>
      <c r="EI127" s="442">
        <f t="shared" si="253"/>
        <v>0</v>
      </c>
      <c r="EJ127" s="442">
        <f t="shared" si="253"/>
        <v>0</v>
      </c>
      <c r="EK127" s="443">
        <f t="shared" si="220"/>
        <v>0</v>
      </c>
    </row>
    <row r="128" spans="2:141" s="268" customFormat="1" ht="15" customHeight="1" x14ac:dyDescent="0.25">
      <c r="B128" s="446" t="str">
        <f>'2. START'!C$7</f>
        <v>100GEM</v>
      </c>
      <c r="C128" s="469"/>
      <c r="D128" s="594"/>
      <c r="E128" s="522">
        <v>0</v>
      </c>
      <c r="F128" s="522" t="s">
        <v>36</v>
      </c>
      <c r="G128" s="522"/>
      <c r="H128" s="523"/>
      <c r="I128" s="523"/>
      <c r="J128" s="523"/>
      <c r="K128" s="523"/>
      <c r="L128" s="523"/>
      <c r="M128" s="523"/>
      <c r="N128" s="523"/>
      <c r="O128" s="523"/>
      <c r="P128" s="523"/>
      <c r="Q128" s="523"/>
      <c r="R128" s="459">
        <f t="shared" si="221"/>
        <v>0</v>
      </c>
      <c r="S128" s="524">
        <f>IF('2. START'!$C$20="UTB",(SUMIF('3. PARTNER'!B$13:B$80,B128,'3. PARTNER'!M$13:M$80)),(SUMIF('3. PARTNER'!B$13:B$80,B128,'3. PARTNER'!I$13:I$80)))</f>
        <v>0</v>
      </c>
      <c r="T128" s="524">
        <f>IF('2. START'!$C$20="UTB",(SUMIF('3. PARTNER'!B$13:B$80,B128,'3. PARTNER'!N$13:N$80)),(SUMIF('3. PARTNER'!B$13:B$80,B128,'3. PARTNER'!J$13:J$80)))</f>
        <v>0</v>
      </c>
      <c r="U128" s="454">
        <f>IF(F128="NO",0,IF('2. START'!C$13="PERSON+OPERATION",'2. START'!C$12,0)+IF('2. START'!C$13="PERSON+OPERATION+INVEST+FACILIT",'2. START'!C$12,0))</f>
        <v>0</v>
      </c>
      <c r="V128" s="463"/>
      <c r="W128" s="459">
        <f t="shared" si="222"/>
        <v>0</v>
      </c>
      <c r="X128" s="459">
        <f t="shared" si="223"/>
        <v>0</v>
      </c>
      <c r="Y128" s="459">
        <f t="shared" si="224"/>
        <v>0</v>
      </c>
      <c r="Z128" s="459">
        <f t="shared" si="225"/>
        <v>0</v>
      </c>
      <c r="AA128" s="459">
        <f t="shared" si="226"/>
        <v>0</v>
      </c>
      <c r="AB128" s="459">
        <f t="shared" si="227"/>
        <v>0</v>
      </c>
      <c r="AC128" s="459">
        <f t="shared" si="228"/>
        <v>0</v>
      </c>
      <c r="AD128" s="459">
        <f t="shared" si="229"/>
        <v>0</v>
      </c>
      <c r="AE128" s="459">
        <f t="shared" si="230"/>
        <v>0</v>
      </c>
      <c r="AF128" s="459">
        <f t="shared" si="231"/>
        <v>0</v>
      </c>
      <c r="AG128" s="460">
        <f t="shared" si="159"/>
        <v>0</v>
      </c>
      <c r="AH128" s="463"/>
      <c r="AI128" s="459">
        <f t="shared" si="232"/>
        <v>0</v>
      </c>
      <c r="AJ128" s="459">
        <f t="shared" si="233"/>
        <v>0</v>
      </c>
      <c r="AK128" s="459">
        <f t="shared" si="234"/>
        <v>0</v>
      </c>
      <c r="AL128" s="459">
        <f t="shared" si="235"/>
        <v>0</v>
      </c>
      <c r="AM128" s="459">
        <f t="shared" si="236"/>
        <v>0</v>
      </c>
      <c r="AN128" s="459">
        <f t="shared" si="237"/>
        <v>0</v>
      </c>
      <c r="AO128" s="459">
        <f t="shared" si="238"/>
        <v>0</v>
      </c>
      <c r="AP128" s="459">
        <f t="shared" si="239"/>
        <v>0</v>
      </c>
      <c r="AQ128" s="459">
        <f t="shared" si="240"/>
        <v>0</v>
      </c>
      <c r="AR128" s="459">
        <f t="shared" si="241"/>
        <v>0</v>
      </c>
      <c r="AS128" s="460">
        <f t="shared" si="160"/>
        <v>0</v>
      </c>
      <c r="AT128" s="463"/>
      <c r="AU128" s="459">
        <f t="shared" si="161"/>
        <v>0</v>
      </c>
      <c r="AV128" s="459">
        <f t="shared" si="162"/>
        <v>0</v>
      </c>
      <c r="AW128" s="459">
        <f t="shared" si="163"/>
        <v>0</v>
      </c>
      <c r="AX128" s="459">
        <f t="shared" si="164"/>
        <v>0</v>
      </c>
      <c r="AY128" s="459">
        <f t="shared" si="165"/>
        <v>0</v>
      </c>
      <c r="AZ128" s="459">
        <f t="shared" si="166"/>
        <v>0</v>
      </c>
      <c r="BA128" s="459">
        <f t="shared" si="167"/>
        <v>0</v>
      </c>
      <c r="BB128" s="459">
        <f t="shared" si="168"/>
        <v>0</v>
      </c>
      <c r="BC128" s="459">
        <f t="shared" si="169"/>
        <v>0</v>
      </c>
      <c r="BD128" s="459">
        <f t="shared" si="170"/>
        <v>0</v>
      </c>
      <c r="BE128" s="460">
        <f t="shared" si="171"/>
        <v>0</v>
      </c>
      <c r="BF128" s="463"/>
      <c r="BG128" s="459">
        <f t="shared" si="172"/>
        <v>0</v>
      </c>
      <c r="BH128" s="459">
        <f t="shared" si="173"/>
        <v>0</v>
      </c>
      <c r="BI128" s="459">
        <f t="shared" si="174"/>
        <v>0</v>
      </c>
      <c r="BJ128" s="459">
        <f t="shared" si="175"/>
        <v>0</v>
      </c>
      <c r="BK128" s="459">
        <f t="shared" si="176"/>
        <v>0</v>
      </c>
      <c r="BL128" s="459">
        <f t="shared" si="177"/>
        <v>0</v>
      </c>
      <c r="BM128" s="459">
        <f t="shared" si="178"/>
        <v>0</v>
      </c>
      <c r="BN128" s="459">
        <f t="shared" si="179"/>
        <v>0</v>
      </c>
      <c r="BO128" s="459">
        <f t="shared" si="180"/>
        <v>0</v>
      </c>
      <c r="BP128" s="459">
        <f t="shared" si="181"/>
        <v>0</v>
      </c>
      <c r="BQ128" s="460">
        <f t="shared" si="182"/>
        <v>0</v>
      </c>
      <c r="BR128" s="463"/>
      <c r="BS128" s="459">
        <f t="shared" si="183"/>
        <v>0</v>
      </c>
      <c r="BT128" s="459">
        <f t="shared" si="184"/>
        <v>0</v>
      </c>
      <c r="BU128" s="459">
        <f t="shared" si="185"/>
        <v>0</v>
      </c>
      <c r="BV128" s="459">
        <f t="shared" si="186"/>
        <v>0</v>
      </c>
      <c r="BW128" s="459">
        <f t="shared" si="187"/>
        <v>0</v>
      </c>
      <c r="BX128" s="459">
        <f t="shared" si="188"/>
        <v>0</v>
      </c>
      <c r="BY128" s="459">
        <f t="shared" si="189"/>
        <v>0</v>
      </c>
      <c r="BZ128" s="459">
        <f t="shared" si="190"/>
        <v>0</v>
      </c>
      <c r="CA128" s="459">
        <f t="shared" si="191"/>
        <v>0</v>
      </c>
      <c r="CB128" s="459">
        <f t="shared" si="192"/>
        <v>0</v>
      </c>
      <c r="CC128" s="460">
        <f t="shared" si="193"/>
        <v>0</v>
      </c>
      <c r="CD128" s="463"/>
      <c r="CE128" s="459">
        <f t="shared" si="194"/>
        <v>0</v>
      </c>
      <c r="CF128" s="459">
        <f t="shared" si="195"/>
        <v>0</v>
      </c>
      <c r="CG128" s="459">
        <f t="shared" si="196"/>
        <v>0</v>
      </c>
      <c r="CH128" s="459">
        <f t="shared" si="197"/>
        <v>0</v>
      </c>
      <c r="CI128" s="459">
        <f t="shared" si="198"/>
        <v>0</v>
      </c>
      <c r="CJ128" s="459">
        <f t="shared" si="199"/>
        <v>0</v>
      </c>
      <c r="CK128" s="459">
        <f t="shared" si="200"/>
        <v>0</v>
      </c>
      <c r="CL128" s="459">
        <f t="shared" si="201"/>
        <v>0</v>
      </c>
      <c r="CM128" s="459">
        <f t="shared" si="202"/>
        <v>0</v>
      </c>
      <c r="CN128" s="459">
        <f t="shared" si="203"/>
        <v>0</v>
      </c>
      <c r="CO128" s="460">
        <f t="shared" si="204"/>
        <v>0</v>
      </c>
      <c r="CP128" s="463"/>
      <c r="CQ128" s="459">
        <f t="shared" si="242"/>
        <v>0</v>
      </c>
      <c r="CR128" s="459">
        <f t="shared" si="243"/>
        <v>0</v>
      </c>
      <c r="CS128" s="459">
        <f t="shared" si="244"/>
        <v>0</v>
      </c>
      <c r="CT128" s="459">
        <f t="shared" si="245"/>
        <v>0</v>
      </c>
      <c r="CU128" s="459">
        <f t="shared" si="246"/>
        <v>0</v>
      </c>
      <c r="CV128" s="459">
        <f t="shared" si="247"/>
        <v>0</v>
      </c>
      <c r="CW128" s="459">
        <f t="shared" si="248"/>
        <v>0</v>
      </c>
      <c r="CX128" s="459">
        <f t="shared" si="249"/>
        <v>0</v>
      </c>
      <c r="CY128" s="459">
        <f t="shared" si="250"/>
        <v>0</v>
      </c>
      <c r="CZ128" s="459">
        <f t="shared" si="251"/>
        <v>0</v>
      </c>
      <c r="DA128" s="460">
        <f t="shared" si="205"/>
        <v>0</v>
      </c>
      <c r="DB128" s="463"/>
      <c r="DC128" s="459">
        <f t="shared" si="206"/>
        <v>0</v>
      </c>
      <c r="DD128" s="459">
        <f t="shared" si="207"/>
        <v>0</v>
      </c>
      <c r="DE128" s="459">
        <f t="shared" si="208"/>
        <v>0</v>
      </c>
      <c r="DF128" s="459">
        <f t="shared" si="209"/>
        <v>0</v>
      </c>
      <c r="DG128" s="459">
        <f t="shared" si="210"/>
        <v>0</v>
      </c>
      <c r="DH128" s="459">
        <f t="shared" si="211"/>
        <v>0</v>
      </c>
      <c r="DI128" s="459">
        <f t="shared" si="212"/>
        <v>0</v>
      </c>
      <c r="DJ128" s="459">
        <f t="shared" si="213"/>
        <v>0</v>
      </c>
      <c r="DK128" s="459">
        <f t="shared" si="214"/>
        <v>0</v>
      </c>
      <c r="DL128" s="459">
        <f t="shared" si="215"/>
        <v>0</v>
      </c>
      <c r="DM128" s="460">
        <f t="shared" si="216"/>
        <v>0</v>
      </c>
      <c r="DN128" s="463"/>
      <c r="DO128" s="459">
        <f t="shared" si="252"/>
        <v>0</v>
      </c>
      <c r="DP128" s="459">
        <f t="shared" si="252"/>
        <v>0</v>
      </c>
      <c r="DQ128" s="459">
        <f t="shared" si="252"/>
        <v>0</v>
      </c>
      <c r="DR128" s="459">
        <f t="shared" si="252"/>
        <v>0</v>
      </c>
      <c r="DS128" s="459">
        <f t="shared" si="252"/>
        <v>0</v>
      </c>
      <c r="DT128" s="459">
        <f t="shared" si="252"/>
        <v>0</v>
      </c>
      <c r="DU128" s="459">
        <f t="shared" si="252"/>
        <v>0</v>
      </c>
      <c r="DV128" s="459">
        <f t="shared" si="252"/>
        <v>0</v>
      </c>
      <c r="DW128" s="459">
        <f t="shared" si="252"/>
        <v>0</v>
      </c>
      <c r="DX128" s="459">
        <f t="shared" si="252"/>
        <v>0</v>
      </c>
      <c r="DY128" s="460">
        <f t="shared" si="218"/>
        <v>0</v>
      </c>
      <c r="DZ128" s="463"/>
      <c r="EA128" s="459">
        <f t="shared" si="253"/>
        <v>0</v>
      </c>
      <c r="EB128" s="459">
        <f t="shared" si="253"/>
        <v>0</v>
      </c>
      <c r="EC128" s="459">
        <f t="shared" si="253"/>
        <v>0</v>
      </c>
      <c r="ED128" s="459">
        <f t="shared" si="253"/>
        <v>0</v>
      </c>
      <c r="EE128" s="459">
        <f t="shared" si="253"/>
        <v>0</v>
      </c>
      <c r="EF128" s="459">
        <f t="shared" si="253"/>
        <v>0</v>
      </c>
      <c r="EG128" s="459">
        <f t="shared" si="253"/>
        <v>0</v>
      </c>
      <c r="EH128" s="459">
        <f t="shared" si="253"/>
        <v>0</v>
      </c>
      <c r="EI128" s="459">
        <f t="shared" si="253"/>
        <v>0</v>
      </c>
      <c r="EJ128" s="459">
        <f t="shared" si="253"/>
        <v>0</v>
      </c>
      <c r="EK128" s="460">
        <f t="shared" si="220"/>
        <v>0</v>
      </c>
    </row>
    <row r="129" spans="2:141" s="270" customFormat="1" ht="15" customHeight="1" x14ac:dyDescent="0.25">
      <c r="B129" s="464" t="str">
        <f>'2. START'!C$7</f>
        <v>100GEM</v>
      </c>
      <c r="C129" s="470"/>
      <c r="D129" s="593"/>
      <c r="E129" s="527">
        <v>0</v>
      </c>
      <c r="F129" s="527" t="s">
        <v>36</v>
      </c>
      <c r="G129" s="527"/>
      <c r="H129" s="515"/>
      <c r="I129" s="515"/>
      <c r="J129" s="515"/>
      <c r="K129" s="515"/>
      <c r="L129" s="515"/>
      <c r="M129" s="515"/>
      <c r="N129" s="515"/>
      <c r="O129" s="515"/>
      <c r="P129" s="515"/>
      <c r="Q129" s="515"/>
      <c r="R129" s="442">
        <f t="shared" si="221"/>
        <v>0</v>
      </c>
      <c r="S129" s="516">
        <f>IF('2. START'!$C$20="UTB",(SUMIF('3. PARTNER'!B$13:B$80,B129,'3. PARTNER'!M$13:M$80)),(SUMIF('3. PARTNER'!B$13:B$80,B129,'3. PARTNER'!I$13:I$80)))</f>
        <v>0</v>
      </c>
      <c r="T129" s="516">
        <f>IF('2. START'!$C$20="UTB",(SUMIF('3. PARTNER'!B$13:B$80,B129,'3. PARTNER'!N$13:N$80)),(SUMIF('3. PARTNER'!B$13:B$80,B129,'3. PARTNER'!J$13:J$80)))</f>
        <v>0</v>
      </c>
      <c r="U129" s="517">
        <f>IF(F129="NO",0,IF('2. START'!C$13="PERSON+OPERATION",'2. START'!C$12,0)+IF('2. START'!C$13="PERSON+OPERATION+INVEST+FACILIT",'2. START'!C$12,0))</f>
        <v>0</v>
      </c>
      <c r="W129" s="442">
        <f t="shared" si="222"/>
        <v>0</v>
      </c>
      <c r="X129" s="442">
        <f t="shared" si="223"/>
        <v>0</v>
      </c>
      <c r="Y129" s="442">
        <f t="shared" si="224"/>
        <v>0</v>
      </c>
      <c r="Z129" s="442">
        <f t="shared" si="225"/>
        <v>0</v>
      </c>
      <c r="AA129" s="442">
        <f t="shared" si="226"/>
        <v>0</v>
      </c>
      <c r="AB129" s="442">
        <f t="shared" si="227"/>
        <v>0</v>
      </c>
      <c r="AC129" s="442">
        <f t="shared" si="228"/>
        <v>0</v>
      </c>
      <c r="AD129" s="442">
        <f t="shared" si="229"/>
        <v>0</v>
      </c>
      <c r="AE129" s="442">
        <f t="shared" si="230"/>
        <v>0</v>
      </c>
      <c r="AF129" s="442">
        <f t="shared" si="231"/>
        <v>0</v>
      </c>
      <c r="AG129" s="443">
        <f t="shared" si="159"/>
        <v>0</v>
      </c>
      <c r="AI129" s="442">
        <f t="shared" si="232"/>
        <v>0</v>
      </c>
      <c r="AJ129" s="442">
        <f t="shared" si="233"/>
        <v>0</v>
      </c>
      <c r="AK129" s="442">
        <f t="shared" si="234"/>
        <v>0</v>
      </c>
      <c r="AL129" s="442">
        <f t="shared" si="235"/>
        <v>0</v>
      </c>
      <c r="AM129" s="442">
        <f t="shared" si="236"/>
        <v>0</v>
      </c>
      <c r="AN129" s="442">
        <f t="shared" si="237"/>
        <v>0</v>
      </c>
      <c r="AO129" s="442">
        <f t="shared" si="238"/>
        <v>0</v>
      </c>
      <c r="AP129" s="442">
        <f t="shared" si="239"/>
        <v>0</v>
      </c>
      <c r="AQ129" s="442">
        <f t="shared" si="240"/>
        <v>0</v>
      </c>
      <c r="AR129" s="442">
        <f t="shared" si="241"/>
        <v>0</v>
      </c>
      <c r="AS129" s="443">
        <f t="shared" si="160"/>
        <v>0</v>
      </c>
      <c r="AU129" s="442">
        <f t="shared" si="161"/>
        <v>0</v>
      </c>
      <c r="AV129" s="442">
        <f t="shared" si="162"/>
        <v>0</v>
      </c>
      <c r="AW129" s="442">
        <f t="shared" si="163"/>
        <v>0</v>
      </c>
      <c r="AX129" s="442">
        <f t="shared" si="164"/>
        <v>0</v>
      </c>
      <c r="AY129" s="442">
        <f t="shared" si="165"/>
        <v>0</v>
      </c>
      <c r="AZ129" s="442">
        <f t="shared" si="166"/>
        <v>0</v>
      </c>
      <c r="BA129" s="442">
        <f t="shared" si="167"/>
        <v>0</v>
      </c>
      <c r="BB129" s="442">
        <f t="shared" si="168"/>
        <v>0</v>
      </c>
      <c r="BC129" s="442">
        <f t="shared" si="169"/>
        <v>0</v>
      </c>
      <c r="BD129" s="442">
        <f t="shared" si="170"/>
        <v>0</v>
      </c>
      <c r="BE129" s="443">
        <f t="shared" si="171"/>
        <v>0</v>
      </c>
      <c r="BG129" s="442">
        <f t="shared" si="172"/>
        <v>0</v>
      </c>
      <c r="BH129" s="442">
        <f t="shared" si="173"/>
        <v>0</v>
      </c>
      <c r="BI129" s="442">
        <f t="shared" si="174"/>
        <v>0</v>
      </c>
      <c r="BJ129" s="442">
        <f t="shared" si="175"/>
        <v>0</v>
      </c>
      <c r="BK129" s="442">
        <f t="shared" si="176"/>
        <v>0</v>
      </c>
      <c r="BL129" s="442">
        <f t="shared" si="177"/>
        <v>0</v>
      </c>
      <c r="BM129" s="442">
        <f t="shared" si="178"/>
        <v>0</v>
      </c>
      <c r="BN129" s="442">
        <f t="shared" si="179"/>
        <v>0</v>
      </c>
      <c r="BO129" s="442">
        <f t="shared" si="180"/>
        <v>0</v>
      </c>
      <c r="BP129" s="442">
        <f t="shared" si="181"/>
        <v>0</v>
      </c>
      <c r="BQ129" s="443">
        <f t="shared" si="182"/>
        <v>0</v>
      </c>
      <c r="BS129" s="442">
        <f t="shared" si="183"/>
        <v>0</v>
      </c>
      <c r="BT129" s="442">
        <f t="shared" si="184"/>
        <v>0</v>
      </c>
      <c r="BU129" s="442">
        <f t="shared" si="185"/>
        <v>0</v>
      </c>
      <c r="BV129" s="442">
        <f t="shared" si="186"/>
        <v>0</v>
      </c>
      <c r="BW129" s="442">
        <f t="shared" si="187"/>
        <v>0</v>
      </c>
      <c r="BX129" s="442">
        <f t="shared" si="188"/>
        <v>0</v>
      </c>
      <c r="BY129" s="442">
        <f t="shared" si="189"/>
        <v>0</v>
      </c>
      <c r="BZ129" s="442">
        <f t="shared" si="190"/>
        <v>0</v>
      </c>
      <c r="CA129" s="442">
        <f t="shared" si="191"/>
        <v>0</v>
      </c>
      <c r="CB129" s="442">
        <f t="shared" si="192"/>
        <v>0</v>
      </c>
      <c r="CC129" s="443">
        <f t="shared" si="193"/>
        <v>0</v>
      </c>
      <c r="CE129" s="442">
        <f t="shared" si="194"/>
        <v>0</v>
      </c>
      <c r="CF129" s="442">
        <f t="shared" si="195"/>
        <v>0</v>
      </c>
      <c r="CG129" s="442">
        <f t="shared" si="196"/>
        <v>0</v>
      </c>
      <c r="CH129" s="442">
        <f t="shared" si="197"/>
        <v>0</v>
      </c>
      <c r="CI129" s="442">
        <f t="shared" si="198"/>
        <v>0</v>
      </c>
      <c r="CJ129" s="442">
        <f t="shared" si="199"/>
        <v>0</v>
      </c>
      <c r="CK129" s="442">
        <f t="shared" si="200"/>
        <v>0</v>
      </c>
      <c r="CL129" s="442">
        <f t="shared" si="201"/>
        <v>0</v>
      </c>
      <c r="CM129" s="442">
        <f t="shared" si="202"/>
        <v>0</v>
      </c>
      <c r="CN129" s="442">
        <f t="shared" si="203"/>
        <v>0</v>
      </c>
      <c r="CO129" s="443">
        <f t="shared" si="204"/>
        <v>0</v>
      </c>
      <c r="CQ129" s="442">
        <f t="shared" si="242"/>
        <v>0</v>
      </c>
      <c r="CR129" s="442">
        <f t="shared" si="243"/>
        <v>0</v>
      </c>
      <c r="CS129" s="442">
        <f t="shared" si="244"/>
        <v>0</v>
      </c>
      <c r="CT129" s="442">
        <f t="shared" si="245"/>
        <v>0</v>
      </c>
      <c r="CU129" s="442">
        <f t="shared" si="246"/>
        <v>0</v>
      </c>
      <c r="CV129" s="442">
        <f t="shared" si="247"/>
        <v>0</v>
      </c>
      <c r="CW129" s="442">
        <f t="shared" si="248"/>
        <v>0</v>
      </c>
      <c r="CX129" s="442">
        <f t="shared" si="249"/>
        <v>0</v>
      </c>
      <c r="CY129" s="442">
        <f t="shared" si="250"/>
        <v>0</v>
      </c>
      <c r="CZ129" s="442">
        <f t="shared" si="251"/>
        <v>0</v>
      </c>
      <c r="DA129" s="443">
        <f t="shared" si="205"/>
        <v>0</v>
      </c>
      <c r="DC129" s="442">
        <f t="shared" si="206"/>
        <v>0</v>
      </c>
      <c r="DD129" s="442">
        <f t="shared" si="207"/>
        <v>0</v>
      </c>
      <c r="DE129" s="442">
        <f t="shared" si="208"/>
        <v>0</v>
      </c>
      <c r="DF129" s="442">
        <f t="shared" si="209"/>
        <v>0</v>
      </c>
      <c r="DG129" s="442">
        <f t="shared" si="210"/>
        <v>0</v>
      </c>
      <c r="DH129" s="442">
        <f t="shared" si="211"/>
        <v>0</v>
      </c>
      <c r="DI129" s="442">
        <f t="shared" si="212"/>
        <v>0</v>
      </c>
      <c r="DJ129" s="442">
        <f t="shared" si="213"/>
        <v>0</v>
      </c>
      <c r="DK129" s="442">
        <f t="shared" si="214"/>
        <v>0</v>
      </c>
      <c r="DL129" s="442">
        <f t="shared" si="215"/>
        <v>0</v>
      </c>
      <c r="DM129" s="443">
        <f t="shared" si="216"/>
        <v>0</v>
      </c>
      <c r="DO129" s="442">
        <f t="shared" si="252"/>
        <v>0</v>
      </c>
      <c r="DP129" s="442">
        <f t="shared" si="252"/>
        <v>0</v>
      </c>
      <c r="DQ129" s="442">
        <f t="shared" si="252"/>
        <v>0</v>
      </c>
      <c r="DR129" s="442">
        <f t="shared" si="252"/>
        <v>0</v>
      </c>
      <c r="DS129" s="442">
        <f t="shared" si="252"/>
        <v>0</v>
      </c>
      <c r="DT129" s="442">
        <f t="shared" si="252"/>
        <v>0</v>
      </c>
      <c r="DU129" s="442">
        <f t="shared" si="252"/>
        <v>0</v>
      </c>
      <c r="DV129" s="442">
        <f t="shared" si="252"/>
        <v>0</v>
      </c>
      <c r="DW129" s="442">
        <f t="shared" si="252"/>
        <v>0</v>
      </c>
      <c r="DX129" s="442">
        <f t="shared" si="252"/>
        <v>0</v>
      </c>
      <c r="DY129" s="443">
        <f t="shared" si="218"/>
        <v>0</v>
      </c>
      <c r="EA129" s="442">
        <f t="shared" si="253"/>
        <v>0</v>
      </c>
      <c r="EB129" s="442">
        <f t="shared" si="253"/>
        <v>0</v>
      </c>
      <c r="EC129" s="442">
        <f t="shared" si="253"/>
        <v>0</v>
      </c>
      <c r="ED129" s="442">
        <f t="shared" si="253"/>
        <v>0</v>
      </c>
      <c r="EE129" s="442">
        <f t="shared" si="253"/>
        <v>0</v>
      </c>
      <c r="EF129" s="442">
        <f t="shared" si="253"/>
        <v>0</v>
      </c>
      <c r="EG129" s="442">
        <f t="shared" si="253"/>
        <v>0</v>
      </c>
      <c r="EH129" s="442">
        <f t="shared" si="253"/>
        <v>0</v>
      </c>
      <c r="EI129" s="442">
        <f t="shared" si="253"/>
        <v>0</v>
      </c>
      <c r="EJ129" s="442">
        <f t="shared" si="253"/>
        <v>0</v>
      </c>
      <c r="EK129" s="443">
        <f t="shared" si="220"/>
        <v>0</v>
      </c>
    </row>
    <row r="130" spans="2:141" s="268" customFormat="1" ht="15" customHeight="1" x14ac:dyDescent="0.25">
      <c r="B130" s="446" t="str">
        <f>'2. START'!C$7</f>
        <v>100GEM</v>
      </c>
      <c r="C130" s="469"/>
      <c r="D130" s="594"/>
      <c r="E130" s="522">
        <v>0</v>
      </c>
      <c r="F130" s="522" t="s">
        <v>36</v>
      </c>
      <c r="G130" s="522"/>
      <c r="H130" s="523"/>
      <c r="I130" s="523"/>
      <c r="J130" s="523"/>
      <c r="K130" s="523"/>
      <c r="L130" s="523"/>
      <c r="M130" s="523"/>
      <c r="N130" s="523"/>
      <c r="O130" s="523"/>
      <c r="P130" s="523"/>
      <c r="Q130" s="523"/>
      <c r="R130" s="459">
        <f t="shared" si="221"/>
        <v>0</v>
      </c>
      <c r="S130" s="524">
        <f>IF('2. START'!$C$20="UTB",(SUMIF('3. PARTNER'!B$13:B$80,B130,'3. PARTNER'!M$13:M$80)),(SUMIF('3. PARTNER'!B$13:B$80,B130,'3. PARTNER'!I$13:I$80)))</f>
        <v>0</v>
      </c>
      <c r="T130" s="524">
        <f>IF('2. START'!$C$20="UTB",(SUMIF('3. PARTNER'!B$13:B$80,B130,'3. PARTNER'!N$13:N$80)),(SUMIF('3. PARTNER'!B$13:B$80,B130,'3. PARTNER'!J$13:J$80)))</f>
        <v>0</v>
      </c>
      <c r="U130" s="454">
        <f>IF(F130="NO",0,IF('2. START'!C$13="PERSON+OPERATION",'2. START'!C$12,0)+IF('2. START'!C$13="PERSON+OPERATION+INVEST+FACILIT",'2. START'!C$12,0))</f>
        <v>0</v>
      </c>
      <c r="V130" s="463"/>
      <c r="W130" s="459">
        <f t="shared" si="222"/>
        <v>0</v>
      </c>
      <c r="X130" s="459">
        <f t="shared" si="223"/>
        <v>0</v>
      </c>
      <c r="Y130" s="459">
        <f t="shared" si="224"/>
        <v>0</v>
      </c>
      <c r="Z130" s="459">
        <f t="shared" si="225"/>
        <v>0</v>
      </c>
      <c r="AA130" s="459">
        <f t="shared" si="226"/>
        <v>0</v>
      </c>
      <c r="AB130" s="459">
        <f t="shared" si="227"/>
        <v>0</v>
      </c>
      <c r="AC130" s="459">
        <f t="shared" si="228"/>
        <v>0</v>
      </c>
      <c r="AD130" s="459">
        <f t="shared" si="229"/>
        <v>0</v>
      </c>
      <c r="AE130" s="459">
        <f t="shared" si="230"/>
        <v>0</v>
      </c>
      <c r="AF130" s="459">
        <f t="shared" si="231"/>
        <v>0</v>
      </c>
      <c r="AG130" s="460">
        <f t="shared" si="159"/>
        <v>0</v>
      </c>
      <c r="AH130" s="463"/>
      <c r="AI130" s="459">
        <f t="shared" si="232"/>
        <v>0</v>
      </c>
      <c r="AJ130" s="459">
        <f t="shared" si="233"/>
        <v>0</v>
      </c>
      <c r="AK130" s="459">
        <f t="shared" si="234"/>
        <v>0</v>
      </c>
      <c r="AL130" s="459">
        <f t="shared" si="235"/>
        <v>0</v>
      </c>
      <c r="AM130" s="459">
        <f t="shared" si="236"/>
        <v>0</v>
      </c>
      <c r="AN130" s="459">
        <f t="shared" si="237"/>
        <v>0</v>
      </c>
      <c r="AO130" s="459">
        <f t="shared" si="238"/>
        <v>0</v>
      </c>
      <c r="AP130" s="459">
        <f t="shared" si="239"/>
        <v>0</v>
      </c>
      <c r="AQ130" s="459">
        <f t="shared" si="240"/>
        <v>0</v>
      </c>
      <c r="AR130" s="459">
        <f t="shared" si="241"/>
        <v>0</v>
      </c>
      <c r="AS130" s="460">
        <f t="shared" si="160"/>
        <v>0</v>
      </c>
      <c r="AT130" s="463"/>
      <c r="AU130" s="459">
        <f t="shared" si="161"/>
        <v>0</v>
      </c>
      <c r="AV130" s="459">
        <f t="shared" si="162"/>
        <v>0</v>
      </c>
      <c r="AW130" s="459">
        <f t="shared" si="163"/>
        <v>0</v>
      </c>
      <c r="AX130" s="459">
        <f t="shared" si="164"/>
        <v>0</v>
      </c>
      <c r="AY130" s="459">
        <f t="shared" si="165"/>
        <v>0</v>
      </c>
      <c r="AZ130" s="459">
        <f t="shared" si="166"/>
        <v>0</v>
      </c>
      <c r="BA130" s="459">
        <f t="shared" si="167"/>
        <v>0</v>
      </c>
      <c r="BB130" s="459">
        <f t="shared" si="168"/>
        <v>0</v>
      </c>
      <c r="BC130" s="459">
        <f t="shared" si="169"/>
        <v>0</v>
      </c>
      <c r="BD130" s="459">
        <f t="shared" si="170"/>
        <v>0</v>
      </c>
      <c r="BE130" s="460">
        <f t="shared" si="171"/>
        <v>0</v>
      </c>
      <c r="BF130" s="463"/>
      <c r="BG130" s="459">
        <f t="shared" si="172"/>
        <v>0</v>
      </c>
      <c r="BH130" s="459">
        <f t="shared" si="173"/>
        <v>0</v>
      </c>
      <c r="BI130" s="459">
        <f t="shared" si="174"/>
        <v>0</v>
      </c>
      <c r="BJ130" s="459">
        <f t="shared" si="175"/>
        <v>0</v>
      </c>
      <c r="BK130" s="459">
        <f t="shared" si="176"/>
        <v>0</v>
      </c>
      <c r="BL130" s="459">
        <f t="shared" si="177"/>
        <v>0</v>
      </c>
      <c r="BM130" s="459">
        <f t="shared" si="178"/>
        <v>0</v>
      </c>
      <c r="BN130" s="459">
        <f t="shared" si="179"/>
        <v>0</v>
      </c>
      <c r="BO130" s="459">
        <f t="shared" si="180"/>
        <v>0</v>
      </c>
      <c r="BP130" s="459">
        <f t="shared" si="181"/>
        <v>0</v>
      </c>
      <c r="BQ130" s="460">
        <f t="shared" si="182"/>
        <v>0</v>
      </c>
      <c r="BR130" s="463"/>
      <c r="BS130" s="459">
        <f t="shared" si="183"/>
        <v>0</v>
      </c>
      <c r="BT130" s="459">
        <f t="shared" si="184"/>
        <v>0</v>
      </c>
      <c r="BU130" s="459">
        <f t="shared" si="185"/>
        <v>0</v>
      </c>
      <c r="BV130" s="459">
        <f t="shared" si="186"/>
        <v>0</v>
      </c>
      <c r="BW130" s="459">
        <f t="shared" si="187"/>
        <v>0</v>
      </c>
      <c r="BX130" s="459">
        <f t="shared" si="188"/>
        <v>0</v>
      </c>
      <c r="BY130" s="459">
        <f t="shared" si="189"/>
        <v>0</v>
      </c>
      <c r="BZ130" s="459">
        <f t="shared" si="190"/>
        <v>0</v>
      </c>
      <c r="CA130" s="459">
        <f t="shared" si="191"/>
        <v>0</v>
      </c>
      <c r="CB130" s="459">
        <f t="shared" si="192"/>
        <v>0</v>
      </c>
      <c r="CC130" s="460">
        <f t="shared" si="193"/>
        <v>0</v>
      </c>
      <c r="CD130" s="463"/>
      <c r="CE130" s="459">
        <f t="shared" si="194"/>
        <v>0</v>
      </c>
      <c r="CF130" s="459">
        <f t="shared" si="195"/>
        <v>0</v>
      </c>
      <c r="CG130" s="459">
        <f t="shared" si="196"/>
        <v>0</v>
      </c>
      <c r="CH130" s="459">
        <f t="shared" si="197"/>
        <v>0</v>
      </c>
      <c r="CI130" s="459">
        <f t="shared" si="198"/>
        <v>0</v>
      </c>
      <c r="CJ130" s="459">
        <f t="shared" si="199"/>
        <v>0</v>
      </c>
      <c r="CK130" s="459">
        <f t="shared" si="200"/>
        <v>0</v>
      </c>
      <c r="CL130" s="459">
        <f t="shared" si="201"/>
        <v>0</v>
      </c>
      <c r="CM130" s="459">
        <f t="shared" si="202"/>
        <v>0</v>
      </c>
      <c r="CN130" s="459">
        <f t="shared" si="203"/>
        <v>0</v>
      </c>
      <c r="CO130" s="460">
        <f t="shared" si="204"/>
        <v>0</v>
      </c>
      <c r="CP130" s="463"/>
      <c r="CQ130" s="459">
        <f t="shared" si="242"/>
        <v>0</v>
      </c>
      <c r="CR130" s="459">
        <f t="shared" si="243"/>
        <v>0</v>
      </c>
      <c r="CS130" s="459">
        <f t="shared" si="244"/>
        <v>0</v>
      </c>
      <c r="CT130" s="459">
        <f t="shared" si="245"/>
        <v>0</v>
      </c>
      <c r="CU130" s="459">
        <f t="shared" si="246"/>
        <v>0</v>
      </c>
      <c r="CV130" s="459">
        <f t="shared" si="247"/>
        <v>0</v>
      </c>
      <c r="CW130" s="459">
        <f t="shared" si="248"/>
        <v>0</v>
      </c>
      <c r="CX130" s="459">
        <f t="shared" si="249"/>
        <v>0</v>
      </c>
      <c r="CY130" s="459">
        <f t="shared" si="250"/>
        <v>0</v>
      </c>
      <c r="CZ130" s="459">
        <f t="shared" si="251"/>
        <v>0</v>
      </c>
      <c r="DA130" s="460">
        <f t="shared" si="205"/>
        <v>0</v>
      </c>
      <c r="DB130" s="463"/>
      <c r="DC130" s="459">
        <f t="shared" si="206"/>
        <v>0</v>
      </c>
      <c r="DD130" s="459">
        <f t="shared" si="207"/>
        <v>0</v>
      </c>
      <c r="DE130" s="459">
        <f t="shared" si="208"/>
        <v>0</v>
      </c>
      <c r="DF130" s="459">
        <f t="shared" si="209"/>
        <v>0</v>
      </c>
      <c r="DG130" s="459">
        <f t="shared" si="210"/>
        <v>0</v>
      </c>
      <c r="DH130" s="459">
        <f t="shared" si="211"/>
        <v>0</v>
      </c>
      <c r="DI130" s="459">
        <f t="shared" si="212"/>
        <v>0</v>
      </c>
      <c r="DJ130" s="459">
        <f t="shared" si="213"/>
        <v>0</v>
      </c>
      <c r="DK130" s="459">
        <f t="shared" si="214"/>
        <v>0</v>
      </c>
      <c r="DL130" s="459">
        <f t="shared" si="215"/>
        <v>0</v>
      </c>
      <c r="DM130" s="460">
        <f t="shared" si="216"/>
        <v>0</v>
      </c>
      <c r="DN130" s="463"/>
      <c r="DO130" s="459">
        <f t="shared" si="252"/>
        <v>0</v>
      </c>
      <c r="DP130" s="459">
        <f t="shared" si="252"/>
        <v>0</v>
      </c>
      <c r="DQ130" s="459">
        <f t="shared" si="252"/>
        <v>0</v>
      </c>
      <c r="DR130" s="459">
        <f t="shared" si="252"/>
        <v>0</v>
      </c>
      <c r="DS130" s="459">
        <f t="shared" si="252"/>
        <v>0</v>
      </c>
      <c r="DT130" s="459">
        <f t="shared" si="252"/>
        <v>0</v>
      </c>
      <c r="DU130" s="459">
        <f t="shared" si="252"/>
        <v>0</v>
      </c>
      <c r="DV130" s="459">
        <f t="shared" si="252"/>
        <v>0</v>
      </c>
      <c r="DW130" s="459">
        <f t="shared" si="252"/>
        <v>0</v>
      </c>
      <c r="DX130" s="459">
        <f t="shared" si="252"/>
        <v>0</v>
      </c>
      <c r="DY130" s="460">
        <f t="shared" si="218"/>
        <v>0</v>
      </c>
      <c r="DZ130" s="463"/>
      <c r="EA130" s="459">
        <f t="shared" si="253"/>
        <v>0</v>
      </c>
      <c r="EB130" s="459">
        <f t="shared" si="253"/>
        <v>0</v>
      </c>
      <c r="EC130" s="459">
        <f t="shared" si="253"/>
        <v>0</v>
      </c>
      <c r="ED130" s="459">
        <f t="shared" si="253"/>
        <v>0</v>
      </c>
      <c r="EE130" s="459">
        <f t="shared" si="253"/>
        <v>0</v>
      </c>
      <c r="EF130" s="459">
        <f t="shared" si="253"/>
        <v>0</v>
      </c>
      <c r="EG130" s="459">
        <f t="shared" si="253"/>
        <v>0</v>
      </c>
      <c r="EH130" s="459">
        <f t="shared" si="253"/>
        <v>0</v>
      </c>
      <c r="EI130" s="459">
        <f t="shared" si="253"/>
        <v>0</v>
      </c>
      <c r="EJ130" s="459">
        <f t="shared" si="253"/>
        <v>0</v>
      </c>
      <c r="EK130" s="460">
        <f t="shared" si="220"/>
        <v>0</v>
      </c>
    </row>
    <row r="131" spans="2:141" s="270" customFormat="1" ht="15" customHeight="1" x14ac:dyDescent="0.25">
      <c r="B131" s="464" t="str">
        <f>'2. START'!C$7</f>
        <v>100GEM</v>
      </c>
      <c r="C131" s="470"/>
      <c r="D131" s="593"/>
      <c r="E131" s="527">
        <v>0</v>
      </c>
      <c r="F131" s="527" t="s">
        <v>36</v>
      </c>
      <c r="G131" s="527"/>
      <c r="H131" s="515"/>
      <c r="I131" s="515"/>
      <c r="J131" s="515"/>
      <c r="K131" s="515"/>
      <c r="L131" s="515"/>
      <c r="M131" s="515"/>
      <c r="N131" s="515"/>
      <c r="O131" s="515"/>
      <c r="P131" s="515"/>
      <c r="Q131" s="515"/>
      <c r="R131" s="442">
        <f t="shared" si="221"/>
        <v>0</v>
      </c>
      <c r="S131" s="516">
        <f>IF('2. START'!$C$20="UTB",(SUMIF('3. PARTNER'!B$13:B$80,B131,'3. PARTNER'!M$13:M$80)),(SUMIF('3. PARTNER'!B$13:B$80,B131,'3. PARTNER'!I$13:I$80)))</f>
        <v>0</v>
      </c>
      <c r="T131" s="516">
        <f>IF('2. START'!$C$20="UTB",(SUMIF('3. PARTNER'!B$13:B$80,B131,'3. PARTNER'!N$13:N$80)),(SUMIF('3. PARTNER'!B$13:B$80,B131,'3. PARTNER'!J$13:J$80)))</f>
        <v>0</v>
      </c>
      <c r="U131" s="517">
        <f>IF(F131="NO",0,IF('2. START'!C$13="PERSON+OPERATION",'2. START'!C$12,0)+IF('2. START'!C$13="PERSON+OPERATION+INVEST+FACILIT",'2. START'!C$12,0))</f>
        <v>0</v>
      </c>
      <c r="W131" s="442">
        <f t="shared" si="222"/>
        <v>0</v>
      </c>
      <c r="X131" s="442">
        <f t="shared" si="223"/>
        <v>0</v>
      </c>
      <c r="Y131" s="442">
        <f t="shared" si="224"/>
        <v>0</v>
      </c>
      <c r="Z131" s="442">
        <f t="shared" si="225"/>
        <v>0</v>
      </c>
      <c r="AA131" s="442">
        <f t="shared" si="226"/>
        <v>0</v>
      </c>
      <c r="AB131" s="442">
        <f t="shared" si="227"/>
        <v>0</v>
      </c>
      <c r="AC131" s="442">
        <f t="shared" si="228"/>
        <v>0</v>
      </c>
      <c r="AD131" s="442">
        <f t="shared" si="229"/>
        <v>0</v>
      </c>
      <c r="AE131" s="442">
        <f t="shared" si="230"/>
        <v>0</v>
      </c>
      <c r="AF131" s="442">
        <f t="shared" si="231"/>
        <v>0</v>
      </c>
      <c r="AG131" s="443">
        <f t="shared" si="159"/>
        <v>0</v>
      </c>
      <c r="AI131" s="442">
        <f t="shared" si="232"/>
        <v>0</v>
      </c>
      <c r="AJ131" s="442">
        <f t="shared" si="233"/>
        <v>0</v>
      </c>
      <c r="AK131" s="442">
        <f t="shared" si="234"/>
        <v>0</v>
      </c>
      <c r="AL131" s="442">
        <f t="shared" si="235"/>
        <v>0</v>
      </c>
      <c r="AM131" s="442">
        <f t="shared" si="236"/>
        <v>0</v>
      </c>
      <c r="AN131" s="442">
        <f t="shared" si="237"/>
        <v>0</v>
      </c>
      <c r="AO131" s="442">
        <f t="shared" si="238"/>
        <v>0</v>
      </c>
      <c r="AP131" s="442">
        <f t="shared" si="239"/>
        <v>0</v>
      </c>
      <c r="AQ131" s="442">
        <f t="shared" si="240"/>
        <v>0</v>
      </c>
      <c r="AR131" s="442">
        <f t="shared" si="241"/>
        <v>0</v>
      </c>
      <c r="AS131" s="443">
        <f t="shared" si="160"/>
        <v>0</v>
      </c>
      <c r="AU131" s="442">
        <f t="shared" si="161"/>
        <v>0</v>
      </c>
      <c r="AV131" s="442">
        <f t="shared" si="162"/>
        <v>0</v>
      </c>
      <c r="AW131" s="442">
        <f t="shared" si="163"/>
        <v>0</v>
      </c>
      <c r="AX131" s="442">
        <f t="shared" si="164"/>
        <v>0</v>
      </c>
      <c r="AY131" s="442">
        <f t="shared" si="165"/>
        <v>0</v>
      </c>
      <c r="AZ131" s="442">
        <f t="shared" si="166"/>
        <v>0</v>
      </c>
      <c r="BA131" s="442">
        <f t="shared" si="167"/>
        <v>0</v>
      </c>
      <c r="BB131" s="442">
        <f t="shared" si="168"/>
        <v>0</v>
      </c>
      <c r="BC131" s="442">
        <f t="shared" si="169"/>
        <v>0</v>
      </c>
      <c r="BD131" s="442">
        <f t="shared" si="170"/>
        <v>0</v>
      </c>
      <c r="BE131" s="443">
        <f t="shared" si="171"/>
        <v>0</v>
      </c>
      <c r="BG131" s="442">
        <f t="shared" si="172"/>
        <v>0</v>
      </c>
      <c r="BH131" s="442">
        <f t="shared" si="173"/>
        <v>0</v>
      </c>
      <c r="BI131" s="442">
        <f t="shared" si="174"/>
        <v>0</v>
      </c>
      <c r="BJ131" s="442">
        <f t="shared" si="175"/>
        <v>0</v>
      </c>
      <c r="BK131" s="442">
        <f t="shared" si="176"/>
        <v>0</v>
      </c>
      <c r="BL131" s="442">
        <f t="shared" si="177"/>
        <v>0</v>
      </c>
      <c r="BM131" s="442">
        <f t="shared" si="178"/>
        <v>0</v>
      </c>
      <c r="BN131" s="442">
        <f t="shared" si="179"/>
        <v>0</v>
      </c>
      <c r="BO131" s="442">
        <f t="shared" si="180"/>
        <v>0</v>
      </c>
      <c r="BP131" s="442">
        <f t="shared" si="181"/>
        <v>0</v>
      </c>
      <c r="BQ131" s="443">
        <f t="shared" si="182"/>
        <v>0</v>
      </c>
      <c r="BS131" s="442">
        <f t="shared" si="183"/>
        <v>0</v>
      </c>
      <c r="BT131" s="442">
        <f t="shared" si="184"/>
        <v>0</v>
      </c>
      <c r="BU131" s="442">
        <f t="shared" si="185"/>
        <v>0</v>
      </c>
      <c r="BV131" s="442">
        <f t="shared" si="186"/>
        <v>0</v>
      </c>
      <c r="BW131" s="442">
        <f t="shared" si="187"/>
        <v>0</v>
      </c>
      <c r="BX131" s="442">
        <f t="shared" si="188"/>
        <v>0</v>
      </c>
      <c r="BY131" s="442">
        <f t="shared" si="189"/>
        <v>0</v>
      </c>
      <c r="BZ131" s="442">
        <f t="shared" si="190"/>
        <v>0</v>
      </c>
      <c r="CA131" s="442">
        <f t="shared" si="191"/>
        <v>0</v>
      </c>
      <c r="CB131" s="442">
        <f t="shared" si="192"/>
        <v>0</v>
      </c>
      <c r="CC131" s="443">
        <f t="shared" si="193"/>
        <v>0</v>
      </c>
      <c r="CE131" s="442">
        <f t="shared" si="194"/>
        <v>0</v>
      </c>
      <c r="CF131" s="442">
        <f t="shared" si="195"/>
        <v>0</v>
      </c>
      <c r="CG131" s="442">
        <f t="shared" si="196"/>
        <v>0</v>
      </c>
      <c r="CH131" s="442">
        <f t="shared" si="197"/>
        <v>0</v>
      </c>
      <c r="CI131" s="442">
        <f t="shared" si="198"/>
        <v>0</v>
      </c>
      <c r="CJ131" s="442">
        <f t="shared" si="199"/>
        <v>0</v>
      </c>
      <c r="CK131" s="442">
        <f t="shared" si="200"/>
        <v>0</v>
      </c>
      <c r="CL131" s="442">
        <f t="shared" si="201"/>
        <v>0</v>
      </c>
      <c r="CM131" s="442">
        <f t="shared" si="202"/>
        <v>0</v>
      </c>
      <c r="CN131" s="442">
        <f t="shared" si="203"/>
        <v>0</v>
      </c>
      <c r="CO131" s="443">
        <f t="shared" si="204"/>
        <v>0</v>
      </c>
      <c r="CQ131" s="442">
        <f t="shared" si="242"/>
        <v>0</v>
      </c>
      <c r="CR131" s="442">
        <f t="shared" si="243"/>
        <v>0</v>
      </c>
      <c r="CS131" s="442">
        <f t="shared" si="244"/>
        <v>0</v>
      </c>
      <c r="CT131" s="442">
        <f t="shared" si="245"/>
        <v>0</v>
      </c>
      <c r="CU131" s="442">
        <f t="shared" si="246"/>
        <v>0</v>
      </c>
      <c r="CV131" s="442">
        <f t="shared" si="247"/>
        <v>0</v>
      </c>
      <c r="CW131" s="442">
        <f t="shared" si="248"/>
        <v>0</v>
      </c>
      <c r="CX131" s="442">
        <f t="shared" si="249"/>
        <v>0</v>
      </c>
      <c r="CY131" s="442">
        <f t="shared" si="250"/>
        <v>0</v>
      </c>
      <c r="CZ131" s="442">
        <f t="shared" si="251"/>
        <v>0</v>
      </c>
      <c r="DA131" s="443">
        <f t="shared" si="205"/>
        <v>0</v>
      </c>
      <c r="DC131" s="442">
        <f t="shared" si="206"/>
        <v>0</v>
      </c>
      <c r="DD131" s="442">
        <f t="shared" si="207"/>
        <v>0</v>
      </c>
      <c r="DE131" s="442">
        <f t="shared" si="208"/>
        <v>0</v>
      </c>
      <c r="DF131" s="442">
        <f t="shared" si="209"/>
        <v>0</v>
      </c>
      <c r="DG131" s="442">
        <f t="shared" si="210"/>
        <v>0</v>
      </c>
      <c r="DH131" s="442">
        <f t="shared" si="211"/>
        <v>0</v>
      </c>
      <c r="DI131" s="442">
        <f t="shared" si="212"/>
        <v>0</v>
      </c>
      <c r="DJ131" s="442">
        <f t="shared" si="213"/>
        <v>0</v>
      </c>
      <c r="DK131" s="442">
        <f t="shared" si="214"/>
        <v>0</v>
      </c>
      <c r="DL131" s="442">
        <f t="shared" si="215"/>
        <v>0</v>
      </c>
      <c r="DM131" s="443">
        <f t="shared" si="216"/>
        <v>0</v>
      </c>
      <c r="DO131" s="442">
        <f t="shared" si="252"/>
        <v>0</v>
      </c>
      <c r="DP131" s="442">
        <f t="shared" si="252"/>
        <v>0</v>
      </c>
      <c r="DQ131" s="442">
        <f t="shared" si="252"/>
        <v>0</v>
      </c>
      <c r="DR131" s="442">
        <f t="shared" si="252"/>
        <v>0</v>
      </c>
      <c r="DS131" s="442">
        <f t="shared" si="252"/>
        <v>0</v>
      </c>
      <c r="DT131" s="442">
        <f t="shared" si="252"/>
        <v>0</v>
      </c>
      <c r="DU131" s="442">
        <f t="shared" si="252"/>
        <v>0</v>
      </c>
      <c r="DV131" s="442">
        <f t="shared" si="252"/>
        <v>0</v>
      </c>
      <c r="DW131" s="442">
        <f t="shared" si="252"/>
        <v>0</v>
      </c>
      <c r="DX131" s="442">
        <f t="shared" si="252"/>
        <v>0</v>
      </c>
      <c r="DY131" s="443">
        <f t="shared" si="218"/>
        <v>0</v>
      </c>
      <c r="EA131" s="442">
        <f t="shared" si="253"/>
        <v>0</v>
      </c>
      <c r="EB131" s="442">
        <f t="shared" si="253"/>
        <v>0</v>
      </c>
      <c r="EC131" s="442">
        <f t="shared" si="253"/>
        <v>0</v>
      </c>
      <c r="ED131" s="442">
        <f t="shared" si="253"/>
        <v>0</v>
      </c>
      <c r="EE131" s="442">
        <f t="shared" si="253"/>
        <v>0</v>
      </c>
      <c r="EF131" s="442">
        <f t="shared" si="253"/>
        <v>0</v>
      </c>
      <c r="EG131" s="442">
        <f t="shared" si="253"/>
        <v>0</v>
      </c>
      <c r="EH131" s="442">
        <f t="shared" si="253"/>
        <v>0</v>
      </c>
      <c r="EI131" s="442">
        <f t="shared" si="253"/>
        <v>0</v>
      </c>
      <c r="EJ131" s="442">
        <f t="shared" si="253"/>
        <v>0</v>
      </c>
      <c r="EK131" s="443">
        <f t="shared" si="220"/>
        <v>0</v>
      </c>
    </row>
    <row r="132" spans="2:141" s="268" customFormat="1" ht="15" customHeight="1" x14ac:dyDescent="0.25">
      <c r="B132" s="446" t="str">
        <f>'2. START'!C$7</f>
        <v>100GEM</v>
      </c>
      <c r="C132" s="469"/>
      <c r="D132" s="594"/>
      <c r="E132" s="522">
        <v>0</v>
      </c>
      <c r="F132" s="522" t="s">
        <v>36</v>
      </c>
      <c r="G132" s="522"/>
      <c r="H132" s="523"/>
      <c r="I132" s="523"/>
      <c r="J132" s="523"/>
      <c r="K132" s="523"/>
      <c r="L132" s="523"/>
      <c r="M132" s="523"/>
      <c r="N132" s="523"/>
      <c r="O132" s="523"/>
      <c r="P132" s="523"/>
      <c r="Q132" s="523"/>
      <c r="R132" s="459">
        <f t="shared" si="221"/>
        <v>0</v>
      </c>
      <c r="S132" s="524">
        <f>IF('2. START'!$C$20="UTB",(SUMIF('3. PARTNER'!B$13:B$80,B132,'3. PARTNER'!M$13:M$80)),(SUMIF('3. PARTNER'!B$13:B$80,B132,'3. PARTNER'!I$13:I$80)))</f>
        <v>0</v>
      </c>
      <c r="T132" s="524">
        <f>IF('2. START'!$C$20="UTB",(SUMIF('3. PARTNER'!B$13:B$80,B132,'3. PARTNER'!N$13:N$80)),(SUMIF('3. PARTNER'!B$13:B$80,B132,'3. PARTNER'!J$13:J$80)))</f>
        <v>0</v>
      </c>
      <c r="U132" s="454">
        <f>IF(F132="NO",0,IF('2. START'!C$13="PERSON+OPERATION",'2. START'!C$12,0)+IF('2. START'!C$13="PERSON+OPERATION+INVEST+FACILIT",'2. START'!C$12,0))</f>
        <v>0</v>
      </c>
      <c r="V132" s="463"/>
      <c r="W132" s="459">
        <f t="shared" si="222"/>
        <v>0</v>
      </c>
      <c r="X132" s="459">
        <f t="shared" si="223"/>
        <v>0</v>
      </c>
      <c r="Y132" s="459">
        <f t="shared" si="224"/>
        <v>0</v>
      </c>
      <c r="Z132" s="459">
        <f t="shared" si="225"/>
        <v>0</v>
      </c>
      <c r="AA132" s="459">
        <f t="shared" si="226"/>
        <v>0</v>
      </c>
      <c r="AB132" s="459">
        <f t="shared" si="227"/>
        <v>0</v>
      </c>
      <c r="AC132" s="459">
        <f t="shared" si="228"/>
        <v>0</v>
      </c>
      <c r="AD132" s="459">
        <f t="shared" si="229"/>
        <v>0</v>
      </c>
      <c r="AE132" s="459">
        <f t="shared" si="230"/>
        <v>0</v>
      </c>
      <c r="AF132" s="459">
        <f t="shared" si="231"/>
        <v>0</v>
      </c>
      <c r="AG132" s="460">
        <f t="shared" si="159"/>
        <v>0</v>
      </c>
      <c r="AH132" s="463"/>
      <c r="AI132" s="459">
        <f t="shared" si="232"/>
        <v>0</v>
      </c>
      <c r="AJ132" s="459">
        <f t="shared" si="233"/>
        <v>0</v>
      </c>
      <c r="AK132" s="459">
        <f t="shared" si="234"/>
        <v>0</v>
      </c>
      <c r="AL132" s="459">
        <f t="shared" si="235"/>
        <v>0</v>
      </c>
      <c r="AM132" s="459">
        <f t="shared" si="236"/>
        <v>0</v>
      </c>
      <c r="AN132" s="459">
        <f t="shared" si="237"/>
        <v>0</v>
      </c>
      <c r="AO132" s="459">
        <f t="shared" si="238"/>
        <v>0</v>
      </c>
      <c r="AP132" s="459">
        <f t="shared" si="239"/>
        <v>0</v>
      </c>
      <c r="AQ132" s="459">
        <f t="shared" si="240"/>
        <v>0</v>
      </c>
      <c r="AR132" s="459">
        <f t="shared" si="241"/>
        <v>0</v>
      </c>
      <c r="AS132" s="460">
        <f t="shared" si="160"/>
        <v>0</v>
      </c>
      <c r="AT132" s="463"/>
      <c r="AU132" s="459">
        <f t="shared" si="161"/>
        <v>0</v>
      </c>
      <c r="AV132" s="459">
        <f t="shared" si="162"/>
        <v>0</v>
      </c>
      <c r="AW132" s="459">
        <f t="shared" si="163"/>
        <v>0</v>
      </c>
      <c r="AX132" s="459">
        <f t="shared" si="164"/>
        <v>0</v>
      </c>
      <c r="AY132" s="459">
        <f t="shared" si="165"/>
        <v>0</v>
      </c>
      <c r="AZ132" s="459">
        <f t="shared" si="166"/>
        <v>0</v>
      </c>
      <c r="BA132" s="459">
        <f t="shared" si="167"/>
        <v>0</v>
      </c>
      <c r="BB132" s="459">
        <f t="shared" si="168"/>
        <v>0</v>
      </c>
      <c r="BC132" s="459">
        <f t="shared" si="169"/>
        <v>0</v>
      </c>
      <c r="BD132" s="459">
        <f t="shared" si="170"/>
        <v>0</v>
      </c>
      <c r="BE132" s="460">
        <f t="shared" si="171"/>
        <v>0</v>
      </c>
      <c r="BF132" s="463"/>
      <c r="BG132" s="459">
        <f t="shared" si="172"/>
        <v>0</v>
      </c>
      <c r="BH132" s="459">
        <f t="shared" si="173"/>
        <v>0</v>
      </c>
      <c r="BI132" s="459">
        <f t="shared" si="174"/>
        <v>0</v>
      </c>
      <c r="BJ132" s="459">
        <f t="shared" si="175"/>
        <v>0</v>
      </c>
      <c r="BK132" s="459">
        <f t="shared" si="176"/>
        <v>0</v>
      </c>
      <c r="BL132" s="459">
        <f t="shared" si="177"/>
        <v>0</v>
      </c>
      <c r="BM132" s="459">
        <f t="shared" si="178"/>
        <v>0</v>
      </c>
      <c r="BN132" s="459">
        <f t="shared" si="179"/>
        <v>0</v>
      </c>
      <c r="BO132" s="459">
        <f t="shared" si="180"/>
        <v>0</v>
      </c>
      <c r="BP132" s="459">
        <f t="shared" si="181"/>
        <v>0</v>
      </c>
      <c r="BQ132" s="460">
        <f t="shared" si="182"/>
        <v>0</v>
      </c>
      <c r="BR132" s="463"/>
      <c r="BS132" s="459">
        <f t="shared" si="183"/>
        <v>0</v>
      </c>
      <c r="BT132" s="459">
        <f t="shared" si="184"/>
        <v>0</v>
      </c>
      <c r="BU132" s="459">
        <f t="shared" si="185"/>
        <v>0</v>
      </c>
      <c r="BV132" s="459">
        <f t="shared" si="186"/>
        <v>0</v>
      </c>
      <c r="BW132" s="459">
        <f t="shared" si="187"/>
        <v>0</v>
      </c>
      <c r="BX132" s="459">
        <f t="shared" si="188"/>
        <v>0</v>
      </c>
      <c r="BY132" s="459">
        <f t="shared" si="189"/>
        <v>0</v>
      </c>
      <c r="BZ132" s="459">
        <f t="shared" si="190"/>
        <v>0</v>
      </c>
      <c r="CA132" s="459">
        <f t="shared" si="191"/>
        <v>0</v>
      </c>
      <c r="CB132" s="459">
        <f t="shared" si="192"/>
        <v>0</v>
      </c>
      <c r="CC132" s="460">
        <f t="shared" si="193"/>
        <v>0</v>
      </c>
      <c r="CD132" s="463"/>
      <c r="CE132" s="459">
        <f t="shared" si="194"/>
        <v>0</v>
      </c>
      <c r="CF132" s="459">
        <f t="shared" si="195"/>
        <v>0</v>
      </c>
      <c r="CG132" s="459">
        <f t="shared" si="196"/>
        <v>0</v>
      </c>
      <c r="CH132" s="459">
        <f t="shared" si="197"/>
        <v>0</v>
      </c>
      <c r="CI132" s="459">
        <f t="shared" si="198"/>
        <v>0</v>
      </c>
      <c r="CJ132" s="459">
        <f t="shared" si="199"/>
        <v>0</v>
      </c>
      <c r="CK132" s="459">
        <f t="shared" si="200"/>
        <v>0</v>
      </c>
      <c r="CL132" s="459">
        <f t="shared" si="201"/>
        <v>0</v>
      </c>
      <c r="CM132" s="459">
        <f t="shared" si="202"/>
        <v>0</v>
      </c>
      <c r="CN132" s="459">
        <f t="shared" si="203"/>
        <v>0</v>
      </c>
      <c r="CO132" s="460">
        <f t="shared" si="204"/>
        <v>0</v>
      </c>
      <c r="CP132" s="463"/>
      <c r="CQ132" s="459">
        <f t="shared" si="242"/>
        <v>0</v>
      </c>
      <c r="CR132" s="459">
        <f t="shared" si="243"/>
        <v>0</v>
      </c>
      <c r="CS132" s="459">
        <f t="shared" si="244"/>
        <v>0</v>
      </c>
      <c r="CT132" s="459">
        <f t="shared" si="245"/>
        <v>0</v>
      </c>
      <c r="CU132" s="459">
        <f t="shared" si="246"/>
        <v>0</v>
      </c>
      <c r="CV132" s="459">
        <f t="shared" si="247"/>
        <v>0</v>
      </c>
      <c r="CW132" s="459">
        <f t="shared" si="248"/>
        <v>0</v>
      </c>
      <c r="CX132" s="459">
        <f t="shared" si="249"/>
        <v>0</v>
      </c>
      <c r="CY132" s="459">
        <f t="shared" si="250"/>
        <v>0</v>
      </c>
      <c r="CZ132" s="459">
        <f t="shared" si="251"/>
        <v>0</v>
      </c>
      <c r="DA132" s="460">
        <f t="shared" si="205"/>
        <v>0</v>
      </c>
      <c r="DB132" s="463"/>
      <c r="DC132" s="459">
        <f t="shared" si="206"/>
        <v>0</v>
      </c>
      <c r="DD132" s="459">
        <f t="shared" si="207"/>
        <v>0</v>
      </c>
      <c r="DE132" s="459">
        <f t="shared" si="208"/>
        <v>0</v>
      </c>
      <c r="DF132" s="459">
        <f t="shared" si="209"/>
        <v>0</v>
      </c>
      <c r="DG132" s="459">
        <f t="shared" si="210"/>
        <v>0</v>
      </c>
      <c r="DH132" s="459">
        <f t="shared" si="211"/>
        <v>0</v>
      </c>
      <c r="DI132" s="459">
        <f t="shared" si="212"/>
        <v>0</v>
      </c>
      <c r="DJ132" s="459">
        <f t="shared" si="213"/>
        <v>0</v>
      </c>
      <c r="DK132" s="459">
        <f t="shared" si="214"/>
        <v>0</v>
      </c>
      <c r="DL132" s="459">
        <f t="shared" si="215"/>
        <v>0</v>
      </c>
      <c r="DM132" s="460">
        <f t="shared" si="216"/>
        <v>0</v>
      </c>
      <c r="DN132" s="463"/>
      <c r="DO132" s="459">
        <f t="shared" si="252"/>
        <v>0</v>
      </c>
      <c r="DP132" s="459">
        <f t="shared" si="252"/>
        <v>0</v>
      </c>
      <c r="DQ132" s="459">
        <f t="shared" si="252"/>
        <v>0</v>
      </c>
      <c r="DR132" s="459">
        <f t="shared" si="252"/>
        <v>0</v>
      </c>
      <c r="DS132" s="459">
        <f t="shared" si="252"/>
        <v>0</v>
      </c>
      <c r="DT132" s="459">
        <f t="shared" si="252"/>
        <v>0</v>
      </c>
      <c r="DU132" s="459">
        <f t="shared" si="252"/>
        <v>0</v>
      </c>
      <c r="DV132" s="459">
        <f t="shared" si="252"/>
        <v>0</v>
      </c>
      <c r="DW132" s="459">
        <f t="shared" si="252"/>
        <v>0</v>
      </c>
      <c r="DX132" s="459">
        <f t="shared" si="252"/>
        <v>0</v>
      </c>
      <c r="DY132" s="460">
        <f t="shared" si="218"/>
        <v>0</v>
      </c>
      <c r="DZ132" s="463"/>
      <c r="EA132" s="459">
        <f t="shared" si="253"/>
        <v>0</v>
      </c>
      <c r="EB132" s="459">
        <f t="shared" si="253"/>
        <v>0</v>
      </c>
      <c r="EC132" s="459">
        <f t="shared" si="253"/>
        <v>0</v>
      </c>
      <c r="ED132" s="459">
        <f t="shared" si="253"/>
        <v>0</v>
      </c>
      <c r="EE132" s="459">
        <f t="shared" si="253"/>
        <v>0</v>
      </c>
      <c r="EF132" s="459">
        <f t="shared" si="253"/>
        <v>0</v>
      </c>
      <c r="EG132" s="459">
        <f t="shared" si="253"/>
        <v>0</v>
      </c>
      <c r="EH132" s="459">
        <f t="shared" si="253"/>
        <v>0</v>
      </c>
      <c r="EI132" s="459">
        <f t="shared" si="253"/>
        <v>0</v>
      </c>
      <c r="EJ132" s="459">
        <f t="shared" si="253"/>
        <v>0</v>
      </c>
      <c r="EK132" s="460">
        <f t="shared" si="220"/>
        <v>0</v>
      </c>
    </row>
    <row r="133" spans="2:141" s="270" customFormat="1" ht="15" customHeight="1" x14ac:dyDescent="0.25">
      <c r="B133" s="464" t="str">
        <f>'2. START'!C$7</f>
        <v>100GEM</v>
      </c>
      <c r="C133" s="470"/>
      <c r="D133" s="593"/>
      <c r="E133" s="527">
        <v>0</v>
      </c>
      <c r="F133" s="527" t="s">
        <v>36</v>
      </c>
      <c r="G133" s="527"/>
      <c r="H133" s="515"/>
      <c r="I133" s="515"/>
      <c r="J133" s="515"/>
      <c r="K133" s="515"/>
      <c r="L133" s="515"/>
      <c r="M133" s="515"/>
      <c r="N133" s="515"/>
      <c r="O133" s="515"/>
      <c r="P133" s="515"/>
      <c r="Q133" s="515"/>
      <c r="R133" s="442">
        <f t="shared" si="221"/>
        <v>0</v>
      </c>
      <c r="S133" s="516">
        <f>IF('2. START'!$C$20="UTB",(SUMIF('3. PARTNER'!B$13:B$80,B133,'3. PARTNER'!M$13:M$80)),(SUMIF('3. PARTNER'!B$13:B$80,B133,'3. PARTNER'!I$13:I$80)))</f>
        <v>0</v>
      </c>
      <c r="T133" s="516">
        <f>IF('2. START'!$C$20="UTB",(SUMIF('3. PARTNER'!B$13:B$80,B133,'3. PARTNER'!N$13:N$80)),(SUMIF('3. PARTNER'!B$13:B$80,B133,'3. PARTNER'!J$13:J$80)))</f>
        <v>0</v>
      </c>
      <c r="U133" s="517">
        <f>IF(F133="NO",0,IF('2. START'!C$13="PERSON+OPERATION",'2. START'!C$12,0)+IF('2. START'!C$13="PERSON+OPERATION+INVEST+FACILIT",'2. START'!C$12,0))</f>
        <v>0</v>
      </c>
      <c r="W133" s="442">
        <f t="shared" si="222"/>
        <v>0</v>
      </c>
      <c r="X133" s="442">
        <f t="shared" si="223"/>
        <v>0</v>
      </c>
      <c r="Y133" s="442">
        <f t="shared" si="224"/>
        <v>0</v>
      </c>
      <c r="Z133" s="442">
        <f t="shared" si="225"/>
        <v>0</v>
      </c>
      <c r="AA133" s="442">
        <f t="shared" si="226"/>
        <v>0</v>
      </c>
      <c r="AB133" s="442">
        <f t="shared" si="227"/>
        <v>0</v>
      </c>
      <c r="AC133" s="442">
        <f t="shared" si="228"/>
        <v>0</v>
      </c>
      <c r="AD133" s="442">
        <f t="shared" si="229"/>
        <v>0</v>
      </c>
      <c r="AE133" s="442">
        <f t="shared" si="230"/>
        <v>0</v>
      </c>
      <c r="AF133" s="442">
        <f t="shared" si="231"/>
        <v>0</v>
      </c>
      <c r="AG133" s="443">
        <f t="shared" si="159"/>
        <v>0</v>
      </c>
      <c r="AI133" s="442">
        <f t="shared" si="232"/>
        <v>0</v>
      </c>
      <c r="AJ133" s="442">
        <f t="shared" si="233"/>
        <v>0</v>
      </c>
      <c r="AK133" s="442">
        <f t="shared" si="234"/>
        <v>0</v>
      </c>
      <c r="AL133" s="442">
        <f t="shared" si="235"/>
        <v>0</v>
      </c>
      <c r="AM133" s="442">
        <f t="shared" si="236"/>
        <v>0</v>
      </c>
      <c r="AN133" s="442">
        <f t="shared" si="237"/>
        <v>0</v>
      </c>
      <c r="AO133" s="442">
        <f t="shared" si="238"/>
        <v>0</v>
      </c>
      <c r="AP133" s="442">
        <f t="shared" si="239"/>
        <v>0</v>
      </c>
      <c r="AQ133" s="442">
        <f t="shared" si="240"/>
        <v>0</v>
      </c>
      <c r="AR133" s="442">
        <f t="shared" si="241"/>
        <v>0</v>
      </c>
      <c r="AS133" s="443">
        <f t="shared" si="160"/>
        <v>0</v>
      </c>
      <c r="AU133" s="442">
        <f t="shared" si="161"/>
        <v>0</v>
      </c>
      <c r="AV133" s="442">
        <f t="shared" si="162"/>
        <v>0</v>
      </c>
      <c r="AW133" s="442">
        <f t="shared" si="163"/>
        <v>0</v>
      </c>
      <c r="AX133" s="442">
        <f t="shared" si="164"/>
        <v>0</v>
      </c>
      <c r="AY133" s="442">
        <f t="shared" si="165"/>
        <v>0</v>
      </c>
      <c r="AZ133" s="442">
        <f t="shared" si="166"/>
        <v>0</v>
      </c>
      <c r="BA133" s="442">
        <f t="shared" si="167"/>
        <v>0</v>
      </c>
      <c r="BB133" s="442">
        <f t="shared" si="168"/>
        <v>0</v>
      </c>
      <c r="BC133" s="442">
        <f t="shared" si="169"/>
        <v>0</v>
      </c>
      <c r="BD133" s="442">
        <f t="shared" si="170"/>
        <v>0</v>
      </c>
      <c r="BE133" s="443">
        <f t="shared" si="171"/>
        <v>0</v>
      </c>
      <c r="BG133" s="442">
        <f t="shared" si="172"/>
        <v>0</v>
      </c>
      <c r="BH133" s="442">
        <f t="shared" si="173"/>
        <v>0</v>
      </c>
      <c r="BI133" s="442">
        <f t="shared" si="174"/>
        <v>0</v>
      </c>
      <c r="BJ133" s="442">
        <f t="shared" si="175"/>
        <v>0</v>
      </c>
      <c r="BK133" s="442">
        <f t="shared" si="176"/>
        <v>0</v>
      </c>
      <c r="BL133" s="442">
        <f t="shared" si="177"/>
        <v>0</v>
      </c>
      <c r="BM133" s="442">
        <f t="shared" si="178"/>
        <v>0</v>
      </c>
      <c r="BN133" s="442">
        <f t="shared" si="179"/>
        <v>0</v>
      </c>
      <c r="BO133" s="442">
        <f t="shared" si="180"/>
        <v>0</v>
      </c>
      <c r="BP133" s="442">
        <f t="shared" si="181"/>
        <v>0</v>
      </c>
      <c r="BQ133" s="443">
        <f t="shared" si="182"/>
        <v>0</v>
      </c>
      <c r="BS133" s="442">
        <f t="shared" si="183"/>
        <v>0</v>
      </c>
      <c r="BT133" s="442">
        <f t="shared" si="184"/>
        <v>0</v>
      </c>
      <c r="BU133" s="442">
        <f t="shared" si="185"/>
        <v>0</v>
      </c>
      <c r="BV133" s="442">
        <f t="shared" si="186"/>
        <v>0</v>
      </c>
      <c r="BW133" s="442">
        <f t="shared" si="187"/>
        <v>0</v>
      </c>
      <c r="BX133" s="442">
        <f t="shared" si="188"/>
        <v>0</v>
      </c>
      <c r="BY133" s="442">
        <f t="shared" si="189"/>
        <v>0</v>
      </c>
      <c r="BZ133" s="442">
        <f t="shared" si="190"/>
        <v>0</v>
      </c>
      <c r="CA133" s="442">
        <f t="shared" si="191"/>
        <v>0</v>
      </c>
      <c r="CB133" s="442">
        <f t="shared" si="192"/>
        <v>0</v>
      </c>
      <c r="CC133" s="443">
        <f t="shared" si="193"/>
        <v>0</v>
      </c>
      <c r="CE133" s="442">
        <f t="shared" si="194"/>
        <v>0</v>
      </c>
      <c r="CF133" s="442">
        <f t="shared" si="195"/>
        <v>0</v>
      </c>
      <c r="CG133" s="442">
        <f t="shared" si="196"/>
        <v>0</v>
      </c>
      <c r="CH133" s="442">
        <f t="shared" si="197"/>
        <v>0</v>
      </c>
      <c r="CI133" s="442">
        <f t="shared" si="198"/>
        <v>0</v>
      </c>
      <c r="CJ133" s="442">
        <f t="shared" si="199"/>
        <v>0</v>
      </c>
      <c r="CK133" s="442">
        <f t="shared" si="200"/>
        <v>0</v>
      </c>
      <c r="CL133" s="442">
        <f t="shared" si="201"/>
        <v>0</v>
      </c>
      <c r="CM133" s="442">
        <f t="shared" si="202"/>
        <v>0</v>
      </c>
      <c r="CN133" s="442">
        <f t="shared" si="203"/>
        <v>0</v>
      </c>
      <c r="CO133" s="443">
        <f t="shared" si="204"/>
        <v>0</v>
      </c>
      <c r="CQ133" s="442">
        <f t="shared" si="242"/>
        <v>0</v>
      </c>
      <c r="CR133" s="442">
        <f t="shared" si="243"/>
        <v>0</v>
      </c>
      <c r="CS133" s="442">
        <f t="shared" si="244"/>
        <v>0</v>
      </c>
      <c r="CT133" s="442">
        <f t="shared" si="245"/>
        <v>0</v>
      </c>
      <c r="CU133" s="442">
        <f t="shared" si="246"/>
        <v>0</v>
      </c>
      <c r="CV133" s="442">
        <f t="shared" si="247"/>
        <v>0</v>
      </c>
      <c r="CW133" s="442">
        <f t="shared" si="248"/>
        <v>0</v>
      </c>
      <c r="CX133" s="442">
        <f t="shared" si="249"/>
        <v>0</v>
      </c>
      <c r="CY133" s="442">
        <f t="shared" si="250"/>
        <v>0</v>
      </c>
      <c r="CZ133" s="442">
        <f t="shared" si="251"/>
        <v>0</v>
      </c>
      <c r="DA133" s="443">
        <f t="shared" si="205"/>
        <v>0</v>
      </c>
      <c r="DC133" s="442">
        <f t="shared" si="206"/>
        <v>0</v>
      </c>
      <c r="DD133" s="442">
        <f t="shared" si="207"/>
        <v>0</v>
      </c>
      <c r="DE133" s="442">
        <f t="shared" si="208"/>
        <v>0</v>
      </c>
      <c r="DF133" s="442">
        <f t="shared" si="209"/>
        <v>0</v>
      </c>
      <c r="DG133" s="442">
        <f t="shared" si="210"/>
        <v>0</v>
      </c>
      <c r="DH133" s="442">
        <f t="shared" si="211"/>
        <v>0</v>
      </c>
      <c r="DI133" s="442">
        <f t="shared" si="212"/>
        <v>0</v>
      </c>
      <c r="DJ133" s="442">
        <f t="shared" si="213"/>
        <v>0</v>
      </c>
      <c r="DK133" s="442">
        <f t="shared" si="214"/>
        <v>0</v>
      </c>
      <c r="DL133" s="442">
        <f t="shared" si="215"/>
        <v>0</v>
      </c>
      <c r="DM133" s="443">
        <f t="shared" si="216"/>
        <v>0</v>
      </c>
      <c r="DO133" s="442">
        <f t="shared" si="252"/>
        <v>0</v>
      </c>
      <c r="DP133" s="442">
        <f t="shared" si="252"/>
        <v>0</v>
      </c>
      <c r="DQ133" s="442">
        <f t="shared" si="252"/>
        <v>0</v>
      </c>
      <c r="DR133" s="442">
        <f t="shared" si="252"/>
        <v>0</v>
      </c>
      <c r="DS133" s="442">
        <f t="shared" si="252"/>
        <v>0</v>
      </c>
      <c r="DT133" s="442">
        <f t="shared" si="252"/>
        <v>0</v>
      </c>
      <c r="DU133" s="442">
        <f t="shared" si="252"/>
        <v>0</v>
      </c>
      <c r="DV133" s="442">
        <f t="shared" si="252"/>
        <v>0</v>
      </c>
      <c r="DW133" s="442">
        <f t="shared" si="252"/>
        <v>0</v>
      </c>
      <c r="DX133" s="442">
        <f t="shared" si="252"/>
        <v>0</v>
      </c>
      <c r="DY133" s="443">
        <f t="shared" si="218"/>
        <v>0</v>
      </c>
      <c r="EA133" s="442">
        <f t="shared" si="253"/>
        <v>0</v>
      </c>
      <c r="EB133" s="442">
        <f t="shared" si="253"/>
        <v>0</v>
      </c>
      <c r="EC133" s="442">
        <f t="shared" si="253"/>
        <v>0</v>
      </c>
      <c r="ED133" s="442">
        <f t="shared" si="253"/>
        <v>0</v>
      </c>
      <c r="EE133" s="442">
        <f t="shared" si="253"/>
        <v>0</v>
      </c>
      <c r="EF133" s="442">
        <f t="shared" si="253"/>
        <v>0</v>
      </c>
      <c r="EG133" s="442">
        <f t="shared" si="253"/>
        <v>0</v>
      </c>
      <c r="EH133" s="442">
        <f t="shared" si="253"/>
        <v>0</v>
      </c>
      <c r="EI133" s="442">
        <f t="shared" si="253"/>
        <v>0</v>
      </c>
      <c r="EJ133" s="442">
        <f t="shared" si="253"/>
        <v>0</v>
      </c>
      <c r="EK133" s="443">
        <f t="shared" si="220"/>
        <v>0</v>
      </c>
    </row>
    <row r="134" spans="2:141" s="268" customFormat="1" ht="15" customHeight="1" x14ac:dyDescent="0.25">
      <c r="B134" s="446" t="str">
        <f>'2. START'!C$7</f>
        <v>100GEM</v>
      </c>
      <c r="C134" s="469"/>
      <c r="D134" s="594"/>
      <c r="E134" s="522">
        <v>0</v>
      </c>
      <c r="F134" s="522" t="s">
        <v>36</v>
      </c>
      <c r="G134" s="522"/>
      <c r="H134" s="523"/>
      <c r="I134" s="523"/>
      <c r="J134" s="523"/>
      <c r="K134" s="523"/>
      <c r="L134" s="523"/>
      <c r="M134" s="523"/>
      <c r="N134" s="523"/>
      <c r="O134" s="523"/>
      <c r="P134" s="523"/>
      <c r="Q134" s="523"/>
      <c r="R134" s="459">
        <f t="shared" si="221"/>
        <v>0</v>
      </c>
      <c r="S134" s="524">
        <f>IF('2. START'!$C$20="UTB",(SUMIF('3. PARTNER'!B$13:B$80,B134,'3. PARTNER'!M$13:M$80)),(SUMIF('3. PARTNER'!B$13:B$80,B134,'3. PARTNER'!I$13:I$80)))</f>
        <v>0</v>
      </c>
      <c r="T134" s="524">
        <f>IF('2. START'!$C$20="UTB",(SUMIF('3. PARTNER'!B$13:B$80,B134,'3. PARTNER'!N$13:N$80)),(SUMIF('3. PARTNER'!B$13:B$80,B134,'3. PARTNER'!J$13:J$80)))</f>
        <v>0</v>
      </c>
      <c r="U134" s="454">
        <f>IF(F134="NO",0,IF('2. START'!C$13="PERSON+OPERATION",'2. START'!C$12,0)+IF('2. START'!C$13="PERSON+OPERATION+INVEST+FACILIT",'2. START'!C$12,0))</f>
        <v>0</v>
      </c>
      <c r="V134" s="463"/>
      <c r="W134" s="459">
        <f t="shared" si="222"/>
        <v>0</v>
      </c>
      <c r="X134" s="459">
        <f t="shared" si="223"/>
        <v>0</v>
      </c>
      <c r="Y134" s="459">
        <f t="shared" si="224"/>
        <v>0</v>
      </c>
      <c r="Z134" s="459">
        <f t="shared" si="225"/>
        <v>0</v>
      </c>
      <c r="AA134" s="459">
        <f t="shared" si="226"/>
        <v>0</v>
      </c>
      <c r="AB134" s="459">
        <f t="shared" si="227"/>
        <v>0</v>
      </c>
      <c r="AC134" s="459">
        <f t="shared" si="228"/>
        <v>0</v>
      </c>
      <c r="AD134" s="459">
        <f t="shared" si="229"/>
        <v>0</v>
      </c>
      <c r="AE134" s="459">
        <f t="shared" si="230"/>
        <v>0</v>
      </c>
      <c r="AF134" s="459">
        <f t="shared" si="231"/>
        <v>0</v>
      </c>
      <c r="AG134" s="460">
        <f t="shared" si="159"/>
        <v>0</v>
      </c>
      <c r="AH134" s="463"/>
      <c r="AI134" s="459">
        <f t="shared" si="232"/>
        <v>0</v>
      </c>
      <c r="AJ134" s="459">
        <f t="shared" si="233"/>
        <v>0</v>
      </c>
      <c r="AK134" s="459">
        <f t="shared" si="234"/>
        <v>0</v>
      </c>
      <c r="AL134" s="459">
        <f t="shared" si="235"/>
        <v>0</v>
      </c>
      <c r="AM134" s="459">
        <f t="shared" si="236"/>
        <v>0</v>
      </c>
      <c r="AN134" s="459">
        <f t="shared" si="237"/>
        <v>0</v>
      </c>
      <c r="AO134" s="459">
        <f t="shared" si="238"/>
        <v>0</v>
      </c>
      <c r="AP134" s="459">
        <f t="shared" si="239"/>
        <v>0</v>
      </c>
      <c r="AQ134" s="459">
        <f t="shared" si="240"/>
        <v>0</v>
      </c>
      <c r="AR134" s="459">
        <f t="shared" si="241"/>
        <v>0</v>
      </c>
      <c r="AS134" s="460">
        <f t="shared" si="160"/>
        <v>0</v>
      </c>
      <c r="AT134" s="463"/>
      <c r="AU134" s="459">
        <f t="shared" si="161"/>
        <v>0</v>
      </c>
      <c r="AV134" s="459">
        <f t="shared" si="162"/>
        <v>0</v>
      </c>
      <c r="AW134" s="459">
        <f t="shared" si="163"/>
        <v>0</v>
      </c>
      <c r="AX134" s="459">
        <f t="shared" si="164"/>
        <v>0</v>
      </c>
      <c r="AY134" s="459">
        <f t="shared" si="165"/>
        <v>0</v>
      </c>
      <c r="AZ134" s="459">
        <f t="shared" si="166"/>
        <v>0</v>
      </c>
      <c r="BA134" s="459">
        <f t="shared" si="167"/>
        <v>0</v>
      </c>
      <c r="BB134" s="459">
        <f t="shared" si="168"/>
        <v>0</v>
      </c>
      <c r="BC134" s="459">
        <f t="shared" si="169"/>
        <v>0</v>
      </c>
      <c r="BD134" s="459">
        <f t="shared" si="170"/>
        <v>0</v>
      </c>
      <c r="BE134" s="460">
        <f t="shared" si="171"/>
        <v>0</v>
      </c>
      <c r="BF134" s="463"/>
      <c r="BG134" s="459">
        <f t="shared" si="172"/>
        <v>0</v>
      </c>
      <c r="BH134" s="459">
        <f t="shared" si="173"/>
        <v>0</v>
      </c>
      <c r="BI134" s="459">
        <f t="shared" si="174"/>
        <v>0</v>
      </c>
      <c r="BJ134" s="459">
        <f t="shared" si="175"/>
        <v>0</v>
      </c>
      <c r="BK134" s="459">
        <f t="shared" si="176"/>
        <v>0</v>
      </c>
      <c r="BL134" s="459">
        <f t="shared" si="177"/>
        <v>0</v>
      </c>
      <c r="BM134" s="459">
        <f t="shared" si="178"/>
        <v>0</v>
      </c>
      <c r="BN134" s="459">
        <f t="shared" si="179"/>
        <v>0</v>
      </c>
      <c r="BO134" s="459">
        <f t="shared" si="180"/>
        <v>0</v>
      </c>
      <c r="BP134" s="459">
        <f t="shared" si="181"/>
        <v>0</v>
      </c>
      <c r="BQ134" s="460">
        <f t="shared" si="182"/>
        <v>0</v>
      </c>
      <c r="BR134" s="463"/>
      <c r="BS134" s="459">
        <f t="shared" si="183"/>
        <v>0</v>
      </c>
      <c r="BT134" s="459">
        <f t="shared" si="184"/>
        <v>0</v>
      </c>
      <c r="BU134" s="459">
        <f t="shared" si="185"/>
        <v>0</v>
      </c>
      <c r="BV134" s="459">
        <f t="shared" si="186"/>
        <v>0</v>
      </c>
      <c r="BW134" s="459">
        <f t="shared" si="187"/>
        <v>0</v>
      </c>
      <c r="BX134" s="459">
        <f t="shared" si="188"/>
        <v>0</v>
      </c>
      <c r="BY134" s="459">
        <f t="shared" si="189"/>
        <v>0</v>
      </c>
      <c r="BZ134" s="459">
        <f t="shared" si="190"/>
        <v>0</v>
      </c>
      <c r="CA134" s="459">
        <f t="shared" si="191"/>
        <v>0</v>
      </c>
      <c r="CB134" s="459">
        <f t="shared" si="192"/>
        <v>0</v>
      </c>
      <c r="CC134" s="460">
        <f t="shared" si="193"/>
        <v>0</v>
      </c>
      <c r="CD134" s="463"/>
      <c r="CE134" s="459">
        <f t="shared" si="194"/>
        <v>0</v>
      </c>
      <c r="CF134" s="459">
        <f t="shared" si="195"/>
        <v>0</v>
      </c>
      <c r="CG134" s="459">
        <f t="shared" si="196"/>
        <v>0</v>
      </c>
      <c r="CH134" s="459">
        <f t="shared" si="197"/>
        <v>0</v>
      </c>
      <c r="CI134" s="459">
        <f t="shared" si="198"/>
        <v>0</v>
      </c>
      <c r="CJ134" s="459">
        <f t="shared" si="199"/>
        <v>0</v>
      </c>
      <c r="CK134" s="459">
        <f t="shared" si="200"/>
        <v>0</v>
      </c>
      <c r="CL134" s="459">
        <f t="shared" si="201"/>
        <v>0</v>
      </c>
      <c r="CM134" s="459">
        <f t="shared" si="202"/>
        <v>0</v>
      </c>
      <c r="CN134" s="459">
        <f t="shared" si="203"/>
        <v>0</v>
      </c>
      <c r="CO134" s="460">
        <f t="shared" si="204"/>
        <v>0</v>
      </c>
      <c r="CP134" s="463"/>
      <c r="CQ134" s="459">
        <f t="shared" si="242"/>
        <v>0</v>
      </c>
      <c r="CR134" s="459">
        <f t="shared" si="243"/>
        <v>0</v>
      </c>
      <c r="CS134" s="459">
        <f t="shared" si="244"/>
        <v>0</v>
      </c>
      <c r="CT134" s="459">
        <f t="shared" si="245"/>
        <v>0</v>
      </c>
      <c r="CU134" s="459">
        <f t="shared" si="246"/>
        <v>0</v>
      </c>
      <c r="CV134" s="459">
        <f t="shared" si="247"/>
        <v>0</v>
      </c>
      <c r="CW134" s="459">
        <f t="shared" si="248"/>
        <v>0</v>
      </c>
      <c r="CX134" s="459">
        <f t="shared" si="249"/>
        <v>0</v>
      </c>
      <c r="CY134" s="459">
        <f t="shared" si="250"/>
        <v>0</v>
      </c>
      <c r="CZ134" s="459">
        <f t="shared" si="251"/>
        <v>0</v>
      </c>
      <c r="DA134" s="460">
        <f t="shared" si="205"/>
        <v>0</v>
      </c>
      <c r="DB134" s="463"/>
      <c r="DC134" s="459">
        <f t="shared" si="206"/>
        <v>0</v>
      </c>
      <c r="DD134" s="459">
        <f t="shared" si="207"/>
        <v>0</v>
      </c>
      <c r="DE134" s="459">
        <f t="shared" si="208"/>
        <v>0</v>
      </c>
      <c r="DF134" s="459">
        <f t="shared" si="209"/>
        <v>0</v>
      </c>
      <c r="DG134" s="459">
        <f t="shared" si="210"/>
        <v>0</v>
      </c>
      <c r="DH134" s="459">
        <f t="shared" si="211"/>
        <v>0</v>
      </c>
      <c r="DI134" s="459">
        <f t="shared" si="212"/>
        <v>0</v>
      </c>
      <c r="DJ134" s="459">
        <f t="shared" si="213"/>
        <v>0</v>
      </c>
      <c r="DK134" s="459">
        <f t="shared" si="214"/>
        <v>0</v>
      </c>
      <c r="DL134" s="459">
        <f t="shared" si="215"/>
        <v>0</v>
      </c>
      <c r="DM134" s="460">
        <f t="shared" si="216"/>
        <v>0</v>
      </c>
      <c r="DN134" s="463"/>
      <c r="DO134" s="459">
        <f t="shared" si="252"/>
        <v>0</v>
      </c>
      <c r="DP134" s="459">
        <f t="shared" si="252"/>
        <v>0</v>
      </c>
      <c r="DQ134" s="459">
        <f t="shared" si="252"/>
        <v>0</v>
      </c>
      <c r="DR134" s="459">
        <f t="shared" si="252"/>
        <v>0</v>
      </c>
      <c r="DS134" s="459">
        <f t="shared" si="252"/>
        <v>0</v>
      </c>
      <c r="DT134" s="459">
        <f t="shared" si="252"/>
        <v>0</v>
      </c>
      <c r="DU134" s="459">
        <f t="shared" si="252"/>
        <v>0</v>
      </c>
      <c r="DV134" s="459">
        <f t="shared" si="252"/>
        <v>0</v>
      </c>
      <c r="DW134" s="459">
        <f t="shared" si="252"/>
        <v>0</v>
      </c>
      <c r="DX134" s="459">
        <f t="shared" si="252"/>
        <v>0</v>
      </c>
      <c r="DY134" s="460">
        <f t="shared" si="218"/>
        <v>0</v>
      </c>
      <c r="DZ134" s="463"/>
      <c r="EA134" s="459">
        <f t="shared" si="253"/>
        <v>0</v>
      </c>
      <c r="EB134" s="459">
        <f t="shared" si="253"/>
        <v>0</v>
      </c>
      <c r="EC134" s="459">
        <f t="shared" si="253"/>
        <v>0</v>
      </c>
      <c r="ED134" s="459">
        <f t="shared" si="253"/>
        <v>0</v>
      </c>
      <c r="EE134" s="459">
        <f t="shared" si="253"/>
        <v>0</v>
      </c>
      <c r="EF134" s="459">
        <f t="shared" si="253"/>
        <v>0</v>
      </c>
      <c r="EG134" s="459">
        <f t="shared" si="253"/>
        <v>0</v>
      </c>
      <c r="EH134" s="459">
        <f t="shared" si="253"/>
        <v>0</v>
      </c>
      <c r="EI134" s="459">
        <f t="shared" si="253"/>
        <v>0</v>
      </c>
      <c r="EJ134" s="459">
        <f t="shared" si="253"/>
        <v>0</v>
      </c>
      <c r="EK134" s="460">
        <f t="shared" si="220"/>
        <v>0</v>
      </c>
    </row>
    <row r="135" spans="2:141" s="270" customFormat="1" ht="15" customHeight="1" x14ac:dyDescent="0.25">
      <c r="B135" s="464" t="str">
        <f>'2. START'!C$7</f>
        <v>100GEM</v>
      </c>
      <c r="C135" s="470"/>
      <c r="D135" s="593"/>
      <c r="E135" s="527">
        <v>0</v>
      </c>
      <c r="F135" s="527" t="s">
        <v>36</v>
      </c>
      <c r="G135" s="527"/>
      <c r="H135" s="515"/>
      <c r="I135" s="515"/>
      <c r="J135" s="515"/>
      <c r="K135" s="515"/>
      <c r="L135" s="515"/>
      <c r="M135" s="515"/>
      <c r="N135" s="515"/>
      <c r="O135" s="515"/>
      <c r="P135" s="515"/>
      <c r="Q135" s="515"/>
      <c r="R135" s="442">
        <f t="shared" si="221"/>
        <v>0</v>
      </c>
      <c r="S135" s="516">
        <f>IF('2. START'!$C$20="UTB",(SUMIF('3. PARTNER'!B$13:B$80,B135,'3. PARTNER'!M$13:M$80)),(SUMIF('3. PARTNER'!B$13:B$80,B135,'3. PARTNER'!I$13:I$80)))</f>
        <v>0</v>
      </c>
      <c r="T135" s="516">
        <f>IF('2. START'!$C$20="UTB",(SUMIF('3. PARTNER'!B$13:B$80,B135,'3. PARTNER'!N$13:N$80)),(SUMIF('3. PARTNER'!B$13:B$80,B135,'3. PARTNER'!J$13:J$80)))</f>
        <v>0</v>
      </c>
      <c r="U135" s="517">
        <f>IF(F135="NO",0,IF('2. START'!C$13="PERSON+OPERATION",'2. START'!C$12,0)+IF('2. START'!C$13="PERSON+OPERATION+INVEST+FACILIT",'2. START'!C$12,0))</f>
        <v>0</v>
      </c>
      <c r="W135" s="442">
        <f t="shared" si="222"/>
        <v>0</v>
      </c>
      <c r="X135" s="442">
        <f t="shared" si="223"/>
        <v>0</v>
      </c>
      <c r="Y135" s="442">
        <f t="shared" si="224"/>
        <v>0</v>
      </c>
      <c r="Z135" s="442">
        <f t="shared" si="225"/>
        <v>0</v>
      </c>
      <c r="AA135" s="442">
        <f t="shared" si="226"/>
        <v>0</v>
      </c>
      <c r="AB135" s="442">
        <f t="shared" si="227"/>
        <v>0</v>
      </c>
      <c r="AC135" s="442">
        <f t="shared" si="228"/>
        <v>0</v>
      </c>
      <c r="AD135" s="442">
        <f t="shared" si="229"/>
        <v>0</v>
      </c>
      <c r="AE135" s="442">
        <f t="shared" si="230"/>
        <v>0</v>
      </c>
      <c r="AF135" s="442">
        <f t="shared" si="231"/>
        <v>0</v>
      </c>
      <c r="AG135" s="443">
        <f t="shared" si="159"/>
        <v>0</v>
      </c>
      <c r="AI135" s="442">
        <f t="shared" si="232"/>
        <v>0</v>
      </c>
      <c r="AJ135" s="442">
        <f t="shared" si="233"/>
        <v>0</v>
      </c>
      <c r="AK135" s="442">
        <f t="shared" si="234"/>
        <v>0</v>
      </c>
      <c r="AL135" s="442">
        <f t="shared" si="235"/>
        <v>0</v>
      </c>
      <c r="AM135" s="442">
        <f t="shared" si="236"/>
        <v>0</v>
      </c>
      <c r="AN135" s="442">
        <f t="shared" si="237"/>
        <v>0</v>
      </c>
      <c r="AO135" s="442">
        <f t="shared" si="238"/>
        <v>0</v>
      </c>
      <c r="AP135" s="442">
        <f t="shared" si="239"/>
        <v>0</v>
      </c>
      <c r="AQ135" s="442">
        <f t="shared" si="240"/>
        <v>0</v>
      </c>
      <c r="AR135" s="442">
        <f t="shared" si="241"/>
        <v>0</v>
      </c>
      <c r="AS135" s="443">
        <f t="shared" si="160"/>
        <v>0</v>
      </c>
      <c r="AU135" s="442">
        <f t="shared" si="161"/>
        <v>0</v>
      </c>
      <c r="AV135" s="442">
        <f t="shared" si="162"/>
        <v>0</v>
      </c>
      <c r="AW135" s="442">
        <f t="shared" si="163"/>
        <v>0</v>
      </c>
      <c r="AX135" s="442">
        <f t="shared" si="164"/>
        <v>0</v>
      </c>
      <c r="AY135" s="442">
        <f t="shared" si="165"/>
        <v>0</v>
      </c>
      <c r="AZ135" s="442">
        <f t="shared" si="166"/>
        <v>0</v>
      </c>
      <c r="BA135" s="442">
        <f t="shared" si="167"/>
        <v>0</v>
      </c>
      <c r="BB135" s="442">
        <f t="shared" si="168"/>
        <v>0</v>
      </c>
      <c r="BC135" s="442">
        <f t="shared" si="169"/>
        <v>0</v>
      </c>
      <c r="BD135" s="442">
        <f t="shared" si="170"/>
        <v>0</v>
      </c>
      <c r="BE135" s="443">
        <f t="shared" si="171"/>
        <v>0</v>
      </c>
      <c r="BG135" s="442">
        <f t="shared" si="172"/>
        <v>0</v>
      </c>
      <c r="BH135" s="442">
        <f t="shared" si="173"/>
        <v>0</v>
      </c>
      <c r="BI135" s="442">
        <f t="shared" si="174"/>
        <v>0</v>
      </c>
      <c r="BJ135" s="442">
        <f t="shared" si="175"/>
        <v>0</v>
      </c>
      <c r="BK135" s="442">
        <f t="shared" si="176"/>
        <v>0</v>
      </c>
      <c r="BL135" s="442">
        <f t="shared" si="177"/>
        <v>0</v>
      </c>
      <c r="BM135" s="442">
        <f t="shared" si="178"/>
        <v>0</v>
      </c>
      <c r="BN135" s="442">
        <f t="shared" si="179"/>
        <v>0</v>
      </c>
      <c r="BO135" s="442">
        <f t="shared" si="180"/>
        <v>0</v>
      </c>
      <c r="BP135" s="442">
        <f t="shared" si="181"/>
        <v>0</v>
      </c>
      <c r="BQ135" s="443">
        <f t="shared" si="182"/>
        <v>0</v>
      </c>
      <c r="BS135" s="442">
        <f t="shared" si="183"/>
        <v>0</v>
      </c>
      <c r="BT135" s="442">
        <f t="shared" si="184"/>
        <v>0</v>
      </c>
      <c r="BU135" s="442">
        <f t="shared" si="185"/>
        <v>0</v>
      </c>
      <c r="BV135" s="442">
        <f t="shared" si="186"/>
        <v>0</v>
      </c>
      <c r="BW135" s="442">
        <f t="shared" si="187"/>
        <v>0</v>
      </c>
      <c r="BX135" s="442">
        <f t="shared" si="188"/>
        <v>0</v>
      </c>
      <c r="BY135" s="442">
        <f t="shared" si="189"/>
        <v>0</v>
      </c>
      <c r="BZ135" s="442">
        <f t="shared" si="190"/>
        <v>0</v>
      </c>
      <c r="CA135" s="442">
        <f t="shared" si="191"/>
        <v>0</v>
      </c>
      <c r="CB135" s="442">
        <f t="shared" si="192"/>
        <v>0</v>
      </c>
      <c r="CC135" s="443">
        <f t="shared" si="193"/>
        <v>0</v>
      </c>
      <c r="CE135" s="442">
        <f t="shared" si="194"/>
        <v>0</v>
      </c>
      <c r="CF135" s="442">
        <f t="shared" si="195"/>
        <v>0</v>
      </c>
      <c r="CG135" s="442">
        <f t="shared" si="196"/>
        <v>0</v>
      </c>
      <c r="CH135" s="442">
        <f t="shared" si="197"/>
        <v>0</v>
      </c>
      <c r="CI135" s="442">
        <f t="shared" si="198"/>
        <v>0</v>
      </c>
      <c r="CJ135" s="442">
        <f t="shared" si="199"/>
        <v>0</v>
      </c>
      <c r="CK135" s="442">
        <f t="shared" si="200"/>
        <v>0</v>
      </c>
      <c r="CL135" s="442">
        <f t="shared" si="201"/>
        <v>0</v>
      </c>
      <c r="CM135" s="442">
        <f t="shared" si="202"/>
        <v>0</v>
      </c>
      <c r="CN135" s="442">
        <f t="shared" si="203"/>
        <v>0</v>
      </c>
      <c r="CO135" s="443">
        <f t="shared" si="204"/>
        <v>0</v>
      </c>
      <c r="CQ135" s="442">
        <f t="shared" si="242"/>
        <v>0</v>
      </c>
      <c r="CR135" s="442">
        <f t="shared" si="243"/>
        <v>0</v>
      </c>
      <c r="CS135" s="442">
        <f t="shared" si="244"/>
        <v>0</v>
      </c>
      <c r="CT135" s="442">
        <f t="shared" si="245"/>
        <v>0</v>
      </c>
      <c r="CU135" s="442">
        <f t="shared" si="246"/>
        <v>0</v>
      </c>
      <c r="CV135" s="442">
        <f t="shared" si="247"/>
        <v>0</v>
      </c>
      <c r="CW135" s="442">
        <f t="shared" si="248"/>
        <v>0</v>
      </c>
      <c r="CX135" s="442">
        <f t="shared" si="249"/>
        <v>0</v>
      </c>
      <c r="CY135" s="442">
        <f t="shared" si="250"/>
        <v>0</v>
      </c>
      <c r="CZ135" s="442">
        <f t="shared" si="251"/>
        <v>0</v>
      </c>
      <c r="DA135" s="443">
        <f t="shared" si="205"/>
        <v>0</v>
      </c>
      <c r="DC135" s="442">
        <f t="shared" si="206"/>
        <v>0</v>
      </c>
      <c r="DD135" s="442">
        <f t="shared" si="207"/>
        <v>0</v>
      </c>
      <c r="DE135" s="442">
        <f t="shared" si="208"/>
        <v>0</v>
      </c>
      <c r="DF135" s="442">
        <f t="shared" si="209"/>
        <v>0</v>
      </c>
      <c r="DG135" s="442">
        <f t="shared" si="210"/>
        <v>0</v>
      </c>
      <c r="DH135" s="442">
        <f t="shared" si="211"/>
        <v>0</v>
      </c>
      <c r="DI135" s="442">
        <f t="shared" si="212"/>
        <v>0</v>
      </c>
      <c r="DJ135" s="442">
        <f t="shared" si="213"/>
        <v>0</v>
      </c>
      <c r="DK135" s="442">
        <f t="shared" si="214"/>
        <v>0</v>
      </c>
      <c r="DL135" s="442">
        <f t="shared" si="215"/>
        <v>0</v>
      </c>
      <c r="DM135" s="443">
        <f t="shared" si="216"/>
        <v>0</v>
      </c>
      <c r="DO135" s="442">
        <f t="shared" si="252"/>
        <v>0</v>
      </c>
      <c r="DP135" s="442">
        <f t="shared" si="252"/>
        <v>0</v>
      </c>
      <c r="DQ135" s="442">
        <f t="shared" si="252"/>
        <v>0</v>
      </c>
      <c r="DR135" s="442">
        <f t="shared" si="252"/>
        <v>0</v>
      </c>
      <c r="DS135" s="442">
        <f t="shared" si="252"/>
        <v>0</v>
      </c>
      <c r="DT135" s="442">
        <f t="shared" si="252"/>
        <v>0</v>
      </c>
      <c r="DU135" s="442">
        <f t="shared" si="252"/>
        <v>0</v>
      </c>
      <c r="DV135" s="442">
        <f t="shared" si="252"/>
        <v>0</v>
      </c>
      <c r="DW135" s="442">
        <f t="shared" si="252"/>
        <v>0</v>
      </c>
      <c r="DX135" s="442">
        <f t="shared" si="252"/>
        <v>0</v>
      </c>
      <c r="DY135" s="443">
        <f t="shared" si="218"/>
        <v>0</v>
      </c>
      <c r="EA135" s="442">
        <f t="shared" si="253"/>
        <v>0</v>
      </c>
      <c r="EB135" s="442">
        <f t="shared" si="253"/>
        <v>0</v>
      </c>
      <c r="EC135" s="442">
        <f t="shared" si="253"/>
        <v>0</v>
      </c>
      <c r="ED135" s="442">
        <f t="shared" si="253"/>
        <v>0</v>
      </c>
      <c r="EE135" s="442">
        <f t="shared" si="253"/>
        <v>0</v>
      </c>
      <c r="EF135" s="442">
        <f t="shared" si="253"/>
        <v>0</v>
      </c>
      <c r="EG135" s="442">
        <f t="shared" si="253"/>
        <v>0</v>
      </c>
      <c r="EH135" s="442">
        <f t="shared" si="253"/>
        <v>0</v>
      </c>
      <c r="EI135" s="442">
        <f t="shared" si="253"/>
        <v>0</v>
      </c>
      <c r="EJ135" s="442">
        <f t="shared" si="253"/>
        <v>0</v>
      </c>
      <c r="EK135" s="443">
        <f t="shared" si="220"/>
        <v>0</v>
      </c>
    </row>
    <row r="136" spans="2:141" s="268" customFormat="1" ht="15" customHeight="1" x14ac:dyDescent="0.25">
      <c r="B136" s="446" t="str">
        <f>'2. START'!C$7</f>
        <v>100GEM</v>
      </c>
      <c r="C136" s="469"/>
      <c r="D136" s="594"/>
      <c r="E136" s="522">
        <v>0</v>
      </c>
      <c r="F136" s="522" t="s">
        <v>36</v>
      </c>
      <c r="G136" s="522"/>
      <c r="H136" s="523"/>
      <c r="I136" s="523"/>
      <c r="J136" s="523"/>
      <c r="K136" s="523"/>
      <c r="L136" s="523"/>
      <c r="M136" s="523"/>
      <c r="N136" s="523"/>
      <c r="O136" s="523"/>
      <c r="P136" s="523"/>
      <c r="Q136" s="523"/>
      <c r="R136" s="459">
        <f t="shared" si="221"/>
        <v>0</v>
      </c>
      <c r="S136" s="524">
        <f>IF('2. START'!$C$20="UTB",(SUMIF('3. PARTNER'!B$13:B$80,B136,'3. PARTNER'!M$13:M$80)),(SUMIF('3. PARTNER'!B$13:B$80,B136,'3. PARTNER'!I$13:I$80)))</f>
        <v>0</v>
      </c>
      <c r="T136" s="524">
        <f>IF('2. START'!$C$20="UTB",(SUMIF('3. PARTNER'!B$13:B$80,B136,'3. PARTNER'!N$13:N$80)),(SUMIF('3. PARTNER'!B$13:B$80,B136,'3. PARTNER'!J$13:J$80)))</f>
        <v>0</v>
      </c>
      <c r="U136" s="454">
        <f>IF(F136="NO",0,IF('2. START'!C$13="PERSON+OPERATION",'2. START'!C$12,0)+IF('2. START'!C$13="PERSON+OPERATION+INVEST+FACILIT",'2. START'!C$12,0))</f>
        <v>0</v>
      </c>
      <c r="V136" s="463"/>
      <c r="W136" s="459">
        <f t="shared" si="222"/>
        <v>0</v>
      </c>
      <c r="X136" s="459">
        <f t="shared" si="223"/>
        <v>0</v>
      </c>
      <c r="Y136" s="459">
        <f t="shared" si="224"/>
        <v>0</v>
      </c>
      <c r="Z136" s="459">
        <f t="shared" si="225"/>
        <v>0</v>
      </c>
      <c r="AA136" s="459">
        <f t="shared" si="226"/>
        <v>0</v>
      </c>
      <c r="AB136" s="459">
        <f t="shared" si="227"/>
        <v>0</v>
      </c>
      <c r="AC136" s="459">
        <f t="shared" si="228"/>
        <v>0</v>
      </c>
      <c r="AD136" s="459">
        <f t="shared" si="229"/>
        <v>0</v>
      </c>
      <c r="AE136" s="459">
        <f t="shared" si="230"/>
        <v>0</v>
      </c>
      <c r="AF136" s="459">
        <f t="shared" si="231"/>
        <v>0</v>
      </c>
      <c r="AG136" s="460">
        <f t="shared" si="159"/>
        <v>0</v>
      </c>
      <c r="AH136" s="463"/>
      <c r="AI136" s="459">
        <f t="shared" si="232"/>
        <v>0</v>
      </c>
      <c r="AJ136" s="459">
        <f t="shared" si="233"/>
        <v>0</v>
      </c>
      <c r="AK136" s="459">
        <f t="shared" si="234"/>
        <v>0</v>
      </c>
      <c r="AL136" s="459">
        <f t="shared" si="235"/>
        <v>0</v>
      </c>
      <c r="AM136" s="459">
        <f t="shared" si="236"/>
        <v>0</v>
      </c>
      <c r="AN136" s="459">
        <f t="shared" si="237"/>
        <v>0</v>
      </c>
      <c r="AO136" s="459">
        <f t="shared" si="238"/>
        <v>0</v>
      </c>
      <c r="AP136" s="459">
        <f t="shared" si="239"/>
        <v>0</v>
      </c>
      <c r="AQ136" s="459">
        <f t="shared" si="240"/>
        <v>0</v>
      </c>
      <c r="AR136" s="459">
        <f t="shared" si="241"/>
        <v>0</v>
      </c>
      <c r="AS136" s="460">
        <f t="shared" si="160"/>
        <v>0</v>
      </c>
      <c r="AT136" s="463"/>
      <c r="AU136" s="459">
        <f t="shared" si="161"/>
        <v>0</v>
      </c>
      <c r="AV136" s="459">
        <f t="shared" si="162"/>
        <v>0</v>
      </c>
      <c r="AW136" s="459">
        <f t="shared" si="163"/>
        <v>0</v>
      </c>
      <c r="AX136" s="459">
        <f t="shared" si="164"/>
        <v>0</v>
      </c>
      <c r="AY136" s="459">
        <f t="shared" si="165"/>
        <v>0</v>
      </c>
      <c r="AZ136" s="459">
        <f t="shared" si="166"/>
        <v>0</v>
      </c>
      <c r="BA136" s="459">
        <f t="shared" si="167"/>
        <v>0</v>
      </c>
      <c r="BB136" s="459">
        <f t="shared" si="168"/>
        <v>0</v>
      </c>
      <c r="BC136" s="459">
        <f t="shared" si="169"/>
        <v>0</v>
      </c>
      <c r="BD136" s="459">
        <f t="shared" si="170"/>
        <v>0</v>
      </c>
      <c r="BE136" s="460">
        <f t="shared" si="171"/>
        <v>0</v>
      </c>
      <c r="BF136" s="463"/>
      <c r="BG136" s="459">
        <f t="shared" si="172"/>
        <v>0</v>
      </c>
      <c r="BH136" s="459">
        <f t="shared" si="173"/>
        <v>0</v>
      </c>
      <c r="BI136" s="459">
        <f t="shared" si="174"/>
        <v>0</v>
      </c>
      <c r="BJ136" s="459">
        <f t="shared" si="175"/>
        <v>0</v>
      </c>
      <c r="BK136" s="459">
        <f t="shared" si="176"/>
        <v>0</v>
      </c>
      <c r="BL136" s="459">
        <f t="shared" si="177"/>
        <v>0</v>
      </c>
      <c r="BM136" s="459">
        <f t="shared" si="178"/>
        <v>0</v>
      </c>
      <c r="BN136" s="459">
        <f t="shared" si="179"/>
        <v>0</v>
      </c>
      <c r="BO136" s="459">
        <f t="shared" si="180"/>
        <v>0</v>
      </c>
      <c r="BP136" s="459">
        <f t="shared" si="181"/>
        <v>0</v>
      </c>
      <c r="BQ136" s="460">
        <f t="shared" si="182"/>
        <v>0</v>
      </c>
      <c r="BR136" s="463"/>
      <c r="BS136" s="459">
        <f t="shared" si="183"/>
        <v>0</v>
      </c>
      <c r="BT136" s="459">
        <f t="shared" si="184"/>
        <v>0</v>
      </c>
      <c r="BU136" s="459">
        <f t="shared" si="185"/>
        <v>0</v>
      </c>
      <c r="BV136" s="459">
        <f t="shared" si="186"/>
        <v>0</v>
      </c>
      <c r="BW136" s="459">
        <f t="shared" si="187"/>
        <v>0</v>
      </c>
      <c r="BX136" s="459">
        <f t="shared" si="188"/>
        <v>0</v>
      </c>
      <c r="BY136" s="459">
        <f t="shared" si="189"/>
        <v>0</v>
      </c>
      <c r="BZ136" s="459">
        <f t="shared" si="190"/>
        <v>0</v>
      </c>
      <c r="CA136" s="459">
        <f t="shared" si="191"/>
        <v>0</v>
      </c>
      <c r="CB136" s="459">
        <f t="shared" si="192"/>
        <v>0</v>
      </c>
      <c r="CC136" s="460">
        <f t="shared" si="193"/>
        <v>0</v>
      </c>
      <c r="CD136" s="463"/>
      <c r="CE136" s="459">
        <f t="shared" si="194"/>
        <v>0</v>
      </c>
      <c r="CF136" s="459">
        <f t="shared" si="195"/>
        <v>0</v>
      </c>
      <c r="CG136" s="459">
        <f t="shared" si="196"/>
        <v>0</v>
      </c>
      <c r="CH136" s="459">
        <f t="shared" si="197"/>
        <v>0</v>
      </c>
      <c r="CI136" s="459">
        <f t="shared" si="198"/>
        <v>0</v>
      </c>
      <c r="CJ136" s="459">
        <f t="shared" si="199"/>
        <v>0</v>
      </c>
      <c r="CK136" s="459">
        <f t="shared" si="200"/>
        <v>0</v>
      </c>
      <c r="CL136" s="459">
        <f t="shared" si="201"/>
        <v>0</v>
      </c>
      <c r="CM136" s="459">
        <f t="shared" si="202"/>
        <v>0</v>
      </c>
      <c r="CN136" s="459">
        <f t="shared" si="203"/>
        <v>0</v>
      </c>
      <c r="CO136" s="460">
        <f t="shared" si="204"/>
        <v>0</v>
      </c>
      <c r="CP136" s="463"/>
      <c r="CQ136" s="459">
        <f t="shared" si="242"/>
        <v>0</v>
      </c>
      <c r="CR136" s="459">
        <f t="shared" si="243"/>
        <v>0</v>
      </c>
      <c r="CS136" s="459">
        <f t="shared" si="244"/>
        <v>0</v>
      </c>
      <c r="CT136" s="459">
        <f t="shared" si="245"/>
        <v>0</v>
      </c>
      <c r="CU136" s="459">
        <f t="shared" si="246"/>
        <v>0</v>
      </c>
      <c r="CV136" s="459">
        <f t="shared" si="247"/>
        <v>0</v>
      </c>
      <c r="CW136" s="459">
        <f t="shared" si="248"/>
        <v>0</v>
      </c>
      <c r="CX136" s="459">
        <f t="shared" si="249"/>
        <v>0</v>
      </c>
      <c r="CY136" s="459">
        <f t="shared" si="250"/>
        <v>0</v>
      </c>
      <c r="CZ136" s="459">
        <f t="shared" si="251"/>
        <v>0</v>
      </c>
      <c r="DA136" s="460">
        <f t="shared" si="205"/>
        <v>0</v>
      </c>
      <c r="DB136" s="463"/>
      <c r="DC136" s="459">
        <f t="shared" si="206"/>
        <v>0</v>
      </c>
      <c r="DD136" s="459">
        <f t="shared" si="207"/>
        <v>0</v>
      </c>
      <c r="DE136" s="459">
        <f t="shared" si="208"/>
        <v>0</v>
      </c>
      <c r="DF136" s="459">
        <f t="shared" si="209"/>
        <v>0</v>
      </c>
      <c r="DG136" s="459">
        <f t="shared" si="210"/>
        <v>0</v>
      </c>
      <c r="DH136" s="459">
        <f t="shared" si="211"/>
        <v>0</v>
      </c>
      <c r="DI136" s="459">
        <f t="shared" si="212"/>
        <v>0</v>
      </c>
      <c r="DJ136" s="459">
        <f t="shared" si="213"/>
        <v>0</v>
      </c>
      <c r="DK136" s="459">
        <f t="shared" si="214"/>
        <v>0</v>
      </c>
      <c r="DL136" s="459">
        <f t="shared" si="215"/>
        <v>0</v>
      </c>
      <c r="DM136" s="460">
        <f t="shared" si="216"/>
        <v>0</v>
      </c>
      <c r="DN136" s="463"/>
      <c r="DO136" s="459">
        <f t="shared" si="252"/>
        <v>0</v>
      </c>
      <c r="DP136" s="459">
        <f t="shared" si="252"/>
        <v>0</v>
      </c>
      <c r="DQ136" s="459">
        <f t="shared" si="252"/>
        <v>0</v>
      </c>
      <c r="DR136" s="459">
        <f t="shared" si="252"/>
        <v>0</v>
      </c>
      <c r="DS136" s="459">
        <f t="shared" si="252"/>
        <v>0</v>
      </c>
      <c r="DT136" s="459">
        <f t="shared" si="252"/>
        <v>0</v>
      </c>
      <c r="DU136" s="459">
        <f t="shared" si="252"/>
        <v>0</v>
      </c>
      <c r="DV136" s="459">
        <f t="shared" si="252"/>
        <v>0</v>
      </c>
      <c r="DW136" s="459">
        <f t="shared" si="252"/>
        <v>0</v>
      </c>
      <c r="DX136" s="459">
        <f t="shared" si="252"/>
        <v>0</v>
      </c>
      <c r="DY136" s="460">
        <f t="shared" si="218"/>
        <v>0</v>
      </c>
      <c r="DZ136" s="463"/>
      <c r="EA136" s="459">
        <f t="shared" si="253"/>
        <v>0</v>
      </c>
      <c r="EB136" s="459">
        <f t="shared" si="253"/>
        <v>0</v>
      </c>
      <c r="EC136" s="459">
        <f t="shared" si="253"/>
        <v>0</v>
      </c>
      <c r="ED136" s="459">
        <f t="shared" si="253"/>
        <v>0</v>
      </c>
      <c r="EE136" s="459">
        <f t="shared" si="253"/>
        <v>0</v>
      </c>
      <c r="EF136" s="459">
        <f t="shared" si="253"/>
        <v>0</v>
      </c>
      <c r="EG136" s="459">
        <f t="shared" si="253"/>
        <v>0</v>
      </c>
      <c r="EH136" s="459">
        <f t="shared" si="253"/>
        <v>0</v>
      </c>
      <c r="EI136" s="459">
        <f t="shared" si="253"/>
        <v>0</v>
      </c>
      <c r="EJ136" s="459">
        <f t="shared" si="253"/>
        <v>0</v>
      </c>
      <c r="EK136" s="460">
        <f t="shared" si="220"/>
        <v>0</v>
      </c>
    </row>
    <row r="137" spans="2:141" s="270" customFormat="1" ht="15" customHeight="1" x14ac:dyDescent="0.25">
      <c r="B137" s="464" t="str">
        <f>'2. START'!C$7</f>
        <v>100GEM</v>
      </c>
      <c r="C137" s="470"/>
      <c r="D137" s="593"/>
      <c r="E137" s="527">
        <v>0</v>
      </c>
      <c r="F137" s="527" t="s">
        <v>36</v>
      </c>
      <c r="G137" s="527"/>
      <c r="H137" s="515"/>
      <c r="I137" s="515"/>
      <c r="J137" s="515"/>
      <c r="K137" s="515"/>
      <c r="L137" s="515"/>
      <c r="M137" s="515"/>
      <c r="N137" s="515"/>
      <c r="O137" s="515"/>
      <c r="P137" s="515"/>
      <c r="Q137" s="515"/>
      <c r="R137" s="442">
        <f t="shared" si="221"/>
        <v>0</v>
      </c>
      <c r="S137" s="516">
        <f>IF('2. START'!$C$20="UTB",(SUMIF('3. PARTNER'!B$13:B$80,B137,'3. PARTNER'!M$13:M$80)),(SUMIF('3. PARTNER'!B$13:B$80,B137,'3. PARTNER'!I$13:I$80)))</f>
        <v>0</v>
      </c>
      <c r="T137" s="516">
        <f>IF('2. START'!$C$20="UTB",(SUMIF('3. PARTNER'!B$13:B$80,B137,'3. PARTNER'!N$13:N$80)),(SUMIF('3. PARTNER'!B$13:B$80,B137,'3. PARTNER'!J$13:J$80)))</f>
        <v>0</v>
      </c>
      <c r="U137" s="517">
        <f>IF(F137="NO",0,IF('2. START'!C$13="PERSON+OPERATION",'2. START'!C$12,0)+IF('2. START'!C$13="PERSON+OPERATION+INVEST+FACILIT",'2. START'!C$12,0))</f>
        <v>0</v>
      </c>
      <c r="W137" s="442">
        <f t="shared" si="222"/>
        <v>0</v>
      </c>
      <c r="X137" s="442">
        <f t="shared" si="223"/>
        <v>0</v>
      </c>
      <c r="Y137" s="442">
        <f t="shared" si="224"/>
        <v>0</v>
      </c>
      <c r="Z137" s="442">
        <f t="shared" si="225"/>
        <v>0</v>
      </c>
      <c r="AA137" s="442">
        <f t="shared" si="226"/>
        <v>0</v>
      </c>
      <c r="AB137" s="442">
        <f t="shared" si="227"/>
        <v>0</v>
      </c>
      <c r="AC137" s="442">
        <f t="shared" si="228"/>
        <v>0</v>
      </c>
      <c r="AD137" s="442">
        <f t="shared" si="229"/>
        <v>0</v>
      </c>
      <c r="AE137" s="442">
        <f t="shared" si="230"/>
        <v>0</v>
      </c>
      <c r="AF137" s="442">
        <f t="shared" si="231"/>
        <v>0</v>
      </c>
      <c r="AG137" s="443">
        <f t="shared" si="159"/>
        <v>0</v>
      </c>
      <c r="AI137" s="442">
        <f t="shared" si="232"/>
        <v>0</v>
      </c>
      <c r="AJ137" s="442">
        <f t="shared" si="233"/>
        <v>0</v>
      </c>
      <c r="AK137" s="442">
        <f t="shared" si="234"/>
        <v>0</v>
      </c>
      <c r="AL137" s="442">
        <f t="shared" si="235"/>
        <v>0</v>
      </c>
      <c r="AM137" s="442">
        <f t="shared" si="236"/>
        <v>0</v>
      </c>
      <c r="AN137" s="442">
        <f t="shared" si="237"/>
        <v>0</v>
      </c>
      <c r="AO137" s="442">
        <f t="shared" si="238"/>
        <v>0</v>
      </c>
      <c r="AP137" s="442">
        <f t="shared" si="239"/>
        <v>0</v>
      </c>
      <c r="AQ137" s="442">
        <f t="shared" si="240"/>
        <v>0</v>
      </c>
      <c r="AR137" s="442">
        <f t="shared" si="241"/>
        <v>0</v>
      </c>
      <c r="AS137" s="443">
        <f t="shared" si="160"/>
        <v>0</v>
      </c>
      <c r="AU137" s="442">
        <f t="shared" si="161"/>
        <v>0</v>
      </c>
      <c r="AV137" s="442">
        <f t="shared" si="162"/>
        <v>0</v>
      </c>
      <c r="AW137" s="442">
        <f t="shared" si="163"/>
        <v>0</v>
      </c>
      <c r="AX137" s="442">
        <f t="shared" si="164"/>
        <v>0</v>
      </c>
      <c r="AY137" s="442">
        <f t="shared" si="165"/>
        <v>0</v>
      </c>
      <c r="AZ137" s="442">
        <f t="shared" si="166"/>
        <v>0</v>
      </c>
      <c r="BA137" s="442">
        <f t="shared" si="167"/>
        <v>0</v>
      </c>
      <c r="BB137" s="442">
        <f t="shared" si="168"/>
        <v>0</v>
      </c>
      <c r="BC137" s="442">
        <f t="shared" si="169"/>
        <v>0</v>
      </c>
      <c r="BD137" s="442">
        <f t="shared" si="170"/>
        <v>0</v>
      </c>
      <c r="BE137" s="443">
        <f t="shared" si="171"/>
        <v>0</v>
      </c>
      <c r="BG137" s="442">
        <f t="shared" si="172"/>
        <v>0</v>
      </c>
      <c r="BH137" s="442">
        <f t="shared" si="173"/>
        <v>0</v>
      </c>
      <c r="BI137" s="442">
        <f t="shared" si="174"/>
        <v>0</v>
      </c>
      <c r="BJ137" s="442">
        <f t="shared" si="175"/>
        <v>0</v>
      </c>
      <c r="BK137" s="442">
        <f t="shared" si="176"/>
        <v>0</v>
      </c>
      <c r="BL137" s="442">
        <f t="shared" si="177"/>
        <v>0</v>
      </c>
      <c r="BM137" s="442">
        <f t="shared" si="178"/>
        <v>0</v>
      </c>
      <c r="BN137" s="442">
        <f t="shared" si="179"/>
        <v>0</v>
      </c>
      <c r="BO137" s="442">
        <f t="shared" si="180"/>
        <v>0</v>
      </c>
      <c r="BP137" s="442">
        <f t="shared" si="181"/>
        <v>0</v>
      </c>
      <c r="BQ137" s="443">
        <f t="shared" si="182"/>
        <v>0</v>
      </c>
      <c r="BS137" s="442">
        <f t="shared" si="183"/>
        <v>0</v>
      </c>
      <c r="BT137" s="442">
        <f t="shared" si="184"/>
        <v>0</v>
      </c>
      <c r="BU137" s="442">
        <f t="shared" si="185"/>
        <v>0</v>
      </c>
      <c r="BV137" s="442">
        <f t="shared" si="186"/>
        <v>0</v>
      </c>
      <c r="BW137" s="442">
        <f t="shared" si="187"/>
        <v>0</v>
      </c>
      <c r="BX137" s="442">
        <f t="shared" si="188"/>
        <v>0</v>
      </c>
      <c r="BY137" s="442">
        <f t="shared" si="189"/>
        <v>0</v>
      </c>
      <c r="BZ137" s="442">
        <f t="shared" si="190"/>
        <v>0</v>
      </c>
      <c r="CA137" s="442">
        <f t="shared" si="191"/>
        <v>0</v>
      </c>
      <c r="CB137" s="442">
        <f t="shared" si="192"/>
        <v>0</v>
      </c>
      <c r="CC137" s="443">
        <f t="shared" si="193"/>
        <v>0</v>
      </c>
      <c r="CE137" s="442">
        <f t="shared" si="194"/>
        <v>0</v>
      </c>
      <c r="CF137" s="442">
        <f t="shared" si="195"/>
        <v>0</v>
      </c>
      <c r="CG137" s="442">
        <f t="shared" si="196"/>
        <v>0</v>
      </c>
      <c r="CH137" s="442">
        <f t="shared" si="197"/>
        <v>0</v>
      </c>
      <c r="CI137" s="442">
        <f t="shared" si="198"/>
        <v>0</v>
      </c>
      <c r="CJ137" s="442">
        <f t="shared" si="199"/>
        <v>0</v>
      </c>
      <c r="CK137" s="442">
        <f t="shared" si="200"/>
        <v>0</v>
      </c>
      <c r="CL137" s="442">
        <f t="shared" si="201"/>
        <v>0</v>
      </c>
      <c r="CM137" s="442">
        <f t="shared" si="202"/>
        <v>0</v>
      </c>
      <c r="CN137" s="442">
        <f t="shared" si="203"/>
        <v>0</v>
      </c>
      <c r="CO137" s="443">
        <f t="shared" si="204"/>
        <v>0</v>
      </c>
      <c r="CQ137" s="442">
        <f t="shared" si="242"/>
        <v>0</v>
      </c>
      <c r="CR137" s="442">
        <f t="shared" si="243"/>
        <v>0</v>
      </c>
      <c r="CS137" s="442">
        <f t="shared" si="244"/>
        <v>0</v>
      </c>
      <c r="CT137" s="442">
        <f t="shared" si="245"/>
        <v>0</v>
      </c>
      <c r="CU137" s="442">
        <f t="shared" si="246"/>
        <v>0</v>
      </c>
      <c r="CV137" s="442">
        <f t="shared" si="247"/>
        <v>0</v>
      </c>
      <c r="CW137" s="442">
        <f t="shared" si="248"/>
        <v>0</v>
      </c>
      <c r="CX137" s="442">
        <f t="shared" si="249"/>
        <v>0</v>
      </c>
      <c r="CY137" s="442">
        <f t="shared" si="250"/>
        <v>0</v>
      </c>
      <c r="CZ137" s="442">
        <f t="shared" si="251"/>
        <v>0</v>
      </c>
      <c r="DA137" s="443">
        <f t="shared" si="205"/>
        <v>0</v>
      </c>
      <c r="DC137" s="442">
        <f t="shared" si="206"/>
        <v>0</v>
      </c>
      <c r="DD137" s="442">
        <f t="shared" si="207"/>
        <v>0</v>
      </c>
      <c r="DE137" s="442">
        <f t="shared" si="208"/>
        <v>0</v>
      </c>
      <c r="DF137" s="442">
        <f t="shared" si="209"/>
        <v>0</v>
      </c>
      <c r="DG137" s="442">
        <f t="shared" si="210"/>
        <v>0</v>
      </c>
      <c r="DH137" s="442">
        <f t="shared" si="211"/>
        <v>0</v>
      </c>
      <c r="DI137" s="442">
        <f t="shared" si="212"/>
        <v>0</v>
      </c>
      <c r="DJ137" s="442">
        <f t="shared" si="213"/>
        <v>0</v>
      </c>
      <c r="DK137" s="442">
        <f t="shared" si="214"/>
        <v>0</v>
      </c>
      <c r="DL137" s="442">
        <f t="shared" si="215"/>
        <v>0</v>
      </c>
      <c r="DM137" s="443">
        <f t="shared" si="216"/>
        <v>0</v>
      </c>
      <c r="DO137" s="442">
        <f t="shared" si="252"/>
        <v>0</v>
      </c>
      <c r="DP137" s="442">
        <f t="shared" si="252"/>
        <v>0</v>
      </c>
      <c r="DQ137" s="442">
        <f t="shared" si="252"/>
        <v>0</v>
      </c>
      <c r="DR137" s="442">
        <f t="shared" si="252"/>
        <v>0</v>
      </c>
      <c r="DS137" s="442">
        <f t="shared" si="252"/>
        <v>0</v>
      </c>
      <c r="DT137" s="442">
        <f t="shared" si="252"/>
        <v>0</v>
      </c>
      <c r="DU137" s="442">
        <f t="shared" si="252"/>
        <v>0</v>
      </c>
      <c r="DV137" s="442">
        <f t="shared" si="252"/>
        <v>0</v>
      </c>
      <c r="DW137" s="442">
        <f t="shared" si="252"/>
        <v>0</v>
      </c>
      <c r="DX137" s="442">
        <f t="shared" si="252"/>
        <v>0</v>
      </c>
      <c r="DY137" s="443">
        <f t="shared" si="218"/>
        <v>0</v>
      </c>
      <c r="EA137" s="442">
        <f t="shared" si="253"/>
        <v>0</v>
      </c>
      <c r="EB137" s="442">
        <f t="shared" si="253"/>
        <v>0</v>
      </c>
      <c r="EC137" s="442">
        <f t="shared" si="253"/>
        <v>0</v>
      </c>
      <c r="ED137" s="442">
        <f t="shared" si="253"/>
        <v>0</v>
      </c>
      <c r="EE137" s="442">
        <f t="shared" si="253"/>
        <v>0</v>
      </c>
      <c r="EF137" s="442">
        <f t="shared" si="253"/>
        <v>0</v>
      </c>
      <c r="EG137" s="442">
        <f t="shared" si="253"/>
        <v>0</v>
      </c>
      <c r="EH137" s="442">
        <f t="shared" si="253"/>
        <v>0</v>
      </c>
      <c r="EI137" s="442">
        <f t="shared" si="253"/>
        <v>0</v>
      </c>
      <c r="EJ137" s="442">
        <f t="shared" si="253"/>
        <v>0</v>
      </c>
      <c r="EK137" s="443">
        <f t="shared" si="220"/>
        <v>0</v>
      </c>
    </row>
    <row r="138" spans="2:141" s="268" customFormat="1" ht="15" customHeight="1" x14ac:dyDescent="0.25">
      <c r="B138" s="446" t="str">
        <f>'2. START'!C$7</f>
        <v>100GEM</v>
      </c>
      <c r="C138" s="469"/>
      <c r="D138" s="594"/>
      <c r="E138" s="522">
        <v>0</v>
      </c>
      <c r="F138" s="522" t="s">
        <v>36</v>
      </c>
      <c r="G138" s="522"/>
      <c r="H138" s="523"/>
      <c r="I138" s="523"/>
      <c r="J138" s="523"/>
      <c r="K138" s="523"/>
      <c r="L138" s="523"/>
      <c r="M138" s="523"/>
      <c r="N138" s="523"/>
      <c r="O138" s="523"/>
      <c r="P138" s="523"/>
      <c r="Q138" s="523"/>
      <c r="R138" s="459">
        <f t="shared" si="221"/>
        <v>0</v>
      </c>
      <c r="S138" s="524">
        <f>IF('2. START'!$C$20="UTB",(SUMIF('3. PARTNER'!B$13:B$80,B138,'3. PARTNER'!M$13:M$80)),(SUMIF('3. PARTNER'!B$13:B$80,B138,'3. PARTNER'!I$13:I$80)))</f>
        <v>0</v>
      </c>
      <c r="T138" s="524">
        <f>IF('2. START'!$C$20="UTB",(SUMIF('3. PARTNER'!B$13:B$80,B138,'3. PARTNER'!N$13:N$80)),(SUMIF('3. PARTNER'!B$13:B$80,B138,'3. PARTNER'!J$13:J$80)))</f>
        <v>0</v>
      </c>
      <c r="U138" s="454">
        <f>IF(F138="NO",0,IF('2. START'!C$13="PERSON+OPERATION",'2. START'!C$12,0)+IF('2. START'!C$13="PERSON+OPERATION+INVEST+FACILIT",'2. START'!C$12,0))</f>
        <v>0</v>
      </c>
      <c r="V138" s="463"/>
      <c r="W138" s="459">
        <f t="shared" si="222"/>
        <v>0</v>
      </c>
      <c r="X138" s="459">
        <f t="shared" si="223"/>
        <v>0</v>
      </c>
      <c r="Y138" s="459">
        <f t="shared" si="224"/>
        <v>0</v>
      </c>
      <c r="Z138" s="459">
        <f t="shared" si="225"/>
        <v>0</v>
      </c>
      <c r="AA138" s="459">
        <f t="shared" si="226"/>
        <v>0</v>
      </c>
      <c r="AB138" s="459">
        <f t="shared" si="227"/>
        <v>0</v>
      </c>
      <c r="AC138" s="459">
        <f t="shared" si="228"/>
        <v>0</v>
      </c>
      <c r="AD138" s="459">
        <f t="shared" si="229"/>
        <v>0</v>
      </c>
      <c r="AE138" s="459">
        <f t="shared" si="230"/>
        <v>0</v>
      </c>
      <c r="AF138" s="459">
        <f t="shared" si="231"/>
        <v>0</v>
      </c>
      <c r="AG138" s="460">
        <f t="shared" si="159"/>
        <v>0</v>
      </c>
      <c r="AH138" s="463"/>
      <c r="AI138" s="459">
        <f t="shared" si="232"/>
        <v>0</v>
      </c>
      <c r="AJ138" s="459">
        <f t="shared" si="233"/>
        <v>0</v>
      </c>
      <c r="AK138" s="459">
        <f t="shared" si="234"/>
        <v>0</v>
      </c>
      <c r="AL138" s="459">
        <f t="shared" si="235"/>
        <v>0</v>
      </c>
      <c r="AM138" s="459">
        <f t="shared" si="236"/>
        <v>0</v>
      </c>
      <c r="AN138" s="459">
        <f t="shared" si="237"/>
        <v>0</v>
      </c>
      <c r="AO138" s="459">
        <f t="shared" si="238"/>
        <v>0</v>
      </c>
      <c r="AP138" s="459">
        <f t="shared" si="239"/>
        <v>0</v>
      </c>
      <c r="AQ138" s="459">
        <f t="shared" si="240"/>
        <v>0</v>
      </c>
      <c r="AR138" s="459">
        <f t="shared" si="241"/>
        <v>0</v>
      </c>
      <c r="AS138" s="460">
        <f t="shared" si="160"/>
        <v>0</v>
      </c>
      <c r="AT138" s="463"/>
      <c r="AU138" s="459">
        <f t="shared" si="161"/>
        <v>0</v>
      </c>
      <c r="AV138" s="459">
        <f t="shared" si="162"/>
        <v>0</v>
      </c>
      <c r="AW138" s="459">
        <f t="shared" si="163"/>
        <v>0</v>
      </c>
      <c r="AX138" s="459">
        <f t="shared" si="164"/>
        <v>0</v>
      </c>
      <c r="AY138" s="459">
        <f t="shared" si="165"/>
        <v>0</v>
      </c>
      <c r="AZ138" s="459">
        <f t="shared" si="166"/>
        <v>0</v>
      </c>
      <c r="BA138" s="459">
        <f t="shared" si="167"/>
        <v>0</v>
      </c>
      <c r="BB138" s="459">
        <f t="shared" si="168"/>
        <v>0</v>
      </c>
      <c r="BC138" s="459">
        <f t="shared" si="169"/>
        <v>0</v>
      </c>
      <c r="BD138" s="459">
        <f t="shared" si="170"/>
        <v>0</v>
      </c>
      <c r="BE138" s="460">
        <f t="shared" si="171"/>
        <v>0</v>
      </c>
      <c r="BF138" s="463"/>
      <c r="BG138" s="459">
        <f t="shared" si="172"/>
        <v>0</v>
      </c>
      <c r="BH138" s="459">
        <f t="shared" si="173"/>
        <v>0</v>
      </c>
      <c r="BI138" s="459">
        <f t="shared" si="174"/>
        <v>0</v>
      </c>
      <c r="BJ138" s="459">
        <f t="shared" si="175"/>
        <v>0</v>
      </c>
      <c r="BK138" s="459">
        <f t="shared" si="176"/>
        <v>0</v>
      </c>
      <c r="BL138" s="459">
        <f t="shared" si="177"/>
        <v>0</v>
      </c>
      <c r="BM138" s="459">
        <f t="shared" si="178"/>
        <v>0</v>
      </c>
      <c r="BN138" s="459">
        <f t="shared" si="179"/>
        <v>0</v>
      </c>
      <c r="BO138" s="459">
        <f t="shared" si="180"/>
        <v>0</v>
      </c>
      <c r="BP138" s="459">
        <f t="shared" si="181"/>
        <v>0</v>
      </c>
      <c r="BQ138" s="460">
        <f t="shared" si="182"/>
        <v>0</v>
      </c>
      <c r="BR138" s="463"/>
      <c r="BS138" s="459">
        <f t="shared" si="183"/>
        <v>0</v>
      </c>
      <c r="BT138" s="459">
        <f t="shared" si="184"/>
        <v>0</v>
      </c>
      <c r="BU138" s="459">
        <f t="shared" si="185"/>
        <v>0</v>
      </c>
      <c r="BV138" s="459">
        <f t="shared" si="186"/>
        <v>0</v>
      </c>
      <c r="BW138" s="459">
        <f t="shared" si="187"/>
        <v>0</v>
      </c>
      <c r="BX138" s="459">
        <f t="shared" si="188"/>
        <v>0</v>
      </c>
      <c r="BY138" s="459">
        <f t="shared" si="189"/>
        <v>0</v>
      </c>
      <c r="BZ138" s="459">
        <f t="shared" si="190"/>
        <v>0</v>
      </c>
      <c r="CA138" s="459">
        <f t="shared" si="191"/>
        <v>0</v>
      </c>
      <c r="CB138" s="459">
        <f t="shared" si="192"/>
        <v>0</v>
      </c>
      <c r="CC138" s="460">
        <f t="shared" si="193"/>
        <v>0</v>
      </c>
      <c r="CD138" s="463"/>
      <c r="CE138" s="459">
        <f t="shared" si="194"/>
        <v>0</v>
      </c>
      <c r="CF138" s="459">
        <f t="shared" si="195"/>
        <v>0</v>
      </c>
      <c r="CG138" s="459">
        <f t="shared" si="196"/>
        <v>0</v>
      </c>
      <c r="CH138" s="459">
        <f t="shared" si="197"/>
        <v>0</v>
      </c>
      <c r="CI138" s="459">
        <f t="shared" si="198"/>
        <v>0</v>
      </c>
      <c r="CJ138" s="459">
        <f t="shared" si="199"/>
        <v>0</v>
      </c>
      <c r="CK138" s="459">
        <f t="shared" si="200"/>
        <v>0</v>
      </c>
      <c r="CL138" s="459">
        <f t="shared" si="201"/>
        <v>0</v>
      </c>
      <c r="CM138" s="459">
        <f t="shared" si="202"/>
        <v>0</v>
      </c>
      <c r="CN138" s="459">
        <f t="shared" si="203"/>
        <v>0</v>
      </c>
      <c r="CO138" s="460">
        <f t="shared" si="204"/>
        <v>0</v>
      </c>
      <c r="CP138" s="463"/>
      <c r="CQ138" s="459">
        <f t="shared" si="242"/>
        <v>0</v>
      </c>
      <c r="CR138" s="459">
        <f t="shared" si="243"/>
        <v>0</v>
      </c>
      <c r="CS138" s="459">
        <f t="shared" si="244"/>
        <v>0</v>
      </c>
      <c r="CT138" s="459">
        <f t="shared" si="245"/>
        <v>0</v>
      </c>
      <c r="CU138" s="459">
        <f t="shared" si="246"/>
        <v>0</v>
      </c>
      <c r="CV138" s="459">
        <f t="shared" si="247"/>
        <v>0</v>
      </c>
      <c r="CW138" s="459">
        <f t="shared" si="248"/>
        <v>0</v>
      </c>
      <c r="CX138" s="459">
        <f t="shared" si="249"/>
        <v>0</v>
      </c>
      <c r="CY138" s="459">
        <f t="shared" si="250"/>
        <v>0</v>
      </c>
      <c r="CZ138" s="459">
        <f t="shared" si="251"/>
        <v>0</v>
      </c>
      <c r="DA138" s="460">
        <f t="shared" si="205"/>
        <v>0</v>
      </c>
      <c r="DB138" s="463"/>
      <c r="DC138" s="459">
        <f t="shared" si="206"/>
        <v>0</v>
      </c>
      <c r="DD138" s="459">
        <f t="shared" si="207"/>
        <v>0</v>
      </c>
      <c r="DE138" s="459">
        <f t="shared" si="208"/>
        <v>0</v>
      </c>
      <c r="DF138" s="459">
        <f t="shared" si="209"/>
        <v>0</v>
      </c>
      <c r="DG138" s="459">
        <f t="shared" si="210"/>
        <v>0</v>
      </c>
      <c r="DH138" s="459">
        <f t="shared" si="211"/>
        <v>0</v>
      </c>
      <c r="DI138" s="459">
        <f t="shared" si="212"/>
        <v>0</v>
      </c>
      <c r="DJ138" s="459">
        <f t="shared" si="213"/>
        <v>0</v>
      </c>
      <c r="DK138" s="459">
        <f t="shared" si="214"/>
        <v>0</v>
      </c>
      <c r="DL138" s="459">
        <f t="shared" si="215"/>
        <v>0</v>
      </c>
      <c r="DM138" s="460">
        <f t="shared" si="216"/>
        <v>0</v>
      </c>
      <c r="DN138" s="463"/>
      <c r="DO138" s="459">
        <f t="shared" si="252"/>
        <v>0</v>
      </c>
      <c r="DP138" s="459">
        <f t="shared" si="252"/>
        <v>0</v>
      </c>
      <c r="DQ138" s="459">
        <f t="shared" si="252"/>
        <v>0</v>
      </c>
      <c r="DR138" s="459">
        <f t="shared" si="252"/>
        <v>0</v>
      </c>
      <c r="DS138" s="459">
        <f t="shared" si="252"/>
        <v>0</v>
      </c>
      <c r="DT138" s="459">
        <f t="shared" si="252"/>
        <v>0</v>
      </c>
      <c r="DU138" s="459">
        <f t="shared" si="252"/>
        <v>0</v>
      </c>
      <c r="DV138" s="459">
        <f t="shared" si="252"/>
        <v>0</v>
      </c>
      <c r="DW138" s="459">
        <f t="shared" si="252"/>
        <v>0</v>
      </c>
      <c r="DX138" s="459">
        <f t="shared" si="252"/>
        <v>0</v>
      </c>
      <c r="DY138" s="460">
        <f t="shared" si="218"/>
        <v>0</v>
      </c>
      <c r="DZ138" s="463"/>
      <c r="EA138" s="459">
        <f t="shared" si="253"/>
        <v>0</v>
      </c>
      <c r="EB138" s="459">
        <f t="shared" si="253"/>
        <v>0</v>
      </c>
      <c r="EC138" s="459">
        <f t="shared" si="253"/>
        <v>0</v>
      </c>
      <c r="ED138" s="459">
        <f t="shared" si="253"/>
        <v>0</v>
      </c>
      <c r="EE138" s="459">
        <f t="shared" si="253"/>
        <v>0</v>
      </c>
      <c r="EF138" s="459">
        <f t="shared" si="253"/>
        <v>0</v>
      </c>
      <c r="EG138" s="459">
        <f t="shared" si="253"/>
        <v>0</v>
      </c>
      <c r="EH138" s="459">
        <f t="shared" si="253"/>
        <v>0</v>
      </c>
      <c r="EI138" s="459">
        <f t="shared" si="253"/>
        <v>0</v>
      </c>
      <c r="EJ138" s="459">
        <f t="shared" si="253"/>
        <v>0</v>
      </c>
      <c r="EK138" s="460">
        <f t="shared" si="220"/>
        <v>0</v>
      </c>
    </row>
    <row r="139" spans="2:141" s="270" customFormat="1" ht="15" customHeight="1" x14ac:dyDescent="0.25">
      <c r="B139" s="464" t="str">
        <f>'2. START'!C$7</f>
        <v>100GEM</v>
      </c>
      <c r="C139" s="470"/>
      <c r="D139" s="593"/>
      <c r="E139" s="527">
        <v>0</v>
      </c>
      <c r="F139" s="527" t="s">
        <v>36</v>
      </c>
      <c r="G139" s="527"/>
      <c r="H139" s="515"/>
      <c r="I139" s="515"/>
      <c r="J139" s="515"/>
      <c r="K139" s="515"/>
      <c r="L139" s="515"/>
      <c r="M139" s="515"/>
      <c r="N139" s="515"/>
      <c r="O139" s="515"/>
      <c r="P139" s="515"/>
      <c r="Q139" s="515"/>
      <c r="R139" s="442">
        <f t="shared" si="221"/>
        <v>0</v>
      </c>
      <c r="S139" s="516">
        <f>IF('2. START'!$C$20="UTB",(SUMIF('3. PARTNER'!B$13:B$80,B139,'3. PARTNER'!M$13:M$80)),(SUMIF('3. PARTNER'!B$13:B$80,B139,'3. PARTNER'!I$13:I$80)))</f>
        <v>0</v>
      </c>
      <c r="T139" s="516">
        <f>IF('2. START'!$C$20="UTB",(SUMIF('3. PARTNER'!B$13:B$80,B139,'3. PARTNER'!N$13:N$80)),(SUMIF('3. PARTNER'!B$13:B$80,B139,'3. PARTNER'!J$13:J$80)))</f>
        <v>0</v>
      </c>
      <c r="U139" s="517">
        <f>IF(F139="NO",0,IF('2. START'!C$13="PERSON+OPERATION",'2. START'!C$12,0)+IF('2. START'!C$13="PERSON+OPERATION+INVEST+FACILIT",'2. START'!C$12,0))</f>
        <v>0</v>
      </c>
      <c r="W139" s="442">
        <f t="shared" si="222"/>
        <v>0</v>
      </c>
      <c r="X139" s="442">
        <f t="shared" si="223"/>
        <v>0</v>
      </c>
      <c r="Y139" s="442">
        <f t="shared" si="224"/>
        <v>0</v>
      </c>
      <c r="Z139" s="442">
        <f t="shared" si="225"/>
        <v>0</v>
      </c>
      <c r="AA139" s="442">
        <f t="shared" si="226"/>
        <v>0</v>
      </c>
      <c r="AB139" s="442">
        <f t="shared" si="227"/>
        <v>0</v>
      </c>
      <c r="AC139" s="442">
        <f t="shared" si="228"/>
        <v>0</v>
      </c>
      <c r="AD139" s="442">
        <f t="shared" si="229"/>
        <v>0</v>
      </c>
      <c r="AE139" s="442">
        <f t="shared" si="230"/>
        <v>0</v>
      </c>
      <c r="AF139" s="442">
        <f t="shared" si="231"/>
        <v>0</v>
      </c>
      <c r="AG139" s="443">
        <f t="shared" si="159"/>
        <v>0</v>
      </c>
      <c r="AI139" s="442">
        <f t="shared" si="232"/>
        <v>0</v>
      </c>
      <c r="AJ139" s="442">
        <f t="shared" si="233"/>
        <v>0</v>
      </c>
      <c r="AK139" s="442">
        <f t="shared" si="234"/>
        <v>0</v>
      </c>
      <c r="AL139" s="442">
        <f t="shared" si="235"/>
        <v>0</v>
      </c>
      <c r="AM139" s="442">
        <f t="shared" si="236"/>
        <v>0</v>
      </c>
      <c r="AN139" s="442">
        <f t="shared" si="237"/>
        <v>0</v>
      </c>
      <c r="AO139" s="442">
        <f t="shared" si="238"/>
        <v>0</v>
      </c>
      <c r="AP139" s="442">
        <f t="shared" si="239"/>
        <v>0</v>
      </c>
      <c r="AQ139" s="442">
        <f t="shared" si="240"/>
        <v>0</v>
      </c>
      <c r="AR139" s="442">
        <f t="shared" si="241"/>
        <v>0</v>
      </c>
      <c r="AS139" s="443">
        <f t="shared" si="160"/>
        <v>0</v>
      </c>
      <c r="AU139" s="442">
        <f t="shared" si="161"/>
        <v>0</v>
      </c>
      <c r="AV139" s="442">
        <f t="shared" si="162"/>
        <v>0</v>
      </c>
      <c r="AW139" s="442">
        <f t="shared" si="163"/>
        <v>0</v>
      </c>
      <c r="AX139" s="442">
        <f t="shared" si="164"/>
        <v>0</v>
      </c>
      <c r="AY139" s="442">
        <f t="shared" si="165"/>
        <v>0</v>
      </c>
      <c r="AZ139" s="442">
        <f t="shared" si="166"/>
        <v>0</v>
      </c>
      <c r="BA139" s="442">
        <f t="shared" si="167"/>
        <v>0</v>
      </c>
      <c r="BB139" s="442">
        <f t="shared" si="168"/>
        <v>0</v>
      </c>
      <c r="BC139" s="442">
        <f t="shared" si="169"/>
        <v>0</v>
      </c>
      <c r="BD139" s="442">
        <f t="shared" si="170"/>
        <v>0</v>
      </c>
      <c r="BE139" s="443">
        <f t="shared" si="171"/>
        <v>0</v>
      </c>
      <c r="BG139" s="442">
        <f t="shared" si="172"/>
        <v>0</v>
      </c>
      <c r="BH139" s="442">
        <f t="shared" si="173"/>
        <v>0</v>
      </c>
      <c r="BI139" s="442">
        <f t="shared" si="174"/>
        <v>0</v>
      </c>
      <c r="BJ139" s="442">
        <f t="shared" si="175"/>
        <v>0</v>
      </c>
      <c r="BK139" s="442">
        <f t="shared" si="176"/>
        <v>0</v>
      </c>
      <c r="BL139" s="442">
        <f t="shared" si="177"/>
        <v>0</v>
      </c>
      <c r="BM139" s="442">
        <f t="shared" si="178"/>
        <v>0</v>
      </c>
      <c r="BN139" s="442">
        <f t="shared" si="179"/>
        <v>0</v>
      </c>
      <c r="BO139" s="442">
        <f t="shared" si="180"/>
        <v>0</v>
      </c>
      <c r="BP139" s="442">
        <f t="shared" si="181"/>
        <v>0</v>
      </c>
      <c r="BQ139" s="443">
        <f t="shared" si="182"/>
        <v>0</v>
      </c>
      <c r="BS139" s="442">
        <f t="shared" si="183"/>
        <v>0</v>
      </c>
      <c r="BT139" s="442">
        <f t="shared" si="184"/>
        <v>0</v>
      </c>
      <c r="BU139" s="442">
        <f t="shared" si="185"/>
        <v>0</v>
      </c>
      <c r="BV139" s="442">
        <f t="shared" si="186"/>
        <v>0</v>
      </c>
      <c r="BW139" s="442">
        <f t="shared" si="187"/>
        <v>0</v>
      </c>
      <c r="BX139" s="442">
        <f t="shared" si="188"/>
        <v>0</v>
      </c>
      <c r="BY139" s="442">
        <f t="shared" si="189"/>
        <v>0</v>
      </c>
      <c r="BZ139" s="442">
        <f t="shared" si="190"/>
        <v>0</v>
      </c>
      <c r="CA139" s="442">
        <f t="shared" si="191"/>
        <v>0</v>
      </c>
      <c r="CB139" s="442">
        <f t="shared" si="192"/>
        <v>0</v>
      </c>
      <c r="CC139" s="443">
        <f t="shared" si="193"/>
        <v>0</v>
      </c>
      <c r="CE139" s="442">
        <f t="shared" si="194"/>
        <v>0</v>
      </c>
      <c r="CF139" s="442">
        <f t="shared" si="195"/>
        <v>0</v>
      </c>
      <c r="CG139" s="442">
        <f t="shared" si="196"/>
        <v>0</v>
      </c>
      <c r="CH139" s="442">
        <f t="shared" si="197"/>
        <v>0</v>
      </c>
      <c r="CI139" s="442">
        <f t="shared" si="198"/>
        <v>0</v>
      </c>
      <c r="CJ139" s="442">
        <f t="shared" si="199"/>
        <v>0</v>
      </c>
      <c r="CK139" s="442">
        <f t="shared" si="200"/>
        <v>0</v>
      </c>
      <c r="CL139" s="442">
        <f t="shared" si="201"/>
        <v>0</v>
      </c>
      <c r="CM139" s="442">
        <f t="shared" si="202"/>
        <v>0</v>
      </c>
      <c r="CN139" s="442">
        <f t="shared" si="203"/>
        <v>0</v>
      </c>
      <c r="CO139" s="443">
        <f t="shared" si="204"/>
        <v>0</v>
      </c>
      <c r="CQ139" s="442">
        <f t="shared" si="242"/>
        <v>0</v>
      </c>
      <c r="CR139" s="442">
        <f t="shared" si="243"/>
        <v>0</v>
      </c>
      <c r="CS139" s="442">
        <f t="shared" si="244"/>
        <v>0</v>
      </c>
      <c r="CT139" s="442">
        <f t="shared" si="245"/>
        <v>0</v>
      </c>
      <c r="CU139" s="442">
        <f t="shared" si="246"/>
        <v>0</v>
      </c>
      <c r="CV139" s="442">
        <f t="shared" si="247"/>
        <v>0</v>
      </c>
      <c r="CW139" s="442">
        <f t="shared" si="248"/>
        <v>0</v>
      </c>
      <c r="CX139" s="442">
        <f t="shared" si="249"/>
        <v>0</v>
      </c>
      <c r="CY139" s="442">
        <f t="shared" si="250"/>
        <v>0</v>
      </c>
      <c r="CZ139" s="442">
        <f t="shared" si="251"/>
        <v>0</v>
      </c>
      <c r="DA139" s="443">
        <f t="shared" si="205"/>
        <v>0</v>
      </c>
      <c r="DC139" s="442">
        <f t="shared" si="206"/>
        <v>0</v>
      </c>
      <c r="DD139" s="442">
        <f t="shared" si="207"/>
        <v>0</v>
      </c>
      <c r="DE139" s="442">
        <f t="shared" si="208"/>
        <v>0</v>
      </c>
      <c r="DF139" s="442">
        <f t="shared" si="209"/>
        <v>0</v>
      </c>
      <c r="DG139" s="442">
        <f t="shared" si="210"/>
        <v>0</v>
      </c>
      <c r="DH139" s="442">
        <f t="shared" si="211"/>
        <v>0</v>
      </c>
      <c r="DI139" s="442">
        <f t="shared" si="212"/>
        <v>0</v>
      </c>
      <c r="DJ139" s="442">
        <f t="shared" si="213"/>
        <v>0</v>
      </c>
      <c r="DK139" s="442">
        <f t="shared" si="214"/>
        <v>0</v>
      </c>
      <c r="DL139" s="442">
        <f t="shared" si="215"/>
        <v>0</v>
      </c>
      <c r="DM139" s="443">
        <f t="shared" si="216"/>
        <v>0</v>
      </c>
      <c r="DO139" s="442">
        <f t="shared" si="252"/>
        <v>0</v>
      </c>
      <c r="DP139" s="442">
        <f t="shared" si="252"/>
        <v>0</v>
      </c>
      <c r="DQ139" s="442">
        <f t="shared" si="252"/>
        <v>0</v>
      </c>
      <c r="DR139" s="442">
        <f t="shared" si="252"/>
        <v>0</v>
      </c>
      <c r="DS139" s="442">
        <f t="shared" si="252"/>
        <v>0</v>
      </c>
      <c r="DT139" s="442">
        <f t="shared" si="252"/>
        <v>0</v>
      </c>
      <c r="DU139" s="442">
        <f t="shared" si="252"/>
        <v>0</v>
      </c>
      <c r="DV139" s="442">
        <f t="shared" si="252"/>
        <v>0</v>
      </c>
      <c r="DW139" s="442">
        <f t="shared" si="252"/>
        <v>0</v>
      </c>
      <c r="DX139" s="442">
        <f t="shared" si="252"/>
        <v>0</v>
      </c>
      <c r="DY139" s="443">
        <f t="shared" si="218"/>
        <v>0</v>
      </c>
      <c r="EA139" s="442">
        <f t="shared" si="253"/>
        <v>0</v>
      </c>
      <c r="EB139" s="442">
        <f t="shared" si="253"/>
        <v>0</v>
      </c>
      <c r="EC139" s="442">
        <f t="shared" si="253"/>
        <v>0</v>
      </c>
      <c r="ED139" s="442">
        <f t="shared" si="253"/>
        <v>0</v>
      </c>
      <c r="EE139" s="442">
        <f t="shared" si="253"/>
        <v>0</v>
      </c>
      <c r="EF139" s="442">
        <f t="shared" si="253"/>
        <v>0</v>
      </c>
      <c r="EG139" s="442">
        <f t="shared" si="253"/>
        <v>0</v>
      </c>
      <c r="EH139" s="442">
        <f t="shared" si="253"/>
        <v>0</v>
      </c>
      <c r="EI139" s="442">
        <f t="shared" si="253"/>
        <v>0</v>
      </c>
      <c r="EJ139" s="442">
        <f t="shared" si="253"/>
        <v>0</v>
      </c>
      <c r="EK139" s="443">
        <f t="shared" si="220"/>
        <v>0</v>
      </c>
    </row>
    <row r="140" spans="2:141" s="268" customFormat="1" ht="15" customHeight="1" x14ac:dyDescent="0.25">
      <c r="B140" s="446" t="str">
        <f>'2. START'!C$7</f>
        <v>100GEM</v>
      </c>
      <c r="C140" s="469"/>
      <c r="D140" s="594"/>
      <c r="E140" s="522">
        <v>0</v>
      </c>
      <c r="F140" s="522" t="s">
        <v>36</v>
      </c>
      <c r="G140" s="522"/>
      <c r="H140" s="523"/>
      <c r="I140" s="523"/>
      <c r="J140" s="523"/>
      <c r="K140" s="523"/>
      <c r="L140" s="523"/>
      <c r="M140" s="523"/>
      <c r="N140" s="523"/>
      <c r="O140" s="523"/>
      <c r="P140" s="523"/>
      <c r="Q140" s="523"/>
      <c r="R140" s="459">
        <f t="shared" si="221"/>
        <v>0</v>
      </c>
      <c r="S140" s="524">
        <f>IF('2. START'!$C$20="UTB",(SUMIF('3. PARTNER'!B$13:B$80,B140,'3. PARTNER'!M$13:M$80)),(SUMIF('3. PARTNER'!B$13:B$80,B140,'3. PARTNER'!I$13:I$80)))</f>
        <v>0</v>
      </c>
      <c r="T140" s="524">
        <f>IF('2. START'!$C$20="UTB",(SUMIF('3. PARTNER'!B$13:B$80,B140,'3. PARTNER'!N$13:N$80)),(SUMIF('3. PARTNER'!B$13:B$80,B140,'3. PARTNER'!J$13:J$80)))</f>
        <v>0</v>
      </c>
      <c r="U140" s="454">
        <f>IF(F140="NO",0,IF('2. START'!C$13="PERSON+OPERATION",'2. START'!C$12,0)+IF('2. START'!C$13="PERSON+OPERATION+INVEST+FACILIT",'2. START'!C$12,0))</f>
        <v>0</v>
      </c>
      <c r="V140" s="463"/>
      <c r="W140" s="459">
        <f t="shared" si="222"/>
        <v>0</v>
      </c>
      <c r="X140" s="459">
        <f t="shared" si="223"/>
        <v>0</v>
      </c>
      <c r="Y140" s="459">
        <f t="shared" si="224"/>
        <v>0</v>
      </c>
      <c r="Z140" s="459">
        <f t="shared" si="225"/>
        <v>0</v>
      </c>
      <c r="AA140" s="459">
        <f t="shared" si="226"/>
        <v>0</v>
      </c>
      <c r="AB140" s="459">
        <f t="shared" si="227"/>
        <v>0</v>
      </c>
      <c r="AC140" s="459">
        <f t="shared" si="228"/>
        <v>0</v>
      </c>
      <c r="AD140" s="459">
        <f t="shared" si="229"/>
        <v>0</v>
      </c>
      <c r="AE140" s="459">
        <f t="shared" si="230"/>
        <v>0</v>
      </c>
      <c r="AF140" s="459">
        <f t="shared" si="231"/>
        <v>0</v>
      </c>
      <c r="AG140" s="460">
        <f t="shared" si="159"/>
        <v>0</v>
      </c>
      <c r="AH140" s="463"/>
      <c r="AI140" s="459">
        <f t="shared" si="232"/>
        <v>0</v>
      </c>
      <c r="AJ140" s="459">
        <f t="shared" si="233"/>
        <v>0</v>
      </c>
      <c r="AK140" s="459">
        <f t="shared" si="234"/>
        <v>0</v>
      </c>
      <c r="AL140" s="459">
        <f t="shared" si="235"/>
        <v>0</v>
      </c>
      <c r="AM140" s="459">
        <f t="shared" si="236"/>
        <v>0</v>
      </c>
      <c r="AN140" s="459">
        <f t="shared" si="237"/>
        <v>0</v>
      </c>
      <c r="AO140" s="459">
        <f t="shared" si="238"/>
        <v>0</v>
      </c>
      <c r="AP140" s="459">
        <f t="shared" si="239"/>
        <v>0</v>
      </c>
      <c r="AQ140" s="459">
        <f t="shared" si="240"/>
        <v>0</v>
      </c>
      <c r="AR140" s="459">
        <f t="shared" si="241"/>
        <v>0</v>
      </c>
      <c r="AS140" s="460">
        <f t="shared" si="160"/>
        <v>0</v>
      </c>
      <c r="AT140" s="463"/>
      <c r="AU140" s="459">
        <f t="shared" si="161"/>
        <v>0</v>
      </c>
      <c r="AV140" s="459">
        <f t="shared" si="162"/>
        <v>0</v>
      </c>
      <c r="AW140" s="459">
        <f t="shared" si="163"/>
        <v>0</v>
      </c>
      <c r="AX140" s="459">
        <f t="shared" si="164"/>
        <v>0</v>
      </c>
      <c r="AY140" s="459">
        <f t="shared" si="165"/>
        <v>0</v>
      </c>
      <c r="AZ140" s="459">
        <f t="shared" si="166"/>
        <v>0</v>
      </c>
      <c r="BA140" s="459">
        <f t="shared" si="167"/>
        <v>0</v>
      </c>
      <c r="BB140" s="459">
        <f t="shared" si="168"/>
        <v>0</v>
      </c>
      <c r="BC140" s="459">
        <f t="shared" si="169"/>
        <v>0</v>
      </c>
      <c r="BD140" s="459">
        <f t="shared" si="170"/>
        <v>0</v>
      </c>
      <c r="BE140" s="460">
        <f t="shared" si="171"/>
        <v>0</v>
      </c>
      <c r="BF140" s="463"/>
      <c r="BG140" s="459">
        <f t="shared" si="172"/>
        <v>0</v>
      </c>
      <c r="BH140" s="459">
        <f t="shared" si="173"/>
        <v>0</v>
      </c>
      <c r="BI140" s="459">
        <f t="shared" si="174"/>
        <v>0</v>
      </c>
      <c r="BJ140" s="459">
        <f t="shared" si="175"/>
        <v>0</v>
      </c>
      <c r="BK140" s="459">
        <f t="shared" si="176"/>
        <v>0</v>
      </c>
      <c r="BL140" s="459">
        <f t="shared" si="177"/>
        <v>0</v>
      </c>
      <c r="BM140" s="459">
        <f t="shared" si="178"/>
        <v>0</v>
      </c>
      <c r="BN140" s="459">
        <f t="shared" si="179"/>
        <v>0</v>
      </c>
      <c r="BO140" s="459">
        <f t="shared" si="180"/>
        <v>0</v>
      </c>
      <c r="BP140" s="459">
        <f t="shared" si="181"/>
        <v>0</v>
      </c>
      <c r="BQ140" s="460">
        <f t="shared" si="182"/>
        <v>0</v>
      </c>
      <c r="BR140" s="463"/>
      <c r="BS140" s="459">
        <f t="shared" si="183"/>
        <v>0</v>
      </c>
      <c r="BT140" s="459">
        <f t="shared" si="184"/>
        <v>0</v>
      </c>
      <c r="BU140" s="459">
        <f t="shared" si="185"/>
        <v>0</v>
      </c>
      <c r="BV140" s="459">
        <f t="shared" si="186"/>
        <v>0</v>
      </c>
      <c r="BW140" s="459">
        <f t="shared" si="187"/>
        <v>0</v>
      </c>
      <c r="BX140" s="459">
        <f t="shared" si="188"/>
        <v>0</v>
      </c>
      <c r="BY140" s="459">
        <f t="shared" si="189"/>
        <v>0</v>
      </c>
      <c r="BZ140" s="459">
        <f t="shared" si="190"/>
        <v>0</v>
      </c>
      <c r="CA140" s="459">
        <f t="shared" si="191"/>
        <v>0</v>
      </c>
      <c r="CB140" s="459">
        <f t="shared" si="192"/>
        <v>0</v>
      </c>
      <c r="CC140" s="460">
        <f t="shared" si="193"/>
        <v>0</v>
      </c>
      <c r="CD140" s="463"/>
      <c r="CE140" s="459">
        <f t="shared" si="194"/>
        <v>0</v>
      </c>
      <c r="CF140" s="459">
        <f t="shared" si="195"/>
        <v>0</v>
      </c>
      <c r="CG140" s="459">
        <f t="shared" si="196"/>
        <v>0</v>
      </c>
      <c r="CH140" s="459">
        <f t="shared" si="197"/>
        <v>0</v>
      </c>
      <c r="CI140" s="459">
        <f t="shared" si="198"/>
        <v>0</v>
      </c>
      <c r="CJ140" s="459">
        <f t="shared" si="199"/>
        <v>0</v>
      </c>
      <c r="CK140" s="459">
        <f t="shared" si="200"/>
        <v>0</v>
      </c>
      <c r="CL140" s="459">
        <f t="shared" si="201"/>
        <v>0</v>
      </c>
      <c r="CM140" s="459">
        <f t="shared" si="202"/>
        <v>0</v>
      </c>
      <c r="CN140" s="459">
        <f t="shared" si="203"/>
        <v>0</v>
      </c>
      <c r="CO140" s="460">
        <f t="shared" si="204"/>
        <v>0</v>
      </c>
      <c r="CP140" s="463"/>
      <c r="CQ140" s="459">
        <f t="shared" si="242"/>
        <v>0</v>
      </c>
      <c r="CR140" s="459">
        <f t="shared" si="243"/>
        <v>0</v>
      </c>
      <c r="CS140" s="459">
        <f t="shared" si="244"/>
        <v>0</v>
      </c>
      <c r="CT140" s="459">
        <f t="shared" si="245"/>
        <v>0</v>
      </c>
      <c r="CU140" s="459">
        <f t="shared" si="246"/>
        <v>0</v>
      </c>
      <c r="CV140" s="459">
        <f t="shared" si="247"/>
        <v>0</v>
      </c>
      <c r="CW140" s="459">
        <f t="shared" si="248"/>
        <v>0</v>
      </c>
      <c r="CX140" s="459">
        <f t="shared" si="249"/>
        <v>0</v>
      </c>
      <c r="CY140" s="459">
        <f t="shared" si="250"/>
        <v>0</v>
      </c>
      <c r="CZ140" s="459">
        <f t="shared" si="251"/>
        <v>0</v>
      </c>
      <c r="DA140" s="460">
        <f t="shared" si="205"/>
        <v>0</v>
      </c>
      <c r="DB140" s="463"/>
      <c r="DC140" s="459">
        <f t="shared" si="206"/>
        <v>0</v>
      </c>
      <c r="DD140" s="459">
        <f t="shared" si="207"/>
        <v>0</v>
      </c>
      <c r="DE140" s="459">
        <f t="shared" si="208"/>
        <v>0</v>
      </c>
      <c r="DF140" s="459">
        <f t="shared" si="209"/>
        <v>0</v>
      </c>
      <c r="DG140" s="459">
        <f t="shared" si="210"/>
        <v>0</v>
      </c>
      <c r="DH140" s="459">
        <f t="shared" si="211"/>
        <v>0</v>
      </c>
      <c r="DI140" s="459">
        <f t="shared" si="212"/>
        <v>0</v>
      </c>
      <c r="DJ140" s="459">
        <f t="shared" si="213"/>
        <v>0</v>
      </c>
      <c r="DK140" s="459">
        <f t="shared" si="214"/>
        <v>0</v>
      </c>
      <c r="DL140" s="459">
        <f t="shared" si="215"/>
        <v>0</v>
      </c>
      <c r="DM140" s="460">
        <f t="shared" si="216"/>
        <v>0</v>
      </c>
      <c r="DN140" s="463"/>
      <c r="DO140" s="459">
        <f t="shared" si="252"/>
        <v>0</v>
      </c>
      <c r="DP140" s="459">
        <f t="shared" si="252"/>
        <v>0</v>
      </c>
      <c r="DQ140" s="459">
        <f t="shared" si="252"/>
        <v>0</v>
      </c>
      <c r="DR140" s="459">
        <f t="shared" si="252"/>
        <v>0</v>
      </c>
      <c r="DS140" s="459">
        <f t="shared" si="252"/>
        <v>0</v>
      </c>
      <c r="DT140" s="459">
        <f t="shared" si="252"/>
        <v>0</v>
      </c>
      <c r="DU140" s="459">
        <f t="shared" si="252"/>
        <v>0</v>
      </c>
      <c r="DV140" s="459">
        <f t="shared" si="252"/>
        <v>0</v>
      </c>
      <c r="DW140" s="459">
        <f t="shared" si="252"/>
        <v>0</v>
      </c>
      <c r="DX140" s="459">
        <f t="shared" si="252"/>
        <v>0</v>
      </c>
      <c r="DY140" s="460">
        <f t="shared" si="218"/>
        <v>0</v>
      </c>
      <c r="DZ140" s="463"/>
      <c r="EA140" s="459">
        <f t="shared" si="253"/>
        <v>0</v>
      </c>
      <c r="EB140" s="459">
        <f t="shared" si="253"/>
        <v>0</v>
      </c>
      <c r="EC140" s="459">
        <f t="shared" si="253"/>
        <v>0</v>
      </c>
      <c r="ED140" s="459">
        <f t="shared" si="253"/>
        <v>0</v>
      </c>
      <c r="EE140" s="459">
        <f t="shared" si="253"/>
        <v>0</v>
      </c>
      <c r="EF140" s="459">
        <f t="shared" si="253"/>
        <v>0</v>
      </c>
      <c r="EG140" s="459">
        <f t="shared" si="253"/>
        <v>0</v>
      </c>
      <c r="EH140" s="459">
        <f t="shared" si="253"/>
        <v>0</v>
      </c>
      <c r="EI140" s="459">
        <f t="shared" si="253"/>
        <v>0</v>
      </c>
      <c r="EJ140" s="459">
        <f t="shared" si="253"/>
        <v>0</v>
      </c>
      <c r="EK140" s="460">
        <f t="shared" si="220"/>
        <v>0</v>
      </c>
    </row>
    <row r="141" spans="2:141" s="270" customFormat="1" ht="15" customHeight="1" x14ac:dyDescent="0.25">
      <c r="B141" s="464" t="str">
        <f>'2. START'!C$7</f>
        <v>100GEM</v>
      </c>
      <c r="C141" s="470"/>
      <c r="D141" s="593"/>
      <c r="E141" s="527">
        <v>0</v>
      </c>
      <c r="F141" s="527" t="s">
        <v>36</v>
      </c>
      <c r="G141" s="527"/>
      <c r="H141" s="515"/>
      <c r="I141" s="515"/>
      <c r="J141" s="515"/>
      <c r="K141" s="515"/>
      <c r="L141" s="515"/>
      <c r="M141" s="515"/>
      <c r="N141" s="515"/>
      <c r="O141" s="515"/>
      <c r="P141" s="515"/>
      <c r="Q141" s="515"/>
      <c r="R141" s="442">
        <f t="shared" si="221"/>
        <v>0</v>
      </c>
      <c r="S141" s="516">
        <f>IF('2. START'!$C$20="UTB",(SUMIF('3. PARTNER'!B$13:B$80,B141,'3. PARTNER'!M$13:M$80)),(SUMIF('3. PARTNER'!B$13:B$80,B141,'3. PARTNER'!I$13:I$80)))</f>
        <v>0</v>
      </c>
      <c r="T141" s="516">
        <f>IF('2. START'!$C$20="UTB",(SUMIF('3. PARTNER'!B$13:B$80,B141,'3. PARTNER'!N$13:N$80)),(SUMIF('3. PARTNER'!B$13:B$80,B141,'3. PARTNER'!J$13:J$80)))</f>
        <v>0</v>
      </c>
      <c r="U141" s="517">
        <f>IF(F141="NO",0,IF('2. START'!C$13="PERSON+OPERATION",'2. START'!C$12,0)+IF('2. START'!C$13="PERSON+OPERATION+INVEST+FACILIT",'2. START'!C$12,0))</f>
        <v>0</v>
      </c>
      <c r="W141" s="442">
        <f t="shared" si="222"/>
        <v>0</v>
      </c>
      <c r="X141" s="442">
        <f t="shared" si="223"/>
        <v>0</v>
      </c>
      <c r="Y141" s="442">
        <f t="shared" si="224"/>
        <v>0</v>
      </c>
      <c r="Z141" s="442">
        <f t="shared" si="225"/>
        <v>0</v>
      </c>
      <c r="AA141" s="442">
        <f t="shared" si="226"/>
        <v>0</v>
      </c>
      <c r="AB141" s="442">
        <f t="shared" si="227"/>
        <v>0</v>
      </c>
      <c r="AC141" s="442">
        <f t="shared" si="228"/>
        <v>0</v>
      </c>
      <c r="AD141" s="442">
        <f t="shared" si="229"/>
        <v>0</v>
      </c>
      <c r="AE141" s="442">
        <f t="shared" si="230"/>
        <v>0</v>
      </c>
      <c r="AF141" s="442">
        <f t="shared" si="231"/>
        <v>0</v>
      </c>
      <c r="AG141" s="443">
        <f t="shared" si="159"/>
        <v>0</v>
      </c>
      <c r="AI141" s="442">
        <f t="shared" si="232"/>
        <v>0</v>
      </c>
      <c r="AJ141" s="442">
        <f t="shared" si="233"/>
        <v>0</v>
      </c>
      <c r="AK141" s="442">
        <f t="shared" si="234"/>
        <v>0</v>
      </c>
      <c r="AL141" s="442">
        <f t="shared" si="235"/>
        <v>0</v>
      </c>
      <c r="AM141" s="442">
        <f t="shared" si="236"/>
        <v>0</v>
      </c>
      <c r="AN141" s="442">
        <f t="shared" si="237"/>
        <v>0</v>
      </c>
      <c r="AO141" s="442">
        <f t="shared" si="238"/>
        <v>0</v>
      </c>
      <c r="AP141" s="442">
        <f t="shared" si="239"/>
        <v>0</v>
      </c>
      <c r="AQ141" s="442">
        <f t="shared" si="240"/>
        <v>0</v>
      </c>
      <c r="AR141" s="442">
        <f t="shared" si="241"/>
        <v>0</v>
      </c>
      <c r="AS141" s="443">
        <f t="shared" si="160"/>
        <v>0</v>
      </c>
      <c r="AU141" s="442">
        <f t="shared" si="161"/>
        <v>0</v>
      </c>
      <c r="AV141" s="442">
        <f t="shared" si="162"/>
        <v>0</v>
      </c>
      <c r="AW141" s="442">
        <f t="shared" si="163"/>
        <v>0</v>
      </c>
      <c r="AX141" s="442">
        <f t="shared" si="164"/>
        <v>0</v>
      </c>
      <c r="AY141" s="442">
        <f t="shared" si="165"/>
        <v>0</v>
      </c>
      <c r="AZ141" s="442">
        <f t="shared" si="166"/>
        <v>0</v>
      </c>
      <c r="BA141" s="442">
        <f t="shared" si="167"/>
        <v>0</v>
      </c>
      <c r="BB141" s="442">
        <f t="shared" si="168"/>
        <v>0</v>
      </c>
      <c r="BC141" s="442">
        <f t="shared" si="169"/>
        <v>0</v>
      </c>
      <c r="BD141" s="442">
        <f t="shared" si="170"/>
        <v>0</v>
      </c>
      <c r="BE141" s="443">
        <f t="shared" si="171"/>
        <v>0</v>
      </c>
      <c r="BG141" s="442">
        <f t="shared" si="172"/>
        <v>0</v>
      </c>
      <c r="BH141" s="442">
        <f t="shared" si="173"/>
        <v>0</v>
      </c>
      <c r="BI141" s="442">
        <f t="shared" si="174"/>
        <v>0</v>
      </c>
      <c r="BJ141" s="442">
        <f t="shared" si="175"/>
        <v>0</v>
      </c>
      <c r="BK141" s="442">
        <f t="shared" si="176"/>
        <v>0</v>
      </c>
      <c r="BL141" s="442">
        <f t="shared" si="177"/>
        <v>0</v>
      </c>
      <c r="BM141" s="442">
        <f t="shared" si="178"/>
        <v>0</v>
      </c>
      <c r="BN141" s="442">
        <f t="shared" si="179"/>
        <v>0</v>
      </c>
      <c r="BO141" s="442">
        <f t="shared" si="180"/>
        <v>0</v>
      </c>
      <c r="BP141" s="442">
        <f t="shared" si="181"/>
        <v>0</v>
      </c>
      <c r="BQ141" s="443">
        <f t="shared" si="182"/>
        <v>0</v>
      </c>
      <c r="BS141" s="442">
        <f t="shared" si="183"/>
        <v>0</v>
      </c>
      <c r="BT141" s="442">
        <f t="shared" si="184"/>
        <v>0</v>
      </c>
      <c r="BU141" s="442">
        <f t="shared" si="185"/>
        <v>0</v>
      </c>
      <c r="BV141" s="442">
        <f t="shared" si="186"/>
        <v>0</v>
      </c>
      <c r="BW141" s="442">
        <f t="shared" si="187"/>
        <v>0</v>
      </c>
      <c r="BX141" s="442">
        <f t="shared" si="188"/>
        <v>0</v>
      </c>
      <c r="BY141" s="442">
        <f t="shared" si="189"/>
        <v>0</v>
      </c>
      <c r="BZ141" s="442">
        <f t="shared" si="190"/>
        <v>0</v>
      </c>
      <c r="CA141" s="442">
        <f t="shared" si="191"/>
        <v>0</v>
      </c>
      <c r="CB141" s="442">
        <f t="shared" si="192"/>
        <v>0</v>
      </c>
      <c r="CC141" s="443">
        <f t="shared" si="193"/>
        <v>0</v>
      </c>
      <c r="CE141" s="442">
        <f t="shared" si="194"/>
        <v>0</v>
      </c>
      <c r="CF141" s="442">
        <f t="shared" si="195"/>
        <v>0</v>
      </c>
      <c r="CG141" s="442">
        <f t="shared" si="196"/>
        <v>0</v>
      </c>
      <c r="CH141" s="442">
        <f t="shared" si="197"/>
        <v>0</v>
      </c>
      <c r="CI141" s="442">
        <f t="shared" si="198"/>
        <v>0</v>
      </c>
      <c r="CJ141" s="442">
        <f t="shared" si="199"/>
        <v>0</v>
      </c>
      <c r="CK141" s="442">
        <f t="shared" si="200"/>
        <v>0</v>
      </c>
      <c r="CL141" s="442">
        <f t="shared" si="201"/>
        <v>0</v>
      </c>
      <c r="CM141" s="442">
        <f t="shared" si="202"/>
        <v>0</v>
      </c>
      <c r="CN141" s="442">
        <f t="shared" si="203"/>
        <v>0</v>
      </c>
      <c r="CO141" s="443">
        <f t="shared" si="204"/>
        <v>0</v>
      </c>
      <c r="CQ141" s="442">
        <f t="shared" si="242"/>
        <v>0</v>
      </c>
      <c r="CR141" s="442">
        <f t="shared" si="243"/>
        <v>0</v>
      </c>
      <c r="CS141" s="442">
        <f t="shared" si="244"/>
        <v>0</v>
      </c>
      <c r="CT141" s="442">
        <f t="shared" si="245"/>
        <v>0</v>
      </c>
      <c r="CU141" s="442">
        <f t="shared" si="246"/>
        <v>0</v>
      </c>
      <c r="CV141" s="442">
        <f t="shared" si="247"/>
        <v>0</v>
      </c>
      <c r="CW141" s="442">
        <f t="shared" si="248"/>
        <v>0</v>
      </c>
      <c r="CX141" s="442">
        <f t="shared" si="249"/>
        <v>0</v>
      </c>
      <c r="CY141" s="442">
        <f t="shared" si="250"/>
        <v>0</v>
      </c>
      <c r="CZ141" s="442">
        <f t="shared" si="251"/>
        <v>0</v>
      </c>
      <c r="DA141" s="443">
        <f t="shared" si="205"/>
        <v>0</v>
      </c>
      <c r="DC141" s="442">
        <f t="shared" si="206"/>
        <v>0</v>
      </c>
      <c r="DD141" s="442">
        <f t="shared" si="207"/>
        <v>0</v>
      </c>
      <c r="DE141" s="442">
        <f t="shared" si="208"/>
        <v>0</v>
      </c>
      <c r="DF141" s="442">
        <f t="shared" si="209"/>
        <v>0</v>
      </c>
      <c r="DG141" s="442">
        <f t="shared" si="210"/>
        <v>0</v>
      </c>
      <c r="DH141" s="442">
        <f t="shared" si="211"/>
        <v>0</v>
      </c>
      <c r="DI141" s="442">
        <f t="shared" si="212"/>
        <v>0</v>
      </c>
      <c r="DJ141" s="442">
        <f t="shared" si="213"/>
        <v>0</v>
      </c>
      <c r="DK141" s="442">
        <f t="shared" si="214"/>
        <v>0</v>
      </c>
      <c r="DL141" s="442">
        <f t="shared" si="215"/>
        <v>0</v>
      </c>
      <c r="DM141" s="443">
        <f t="shared" si="216"/>
        <v>0</v>
      </c>
      <c r="DO141" s="442">
        <f t="shared" si="252"/>
        <v>0</v>
      </c>
      <c r="DP141" s="442">
        <f t="shared" si="252"/>
        <v>0</v>
      </c>
      <c r="DQ141" s="442">
        <f t="shared" si="252"/>
        <v>0</v>
      </c>
      <c r="DR141" s="442">
        <f t="shared" si="252"/>
        <v>0</v>
      </c>
      <c r="DS141" s="442">
        <f t="shared" si="252"/>
        <v>0</v>
      </c>
      <c r="DT141" s="442">
        <f t="shared" si="252"/>
        <v>0</v>
      </c>
      <c r="DU141" s="442">
        <f t="shared" si="252"/>
        <v>0</v>
      </c>
      <c r="DV141" s="442">
        <f t="shared" si="252"/>
        <v>0</v>
      </c>
      <c r="DW141" s="442">
        <f t="shared" si="252"/>
        <v>0</v>
      </c>
      <c r="DX141" s="442">
        <f t="shared" si="252"/>
        <v>0</v>
      </c>
      <c r="DY141" s="443">
        <f t="shared" si="218"/>
        <v>0</v>
      </c>
      <c r="EA141" s="442">
        <f t="shared" si="253"/>
        <v>0</v>
      </c>
      <c r="EB141" s="442">
        <f t="shared" si="253"/>
        <v>0</v>
      </c>
      <c r="EC141" s="442">
        <f t="shared" si="253"/>
        <v>0</v>
      </c>
      <c r="ED141" s="442">
        <f t="shared" si="253"/>
        <v>0</v>
      </c>
      <c r="EE141" s="442">
        <f t="shared" si="253"/>
        <v>0</v>
      </c>
      <c r="EF141" s="442">
        <f t="shared" si="253"/>
        <v>0</v>
      </c>
      <c r="EG141" s="442">
        <f t="shared" si="253"/>
        <v>0</v>
      </c>
      <c r="EH141" s="442">
        <f t="shared" si="253"/>
        <v>0</v>
      </c>
      <c r="EI141" s="442">
        <f t="shared" si="253"/>
        <v>0</v>
      </c>
      <c r="EJ141" s="442">
        <f t="shared" si="253"/>
        <v>0</v>
      </c>
      <c r="EK141" s="443">
        <f t="shared" si="220"/>
        <v>0</v>
      </c>
    </row>
    <row r="142" spans="2:141" s="268" customFormat="1" ht="15" customHeight="1" x14ac:dyDescent="0.25">
      <c r="B142" s="446" t="str">
        <f>'2. START'!C$7</f>
        <v>100GEM</v>
      </c>
      <c r="C142" s="469"/>
      <c r="D142" s="594"/>
      <c r="E142" s="522">
        <v>0</v>
      </c>
      <c r="F142" s="522" t="s">
        <v>36</v>
      </c>
      <c r="G142" s="522"/>
      <c r="H142" s="523"/>
      <c r="I142" s="523"/>
      <c r="J142" s="523"/>
      <c r="K142" s="523"/>
      <c r="L142" s="523"/>
      <c r="M142" s="523"/>
      <c r="N142" s="523"/>
      <c r="O142" s="523"/>
      <c r="P142" s="523"/>
      <c r="Q142" s="523"/>
      <c r="R142" s="459">
        <f t="shared" si="221"/>
        <v>0</v>
      </c>
      <c r="S142" s="524">
        <f>IF('2. START'!$C$20="UTB",(SUMIF('3. PARTNER'!B$13:B$80,B142,'3. PARTNER'!M$13:M$80)),(SUMIF('3. PARTNER'!B$13:B$80,B142,'3. PARTNER'!I$13:I$80)))</f>
        <v>0</v>
      </c>
      <c r="T142" s="524">
        <f>IF('2. START'!$C$20="UTB",(SUMIF('3. PARTNER'!B$13:B$80,B142,'3. PARTNER'!N$13:N$80)),(SUMIF('3. PARTNER'!B$13:B$80,B142,'3. PARTNER'!J$13:J$80)))</f>
        <v>0</v>
      </c>
      <c r="U142" s="454">
        <f>IF(F142="NO",0,IF('2. START'!C$13="PERSON+OPERATION",'2. START'!C$12,0)+IF('2. START'!C$13="PERSON+OPERATION+INVEST+FACILIT",'2. START'!C$12,0))</f>
        <v>0</v>
      </c>
      <c r="V142" s="463"/>
      <c r="W142" s="459">
        <f t="shared" si="222"/>
        <v>0</v>
      </c>
      <c r="X142" s="459">
        <f t="shared" si="223"/>
        <v>0</v>
      </c>
      <c r="Y142" s="459">
        <f t="shared" si="224"/>
        <v>0</v>
      </c>
      <c r="Z142" s="459">
        <f t="shared" si="225"/>
        <v>0</v>
      </c>
      <c r="AA142" s="459">
        <f t="shared" si="226"/>
        <v>0</v>
      </c>
      <c r="AB142" s="459">
        <f t="shared" si="227"/>
        <v>0</v>
      </c>
      <c r="AC142" s="459">
        <f t="shared" si="228"/>
        <v>0</v>
      </c>
      <c r="AD142" s="459">
        <f t="shared" si="229"/>
        <v>0</v>
      </c>
      <c r="AE142" s="459">
        <f t="shared" si="230"/>
        <v>0</v>
      </c>
      <c r="AF142" s="459">
        <f t="shared" si="231"/>
        <v>0</v>
      </c>
      <c r="AG142" s="460">
        <f t="shared" si="159"/>
        <v>0</v>
      </c>
      <c r="AH142" s="463"/>
      <c r="AI142" s="459">
        <f t="shared" si="232"/>
        <v>0</v>
      </c>
      <c r="AJ142" s="459">
        <f t="shared" si="233"/>
        <v>0</v>
      </c>
      <c r="AK142" s="459">
        <f t="shared" si="234"/>
        <v>0</v>
      </c>
      <c r="AL142" s="459">
        <f t="shared" si="235"/>
        <v>0</v>
      </c>
      <c r="AM142" s="459">
        <f t="shared" si="236"/>
        <v>0</v>
      </c>
      <c r="AN142" s="459">
        <f t="shared" si="237"/>
        <v>0</v>
      </c>
      <c r="AO142" s="459">
        <f t="shared" si="238"/>
        <v>0</v>
      </c>
      <c r="AP142" s="459">
        <f t="shared" si="239"/>
        <v>0</v>
      </c>
      <c r="AQ142" s="459">
        <f t="shared" si="240"/>
        <v>0</v>
      </c>
      <c r="AR142" s="459">
        <f t="shared" si="241"/>
        <v>0</v>
      </c>
      <c r="AS142" s="460">
        <f t="shared" si="160"/>
        <v>0</v>
      </c>
      <c r="AT142" s="463"/>
      <c r="AU142" s="459">
        <f t="shared" si="161"/>
        <v>0</v>
      </c>
      <c r="AV142" s="459">
        <f t="shared" si="162"/>
        <v>0</v>
      </c>
      <c r="AW142" s="459">
        <f t="shared" si="163"/>
        <v>0</v>
      </c>
      <c r="AX142" s="459">
        <f t="shared" si="164"/>
        <v>0</v>
      </c>
      <c r="AY142" s="459">
        <f t="shared" si="165"/>
        <v>0</v>
      </c>
      <c r="AZ142" s="459">
        <f t="shared" si="166"/>
        <v>0</v>
      </c>
      <c r="BA142" s="459">
        <f t="shared" si="167"/>
        <v>0</v>
      </c>
      <c r="BB142" s="459">
        <f t="shared" si="168"/>
        <v>0</v>
      </c>
      <c r="BC142" s="459">
        <f t="shared" si="169"/>
        <v>0</v>
      </c>
      <c r="BD142" s="459">
        <f t="shared" si="170"/>
        <v>0</v>
      </c>
      <c r="BE142" s="460">
        <f t="shared" si="171"/>
        <v>0</v>
      </c>
      <c r="BF142" s="463"/>
      <c r="BG142" s="459">
        <f t="shared" si="172"/>
        <v>0</v>
      </c>
      <c r="BH142" s="459">
        <f t="shared" si="173"/>
        <v>0</v>
      </c>
      <c r="BI142" s="459">
        <f t="shared" si="174"/>
        <v>0</v>
      </c>
      <c r="BJ142" s="459">
        <f t="shared" si="175"/>
        <v>0</v>
      </c>
      <c r="BK142" s="459">
        <f t="shared" si="176"/>
        <v>0</v>
      </c>
      <c r="BL142" s="459">
        <f t="shared" si="177"/>
        <v>0</v>
      </c>
      <c r="BM142" s="459">
        <f t="shared" si="178"/>
        <v>0</v>
      </c>
      <c r="BN142" s="459">
        <f t="shared" si="179"/>
        <v>0</v>
      </c>
      <c r="BO142" s="459">
        <f t="shared" si="180"/>
        <v>0</v>
      </c>
      <c r="BP142" s="459">
        <f t="shared" si="181"/>
        <v>0</v>
      </c>
      <c r="BQ142" s="460">
        <f t="shared" si="182"/>
        <v>0</v>
      </c>
      <c r="BR142" s="463"/>
      <c r="BS142" s="459">
        <f t="shared" si="183"/>
        <v>0</v>
      </c>
      <c r="BT142" s="459">
        <f t="shared" si="184"/>
        <v>0</v>
      </c>
      <c r="BU142" s="459">
        <f t="shared" si="185"/>
        <v>0</v>
      </c>
      <c r="BV142" s="459">
        <f t="shared" si="186"/>
        <v>0</v>
      </c>
      <c r="BW142" s="459">
        <f t="shared" si="187"/>
        <v>0</v>
      </c>
      <c r="BX142" s="459">
        <f t="shared" si="188"/>
        <v>0</v>
      </c>
      <c r="BY142" s="459">
        <f t="shared" si="189"/>
        <v>0</v>
      </c>
      <c r="BZ142" s="459">
        <f t="shared" si="190"/>
        <v>0</v>
      </c>
      <c r="CA142" s="459">
        <f t="shared" si="191"/>
        <v>0</v>
      </c>
      <c r="CB142" s="459">
        <f t="shared" si="192"/>
        <v>0</v>
      </c>
      <c r="CC142" s="460">
        <f t="shared" si="193"/>
        <v>0</v>
      </c>
      <c r="CD142" s="463"/>
      <c r="CE142" s="459">
        <f t="shared" si="194"/>
        <v>0</v>
      </c>
      <c r="CF142" s="459">
        <f t="shared" si="195"/>
        <v>0</v>
      </c>
      <c r="CG142" s="459">
        <f t="shared" si="196"/>
        <v>0</v>
      </c>
      <c r="CH142" s="459">
        <f t="shared" si="197"/>
        <v>0</v>
      </c>
      <c r="CI142" s="459">
        <f t="shared" si="198"/>
        <v>0</v>
      </c>
      <c r="CJ142" s="459">
        <f t="shared" si="199"/>
        <v>0</v>
      </c>
      <c r="CK142" s="459">
        <f t="shared" si="200"/>
        <v>0</v>
      </c>
      <c r="CL142" s="459">
        <f t="shared" si="201"/>
        <v>0</v>
      </c>
      <c r="CM142" s="459">
        <f t="shared" si="202"/>
        <v>0</v>
      </c>
      <c r="CN142" s="459">
        <f t="shared" si="203"/>
        <v>0</v>
      </c>
      <c r="CO142" s="460">
        <f t="shared" si="204"/>
        <v>0</v>
      </c>
      <c r="CP142" s="463"/>
      <c r="CQ142" s="459">
        <f t="shared" si="242"/>
        <v>0</v>
      </c>
      <c r="CR142" s="459">
        <f t="shared" si="243"/>
        <v>0</v>
      </c>
      <c r="CS142" s="459">
        <f t="shared" si="244"/>
        <v>0</v>
      </c>
      <c r="CT142" s="459">
        <f t="shared" si="245"/>
        <v>0</v>
      </c>
      <c r="CU142" s="459">
        <f t="shared" si="246"/>
        <v>0</v>
      </c>
      <c r="CV142" s="459">
        <f t="shared" si="247"/>
        <v>0</v>
      </c>
      <c r="CW142" s="459">
        <f t="shared" si="248"/>
        <v>0</v>
      </c>
      <c r="CX142" s="459">
        <f t="shared" si="249"/>
        <v>0</v>
      </c>
      <c r="CY142" s="459">
        <f t="shared" si="250"/>
        <v>0</v>
      </c>
      <c r="CZ142" s="459">
        <f t="shared" si="251"/>
        <v>0</v>
      </c>
      <c r="DA142" s="460">
        <f t="shared" si="205"/>
        <v>0</v>
      </c>
      <c r="DB142" s="463"/>
      <c r="DC142" s="459">
        <f t="shared" si="206"/>
        <v>0</v>
      </c>
      <c r="DD142" s="459">
        <f t="shared" si="207"/>
        <v>0</v>
      </c>
      <c r="DE142" s="459">
        <f t="shared" si="208"/>
        <v>0</v>
      </c>
      <c r="DF142" s="459">
        <f t="shared" si="209"/>
        <v>0</v>
      </c>
      <c r="DG142" s="459">
        <f t="shared" si="210"/>
        <v>0</v>
      </c>
      <c r="DH142" s="459">
        <f t="shared" si="211"/>
        <v>0</v>
      </c>
      <c r="DI142" s="459">
        <f t="shared" si="212"/>
        <v>0</v>
      </c>
      <c r="DJ142" s="459">
        <f t="shared" si="213"/>
        <v>0</v>
      </c>
      <c r="DK142" s="459">
        <f t="shared" si="214"/>
        <v>0</v>
      </c>
      <c r="DL142" s="459">
        <f t="shared" si="215"/>
        <v>0</v>
      </c>
      <c r="DM142" s="460">
        <f t="shared" si="216"/>
        <v>0</v>
      </c>
      <c r="DN142" s="463"/>
      <c r="DO142" s="459">
        <f t="shared" si="252"/>
        <v>0</v>
      </c>
      <c r="DP142" s="459">
        <f t="shared" si="252"/>
        <v>0</v>
      </c>
      <c r="DQ142" s="459">
        <f t="shared" si="252"/>
        <v>0</v>
      </c>
      <c r="DR142" s="459">
        <f t="shared" si="252"/>
        <v>0</v>
      </c>
      <c r="DS142" s="459">
        <f t="shared" si="252"/>
        <v>0</v>
      </c>
      <c r="DT142" s="459">
        <f t="shared" si="252"/>
        <v>0</v>
      </c>
      <c r="DU142" s="459">
        <f t="shared" si="252"/>
        <v>0</v>
      </c>
      <c r="DV142" s="459">
        <f t="shared" si="252"/>
        <v>0</v>
      </c>
      <c r="DW142" s="459">
        <f t="shared" si="252"/>
        <v>0</v>
      </c>
      <c r="DX142" s="459">
        <f t="shared" si="252"/>
        <v>0</v>
      </c>
      <c r="DY142" s="460">
        <f t="shared" si="218"/>
        <v>0</v>
      </c>
      <c r="DZ142" s="463"/>
      <c r="EA142" s="459">
        <f t="shared" si="253"/>
        <v>0</v>
      </c>
      <c r="EB142" s="459">
        <f t="shared" si="253"/>
        <v>0</v>
      </c>
      <c r="EC142" s="459">
        <f t="shared" si="253"/>
        <v>0</v>
      </c>
      <c r="ED142" s="459">
        <f t="shared" si="253"/>
        <v>0</v>
      </c>
      <c r="EE142" s="459">
        <f t="shared" si="253"/>
        <v>0</v>
      </c>
      <c r="EF142" s="459">
        <f t="shared" si="253"/>
        <v>0</v>
      </c>
      <c r="EG142" s="459">
        <f t="shared" si="253"/>
        <v>0</v>
      </c>
      <c r="EH142" s="459">
        <f t="shared" si="253"/>
        <v>0</v>
      </c>
      <c r="EI142" s="459">
        <f t="shared" si="253"/>
        <v>0</v>
      </c>
      <c r="EJ142" s="459">
        <f t="shared" si="253"/>
        <v>0</v>
      </c>
      <c r="EK142" s="460">
        <f t="shared" si="220"/>
        <v>0</v>
      </c>
    </row>
    <row r="143" spans="2:141" s="270" customFormat="1" ht="15" customHeight="1" x14ac:dyDescent="0.25">
      <c r="B143" s="464" t="str">
        <f>'2. START'!C$7</f>
        <v>100GEM</v>
      </c>
      <c r="C143" s="470"/>
      <c r="D143" s="593"/>
      <c r="E143" s="527">
        <v>0</v>
      </c>
      <c r="F143" s="527" t="s">
        <v>36</v>
      </c>
      <c r="G143" s="527"/>
      <c r="H143" s="515"/>
      <c r="I143" s="515"/>
      <c r="J143" s="515"/>
      <c r="K143" s="515"/>
      <c r="L143" s="515"/>
      <c r="M143" s="515"/>
      <c r="N143" s="515"/>
      <c r="O143" s="515"/>
      <c r="P143" s="515"/>
      <c r="Q143" s="515"/>
      <c r="R143" s="442">
        <f t="shared" si="221"/>
        <v>0</v>
      </c>
      <c r="S143" s="516">
        <f>IF('2. START'!$C$20="UTB",(SUMIF('3. PARTNER'!B$13:B$80,B143,'3. PARTNER'!M$13:M$80)),(SUMIF('3. PARTNER'!B$13:B$80,B143,'3. PARTNER'!I$13:I$80)))</f>
        <v>0</v>
      </c>
      <c r="T143" s="516">
        <f>IF('2. START'!$C$20="UTB",(SUMIF('3. PARTNER'!B$13:B$80,B143,'3. PARTNER'!N$13:N$80)),(SUMIF('3. PARTNER'!B$13:B$80,B143,'3. PARTNER'!J$13:J$80)))</f>
        <v>0</v>
      </c>
      <c r="U143" s="517">
        <f>IF(F143="NO",0,IF('2. START'!C$13="PERSON+OPERATION",'2. START'!C$12,0)+IF('2. START'!C$13="PERSON+OPERATION+INVEST+FACILIT",'2. START'!C$12,0))</f>
        <v>0</v>
      </c>
      <c r="W143" s="442">
        <f t="shared" si="222"/>
        <v>0</v>
      </c>
      <c r="X143" s="442">
        <f t="shared" si="223"/>
        <v>0</v>
      </c>
      <c r="Y143" s="442">
        <f t="shared" si="224"/>
        <v>0</v>
      </c>
      <c r="Z143" s="442">
        <f t="shared" si="225"/>
        <v>0</v>
      </c>
      <c r="AA143" s="442">
        <f t="shared" si="226"/>
        <v>0</v>
      </c>
      <c r="AB143" s="442">
        <f t="shared" si="227"/>
        <v>0</v>
      </c>
      <c r="AC143" s="442">
        <f t="shared" si="228"/>
        <v>0</v>
      </c>
      <c r="AD143" s="442">
        <f t="shared" si="229"/>
        <v>0</v>
      </c>
      <c r="AE143" s="442">
        <f t="shared" si="230"/>
        <v>0</v>
      </c>
      <c r="AF143" s="442">
        <f t="shared" si="231"/>
        <v>0</v>
      </c>
      <c r="AG143" s="443">
        <f t="shared" si="159"/>
        <v>0</v>
      </c>
      <c r="AI143" s="442">
        <f t="shared" si="232"/>
        <v>0</v>
      </c>
      <c r="AJ143" s="442">
        <f t="shared" si="233"/>
        <v>0</v>
      </c>
      <c r="AK143" s="442">
        <f t="shared" si="234"/>
        <v>0</v>
      </c>
      <c r="AL143" s="442">
        <f t="shared" si="235"/>
        <v>0</v>
      </c>
      <c r="AM143" s="442">
        <f t="shared" si="236"/>
        <v>0</v>
      </c>
      <c r="AN143" s="442">
        <f t="shared" si="237"/>
        <v>0</v>
      </c>
      <c r="AO143" s="442">
        <f t="shared" si="238"/>
        <v>0</v>
      </c>
      <c r="AP143" s="442">
        <f t="shared" si="239"/>
        <v>0</v>
      </c>
      <c r="AQ143" s="442">
        <f t="shared" si="240"/>
        <v>0</v>
      </c>
      <c r="AR143" s="442">
        <f t="shared" si="241"/>
        <v>0</v>
      </c>
      <c r="AS143" s="443">
        <f t="shared" si="160"/>
        <v>0</v>
      </c>
      <c r="AU143" s="442">
        <f t="shared" si="161"/>
        <v>0</v>
      </c>
      <c r="AV143" s="442">
        <f t="shared" si="162"/>
        <v>0</v>
      </c>
      <c r="AW143" s="442">
        <f t="shared" si="163"/>
        <v>0</v>
      </c>
      <c r="AX143" s="442">
        <f t="shared" si="164"/>
        <v>0</v>
      </c>
      <c r="AY143" s="442">
        <f t="shared" si="165"/>
        <v>0</v>
      </c>
      <c r="AZ143" s="442">
        <f t="shared" si="166"/>
        <v>0</v>
      </c>
      <c r="BA143" s="442">
        <f t="shared" si="167"/>
        <v>0</v>
      </c>
      <c r="BB143" s="442">
        <f t="shared" si="168"/>
        <v>0</v>
      </c>
      <c r="BC143" s="442">
        <f t="shared" si="169"/>
        <v>0</v>
      </c>
      <c r="BD143" s="442">
        <f t="shared" si="170"/>
        <v>0</v>
      </c>
      <c r="BE143" s="443">
        <f t="shared" si="171"/>
        <v>0</v>
      </c>
      <c r="BG143" s="442">
        <f t="shared" si="172"/>
        <v>0</v>
      </c>
      <c r="BH143" s="442">
        <f t="shared" si="173"/>
        <v>0</v>
      </c>
      <c r="BI143" s="442">
        <f t="shared" si="174"/>
        <v>0</v>
      </c>
      <c r="BJ143" s="442">
        <f t="shared" si="175"/>
        <v>0</v>
      </c>
      <c r="BK143" s="442">
        <f t="shared" si="176"/>
        <v>0</v>
      </c>
      <c r="BL143" s="442">
        <f t="shared" si="177"/>
        <v>0</v>
      </c>
      <c r="BM143" s="442">
        <f t="shared" si="178"/>
        <v>0</v>
      </c>
      <c r="BN143" s="442">
        <f t="shared" si="179"/>
        <v>0</v>
      </c>
      <c r="BO143" s="442">
        <f t="shared" si="180"/>
        <v>0</v>
      </c>
      <c r="BP143" s="442">
        <f t="shared" si="181"/>
        <v>0</v>
      </c>
      <c r="BQ143" s="443">
        <f t="shared" si="182"/>
        <v>0</v>
      </c>
      <c r="BS143" s="442">
        <f t="shared" si="183"/>
        <v>0</v>
      </c>
      <c r="BT143" s="442">
        <f t="shared" si="184"/>
        <v>0</v>
      </c>
      <c r="BU143" s="442">
        <f t="shared" si="185"/>
        <v>0</v>
      </c>
      <c r="BV143" s="442">
        <f t="shared" si="186"/>
        <v>0</v>
      </c>
      <c r="BW143" s="442">
        <f t="shared" si="187"/>
        <v>0</v>
      </c>
      <c r="BX143" s="442">
        <f t="shared" si="188"/>
        <v>0</v>
      </c>
      <c r="BY143" s="442">
        <f t="shared" si="189"/>
        <v>0</v>
      </c>
      <c r="BZ143" s="442">
        <f t="shared" si="190"/>
        <v>0</v>
      </c>
      <c r="CA143" s="442">
        <f t="shared" si="191"/>
        <v>0</v>
      </c>
      <c r="CB143" s="442">
        <f t="shared" si="192"/>
        <v>0</v>
      </c>
      <c r="CC143" s="443">
        <f t="shared" si="193"/>
        <v>0</v>
      </c>
      <c r="CE143" s="442">
        <f t="shared" si="194"/>
        <v>0</v>
      </c>
      <c r="CF143" s="442">
        <f t="shared" si="195"/>
        <v>0</v>
      </c>
      <c r="CG143" s="442">
        <f t="shared" si="196"/>
        <v>0</v>
      </c>
      <c r="CH143" s="442">
        <f t="shared" si="197"/>
        <v>0</v>
      </c>
      <c r="CI143" s="442">
        <f t="shared" si="198"/>
        <v>0</v>
      </c>
      <c r="CJ143" s="442">
        <f t="shared" si="199"/>
        <v>0</v>
      </c>
      <c r="CK143" s="442">
        <f t="shared" si="200"/>
        <v>0</v>
      </c>
      <c r="CL143" s="442">
        <f t="shared" si="201"/>
        <v>0</v>
      </c>
      <c r="CM143" s="442">
        <f t="shared" si="202"/>
        <v>0</v>
      </c>
      <c r="CN143" s="442">
        <f t="shared" si="203"/>
        <v>0</v>
      </c>
      <c r="CO143" s="443">
        <f t="shared" si="204"/>
        <v>0</v>
      </c>
      <c r="CQ143" s="442">
        <f t="shared" si="242"/>
        <v>0</v>
      </c>
      <c r="CR143" s="442">
        <f t="shared" si="243"/>
        <v>0</v>
      </c>
      <c r="CS143" s="442">
        <f t="shared" si="244"/>
        <v>0</v>
      </c>
      <c r="CT143" s="442">
        <f t="shared" si="245"/>
        <v>0</v>
      </c>
      <c r="CU143" s="442">
        <f t="shared" si="246"/>
        <v>0</v>
      </c>
      <c r="CV143" s="442">
        <f t="shared" si="247"/>
        <v>0</v>
      </c>
      <c r="CW143" s="442">
        <f t="shared" si="248"/>
        <v>0</v>
      </c>
      <c r="CX143" s="442">
        <f t="shared" si="249"/>
        <v>0</v>
      </c>
      <c r="CY143" s="442">
        <f t="shared" si="250"/>
        <v>0</v>
      </c>
      <c r="CZ143" s="442">
        <f t="shared" si="251"/>
        <v>0</v>
      </c>
      <c r="DA143" s="443">
        <f t="shared" si="205"/>
        <v>0</v>
      </c>
      <c r="DC143" s="442">
        <f t="shared" si="206"/>
        <v>0</v>
      </c>
      <c r="DD143" s="442">
        <f t="shared" si="207"/>
        <v>0</v>
      </c>
      <c r="DE143" s="442">
        <f t="shared" si="208"/>
        <v>0</v>
      </c>
      <c r="DF143" s="442">
        <f t="shared" si="209"/>
        <v>0</v>
      </c>
      <c r="DG143" s="442">
        <f t="shared" si="210"/>
        <v>0</v>
      </c>
      <c r="DH143" s="442">
        <f t="shared" si="211"/>
        <v>0</v>
      </c>
      <c r="DI143" s="442">
        <f t="shared" si="212"/>
        <v>0</v>
      </c>
      <c r="DJ143" s="442">
        <f t="shared" si="213"/>
        <v>0</v>
      </c>
      <c r="DK143" s="442">
        <f t="shared" si="214"/>
        <v>0</v>
      </c>
      <c r="DL143" s="442">
        <f t="shared" si="215"/>
        <v>0</v>
      </c>
      <c r="DM143" s="443">
        <f t="shared" si="216"/>
        <v>0</v>
      </c>
      <c r="DO143" s="442">
        <f t="shared" si="252"/>
        <v>0</v>
      </c>
      <c r="DP143" s="442">
        <f t="shared" si="252"/>
        <v>0</v>
      </c>
      <c r="DQ143" s="442">
        <f t="shared" si="252"/>
        <v>0</v>
      </c>
      <c r="DR143" s="442">
        <f t="shared" si="252"/>
        <v>0</v>
      </c>
      <c r="DS143" s="442">
        <f t="shared" si="252"/>
        <v>0</v>
      </c>
      <c r="DT143" s="442">
        <f t="shared" si="252"/>
        <v>0</v>
      </c>
      <c r="DU143" s="442">
        <f t="shared" si="252"/>
        <v>0</v>
      </c>
      <c r="DV143" s="442">
        <f t="shared" si="252"/>
        <v>0</v>
      </c>
      <c r="DW143" s="442">
        <f t="shared" si="252"/>
        <v>0</v>
      </c>
      <c r="DX143" s="442">
        <f t="shared" si="252"/>
        <v>0</v>
      </c>
      <c r="DY143" s="443">
        <f t="shared" si="218"/>
        <v>0</v>
      </c>
      <c r="EA143" s="442">
        <f t="shared" si="253"/>
        <v>0</v>
      </c>
      <c r="EB143" s="442">
        <f t="shared" si="253"/>
        <v>0</v>
      </c>
      <c r="EC143" s="442">
        <f t="shared" si="253"/>
        <v>0</v>
      </c>
      <c r="ED143" s="442">
        <f t="shared" si="253"/>
        <v>0</v>
      </c>
      <c r="EE143" s="442">
        <f t="shared" si="253"/>
        <v>0</v>
      </c>
      <c r="EF143" s="442">
        <f t="shared" si="253"/>
        <v>0</v>
      </c>
      <c r="EG143" s="442">
        <f t="shared" si="253"/>
        <v>0</v>
      </c>
      <c r="EH143" s="442">
        <f t="shared" si="253"/>
        <v>0</v>
      </c>
      <c r="EI143" s="442">
        <f t="shared" si="253"/>
        <v>0</v>
      </c>
      <c r="EJ143" s="442">
        <f t="shared" si="253"/>
        <v>0</v>
      </c>
      <c r="EK143" s="443">
        <f t="shared" si="220"/>
        <v>0</v>
      </c>
    </row>
    <row r="144" spans="2:141" s="268" customFormat="1" ht="15" customHeight="1" x14ac:dyDescent="0.25">
      <c r="B144" s="446" t="str">
        <f>'2. START'!C$7</f>
        <v>100GEM</v>
      </c>
      <c r="C144" s="469"/>
      <c r="D144" s="594"/>
      <c r="E144" s="522">
        <v>0</v>
      </c>
      <c r="F144" s="522" t="s">
        <v>36</v>
      </c>
      <c r="G144" s="522"/>
      <c r="H144" s="523"/>
      <c r="I144" s="523"/>
      <c r="J144" s="523"/>
      <c r="K144" s="523"/>
      <c r="L144" s="523"/>
      <c r="M144" s="523"/>
      <c r="N144" s="523"/>
      <c r="O144" s="523"/>
      <c r="P144" s="523"/>
      <c r="Q144" s="523"/>
      <c r="R144" s="459">
        <f t="shared" si="221"/>
        <v>0</v>
      </c>
      <c r="S144" s="524">
        <f>IF('2. START'!$C$20="UTB",(SUMIF('3. PARTNER'!B$13:B$80,B144,'3. PARTNER'!M$13:M$80)),(SUMIF('3. PARTNER'!B$13:B$80,B144,'3. PARTNER'!I$13:I$80)))</f>
        <v>0</v>
      </c>
      <c r="T144" s="524">
        <f>IF('2. START'!$C$20="UTB",(SUMIF('3. PARTNER'!B$13:B$80,B144,'3. PARTNER'!N$13:N$80)),(SUMIF('3. PARTNER'!B$13:B$80,B144,'3. PARTNER'!J$13:J$80)))</f>
        <v>0</v>
      </c>
      <c r="U144" s="454">
        <f>IF(F144="NO",0,IF('2. START'!C$13="PERSON+OPERATION",'2. START'!C$12,0)+IF('2. START'!C$13="PERSON+OPERATION+INVEST+FACILIT",'2. START'!C$12,0))</f>
        <v>0</v>
      </c>
      <c r="V144" s="463"/>
      <c r="W144" s="459">
        <f t="shared" si="222"/>
        <v>0</v>
      </c>
      <c r="X144" s="459">
        <f t="shared" si="223"/>
        <v>0</v>
      </c>
      <c r="Y144" s="459">
        <f t="shared" si="224"/>
        <v>0</v>
      </c>
      <c r="Z144" s="459">
        <f t="shared" si="225"/>
        <v>0</v>
      </c>
      <c r="AA144" s="459">
        <f t="shared" si="226"/>
        <v>0</v>
      </c>
      <c r="AB144" s="459">
        <f t="shared" si="227"/>
        <v>0</v>
      </c>
      <c r="AC144" s="459">
        <f t="shared" si="228"/>
        <v>0</v>
      </c>
      <c r="AD144" s="459">
        <f t="shared" si="229"/>
        <v>0</v>
      </c>
      <c r="AE144" s="459">
        <f t="shared" si="230"/>
        <v>0</v>
      </c>
      <c r="AF144" s="459">
        <f t="shared" si="231"/>
        <v>0</v>
      </c>
      <c r="AG144" s="460">
        <f t="shared" si="159"/>
        <v>0</v>
      </c>
      <c r="AH144" s="463"/>
      <c r="AI144" s="459">
        <f t="shared" si="232"/>
        <v>0</v>
      </c>
      <c r="AJ144" s="459">
        <f t="shared" si="233"/>
        <v>0</v>
      </c>
      <c r="AK144" s="459">
        <f t="shared" si="234"/>
        <v>0</v>
      </c>
      <c r="AL144" s="459">
        <f t="shared" si="235"/>
        <v>0</v>
      </c>
      <c r="AM144" s="459">
        <f t="shared" si="236"/>
        <v>0</v>
      </c>
      <c r="AN144" s="459">
        <f t="shared" si="237"/>
        <v>0</v>
      </c>
      <c r="AO144" s="459">
        <f t="shared" si="238"/>
        <v>0</v>
      </c>
      <c r="AP144" s="459">
        <f t="shared" si="239"/>
        <v>0</v>
      </c>
      <c r="AQ144" s="459">
        <f t="shared" si="240"/>
        <v>0</v>
      </c>
      <c r="AR144" s="459">
        <f t="shared" si="241"/>
        <v>0</v>
      </c>
      <c r="AS144" s="460">
        <f t="shared" si="160"/>
        <v>0</v>
      </c>
      <c r="AT144" s="463"/>
      <c r="AU144" s="459">
        <f t="shared" si="161"/>
        <v>0</v>
      </c>
      <c r="AV144" s="459">
        <f t="shared" si="162"/>
        <v>0</v>
      </c>
      <c r="AW144" s="459">
        <f t="shared" si="163"/>
        <v>0</v>
      </c>
      <c r="AX144" s="459">
        <f t="shared" si="164"/>
        <v>0</v>
      </c>
      <c r="AY144" s="459">
        <f t="shared" si="165"/>
        <v>0</v>
      </c>
      <c r="AZ144" s="459">
        <f t="shared" si="166"/>
        <v>0</v>
      </c>
      <c r="BA144" s="459">
        <f t="shared" si="167"/>
        <v>0</v>
      </c>
      <c r="BB144" s="459">
        <f t="shared" si="168"/>
        <v>0</v>
      </c>
      <c r="BC144" s="459">
        <f t="shared" si="169"/>
        <v>0</v>
      </c>
      <c r="BD144" s="459">
        <f t="shared" si="170"/>
        <v>0</v>
      </c>
      <c r="BE144" s="460">
        <f t="shared" si="171"/>
        <v>0</v>
      </c>
      <c r="BF144" s="463"/>
      <c r="BG144" s="459">
        <f t="shared" si="172"/>
        <v>0</v>
      </c>
      <c r="BH144" s="459">
        <f t="shared" si="173"/>
        <v>0</v>
      </c>
      <c r="BI144" s="459">
        <f t="shared" si="174"/>
        <v>0</v>
      </c>
      <c r="BJ144" s="459">
        <f t="shared" si="175"/>
        <v>0</v>
      </c>
      <c r="BK144" s="459">
        <f t="shared" si="176"/>
        <v>0</v>
      </c>
      <c r="BL144" s="459">
        <f t="shared" si="177"/>
        <v>0</v>
      </c>
      <c r="BM144" s="459">
        <f t="shared" si="178"/>
        <v>0</v>
      </c>
      <c r="BN144" s="459">
        <f t="shared" si="179"/>
        <v>0</v>
      </c>
      <c r="BO144" s="459">
        <f t="shared" si="180"/>
        <v>0</v>
      </c>
      <c r="BP144" s="459">
        <f t="shared" si="181"/>
        <v>0</v>
      </c>
      <c r="BQ144" s="460">
        <f t="shared" si="182"/>
        <v>0</v>
      </c>
      <c r="BR144" s="463"/>
      <c r="BS144" s="459">
        <f t="shared" si="183"/>
        <v>0</v>
      </c>
      <c r="BT144" s="459">
        <f t="shared" si="184"/>
        <v>0</v>
      </c>
      <c r="BU144" s="459">
        <f t="shared" si="185"/>
        <v>0</v>
      </c>
      <c r="BV144" s="459">
        <f t="shared" si="186"/>
        <v>0</v>
      </c>
      <c r="BW144" s="459">
        <f t="shared" si="187"/>
        <v>0</v>
      </c>
      <c r="BX144" s="459">
        <f t="shared" si="188"/>
        <v>0</v>
      </c>
      <c r="BY144" s="459">
        <f t="shared" si="189"/>
        <v>0</v>
      </c>
      <c r="BZ144" s="459">
        <f t="shared" si="190"/>
        <v>0</v>
      </c>
      <c r="CA144" s="459">
        <f t="shared" si="191"/>
        <v>0</v>
      </c>
      <c r="CB144" s="459">
        <f t="shared" si="192"/>
        <v>0</v>
      </c>
      <c r="CC144" s="460">
        <f t="shared" si="193"/>
        <v>0</v>
      </c>
      <c r="CD144" s="463"/>
      <c r="CE144" s="459">
        <f t="shared" si="194"/>
        <v>0</v>
      </c>
      <c r="CF144" s="459">
        <f t="shared" si="195"/>
        <v>0</v>
      </c>
      <c r="CG144" s="459">
        <f t="shared" si="196"/>
        <v>0</v>
      </c>
      <c r="CH144" s="459">
        <f t="shared" si="197"/>
        <v>0</v>
      </c>
      <c r="CI144" s="459">
        <f t="shared" si="198"/>
        <v>0</v>
      </c>
      <c r="CJ144" s="459">
        <f t="shared" si="199"/>
        <v>0</v>
      </c>
      <c r="CK144" s="459">
        <f t="shared" si="200"/>
        <v>0</v>
      </c>
      <c r="CL144" s="459">
        <f t="shared" si="201"/>
        <v>0</v>
      </c>
      <c r="CM144" s="459">
        <f t="shared" si="202"/>
        <v>0</v>
      </c>
      <c r="CN144" s="459">
        <f t="shared" si="203"/>
        <v>0</v>
      </c>
      <c r="CO144" s="460">
        <f t="shared" si="204"/>
        <v>0</v>
      </c>
      <c r="CP144" s="463"/>
      <c r="CQ144" s="459">
        <f t="shared" si="242"/>
        <v>0</v>
      </c>
      <c r="CR144" s="459">
        <f t="shared" si="243"/>
        <v>0</v>
      </c>
      <c r="CS144" s="459">
        <f t="shared" si="244"/>
        <v>0</v>
      </c>
      <c r="CT144" s="459">
        <f t="shared" si="245"/>
        <v>0</v>
      </c>
      <c r="CU144" s="459">
        <f t="shared" si="246"/>
        <v>0</v>
      </c>
      <c r="CV144" s="459">
        <f t="shared" si="247"/>
        <v>0</v>
      </c>
      <c r="CW144" s="459">
        <f t="shared" si="248"/>
        <v>0</v>
      </c>
      <c r="CX144" s="459">
        <f t="shared" si="249"/>
        <v>0</v>
      </c>
      <c r="CY144" s="459">
        <f t="shared" si="250"/>
        <v>0</v>
      </c>
      <c r="CZ144" s="459">
        <f t="shared" si="251"/>
        <v>0</v>
      </c>
      <c r="DA144" s="460">
        <f t="shared" si="205"/>
        <v>0</v>
      </c>
      <c r="DB144" s="463"/>
      <c r="DC144" s="459">
        <f t="shared" si="206"/>
        <v>0</v>
      </c>
      <c r="DD144" s="459">
        <f t="shared" si="207"/>
        <v>0</v>
      </c>
      <c r="DE144" s="459">
        <f t="shared" si="208"/>
        <v>0</v>
      </c>
      <c r="DF144" s="459">
        <f t="shared" si="209"/>
        <v>0</v>
      </c>
      <c r="DG144" s="459">
        <f t="shared" si="210"/>
        <v>0</v>
      </c>
      <c r="DH144" s="459">
        <f t="shared" si="211"/>
        <v>0</v>
      </c>
      <c r="DI144" s="459">
        <f t="shared" si="212"/>
        <v>0</v>
      </c>
      <c r="DJ144" s="459">
        <f t="shared" si="213"/>
        <v>0</v>
      </c>
      <c r="DK144" s="459">
        <f t="shared" si="214"/>
        <v>0</v>
      </c>
      <c r="DL144" s="459">
        <f t="shared" si="215"/>
        <v>0</v>
      </c>
      <c r="DM144" s="460">
        <f t="shared" si="216"/>
        <v>0</v>
      </c>
      <c r="DN144" s="463"/>
      <c r="DO144" s="459">
        <f t="shared" si="252"/>
        <v>0</v>
      </c>
      <c r="DP144" s="459">
        <f t="shared" si="252"/>
        <v>0</v>
      </c>
      <c r="DQ144" s="459">
        <f t="shared" si="252"/>
        <v>0</v>
      </c>
      <c r="DR144" s="459">
        <f t="shared" si="252"/>
        <v>0</v>
      </c>
      <c r="DS144" s="459">
        <f t="shared" si="252"/>
        <v>0</v>
      </c>
      <c r="DT144" s="459">
        <f t="shared" si="252"/>
        <v>0</v>
      </c>
      <c r="DU144" s="459">
        <f t="shared" si="252"/>
        <v>0</v>
      </c>
      <c r="DV144" s="459">
        <f t="shared" si="252"/>
        <v>0</v>
      </c>
      <c r="DW144" s="459">
        <f t="shared" si="252"/>
        <v>0</v>
      </c>
      <c r="DX144" s="459">
        <f t="shared" si="252"/>
        <v>0</v>
      </c>
      <c r="DY144" s="460">
        <f t="shared" si="218"/>
        <v>0</v>
      </c>
      <c r="DZ144" s="463"/>
      <c r="EA144" s="459">
        <f t="shared" si="253"/>
        <v>0</v>
      </c>
      <c r="EB144" s="459">
        <f t="shared" si="253"/>
        <v>0</v>
      </c>
      <c r="EC144" s="459">
        <f t="shared" si="253"/>
        <v>0</v>
      </c>
      <c r="ED144" s="459">
        <f t="shared" si="253"/>
        <v>0</v>
      </c>
      <c r="EE144" s="459">
        <f t="shared" si="253"/>
        <v>0</v>
      </c>
      <c r="EF144" s="459">
        <f t="shared" si="253"/>
        <v>0</v>
      </c>
      <c r="EG144" s="459">
        <f t="shared" si="253"/>
        <v>0</v>
      </c>
      <c r="EH144" s="459">
        <f t="shared" si="253"/>
        <v>0</v>
      </c>
      <c r="EI144" s="459">
        <f t="shared" si="253"/>
        <v>0</v>
      </c>
      <c r="EJ144" s="459">
        <f t="shared" si="253"/>
        <v>0</v>
      </c>
      <c r="EK144" s="460">
        <f t="shared" si="220"/>
        <v>0</v>
      </c>
    </row>
    <row r="145" spans="2:141" s="270" customFormat="1" ht="15" customHeight="1" x14ac:dyDescent="0.25">
      <c r="B145" s="464" t="str">
        <f>'2. START'!C$7</f>
        <v>100GEM</v>
      </c>
      <c r="C145" s="470"/>
      <c r="D145" s="593"/>
      <c r="E145" s="527">
        <v>0</v>
      </c>
      <c r="F145" s="527" t="s">
        <v>36</v>
      </c>
      <c r="G145" s="527"/>
      <c r="H145" s="515"/>
      <c r="I145" s="515"/>
      <c r="J145" s="515"/>
      <c r="K145" s="515"/>
      <c r="L145" s="515"/>
      <c r="M145" s="515"/>
      <c r="N145" s="515"/>
      <c r="O145" s="515"/>
      <c r="P145" s="515"/>
      <c r="Q145" s="515"/>
      <c r="R145" s="442">
        <f t="shared" ref="R145:R149" si="254">SUM(H145:Q145)</f>
        <v>0</v>
      </c>
      <c r="S145" s="516">
        <f>IF('2. START'!$C$20="UTB",(SUMIF('3. PARTNER'!B$13:B$80,B145,'3. PARTNER'!M$13:M$80)),(SUMIF('3. PARTNER'!B$13:B$80,B145,'3. PARTNER'!I$13:I$80)))</f>
        <v>0</v>
      </c>
      <c r="T145" s="516">
        <f>IF('2. START'!$C$20="UTB",(SUMIF('3. PARTNER'!B$13:B$80,B145,'3. PARTNER'!N$13:N$80)),(SUMIF('3. PARTNER'!B$13:B$80,B145,'3. PARTNER'!J$13:J$80)))</f>
        <v>0</v>
      </c>
      <c r="U145" s="517">
        <f>IF(F145="NO",0,IF('2. START'!C$13="PERSON+OPERATION",'2. START'!C$12,0)+IF('2. START'!C$13="PERSON+OPERATION+INVEST+FACILIT",'2. START'!C$12,0))</f>
        <v>0</v>
      </c>
      <c r="W145" s="442">
        <f t="shared" si="222"/>
        <v>0</v>
      </c>
      <c r="X145" s="442">
        <f t="shared" si="223"/>
        <v>0</v>
      </c>
      <c r="Y145" s="442">
        <f t="shared" si="224"/>
        <v>0</v>
      </c>
      <c r="Z145" s="442">
        <f t="shared" si="225"/>
        <v>0</v>
      </c>
      <c r="AA145" s="442">
        <f t="shared" si="226"/>
        <v>0</v>
      </c>
      <c r="AB145" s="442">
        <f t="shared" si="227"/>
        <v>0</v>
      </c>
      <c r="AC145" s="442">
        <f t="shared" si="228"/>
        <v>0</v>
      </c>
      <c r="AD145" s="442">
        <f t="shared" si="229"/>
        <v>0</v>
      </c>
      <c r="AE145" s="442">
        <f t="shared" si="230"/>
        <v>0</v>
      </c>
      <c r="AF145" s="442">
        <f t="shared" si="231"/>
        <v>0</v>
      </c>
      <c r="AG145" s="443">
        <f t="shared" si="159"/>
        <v>0</v>
      </c>
      <c r="AI145" s="442">
        <f t="shared" si="232"/>
        <v>0</v>
      </c>
      <c r="AJ145" s="442">
        <f t="shared" si="233"/>
        <v>0</v>
      </c>
      <c r="AK145" s="442">
        <f t="shared" si="234"/>
        <v>0</v>
      </c>
      <c r="AL145" s="442">
        <f t="shared" si="235"/>
        <v>0</v>
      </c>
      <c r="AM145" s="442">
        <f t="shared" si="236"/>
        <v>0</v>
      </c>
      <c r="AN145" s="442">
        <f t="shared" si="237"/>
        <v>0</v>
      </c>
      <c r="AO145" s="442">
        <f t="shared" si="238"/>
        <v>0</v>
      </c>
      <c r="AP145" s="442">
        <f t="shared" si="239"/>
        <v>0</v>
      </c>
      <c r="AQ145" s="442">
        <f t="shared" si="240"/>
        <v>0</v>
      </c>
      <c r="AR145" s="442">
        <f t="shared" si="241"/>
        <v>0</v>
      </c>
      <c r="AS145" s="443">
        <f t="shared" si="160"/>
        <v>0</v>
      </c>
      <c r="AU145" s="442">
        <f t="shared" si="161"/>
        <v>0</v>
      </c>
      <c r="AV145" s="442">
        <f t="shared" si="162"/>
        <v>0</v>
      </c>
      <c r="AW145" s="442">
        <f t="shared" si="163"/>
        <v>0</v>
      </c>
      <c r="AX145" s="442">
        <f t="shared" si="164"/>
        <v>0</v>
      </c>
      <c r="AY145" s="442">
        <f t="shared" si="165"/>
        <v>0</v>
      </c>
      <c r="AZ145" s="442">
        <f t="shared" si="166"/>
        <v>0</v>
      </c>
      <c r="BA145" s="442">
        <f t="shared" si="167"/>
        <v>0</v>
      </c>
      <c r="BB145" s="442">
        <f t="shared" si="168"/>
        <v>0</v>
      </c>
      <c r="BC145" s="442">
        <f t="shared" si="169"/>
        <v>0</v>
      </c>
      <c r="BD145" s="442">
        <f t="shared" si="170"/>
        <v>0</v>
      </c>
      <c r="BE145" s="443">
        <f t="shared" si="171"/>
        <v>0</v>
      </c>
      <c r="BG145" s="442">
        <f t="shared" si="172"/>
        <v>0</v>
      </c>
      <c r="BH145" s="442">
        <f t="shared" si="173"/>
        <v>0</v>
      </c>
      <c r="BI145" s="442">
        <f t="shared" si="174"/>
        <v>0</v>
      </c>
      <c r="BJ145" s="442">
        <f t="shared" si="175"/>
        <v>0</v>
      </c>
      <c r="BK145" s="442">
        <f t="shared" si="176"/>
        <v>0</v>
      </c>
      <c r="BL145" s="442">
        <f t="shared" si="177"/>
        <v>0</v>
      </c>
      <c r="BM145" s="442">
        <f t="shared" si="178"/>
        <v>0</v>
      </c>
      <c r="BN145" s="442">
        <f t="shared" si="179"/>
        <v>0</v>
      </c>
      <c r="BO145" s="442">
        <f t="shared" si="180"/>
        <v>0</v>
      </c>
      <c r="BP145" s="442">
        <f t="shared" si="181"/>
        <v>0</v>
      </c>
      <c r="BQ145" s="443">
        <f t="shared" si="182"/>
        <v>0</v>
      </c>
      <c r="BS145" s="442">
        <f t="shared" si="183"/>
        <v>0</v>
      </c>
      <c r="BT145" s="442">
        <f t="shared" si="184"/>
        <v>0</v>
      </c>
      <c r="BU145" s="442">
        <f t="shared" si="185"/>
        <v>0</v>
      </c>
      <c r="BV145" s="442">
        <f t="shared" si="186"/>
        <v>0</v>
      </c>
      <c r="BW145" s="442">
        <f t="shared" si="187"/>
        <v>0</v>
      </c>
      <c r="BX145" s="442">
        <f t="shared" si="188"/>
        <v>0</v>
      </c>
      <c r="BY145" s="442">
        <f t="shared" si="189"/>
        <v>0</v>
      </c>
      <c r="BZ145" s="442">
        <f t="shared" si="190"/>
        <v>0</v>
      </c>
      <c r="CA145" s="442">
        <f t="shared" si="191"/>
        <v>0</v>
      </c>
      <c r="CB145" s="442">
        <f t="shared" si="192"/>
        <v>0</v>
      </c>
      <c r="CC145" s="443">
        <f t="shared" si="193"/>
        <v>0</v>
      </c>
      <c r="CE145" s="442">
        <f t="shared" si="194"/>
        <v>0</v>
      </c>
      <c r="CF145" s="442">
        <f t="shared" si="195"/>
        <v>0</v>
      </c>
      <c r="CG145" s="442">
        <f t="shared" si="196"/>
        <v>0</v>
      </c>
      <c r="CH145" s="442">
        <f t="shared" si="197"/>
        <v>0</v>
      </c>
      <c r="CI145" s="442">
        <f t="shared" si="198"/>
        <v>0</v>
      </c>
      <c r="CJ145" s="442">
        <f t="shared" si="199"/>
        <v>0</v>
      </c>
      <c r="CK145" s="442">
        <f t="shared" si="200"/>
        <v>0</v>
      </c>
      <c r="CL145" s="442">
        <f t="shared" si="201"/>
        <v>0</v>
      </c>
      <c r="CM145" s="442">
        <f t="shared" si="202"/>
        <v>0</v>
      </c>
      <c r="CN145" s="442">
        <f t="shared" si="203"/>
        <v>0</v>
      </c>
      <c r="CO145" s="443">
        <f t="shared" si="204"/>
        <v>0</v>
      </c>
      <c r="CQ145" s="442">
        <f t="shared" si="242"/>
        <v>0</v>
      </c>
      <c r="CR145" s="442">
        <f t="shared" si="243"/>
        <v>0</v>
      </c>
      <c r="CS145" s="442">
        <f t="shared" si="244"/>
        <v>0</v>
      </c>
      <c r="CT145" s="442">
        <f t="shared" si="245"/>
        <v>0</v>
      </c>
      <c r="CU145" s="442">
        <f t="shared" si="246"/>
        <v>0</v>
      </c>
      <c r="CV145" s="442">
        <f t="shared" si="247"/>
        <v>0</v>
      </c>
      <c r="CW145" s="442">
        <f t="shared" si="248"/>
        <v>0</v>
      </c>
      <c r="CX145" s="442">
        <f t="shared" si="249"/>
        <v>0</v>
      </c>
      <c r="CY145" s="442">
        <f t="shared" si="250"/>
        <v>0</v>
      </c>
      <c r="CZ145" s="442">
        <f t="shared" si="251"/>
        <v>0</v>
      </c>
      <c r="DA145" s="443">
        <f t="shared" si="205"/>
        <v>0</v>
      </c>
      <c r="DC145" s="442">
        <f t="shared" si="206"/>
        <v>0</v>
      </c>
      <c r="DD145" s="442">
        <f t="shared" si="207"/>
        <v>0</v>
      </c>
      <c r="DE145" s="442">
        <f t="shared" si="208"/>
        <v>0</v>
      </c>
      <c r="DF145" s="442">
        <f t="shared" si="209"/>
        <v>0</v>
      </c>
      <c r="DG145" s="442">
        <f t="shared" si="210"/>
        <v>0</v>
      </c>
      <c r="DH145" s="442">
        <f t="shared" si="211"/>
        <v>0</v>
      </c>
      <c r="DI145" s="442">
        <f t="shared" si="212"/>
        <v>0</v>
      </c>
      <c r="DJ145" s="442">
        <f t="shared" si="213"/>
        <v>0</v>
      </c>
      <c r="DK145" s="442">
        <f t="shared" si="214"/>
        <v>0</v>
      </c>
      <c r="DL145" s="442">
        <f t="shared" si="215"/>
        <v>0</v>
      </c>
      <c r="DM145" s="443">
        <f t="shared" si="216"/>
        <v>0</v>
      </c>
      <c r="DO145" s="442">
        <f t="shared" si="252"/>
        <v>0</v>
      </c>
      <c r="DP145" s="442">
        <f t="shared" si="252"/>
        <v>0</v>
      </c>
      <c r="DQ145" s="442">
        <f t="shared" si="252"/>
        <v>0</v>
      </c>
      <c r="DR145" s="442">
        <f t="shared" si="252"/>
        <v>0</v>
      </c>
      <c r="DS145" s="442">
        <f t="shared" si="252"/>
        <v>0</v>
      </c>
      <c r="DT145" s="442">
        <f t="shared" si="252"/>
        <v>0</v>
      </c>
      <c r="DU145" s="442">
        <f t="shared" si="252"/>
        <v>0</v>
      </c>
      <c r="DV145" s="442">
        <f t="shared" si="252"/>
        <v>0</v>
      </c>
      <c r="DW145" s="442">
        <f t="shared" si="252"/>
        <v>0</v>
      </c>
      <c r="DX145" s="442">
        <f t="shared" si="252"/>
        <v>0</v>
      </c>
      <c r="DY145" s="443">
        <f t="shared" si="218"/>
        <v>0</v>
      </c>
      <c r="EA145" s="442">
        <f t="shared" si="253"/>
        <v>0</v>
      </c>
      <c r="EB145" s="442">
        <f t="shared" si="253"/>
        <v>0</v>
      </c>
      <c r="EC145" s="442">
        <f t="shared" si="253"/>
        <v>0</v>
      </c>
      <c r="ED145" s="442">
        <f t="shared" si="253"/>
        <v>0</v>
      </c>
      <c r="EE145" s="442">
        <f t="shared" si="253"/>
        <v>0</v>
      </c>
      <c r="EF145" s="442">
        <f t="shared" si="253"/>
        <v>0</v>
      </c>
      <c r="EG145" s="442">
        <f t="shared" si="253"/>
        <v>0</v>
      </c>
      <c r="EH145" s="442">
        <f t="shared" si="253"/>
        <v>0</v>
      </c>
      <c r="EI145" s="442">
        <f t="shared" si="253"/>
        <v>0</v>
      </c>
      <c r="EJ145" s="442">
        <f t="shared" si="253"/>
        <v>0</v>
      </c>
      <c r="EK145" s="443">
        <f t="shared" si="220"/>
        <v>0</v>
      </c>
    </row>
    <row r="146" spans="2:141" s="268" customFormat="1" ht="15" customHeight="1" x14ac:dyDescent="0.25">
      <c r="B146" s="446" t="str">
        <f>'2. START'!C$7</f>
        <v>100GEM</v>
      </c>
      <c r="C146" s="469"/>
      <c r="D146" s="594"/>
      <c r="E146" s="522">
        <v>0</v>
      </c>
      <c r="F146" s="522" t="s">
        <v>36</v>
      </c>
      <c r="G146" s="522"/>
      <c r="H146" s="523"/>
      <c r="I146" s="523"/>
      <c r="J146" s="523"/>
      <c r="K146" s="523"/>
      <c r="L146" s="523"/>
      <c r="M146" s="523"/>
      <c r="N146" s="523"/>
      <c r="O146" s="523"/>
      <c r="P146" s="523"/>
      <c r="Q146" s="523"/>
      <c r="R146" s="459">
        <f t="shared" si="254"/>
        <v>0</v>
      </c>
      <c r="S146" s="524">
        <f>IF('2. START'!$C$20="UTB",(SUMIF('3. PARTNER'!B$13:B$80,B146,'3. PARTNER'!M$13:M$80)),(SUMIF('3. PARTNER'!B$13:B$80,B146,'3. PARTNER'!I$13:I$80)))</f>
        <v>0</v>
      </c>
      <c r="T146" s="524">
        <f>IF('2. START'!$C$20="UTB",(SUMIF('3. PARTNER'!B$13:B$80,B146,'3. PARTNER'!N$13:N$80)),(SUMIF('3. PARTNER'!B$13:B$80,B146,'3. PARTNER'!J$13:J$80)))</f>
        <v>0</v>
      </c>
      <c r="U146" s="454">
        <f>IF(F146="NO",0,IF('2. START'!C$13="PERSON+OPERATION",'2. START'!C$12,0)+IF('2. START'!C$13="PERSON+OPERATION+INVEST+FACILIT",'2. START'!C$12,0))</f>
        <v>0</v>
      </c>
      <c r="V146" s="463"/>
      <c r="W146" s="459">
        <f t="shared" si="222"/>
        <v>0</v>
      </c>
      <c r="X146" s="459">
        <f t="shared" si="223"/>
        <v>0</v>
      </c>
      <c r="Y146" s="459">
        <f t="shared" si="224"/>
        <v>0</v>
      </c>
      <c r="Z146" s="459">
        <f t="shared" si="225"/>
        <v>0</v>
      </c>
      <c r="AA146" s="459">
        <f t="shared" si="226"/>
        <v>0</v>
      </c>
      <c r="AB146" s="459">
        <f t="shared" si="227"/>
        <v>0</v>
      </c>
      <c r="AC146" s="459">
        <f t="shared" si="228"/>
        <v>0</v>
      </c>
      <c r="AD146" s="459">
        <f t="shared" si="229"/>
        <v>0</v>
      </c>
      <c r="AE146" s="459">
        <f t="shared" si="230"/>
        <v>0</v>
      </c>
      <c r="AF146" s="459">
        <f t="shared" si="231"/>
        <v>0</v>
      </c>
      <c r="AG146" s="460">
        <f t="shared" si="159"/>
        <v>0</v>
      </c>
      <c r="AH146" s="463"/>
      <c r="AI146" s="459">
        <f t="shared" si="232"/>
        <v>0</v>
      </c>
      <c r="AJ146" s="459">
        <f t="shared" si="233"/>
        <v>0</v>
      </c>
      <c r="AK146" s="459">
        <f t="shared" si="234"/>
        <v>0</v>
      </c>
      <c r="AL146" s="459">
        <f t="shared" si="235"/>
        <v>0</v>
      </c>
      <c r="AM146" s="459">
        <f t="shared" si="236"/>
        <v>0</v>
      </c>
      <c r="AN146" s="459">
        <f t="shared" si="237"/>
        <v>0</v>
      </c>
      <c r="AO146" s="459">
        <f t="shared" si="238"/>
        <v>0</v>
      </c>
      <c r="AP146" s="459">
        <f t="shared" si="239"/>
        <v>0</v>
      </c>
      <c r="AQ146" s="459">
        <f t="shared" si="240"/>
        <v>0</v>
      </c>
      <c r="AR146" s="459">
        <f t="shared" si="241"/>
        <v>0</v>
      </c>
      <c r="AS146" s="460">
        <f t="shared" si="160"/>
        <v>0</v>
      </c>
      <c r="AT146" s="463"/>
      <c r="AU146" s="459">
        <f t="shared" si="161"/>
        <v>0</v>
      </c>
      <c r="AV146" s="459">
        <f t="shared" si="162"/>
        <v>0</v>
      </c>
      <c r="AW146" s="459">
        <f t="shared" si="163"/>
        <v>0</v>
      </c>
      <c r="AX146" s="459">
        <f t="shared" si="164"/>
        <v>0</v>
      </c>
      <c r="AY146" s="459">
        <f t="shared" si="165"/>
        <v>0</v>
      </c>
      <c r="AZ146" s="459">
        <f t="shared" si="166"/>
        <v>0</v>
      </c>
      <c r="BA146" s="459">
        <f t="shared" si="167"/>
        <v>0</v>
      </c>
      <c r="BB146" s="459">
        <f t="shared" si="168"/>
        <v>0</v>
      </c>
      <c r="BC146" s="459">
        <f t="shared" si="169"/>
        <v>0</v>
      </c>
      <c r="BD146" s="459">
        <f t="shared" si="170"/>
        <v>0</v>
      </c>
      <c r="BE146" s="460">
        <f t="shared" si="171"/>
        <v>0</v>
      </c>
      <c r="BF146" s="463"/>
      <c r="BG146" s="459">
        <f t="shared" si="172"/>
        <v>0</v>
      </c>
      <c r="BH146" s="459">
        <f t="shared" si="173"/>
        <v>0</v>
      </c>
      <c r="BI146" s="459">
        <f t="shared" si="174"/>
        <v>0</v>
      </c>
      <c r="BJ146" s="459">
        <f t="shared" si="175"/>
        <v>0</v>
      </c>
      <c r="BK146" s="459">
        <f t="shared" si="176"/>
        <v>0</v>
      </c>
      <c r="BL146" s="459">
        <f t="shared" si="177"/>
        <v>0</v>
      </c>
      <c r="BM146" s="459">
        <f t="shared" si="178"/>
        <v>0</v>
      </c>
      <c r="BN146" s="459">
        <f t="shared" si="179"/>
        <v>0</v>
      </c>
      <c r="BO146" s="459">
        <f t="shared" si="180"/>
        <v>0</v>
      </c>
      <c r="BP146" s="459">
        <f t="shared" si="181"/>
        <v>0</v>
      </c>
      <c r="BQ146" s="460">
        <f t="shared" si="182"/>
        <v>0</v>
      </c>
      <c r="BR146" s="463"/>
      <c r="BS146" s="459">
        <f t="shared" si="183"/>
        <v>0</v>
      </c>
      <c r="BT146" s="459">
        <f t="shared" si="184"/>
        <v>0</v>
      </c>
      <c r="BU146" s="459">
        <f t="shared" si="185"/>
        <v>0</v>
      </c>
      <c r="BV146" s="459">
        <f t="shared" si="186"/>
        <v>0</v>
      </c>
      <c r="BW146" s="459">
        <f t="shared" si="187"/>
        <v>0</v>
      </c>
      <c r="BX146" s="459">
        <f t="shared" si="188"/>
        <v>0</v>
      </c>
      <c r="BY146" s="459">
        <f t="shared" si="189"/>
        <v>0</v>
      </c>
      <c r="BZ146" s="459">
        <f t="shared" si="190"/>
        <v>0</v>
      </c>
      <c r="CA146" s="459">
        <f t="shared" si="191"/>
        <v>0</v>
      </c>
      <c r="CB146" s="459">
        <f t="shared" si="192"/>
        <v>0</v>
      </c>
      <c r="CC146" s="460">
        <f t="shared" si="193"/>
        <v>0</v>
      </c>
      <c r="CD146" s="463"/>
      <c r="CE146" s="459">
        <f t="shared" si="194"/>
        <v>0</v>
      </c>
      <c r="CF146" s="459">
        <f t="shared" si="195"/>
        <v>0</v>
      </c>
      <c r="CG146" s="459">
        <f t="shared" si="196"/>
        <v>0</v>
      </c>
      <c r="CH146" s="459">
        <f t="shared" si="197"/>
        <v>0</v>
      </c>
      <c r="CI146" s="459">
        <f t="shared" si="198"/>
        <v>0</v>
      </c>
      <c r="CJ146" s="459">
        <f t="shared" si="199"/>
        <v>0</v>
      </c>
      <c r="CK146" s="459">
        <f t="shared" si="200"/>
        <v>0</v>
      </c>
      <c r="CL146" s="459">
        <f t="shared" si="201"/>
        <v>0</v>
      </c>
      <c r="CM146" s="459">
        <f t="shared" si="202"/>
        <v>0</v>
      </c>
      <c r="CN146" s="459">
        <f t="shared" si="203"/>
        <v>0</v>
      </c>
      <c r="CO146" s="460">
        <f t="shared" si="204"/>
        <v>0</v>
      </c>
      <c r="CP146" s="463"/>
      <c r="CQ146" s="459">
        <f t="shared" si="242"/>
        <v>0</v>
      </c>
      <c r="CR146" s="459">
        <f t="shared" si="243"/>
        <v>0</v>
      </c>
      <c r="CS146" s="459">
        <f t="shared" si="244"/>
        <v>0</v>
      </c>
      <c r="CT146" s="459">
        <f t="shared" si="245"/>
        <v>0</v>
      </c>
      <c r="CU146" s="459">
        <f t="shared" si="246"/>
        <v>0</v>
      </c>
      <c r="CV146" s="459">
        <f t="shared" si="247"/>
        <v>0</v>
      </c>
      <c r="CW146" s="459">
        <f t="shared" si="248"/>
        <v>0</v>
      </c>
      <c r="CX146" s="459">
        <f t="shared" si="249"/>
        <v>0</v>
      </c>
      <c r="CY146" s="459">
        <f t="shared" si="250"/>
        <v>0</v>
      </c>
      <c r="CZ146" s="459">
        <f t="shared" si="251"/>
        <v>0</v>
      </c>
      <c r="DA146" s="460">
        <f t="shared" si="205"/>
        <v>0</v>
      </c>
      <c r="DB146" s="463"/>
      <c r="DC146" s="459">
        <f t="shared" si="206"/>
        <v>0</v>
      </c>
      <c r="DD146" s="459">
        <f t="shared" si="207"/>
        <v>0</v>
      </c>
      <c r="DE146" s="459">
        <f t="shared" si="208"/>
        <v>0</v>
      </c>
      <c r="DF146" s="459">
        <f t="shared" si="209"/>
        <v>0</v>
      </c>
      <c r="DG146" s="459">
        <f t="shared" si="210"/>
        <v>0</v>
      </c>
      <c r="DH146" s="459">
        <f t="shared" si="211"/>
        <v>0</v>
      </c>
      <c r="DI146" s="459">
        <f t="shared" si="212"/>
        <v>0</v>
      </c>
      <c r="DJ146" s="459">
        <f t="shared" si="213"/>
        <v>0</v>
      </c>
      <c r="DK146" s="459">
        <f t="shared" si="214"/>
        <v>0</v>
      </c>
      <c r="DL146" s="459">
        <f t="shared" si="215"/>
        <v>0</v>
      </c>
      <c r="DM146" s="460">
        <f t="shared" si="216"/>
        <v>0</v>
      </c>
      <c r="DN146" s="463"/>
      <c r="DO146" s="459">
        <f t="shared" si="252"/>
        <v>0</v>
      </c>
      <c r="DP146" s="459">
        <f t="shared" si="252"/>
        <v>0</v>
      </c>
      <c r="DQ146" s="459">
        <f t="shared" si="252"/>
        <v>0</v>
      </c>
      <c r="DR146" s="459">
        <f t="shared" si="252"/>
        <v>0</v>
      </c>
      <c r="DS146" s="459">
        <f t="shared" si="252"/>
        <v>0</v>
      </c>
      <c r="DT146" s="459">
        <f t="shared" si="252"/>
        <v>0</v>
      </c>
      <c r="DU146" s="459">
        <f t="shared" si="252"/>
        <v>0</v>
      </c>
      <c r="DV146" s="459">
        <f t="shared" si="252"/>
        <v>0</v>
      </c>
      <c r="DW146" s="459">
        <f t="shared" si="252"/>
        <v>0</v>
      </c>
      <c r="DX146" s="459">
        <f t="shared" si="252"/>
        <v>0</v>
      </c>
      <c r="DY146" s="460">
        <f t="shared" si="218"/>
        <v>0</v>
      </c>
      <c r="DZ146" s="463"/>
      <c r="EA146" s="459">
        <f t="shared" si="253"/>
        <v>0</v>
      </c>
      <c r="EB146" s="459">
        <f t="shared" si="253"/>
        <v>0</v>
      </c>
      <c r="EC146" s="459">
        <f t="shared" si="253"/>
        <v>0</v>
      </c>
      <c r="ED146" s="459">
        <f t="shared" si="253"/>
        <v>0</v>
      </c>
      <c r="EE146" s="459">
        <f t="shared" si="253"/>
        <v>0</v>
      </c>
      <c r="EF146" s="459">
        <f t="shared" si="253"/>
        <v>0</v>
      </c>
      <c r="EG146" s="459">
        <f t="shared" si="253"/>
        <v>0</v>
      </c>
      <c r="EH146" s="459">
        <f t="shared" si="253"/>
        <v>0</v>
      </c>
      <c r="EI146" s="459">
        <f t="shared" si="253"/>
        <v>0</v>
      </c>
      <c r="EJ146" s="459">
        <f t="shared" si="253"/>
        <v>0</v>
      </c>
      <c r="EK146" s="460">
        <f t="shared" si="220"/>
        <v>0</v>
      </c>
    </row>
    <row r="147" spans="2:141" s="270" customFormat="1" ht="15" customHeight="1" x14ac:dyDescent="0.25">
      <c r="B147" s="464" t="str">
        <f>'2. START'!C$7</f>
        <v>100GEM</v>
      </c>
      <c r="C147" s="470"/>
      <c r="D147" s="593"/>
      <c r="E147" s="527">
        <v>0</v>
      </c>
      <c r="F147" s="527" t="s">
        <v>36</v>
      </c>
      <c r="G147" s="527"/>
      <c r="H147" s="515"/>
      <c r="I147" s="515"/>
      <c r="J147" s="515"/>
      <c r="K147" s="515"/>
      <c r="L147" s="515"/>
      <c r="M147" s="515"/>
      <c r="N147" s="515"/>
      <c r="O147" s="515"/>
      <c r="P147" s="515"/>
      <c r="Q147" s="515"/>
      <c r="R147" s="442">
        <f t="shared" si="254"/>
        <v>0</v>
      </c>
      <c r="S147" s="516">
        <f>IF('2. START'!$C$20="UTB",(SUMIF('3. PARTNER'!B$13:B$80,B147,'3. PARTNER'!M$13:M$80)),(SUMIF('3. PARTNER'!B$13:B$80,B147,'3. PARTNER'!I$13:I$80)))</f>
        <v>0</v>
      </c>
      <c r="T147" s="516">
        <f>IF('2. START'!$C$20="UTB",(SUMIF('3. PARTNER'!B$13:B$80,B147,'3. PARTNER'!N$13:N$80)),(SUMIF('3. PARTNER'!B$13:B$80,B147,'3. PARTNER'!J$13:J$80)))</f>
        <v>0</v>
      </c>
      <c r="U147" s="517">
        <f>IF(F147="NO",0,IF('2. START'!C$13="PERSON+OPERATION",'2. START'!C$12,0)+IF('2. START'!C$13="PERSON+OPERATION+INVEST+FACILIT",'2. START'!C$12,0))</f>
        <v>0</v>
      </c>
      <c r="W147" s="442">
        <f t="shared" si="222"/>
        <v>0</v>
      </c>
      <c r="X147" s="442">
        <f t="shared" si="223"/>
        <v>0</v>
      </c>
      <c r="Y147" s="442">
        <f t="shared" si="224"/>
        <v>0</v>
      </c>
      <c r="Z147" s="442">
        <f t="shared" si="225"/>
        <v>0</v>
      </c>
      <c r="AA147" s="442">
        <f t="shared" si="226"/>
        <v>0</v>
      </c>
      <c r="AB147" s="442">
        <f t="shared" si="227"/>
        <v>0</v>
      </c>
      <c r="AC147" s="442">
        <f t="shared" si="228"/>
        <v>0</v>
      </c>
      <c r="AD147" s="442">
        <f t="shared" si="229"/>
        <v>0</v>
      </c>
      <c r="AE147" s="442">
        <f t="shared" si="230"/>
        <v>0</v>
      </c>
      <c r="AF147" s="442">
        <f t="shared" si="231"/>
        <v>0</v>
      </c>
      <c r="AG147" s="443">
        <f t="shared" si="159"/>
        <v>0</v>
      </c>
      <c r="AI147" s="442">
        <f t="shared" si="232"/>
        <v>0</v>
      </c>
      <c r="AJ147" s="442">
        <f t="shared" si="233"/>
        <v>0</v>
      </c>
      <c r="AK147" s="442">
        <f t="shared" si="234"/>
        <v>0</v>
      </c>
      <c r="AL147" s="442">
        <f t="shared" si="235"/>
        <v>0</v>
      </c>
      <c r="AM147" s="442">
        <f t="shared" si="236"/>
        <v>0</v>
      </c>
      <c r="AN147" s="442">
        <f t="shared" si="237"/>
        <v>0</v>
      </c>
      <c r="AO147" s="442">
        <f t="shared" si="238"/>
        <v>0</v>
      </c>
      <c r="AP147" s="442">
        <f t="shared" si="239"/>
        <v>0</v>
      </c>
      <c r="AQ147" s="442">
        <f t="shared" si="240"/>
        <v>0</v>
      </c>
      <c r="AR147" s="442">
        <f t="shared" si="241"/>
        <v>0</v>
      </c>
      <c r="AS147" s="443">
        <f t="shared" si="160"/>
        <v>0</v>
      </c>
      <c r="AU147" s="442">
        <f t="shared" si="161"/>
        <v>0</v>
      </c>
      <c r="AV147" s="442">
        <f t="shared" si="162"/>
        <v>0</v>
      </c>
      <c r="AW147" s="442">
        <f t="shared" si="163"/>
        <v>0</v>
      </c>
      <c r="AX147" s="442">
        <f t="shared" si="164"/>
        <v>0</v>
      </c>
      <c r="AY147" s="442">
        <f t="shared" si="165"/>
        <v>0</v>
      </c>
      <c r="AZ147" s="442">
        <f t="shared" si="166"/>
        <v>0</v>
      </c>
      <c r="BA147" s="442">
        <f t="shared" si="167"/>
        <v>0</v>
      </c>
      <c r="BB147" s="442">
        <f t="shared" si="168"/>
        <v>0</v>
      </c>
      <c r="BC147" s="442">
        <f t="shared" si="169"/>
        <v>0</v>
      </c>
      <c r="BD147" s="442">
        <f t="shared" si="170"/>
        <v>0</v>
      </c>
      <c r="BE147" s="443">
        <f t="shared" si="171"/>
        <v>0</v>
      </c>
      <c r="BG147" s="442">
        <f t="shared" si="172"/>
        <v>0</v>
      </c>
      <c r="BH147" s="442">
        <f t="shared" si="173"/>
        <v>0</v>
      </c>
      <c r="BI147" s="442">
        <f t="shared" si="174"/>
        <v>0</v>
      </c>
      <c r="BJ147" s="442">
        <f t="shared" si="175"/>
        <v>0</v>
      </c>
      <c r="BK147" s="442">
        <f t="shared" si="176"/>
        <v>0</v>
      </c>
      <c r="BL147" s="442">
        <f t="shared" si="177"/>
        <v>0</v>
      </c>
      <c r="BM147" s="442">
        <f t="shared" si="178"/>
        <v>0</v>
      </c>
      <c r="BN147" s="442">
        <f t="shared" si="179"/>
        <v>0</v>
      </c>
      <c r="BO147" s="442">
        <f t="shared" si="180"/>
        <v>0</v>
      </c>
      <c r="BP147" s="442">
        <f t="shared" si="181"/>
        <v>0</v>
      </c>
      <c r="BQ147" s="443">
        <f t="shared" si="182"/>
        <v>0</v>
      </c>
      <c r="BS147" s="442">
        <f t="shared" si="183"/>
        <v>0</v>
      </c>
      <c r="BT147" s="442">
        <f t="shared" si="184"/>
        <v>0</v>
      </c>
      <c r="BU147" s="442">
        <f t="shared" si="185"/>
        <v>0</v>
      </c>
      <c r="BV147" s="442">
        <f t="shared" si="186"/>
        <v>0</v>
      </c>
      <c r="BW147" s="442">
        <f t="shared" si="187"/>
        <v>0</v>
      </c>
      <c r="BX147" s="442">
        <f t="shared" si="188"/>
        <v>0</v>
      </c>
      <c r="BY147" s="442">
        <f t="shared" si="189"/>
        <v>0</v>
      </c>
      <c r="BZ147" s="442">
        <f t="shared" si="190"/>
        <v>0</v>
      </c>
      <c r="CA147" s="442">
        <f t="shared" si="191"/>
        <v>0</v>
      </c>
      <c r="CB147" s="442">
        <f t="shared" si="192"/>
        <v>0</v>
      </c>
      <c r="CC147" s="443">
        <f t="shared" si="193"/>
        <v>0</v>
      </c>
      <c r="CE147" s="442">
        <f t="shared" si="194"/>
        <v>0</v>
      </c>
      <c r="CF147" s="442">
        <f t="shared" si="195"/>
        <v>0</v>
      </c>
      <c r="CG147" s="442">
        <f t="shared" si="196"/>
        <v>0</v>
      </c>
      <c r="CH147" s="442">
        <f t="shared" si="197"/>
        <v>0</v>
      </c>
      <c r="CI147" s="442">
        <f t="shared" si="198"/>
        <v>0</v>
      </c>
      <c r="CJ147" s="442">
        <f t="shared" si="199"/>
        <v>0</v>
      </c>
      <c r="CK147" s="442">
        <f t="shared" si="200"/>
        <v>0</v>
      </c>
      <c r="CL147" s="442">
        <f t="shared" si="201"/>
        <v>0</v>
      </c>
      <c r="CM147" s="442">
        <f t="shared" si="202"/>
        <v>0</v>
      </c>
      <c r="CN147" s="442">
        <f t="shared" si="203"/>
        <v>0</v>
      </c>
      <c r="CO147" s="443">
        <f t="shared" si="204"/>
        <v>0</v>
      </c>
      <c r="CQ147" s="442">
        <f t="shared" si="242"/>
        <v>0</v>
      </c>
      <c r="CR147" s="442">
        <f t="shared" si="243"/>
        <v>0</v>
      </c>
      <c r="CS147" s="442">
        <f t="shared" si="244"/>
        <v>0</v>
      </c>
      <c r="CT147" s="442">
        <f t="shared" si="245"/>
        <v>0</v>
      </c>
      <c r="CU147" s="442">
        <f t="shared" si="246"/>
        <v>0</v>
      </c>
      <c r="CV147" s="442">
        <f t="shared" si="247"/>
        <v>0</v>
      </c>
      <c r="CW147" s="442">
        <f t="shared" si="248"/>
        <v>0</v>
      </c>
      <c r="CX147" s="442">
        <f t="shared" si="249"/>
        <v>0</v>
      </c>
      <c r="CY147" s="442">
        <f t="shared" si="250"/>
        <v>0</v>
      </c>
      <c r="CZ147" s="442">
        <f t="shared" si="251"/>
        <v>0</v>
      </c>
      <c r="DA147" s="443">
        <f t="shared" si="205"/>
        <v>0</v>
      </c>
      <c r="DC147" s="442">
        <f t="shared" si="206"/>
        <v>0</v>
      </c>
      <c r="DD147" s="442">
        <f t="shared" si="207"/>
        <v>0</v>
      </c>
      <c r="DE147" s="442">
        <f t="shared" si="208"/>
        <v>0</v>
      </c>
      <c r="DF147" s="442">
        <f t="shared" si="209"/>
        <v>0</v>
      </c>
      <c r="DG147" s="442">
        <f t="shared" si="210"/>
        <v>0</v>
      </c>
      <c r="DH147" s="442">
        <f t="shared" si="211"/>
        <v>0</v>
      </c>
      <c r="DI147" s="442">
        <f t="shared" si="212"/>
        <v>0</v>
      </c>
      <c r="DJ147" s="442">
        <f t="shared" si="213"/>
        <v>0</v>
      </c>
      <c r="DK147" s="442">
        <f t="shared" si="214"/>
        <v>0</v>
      </c>
      <c r="DL147" s="442">
        <f t="shared" si="215"/>
        <v>0</v>
      </c>
      <c r="DM147" s="443">
        <f t="shared" si="216"/>
        <v>0</v>
      </c>
      <c r="DO147" s="442">
        <f t="shared" si="252"/>
        <v>0</v>
      </c>
      <c r="DP147" s="442">
        <f t="shared" si="252"/>
        <v>0</v>
      </c>
      <c r="DQ147" s="442">
        <f t="shared" si="252"/>
        <v>0</v>
      </c>
      <c r="DR147" s="442">
        <f t="shared" si="252"/>
        <v>0</v>
      </c>
      <c r="DS147" s="442">
        <f t="shared" si="252"/>
        <v>0</v>
      </c>
      <c r="DT147" s="442">
        <f t="shared" si="252"/>
        <v>0</v>
      </c>
      <c r="DU147" s="442">
        <f t="shared" si="252"/>
        <v>0</v>
      </c>
      <c r="DV147" s="442">
        <f t="shared" si="252"/>
        <v>0</v>
      </c>
      <c r="DW147" s="442">
        <f t="shared" si="252"/>
        <v>0</v>
      </c>
      <c r="DX147" s="442">
        <f t="shared" si="252"/>
        <v>0</v>
      </c>
      <c r="DY147" s="443">
        <f t="shared" si="218"/>
        <v>0</v>
      </c>
      <c r="EA147" s="442">
        <f t="shared" si="253"/>
        <v>0</v>
      </c>
      <c r="EB147" s="442">
        <f t="shared" si="253"/>
        <v>0</v>
      </c>
      <c r="EC147" s="442">
        <f t="shared" si="253"/>
        <v>0</v>
      </c>
      <c r="ED147" s="442">
        <f t="shared" si="253"/>
        <v>0</v>
      </c>
      <c r="EE147" s="442">
        <f t="shared" si="253"/>
        <v>0</v>
      </c>
      <c r="EF147" s="442">
        <f t="shared" si="253"/>
        <v>0</v>
      </c>
      <c r="EG147" s="442">
        <f t="shared" si="253"/>
        <v>0</v>
      </c>
      <c r="EH147" s="442">
        <f t="shared" si="253"/>
        <v>0</v>
      </c>
      <c r="EI147" s="442">
        <f t="shared" si="253"/>
        <v>0</v>
      </c>
      <c r="EJ147" s="442">
        <f t="shared" si="253"/>
        <v>0</v>
      </c>
      <c r="EK147" s="443">
        <f t="shared" si="220"/>
        <v>0</v>
      </c>
    </row>
    <row r="148" spans="2:141" s="268" customFormat="1" ht="15" customHeight="1" x14ac:dyDescent="0.25">
      <c r="B148" s="446" t="str">
        <f>'2. START'!C$7</f>
        <v>100GEM</v>
      </c>
      <c r="C148" s="469"/>
      <c r="D148" s="594"/>
      <c r="E148" s="522">
        <v>0</v>
      </c>
      <c r="F148" s="522" t="s">
        <v>36</v>
      </c>
      <c r="G148" s="522"/>
      <c r="H148" s="523"/>
      <c r="I148" s="523"/>
      <c r="J148" s="523"/>
      <c r="K148" s="523"/>
      <c r="L148" s="523"/>
      <c r="M148" s="523"/>
      <c r="N148" s="523"/>
      <c r="O148" s="523"/>
      <c r="P148" s="523"/>
      <c r="Q148" s="523"/>
      <c r="R148" s="459">
        <f t="shared" si="254"/>
        <v>0</v>
      </c>
      <c r="S148" s="524">
        <f>IF('2. START'!$C$20="UTB",(SUMIF('3. PARTNER'!B$13:B$80,B148,'3. PARTNER'!M$13:M$80)),(SUMIF('3. PARTNER'!B$13:B$80,B148,'3. PARTNER'!I$13:I$80)))</f>
        <v>0</v>
      </c>
      <c r="T148" s="524">
        <f>IF('2. START'!$C$20="UTB",(SUMIF('3. PARTNER'!B$13:B$80,B148,'3. PARTNER'!N$13:N$80)),(SUMIF('3. PARTNER'!B$13:B$80,B148,'3. PARTNER'!J$13:J$80)))</f>
        <v>0</v>
      </c>
      <c r="U148" s="454">
        <f>IF(F148="NO",0,IF('2. START'!C$13="PERSON+OPERATION",'2. START'!C$12,0)+IF('2. START'!C$13="PERSON+OPERATION+INVEST+FACILIT",'2. START'!C$12,0))</f>
        <v>0</v>
      </c>
      <c r="V148" s="463"/>
      <c r="W148" s="459">
        <f t="shared" si="222"/>
        <v>0</v>
      </c>
      <c r="X148" s="459">
        <f t="shared" si="223"/>
        <v>0</v>
      </c>
      <c r="Y148" s="459">
        <f t="shared" si="224"/>
        <v>0</v>
      </c>
      <c r="Z148" s="459">
        <f t="shared" si="225"/>
        <v>0</v>
      </c>
      <c r="AA148" s="459">
        <f t="shared" si="226"/>
        <v>0</v>
      </c>
      <c r="AB148" s="459">
        <f t="shared" si="227"/>
        <v>0</v>
      </c>
      <c r="AC148" s="459">
        <f t="shared" si="228"/>
        <v>0</v>
      </c>
      <c r="AD148" s="459">
        <f t="shared" si="229"/>
        <v>0</v>
      </c>
      <c r="AE148" s="459">
        <f t="shared" si="230"/>
        <v>0</v>
      </c>
      <c r="AF148" s="459">
        <f t="shared" si="231"/>
        <v>0</v>
      </c>
      <c r="AG148" s="460">
        <f t="shared" si="139"/>
        <v>0</v>
      </c>
      <c r="AH148" s="463"/>
      <c r="AI148" s="459">
        <f t="shared" si="232"/>
        <v>0</v>
      </c>
      <c r="AJ148" s="459">
        <f t="shared" si="233"/>
        <v>0</v>
      </c>
      <c r="AK148" s="459">
        <f t="shared" si="234"/>
        <v>0</v>
      </c>
      <c r="AL148" s="459">
        <f t="shared" si="235"/>
        <v>0</v>
      </c>
      <c r="AM148" s="459">
        <f t="shared" si="236"/>
        <v>0</v>
      </c>
      <c r="AN148" s="459">
        <f t="shared" si="237"/>
        <v>0</v>
      </c>
      <c r="AO148" s="459">
        <f t="shared" si="238"/>
        <v>0</v>
      </c>
      <c r="AP148" s="459">
        <f t="shared" si="239"/>
        <v>0</v>
      </c>
      <c r="AQ148" s="459">
        <f t="shared" si="240"/>
        <v>0</v>
      </c>
      <c r="AR148" s="459">
        <f t="shared" si="241"/>
        <v>0</v>
      </c>
      <c r="AS148" s="460">
        <f t="shared" si="140"/>
        <v>0</v>
      </c>
      <c r="AT148" s="463"/>
      <c r="AU148" s="459">
        <f t="shared" si="154"/>
        <v>0</v>
      </c>
      <c r="AV148" s="459">
        <f t="shared" si="154"/>
        <v>0</v>
      </c>
      <c r="AW148" s="459">
        <f t="shared" si="154"/>
        <v>0</v>
      </c>
      <c r="AX148" s="459">
        <f t="shared" si="154"/>
        <v>0</v>
      </c>
      <c r="AY148" s="459">
        <f t="shared" si="154"/>
        <v>0</v>
      </c>
      <c r="AZ148" s="459">
        <f t="shared" si="141"/>
        <v>0</v>
      </c>
      <c r="BA148" s="459">
        <f t="shared" si="141"/>
        <v>0</v>
      </c>
      <c r="BB148" s="459">
        <f t="shared" si="141"/>
        <v>0</v>
      </c>
      <c r="BC148" s="459">
        <f t="shared" si="141"/>
        <v>0</v>
      </c>
      <c r="BD148" s="459">
        <f t="shared" si="141"/>
        <v>0</v>
      </c>
      <c r="BE148" s="460">
        <f t="shared" si="142"/>
        <v>0</v>
      </c>
      <c r="BF148" s="463"/>
      <c r="BG148" s="459">
        <f t="shared" si="143"/>
        <v>0</v>
      </c>
      <c r="BH148" s="459">
        <f t="shared" si="143"/>
        <v>0</v>
      </c>
      <c r="BI148" s="459">
        <f t="shared" si="143"/>
        <v>0</v>
      </c>
      <c r="BJ148" s="459">
        <f t="shared" si="143"/>
        <v>0</v>
      </c>
      <c r="BK148" s="459">
        <f t="shared" si="143"/>
        <v>0</v>
      </c>
      <c r="BL148" s="459">
        <f t="shared" si="143"/>
        <v>0</v>
      </c>
      <c r="BM148" s="459">
        <f t="shared" si="143"/>
        <v>0</v>
      </c>
      <c r="BN148" s="459">
        <f t="shared" si="157"/>
        <v>0</v>
      </c>
      <c r="BO148" s="459">
        <f t="shared" si="157"/>
        <v>0</v>
      </c>
      <c r="BP148" s="459">
        <f t="shared" si="157"/>
        <v>0</v>
      </c>
      <c r="BQ148" s="460">
        <f t="shared" si="144"/>
        <v>0</v>
      </c>
      <c r="BR148" s="463"/>
      <c r="BS148" s="459">
        <f t="shared" si="155"/>
        <v>0</v>
      </c>
      <c r="BT148" s="459">
        <f t="shared" si="155"/>
        <v>0</v>
      </c>
      <c r="BU148" s="459">
        <f t="shared" si="155"/>
        <v>0</v>
      </c>
      <c r="BV148" s="459">
        <f t="shared" si="155"/>
        <v>0</v>
      </c>
      <c r="BW148" s="459">
        <f t="shared" si="155"/>
        <v>0</v>
      </c>
      <c r="BX148" s="459">
        <f t="shared" si="145"/>
        <v>0</v>
      </c>
      <c r="BY148" s="459">
        <f t="shared" si="145"/>
        <v>0</v>
      </c>
      <c r="BZ148" s="459">
        <f t="shared" si="145"/>
        <v>0</v>
      </c>
      <c r="CA148" s="459">
        <f t="shared" si="145"/>
        <v>0</v>
      </c>
      <c r="CB148" s="459">
        <f t="shared" si="145"/>
        <v>0</v>
      </c>
      <c r="CC148" s="460">
        <f t="shared" si="146"/>
        <v>0</v>
      </c>
      <c r="CD148" s="463"/>
      <c r="CE148" s="459">
        <f t="shared" si="147"/>
        <v>0</v>
      </c>
      <c r="CF148" s="459">
        <f t="shared" si="147"/>
        <v>0</v>
      </c>
      <c r="CG148" s="459">
        <f t="shared" si="147"/>
        <v>0</v>
      </c>
      <c r="CH148" s="459">
        <f t="shared" si="147"/>
        <v>0</v>
      </c>
      <c r="CI148" s="459">
        <f t="shared" si="147"/>
        <v>0</v>
      </c>
      <c r="CJ148" s="459">
        <f t="shared" si="147"/>
        <v>0</v>
      </c>
      <c r="CK148" s="459">
        <f t="shared" si="147"/>
        <v>0</v>
      </c>
      <c r="CL148" s="459">
        <f t="shared" si="158"/>
        <v>0</v>
      </c>
      <c r="CM148" s="459">
        <f t="shared" si="158"/>
        <v>0</v>
      </c>
      <c r="CN148" s="459">
        <f t="shared" si="158"/>
        <v>0</v>
      </c>
      <c r="CO148" s="460">
        <f t="shared" si="148"/>
        <v>0</v>
      </c>
      <c r="CP148" s="463"/>
      <c r="CQ148" s="459">
        <f t="shared" si="242"/>
        <v>0</v>
      </c>
      <c r="CR148" s="459">
        <f t="shared" si="243"/>
        <v>0</v>
      </c>
      <c r="CS148" s="459">
        <f t="shared" si="244"/>
        <v>0</v>
      </c>
      <c r="CT148" s="459">
        <f t="shared" si="245"/>
        <v>0</v>
      </c>
      <c r="CU148" s="459">
        <f t="shared" si="246"/>
        <v>0</v>
      </c>
      <c r="CV148" s="459">
        <f t="shared" si="247"/>
        <v>0</v>
      </c>
      <c r="CW148" s="459">
        <f t="shared" si="248"/>
        <v>0</v>
      </c>
      <c r="CX148" s="459">
        <f t="shared" si="249"/>
        <v>0</v>
      </c>
      <c r="CY148" s="459">
        <f t="shared" si="250"/>
        <v>0</v>
      </c>
      <c r="CZ148" s="459">
        <f t="shared" si="251"/>
        <v>0</v>
      </c>
      <c r="DA148" s="460">
        <f t="shared" si="149"/>
        <v>0</v>
      </c>
      <c r="DB148" s="463"/>
      <c r="DC148" s="459">
        <f t="shared" si="156"/>
        <v>0</v>
      </c>
      <c r="DD148" s="459">
        <f t="shared" si="156"/>
        <v>0</v>
      </c>
      <c r="DE148" s="459">
        <f t="shared" si="156"/>
        <v>0</v>
      </c>
      <c r="DF148" s="459">
        <f t="shared" si="156"/>
        <v>0</v>
      </c>
      <c r="DG148" s="459">
        <f t="shared" si="156"/>
        <v>0</v>
      </c>
      <c r="DH148" s="459">
        <f t="shared" si="150"/>
        <v>0</v>
      </c>
      <c r="DI148" s="459">
        <f t="shared" si="150"/>
        <v>0</v>
      </c>
      <c r="DJ148" s="459">
        <f t="shared" si="150"/>
        <v>0</v>
      </c>
      <c r="DK148" s="459">
        <f t="shared" si="150"/>
        <v>0</v>
      </c>
      <c r="DL148" s="459">
        <f t="shared" si="150"/>
        <v>0</v>
      </c>
      <c r="DM148" s="460">
        <f t="shared" si="151"/>
        <v>0</v>
      </c>
      <c r="DN148" s="463"/>
      <c r="DO148" s="459">
        <f t="shared" si="106"/>
        <v>0</v>
      </c>
      <c r="DP148" s="459">
        <f t="shared" si="106"/>
        <v>0</v>
      </c>
      <c r="DQ148" s="459">
        <f t="shared" si="106"/>
        <v>0</v>
      </c>
      <c r="DR148" s="459">
        <f t="shared" si="106"/>
        <v>0</v>
      </c>
      <c r="DS148" s="459">
        <f t="shared" si="106"/>
        <v>0</v>
      </c>
      <c r="DT148" s="459">
        <f t="shared" si="106"/>
        <v>0</v>
      </c>
      <c r="DU148" s="459">
        <f t="shared" si="106"/>
        <v>0</v>
      </c>
      <c r="DV148" s="459">
        <f t="shared" si="106"/>
        <v>0</v>
      </c>
      <c r="DW148" s="459">
        <f t="shared" si="106"/>
        <v>0</v>
      </c>
      <c r="DX148" s="459">
        <f t="shared" si="106"/>
        <v>0</v>
      </c>
      <c r="DY148" s="460">
        <f t="shared" si="152"/>
        <v>0</v>
      </c>
      <c r="DZ148" s="463"/>
      <c r="EA148" s="459">
        <f t="shared" si="107"/>
        <v>0</v>
      </c>
      <c r="EB148" s="459">
        <f t="shared" si="107"/>
        <v>0</v>
      </c>
      <c r="EC148" s="459">
        <f t="shared" si="107"/>
        <v>0</v>
      </c>
      <c r="ED148" s="459">
        <f t="shared" si="107"/>
        <v>0</v>
      </c>
      <c r="EE148" s="459">
        <f t="shared" si="107"/>
        <v>0</v>
      </c>
      <c r="EF148" s="459">
        <f t="shared" si="107"/>
        <v>0</v>
      </c>
      <c r="EG148" s="459">
        <f t="shared" si="107"/>
        <v>0</v>
      </c>
      <c r="EH148" s="459">
        <f t="shared" si="107"/>
        <v>0</v>
      </c>
      <c r="EI148" s="459">
        <f t="shared" si="107"/>
        <v>0</v>
      </c>
      <c r="EJ148" s="459">
        <f t="shared" si="107"/>
        <v>0</v>
      </c>
      <c r="EK148" s="460">
        <f t="shared" si="153"/>
        <v>0</v>
      </c>
    </row>
    <row r="149" spans="2:141" s="270" customFormat="1" ht="15" customHeight="1" x14ac:dyDescent="0.25">
      <c r="B149" s="464" t="str">
        <f>'2. START'!C$7</f>
        <v>100GEM</v>
      </c>
      <c r="C149" s="470"/>
      <c r="D149" s="593"/>
      <c r="E149" s="527">
        <v>0</v>
      </c>
      <c r="F149" s="527" t="s">
        <v>36</v>
      </c>
      <c r="G149" s="527"/>
      <c r="H149" s="515"/>
      <c r="I149" s="515"/>
      <c r="J149" s="515"/>
      <c r="K149" s="515"/>
      <c r="L149" s="515"/>
      <c r="M149" s="515"/>
      <c r="N149" s="515"/>
      <c r="O149" s="515"/>
      <c r="P149" s="515"/>
      <c r="Q149" s="515"/>
      <c r="R149" s="442">
        <f t="shared" si="254"/>
        <v>0</v>
      </c>
      <c r="S149" s="516">
        <f>IF('2. START'!$C$20="UTB",(SUMIF('3. PARTNER'!B$13:B$80,B149,'3. PARTNER'!M$13:M$80)),(SUMIF('3. PARTNER'!B$13:B$80,B149,'3. PARTNER'!I$13:I$80)))</f>
        <v>0</v>
      </c>
      <c r="T149" s="516">
        <f>IF('2. START'!$C$20="UTB",(SUMIF('3. PARTNER'!B$13:B$80,B149,'3. PARTNER'!N$13:N$80)),(SUMIF('3. PARTNER'!B$13:B$80,B149,'3. PARTNER'!J$13:J$80)))</f>
        <v>0</v>
      </c>
      <c r="U149" s="517">
        <f>IF(F149="NO",0,IF('2. START'!C$13="PERSON+OPERATION",'2. START'!C$12,0)+IF('2. START'!C$13="PERSON+OPERATION+INVEST+FACILIT",'2. START'!C$12,0))</f>
        <v>0</v>
      </c>
      <c r="W149" s="442">
        <f t="shared" si="222"/>
        <v>0</v>
      </c>
      <c r="X149" s="442">
        <f t="shared" si="223"/>
        <v>0</v>
      </c>
      <c r="Y149" s="442">
        <f t="shared" si="224"/>
        <v>0</v>
      </c>
      <c r="Z149" s="442">
        <f t="shared" si="225"/>
        <v>0</v>
      </c>
      <c r="AA149" s="442">
        <f t="shared" si="226"/>
        <v>0</v>
      </c>
      <c r="AB149" s="442">
        <f t="shared" si="227"/>
        <v>0</v>
      </c>
      <c r="AC149" s="442">
        <f t="shared" si="228"/>
        <v>0</v>
      </c>
      <c r="AD149" s="442">
        <f t="shared" si="229"/>
        <v>0</v>
      </c>
      <c r="AE149" s="442">
        <f t="shared" si="230"/>
        <v>0</v>
      </c>
      <c r="AF149" s="442">
        <f t="shared" si="231"/>
        <v>0</v>
      </c>
      <c r="AG149" s="443">
        <f t="shared" si="139"/>
        <v>0</v>
      </c>
      <c r="AI149" s="442">
        <f t="shared" si="232"/>
        <v>0</v>
      </c>
      <c r="AJ149" s="442">
        <f t="shared" si="233"/>
        <v>0</v>
      </c>
      <c r="AK149" s="442">
        <f t="shared" si="234"/>
        <v>0</v>
      </c>
      <c r="AL149" s="442">
        <f t="shared" si="235"/>
        <v>0</v>
      </c>
      <c r="AM149" s="442">
        <f t="shared" si="236"/>
        <v>0</v>
      </c>
      <c r="AN149" s="442">
        <f t="shared" si="237"/>
        <v>0</v>
      </c>
      <c r="AO149" s="442">
        <f t="shared" si="238"/>
        <v>0</v>
      </c>
      <c r="AP149" s="442">
        <f t="shared" si="239"/>
        <v>0</v>
      </c>
      <c r="AQ149" s="442">
        <f t="shared" si="240"/>
        <v>0</v>
      </c>
      <c r="AR149" s="442">
        <f t="shared" si="241"/>
        <v>0</v>
      </c>
      <c r="AS149" s="443">
        <f t="shared" si="140"/>
        <v>0</v>
      </c>
      <c r="AU149" s="442">
        <f t="shared" si="154"/>
        <v>0</v>
      </c>
      <c r="AV149" s="442">
        <f t="shared" si="154"/>
        <v>0</v>
      </c>
      <c r="AW149" s="442">
        <f t="shared" si="154"/>
        <v>0</v>
      </c>
      <c r="AX149" s="442">
        <f t="shared" si="154"/>
        <v>0</v>
      </c>
      <c r="AY149" s="442">
        <f t="shared" si="154"/>
        <v>0</v>
      </c>
      <c r="AZ149" s="442">
        <f t="shared" si="141"/>
        <v>0</v>
      </c>
      <c r="BA149" s="442">
        <f t="shared" si="141"/>
        <v>0</v>
      </c>
      <c r="BB149" s="442">
        <f t="shared" si="141"/>
        <v>0</v>
      </c>
      <c r="BC149" s="442">
        <f t="shared" si="141"/>
        <v>0</v>
      </c>
      <c r="BD149" s="442">
        <f t="shared" si="141"/>
        <v>0</v>
      </c>
      <c r="BE149" s="443">
        <f t="shared" si="142"/>
        <v>0</v>
      </c>
      <c r="BG149" s="442">
        <f t="shared" si="143"/>
        <v>0</v>
      </c>
      <c r="BH149" s="442">
        <f t="shared" si="143"/>
        <v>0</v>
      </c>
      <c r="BI149" s="442">
        <f t="shared" si="143"/>
        <v>0</v>
      </c>
      <c r="BJ149" s="442">
        <f t="shared" si="143"/>
        <v>0</v>
      </c>
      <c r="BK149" s="442">
        <f t="shared" si="143"/>
        <v>0</v>
      </c>
      <c r="BL149" s="442">
        <f t="shared" si="143"/>
        <v>0</v>
      </c>
      <c r="BM149" s="442">
        <f t="shared" si="143"/>
        <v>0</v>
      </c>
      <c r="BN149" s="442">
        <f t="shared" si="157"/>
        <v>0</v>
      </c>
      <c r="BO149" s="442">
        <f t="shared" si="157"/>
        <v>0</v>
      </c>
      <c r="BP149" s="442">
        <f t="shared" si="157"/>
        <v>0</v>
      </c>
      <c r="BQ149" s="443">
        <f t="shared" si="144"/>
        <v>0</v>
      </c>
      <c r="BS149" s="442">
        <f t="shared" si="155"/>
        <v>0</v>
      </c>
      <c r="BT149" s="442">
        <f t="shared" si="155"/>
        <v>0</v>
      </c>
      <c r="BU149" s="442">
        <f t="shared" si="155"/>
        <v>0</v>
      </c>
      <c r="BV149" s="442">
        <f t="shared" si="155"/>
        <v>0</v>
      </c>
      <c r="BW149" s="442">
        <f t="shared" si="155"/>
        <v>0</v>
      </c>
      <c r="BX149" s="442">
        <f t="shared" si="145"/>
        <v>0</v>
      </c>
      <c r="BY149" s="442">
        <f t="shared" si="145"/>
        <v>0</v>
      </c>
      <c r="BZ149" s="442">
        <f t="shared" si="145"/>
        <v>0</v>
      </c>
      <c r="CA149" s="442">
        <f t="shared" si="145"/>
        <v>0</v>
      </c>
      <c r="CB149" s="442">
        <f t="shared" si="145"/>
        <v>0</v>
      </c>
      <c r="CC149" s="443">
        <f t="shared" si="146"/>
        <v>0</v>
      </c>
      <c r="CE149" s="442">
        <f t="shared" si="147"/>
        <v>0</v>
      </c>
      <c r="CF149" s="442">
        <f t="shared" si="147"/>
        <v>0</v>
      </c>
      <c r="CG149" s="442">
        <f t="shared" si="147"/>
        <v>0</v>
      </c>
      <c r="CH149" s="442">
        <f t="shared" si="147"/>
        <v>0</v>
      </c>
      <c r="CI149" s="442">
        <f t="shared" si="147"/>
        <v>0</v>
      </c>
      <c r="CJ149" s="442">
        <f t="shared" si="147"/>
        <v>0</v>
      </c>
      <c r="CK149" s="442">
        <f t="shared" si="147"/>
        <v>0</v>
      </c>
      <c r="CL149" s="442">
        <f t="shared" si="158"/>
        <v>0</v>
      </c>
      <c r="CM149" s="442">
        <f t="shared" si="158"/>
        <v>0</v>
      </c>
      <c r="CN149" s="442">
        <f t="shared" si="158"/>
        <v>0</v>
      </c>
      <c r="CO149" s="443">
        <f t="shared" si="148"/>
        <v>0</v>
      </c>
      <c r="CQ149" s="442">
        <f t="shared" si="242"/>
        <v>0</v>
      </c>
      <c r="CR149" s="442">
        <f t="shared" si="243"/>
        <v>0</v>
      </c>
      <c r="CS149" s="442">
        <f t="shared" si="244"/>
        <v>0</v>
      </c>
      <c r="CT149" s="442">
        <f t="shared" si="245"/>
        <v>0</v>
      </c>
      <c r="CU149" s="442">
        <f t="shared" si="246"/>
        <v>0</v>
      </c>
      <c r="CV149" s="442">
        <f t="shared" si="247"/>
        <v>0</v>
      </c>
      <c r="CW149" s="442">
        <f t="shared" si="248"/>
        <v>0</v>
      </c>
      <c r="CX149" s="442">
        <f t="shared" si="249"/>
        <v>0</v>
      </c>
      <c r="CY149" s="442">
        <f t="shared" si="250"/>
        <v>0</v>
      </c>
      <c r="CZ149" s="442">
        <f t="shared" si="251"/>
        <v>0</v>
      </c>
      <c r="DA149" s="443">
        <f t="shared" si="149"/>
        <v>0</v>
      </c>
      <c r="DC149" s="442">
        <f t="shared" si="156"/>
        <v>0</v>
      </c>
      <c r="DD149" s="442">
        <f t="shared" si="156"/>
        <v>0</v>
      </c>
      <c r="DE149" s="442">
        <f t="shared" si="156"/>
        <v>0</v>
      </c>
      <c r="DF149" s="442">
        <f t="shared" si="156"/>
        <v>0</v>
      </c>
      <c r="DG149" s="442">
        <f t="shared" si="156"/>
        <v>0</v>
      </c>
      <c r="DH149" s="442">
        <f t="shared" si="150"/>
        <v>0</v>
      </c>
      <c r="DI149" s="442">
        <f t="shared" si="150"/>
        <v>0</v>
      </c>
      <c r="DJ149" s="442">
        <f t="shared" si="150"/>
        <v>0</v>
      </c>
      <c r="DK149" s="442">
        <f t="shared" si="150"/>
        <v>0</v>
      </c>
      <c r="DL149" s="442">
        <f t="shared" si="150"/>
        <v>0</v>
      </c>
      <c r="DM149" s="443">
        <f t="shared" si="151"/>
        <v>0</v>
      </c>
      <c r="DO149" s="442">
        <f t="shared" si="106"/>
        <v>0</v>
      </c>
      <c r="DP149" s="442">
        <f t="shared" si="106"/>
        <v>0</v>
      </c>
      <c r="DQ149" s="442">
        <f t="shared" si="106"/>
        <v>0</v>
      </c>
      <c r="DR149" s="442">
        <f t="shared" si="106"/>
        <v>0</v>
      </c>
      <c r="DS149" s="442">
        <f t="shared" si="106"/>
        <v>0</v>
      </c>
      <c r="DT149" s="442">
        <f t="shared" ref="DT149:DX149" si="255">AB149+AZ149+BX149</f>
        <v>0</v>
      </c>
      <c r="DU149" s="442">
        <f t="shared" si="255"/>
        <v>0</v>
      </c>
      <c r="DV149" s="442">
        <f t="shared" si="255"/>
        <v>0</v>
      </c>
      <c r="DW149" s="442">
        <f t="shared" si="255"/>
        <v>0</v>
      </c>
      <c r="DX149" s="442">
        <f t="shared" si="255"/>
        <v>0</v>
      </c>
      <c r="DY149" s="443">
        <f t="shared" si="152"/>
        <v>0</v>
      </c>
      <c r="EA149" s="442">
        <f t="shared" si="107"/>
        <v>0</v>
      </c>
      <c r="EB149" s="442">
        <f t="shared" si="107"/>
        <v>0</v>
      </c>
      <c r="EC149" s="442">
        <f t="shared" si="107"/>
        <v>0</v>
      </c>
      <c r="ED149" s="442">
        <f t="shared" si="107"/>
        <v>0</v>
      </c>
      <c r="EE149" s="442">
        <f t="shared" si="107"/>
        <v>0</v>
      </c>
      <c r="EF149" s="442">
        <f t="shared" ref="EF149:EJ149" si="256">AN149+BL149+CJ149</f>
        <v>0</v>
      </c>
      <c r="EG149" s="442">
        <f t="shared" si="256"/>
        <v>0</v>
      </c>
      <c r="EH149" s="442">
        <f t="shared" si="256"/>
        <v>0</v>
      </c>
      <c r="EI149" s="442">
        <f t="shared" si="256"/>
        <v>0</v>
      </c>
      <c r="EJ149" s="442">
        <f t="shared" si="256"/>
        <v>0</v>
      </c>
      <c r="EK149" s="443">
        <f t="shared" si="153"/>
        <v>0</v>
      </c>
    </row>
    <row r="150" spans="2:141" s="268" customFormat="1" ht="15" customHeight="1" x14ac:dyDescent="0.25">
      <c r="B150" s="471" t="str">
        <f>B16</f>
        <v>SUMS &gt;&gt;</v>
      </c>
      <c r="C150" s="472"/>
      <c r="D150" s="472"/>
      <c r="E150" s="473"/>
      <c r="F150" s="473"/>
      <c r="G150" s="473"/>
      <c r="H150" s="426">
        <f t="shared" ref="H150:R150" si="257">SUM(H17:H149)</f>
        <v>0</v>
      </c>
      <c r="I150" s="426">
        <f t="shared" si="257"/>
        <v>0</v>
      </c>
      <c r="J150" s="426">
        <f t="shared" si="257"/>
        <v>0</v>
      </c>
      <c r="K150" s="426">
        <f t="shared" si="257"/>
        <v>0</v>
      </c>
      <c r="L150" s="426">
        <f t="shared" si="257"/>
        <v>0</v>
      </c>
      <c r="M150" s="426">
        <f t="shared" si="257"/>
        <v>0</v>
      </c>
      <c r="N150" s="426">
        <f t="shared" si="257"/>
        <v>0</v>
      </c>
      <c r="O150" s="426">
        <f t="shared" si="257"/>
        <v>0</v>
      </c>
      <c r="P150" s="426">
        <f t="shared" si="257"/>
        <v>0</v>
      </c>
      <c r="Q150" s="426">
        <f t="shared" si="257"/>
        <v>0</v>
      </c>
      <c r="R150" s="426">
        <f t="shared" si="257"/>
        <v>0</v>
      </c>
      <c r="S150" s="426"/>
      <c r="T150" s="426"/>
      <c r="U150" s="426"/>
      <c r="V150" s="428"/>
      <c r="W150" s="426">
        <f t="shared" ref="W150:AG150" si="258">SUM(W17:W149)</f>
        <v>0</v>
      </c>
      <c r="X150" s="426">
        <f t="shared" si="258"/>
        <v>0</v>
      </c>
      <c r="Y150" s="426">
        <f t="shared" si="258"/>
        <v>0</v>
      </c>
      <c r="Z150" s="426">
        <f t="shared" si="258"/>
        <v>0</v>
      </c>
      <c r="AA150" s="426">
        <f t="shared" si="258"/>
        <v>0</v>
      </c>
      <c r="AB150" s="426">
        <f t="shared" si="258"/>
        <v>0</v>
      </c>
      <c r="AC150" s="426">
        <f t="shared" si="258"/>
        <v>0</v>
      </c>
      <c r="AD150" s="426">
        <f t="shared" si="258"/>
        <v>0</v>
      </c>
      <c r="AE150" s="426">
        <f t="shared" si="258"/>
        <v>0</v>
      </c>
      <c r="AF150" s="426">
        <f t="shared" si="258"/>
        <v>0</v>
      </c>
      <c r="AG150" s="426">
        <f t="shared" si="258"/>
        <v>0</v>
      </c>
      <c r="AH150" s="428"/>
      <c r="AI150" s="426">
        <f t="shared" ref="AI150:AS150" si="259">SUM(AI17:AI149)</f>
        <v>0</v>
      </c>
      <c r="AJ150" s="426">
        <f t="shared" si="259"/>
        <v>0</v>
      </c>
      <c r="AK150" s="426">
        <f t="shared" si="259"/>
        <v>0</v>
      </c>
      <c r="AL150" s="426">
        <f t="shared" si="259"/>
        <v>0</v>
      </c>
      <c r="AM150" s="426">
        <f t="shared" si="259"/>
        <v>0</v>
      </c>
      <c r="AN150" s="426">
        <f t="shared" si="259"/>
        <v>0</v>
      </c>
      <c r="AO150" s="426">
        <f t="shared" si="259"/>
        <v>0</v>
      </c>
      <c r="AP150" s="426">
        <f t="shared" si="259"/>
        <v>0</v>
      </c>
      <c r="AQ150" s="426">
        <f t="shared" si="259"/>
        <v>0</v>
      </c>
      <c r="AR150" s="426">
        <f t="shared" si="259"/>
        <v>0</v>
      </c>
      <c r="AS150" s="426">
        <f t="shared" si="259"/>
        <v>0</v>
      </c>
      <c r="AT150" s="426"/>
      <c r="AU150" s="426">
        <f t="shared" ref="AU150:BE150" si="260">SUM(AU17:AU149)</f>
        <v>0</v>
      </c>
      <c r="AV150" s="426">
        <f t="shared" si="260"/>
        <v>0</v>
      </c>
      <c r="AW150" s="426">
        <f t="shared" si="260"/>
        <v>0</v>
      </c>
      <c r="AX150" s="426">
        <f t="shared" si="260"/>
        <v>0</v>
      </c>
      <c r="AY150" s="426">
        <f t="shared" si="260"/>
        <v>0</v>
      </c>
      <c r="AZ150" s="426">
        <f t="shared" si="260"/>
        <v>0</v>
      </c>
      <c r="BA150" s="426">
        <f t="shared" si="260"/>
        <v>0</v>
      </c>
      <c r="BB150" s="426">
        <f t="shared" si="260"/>
        <v>0</v>
      </c>
      <c r="BC150" s="426">
        <f t="shared" si="260"/>
        <v>0</v>
      </c>
      <c r="BD150" s="426">
        <f t="shared" si="260"/>
        <v>0</v>
      </c>
      <c r="BE150" s="426">
        <f t="shared" si="260"/>
        <v>0</v>
      </c>
      <c r="BF150" s="472"/>
      <c r="BG150" s="426">
        <f t="shared" ref="BG150:BQ150" si="261">SUM(BG17:BG149)</f>
        <v>0</v>
      </c>
      <c r="BH150" s="426">
        <f t="shared" si="261"/>
        <v>0</v>
      </c>
      <c r="BI150" s="426">
        <f t="shared" si="261"/>
        <v>0</v>
      </c>
      <c r="BJ150" s="426">
        <f t="shared" si="261"/>
        <v>0</v>
      </c>
      <c r="BK150" s="426">
        <f t="shared" si="261"/>
        <v>0</v>
      </c>
      <c r="BL150" s="426">
        <f t="shared" si="261"/>
        <v>0</v>
      </c>
      <c r="BM150" s="426">
        <f t="shared" si="261"/>
        <v>0</v>
      </c>
      <c r="BN150" s="426">
        <f t="shared" si="261"/>
        <v>0</v>
      </c>
      <c r="BO150" s="426">
        <f t="shared" si="261"/>
        <v>0</v>
      </c>
      <c r="BP150" s="426">
        <f t="shared" si="261"/>
        <v>0</v>
      </c>
      <c r="BQ150" s="426">
        <f t="shared" si="261"/>
        <v>0</v>
      </c>
      <c r="BR150" s="472"/>
      <c r="BS150" s="426">
        <f t="shared" ref="BS150:CC150" si="262">SUM(BS17:BS149)</f>
        <v>0</v>
      </c>
      <c r="BT150" s="426">
        <f t="shared" si="262"/>
        <v>0</v>
      </c>
      <c r="BU150" s="426">
        <f t="shared" si="262"/>
        <v>0</v>
      </c>
      <c r="BV150" s="426">
        <f t="shared" si="262"/>
        <v>0</v>
      </c>
      <c r="BW150" s="426">
        <f t="shared" si="262"/>
        <v>0</v>
      </c>
      <c r="BX150" s="426">
        <f t="shared" si="262"/>
        <v>0</v>
      </c>
      <c r="BY150" s="426">
        <f t="shared" si="262"/>
        <v>0</v>
      </c>
      <c r="BZ150" s="426">
        <f t="shared" si="262"/>
        <v>0</v>
      </c>
      <c r="CA150" s="426">
        <f t="shared" si="262"/>
        <v>0</v>
      </c>
      <c r="CB150" s="426">
        <f t="shared" si="262"/>
        <v>0</v>
      </c>
      <c r="CC150" s="426">
        <f t="shared" si="262"/>
        <v>0</v>
      </c>
      <c r="CD150" s="472"/>
      <c r="CE150" s="426">
        <f t="shared" ref="CE150:CO150" si="263">SUM(CE17:CE149)</f>
        <v>0</v>
      </c>
      <c r="CF150" s="426">
        <f t="shared" si="263"/>
        <v>0</v>
      </c>
      <c r="CG150" s="426">
        <f t="shared" si="263"/>
        <v>0</v>
      </c>
      <c r="CH150" s="426">
        <f t="shared" si="263"/>
        <v>0</v>
      </c>
      <c r="CI150" s="426">
        <f t="shared" si="263"/>
        <v>0</v>
      </c>
      <c r="CJ150" s="426">
        <f t="shared" si="263"/>
        <v>0</v>
      </c>
      <c r="CK150" s="426">
        <f t="shared" si="263"/>
        <v>0</v>
      </c>
      <c r="CL150" s="426">
        <f t="shared" si="263"/>
        <v>0</v>
      </c>
      <c r="CM150" s="426">
        <f t="shared" si="263"/>
        <v>0</v>
      </c>
      <c r="CN150" s="426">
        <f t="shared" si="263"/>
        <v>0</v>
      </c>
      <c r="CO150" s="426">
        <f t="shared" si="263"/>
        <v>0</v>
      </c>
      <c r="CP150" s="472"/>
      <c r="CQ150" s="426">
        <f t="shared" ref="CQ150:DA150" si="264">SUM(CQ17:CQ149)</f>
        <v>0</v>
      </c>
      <c r="CR150" s="426">
        <f t="shared" si="264"/>
        <v>0</v>
      </c>
      <c r="CS150" s="426">
        <f t="shared" si="264"/>
        <v>0</v>
      </c>
      <c r="CT150" s="426">
        <f t="shared" si="264"/>
        <v>0</v>
      </c>
      <c r="CU150" s="426">
        <f t="shared" si="264"/>
        <v>0</v>
      </c>
      <c r="CV150" s="426">
        <f t="shared" si="264"/>
        <v>0</v>
      </c>
      <c r="CW150" s="426">
        <f t="shared" si="264"/>
        <v>0</v>
      </c>
      <c r="CX150" s="426">
        <f t="shared" si="264"/>
        <v>0</v>
      </c>
      <c r="CY150" s="426">
        <f t="shared" si="264"/>
        <v>0</v>
      </c>
      <c r="CZ150" s="426">
        <f t="shared" si="264"/>
        <v>0</v>
      </c>
      <c r="DA150" s="426">
        <f t="shared" si="264"/>
        <v>0</v>
      </c>
      <c r="DB150" s="472"/>
      <c r="DC150" s="426">
        <f t="shared" ref="DC150:DM150" si="265">SUM(DC17:DC149)</f>
        <v>0</v>
      </c>
      <c r="DD150" s="426">
        <f t="shared" si="265"/>
        <v>0</v>
      </c>
      <c r="DE150" s="426">
        <f t="shared" si="265"/>
        <v>0</v>
      </c>
      <c r="DF150" s="426">
        <f t="shared" si="265"/>
        <v>0</v>
      </c>
      <c r="DG150" s="426">
        <f t="shared" si="265"/>
        <v>0</v>
      </c>
      <c r="DH150" s="426">
        <f t="shared" si="265"/>
        <v>0</v>
      </c>
      <c r="DI150" s="426">
        <f t="shared" si="265"/>
        <v>0</v>
      </c>
      <c r="DJ150" s="426">
        <f t="shared" si="265"/>
        <v>0</v>
      </c>
      <c r="DK150" s="426">
        <f t="shared" si="265"/>
        <v>0</v>
      </c>
      <c r="DL150" s="426">
        <f t="shared" si="265"/>
        <v>0</v>
      </c>
      <c r="DM150" s="426">
        <f t="shared" si="265"/>
        <v>0</v>
      </c>
      <c r="DN150" s="472"/>
      <c r="DO150" s="426">
        <f t="shared" ref="DO150:DY150" si="266">SUM(DO17:DO149)</f>
        <v>0</v>
      </c>
      <c r="DP150" s="426">
        <f t="shared" si="266"/>
        <v>0</v>
      </c>
      <c r="DQ150" s="426">
        <f t="shared" si="266"/>
        <v>0</v>
      </c>
      <c r="DR150" s="426">
        <f t="shared" si="266"/>
        <v>0</v>
      </c>
      <c r="DS150" s="426">
        <f t="shared" si="266"/>
        <v>0</v>
      </c>
      <c r="DT150" s="426">
        <f t="shared" si="266"/>
        <v>0</v>
      </c>
      <c r="DU150" s="426">
        <f t="shared" si="266"/>
        <v>0</v>
      </c>
      <c r="DV150" s="426">
        <f t="shared" si="266"/>
        <v>0</v>
      </c>
      <c r="DW150" s="426">
        <f t="shared" si="266"/>
        <v>0</v>
      </c>
      <c r="DX150" s="426">
        <f t="shared" si="266"/>
        <v>0</v>
      </c>
      <c r="DY150" s="426">
        <f t="shared" si="266"/>
        <v>0</v>
      </c>
      <c r="DZ150" s="472"/>
      <c r="EA150" s="426">
        <f t="shared" ref="EA150:EK150" si="267">SUM(EA17:EA149)</f>
        <v>0</v>
      </c>
      <c r="EB150" s="426">
        <f t="shared" si="267"/>
        <v>0</v>
      </c>
      <c r="EC150" s="426">
        <f t="shared" si="267"/>
        <v>0</v>
      </c>
      <c r="ED150" s="426">
        <f t="shared" si="267"/>
        <v>0</v>
      </c>
      <c r="EE150" s="426">
        <f t="shared" si="267"/>
        <v>0</v>
      </c>
      <c r="EF150" s="426">
        <f t="shared" si="267"/>
        <v>0</v>
      </c>
      <c r="EG150" s="426">
        <f t="shared" si="267"/>
        <v>0</v>
      </c>
      <c r="EH150" s="426">
        <f t="shared" si="267"/>
        <v>0</v>
      </c>
      <c r="EI150" s="426">
        <f t="shared" si="267"/>
        <v>0</v>
      </c>
      <c r="EJ150" s="426">
        <f t="shared" si="267"/>
        <v>0</v>
      </c>
      <c r="EK150" s="426">
        <f t="shared" si="267"/>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formula1>$U$8:$U$9</formula1>
    </dataValidation>
    <dataValidation type="list" allowBlank="1" showInputMessage="1" showErrorMessage="1" errorTitle="Data restriction" error="Must be value from list." sqref="G17:G149">
      <formula1>$W$6:$W$9</formula1>
    </dataValidation>
    <dataValidation type="decimal" operator="greaterThanOrEqual" allowBlank="1" showInputMessage="1" showErrorMessage="1" errorTitle="Data restriction" error="Must be a numerical value (percentage) zero or greater." sqref="E17:E149">
      <formula1>0</formula1>
    </dataValidation>
    <dataValidation type="decimal" operator="greaterThan" allowBlank="1" showInputMessage="1" showErrorMessage="1" errorTitle="Data restriction" error="Must be a numerical value greater than zero." sqref="H17:Q149">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D17:D149</xm:sqref>
        </x14:dataValidation>
        <x14:dataValidation type="list" allowBlank="1" showInputMessage="1" showErrorMessage="1" errorTitle="Data restriction" error="Must be value from list.">
          <x14:formula1>
            <xm:f>'3. PARTNER'!$B$13:$B$80</xm:f>
          </x14:formula1>
          <xm:sqref>B17:B149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sheetPr>
  <dimension ref="A1:EW50"/>
  <sheetViews>
    <sheetView showGridLines="0" zoomScaleNormal="100" workbookViewId="0">
      <pane ySplit="16" topLeftCell="A17" activePane="bottomLeft" state="frozen"/>
      <selection pane="bottomLeft" activeCell="B2" sqref="B2:C2"/>
    </sheetView>
  </sheetViews>
  <sheetFormatPr defaultColWidth="9.109375" defaultRowHeight="11.4" x14ac:dyDescent="0.2"/>
  <cols>
    <col min="1" max="1" width="3.6640625" style="37" customWidth="1"/>
    <col min="2" max="2" width="13.44140625" style="37" customWidth="1" collapsed="1"/>
    <col min="3" max="3" width="28.33203125" style="37" customWidth="1"/>
    <col min="4" max="7" width="9.6640625" style="37" customWidth="1" collapsed="1"/>
    <col min="8" max="8" width="10.6640625" style="37" customWidth="1"/>
    <col min="9" max="11" width="10.88671875" style="37" customWidth="1"/>
    <col min="12" max="12" width="10.88671875" style="37" customWidth="1" collapsed="1"/>
    <col min="13" max="19" width="10.88671875" style="37" customWidth="1"/>
    <col min="20" max="20" width="3.6640625" style="37" hidden="1" customWidth="1"/>
    <col min="21" max="21" width="9.88671875" style="37" hidden="1" customWidth="1"/>
    <col min="22" max="22" width="3.5546875" style="37" hidden="1" customWidth="1"/>
    <col min="23" max="32" width="11" style="37" hidden="1" customWidth="1"/>
    <col min="33" max="33" width="11.88671875" style="37" hidden="1" customWidth="1"/>
    <col min="34" max="34" width="3.5546875" style="37" hidden="1" customWidth="1"/>
    <col min="35" max="37" width="11.33203125" style="37" hidden="1" customWidth="1"/>
    <col min="38" max="39" width="11.44140625" style="37" hidden="1" customWidth="1"/>
    <col min="40" max="41" width="11.33203125" style="37" hidden="1" customWidth="1"/>
    <col min="42" max="42" width="11.109375" style="37" hidden="1" customWidth="1"/>
    <col min="43" max="44" width="11.33203125" style="37" hidden="1" customWidth="1"/>
    <col min="45" max="45" width="12.44140625" style="37" hidden="1" customWidth="1"/>
    <col min="46" max="46" width="3.5546875" style="37" hidden="1" customWidth="1" collapsed="1"/>
    <col min="47" max="57" width="11.33203125" style="37" hidden="1" customWidth="1" collapsed="1"/>
    <col min="58" max="58" width="3.5546875" style="37" hidden="1" customWidth="1" collapsed="1"/>
    <col min="59" max="69" width="11.33203125" style="37" hidden="1" customWidth="1" collapsed="1"/>
    <col min="70" max="75" width="11.33203125" style="37" customWidth="1"/>
    <col min="76" max="153" width="9.109375" style="37"/>
    <col min="154" max="16384" width="9.109375" style="37" collapsed="1"/>
  </cols>
  <sheetData>
    <row r="1" spans="2:69" ht="15" customHeight="1" x14ac:dyDescent="0.25">
      <c r="Q1" s="547"/>
      <c r="R1" s="1120" t="str">
        <f>'1. INTRO'!J1</f>
        <v>projectcalculator@slu.se</v>
      </c>
      <c r="S1" s="1121"/>
    </row>
    <row r="2" spans="2:69" s="354" customFormat="1" ht="15" customHeight="1" x14ac:dyDescent="0.25">
      <c r="B2" s="1113" t="str">
        <f>'1. INTRO'!B2</f>
        <v>SLU project calculator</v>
      </c>
      <c r="C2" s="1119"/>
      <c r="D2" s="1114" t="str">
        <f>IF('1. INTRO'!I2="English"," 7. EQUIPMENT - DEPRECIATION"," 7. UTRUSTNING - AVSKRIVNING")</f>
        <v xml:space="preserve"> 7. EQUIPMENT - DEPRECIATION</v>
      </c>
      <c r="E2" s="1001"/>
      <c r="F2" s="1001"/>
      <c r="G2" s="1001"/>
      <c r="H2" s="347"/>
      <c r="I2" s="1122" t="s">
        <v>308</v>
      </c>
      <c r="J2" s="1092"/>
      <c r="K2" s="1092"/>
      <c r="L2" s="1092"/>
      <c r="N2" s="1123" t="str">
        <f>IF('1. INTRO'!I2="English","Note comments, in Eng &amp; Swe, behind red triangles.","Notera kommentarer, eng &amp; sve, bakom röda trianglar.")</f>
        <v>Note comments, in Eng &amp; Swe, behind red triangles.</v>
      </c>
      <c r="O2" s="1123"/>
      <c r="P2" s="1123"/>
      <c r="Q2" s="1123"/>
      <c r="R2" s="337"/>
      <c r="S2" s="337">
        <f>'1. INTRO'!J2</f>
        <v>45677</v>
      </c>
    </row>
    <row r="3" spans="2:69" s="36" customFormat="1" ht="15" customHeight="1" x14ac:dyDescent="0.3">
      <c r="B3" s="42"/>
      <c r="C3" s="6"/>
      <c r="D3" s="51"/>
      <c r="E3" s="82"/>
      <c r="F3" s="224"/>
      <c r="G3" s="224"/>
      <c r="H3" s="9"/>
    </row>
    <row r="4" spans="2:69" s="36" customFormat="1" ht="15" customHeight="1" x14ac:dyDescent="0.25">
      <c r="B4" s="313" t="str">
        <f>'3. PARTNER'!C4</f>
        <v xml:space="preserve">Project: </v>
      </c>
      <c r="C4" s="1062" t="str">
        <f>'3. PARTNER'!D4</f>
        <v/>
      </c>
      <c r="D4" s="1004"/>
      <c r="E4" s="1004"/>
      <c r="F4" s="1004"/>
      <c r="G4" s="1004"/>
      <c r="H4" s="346"/>
      <c r="I4" s="346"/>
      <c r="J4" s="346"/>
      <c r="K4" s="346"/>
      <c r="L4" s="346"/>
      <c r="M4" s="346"/>
      <c r="N4" s="346"/>
      <c r="O4" s="346"/>
      <c r="P4" s="346"/>
      <c r="Q4" s="346"/>
      <c r="R4" s="346"/>
      <c r="S4" s="346"/>
      <c r="W4" s="37" t="s">
        <v>306</v>
      </c>
      <c r="X4" s="37" t="s">
        <v>307</v>
      </c>
    </row>
    <row r="5" spans="2:69" s="36" customFormat="1" ht="15" customHeight="1" x14ac:dyDescent="0.25">
      <c r="B5" s="313" t="str">
        <f>'3. PARTNER'!C5</f>
        <v xml:space="preserve">Calculation for: </v>
      </c>
      <c r="C5" s="349" t="str">
        <f>'3. PARTNER'!D5</f>
        <v>APPLICATION</v>
      </c>
      <c r="D5" s="37"/>
      <c r="E5" s="1067" t="s">
        <v>300</v>
      </c>
      <c r="F5" s="1037" t="str">
        <f>IF('1. INTRO'!I2="English",W4,X4)</f>
        <v xml:space="preserve">If the base for OH-funding is PERSON+OPERATION+INVEST+FACILIT in sheet 2 cell C13, the percentage for OH-funding registered in sheet 2 cell C12, is put on all costs in this sheet (except co-funded). </v>
      </c>
      <c r="G5" s="1038"/>
      <c r="H5" s="1038"/>
      <c r="I5" s="1038"/>
      <c r="J5" s="1038"/>
      <c r="K5" s="1038"/>
      <c r="L5" s="1038"/>
      <c r="M5" s="1038"/>
      <c r="N5" s="1038"/>
      <c r="O5" s="1038"/>
      <c r="P5" s="1038"/>
      <c r="Q5" s="1038"/>
    </row>
    <row r="6" spans="2:69" s="36" customFormat="1" ht="15" customHeight="1" x14ac:dyDescent="0.25">
      <c r="B6" s="35" t="str">
        <f>'3. PARTNER'!C6</f>
        <v xml:space="preserve">Project leader: </v>
      </c>
      <c r="C6" s="349" t="str">
        <f>'3. PARTNER'!D6</f>
        <v/>
      </c>
      <c r="D6" s="70"/>
      <c r="E6" s="1134"/>
      <c r="F6" s="1038"/>
      <c r="G6" s="1038"/>
      <c r="H6" s="1038"/>
      <c r="I6" s="1038"/>
      <c r="J6" s="1038"/>
      <c r="K6" s="1038"/>
      <c r="L6" s="1038"/>
      <c r="M6" s="1038"/>
      <c r="N6" s="1038"/>
      <c r="O6" s="1038"/>
      <c r="P6" s="1038"/>
      <c r="Q6" s="1038"/>
    </row>
    <row r="7" spans="2:69" s="36" customFormat="1" ht="15" customHeight="1" x14ac:dyDescent="0.25">
      <c r="B7" s="313" t="str">
        <f>'5. PERSON'!B7</f>
        <v xml:space="preserve">Amounts in: </v>
      </c>
      <c r="C7" s="348" t="str">
        <f>'5. PERSON'!C7</f>
        <v>SEK</v>
      </c>
      <c r="F7" s="1088"/>
      <c r="G7" s="1004"/>
      <c r="H7" s="1004"/>
      <c r="I7" s="1004"/>
      <c r="J7" s="1004"/>
    </row>
    <row r="8" spans="2:69" s="36" customFormat="1" ht="15" customHeight="1" x14ac:dyDescent="0.25">
      <c r="B8" s="481"/>
      <c r="C8" s="1053" t="str">
        <f>'3. PARTNER'!D7</f>
        <v>Other basic data about the project is in sheet 2.</v>
      </c>
      <c r="D8" s="1004"/>
      <c r="F8" s="1133" t="s">
        <v>305</v>
      </c>
      <c r="G8" s="1001"/>
      <c r="H8" s="1001"/>
      <c r="I8" s="1001"/>
      <c r="J8" s="347"/>
      <c r="AH8" s="89"/>
    </row>
    <row r="9" spans="2:69" s="36" customFormat="1" ht="15" customHeight="1" x14ac:dyDescent="0.25">
      <c r="B9" s="77"/>
      <c r="C9" s="78"/>
      <c r="E9" s="83"/>
      <c r="F9" s="84"/>
      <c r="G9" s="37"/>
      <c r="H9" s="215"/>
      <c r="AH9" s="89"/>
    </row>
    <row r="10" spans="2:69" s="36" customFormat="1" ht="15" customHeight="1" x14ac:dyDescent="0.25">
      <c r="B10" s="1095" t="str">
        <f>'5. PERSON'!B10:B15</f>
        <v>Partner</v>
      </c>
      <c r="C10" s="1098" t="str">
        <f>IF('1. INTRO'!I2="English","Asset","Utrustning")</f>
        <v>Asset</v>
      </c>
      <c r="D10" s="1101" t="s">
        <v>13</v>
      </c>
      <c r="E10" s="1072" t="str">
        <f>IF('1. INTRO'!I2="English","Co-fun-ding share (%)","Medfinan-sierings-andel (%)")</f>
        <v>Co-fun-ding share (%)</v>
      </c>
      <c r="F10" s="1129" t="str">
        <f>IF('1. INTRO'!I2="English","Start year","Startår")</f>
        <v>Start year</v>
      </c>
      <c r="G10" s="1124" t="str">
        <f>IF('1. INTRO'!I2="English","Life span","Livslängd")</f>
        <v>Life span</v>
      </c>
      <c r="H10" s="1127" t="str">
        <f>IF('1. INTRO'!I2="English","Purchase value","Inköpspris")</f>
        <v>Purchase value</v>
      </c>
      <c r="I10" s="291" t="str">
        <f>IF('1. INTRO'!I2="English","Sums","Summor")</f>
        <v>Sums</v>
      </c>
      <c r="J10" s="484" t="str">
        <f>'5. PERSON'!AI10</f>
        <v>SEK</v>
      </c>
      <c r="K10" s="63"/>
      <c r="L10" s="63"/>
      <c r="M10" s="63"/>
      <c r="N10" s="63"/>
      <c r="O10" s="63"/>
      <c r="P10" s="63"/>
      <c r="Q10" s="63"/>
      <c r="R10" s="63"/>
      <c r="S10" s="95"/>
      <c r="U10" s="58" t="s">
        <v>87</v>
      </c>
      <c r="V10" s="56"/>
      <c r="W10" s="91" t="str">
        <f>I10</f>
        <v>Sums</v>
      </c>
      <c r="X10" s="60" t="str">
        <f>'2. START'!C15</f>
        <v>SEK</v>
      </c>
      <c r="Y10" s="63"/>
      <c r="Z10" s="63"/>
      <c r="AA10" s="63"/>
      <c r="AB10" s="63"/>
      <c r="AC10" s="63"/>
      <c r="AD10" s="63"/>
      <c r="AE10" s="63"/>
      <c r="AF10" s="63"/>
      <c r="AG10" s="95"/>
      <c r="AH10" s="89"/>
      <c r="AI10" s="91" t="str">
        <f>I10</f>
        <v>Sums</v>
      </c>
      <c r="AJ10" s="60" t="str">
        <f>'2. START'!C15</f>
        <v>SEK</v>
      </c>
      <c r="AK10" s="63"/>
      <c r="AL10" s="63"/>
      <c r="AM10" s="63"/>
      <c r="AN10" s="63"/>
      <c r="AO10" s="63"/>
      <c r="AP10" s="63"/>
      <c r="AQ10" s="63"/>
      <c r="AR10" s="63"/>
      <c r="AS10" s="95"/>
      <c r="AU10" s="91" t="str">
        <f>I10</f>
        <v>Sums</v>
      </c>
      <c r="AV10" s="60" t="str">
        <f>'2. START'!C15</f>
        <v>SEK</v>
      </c>
      <c r="AW10" s="63"/>
      <c r="AX10" s="63"/>
      <c r="AY10" s="63"/>
      <c r="AZ10" s="63"/>
      <c r="BA10" s="63"/>
      <c r="BB10" s="63"/>
      <c r="BC10" s="63"/>
      <c r="BD10" s="63"/>
      <c r="BE10" s="95"/>
      <c r="BG10" s="91" t="str">
        <f>I10</f>
        <v>Sums</v>
      </c>
      <c r="BH10" s="60" t="str">
        <f>'2. START'!C15</f>
        <v>SEK</v>
      </c>
      <c r="BI10" s="63"/>
      <c r="BJ10" s="63"/>
      <c r="BK10" s="63"/>
      <c r="BL10" s="63"/>
      <c r="BM10" s="63"/>
      <c r="BN10" s="63"/>
      <c r="BO10" s="63"/>
      <c r="BP10" s="63"/>
      <c r="BQ10" s="95"/>
    </row>
    <row r="11" spans="2:69" s="36" customFormat="1" ht="15" customHeight="1" x14ac:dyDescent="0.25">
      <c r="B11" s="1096"/>
      <c r="C11" s="1099"/>
      <c r="D11" s="1102"/>
      <c r="E11" s="1073"/>
      <c r="F11" s="1130"/>
      <c r="G11" s="1125"/>
      <c r="H11" s="1073"/>
      <c r="I11" s="289"/>
      <c r="J11" s="56"/>
      <c r="K11" s="56"/>
      <c r="L11" s="56"/>
      <c r="M11" s="56"/>
      <c r="N11" s="56"/>
      <c r="O11" s="56"/>
      <c r="P11" s="56"/>
      <c r="Q11" s="56"/>
      <c r="R11" s="56"/>
      <c r="S11" s="96"/>
      <c r="U11" s="64"/>
      <c r="V11" s="56"/>
      <c r="W11" s="74"/>
      <c r="X11" s="56"/>
      <c r="Y11" s="56"/>
      <c r="Z11" s="56"/>
      <c r="AA11" s="56"/>
      <c r="AB11" s="56"/>
      <c r="AC11" s="56"/>
      <c r="AD11" s="56"/>
      <c r="AE11" s="56"/>
      <c r="AF11" s="56"/>
      <c r="AG11" s="96"/>
      <c r="AH11" s="89"/>
      <c r="AI11" s="74"/>
      <c r="AJ11" s="56"/>
      <c r="AK11" s="56"/>
      <c r="AL11" s="56"/>
      <c r="AM11" s="56"/>
      <c r="AN11" s="56"/>
      <c r="AO11" s="56"/>
      <c r="AP11" s="56"/>
      <c r="AQ11" s="56"/>
      <c r="AR11" s="56"/>
      <c r="AS11" s="96"/>
      <c r="AU11" s="74"/>
      <c r="AV11" s="56"/>
      <c r="AW11" s="56"/>
      <c r="AX11" s="56"/>
      <c r="AY11" s="56"/>
      <c r="AZ11" s="56"/>
      <c r="BA11" s="56"/>
      <c r="BB11" s="56"/>
      <c r="BC11" s="56"/>
      <c r="BD11" s="56"/>
      <c r="BE11" s="96"/>
      <c r="BG11" s="74"/>
      <c r="BH11" s="56"/>
      <c r="BI11" s="56"/>
      <c r="BJ11" s="56"/>
      <c r="BK11" s="56"/>
      <c r="BL11" s="56"/>
      <c r="BM11" s="56"/>
      <c r="BN11" s="56"/>
      <c r="BO11" s="56"/>
      <c r="BP11" s="56"/>
      <c r="BQ11" s="96"/>
    </row>
    <row r="12" spans="2:69" s="36" customFormat="1" ht="15" customHeight="1" x14ac:dyDescent="0.25">
      <c r="B12" s="1096"/>
      <c r="C12" s="1099"/>
      <c r="D12" s="1102"/>
      <c r="E12" s="1073"/>
      <c r="F12" s="1130"/>
      <c r="G12" s="1125"/>
      <c r="H12" s="1073"/>
      <c r="I12" s="1128" t="str">
        <f>IF('1. INTRO'!I2="English","Equipment total (grant &amp; co-funding)","Utrustning totalt (bidrag &amp; medfinansiering)")</f>
        <v>Equipment total (grant &amp; co-funding)</v>
      </c>
      <c r="J12" s="1004"/>
      <c r="K12" s="1004"/>
      <c r="L12" s="1004"/>
      <c r="M12" s="56"/>
      <c r="N12" s="56"/>
      <c r="O12" s="56"/>
      <c r="P12" s="56"/>
      <c r="Q12" s="56"/>
      <c r="R12" s="56"/>
      <c r="S12" s="96"/>
      <c r="U12" s="64"/>
      <c r="V12" s="56"/>
      <c r="W12" s="74" t="s">
        <v>99</v>
      </c>
      <c r="X12" s="56"/>
      <c r="Y12" s="56"/>
      <c r="Z12" s="56"/>
      <c r="AA12" s="56"/>
      <c r="AB12" s="56"/>
      <c r="AC12" s="56"/>
      <c r="AD12" s="56"/>
      <c r="AE12" s="56"/>
      <c r="AF12" s="56"/>
      <c r="AG12" s="96"/>
      <c r="AH12" s="89"/>
      <c r="AI12" s="74" t="s">
        <v>100</v>
      </c>
      <c r="AJ12" s="56"/>
      <c r="AK12" s="56"/>
      <c r="AL12" s="56"/>
      <c r="AM12" s="56"/>
      <c r="AN12" s="56"/>
      <c r="AO12" s="56"/>
      <c r="AP12" s="56"/>
      <c r="AQ12" s="56"/>
      <c r="AR12" s="56"/>
      <c r="AS12" s="96"/>
      <c r="AU12" s="74" t="s">
        <v>95</v>
      </c>
      <c r="AV12" s="56"/>
      <c r="AW12" s="56"/>
      <c r="AX12" s="56"/>
      <c r="AY12" s="56"/>
      <c r="AZ12" s="56"/>
      <c r="BA12" s="56"/>
      <c r="BB12" s="56"/>
      <c r="BC12" s="56"/>
      <c r="BD12" s="56"/>
      <c r="BE12" s="96"/>
      <c r="BG12" s="74" t="s">
        <v>96</v>
      </c>
      <c r="BH12" s="56"/>
      <c r="BI12" s="56"/>
      <c r="BJ12" s="56"/>
      <c r="BK12" s="56"/>
      <c r="BL12" s="56"/>
      <c r="BM12" s="56"/>
      <c r="BN12" s="56"/>
      <c r="BO12" s="56"/>
      <c r="BP12" s="56"/>
      <c r="BQ12" s="96"/>
    </row>
    <row r="13" spans="2:69" s="36" customFormat="1" ht="15" customHeight="1" x14ac:dyDescent="0.25">
      <c r="B13" s="1096"/>
      <c r="C13" s="1099"/>
      <c r="D13" s="1102"/>
      <c r="E13" s="1073"/>
      <c r="F13" s="1130"/>
      <c r="G13" s="1125"/>
      <c r="H13" s="559"/>
      <c r="I13" s="289"/>
      <c r="J13" s="56"/>
      <c r="K13" s="56"/>
      <c r="L13" s="56"/>
      <c r="M13" s="56"/>
      <c r="N13" s="56"/>
      <c r="O13" s="56"/>
      <c r="P13" s="56"/>
      <c r="Q13" s="56"/>
      <c r="R13" s="56"/>
      <c r="S13" s="96"/>
      <c r="U13" s="64"/>
      <c r="V13" s="56"/>
      <c r="W13" s="74"/>
      <c r="X13" s="56"/>
      <c r="Y13" s="56"/>
      <c r="Z13" s="56"/>
      <c r="AA13" s="56"/>
      <c r="AB13" s="56"/>
      <c r="AC13" s="56"/>
      <c r="AD13" s="56"/>
      <c r="AE13" s="56"/>
      <c r="AF13" s="56"/>
      <c r="AG13" s="96"/>
      <c r="AI13" s="74"/>
      <c r="AJ13" s="56"/>
      <c r="AK13" s="56"/>
      <c r="AL13" s="56"/>
      <c r="AM13" s="56"/>
      <c r="AN13" s="56"/>
      <c r="AO13" s="56"/>
      <c r="AP13" s="56"/>
      <c r="AQ13" s="56"/>
      <c r="AR13" s="56"/>
      <c r="AS13" s="96"/>
      <c r="AU13" s="74"/>
      <c r="AV13" s="56"/>
      <c r="AW13" s="56"/>
      <c r="AX13" s="56"/>
      <c r="AY13" s="56"/>
      <c r="AZ13" s="56"/>
      <c r="BA13" s="56"/>
      <c r="BB13" s="56"/>
      <c r="BC13" s="56"/>
      <c r="BD13" s="56"/>
      <c r="BE13" s="96"/>
      <c r="BG13" s="74"/>
      <c r="BH13" s="56"/>
      <c r="BI13" s="56"/>
      <c r="BJ13" s="56"/>
      <c r="BK13" s="56"/>
      <c r="BL13" s="56"/>
      <c r="BM13" s="56"/>
      <c r="BN13" s="56"/>
      <c r="BO13" s="56"/>
      <c r="BP13" s="56"/>
      <c r="BQ13" s="96"/>
    </row>
    <row r="14" spans="2:69" ht="15" customHeight="1" x14ac:dyDescent="0.2">
      <c r="B14" s="1096"/>
      <c r="C14" s="1099"/>
      <c r="D14" s="1102"/>
      <c r="E14" s="1073"/>
      <c r="F14" s="1130"/>
      <c r="G14" s="1125"/>
      <c r="H14" s="549" t="str">
        <f>'5. PERSON'!F14</f>
        <v>SEK</v>
      </c>
      <c r="I14" s="290"/>
      <c r="J14" s="100"/>
      <c r="K14" s="100"/>
      <c r="L14" s="100"/>
      <c r="M14" s="100"/>
      <c r="N14" s="100"/>
      <c r="O14" s="100"/>
      <c r="P14" s="100"/>
      <c r="Q14" s="100"/>
      <c r="R14" s="100"/>
      <c r="S14" s="101"/>
      <c r="T14" s="81"/>
      <c r="U14" s="106"/>
      <c r="V14" s="85"/>
      <c r="W14" s="99"/>
      <c r="X14" s="100"/>
      <c r="Y14" s="100"/>
      <c r="Z14" s="100"/>
      <c r="AA14" s="100"/>
      <c r="AB14" s="100"/>
      <c r="AC14" s="100"/>
      <c r="AD14" s="100"/>
      <c r="AE14" s="100"/>
      <c r="AF14" s="100"/>
      <c r="AG14" s="69"/>
      <c r="AI14" s="67"/>
      <c r="AJ14" s="68"/>
      <c r="AK14" s="68"/>
      <c r="AL14" s="68"/>
      <c r="AM14" s="68"/>
      <c r="AN14" s="68"/>
      <c r="AO14" s="68"/>
      <c r="AP14" s="68"/>
      <c r="AQ14" s="68"/>
      <c r="AR14" s="68"/>
      <c r="AS14" s="69"/>
      <c r="AU14" s="67"/>
      <c r="AV14" s="68"/>
      <c r="AW14" s="68"/>
      <c r="AX14" s="68"/>
      <c r="AY14" s="68"/>
      <c r="AZ14" s="68"/>
      <c r="BA14" s="68"/>
      <c r="BB14" s="68"/>
      <c r="BC14" s="68"/>
      <c r="BD14" s="68"/>
      <c r="BE14" s="69"/>
      <c r="BG14" s="67"/>
      <c r="BH14" s="68"/>
      <c r="BI14" s="68"/>
      <c r="BJ14" s="68"/>
      <c r="BK14" s="68"/>
      <c r="BL14" s="68"/>
      <c r="BM14" s="68"/>
      <c r="BN14" s="68"/>
      <c r="BO14" s="68"/>
      <c r="BP14" s="68"/>
      <c r="BQ14" s="69"/>
    </row>
    <row r="15" spans="2:69" s="268" customFormat="1" ht="15" customHeight="1" x14ac:dyDescent="0.25">
      <c r="B15" s="1097"/>
      <c r="C15" s="1100"/>
      <c r="D15" s="1103"/>
      <c r="E15" s="1132"/>
      <c r="F15" s="1131"/>
      <c r="G15" s="1126"/>
      <c r="H15" s="550"/>
      <c r="I15" s="413">
        <f>'5. PERSON'!G15</f>
        <v>1900</v>
      </c>
      <c r="J15" s="413" t="str">
        <f>'5. PERSON'!H15</f>
        <v/>
      </c>
      <c r="K15" s="413" t="str">
        <f>'5. PERSON'!I15</f>
        <v/>
      </c>
      <c r="L15" s="413" t="str">
        <f>'5. PERSON'!J15</f>
        <v/>
      </c>
      <c r="M15" s="413" t="str">
        <f>'5. PERSON'!K15</f>
        <v/>
      </c>
      <c r="N15" s="413" t="str">
        <f>'5. PERSON'!L15</f>
        <v/>
      </c>
      <c r="O15" s="413" t="str">
        <f>'5. PERSON'!M15</f>
        <v/>
      </c>
      <c r="P15" s="413" t="str">
        <f>'5. PERSON'!N15</f>
        <v/>
      </c>
      <c r="Q15" s="413" t="str">
        <f>'5. PERSON'!O15</f>
        <v/>
      </c>
      <c r="R15" s="413" t="str">
        <f>'5. PERSON'!P15</f>
        <v/>
      </c>
      <c r="S15" s="350" t="s">
        <v>2</v>
      </c>
      <c r="U15" s="551" t="s">
        <v>0</v>
      </c>
      <c r="V15" s="365"/>
      <c r="W15" s="413">
        <f t="shared" ref="W15:AF15" si="0">I15</f>
        <v>1900</v>
      </c>
      <c r="X15" s="413" t="str">
        <f t="shared" si="0"/>
        <v/>
      </c>
      <c r="Y15" s="413" t="str">
        <f t="shared" si="0"/>
        <v/>
      </c>
      <c r="Z15" s="413" t="str">
        <f t="shared" si="0"/>
        <v/>
      </c>
      <c r="AA15" s="413" t="str">
        <f t="shared" si="0"/>
        <v/>
      </c>
      <c r="AB15" s="413" t="str">
        <f t="shared" si="0"/>
        <v/>
      </c>
      <c r="AC15" s="413" t="str">
        <f t="shared" si="0"/>
        <v/>
      </c>
      <c r="AD15" s="413" t="str">
        <f t="shared" si="0"/>
        <v/>
      </c>
      <c r="AE15" s="413" t="str">
        <f t="shared" si="0"/>
        <v/>
      </c>
      <c r="AF15" s="413" t="str">
        <f t="shared" si="0"/>
        <v/>
      </c>
      <c r="AG15" s="350" t="s">
        <v>2</v>
      </c>
      <c r="AI15" s="412">
        <f t="shared" ref="AI15:AR15" si="1">I15</f>
        <v>1900</v>
      </c>
      <c r="AJ15" s="412" t="str">
        <f t="shared" si="1"/>
        <v/>
      </c>
      <c r="AK15" s="412" t="str">
        <f t="shared" si="1"/>
        <v/>
      </c>
      <c r="AL15" s="412" t="str">
        <f t="shared" si="1"/>
        <v/>
      </c>
      <c r="AM15" s="412" t="str">
        <f t="shared" si="1"/>
        <v/>
      </c>
      <c r="AN15" s="412" t="str">
        <f t="shared" si="1"/>
        <v/>
      </c>
      <c r="AO15" s="412" t="str">
        <f t="shared" si="1"/>
        <v/>
      </c>
      <c r="AP15" s="412" t="str">
        <f t="shared" si="1"/>
        <v/>
      </c>
      <c r="AQ15" s="412" t="str">
        <f t="shared" si="1"/>
        <v/>
      </c>
      <c r="AR15" s="412" t="str">
        <f t="shared" si="1"/>
        <v/>
      </c>
      <c r="AS15" s="350" t="s">
        <v>2</v>
      </c>
      <c r="AU15" s="412">
        <f t="shared" ref="AU15:BD15" si="2">I15</f>
        <v>1900</v>
      </c>
      <c r="AV15" s="412" t="str">
        <f t="shared" si="2"/>
        <v/>
      </c>
      <c r="AW15" s="412" t="str">
        <f t="shared" si="2"/>
        <v/>
      </c>
      <c r="AX15" s="412" t="str">
        <f t="shared" si="2"/>
        <v/>
      </c>
      <c r="AY15" s="412" t="str">
        <f t="shared" si="2"/>
        <v/>
      </c>
      <c r="AZ15" s="412" t="str">
        <f t="shared" si="2"/>
        <v/>
      </c>
      <c r="BA15" s="412" t="str">
        <f t="shared" si="2"/>
        <v/>
      </c>
      <c r="BB15" s="412" t="str">
        <f t="shared" si="2"/>
        <v/>
      </c>
      <c r="BC15" s="412" t="str">
        <f t="shared" si="2"/>
        <v/>
      </c>
      <c r="BD15" s="412" t="str">
        <f t="shared" si="2"/>
        <v/>
      </c>
      <c r="BE15" s="350" t="s">
        <v>2</v>
      </c>
      <c r="BG15" s="412">
        <f t="shared" ref="BG15:BP15" si="3">I15</f>
        <v>1900</v>
      </c>
      <c r="BH15" s="412" t="str">
        <f t="shared" si="3"/>
        <v/>
      </c>
      <c r="BI15" s="412" t="str">
        <f t="shared" si="3"/>
        <v/>
      </c>
      <c r="BJ15" s="412" t="str">
        <f t="shared" si="3"/>
        <v/>
      </c>
      <c r="BK15" s="412" t="str">
        <f t="shared" si="3"/>
        <v/>
      </c>
      <c r="BL15" s="412" t="str">
        <f t="shared" si="3"/>
        <v/>
      </c>
      <c r="BM15" s="412" t="str">
        <f t="shared" si="3"/>
        <v/>
      </c>
      <c r="BN15" s="412" t="str">
        <f t="shared" si="3"/>
        <v/>
      </c>
      <c r="BO15" s="412" t="str">
        <f t="shared" si="3"/>
        <v/>
      </c>
      <c r="BP15" s="412" t="str">
        <f t="shared" si="3"/>
        <v/>
      </c>
      <c r="BQ15" s="350" t="s">
        <v>2</v>
      </c>
    </row>
    <row r="16" spans="2:69" s="268" customFormat="1" ht="15" customHeight="1" x14ac:dyDescent="0.25">
      <c r="B16" s="415" t="str">
        <f>IF('1. INTRO'!I2="English","SUMS &gt;&gt;","SUMMOR &gt;&gt;")</f>
        <v>SUMS &gt;&gt;</v>
      </c>
      <c r="C16" s="416"/>
      <c r="D16" s="504"/>
      <c r="E16" s="540"/>
      <c r="F16" s="552"/>
      <c r="G16" s="552"/>
      <c r="H16" s="569"/>
      <c r="I16" s="552" t="str">
        <f>IF(I50=0,"",I50)</f>
        <v/>
      </c>
      <c r="J16" s="553" t="str">
        <f t="shared" ref="J16:AS16" si="4">IF(J50=0,"",J50)</f>
        <v/>
      </c>
      <c r="K16" s="553" t="str">
        <f t="shared" si="4"/>
        <v/>
      </c>
      <c r="L16" s="553" t="str">
        <f t="shared" si="4"/>
        <v/>
      </c>
      <c r="M16" s="553" t="str">
        <f t="shared" si="4"/>
        <v/>
      </c>
      <c r="N16" s="553" t="str">
        <f t="shared" si="4"/>
        <v/>
      </c>
      <c r="O16" s="553" t="str">
        <f t="shared" si="4"/>
        <v/>
      </c>
      <c r="P16" s="553" t="str">
        <f t="shared" si="4"/>
        <v/>
      </c>
      <c r="Q16" s="553" t="str">
        <f t="shared" si="4"/>
        <v/>
      </c>
      <c r="R16" s="553" t="str">
        <f t="shared" si="4"/>
        <v/>
      </c>
      <c r="S16" s="554" t="str">
        <f t="shared" si="4"/>
        <v/>
      </c>
      <c r="T16" s="555"/>
      <c r="U16" s="554"/>
      <c r="V16" s="555"/>
      <c r="W16" s="554" t="str">
        <f t="shared" si="4"/>
        <v/>
      </c>
      <c r="X16" s="553" t="str">
        <f t="shared" si="4"/>
        <v/>
      </c>
      <c r="Y16" s="553" t="str">
        <f t="shared" si="4"/>
        <v/>
      </c>
      <c r="Z16" s="553" t="str">
        <f t="shared" si="4"/>
        <v/>
      </c>
      <c r="AA16" s="553" t="str">
        <f t="shared" si="4"/>
        <v/>
      </c>
      <c r="AB16" s="553" t="str">
        <f t="shared" si="4"/>
        <v/>
      </c>
      <c r="AC16" s="553" t="str">
        <f t="shared" si="4"/>
        <v/>
      </c>
      <c r="AD16" s="553" t="str">
        <f t="shared" si="4"/>
        <v/>
      </c>
      <c r="AE16" s="553" t="str">
        <f t="shared" si="4"/>
        <v/>
      </c>
      <c r="AF16" s="553" t="str">
        <f t="shared" si="4"/>
        <v/>
      </c>
      <c r="AG16" s="554" t="str">
        <f t="shared" si="4"/>
        <v/>
      </c>
      <c r="AH16" s="555"/>
      <c r="AI16" s="554" t="str">
        <f t="shared" si="4"/>
        <v/>
      </c>
      <c r="AJ16" s="553" t="str">
        <f t="shared" si="4"/>
        <v/>
      </c>
      <c r="AK16" s="553" t="str">
        <f t="shared" si="4"/>
        <v/>
      </c>
      <c r="AL16" s="553" t="str">
        <f t="shared" si="4"/>
        <v/>
      </c>
      <c r="AM16" s="553" t="str">
        <f t="shared" si="4"/>
        <v/>
      </c>
      <c r="AN16" s="553" t="str">
        <f t="shared" si="4"/>
        <v/>
      </c>
      <c r="AO16" s="553" t="str">
        <f t="shared" si="4"/>
        <v/>
      </c>
      <c r="AP16" s="553" t="str">
        <f t="shared" si="4"/>
        <v/>
      </c>
      <c r="AQ16" s="553" t="str">
        <f t="shared" si="4"/>
        <v/>
      </c>
      <c r="AR16" s="553" t="str">
        <f t="shared" si="4"/>
        <v/>
      </c>
      <c r="AS16" s="554" t="str">
        <f t="shared" si="4"/>
        <v/>
      </c>
      <c r="AT16" s="555"/>
      <c r="AU16" s="554" t="str">
        <f t="shared" ref="AU16:BQ16" si="5">IF(AU50=0,"",AU50)</f>
        <v/>
      </c>
      <c r="AV16" s="553" t="str">
        <f t="shared" si="5"/>
        <v/>
      </c>
      <c r="AW16" s="553" t="str">
        <f t="shared" si="5"/>
        <v/>
      </c>
      <c r="AX16" s="553" t="str">
        <f t="shared" si="5"/>
        <v/>
      </c>
      <c r="AY16" s="553" t="str">
        <f t="shared" si="5"/>
        <v/>
      </c>
      <c r="AZ16" s="553" t="str">
        <f t="shared" si="5"/>
        <v/>
      </c>
      <c r="BA16" s="553" t="str">
        <f t="shared" si="5"/>
        <v/>
      </c>
      <c r="BB16" s="553" t="str">
        <f t="shared" si="5"/>
        <v/>
      </c>
      <c r="BC16" s="553" t="str">
        <f t="shared" si="5"/>
        <v/>
      </c>
      <c r="BD16" s="553" t="str">
        <f t="shared" si="5"/>
        <v/>
      </c>
      <c r="BE16" s="554" t="str">
        <f t="shared" si="5"/>
        <v/>
      </c>
      <c r="BF16" s="555"/>
      <c r="BG16" s="554" t="str">
        <f t="shared" si="5"/>
        <v/>
      </c>
      <c r="BH16" s="553" t="str">
        <f t="shared" si="5"/>
        <v/>
      </c>
      <c r="BI16" s="553" t="str">
        <f t="shared" si="5"/>
        <v/>
      </c>
      <c r="BJ16" s="553" t="str">
        <f t="shared" si="5"/>
        <v/>
      </c>
      <c r="BK16" s="553" t="str">
        <f t="shared" si="5"/>
        <v/>
      </c>
      <c r="BL16" s="553" t="str">
        <f t="shared" si="5"/>
        <v/>
      </c>
      <c r="BM16" s="553" t="str">
        <f t="shared" si="5"/>
        <v/>
      </c>
      <c r="BN16" s="553" t="str">
        <f t="shared" si="5"/>
        <v/>
      </c>
      <c r="BO16" s="553" t="str">
        <f t="shared" si="5"/>
        <v/>
      </c>
      <c r="BP16" s="553" t="str">
        <f t="shared" si="5"/>
        <v/>
      </c>
      <c r="BQ16" s="554" t="str">
        <f t="shared" si="5"/>
        <v/>
      </c>
    </row>
    <row r="17" spans="2:69" s="268" customFormat="1" ht="15" customHeight="1" x14ac:dyDescent="0.25">
      <c r="B17" s="464" t="str">
        <f>'2. START'!C$7</f>
        <v>100GEM</v>
      </c>
      <c r="C17" s="513"/>
      <c r="D17" s="595"/>
      <c r="E17" s="514">
        <v>0</v>
      </c>
      <c r="F17" s="560"/>
      <c r="G17" s="563"/>
      <c r="H17" s="566"/>
      <c r="I17" s="519">
        <f>IF(AND(ISNUMBER($F17),ISNUMBER($G17),ISNUMBER($H17)),IF(AND(I$15&gt;=$F17,I$15&lt;=YEAR('2. START'!$C$19),I$15&lt;=($F17+$G17-1)),$H17/$G17,0),0)</f>
        <v>0</v>
      </c>
      <c r="J17" s="519">
        <f>IF(AND(ISNUMBER($F17),ISNUMBER($G17),ISNUMBER($H17)),IF(AND(J$15&gt;=$F17,J$15&lt;=YEAR('2. START'!$C$19),J$15&lt;=($F17+$G17-1)),$H17/$G17,0),0)</f>
        <v>0</v>
      </c>
      <c r="K17" s="519">
        <f>IF(AND(ISNUMBER($F17),ISNUMBER($G17),ISNUMBER($H17)),IF(AND(K$15&gt;=$F17,K$15&lt;=YEAR('2. START'!$C$19),K$15&lt;=($F17+$G17-1)),$H17/$G17,0),0)</f>
        <v>0</v>
      </c>
      <c r="L17" s="519">
        <f>IF(AND(ISNUMBER($F17),ISNUMBER($G17),ISNUMBER($H17)),IF(AND(L$15&gt;=$F17,L$15&lt;=YEAR('2. START'!$C$19),L$15&lt;=($F17+$G17-1)),$H17/$G17,0),0)</f>
        <v>0</v>
      </c>
      <c r="M17" s="519">
        <f>IF(AND(ISNUMBER($F17),ISNUMBER($G17),ISNUMBER($H17)),IF(AND(M$15&gt;=$F17,M$15&lt;=YEAR('2. START'!$C$19),M$15&lt;=($F17+$G17-1)),$H17/$G17,0),0)</f>
        <v>0</v>
      </c>
      <c r="N17" s="519">
        <f>IF(AND(ISNUMBER($F17),ISNUMBER($G17),ISNUMBER($H17)),IF(AND(N$15&gt;=$F17,N$15&lt;=YEAR('2. START'!$C$19),N$15&lt;=($F17+$G17-1)),$H17/$G17,0),0)</f>
        <v>0</v>
      </c>
      <c r="O17" s="519">
        <f>IF(AND(ISNUMBER($F17),ISNUMBER($G17),ISNUMBER($H17)),IF(AND(O$15&gt;=$F17,O$15&lt;=YEAR('2. START'!$C$19),O$15&lt;=($F17+$G17-1)),$H17/$G17,0),0)</f>
        <v>0</v>
      </c>
      <c r="P17" s="519">
        <f>IF(AND(ISNUMBER($F17),ISNUMBER($G17),ISNUMBER($H17)),IF(AND(P$15&gt;=$F17,P$15&lt;=YEAR('2. START'!$C$19),P$15&lt;=($F17+$G17-1)),$H17/$G17,0),0)</f>
        <v>0</v>
      </c>
      <c r="Q17" s="519">
        <f>IF(AND(ISNUMBER($F17),ISNUMBER($G17),ISNUMBER($H17)),IF(AND(Q$15&gt;=$F17,Q$15&lt;=YEAR('2. START'!$C$19),Q$15&lt;=($F17+$G17-1)),$H17/$G17,0),0)</f>
        <v>0</v>
      </c>
      <c r="R17" s="519">
        <f>IF(AND(ISNUMBER($F17),ISNUMBER($G17),ISNUMBER($H17)),IF(AND(R$15&gt;=$F17,R$15&lt;=YEAR('2. START'!$C$19),R$15&lt;=($F17+$G17-1)),$H17/$G17,0),0)</f>
        <v>0</v>
      </c>
      <c r="S17" s="520">
        <f>SUM(I17:R17)</f>
        <v>0</v>
      </c>
      <c r="U17" s="517">
        <f>IF('2. START'!C$13="PERSON+OPERATION+INVEST+FACILIT",'2. START'!C$12,0)</f>
        <v>0</v>
      </c>
      <c r="V17" s="551"/>
      <c r="W17" s="519">
        <f t="shared" ref="W17:AF17" si="6">I17*(1-$E17)</f>
        <v>0</v>
      </c>
      <c r="X17" s="519">
        <f t="shared" si="6"/>
        <v>0</v>
      </c>
      <c r="Y17" s="519">
        <f t="shared" si="6"/>
        <v>0</v>
      </c>
      <c r="Z17" s="519">
        <f t="shared" si="6"/>
        <v>0</v>
      </c>
      <c r="AA17" s="519">
        <f t="shared" si="6"/>
        <v>0</v>
      </c>
      <c r="AB17" s="519">
        <f t="shared" si="6"/>
        <v>0</v>
      </c>
      <c r="AC17" s="519">
        <f t="shared" si="6"/>
        <v>0</v>
      </c>
      <c r="AD17" s="519">
        <f t="shared" si="6"/>
        <v>0</v>
      </c>
      <c r="AE17" s="519">
        <f t="shared" si="6"/>
        <v>0</v>
      </c>
      <c r="AF17" s="519">
        <f t="shared" si="6"/>
        <v>0</v>
      </c>
      <c r="AG17" s="520">
        <f>SUM(W17:AF17)</f>
        <v>0</v>
      </c>
      <c r="AI17" s="519">
        <f t="shared" ref="AI17:AR17" si="7">$E17*I17</f>
        <v>0</v>
      </c>
      <c r="AJ17" s="519">
        <f t="shared" si="7"/>
        <v>0</v>
      </c>
      <c r="AK17" s="519">
        <f t="shared" si="7"/>
        <v>0</v>
      </c>
      <c r="AL17" s="519">
        <f t="shared" si="7"/>
        <v>0</v>
      </c>
      <c r="AM17" s="519">
        <f t="shared" si="7"/>
        <v>0</v>
      </c>
      <c r="AN17" s="519">
        <f t="shared" si="7"/>
        <v>0</v>
      </c>
      <c r="AO17" s="519">
        <f t="shared" si="7"/>
        <v>0</v>
      </c>
      <c r="AP17" s="519">
        <f t="shared" si="7"/>
        <v>0</v>
      </c>
      <c r="AQ17" s="519">
        <f t="shared" si="7"/>
        <v>0</v>
      </c>
      <c r="AR17" s="519">
        <f t="shared" si="7"/>
        <v>0</v>
      </c>
      <c r="AS17" s="520">
        <f>SUM(AI17:AR17)</f>
        <v>0</v>
      </c>
      <c r="AU17" s="519">
        <f>$U17*W17</f>
        <v>0</v>
      </c>
      <c r="AV17" s="519">
        <f t="shared" ref="AV17:BD17" si="8">$U17*X17</f>
        <v>0</v>
      </c>
      <c r="AW17" s="519">
        <f t="shared" si="8"/>
        <v>0</v>
      </c>
      <c r="AX17" s="519">
        <f t="shared" si="8"/>
        <v>0</v>
      </c>
      <c r="AY17" s="519">
        <f t="shared" si="8"/>
        <v>0</v>
      </c>
      <c r="AZ17" s="519">
        <f t="shared" si="8"/>
        <v>0</v>
      </c>
      <c r="BA17" s="519">
        <f t="shared" si="8"/>
        <v>0</v>
      </c>
      <c r="BB17" s="519">
        <f t="shared" si="8"/>
        <v>0</v>
      </c>
      <c r="BC17" s="519">
        <f t="shared" si="8"/>
        <v>0</v>
      </c>
      <c r="BD17" s="519">
        <f t="shared" si="8"/>
        <v>0</v>
      </c>
      <c r="BE17" s="520">
        <f>SUM(AU17:BD17)</f>
        <v>0</v>
      </c>
      <c r="BG17" s="519">
        <f>0-AU17</f>
        <v>0</v>
      </c>
      <c r="BH17" s="519">
        <f t="shared" ref="BH17:BP17" si="9">0-AV17</f>
        <v>0</v>
      </c>
      <c r="BI17" s="519">
        <f t="shared" si="9"/>
        <v>0</v>
      </c>
      <c r="BJ17" s="519">
        <f t="shared" si="9"/>
        <v>0</v>
      </c>
      <c r="BK17" s="519">
        <f t="shared" si="9"/>
        <v>0</v>
      </c>
      <c r="BL17" s="519">
        <f t="shared" si="9"/>
        <v>0</v>
      </c>
      <c r="BM17" s="519">
        <f t="shared" si="9"/>
        <v>0</v>
      </c>
      <c r="BN17" s="519">
        <f t="shared" si="9"/>
        <v>0</v>
      </c>
      <c r="BO17" s="519">
        <f t="shared" si="9"/>
        <v>0</v>
      </c>
      <c r="BP17" s="519">
        <f t="shared" si="9"/>
        <v>0</v>
      </c>
      <c r="BQ17" s="520">
        <f>SUM(BG17:BP17)</f>
        <v>0</v>
      </c>
    </row>
    <row r="18" spans="2:69" s="268" customFormat="1" ht="15" customHeight="1" x14ac:dyDescent="0.25">
      <c r="B18" s="446" t="str">
        <f>'2. START'!C$7</f>
        <v>100GEM</v>
      </c>
      <c r="C18" s="521"/>
      <c r="D18" s="592"/>
      <c r="E18" s="522">
        <v>0</v>
      </c>
      <c r="F18" s="561"/>
      <c r="G18" s="564"/>
      <c r="H18" s="567"/>
      <c r="I18" s="459">
        <f>IF(AND(ISNUMBER($F18),ISNUMBER($G18),ISNUMBER($H18)),IF(AND(I$15&gt;=$F18,I$15&lt;=YEAR('2. START'!$C$19),I$15&lt;=($F18+$G18-1)),$H18/$G18,0),0)</f>
        <v>0</v>
      </c>
      <c r="J18" s="459">
        <f>IF(AND(ISNUMBER($F18),ISNUMBER($G18),ISNUMBER($H18)),IF(AND(J$15&gt;=$F18,J$15&lt;=YEAR('2. START'!$C$19),J$15&lt;=($F18+$G18-1)),$H18/$G18,0),0)</f>
        <v>0</v>
      </c>
      <c r="K18" s="459">
        <f>IF(AND(ISNUMBER($F18),ISNUMBER($G18),ISNUMBER($H18)),IF(AND(K$15&gt;=$F18,K$15&lt;=YEAR('2. START'!$C$19),K$15&lt;=($F18+$G18-1)),$H18/$G18,0),0)</f>
        <v>0</v>
      </c>
      <c r="L18" s="459">
        <f>IF(AND(ISNUMBER($F18),ISNUMBER($G18),ISNUMBER($H18)),IF(AND(L$15&gt;=$F18,L$15&lt;=YEAR('2. START'!$C$19),L$15&lt;=($F18+$G18-1)),$H18/$G18,0),0)</f>
        <v>0</v>
      </c>
      <c r="M18" s="459">
        <f>IF(AND(ISNUMBER($F18),ISNUMBER($G18),ISNUMBER($H18)),IF(AND(M$15&gt;=$F18,M$15&lt;=YEAR('2. START'!$C$19),M$15&lt;=($F18+$G18-1)),$H18/$G18,0),0)</f>
        <v>0</v>
      </c>
      <c r="N18" s="459">
        <f>IF(AND(ISNUMBER($F18),ISNUMBER($G18),ISNUMBER($H18)),IF(AND(N$15&gt;=$F18,N$15&lt;=YEAR('2. START'!$C$19),N$15&lt;=($F18+$G18-1)),$H18/$G18,0),0)</f>
        <v>0</v>
      </c>
      <c r="O18" s="459">
        <f>IF(AND(ISNUMBER($F18),ISNUMBER($G18),ISNUMBER($H18)),IF(AND(O$15&gt;=$F18,O$15&lt;=YEAR('2. START'!$C$19),O$15&lt;=($F18+$G18-1)),$H18/$G18,0),0)</f>
        <v>0</v>
      </c>
      <c r="P18" s="459">
        <f>IF(AND(ISNUMBER($F18),ISNUMBER($G18),ISNUMBER($H18)),IF(AND(P$15&gt;=$F18,P$15&lt;=YEAR('2. START'!$C$19),P$15&lt;=($F18+$G18-1)),$H18/$G18,0),0)</f>
        <v>0</v>
      </c>
      <c r="Q18" s="459">
        <f>IF(AND(ISNUMBER($F18),ISNUMBER($G18),ISNUMBER($H18)),IF(AND(Q$15&gt;=$F18,Q$15&lt;=YEAR('2. START'!$C$19),Q$15&lt;=($F18+$G18-1)),$H18/$G18,0),0)</f>
        <v>0</v>
      </c>
      <c r="R18" s="459">
        <f>IF(AND(ISNUMBER($F18),ISNUMBER($G18),ISNUMBER($H18)),IF(AND(R$15&gt;=$F18,R$15&lt;=YEAR('2. START'!$C$19),R$15&lt;=($F18+$G18-1)),$H18/$G18,0),0)</f>
        <v>0</v>
      </c>
      <c r="S18" s="460">
        <f t="shared" ref="S18:S49" si="10">SUM(I18:R18)</f>
        <v>0</v>
      </c>
      <c r="T18" s="463"/>
      <c r="U18" s="454">
        <f>IF('2. START'!C$13="PERSON+OPERATION+INVEST+FACILIT",'2. START'!C$12,0)</f>
        <v>0</v>
      </c>
      <c r="V18" s="556"/>
      <c r="W18" s="459">
        <f t="shared" ref="W18:W49" si="11">I18*(1-$E18)</f>
        <v>0</v>
      </c>
      <c r="X18" s="459">
        <f t="shared" ref="X18:X49" si="12">J18*(1-$E18)</f>
        <v>0</v>
      </c>
      <c r="Y18" s="459">
        <f t="shared" ref="Y18:Y49" si="13">K18*(1-$E18)</f>
        <v>0</v>
      </c>
      <c r="Z18" s="459">
        <f t="shared" ref="Z18:Z49" si="14">L18*(1-$E18)</f>
        <v>0</v>
      </c>
      <c r="AA18" s="459">
        <f t="shared" ref="AA18:AA49" si="15">M18*(1-$E18)</f>
        <v>0</v>
      </c>
      <c r="AB18" s="459">
        <f t="shared" ref="AB18:AB49" si="16">N18*(1-$E18)</f>
        <v>0</v>
      </c>
      <c r="AC18" s="459">
        <f t="shared" ref="AC18:AC49" si="17">O18*(1-$E18)</f>
        <v>0</v>
      </c>
      <c r="AD18" s="459">
        <f t="shared" ref="AD18:AD49" si="18">P18*(1-$E18)</f>
        <v>0</v>
      </c>
      <c r="AE18" s="459">
        <f t="shared" ref="AE18:AE49" si="19">Q18*(1-$E18)</f>
        <v>0</v>
      </c>
      <c r="AF18" s="459">
        <f t="shared" ref="AF18:AF49" si="20">R18*(1-$E18)</f>
        <v>0</v>
      </c>
      <c r="AG18" s="460">
        <f t="shared" ref="AG18:AG49" si="21">SUM(W18:AF18)</f>
        <v>0</v>
      </c>
      <c r="AH18" s="463"/>
      <c r="AI18" s="459">
        <f t="shared" ref="AI18:AI49" si="22">$E18*I18</f>
        <v>0</v>
      </c>
      <c r="AJ18" s="459">
        <f t="shared" ref="AJ18:AJ49" si="23">$E18*J18</f>
        <v>0</v>
      </c>
      <c r="AK18" s="459">
        <f t="shared" ref="AK18:AK49" si="24">$E18*K18</f>
        <v>0</v>
      </c>
      <c r="AL18" s="459">
        <f t="shared" ref="AL18:AL49" si="25">$E18*L18</f>
        <v>0</v>
      </c>
      <c r="AM18" s="459">
        <f t="shared" ref="AM18:AM49" si="26">$E18*M18</f>
        <v>0</v>
      </c>
      <c r="AN18" s="459">
        <f t="shared" ref="AN18:AN49" si="27">$E18*N18</f>
        <v>0</v>
      </c>
      <c r="AO18" s="459">
        <f t="shared" ref="AO18:AO49" si="28">$E18*O18</f>
        <v>0</v>
      </c>
      <c r="AP18" s="459">
        <f t="shared" ref="AP18:AP49" si="29">$E18*P18</f>
        <v>0</v>
      </c>
      <c r="AQ18" s="459">
        <f t="shared" ref="AQ18:AQ49" si="30">$E18*Q18</f>
        <v>0</v>
      </c>
      <c r="AR18" s="459">
        <f t="shared" ref="AR18:AR49" si="31">$E18*R18</f>
        <v>0</v>
      </c>
      <c r="AS18" s="460">
        <f t="shared" ref="AS18:AS49" si="32">SUM(AI18:AR18)</f>
        <v>0</v>
      </c>
      <c r="AT18" s="463"/>
      <c r="AU18" s="459">
        <f t="shared" ref="AU18:AU49" si="33">$U18*W18</f>
        <v>0</v>
      </c>
      <c r="AV18" s="459">
        <f t="shared" ref="AV18:AV49" si="34">$U18*X18</f>
        <v>0</v>
      </c>
      <c r="AW18" s="459">
        <f t="shared" ref="AW18:AW49" si="35">$U18*Y18</f>
        <v>0</v>
      </c>
      <c r="AX18" s="459">
        <f t="shared" ref="AX18:AX49" si="36">$U18*Z18</f>
        <v>0</v>
      </c>
      <c r="AY18" s="459">
        <f t="shared" ref="AY18:AY49" si="37">$U18*AA18</f>
        <v>0</v>
      </c>
      <c r="AZ18" s="459">
        <f t="shared" ref="AZ18:AZ49" si="38">$U18*AB18</f>
        <v>0</v>
      </c>
      <c r="BA18" s="459">
        <f t="shared" ref="BA18:BA49" si="39">$U18*AC18</f>
        <v>0</v>
      </c>
      <c r="BB18" s="459">
        <f t="shared" ref="BB18:BB49" si="40">$U18*AD18</f>
        <v>0</v>
      </c>
      <c r="BC18" s="459">
        <f t="shared" ref="BC18:BC49" si="41">$U18*AE18</f>
        <v>0</v>
      </c>
      <c r="BD18" s="459">
        <f t="shared" ref="BD18:BD49" si="42">$U18*AF18</f>
        <v>0</v>
      </c>
      <c r="BE18" s="460">
        <f t="shared" ref="BE18:BE49" si="43">SUM(AU18:BD18)</f>
        <v>0</v>
      </c>
      <c r="BF18" s="463"/>
      <c r="BG18" s="459">
        <f t="shared" ref="BG18:BG49" si="44">0-AU18</f>
        <v>0</v>
      </c>
      <c r="BH18" s="459">
        <f t="shared" ref="BH18:BH49" si="45">0-AV18</f>
        <v>0</v>
      </c>
      <c r="BI18" s="459">
        <f t="shared" ref="BI18:BI49" si="46">0-AW18</f>
        <v>0</v>
      </c>
      <c r="BJ18" s="459">
        <f t="shared" ref="BJ18:BJ49" si="47">0-AX18</f>
        <v>0</v>
      </c>
      <c r="BK18" s="459">
        <f t="shared" ref="BK18:BK49" si="48">0-AY18</f>
        <v>0</v>
      </c>
      <c r="BL18" s="459">
        <f t="shared" ref="BL18:BL49" si="49">0-AZ18</f>
        <v>0</v>
      </c>
      <c r="BM18" s="459">
        <f t="shared" ref="BM18:BM49" si="50">0-BA18</f>
        <v>0</v>
      </c>
      <c r="BN18" s="459">
        <f t="shared" ref="BN18:BN49" si="51">0-BB18</f>
        <v>0</v>
      </c>
      <c r="BO18" s="459">
        <f t="shared" ref="BO18:BO49" si="52">0-BC18</f>
        <v>0</v>
      </c>
      <c r="BP18" s="459">
        <f t="shared" ref="BP18:BP49" si="53">0-BD18</f>
        <v>0</v>
      </c>
      <c r="BQ18" s="460">
        <f t="shared" ref="BQ18:BQ49" si="54">SUM(BG18:BP18)</f>
        <v>0</v>
      </c>
    </row>
    <row r="19" spans="2:69" s="268" customFormat="1" ht="15" customHeight="1" x14ac:dyDescent="0.25">
      <c r="B19" s="464" t="str">
        <f>'2. START'!C$7</f>
        <v>100GEM</v>
      </c>
      <c r="C19" s="526"/>
      <c r="D19" s="591"/>
      <c r="E19" s="527">
        <v>0</v>
      </c>
      <c r="F19" s="562"/>
      <c r="G19" s="565"/>
      <c r="H19" s="568"/>
      <c r="I19" s="519">
        <f>IF(AND(ISNUMBER($F19),ISNUMBER($G19),ISNUMBER($H19)),IF(AND(I$15&gt;=$F19,I$15&lt;=YEAR('2. START'!$C$19),I$15&lt;=($F19+$G19-1)),$H19/$G19,0),0)</f>
        <v>0</v>
      </c>
      <c r="J19" s="519">
        <f>IF(AND(ISNUMBER($F19),ISNUMBER($G19),ISNUMBER($H19)),IF(AND(J$15&gt;=$F19,J$15&lt;=YEAR('2. START'!$C$19),J$15&lt;=($F19+$G19-1)),$H19/$G19,0),0)</f>
        <v>0</v>
      </c>
      <c r="K19" s="519">
        <f>IF(AND(ISNUMBER($F19),ISNUMBER($G19),ISNUMBER($H19)),IF(AND(K$15&gt;=$F19,K$15&lt;=YEAR('2. START'!$C$19),K$15&lt;=($F19+$G19-1)),$H19/$G19,0),0)</f>
        <v>0</v>
      </c>
      <c r="L19" s="519">
        <f>IF(AND(ISNUMBER($F19),ISNUMBER($G19),ISNUMBER($H19)),IF(AND(L$15&gt;=$F19,L$15&lt;=YEAR('2. START'!$C$19),L$15&lt;=($F19+$G19-1)),$H19/$G19,0),0)</f>
        <v>0</v>
      </c>
      <c r="M19" s="519">
        <f>IF(AND(ISNUMBER($F19),ISNUMBER($G19),ISNUMBER($H19)),IF(AND(M$15&gt;=$F19,M$15&lt;=YEAR('2. START'!$C$19),M$15&lt;=($F19+$G19-1)),$H19/$G19,0),0)</f>
        <v>0</v>
      </c>
      <c r="N19" s="519">
        <f>IF(AND(ISNUMBER($F19),ISNUMBER($G19),ISNUMBER($H19)),IF(AND(N$15&gt;=$F19,N$15&lt;=YEAR('2. START'!$C$19),N$15&lt;=($F19+$G19-1)),$H19/$G19,0),0)</f>
        <v>0</v>
      </c>
      <c r="O19" s="519">
        <f>IF(AND(ISNUMBER($F19),ISNUMBER($G19),ISNUMBER($H19)),IF(AND(O$15&gt;=$F19,O$15&lt;=YEAR('2. START'!$C$19),O$15&lt;=($F19+$G19-1)),$H19/$G19,0),0)</f>
        <v>0</v>
      </c>
      <c r="P19" s="519">
        <f>IF(AND(ISNUMBER($F19),ISNUMBER($G19),ISNUMBER($H19)),IF(AND(P$15&gt;=$F19,P$15&lt;=YEAR('2. START'!$C$19),P$15&lt;=($F19+$G19-1)),$H19/$G19,0),0)</f>
        <v>0</v>
      </c>
      <c r="Q19" s="519">
        <f>IF(AND(ISNUMBER($F19),ISNUMBER($G19),ISNUMBER($H19)),IF(AND(Q$15&gt;=$F19,Q$15&lt;=YEAR('2. START'!$C$19),Q$15&lt;=($F19+$G19-1)),$H19/$G19,0),0)</f>
        <v>0</v>
      </c>
      <c r="R19" s="519">
        <f>IF(AND(ISNUMBER($F19),ISNUMBER($G19),ISNUMBER($H19)),IF(AND(R$15&gt;=$F19,R$15&lt;=YEAR('2. START'!$C$19),R$15&lt;=($F19+$G19-1)),$H19/$G19,0),0)</f>
        <v>0</v>
      </c>
      <c r="S19" s="520">
        <f t="shared" si="10"/>
        <v>0</v>
      </c>
      <c r="U19" s="517">
        <f>IF('2. START'!C$13="PERSON+OPERATION+INVEST+FACILIT",'2. START'!C$12,0)</f>
        <v>0</v>
      </c>
      <c r="V19" s="557"/>
      <c r="W19" s="519">
        <f t="shared" si="11"/>
        <v>0</v>
      </c>
      <c r="X19" s="519">
        <f t="shared" si="12"/>
        <v>0</v>
      </c>
      <c r="Y19" s="519">
        <f t="shared" si="13"/>
        <v>0</v>
      </c>
      <c r="Z19" s="519">
        <f t="shared" si="14"/>
        <v>0</v>
      </c>
      <c r="AA19" s="519">
        <f t="shared" si="15"/>
        <v>0</v>
      </c>
      <c r="AB19" s="519">
        <f t="shared" si="16"/>
        <v>0</v>
      </c>
      <c r="AC19" s="519">
        <f t="shared" si="17"/>
        <v>0</v>
      </c>
      <c r="AD19" s="519">
        <f t="shared" si="18"/>
        <v>0</v>
      </c>
      <c r="AE19" s="519">
        <f t="shared" si="19"/>
        <v>0</v>
      </c>
      <c r="AF19" s="519">
        <f t="shared" si="20"/>
        <v>0</v>
      </c>
      <c r="AG19" s="520">
        <f t="shared" si="21"/>
        <v>0</v>
      </c>
      <c r="AI19" s="519">
        <f t="shared" si="22"/>
        <v>0</v>
      </c>
      <c r="AJ19" s="519">
        <f t="shared" si="23"/>
        <v>0</v>
      </c>
      <c r="AK19" s="519">
        <f t="shared" si="24"/>
        <v>0</v>
      </c>
      <c r="AL19" s="519">
        <f t="shared" si="25"/>
        <v>0</v>
      </c>
      <c r="AM19" s="519">
        <f t="shared" si="26"/>
        <v>0</v>
      </c>
      <c r="AN19" s="519">
        <f t="shared" si="27"/>
        <v>0</v>
      </c>
      <c r="AO19" s="519">
        <f t="shared" si="28"/>
        <v>0</v>
      </c>
      <c r="AP19" s="519">
        <f t="shared" si="29"/>
        <v>0</v>
      </c>
      <c r="AQ19" s="519">
        <f t="shared" si="30"/>
        <v>0</v>
      </c>
      <c r="AR19" s="519">
        <f t="shared" si="31"/>
        <v>0</v>
      </c>
      <c r="AS19" s="520">
        <f t="shared" si="32"/>
        <v>0</v>
      </c>
      <c r="AU19" s="519">
        <f t="shared" si="33"/>
        <v>0</v>
      </c>
      <c r="AV19" s="519">
        <f t="shared" si="34"/>
        <v>0</v>
      </c>
      <c r="AW19" s="519">
        <f t="shared" si="35"/>
        <v>0</v>
      </c>
      <c r="AX19" s="519">
        <f t="shared" si="36"/>
        <v>0</v>
      </c>
      <c r="AY19" s="519">
        <f t="shared" si="37"/>
        <v>0</v>
      </c>
      <c r="AZ19" s="519">
        <f t="shared" si="38"/>
        <v>0</v>
      </c>
      <c r="BA19" s="519">
        <f t="shared" si="39"/>
        <v>0</v>
      </c>
      <c r="BB19" s="519">
        <f t="shared" si="40"/>
        <v>0</v>
      </c>
      <c r="BC19" s="519">
        <f t="shared" si="41"/>
        <v>0</v>
      </c>
      <c r="BD19" s="519">
        <f t="shared" si="42"/>
        <v>0</v>
      </c>
      <c r="BE19" s="520">
        <f t="shared" si="43"/>
        <v>0</v>
      </c>
      <c r="BG19" s="519">
        <f t="shared" si="44"/>
        <v>0</v>
      </c>
      <c r="BH19" s="519">
        <f t="shared" si="45"/>
        <v>0</v>
      </c>
      <c r="BI19" s="519">
        <f t="shared" si="46"/>
        <v>0</v>
      </c>
      <c r="BJ19" s="519">
        <f t="shared" si="47"/>
        <v>0</v>
      </c>
      <c r="BK19" s="519">
        <f t="shared" si="48"/>
        <v>0</v>
      </c>
      <c r="BL19" s="519">
        <f t="shared" si="49"/>
        <v>0</v>
      </c>
      <c r="BM19" s="519">
        <f t="shared" si="50"/>
        <v>0</v>
      </c>
      <c r="BN19" s="519">
        <f t="shared" si="51"/>
        <v>0</v>
      </c>
      <c r="BO19" s="519">
        <f t="shared" si="52"/>
        <v>0</v>
      </c>
      <c r="BP19" s="519">
        <f t="shared" si="53"/>
        <v>0</v>
      </c>
      <c r="BQ19" s="520">
        <f t="shared" si="54"/>
        <v>0</v>
      </c>
    </row>
    <row r="20" spans="2:69" s="268" customFormat="1" ht="15" customHeight="1" x14ac:dyDescent="0.25">
      <c r="B20" s="446" t="str">
        <f>'2. START'!C$7</f>
        <v>100GEM</v>
      </c>
      <c r="C20" s="521"/>
      <c r="D20" s="592"/>
      <c r="E20" s="522">
        <v>0</v>
      </c>
      <c r="F20" s="561"/>
      <c r="G20" s="564"/>
      <c r="H20" s="567"/>
      <c r="I20" s="459">
        <f>IF(AND(ISNUMBER($F20),ISNUMBER($G20),ISNUMBER($H20)),IF(AND(I$15&gt;=$F20,I$15&lt;=YEAR('2. START'!$C$19),I$15&lt;=($F20+$G20-1)),$H20/$G20,0),0)</f>
        <v>0</v>
      </c>
      <c r="J20" s="459">
        <f>IF(AND(ISNUMBER($F20),ISNUMBER($G20),ISNUMBER($H20)),IF(AND(J$15&gt;=$F20,J$15&lt;=YEAR('2. START'!$C$19),J$15&lt;=($F20+$G20-1)),$H20/$G20,0),0)</f>
        <v>0</v>
      </c>
      <c r="K20" s="459">
        <f>IF(AND(ISNUMBER($F20),ISNUMBER($G20),ISNUMBER($H20)),IF(AND(K$15&gt;=$F20,K$15&lt;=YEAR('2. START'!$C$19),K$15&lt;=($F20+$G20-1)),$H20/$G20,0),0)</f>
        <v>0</v>
      </c>
      <c r="L20" s="459">
        <f>IF(AND(ISNUMBER($F20),ISNUMBER($G20),ISNUMBER($H20)),IF(AND(L$15&gt;=$F20,L$15&lt;=YEAR('2. START'!$C$19),L$15&lt;=($F20+$G20-1)),$H20/$G20,0),0)</f>
        <v>0</v>
      </c>
      <c r="M20" s="459">
        <f>IF(AND(ISNUMBER($F20),ISNUMBER($G20),ISNUMBER($H20)),IF(AND(M$15&gt;=$F20,M$15&lt;=YEAR('2. START'!$C$19),M$15&lt;=($F20+$G20-1)),$H20/$G20,0),0)</f>
        <v>0</v>
      </c>
      <c r="N20" s="459">
        <f>IF(AND(ISNUMBER($F20),ISNUMBER($G20),ISNUMBER($H20)),IF(AND(N$15&gt;=$F20,N$15&lt;=YEAR('2. START'!$C$19),N$15&lt;=($F20+$G20-1)),$H20/$G20,0),0)</f>
        <v>0</v>
      </c>
      <c r="O20" s="459">
        <f>IF(AND(ISNUMBER($F20),ISNUMBER($G20),ISNUMBER($H20)),IF(AND(O$15&gt;=$F20,O$15&lt;=YEAR('2. START'!$C$19),O$15&lt;=($F20+$G20-1)),$H20/$G20,0),0)</f>
        <v>0</v>
      </c>
      <c r="P20" s="459">
        <f>IF(AND(ISNUMBER($F20),ISNUMBER($G20),ISNUMBER($H20)),IF(AND(P$15&gt;=$F20,P$15&lt;=YEAR('2. START'!$C$19),P$15&lt;=($F20+$G20-1)),$H20/$G20,0),0)</f>
        <v>0</v>
      </c>
      <c r="Q20" s="459">
        <f>IF(AND(ISNUMBER($F20),ISNUMBER($G20),ISNUMBER($H20)),IF(AND(Q$15&gt;=$F20,Q$15&lt;=YEAR('2. START'!$C$19),Q$15&lt;=($F20+$G20-1)),$H20/$G20,0),0)</f>
        <v>0</v>
      </c>
      <c r="R20" s="459">
        <f>IF(AND(ISNUMBER($F20),ISNUMBER($G20),ISNUMBER($H20)),IF(AND(R$15&gt;=$F20,R$15&lt;=YEAR('2. START'!$C$19),R$15&lt;=($F20+$G20-1)),$H20/$G20,0),0)</f>
        <v>0</v>
      </c>
      <c r="S20" s="460">
        <f t="shared" si="10"/>
        <v>0</v>
      </c>
      <c r="T20" s="463"/>
      <c r="U20" s="454">
        <f>IF('2. START'!C$13="PERSON+OPERATION+INVEST+FACILIT",'2. START'!C$12,0)</f>
        <v>0</v>
      </c>
      <c r="V20" s="556"/>
      <c r="W20" s="459">
        <f t="shared" si="11"/>
        <v>0</v>
      </c>
      <c r="X20" s="459">
        <f t="shared" si="12"/>
        <v>0</v>
      </c>
      <c r="Y20" s="459">
        <f t="shared" si="13"/>
        <v>0</v>
      </c>
      <c r="Z20" s="459">
        <f t="shared" si="14"/>
        <v>0</v>
      </c>
      <c r="AA20" s="459">
        <f t="shared" si="15"/>
        <v>0</v>
      </c>
      <c r="AB20" s="459">
        <f t="shared" si="16"/>
        <v>0</v>
      </c>
      <c r="AC20" s="459">
        <f t="shared" si="17"/>
        <v>0</v>
      </c>
      <c r="AD20" s="459">
        <f t="shared" si="18"/>
        <v>0</v>
      </c>
      <c r="AE20" s="459">
        <f t="shared" si="19"/>
        <v>0</v>
      </c>
      <c r="AF20" s="459">
        <f t="shared" si="20"/>
        <v>0</v>
      </c>
      <c r="AG20" s="460">
        <f t="shared" si="21"/>
        <v>0</v>
      </c>
      <c r="AH20" s="463"/>
      <c r="AI20" s="459">
        <f t="shared" si="22"/>
        <v>0</v>
      </c>
      <c r="AJ20" s="459">
        <f t="shared" si="23"/>
        <v>0</v>
      </c>
      <c r="AK20" s="459">
        <f t="shared" si="24"/>
        <v>0</v>
      </c>
      <c r="AL20" s="459">
        <f t="shared" si="25"/>
        <v>0</v>
      </c>
      <c r="AM20" s="459">
        <f t="shared" si="26"/>
        <v>0</v>
      </c>
      <c r="AN20" s="459">
        <f t="shared" si="27"/>
        <v>0</v>
      </c>
      <c r="AO20" s="459">
        <f t="shared" si="28"/>
        <v>0</v>
      </c>
      <c r="AP20" s="459">
        <f t="shared" si="29"/>
        <v>0</v>
      </c>
      <c r="AQ20" s="459">
        <f t="shared" si="30"/>
        <v>0</v>
      </c>
      <c r="AR20" s="459">
        <f t="shared" si="31"/>
        <v>0</v>
      </c>
      <c r="AS20" s="460">
        <f t="shared" si="32"/>
        <v>0</v>
      </c>
      <c r="AT20" s="463"/>
      <c r="AU20" s="459">
        <f t="shared" si="33"/>
        <v>0</v>
      </c>
      <c r="AV20" s="459">
        <f t="shared" si="34"/>
        <v>0</v>
      </c>
      <c r="AW20" s="459">
        <f t="shared" si="35"/>
        <v>0</v>
      </c>
      <c r="AX20" s="459">
        <f t="shared" si="36"/>
        <v>0</v>
      </c>
      <c r="AY20" s="459">
        <f t="shared" si="37"/>
        <v>0</v>
      </c>
      <c r="AZ20" s="459">
        <f t="shared" si="38"/>
        <v>0</v>
      </c>
      <c r="BA20" s="459">
        <f t="shared" si="39"/>
        <v>0</v>
      </c>
      <c r="BB20" s="459">
        <f t="shared" si="40"/>
        <v>0</v>
      </c>
      <c r="BC20" s="459">
        <f t="shared" si="41"/>
        <v>0</v>
      </c>
      <c r="BD20" s="459">
        <f t="shared" si="42"/>
        <v>0</v>
      </c>
      <c r="BE20" s="460">
        <f t="shared" si="43"/>
        <v>0</v>
      </c>
      <c r="BF20" s="463"/>
      <c r="BG20" s="459">
        <f t="shared" si="44"/>
        <v>0</v>
      </c>
      <c r="BH20" s="459">
        <f t="shared" si="45"/>
        <v>0</v>
      </c>
      <c r="BI20" s="459">
        <f t="shared" si="46"/>
        <v>0</v>
      </c>
      <c r="BJ20" s="459">
        <f t="shared" si="47"/>
        <v>0</v>
      </c>
      <c r="BK20" s="459">
        <f t="shared" si="48"/>
        <v>0</v>
      </c>
      <c r="BL20" s="459">
        <f t="shared" si="49"/>
        <v>0</v>
      </c>
      <c r="BM20" s="459">
        <f t="shared" si="50"/>
        <v>0</v>
      </c>
      <c r="BN20" s="459">
        <f t="shared" si="51"/>
        <v>0</v>
      </c>
      <c r="BO20" s="459">
        <f t="shared" si="52"/>
        <v>0</v>
      </c>
      <c r="BP20" s="459">
        <f t="shared" si="53"/>
        <v>0</v>
      </c>
      <c r="BQ20" s="460">
        <f t="shared" si="54"/>
        <v>0</v>
      </c>
    </row>
    <row r="21" spans="2:69" s="268" customFormat="1" ht="15" customHeight="1" x14ac:dyDescent="0.25">
      <c r="B21" s="464" t="str">
        <f>'2. START'!C$7</f>
        <v>100GEM</v>
      </c>
      <c r="C21" s="526"/>
      <c r="D21" s="591"/>
      <c r="E21" s="527">
        <v>0</v>
      </c>
      <c r="F21" s="562"/>
      <c r="G21" s="565"/>
      <c r="H21" s="568"/>
      <c r="I21" s="519">
        <f>IF(AND(ISNUMBER($F21),ISNUMBER($G21),ISNUMBER($H21)),IF(AND(I$15&gt;=$F21,I$15&lt;=YEAR('2. START'!$C$19),I$15&lt;=($F21+$G21-1)),$H21/$G21,0),0)</f>
        <v>0</v>
      </c>
      <c r="J21" s="519">
        <f>IF(AND(ISNUMBER($F21),ISNUMBER($G21),ISNUMBER($H21)),IF(AND(J$15&gt;=$F21,J$15&lt;=YEAR('2. START'!$C$19),J$15&lt;=($F21+$G21-1)),$H21/$G21,0),0)</f>
        <v>0</v>
      </c>
      <c r="K21" s="519">
        <f>IF(AND(ISNUMBER($F21),ISNUMBER($G21),ISNUMBER($H21)),IF(AND(K$15&gt;=$F21,K$15&lt;=YEAR('2. START'!$C$19),K$15&lt;=($F21+$G21-1)),$H21/$G21,0),0)</f>
        <v>0</v>
      </c>
      <c r="L21" s="519">
        <f>IF(AND(ISNUMBER($F21),ISNUMBER($G21),ISNUMBER($H21)),IF(AND(L$15&gt;=$F21,L$15&lt;=YEAR('2. START'!$C$19),L$15&lt;=($F21+$G21-1)),$H21/$G21,0),0)</f>
        <v>0</v>
      </c>
      <c r="M21" s="519">
        <f>IF(AND(ISNUMBER($F21),ISNUMBER($G21),ISNUMBER($H21)),IF(AND(M$15&gt;=$F21,M$15&lt;=YEAR('2. START'!$C$19),M$15&lt;=($F21+$G21-1)),$H21/$G21,0),0)</f>
        <v>0</v>
      </c>
      <c r="N21" s="519">
        <f>IF(AND(ISNUMBER($F21),ISNUMBER($G21),ISNUMBER($H21)),IF(AND(N$15&gt;=$F21,N$15&lt;=YEAR('2. START'!$C$19),N$15&lt;=($F21+$G21-1)),$H21/$G21,0),0)</f>
        <v>0</v>
      </c>
      <c r="O21" s="519">
        <f>IF(AND(ISNUMBER($F21),ISNUMBER($G21),ISNUMBER($H21)),IF(AND(O$15&gt;=$F21,O$15&lt;=YEAR('2. START'!$C$19),O$15&lt;=($F21+$G21-1)),$H21/$G21,0),0)</f>
        <v>0</v>
      </c>
      <c r="P21" s="519">
        <f>IF(AND(ISNUMBER($F21),ISNUMBER($G21),ISNUMBER($H21)),IF(AND(P$15&gt;=$F21,P$15&lt;=YEAR('2. START'!$C$19),P$15&lt;=($F21+$G21-1)),$H21/$G21,0),0)</f>
        <v>0</v>
      </c>
      <c r="Q21" s="519">
        <f>IF(AND(ISNUMBER($F21),ISNUMBER($G21),ISNUMBER($H21)),IF(AND(Q$15&gt;=$F21,Q$15&lt;=YEAR('2. START'!$C$19),Q$15&lt;=($F21+$G21-1)),$H21/$G21,0),0)</f>
        <v>0</v>
      </c>
      <c r="R21" s="519">
        <f>IF(AND(ISNUMBER($F21),ISNUMBER($G21),ISNUMBER($H21)),IF(AND(R$15&gt;=$F21,R$15&lt;=YEAR('2. START'!$C$19),R$15&lt;=($F21+$G21-1)),$H21/$G21,0),0)</f>
        <v>0</v>
      </c>
      <c r="S21" s="520">
        <f t="shared" si="10"/>
        <v>0</v>
      </c>
      <c r="U21" s="517">
        <f>IF('2. START'!C$13="PERSON+OPERATION+INVEST+FACILIT",'2. START'!C$12,0)</f>
        <v>0</v>
      </c>
      <c r="V21" s="557"/>
      <c r="W21" s="519">
        <f t="shared" si="11"/>
        <v>0</v>
      </c>
      <c r="X21" s="519">
        <f t="shared" si="12"/>
        <v>0</v>
      </c>
      <c r="Y21" s="519">
        <f t="shared" si="13"/>
        <v>0</v>
      </c>
      <c r="Z21" s="519">
        <f t="shared" si="14"/>
        <v>0</v>
      </c>
      <c r="AA21" s="519">
        <f t="shared" si="15"/>
        <v>0</v>
      </c>
      <c r="AB21" s="519">
        <f t="shared" si="16"/>
        <v>0</v>
      </c>
      <c r="AC21" s="519">
        <f t="shared" si="17"/>
        <v>0</v>
      </c>
      <c r="AD21" s="519">
        <f t="shared" si="18"/>
        <v>0</v>
      </c>
      <c r="AE21" s="519">
        <f t="shared" si="19"/>
        <v>0</v>
      </c>
      <c r="AF21" s="519">
        <f t="shared" si="20"/>
        <v>0</v>
      </c>
      <c r="AG21" s="520">
        <f t="shared" si="21"/>
        <v>0</v>
      </c>
      <c r="AI21" s="519">
        <f t="shared" si="22"/>
        <v>0</v>
      </c>
      <c r="AJ21" s="519">
        <f t="shared" si="23"/>
        <v>0</v>
      </c>
      <c r="AK21" s="519">
        <f t="shared" si="24"/>
        <v>0</v>
      </c>
      <c r="AL21" s="519">
        <f t="shared" si="25"/>
        <v>0</v>
      </c>
      <c r="AM21" s="519">
        <f t="shared" si="26"/>
        <v>0</v>
      </c>
      <c r="AN21" s="519">
        <f t="shared" si="27"/>
        <v>0</v>
      </c>
      <c r="AO21" s="519">
        <f t="shared" si="28"/>
        <v>0</v>
      </c>
      <c r="AP21" s="519">
        <f t="shared" si="29"/>
        <v>0</v>
      </c>
      <c r="AQ21" s="519">
        <f t="shared" si="30"/>
        <v>0</v>
      </c>
      <c r="AR21" s="519">
        <f t="shared" si="31"/>
        <v>0</v>
      </c>
      <c r="AS21" s="520">
        <f t="shared" si="32"/>
        <v>0</v>
      </c>
      <c r="AU21" s="519">
        <f t="shared" si="33"/>
        <v>0</v>
      </c>
      <c r="AV21" s="519">
        <f t="shared" si="34"/>
        <v>0</v>
      </c>
      <c r="AW21" s="519">
        <f t="shared" si="35"/>
        <v>0</v>
      </c>
      <c r="AX21" s="519">
        <f t="shared" si="36"/>
        <v>0</v>
      </c>
      <c r="AY21" s="519">
        <f t="shared" si="37"/>
        <v>0</v>
      </c>
      <c r="AZ21" s="519">
        <f t="shared" si="38"/>
        <v>0</v>
      </c>
      <c r="BA21" s="519">
        <f t="shared" si="39"/>
        <v>0</v>
      </c>
      <c r="BB21" s="519">
        <f t="shared" si="40"/>
        <v>0</v>
      </c>
      <c r="BC21" s="519">
        <f t="shared" si="41"/>
        <v>0</v>
      </c>
      <c r="BD21" s="519">
        <f t="shared" si="42"/>
        <v>0</v>
      </c>
      <c r="BE21" s="520">
        <f t="shared" si="43"/>
        <v>0</v>
      </c>
      <c r="BG21" s="519">
        <f t="shared" si="44"/>
        <v>0</v>
      </c>
      <c r="BH21" s="519">
        <f t="shared" si="45"/>
        <v>0</v>
      </c>
      <c r="BI21" s="519">
        <f t="shared" si="46"/>
        <v>0</v>
      </c>
      <c r="BJ21" s="519">
        <f t="shared" si="47"/>
        <v>0</v>
      </c>
      <c r="BK21" s="519">
        <f t="shared" si="48"/>
        <v>0</v>
      </c>
      <c r="BL21" s="519">
        <f t="shared" si="49"/>
        <v>0</v>
      </c>
      <c r="BM21" s="519">
        <f t="shared" si="50"/>
        <v>0</v>
      </c>
      <c r="BN21" s="519">
        <f t="shared" si="51"/>
        <v>0</v>
      </c>
      <c r="BO21" s="519">
        <f t="shared" si="52"/>
        <v>0</v>
      </c>
      <c r="BP21" s="519">
        <f t="shared" si="53"/>
        <v>0</v>
      </c>
      <c r="BQ21" s="520">
        <f t="shared" si="54"/>
        <v>0</v>
      </c>
    </row>
    <row r="22" spans="2:69" s="268" customFormat="1" ht="15" customHeight="1" x14ac:dyDescent="0.25">
      <c r="B22" s="446" t="str">
        <f>'2. START'!C$7</f>
        <v>100GEM</v>
      </c>
      <c r="C22" s="521"/>
      <c r="D22" s="592"/>
      <c r="E22" s="522">
        <v>0</v>
      </c>
      <c r="F22" s="561"/>
      <c r="G22" s="564"/>
      <c r="H22" s="567"/>
      <c r="I22" s="459">
        <f>IF(AND(ISNUMBER($F22),ISNUMBER($G22),ISNUMBER($H22)),IF(AND(I$15&gt;=$F22,I$15&lt;=YEAR('2. START'!$C$19),I$15&lt;=($F22+$G22-1)),$H22/$G22,0),0)</f>
        <v>0</v>
      </c>
      <c r="J22" s="459">
        <f>IF(AND(ISNUMBER($F22),ISNUMBER($G22),ISNUMBER($H22)),IF(AND(J$15&gt;=$F22,J$15&lt;=YEAR('2. START'!$C$19),J$15&lt;=($F22+$G22-1)),$H22/$G22,0),0)</f>
        <v>0</v>
      </c>
      <c r="K22" s="459">
        <f>IF(AND(ISNUMBER($F22),ISNUMBER($G22),ISNUMBER($H22)),IF(AND(K$15&gt;=$F22,K$15&lt;=YEAR('2. START'!$C$19),K$15&lt;=($F22+$G22-1)),$H22/$G22,0),0)</f>
        <v>0</v>
      </c>
      <c r="L22" s="459">
        <f>IF(AND(ISNUMBER($F22),ISNUMBER($G22),ISNUMBER($H22)),IF(AND(L$15&gt;=$F22,L$15&lt;=YEAR('2. START'!$C$19),L$15&lt;=($F22+$G22-1)),$H22/$G22,0),0)</f>
        <v>0</v>
      </c>
      <c r="M22" s="459">
        <f>IF(AND(ISNUMBER($F22),ISNUMBER($G22),ISNUMBER($H22)),IF(AND(M$15&gt;=$F22,M$15&lt;=YEAR('2. START'!$C$19),M$15&lt;=($F22+$G22-1)),$H22/$G22,0),0)</f>
        <v>0</v>
      </c>
      <c r="N22" s="459">
        <f>IF(AND(ISNUMBER($F22),ISNUMBER($G22),ISNUMBER($H22)),IF(AND(N$15&gt;=$F22,N$15&lt;=YEAR('2. START'!$C$19),N$15&lt;=($F22+$G22-1)),$H22/$G22,0),0)</f>
        <v>0</v>
      </c>
      <c r="O22" s="459">
        <f>IF(AND(ISNUMBER($F22),ISNUMBER($G22),ISNUMBER($H22)),IF(AND(O$15&gt;=$F22,O$15&lt;=YEAR('2. START'!$C$19),O$15&lt;=($F22+$G22-1)),$H22/$G22,0),0)</f>
        <v>0</v>
      </c>
      <c r="P22" s="459">
        <f>IF(AND(ISNUMBER($F22),ISNUMBER($G22),ISNUMBER($H22)),IF(AND(P$15&gt;=$F22,P$15&lt;=YEAR('2. START'!$C$19),P$15&lt;=($F22+$G22-1)),$H22/$G22,0),0)</f>
        <v>0</v>
      </c>
      <c r="Q22" s="459">
        <f>IF(AND(ISNUMBER($F22),ISNUMBER($G22),ISNUMBER($H22)),IF(AND(Q$15&gt;=$F22,Q$15&lt;=YEAR('2. START'!$C$19),Q$15&lt;=($F22+$G22-1)),$H22/$G22,0),0)</f>
        <v>0</v>
      </c>
      <c r="R22" s="459">
        <f>IF(AND(ISNUMBER($F22),ISNUMBER($G22),ISNUMBER($H22)),IF(AND(R$15&gt;=$F22,R$15&lt;=YEAR('2. START'!$C$19),R$15&lt;=($F22+$G22-1)),$H22/$G22,0),0)</f>
        <v>0</v>
      </c>
      <c r="S22" s="460">
        <f t="shared" si="10"/>
        <v>0</v>
      </c>
      <c r="T22" s="463"/>
      <c r="U22" s="454">
        <f>IF('2. START'!C$13="PERSON+OPERATION+INVEST+FACILIT",'2. START'!C$12,0)</f>
        <v>0</v>
      </c>
      <c r="V22" s="556"/>
      <c r="W22" s="459">
        <f t="shared" si="11"/>
        <v>0</v>
      </c>
      <c r="X22" s="459">
        <f t="shared" si="12"/>
        <v>0</v>
      </c>
      <c r="Y22" s="459">
        <f t="shared" si="13"/>
        <v>0</v>
      </c>
      <c r="Z22" s="459">
        <f t="shared" si="14"/>
        <v>0</v>
      </c>
      <c r="AA22" s="459">
        <f t="shared" si="15"/>
        <v>0</v>
      </c>
      <c r="AB22" s="459">
        <f t="shared" si="16"/>
        <v>0</v>
      </c>
      <c r="AC22" s="459">
        <f t="shared" si="17"/>
        <v>0</v>
      </c>
      <c r="AD22" s="459">
        <f t="shared" si="18"/>
        <v>0</v>
      </c>
      <c r="AE22" s="459">
        <f t="shared" si="19"/>
        <v>0</v>
      </c>
      <c r="AF22" s="459">
        <f t="shared" si="20"/>
        <v>0</v>
      </c>
      <c r="AG22" s="460">
        <f t="shared" si="21"/>
        <v>0</v>
      </c>
      <c r="AH22" s="463"/>
      <c r="AI22" s="459">
        <f t="shared" si="22"/>
        <v>0</v>
      </c>
      <c r="AJ22" s="459">
        <f t="shared" si="23"/>
        <v>0</v>
      </c>
      <c r="AK22" s="459">
        <f t="shared" si="24"/>
        <v>0</v>
      </c>
      <c r="AL22" s="459">
        <f t="shared" si="25"/>
        <v>0</v>
      </c>
      <c r="AM22" s="459">
        <f t="shared" si="26"/>
        <v>0</v>
      </c>
      <c r="AN22" s="459">
        <f t="shared" si="27"/>
        <v>0</v>
      </c>
      <c r="AO22" s="459">
        <f t="shared" si="28"/>
        <v>0</v>
      </c>
      <c r="AP22" s="459">
        <f t="shared" si="29"/>
        <v>0</v>
      </c>
      <c r="AQ22" s="459">
        <f t="shared" si="30"/>
        <v>0</v>
      </c>
      <c r="AR22" s="459">
        <f t="shared" si="31"/>
        <v>0</v>
      </c>
      <c r="AS22" s="460">
        <f t="shared" si="32"/>
        <v>0</v>
      </c>
      <c r="AT22" s="463"/>
      <c r="AU22" s="459">
        <f t="shared" si="33"/>
        <v>0</v>
      </c>
      <c r="AV22" s="459">
        <f t="shared" si="34"/>
        <v>0</v>
      </c>
      <c r="AW22" s="459">
        <f t="shared" si="35"/>
        <v>0</v>
      </c>
      <c r="AX22" s="459">
        <f t="shared" si="36"/>
        <v>0</v>
      </c>
      <c r="AY22" s="459">
        <f t="shared" si="37"/>
        <v>0</v>
      </c>
      <c r="AZ22" s="459">
        <f t="shared" si="38"/>
        <v>0</v>
      </c>
      <c r="BA22" s="459">
        <f t="shared" si="39"/>
        <v>0</v>
      </c>
      <c r="BB22" s="459">
        <f t="shared" si="40"/>
        <v>0</v>
      </c>
      <c r="BC22" s="459">
        <f t="shared" si="41"/>
        <v>0</v>
      </c>
      <c r="BD22" s="459">
        <f t="shared" si="42"/>
        <v>0</v>
      </c>
      <c r="BE22" s="460">
        <f t="shared" si="43"/>
        <v>0</v>
      </c>
      <c r="BF22" s="463"/>
      <c r="BG22" s="459">
        <f t="shared" si="44"/>
        <v>0</v>
      </c>
      <c r="BH22" s="459">
        <f t="shared" si="45"/>
        <v>0</v>
      </c>
      <c r="BI22" s="459">
        <f t="shared" si="46"/>
        <v>0</v>
      </c>
      <c r="BJ22" s="459">
        <f t="shared" si="47"/>
        <v>0</v>
      </c>
      <c r="BK22" s="459">
        <f t="shared" si="48"/>
        <v>0</v>
      </c>
      <c r="BL22" s="459">
        <f t="shared" si="49"/>
        <v>0</v>
      </c>
      <c r="BM22" s="459">
        <f t="shared" si="50"/>
        <v>0</v>
      </c>
      <c r="BN22" s="459">
        <f t="shared" si="51"/>
        <v>0</v>
      </c>
      <c r="BO22" s="459">
        <f t="shared" si="52"/>
        <v>0</v>
      </c>
      <c r="BP22" s="459">
        <f t="shared" si="53"/>
        <v>0</v>
      </c>
      <c r="BQ22" s="460">
        <f t="shared" si="54"/>
        <v>0</v>
      </c>
    </row>
    <row r="23" spans="2:69" s="268" customFormat="1" ht="15" customHeight="1" x14ac:dyDescent="0.25">
      <c r="B23" s="464" t="str">
        <f>'2. START'!C$7</f>
        <v>100GEM</v>
      </c>
      <c r="C23" s="526"/>
      <c r="D23" s="591"/>
      <c r="E23" s="527">
        <v>0</v>
      </c>
      <c r="F23" s="562"/>
      <c r="G23" s="565"/>
      <c r="H23" s="568"/>
      <c r="I23" s="519">
        <f>IF(AND(ISNUMBER($F23),ISNUMBER($G23),ISNUMBER($H23)),IF(AND(I$15&gt;=$F23,I$15&lt;=YEAR('2. START'!$C$19),I$15&lt;=($F23+$G23-1)),$H23/$G23,0),0)</f>
        <v>0</v>
      </c>
      <c r="J23" s="519">
        <f>IF(AND(ISNUMBER($F23),ISNUMBER($G23),ISNUMBER($H23)),IF(AND(J$15&gt;=$F23,J$15&lt;=YEAR('2. START'!$C$19),J$15&lt;=($F23+$G23-1)),$H23/$G23,0),0)</f>
        <v>0</v>
      </c>
      <c r="K23" s="519">
        <f>IF(AND(ISNUMBER($F23),ISNUMBER($G23),ISNUMBER($H23)),IF(AND(K$15&gt;=$F23,K$15&lt;=YEAR('2. START'!$C$19),K$15&lt;=($F23+$G23-1)),$H23/$G23,0),0)</f>
        <v>0</v>
      </c>
      <c r="L23" s="519">
        <f>IF(AND(ISNUMBER($F23),ISNUMBER($G23),ISNUMBER($H23)),IF(AND(L$15&gt;=$F23,L$15&lt;=YEAR('2. START'!$C$19),L$15&lt;=($F23+$G23-1)),$H23/$G23,0),0)</f>
        <v>0</v>
      </c>
      <c r="M23" s="519">
        <f>IF(AND(ISNUMBER($F23),ISNUMBER($G23),ISNUMBER($H23)),IF(AND(M$15&gt;=$F23,M$15&lt;=YEAR('2. START'!$C$19),M$15&lt;=($F23+$G23-1)),$H23/$G23,0),0)</f>
        <v>0</v>
      </c>
      <c r="N23" s="519">
        <f>IF(AND(ISNUMBER($F23),ISNUMBER($G23),ISNUMBER($H23)),IF(AND(N$15&gt;=$F23,N$15&lt;=YEAR('2. START'!$C$19),N$15&lt;=($F23+$G23-1)),$H23/$G23,0),0)</f>
        <v>0</v>
      </c>
      <c r="O23" s="519">
        <f>IF(AND(ISNUMBER($F23),ISNUMBER($G23),ISNUMBER($H23)),IF(AND(O$15&gt;=$F23,O$15&lt;=YEAR('2. START'!$C$19),O$15&lt;=($F23+$G23-1)),$H23/$G23,0),0)</f>
        <v>0</v>
      </c>
      <c r="P23" s="519">
        <f>IF(AND(ISNUMBER($F23),ISNUMBER($G23),ISNUMBER($H23)),IF(AND(P$15&gt;=$F23,P$15&lt;=YEAR('2. START'!$C$19),P$15&lt;=($F23+$G23-1)),$H23/$G23,0),0)</f>
        <v>0</v>
      </c>
      <c r="Q23" s="519">
        <f>IF(AND(ISNUMBER($F23),ISNUMBER($G23),ISNUMBER($H23)),IF(AND(Q$15&gt;=$F23,Q$15&lt;=YEAR('2. START'!$C$19),Q$15&lt;=($F23+$G23-1)),$H23/$G23,0),0)</f>
        <v>0</v>
      </c>
      <c r="R23" s="519">
        <f>IF(AND(ISNUMBER($F23),ISNUMBER($G23),ISNUMBER($H23)),IF(AND(R$15&gt;=$F23,R$15&lt;=YEAR('2. START'!$C$19),R$15&lt;=($F23+$G23-1)),$H23/$G23,0),0)</f>
        <v>0</v>
      </c>
      <c r="S23" s="520">
        <f t="shared" si="10"/>
        <v>0</v>
      </c>
      <c r="U23" s="517">
        <f>IF('2. START'!C$13="PERSON+OPERATION+INVEST+FACILIT",'2. START'!C$12,0)</f>
        <v>0</v>
      </c>
      <c r="V23" s="557"/>
      <c r="W23" s="519">
        <f t="shared" si="11"/>
        <v>0</v>
      </c>
      <c r="X23" s="519">
        <f t="shared" si="12"/>
        <v>0</v>
      </c>
      <c r="Y23" s="519">
        <f t="shared" si="13"/>
        <v>0</v>
      </c>
      <c r="Z23" s="519">
        <f t="shared" si="14"/>
        <v>0</v>
      </c>
      <c r="AA23" s="519">
        <f t="shared" si="15"/>
        <v>0</v>
      </c>
      <c r="AB23" s="519">
        <f t="shared" si="16"/>
        <v>0</v>
      </c>
      <c r="AC23" s="519">
        <f t="shared" si="17"/>
        <v>0</v>
      </c>
      <c r="AD23" s="519">
        <f t="shared" si="18"/>
        <v>0</v>
      </c>
      <c r="AE23" s="519">
        <f t="shared" si="19"/>
        <v>0</v>
      </c>
      <c r="AF23" s="519">
        <f t="shared" si="20"/>
        <v>0</v>
      </c>
      <c r="AG23" s="520">
        <f t="shared" si="21"/>
        <v>0</v>
      </c>
      <c r="AI23" s="519">
        <f t="shared" si="22"/>
        <v>0</v>
      </c>
      <c r="AJ23" s="519">
        <f t="shared" si="23"/>
        <v>0</v>
      </c>
      <c r="AK23" s="519">
        <f t="shared" si="24"/>
        <v>0</v>
      </c>
      <c r="AL23" s="519">
        <f t="shared" si="25"/>
        <v>0</v>
      </c>
      <c r="AM23" s="519">
        <f t="shared" si="26"/>
        <v>0</v>
      </c>
      <c r="AN23" s="519">
        <f t="shared" si="27"/>
        <v>0</v>
      </c>
      <c r="AO23" s="519">
        <f t="shared" si="28"/>
        <v>0</v>
      </c>
      <c r="AP23" s="519">
        <f t="shared" si="29"/>
        <v>0</v>
      </c>
      <c r="AQ23" s="519">
        <f t="shared" si="30"/>
        <v>0</v>
      </c>
      <c r="AR23" s="519">
        <f t="shared" si="31"/>
        <v>0</v>
      </c>
      <c r="AS23" s="520">
        <f t="shared" si="32"/>
        <v>0</v>
      </c>
      <c r="AU23" s="519">
        <f t="shared" si="33"/>
        <v>0</v>
      </c>
      <c r="AV23" s="519">
        <f t="shared" si="34"/>
        <v>0</v>
      </c>
      <c r="AW23" s="519">
        <f t="shared" si="35"/>
        <v>0</v>
      </c>
      <c r="AX23" s="519">
        <f t="shared" si="36"/>
        <v>0</v>
      </c>
      <c r="AY23" s="519">
        <f t="shared" si="37"/>
        <v>0</v>
      </c>
      <c r="AZ23" s="519">
        <f t="shared" si="38"/>
        <v>0</v>
      </c>
      <c r="BA23" s="519">
        <f t="shared" si="39"/>
        <v>0</v>
      </c>
      <c r="BB23" s="519">
        <f t="shared" si="40"/>
        <v>0</v>
      </c>
      <c r="BC23" s="519">
        <f t="shared" si="41"/>
        <v>0</v>
      </c>
      <c r="BD23" s="519">
        <f t="shared" si="42"/>
        <v>0</v>
      </c>
      <c r="BE23" s="520">
        <f t="shared" si="43"/>
        <v>0</v>
      </c>
      <c r="BG23" s="519">
        <f t="shared" si="44"/>
        <v>0</v>
      </c>
      <c r="BH23" s="519">
        <f t="shared" si="45"/>
        <v>0</v>
      </c>
      <c r="BI23" s="519">
        <f t="shared" si="46"/>
        <v>0</v>
      </c>
      <c r="BJ23" s="519">
        <f t="shared" si="47"/>
        <v>0</v>
      </c>
      <c r="BK23" s="519">
        <f t="shared" si="48"/>
        <v>0</v>
      </c>
      <c r="BL23" s="519">
        <f t="shared" si="49"/>
        <v>0</v>
      </c>
      <c r="BM23" s="519">
        <f t="shared" si="50"/>
        <v>0</v>
      </c>
      <c r="BN23" s="519">
        <f t="shared" si="51"/>
        <v>0</v>
      </c>
      <c r="BO23" s="519">
        <f t="shared" si="52"/>
        <v>0</v>
      </c>
      <c r="BP23" s="519">
        <f t="shared" si="53"/>
        <v>0</v>
      </c>
      <c r="BQ23" s="520">
        <f t="shared" si="54"/>
        <v>0</v>
      </c>
    </row>
    <row r="24" spans="2:69" s="268" customFormat="1" ht="15" customHeight="1" x14ac:dyDescent="0.25">
      <c r="B24" s="446" t="str">
        <f>'2. START'!C$7</f>
        <v>100GEM</v>
      </c>
      <c r="C24" s="529"/>
      <c r="D24" s="592"/>
      <c r="E24" s="522">
        <v>0</v>
      </c>
      <c r="F24" s="561"/>
      <c r="G24" s="564"/>
      <c r="H24" s="567"/>
      <c r="I24" s="459">
        <f>IF(AND(ISNUMBER($F24),ISNUMBER($G24),ISNUMBER($H24)),IF(AND(I$15&gt;=$F24,I$15&lt;=YEAR('2. START'!$C$19),I$15&lt;=($F24+$G24-1)),$H24/$G24,0),0)</f>
        <v>0</v>
      </c>
      <c r="J24" s="459">
        <f>IF(AND(ISNUMBER($F24),ISNUMBER($G24),ISNUMBER($H24)),IF(AND(J$15&gt;=$F24,J$15&lt;=YEAR('2. START'!$C$19),J$15&lt;=($F24+$G24-1)),$H24/$G24,0),0)</f>
        <v>0</v>
      </c>
      <c r="K24" s="459">
        <f>IF(AND(ISNUMBER($F24),ISNUMBER($G24),ISNUMBER($H24)),IF(AND(K$15&gt;=$F24,K$15&lt;=YEAR('2. START'!$C$19),K$15&lt;=($F24+$G24-1)),$H24/$G24,0),0)</f>
        <v>0</v>
      </c>
      <c r="L24" s="459">
        <f>IF(AND(ISNUMBER($F24),ISNUMBER($G24),ISNUMBER($H24)),IF(AND(L$15&gt;=$F24,L$15&lt;=YEAR('2. START'!$C$19),L$15&lt;=($F24+$G24-1)),$H24/$G24,0),0)</f>
        <v>0</v>
      </c>
      <c r="M24" s="459">
        <f>IF(AND(ISNUMBER($F24),ISNUMBER($G24),ISNUMBER($H24)),IF(AND(M$15&gt;=$F24,M$15&lt;=YEAR('2. START'!$C$19),M$15&lt;=($F24+$G24-1)),$H24/$G24,0),0)</f>
        <v>0</v>
      </c>
      <c r="N24" s="459">
        <f>IF(AND(ISNUMBER($F24),ISNUMBER($G24),ISNUMBER($H24)),IF(AND(N$15&gt;=$F24,N$15&lt;=YEAR('2. START'!$C$19),N$15&lt;=($F24+$G24-1)),$H24/$G24,0),0)</f>
        <v>0</v>
      </c>
      <c r="O24" s="459">
        <f>IF(AND(ISNUMBER($F24),ISNUMBER($G24),ISNUMBER($H24)),IF(AND(O$15&gt;=$F24,O$15&lt;=YEAR('2. START'!$C$19),O$15&lt;=($F24+$G24-1)),$H24/$G24,0),0)</f>
        <v>0</v>
      </c>
      <c r="P24" s="459">
        <f>IF(AND(ISNUMBER($F24),ISNUMBER($G24),ISNUMBER($H24)),IF(AND(P$15&gt;=$F24,P$15&lt;=YEAR('2. START'!$C$19),P$15&lt;=($F24+$G24-1)),$H24/$G24,0),0)</f>
        <v>0</v>
      </c>
      <c r="Q24" s="459">
        <f>IF(AND(ISNUMBER($F24),ISNUMBER($G24),ISNUMBER($H24)),IF(AND(Q$15&gt;=$F24,Q$15&lt;=YEAR('2. START'!$C$19),Q$15&lt;=($F24+$G24-1)),$H24/$G24,0),0)</f>
        <v>0</v>
      </c>
      <c r="R24" s="459">
        <f>IF(AND(ISNUMBER($F24),ISNUMBER($G24),ISNUMBER($H24)),IF(AND(R$15&gt;=$F24,R$15&lt;=YEAR('2. START'!$C$19),R$15&lt;=($F24+$G24-1)),$H24/$G24,0),0)</f>
        <v>0</v>
      </c>
      <c r="S24" s="460">
        <f t="shared" si="10"/>
        <v>0</v>
      </c>
      <c r="T24" s="463"/>
      <c r="U24" s="454">
        <f>IF('2. START'!C$13="PERSON+OPERATION+INVEST+FACILIT",'2. START'!C$12,0)</f>
        <v>0</v>
      </c>
      <c r="V24" s="556"/>
      <c r="W24" s="459">
        <f t="shared" si="11"/>
        <v>0</v>
      </c>
      <c r="X24" s="459">
        <f t="shared" si="12"/>
        <v>0</v>
      </c>
      <c r="Y24" s="459">
        <f t="shared" si="13"/>
        <v>0</v>
      </c>
      <c r="Z24" s="459">
        <f t="shared" si="14"/>
        <v>0</v>
      </c>
      <c r="AA24" s="459">
        <f t="shared" si="15"/>
        <v>0</v>
      </c>
      <c r="AB24" s="459">
        <f t="shared" si="16"/>
        <v>0</v>
      </c>
      <c r="AC24" s="459">
        <f t="shared" si="17"/>
        <v>0</v>
      </c>
      <c r="AD24" s="459">
        <f t="shared" si="18"/>
        <v>0</v>
      </c>
      <c r="AE24" s="459">
        <f t="shared" si="19"/>
        <v>0</v>
      </c>
      <c r="AF24" s="459">
        <f t="shared" si="20"/>
        <v>0</v>
      </c>
      <c r="AG24" s="460">
        <f t="shared" si="21"/>
        <v>0</v>
      </c>
      <c r="AH24" s="463"/>
      <c r="AI24" s="459">
        <f t="shared" si="22"/>
        <v>0</v>
      </c>
      <c r="AJ24" s="459">
        <f t="shared" si="23"/>
        <v>0</v>
      </c>
      <c r="AK24" s="459">
        <f t="shared" si="24"/>
        <v>0</v>
      </c>
      <c r="AL24" s="459">
        <f t="shared" si="25"/>
        <v>0</v>
      </c>
      <c r="AM24" s="459">
        <f t="shared" si="26"/>
        <v>0</v>
      </c>
      <c r="AN24" s="459">
        <f t="shared" si="27"/>
        <v>0</v>
      </c>
      <c r="AO24" s="459">
        <f t="shared" si="28"/>
        <v>0</v>
      </c>
      <c r="AP24" s="459">
        <f t="shared" si="29"/>
        <v>0</v>
      </c>
      <c r="AQ24" s="459">
        <f t="shared" si="30"/>
        <v>0</v>
      </c>
      <c r="AR24" s="459">
        <f t="shared" si="31"/>
        <v>0</v>
      </c>
      <c r="AS24" s="460">
        <f t="shared" si="32"/>
        <v>0</v>
      </c>
      <c r="AT24" s="463"/>
      <c r="AU24" s="459">
        <f t="shared" si="33"/>
        <v>0</v>
      </c>
      <c r="AV24" s="459">
        <f t="shared" si="34"/>
        <v>0</v>
      </c>
      <c r="AW24" s="459">
        <f t="shared" si="35"/>
        <v>0</v>
      </c>
      <c r="AX24" s="459">
        <f t="shared" si="36"/>
        <v>0</v>
      </c>
      <c r="AY24" s="459">
        <f t="shared" si="37"/>
        <v>0</v>
      </c>
      <c r="AZ24" s="459">
        <f t="shared" si="38"/>
        <v>0</v>
      </c>
      <c r="BA24" s="459">
        <f t="shared" si="39"/>
        <v>0</v>
      </c>
      <c r="BB24" s="459">
        <f t="shared" si="40"/>
        <v>0</v>
      </c>
      <c r="BC24" s="459">
        <f t="shared" si="41"/>
        <v>0</v>
      </c>
      <c r="BD24" s="459">
        <f t="shared" si="42"/>
        <v>0</v>
      </c>
      <c r="BE24" s="460">
        <f t="shared" si="43"/>
        <v>0</v>
      </c>
      <c r="BF24" s="463"/>
      <c r="BG24" s="459">
        <f t="shared" si="44"/>
        <v>0</v>
      </c>
      <c r="BH24" s="459">
        <f t="shared" si="45"/>
        <v>0</v>
      </c>
      <c r="BI24" s="459">
        <f t="shared" si="46"/>
        <v>0</v>
      </c>
      <c r="BJ24" s="459">
        <f t="shared" si="47"/>
        <v>0</v>
      </c>
      <c r="BK24" s="459">
        <f t="shared" si="48"/>
        <v>0</v>
      </c>
      <c r="BL24" s="459">
        <f t="shared" si="49"/>
        <v>0</v>
      </c>
      <c r="BM24" s="459">
        <f t="shared" si="50"/>
        <v>0</v>
      </c>
      <c r="BN24" s="459">
        <f t="shared" si="51"/>
        <v>0</v>
      </c>
      <c r="BO24" s="459">
        <f t="shared" si="52"/>
        <v>0</v>
      </c>
      <c r="BP24" s="459">
        <f t="shared" si="53"/>
        <v>0</v>
      </c>
      <c r="BQ24" s="460">
        <f t="shared" si="54"/>
        <v>0</v>
      </c>
    </row>
    <row r="25" spans="2:69" s="268" customFormat="1" ht="15" customHeight="1" x14ac:dyDescent="0.25">
      <c r="B25" s="464" t="str">
        <f>'2. START'!C$7</f>
        <v>100GEM</v>
      </c>
      <c r="C25" s="528"/>
      <c r="D25" s="591"/>
      <c r="E25" s="527">
        <v>0</v>
      </c>
      <c r="F25" s="562"/>
      <c r="G25" s="565"/>
      <c r="H25" s="568"/>
      <c r="I25" s="519">
        <f>IF(AND(ISNUMBER($F25),ISNUMBER($G25),ISNUMBER($H25)),IF(AND(I$15&gt;=$F25,I$15&lt;=YEAR('2. START'!$C$19),I$15&lt;=($F25+$G25-1)),$H25/$G25,0),0)</f>
        <v>0</v>
      </c>
      <c r="J25" s="519">
        <f>IF(AND(ISNUMBER($F25),ISNUMBER($G25),ISNUMBER($H25)),IF(AND(J$15&gt;=$F25,J$15&lt;=YEAR('2. START'!$C$19),J$15&lt;=($F25+$G25-1)),$H25/$G25,0),0)</f>
        <v>0</v>
      </c>
      <c r="K25" s="519">
        <f>IF(AND(ISNUMBER($F25),ISNUMBER($G25),ISNUMBER($H25)),IF(AND(K$15&gt;=$F25,K$15&lt;=YEAR('2. START'!$C$19),K$15&lt;=($F25+$G25-1)),$H25/$G25,0),0)</f>
        <v>0</v>
      </c>
      <c r="L25" s="519">
        <f>IF(AND(ISNUMBER($F25),ISNUMBER($G25),ISNUMBER($H25)),IF(AND(L$15&gt;=$F25,L$15&lt;=YEAR('2. START'!$C$19),L$15&lt;=($F25+$G25-1)),$H25/$G25,0),0)</f>
        <v>0</v>
      </c>
      <c r="M25" s="519">
        <f>IF(AND(ISNUMBER($F25),ISNUMBER($G25),ISNUMBER($H25)),IF(AND(M$15&gt;=$F25,M$15&lt;=YEAR('2. START'!$C$19),M$15&lt;=($F25+$G25-1)),$H25/$G25,0),0)</f>
        <v>0</v>
      </c>
      <c r="N25" s="519">
        <f>IF(AND(ISNUMBER($F25),ISNUMBER($G25),ISNUMBER($H25)),IF(AND(N$15&gt;=$F25,N$15&lt;=YEAR('2. START'!$C$19),N$15&lt;=($F25+$G25-1)),$H25/$G25,0),0)</f>
        <v>0</v>
      </c>
      <c r="O25" s="519">
        <f>IF(AND(ISNUMBER($F25),ISNUMBER($G25),ISNUMBER($H25)),IF(AND(O$15&gt;=$F25,O$15&lt;=YEAR('2. START'!$C$19),O$15&lt;=($F25+$G25-1)),$H25/$G25,0),0)</f>
        <v>0</v>
      </c>
      <c r="P25" s="519">
        <f>IF(AND(ISNUMBER($F25),ISNUMBER($G25),ISNUMBER($H25)),IF(AND(P$15&gt;=$F25,P$15&lt;=YEAR('2. START'!$C$19),P$15&lt;=($F25+$G25-1)),$H25/$G25,0),0)</f>
        <v>0</v>
      </c>
      <c r="Q25" s="519">
        <f>IF(AND(ISNUMBER($F25),ISNUMBER($G25),ISNUMBER($H25)),IF(AND(Q$15&gt;=$F25,Q$15&lt;=YEAR('2. START'!$C$19),Q$15&lt;=($F25+$G25-1)),$H25/$G25,0),0)</f>
        <v>0</v>
      </c>
      <c r="R25" s="519">
        <f>IF(AND(ISNUMBER($F25),ISNUMBER($G25),ISNUMBER($H25)),IF(AND(R$15&gt;=$F25,R$15&lt;=YEAR('2. START'!$C$19),R$15&lt;=($F25+$G25-1)),$H25/$G25,0),0)</f>
        <v>0</v>
      </c>
      <c r="S25" s="520">
        <f t="shared" si="10"/>
        <v>0</v>
      </c>
      <c r="U25" s="517">
        <f>IF('2. START'!C$13="PERSON+OPERATION+INVEST+FACILIT",'2. START'!C$12,0)</f>
        <v>0</v>
      </c>
      <c r="V25" s="557"/>
      <c r="W25" s="519">
        <f t="shared" si="11"/>
        <v>0</v>
      </c>
      <c r="X25" s="519">
        <f t="shared" si="12"/>
        <v>0</v>
      </c>
      <c r="Y25" s="519">
        <f t="shared" si="13"/>
        <v>0</v>
      </c>
      <c r="Z25" s="519">
        <f t="shared" si="14"/>
        <v>0</v>
      </c>
      <c r="AA25" s="519">
        <f t="shared" si="15"/>
        <v>0</v>
      </c>
      <c r="AB25" s="519">
        <f t="shared" si="16"/>
        <v>0</v>
      </c>
      <c r="AC25" s="519">
        <f t="shared" si="17"/>
        <v>0</v>
      </c>
      <c r="AD25" s="519">
        <f t="shared" si="18"/>
        <v>0</v>
      </c>
      <c r="AE25" s="519">
        <f t="shared" si="19"/>
        <v>0</v>
      </c>
      <c r="AF25" s="519">
        <f t="shared" si="20"/>
        <v>0</v>
      </c>
      <c r="AG25" s="520">
        <f t="shared" si="21"/>
        <v>0</v>
      </c>
      <c r="AI25" s="519">
        <f t="shared" si="22"/>
        <v>0</v>
      </c>
      <c r="AJ25" s="519">
        <f t="shared" si="23"/>
        <v>0</v>
      </c>
      <c r="AK25" s="519">
        <f t="shared" si="24"/>
        <v>0</v>
      </c>
      <c r="AL25" s="519">
        <f t="shared" si="25"/>
        <v>0</v>
      </c>
      <c r="AM25" s="519">
        <f t="shared" si="26"/>
        <v>0</v>
      </c>
      <c r="AN25" s="519">
        <f t="shared" si="27"/>
        <v>0</v>
      </c>
      <c r="AO25" s="519">
        <f t="shared" si="28"/>
        <v>0</v>
      </c>
      <c r="AP25" s="519">
        <f t="shared" si="29"/>
        <v>0</v>
      </c>
      <c r="AQ25" s="519">
        <f t="shared" si="30"/>
        <v>0</v>
      </c>
      <c r="AR25" s="519">
        <f t="shared" si="31"/>
        <v>0</v>
      </c>
      <c r="AS25" s="520">
        <f t="shared" si="32"/>
        <v>0</v>
      </c>
      <c r="AU25" s="519">
        <f t="shared" si="33"/>
        <v>0</v>
      </c>
      <c r="AV25" s="519">
        <f t="shared" si="34"/>
        <v>0</v>
      </c>
      <c r="AW25" s="519">
        <f t="shared" si="35"/>
        <v>0</v>
      </c>
      <c r="AX25" s="519">
        <f t="shared" si="36"/>
        <v>0</v>
      </c>
      <c r="AY25" s="519">
        <f t="shared" si="37"/>
        <v>0</v>
      </c>
      <c r="AZ25" s="519">
        <f t="shared" si="38"/>
        <v>0</v>
      </c>
      <c r="BA25" s="519">
        <f t="shared" si="39"/>
        <v>0</v>
      </c>
      <c r="BB25" s="519">
        <f t="shared" si="40"/>
        <v>0</v>
      </c>
      <c r="BC25" s="519">
        <f t="shared" si="41"/>
        <v>0</v>
      </c>
      <c r="BD25" s="519">
        <f t="shared" si="42"/>
        <v>0</v>
      </c>
      <c r="BE25" s="520">
        <f t="shared" si="43"/>
        <v>0</v>
      </c>
      <c r="BG25" s="519">
        <f t="shared" si="44"/>
        <v>0</v>
      </c>
      <c r="BH25" s="519">
        <f t="shared" si="45"/>
        <v>0</v>
      </c>
      <c r="BI25" s="519">
        <f t="shared" si="46"/>
        <v>0</v>
      </c>
      <c r="BJ25" s="519">
        <f t="shared" si="47"/>
        <v>0</v>
      </c>
      <c r="BK25" s="519">
        <f t="shared" si="48"/>
        <v>0</v>
      </c>
      <c r="BL25" s="519">
        <f t="shared" si="49"/>
        <v>0</v>
      </c>
      <c r="BM25" s="519">
        <f t="shared" si="50"/>
        <v>0</v>
      </c>
      <c r="BN25" s="519">
        <f t="shared" si="51"/>
        <v>0</v>
      </c>
      <c r="BO25" s="519">
        <f t="shared" si="52"/>
        <v>0</v>
      </c>
      <c r="BP25" s="519">
        <f t="shared" si="53"/>
        <v>0</v>
      </c>
      <c r="BQ25" s="520">
        <f t="shared" si="54"/>
        <v>0</v>
      </c>
    </row>
    <row r="26" spans="2:69" s="268" customFormat="1" ht="15" customHeight="1" x14ac:dyDescent="0.25">
      <c r="B26" s="446" t="str">
        <f>'2. START'!C$7</f>
        <v>100GEM</v>
      </c>
      <c r="C26" s="529"/>
      <c r="D26" s="592"/>
      <c r="E26" s="522">
        <v>0</v>
      </c>
      <c r="F26" s="561"/>
      <c r="G26" s="564"/>
      <c r="H26" s="567"/>
      <c r="I26" s="459">
        <f>IF(AND(ISNUMBER($F26),ISNUMBER($G26),ISNUMBER($H26)),IF(AND(I$15&gt;=$F26,I$15&lt;=YEAR('2. START'!$C$19),I$15&lt;=($F26+$G26-1)),$H26/$G26,0),0)</f>
        <v>0</v>
      </c>
      <c r="J26" s="459">
        <f>IF(AND(ISNUMBER($F26),ISNUMBER($G26),ISNUMBER($H26)),IF(AND(J$15&gt;=$F26,J$15&lt;=YEAR('2. START'!$C$19),J$15&lt;=($F26+$G26-1)),$H26/$G26,0),0)</f>
        <v>0</v>
      </c>
      <c r="K26" s="459">
        <f>IF(AND(ISNUMBER($F26),ISNUMBER($G26),ISNUMBER($H26)),IF(AND(K$15&gt;=$F26,K$15&lt;=YEAR('2. START'!$C$19),K$15&lt;=($F26+$G26-1)),$H26/$G26,0),0)</f>
        <v>0</v>
      </c>
      <c r="L26" s="459">
        <f>IF(AND(ISNUMBER($F26),ISNUMBER($G26),ISNUMBER($H26)),IF(AND(L$15&gt;=$F26,L$15&lt;=YEAR('2. START'!$C$19),L$15&lt;=($F26+$G26-1)),$H26/$G26,0),0)</f>
        <v>0</v>
      </c>
      <c r="M26" s="459">
        <f>IF(AND(ISNUMBER($F26),ISNUMBER($G26),ISNUMBER($H26)),IF(AND(M$15&gt;=$F26,M$15&lt;=YEAR('2. START'!$C$19),M$15&lt;=($F26+$G26-1)),$H26/$G26,0),0)</f>
        <v>0</v>
      </c>
      <c r="N26" s="459">
        <f>IF(AND(ISNUMBER($F26),ISNUMBER($G26),ISNUMBER($H26)),IF(AND(N$15&gt;=$F26,N$15&lt;=YEAR('2. START'!$C$19),N$15&lt;=($F26+$G26-1)),$H26/$G26,0),0)</f>
        <v>0</v>
      </c>
      <c r="O26" s="459">
        <f>IF(AND(ISNUMBER($F26),ISNUMBER($G26),ISNUMBER($H26)),IF(AND(O$15&gt;=$F26,O$15&lt;=YEAR('2. START'!$C$19),O$15&lt;=($F26+$G26-1)),$H26/$G26,0),0)</f>
        <v>0</v>
      </c>
      <c r="P26" s="459">
        <f>IF(AND(ISNUMBER($F26),ISNUMBER($G26),ISNUMBER($H26)),IF(AND(P$15&gt;=$F26,P$15&lt;=YEAR('2. START'!$C$19),P$15&lt;=($F26+$G26-1)),$H26/$G26,0),0)</f>
        <v>0</v>
      </c>
      <c r="Q26" s="459">
        <f>IF(AND(ISNUMBER($F26),ISNUMBER($G26),ISNUMBER($H26)),IF(AND(Q$15&gt;=$F26,Q$15&lt;=YEAR('2. START'!$C$19),Q$15&lt;=($F26+$G26-1)),$H26/$G26,0),0)</f>
        <v>0</v>
      </c>
      <c r="R26" s="459">
        <f>IF(AND(ISNUMBER($F26),ISNUMBER($G26),ISNUMBER($H26)),IF(AND(R$15&gt;=$F26,R$15&lt;=YEAR('2. START'!$C$19),R$15&lt;=($F26+$G26-1)),$H26/$G26,0),0)</f>
        <v>0</v>
      </c>
      <c r="S26" s="460">
        <f t="shared" si="10"/>
        <v>0</v>
      </c>
      <c r="T26" s="463"/>
      <c r="U26" s="454">
        <f>IF('2. START'!C$13="PERSON+OPERATION+INVEST+FACILIT",'2. START'!C$12,0)</f>
        <v>0</v>
      </c>
      <c r="V26" s="556"/>
      <c r="W26" s="459">
        <f t="shared" si="11"/>
        <v>0</v>
      </c>
      <c r="X26" s="459">
        <f t="shared" si="12"/>
        <v>0</v>
      </c>
      <c r="Y26" s="459">
        <f t="shared" si="13"/>
        <v>0</v>
      </c>
      <c r="Z26" s="459">
        <f t="shared" si="14"/>
        <v>0</v>
      </c>
      <c r="AA26" s="459">
        <f t="shared" si="15"/>
        <v>0</v>
      </c>
      <c r="AB26" s="459">
        <f t="shared" si="16"/>
        <v>0</v>
      </c>
      <c r="AC26" s="459">
        <f t="shared" si="17"/>
        <v>0</v>
      </c>
      <c r="AD26" s="459">
        <f t="shared" si="18"/>
        <v>0</v>
      </c>
      <c r="AE26" s="459">
        <f t="shared" si="19"/>
        <v>0</v>
      </c>
      <c r="AF26" s="459">
        <f t="shared" si="20"/>
        <v>0</v>
      </c>
      <c r="AG26" s="460">
        <f t="shared" si="21"/>
        <v>0</v>
      </c>
      <c r="AH26" s="463"/>
      <c r="AI26" s="459">
        <f t="shared" si="22"/>
        <v>0</v>
      </c>
      <c r="AJ26" s="459">
        <f t="shared" si="23"/>
        <v>0</v>
      </c>
      <c r="AK26" s="459">
        <f t="shared" si="24"/>
        <v>0</v>
      </c>
      <c r="AL26" s="459">
        <f t="shared" si="25"/>
        <v>0</v>
      </c>
      <c r="AM26" s="459">
        <f t="shared" si="26"/>
        <v>0</v>
      </c>
      <c r="AN26" s="459">
        <f t="shared" si="27"/>
        <v>0</v>
      </c>
      <c r="AO26" s="459">
        <f t="shared" si="28"/>
        <v>0</v>
      </c>
      <c r="AP26" s="459">
        <f t="shared" si="29"/>
        <v>0</v>
      </c>
      <c r="AQ26" s="459">
        <f t="shared" si="30"/>
        <v>0</v>
      </c>
      <c r="AR26" s="459">
        <f t="shared" si="31"/>
        <v>0</v>
      </c>
      <c r="AS26" s="460">
        <f t="shared" si="32"/>
        <v>0</v>
      </c>
      <c r="AT26" s="463"/>
      <c r="AU26" s="459">
        <f t="shared" si="33"/>
        <v>0</v>
      </c>
      <c r="AV26" s="459">
        <f t="shared" si="34"/>
        <v>0</v>
      </c>
      <c r="AW26" s="459">
        <f t="shared" si="35"/>
        <v>0</v>
      </c>
      <c r="AX26" s="459">
        <f t="shared" si="36"/>
        <v>0</v>
      </c>
      <c r="AY26" s="459">
        <f t="shared" si="37"/>
        <v>0</v>
      </c>
      <c r="AZ26" s="459">
        <f t="shared" si="38"/>
        <v>0</v>
      </c>
      <c r="BA26" s="459">
        <f t="shared" si="39"/>
        <v>0</v>
      </c>
      <c r="BB26" s="459">
        <f t="shared" si="40"/>
        <v>0</v>
      </c>
      <c r="BC26" s="459">
        <f t="shared" si="41"/>
        <v>0</v>
      </c>
      <c r="BD26" s="459">
        <f t="shared" si="42"/>
        <v>0</v>
      </c>
      <c r="BE26" s="460">
        <f t="shared" si="43"/>
        <v>0</v>
      </c>
      <c r="BF26" s="463"/>
      <c r="BG26" s="459">
        <f t="shared" si="44"/>
        <v>0</v>
      </c>
      <c r="BH26" s="459">
        <f t="shared" si="45"/>
        <v>0</v>
      </c>
      <c r="BI26" s="459">
        <f t="shared" si="46"/>
        <v>0</v>
      </c>
      <c r="BJ26" s="459">
        <f t="shared" si="47"/>
        <v>0</v>
      </c>
      <c r="BK26" s="459">
        <f t="shared" si="48"/>
        <v>0</v>
      </c>
      <c r="BL26" s="459">
        <f t="shared" si="49"/>
        <v>0</v>
      </c>
      <c r="BM26" s="459">
        <f t="shared" si="50"/>
        <v>0</v>
      </c>
      <c r="BN26" s="459">
        <f t="shared" si="51"/>
        <v>0</v>
      </c>
      <c r="BO26" s="459">
        <f t="shared" si="52"/>
        <v>0</v>
      </c>
      <c r="BP26" s="459">
        <f t="shared" si="53"/>
        <v>0</v>
      </c>
      <c r="BQ26" s="460">
        <f t="shared" si="54"/>
        <v>0</v>
      </c>
    </row>
    <row r="27" spans="2:69" s="268" customFormat="1" ht="15" customHeight="1" x14ac:dyDescent="0.25">
      <c r="B27" s="464" t="str">
        <f>'2. START'!C$7</f>
        <v>100GEM</v>
      </c>
      <c r="C27" s="528"/>
      <c r="D27" s="591"/>
      <c r="E27" s="527">
        <v>0</v>
      </c>
      <c r="F27" s="562"/>
      <c r="G27" s="565"/>
      <c r="H27" s="568"/>
      <c r="I27" s="519">
        <f>IF(AND(ISNUMBER($F27),ISNUMBER($G27),ISNUMBER($H27)),IF(AND(I$15&gt;=$F27,I$15&lt;=YEAR('2. START'!$C$19),I$15&lt;=($F27+$G27-1)),$H27/$G27,0),0)</f>
        <v>0</v>
      </c>
      <c r="J27" s="519">
        <f>IF(AND(ISNUMBER($F27),ISNUMBER($G27),ISNUMBER($H27)),IF(AND(J$15&gt;=$F27,J$15&lt;=YEAR('2. START'!$C$19),J$15&lt;=($F27+$G27-1)),$H27/$G27,0),0)</f>
        <v>0</v>
      </c>
      <c r="K27" s="519">
        <f>IF(AND(ISNUMBER($F27),ISNUMBER($G27),ISNUMBER($H27)),IF(AND(K$15&gt;=$F27,K$15&lt;=YEAR('2. START'!$C$19),K$15&lt;=($F27+$G27-1)),$H27/$G27,0),0)</f>
        <v>0</v>
      </c>
      <c r="L27" s="519">
        <f>IF(AND(ISNUMBER($F27),ISNUMBER($G27),ISNUMBER($H27)),IF(AND(L$15&gt;=$F27,L$15&lt;=YEAR('2. START'!$C$19),L$15&lt;=($F27+$G27-1)),$H27/$G27,0),0)</f>
        <v>0</v>
      </c>
      <c r="M27" s="519">
        <f>IF(AND(ISNUMBER($F27),ISNUMBER($G27),ISNUMBER($H27)),IF(AND(M$15&gt;=$F27,M$15&lt;=YEAR('2. START'!$C$19),M$15&lt;=($F27+$G27-1)),$H27/$G27,0),0)</f>
        <v>0</v>
      </c>
      <c r="N27" s="519">
        <f>IF(AND(ISNUMBER($F27),ISNUMBER($G27),ISNUMBER($H27)),IF(AND(N$15&gt;=$F27,N$15&lt;=YEAR('2. START'!$C$19),N$15&lt;=($F27+$G27-1)),$H27/$G27,0),0)</f>
        <v>0</v>
      </c>
      <c r="O27" s="519">
        <f>IF(AND(ISNUMBER($F27),ISNUMBER($G27),ISNUMBER($H27)),IF(AND(O$15&gt;=$F27,O$15&lt;=YEAR('2. START'!$C$19),O$15&lt;=($F27+$G27-1)),$H27/$G27,0),0)</f>
        <v>0</v>
      </c>
      <c r="P27" s="519">
        <f>IF(AND(ISNUMBER($F27),ISNUMBER($G27),ISNUMBER($H27)),IF(AND(P$15&gt;=$F27,P$15&lt;=YEAR('2. START'!$C$19),P$15&lt;=($F27+$G27-1)),$H27/$G27,0),0)</f>
        <v>0</v>
      </c>
      <c r="Q27" s="519">
        <f>IF(AND(ISNUMBER($F27),ISNUMBER($G27),ISNUMBER($H27)),IF(AND(Q$15&gt;=$F27,Q$15&lt;=YEAR('2. START'!$C$19),Q$15&lt;=($F27+$G27-1)),$H27/$G27,0),0)</f>
        <v>0</v>
      </c>
      <c r="R27" s="519">
        <f>IF(AND(ISNUMBER($F27),ISNUMBER($G27),ISNUMBER($H27)),IF(AND(R$15&gt;=$F27,R$15&lt;=YEAR('2. START'!$C$19),R$15&lt;=($F27+$G27-1)),$H27/$G27,0),0)</f>
        <v>0</v>
      </c>
      <c r="S27" s="520">
        <f t="shared" si="10"/>
        <v>0</v>
      </c>
      <c r="U27" s="517">
        <f>IF('2. START'!C$13="PERSON+OPERATION+INVEST+FACILIT",'2. START'!C$12,0)</f>
        <v>0</v>
      </c>
      <c r="V27" s="557"/>
      <c r="W27" s="519">
        <f t="shared" si="11"/>
        <v>0</v>
      </c>
      <c r="X27" s="519">
        <f t="shared" si="12"/>
        <v>0</v>
      </c>
      <c r="Y27" s="519">
        <f t="shared" si="13"/>
        <v>0</v>
      </c>
      <c r="Z27" s="519">
        <f t="shared" si="14"/>
        <v>0</v>
      </c>
      <c r="AA27" s="519">
        <f t="shared" si="15"/>
        <v>0</v>
      </c>
      <c r="AB27" s="519">
        <f t="shared" si="16"/>
        <v>0</v>
      </c>
      <c r="AC27" s="519">
        <f t="shared" si="17"/>
        <v>0</v>
      </c>
      <c r="AD27" s="519">
        <f t="shared" si="18"/>
        <v>0</v>
      </c>
      <c r="AE27" s="519">
        <f t="shared" si="19"/>
        <v>0</v>
      </c>
      <c r="AF27" s="519">
        <f t="shared" si="20"/>
        <v>0</v>
      </c>
      <c r="AG27" s="520">
        <f t="shared" si="21"/>
        <v>0</v>
      </c>
      <c r="AI27" s="519">
        <f t="shared" si="22"/>
        <v>0</v>
      </c>
      <c r="AJ27" s="519">
        <f t="shared" si="23"/>
        <v>0</v>
      </c>
      <c r="AK27" s="519">
        <f t="shared" si="24"/>
        <v>0</v>
      </c>
      <c r="AL27" s="519">
        <f t="shared" si="25"/>
        <v>0</v>
      </c>
      <c r="AM27" s="519">
        <f t="shared" si="26"/>
        <v>0</v>
      </c>
      <c r="AN27" s="519">
        <f t="shared" si="27"/>
        <v>0</v>
      </c>
      <c r="AO27" s="519">
        <f t="shared" si="28"/>
        <v>0</v>
      </c>
      <c r="AP27" s="519">
        <f t="shared" si="29"/>
        <v>0</v>
      </c>
      <c r="AQ27" s="519">
        <f t="shared" si="30"/>
        <v>0</v>
      </c>
      <c r="AR27" s="519">
        <f t="shared" si="31"/>
        <v>0</v>
      </c>
      <c r="AS27" s="520">
        <f t="shared" si="32"/>
        <v>0</v>
      </c>
      <c r="AU27" s="519">
        <f t="shared" si="33"/>
        <v>0</v>
      </c>
      <c r="AV27" s="519">
        <f t="shared" si="34"/>
        <v>0</v>
      </c>
      <c r="AW27" s="519">
        <f t="shared" si="35"/>
        <v>0</v>
      </c>
      <c r="AX27" s="519">
        <f t="shared" si="36"/>
        <v>0</v>
      </c>
      <c r="AY27" s="519">
        <f t="shared" si="37"/>
        <v>0</v>
      </c>
      <c r="AZ27" s="519">
        <f t="shared" si="38"/>
        <v>0</v>
      </c>
      <c r="BA27" s="519">
        <f t="shared" si="39"/>
        <v>0</v>
      </c>
      <c r="BB27" s="519">
        <f t="shared" si="40"/>
        <v>0</v>
      </c>
      <c r="BC27" s="519">
        <f t="shared" si="41"/>
        <v>0</v>
      </c>
      <c r="BD27" s="519">
        <f t="shared" si="42"/>
        <v>0</v>
      </c>
      <c r="BE27" s="520">
        <f t="shared" si="43"/>
        <v>0</v>
      </c>
      <c r="BG27" s="519">
        <f t="shared" si="44"/>
        <v>0</v>
      </c>
      <c r="BH27" s="519">
        <f t="shared" si="45"/>
        <v>0</v>
      </c>
      <c r="BI27" s="519">
        <f t="shared" si="46"/>
        <v>0</v>
      </c>
      <c r="BJ27" s="519">
        <f t="shared" si="47"/>
        <v>0</v>
      </c>
      <c r="BK27" s="519">
        <f t="shared" si="48"/>
        <v>0</v>
      </c>
      <c r="BL27" s="519">
        <f t="shared" si="49"/>
        <v>0</v>
      </c>
      <c r="BM27" s="519">
        <f t="shared" si="50"/>
        <v>0</v>
      </c>
      <c r="BN27" s="519">
        <f t="shared" si="51"/>
        <v>0</v>
      </c>
      <c r="BO27" s="519">
        <f t="shared" si="52"/>
        <v>0</v>
      </c>
      <c r="BP27" s="519">
        <f t="shared" si="53"/>
        <v>0</v>
      </c>
      <c r="BQ27" s="520">
        <f t="shared" si="54"/>
        <v>0</v>
      </c>
    </row>
    <row r="28" spans="2:69" s="268" customFormat="1" ht="15" customHeight="1" x14ac:dyDescent="0.25">
      <c r="B28" s="446" t="str">
        <f>'2. START'!C$7</f>
        <v>100GEM</v>
      </c>
      <c r="C28" s="521"/>
      <c r="D28" s="592"/>
      <c r="E28" s="522">
        <v>0</v>
      </c>
      <c r="F28" s="561"/>
      <c r="G28" s="564"/>
      <c r="H28" s="567"/>
      <c r="I28" s="459">
        <f>IF(AND(ISNUMBER($F28),ISNUMBER($G28),ISNUMBER($H28)),IF(AND(I$15&gt;=$F28,I$15&lt;=YEAR('2. START'!$C$19),I$15&lt;=($F28+$G28-1)),$H28/$G28,0),0)</f>
        <v>0</v>
      </c>
      <c r="J28" s="459">
        <f>IF(AND(ISNUMBER($F28),ISNUMBER($G28),ISNUMBER($H28)),IF(AND(J$15&gt;=$F28,J$15&lt;=YEAR('2. START'!$C$19),J$15&lt;=($F28+$G28-1)),$H28/$G28,0),0)</f>
        <v>0</v>
      </c>
      <c r="K28" s="459">
        <f>IF(AND(ISNUMBER($F28),ISNUMBER($G28),ISNUMBER($H28)),IF(AND(K$15&gt;=$F28,K$15&lt;=YEAR('2. START'!$C$19),K$15&lt;=($F28+$G28-1)),$H28/$G28,0),0)</f>
        <v>0</v>
      </c>
      <c r="L28" s="459">
        <f>IF(AND(ISNUMBER($F28),ISNUMBER($G28),ISNUMBER($H28)),IF(AND(L$15&gt;=$F28,L$15&lt;=YEAR('2. START'!$C$19),L$15&lt;=($F28+$G28-1)),$H28/$G28,0),0)</f>
        <v>0</v>
      </c>
      <c r="M28" s="459">
        <f>IF(AND(ISNUMBER($F28),ISNUMBER($G28),ISNUMBER($H28)),IF(AND(M$15&gt;=$F28,M$15&lt;=YEAR('2. START'!$C$19),M$15&lt;=($F28+$G28-1)),$H28/$G28,0),0)</f>
        <v>0</v>
      </c>
      <c r="N28" s="459">
        <f>IF(AND(ISNUMBER($F28),ISNUMBER($G28),ISNUMBER($H28)),IF(AND(N$15&gt;=$F28,N$15&lt;=YEAR('2. START'!$C$19),N$15&lt;=($F28+$G28-1)),$H28/$G28,0),0)</f>
        <v>0</v>
      </c>
      <c r="O28" s="459">
        <f>IF(AND(ISNUMBER($F28),ISNUMBER($G28),ISNUMBER($H28)),IF(AND(O$15&gt;=$F28,O$15&lt;=YEAR('2. START'!$C$19),O$15&lt;=($F28+$G28-1)),$H28/$G28,0),0)</f>
        <v>0</v>
      </c>
      <c r="P28" s="459">
        <f>IF(AND(ISNUMBER($F28),ISNUMBER($G28),ISNUMBER($H28)),IF(AND(P$15&gt;=$F28,P$15&lt;=YEAR('2. START'!$C$19),P$15&lt;=($F28+$G28-1)),$H28/$G28,0),0)</f>
        <v>0</v>
      </c>
      <c r="Q28" s="459">
        <f>IF(AND(ISNUMBER($F28),ISNUMBER($G28),ISNUMBER($H28)),IF(AND(Q$15&gt;=$F28,Q$15&lt;=YEAR('2. START'!$C$19),Q$15&lt;=($F28+$G28-1)),$H28/$G28,0),0)</f>
        <v>0</v>
      </c>
      <c r="R28" s="459">
        <f>IF(AND(ISNUMBER($F28),ISNUMBER($G28),ISNUMBER($H28)),IF(AND(R$15&gt;=$F28,R$15&lt;=YEAR('2. START'!$C$19),R$15&lt;=($F28+$G28-1)),$H28/$G28,0),0)</f>
        <v>0</v>
      </c>
      <c r="S28" s="460">
        <f t="shared" si="10"/>
        <v>0</v>
      </c>
      <c r="T28" s="463"/>
      <c r="U28" s="454">
        <f>IF('2. START'!C$13="PERSON+OPERATION+INVEST+FACILIT",'2. START'!C$12,0)</f>
        <v>0</v>
      </c>
      <c r="V28" s="556"/>
      <c r="W28" s="459">
        <f t="shared" si="11"/>
        <v>0</v>
      </c>
      <c r="X28" s="459">
        <f t="shared" si="12"/>
        <v>0</v>
      </c>
      <c r="Y28" s="459">
        <f t="shared" si="13"/>
        <v>0</v>
      </c>
      <c r="Z28" s="459">
        <f t="shared" si="14"/>
        <v>0</v>
      </c>
      <c r="AA28" s="459">
        <f t="shared" si="15"/>
        <v>0</v>
      </c>
      <c r="AB28" s="459">
        <f t="shared" si="16"/>
        <v>0</v>
      </c>
      <c r="AC28" s="459">
        <f t="shared" si="17"/>
        <v>0</v>
      </c>
      <c r="AD28" s="459">
        <f t="shared" si="18"/>
        <v>0</v>
      </c>
      <c r="AE28" s="459">
        <f t="shared" si="19"/>
        <v>0</v>
      </c>
      <c r="AF28" s="459">
        <f t="shared" si="20"/>
        <v>0</v>
      </c>
      <c r="AG28" s="460">
        <f t="shared" si="21"/>
        <v>0</v>
      </c>
      <c r="AH28" s="463"/>
      <c r="AI28" s="459">
        <f t="shared" si="22"/>
        <v>0</v>
      </c>
      <c r="AJ28" s="459">
        <f t="shared" si="23"/>
        <v>0</v>
      </c>
      <c r="AK28" s="459">
        <f t="shared" si="24"/>
        <v>0</v>
      </c>
      <c r="AL28" s="459">
        <f t="shared" si="25"/>
        <v>0</v>
      </c>
      <c r="AM28" s="459">
        <f t="shared" si="26"/>
        <v>0</v>
      </c>
      <c r="AN28" s="459">
        <f t="shared" si="27"/>
        <v>0</v>
      </c>
      <c r="AO28" s="459">
        <f t="shared" si="28"/>
        <v>0</v>
      </c>
      <c r="AP28" s="459">
        <f t="shared" si="29"/>
        <v>0</v>
      </c>
      <c r="AQ28" s="459">
        <f t="shared" si="30"/>
        <v>0</v>
      </c>
      <c r="AR28" s="459">
        <f t="shared" si="31"/>
        <v>0</v>
      </c>
      <c r="AS28" s="460">
        <f t="shared" si="32"/>
        <v>0</v>
      </c>
      <c r="AT28" s="463"/>
      <c r="AU28" s="459">
        <f t="shared" si="33"/>
        <v>0</v>
      </c>
      <c r="AV28" s="459">
        <f t="shared" si="34"/>
        <v>0</v>
      </c>
      <c r="AW28" s="459">
        <f t="shared" si="35"/>
        <v>0</v>
      </c>
      <c r="AX28" s="459">
        <f t="shared" si="36"/>
        <v>0</v>
      </c>
      <c r="AY28" s="459">
        <f t="shared" si="37"/>
        <v>0</v>
      </c>
      <c r="AZ28" s="459">
        <f t="shared" si="38"/>
        <v>0</v>
      </c>
      <c r="BA28" s="459">
        <f t="shared" si="39"/>
        <v>0</v>
      </c>
      <c r="BB28" s="459">
        <f t="shared" si="40"/>
        <v>0</v>
      </c>
      <c r="BC28" s="459">
        <f t="shared" si="41"/>
        <v>0</v>
      </c>
      <c r="BD28" s="459">
        <f t="shared" si="42"/>
        <v>0</v>
      </c>
      <c r="BE28" s="460">
        <f t="shared" si="43"/>
        <v>0</v>
      </c>
      <c r="BF28" s="463"/>
      <c r="BG28" s="459">
        <f t="shared" si="44"/>
        <v>0</v>
      </c>
      <c r="BH28" s="459">
        <f t="shared" si="45"/>
        <v>0</v>
      </c>
      <c r="BI28" s="459">
        <f t="shared" si="46"/>
        <v>0</v>
      </c>
      <c r="BJ28" s="459">
        <f t="shared" si="47"/>
        <v>0</v>
      </c>
      <c r="BK28" s="459">
        <f t="shared" si="48"/>
        <v>0</v>
      </c>
      <c r="BL28" s="459">
        <f t="shared" si="49"/>
        <v>0</v>
      </c>
      <c r="BM28" s="459">
        <f t="shared" si="50"/>
        <v>0</v>
      </c>
      <c r="BN28" s="459">
        <f t="shared" si="51"/>
        <v>0</v>
      </c>
      <c r="BO28" s="459">
        <f t="shared" si="52"/>
        <v>0</v>
      </c>
      <c r="BP28" s="459">
        <f t="shared" si="53"/>
        <v>0</v>
      </c>
      <c r="BQ28" s="460">
        <f t="shared" si="54"/>
        <v>0</v>
      </c>
    </row>
    <row r="29" spans="2:69" s="268" customFormat="1" ht="15" customHeight="1" x14ac:dyDescent="0.25">
      <c r="B29" s="464" t="str">
        <f>'2. START'!C$7</f>
        <v>100GEM</v>
      </c>
      <c r="C29" s="526"/>
      <c r="D29" s="591"/>
      <c r="E29" s="527">
        <v>0</v>
      </c>
      <c r="F29" s="562"/>
      <c r="G29" s="565"/>
      <c r="H29" s="568"/>
      <c r="I29" s="519">
        <f>IF(AND(ISNUMBER($F29),ISNUMBER($G29),ISNUMBER($H29)),IF(AND(I$15&gt;=$F29,I$15&lt;=YEAR('2. START'!$C$19),I$15&lt;=($F29+$G29-1)),$H29/$G29,0),0)</f>
        <v>0</v>
      </c>
      <c r="J29" s="519">
        <f>IF(AND(ISNUMBER($F29),ISNUMBER($G29),ISNUMBER($H29)),IF(AND(J$15&gt;=$F29,J$15&lt;=YEAR('2. START'!$C$19),J$15&lt;=($F29+$G29-1)),$H29/$G29,0),0)</f>
        <v>0</v>
      </c>
      <c r="K29" s="519">
        <f>IF(AND(ISNUMBER($F29),ISNUMBER($G29),ISNUMBER($H29)),IF(AND(K$15&gt;=$F29,K$15&lt;=YEAR('2. START'!$C$19),K$15&lt;=($F29+$G29-1)),$H29/$G29,0),0)</f>
        <v>0</v>
      </c>
      <c r="L29" s="519">
        <f>IF(AND(ISNUMBER($F29),ISNUMBER($G29),ISNUMBER($H29)),IF(AND(L$15&gt;=$F29,L$15&lt;=YEAR('2. START'!$C$19),L$15&lt;=($F29+$G29-1)),$H29/$G29,0),0)</f>
        <v>0</v>
      </c>
      <c r="M29" s="519">
        <f>IF(AND(ISNUMBER($F29),ISNUMBER($G29),ISNUMBER($H29)),IF(AND(M$15&gt;=$F29,M$15&lt;=YEAR('2. START'!$C$19),M$15&lt;=($F29+$G29-1)),$H29/$G29,0),0)</f>
        <v>0</v>
      </c>
      <c r="N29" s="519">
        <f>IF(AND(ISNUMBER($F29),ISNUMBER($G29),ISNUMBER($H29)),IF(AND(N$15&gt;=$F29,N$15&lt;=YEAR('2. START'!$C$19),N$15&lt;=($F29+$G29-1)),$H29/$G29,0),0)</f>
        <v>0</v>
      </c>
      <c r="O29" s="519">
        <f>IF(AND(ISNUMBER($F29),ISNUMBER($G29),ISNUMBER($H29)),IF(AND(O$15&gt;=$F29,O$15&lt;=YEAR('2. START'!$C$19),O$15&lt;=($F29+$G29-1)),$H29/$G29,0),0)</f>
        <v>0</v>
      </c>
      <c r="P29" s="519">
        <f>IF(AND(ISNUMBER($F29),ISNUMBER($G29),ISNUMBER($H29)),IF(AND(P$15&gt;=$F29,P$15&lt;=YEAR('2. START'!$C$19),P$15&lt;=($F29+$G29-1)),$H29/$G29,0),0)</f>
        <v>0</v>
      </c>
      <c r="Q29" s="519">
        <f>IF(AND(ISNUMBER($F29),ISNUMBER($G29),ISNUMBER($H29)),IF(AND(Q$15&gt;=$F29,Q$15&lt;=YEAR('2. START'!$C$19),Q$15&lt;=($F29+$G29-1)),$H29/$G29,0),0)</f>
        <v>0</v>
      </c>
      <c r="R29" s="519">
        <f>IF(AND(ISNUMBER($F29),ISNUMBER($G29),ISNUMBER($H29)),IF(AND(R$15&gt;=$F29,R$15&lt;=YEAR('2. START'!$C$19),R$15&lt;=($F29+$G29-1)),$H29/$G29,0),0)</f>
        <v>0</v>
      </c>
      <c r="S29" s="520">
        <f t="shared" si="10"/>
        <v>0</v>
      </c>
      <c r="U29" s="517">
        <f>IF('2. START'!C$13="PERSON+OPERATION+INVEST+FACILIT",'2. START'!C$12,0)</f>
        <v>0</v>
      </c>
      <c r="V29" s="557"/>
      <c r="W29" s="519">
        <f t="shared" si="11"/>
        <v>0</v>
      </c>
      <c r="X29" s="519">
        <f t="shared" si="12"/>
        <v>0</v>
      </c>
      <c r="Y29" s="519">
        <f t="shared" si="13"/>
        <v>0</v>
      </c>
      <c r="Z29" s="519">
        <f t="shared" si="14"/>
        <v>0</v>
      </c>
      <c r="AA29" s="519">
        <f t="shared" si="15"/>
        <v>0</v>
      </c>
      <c r="AB29" s="519">
        <f t="shared" si="16"/>
        <v>0</v>
      </c>
      <c r="AC29" s="519">
        <f t="shared" si="17"/>
        <v>0</v>
      </c>
      <c r="AD29" s="519">
        <f t="shared" si="18"/>
        <v>0</v>
      </c>
      <c r="AE29" s="519">
        <f t="shared" si="19"/>
        <v>0</v>
      </c>
      <c r="AF29" s="519">
        <f t="shared" si="20"/>
        <v>0</v>
      </c>
      <c r="AG29" s="520">
        <f t="shared" si="21"/>
        <v>0</v>
      </c>
      <c r="AI29" s="519">
        <f t="shared" si="22"/>
        <v>0</v>
      </c>
      <c r="AJ29" s="519">
        <f t="shared" si="23"/>
        <v>0</v>
      </c>
      <c r="AK29" s="519">
        <f t="shared" si="24"/>
        <v>0</v>
      </c>
      <c r="AL29" s="519">
        <f t="shared" si="25"/>
        <v>0</v>
      </c>
      <c r="AM29" s="519">
        <f t="shared" si="26"/>
        <v>0</v>
      </c>
      <c r="AN29" s="519">
        <f t="shared" si="27"/>
        <v>0</v>
      </c>
      <c r="AO29" s="519">
        <f t="shared" si="28"/>
        <v>0</v>
      </c>
      <c r="AP29" s="519">
        <f t="shared" si="29"/>
        <v>0</v>
      </c>
      <c r="AQ29" s="519">
        <f t="shared" si="30"/>
        <v>0</v>
      </c>
      <c r="AR29" s="519">
        <f t="shared" si="31"/>
        <v>0</v>
      </c>
      <c r="AS29" s="520">
        <f t="shared" si="32"/>
        <v>0</v>
      </c>
      <c r="AU29" s="519">
        <f t="shared" si="33"/>
        <v>0</v>
      </c>
      <c r="AV29" s="519">
        <f t="shared" si="34"/>
        <v>0</v>
      </c>
      <c r="AW29" s="519">
        <f t="shared" si="35"/>
        <v>0</v>
      </c>
      <c r="AX29" s="519">
        <f t="shared" si="36"/>
        <v>0</v>
      </c>
      <c r="AY29" s="519">
        <f t="shared" si="37"/>
        <v>0</v>
      </c>
      <c r="AZ29" s="519">
        <f t="shared" si="38"/>
        <v>0</v>
      </c>
      <c r="BA29" s="519">
        <f t="shared" si="39"/>
        <v>0</v>
      </c>
      <c r="BB29" s="519">
        <f t="shared" si="40"/>
        <v>0</v>
      </c>
      <c r="BC29" s="519">
        <f t="shared" si="41"/>
        <v>0</v>
      </c>
      <c r="BD29" s="519">
        <f t="shared" si="42"/>
        <v>0</v>
      </c>
      <c r="BE29" s="520">
        <f t="shared" si="43"/>
        <v>0</v>
      </c>
      <c r="BG29" s="519">
        <f t="shared" si="44"/>
        <v>0</v>
      </c>
      <c r="BH29" s="519">
        <f t="shared" si="45"/>
        <v>0</v>
      </c>
      <c r="BI29" s="519">
        <f t="shared" si="46"/>
        <v>0</v>
      </c>
      <c r="BJ29" s="519">
        <f t="shared" si="47"/>
        <v>0</v>
      </c>
      <c r="BK29" s="519">
        <f t="shared" si="48"/>
        <v>0</v>
      </c>
      <c r="BL29" s="519">
        <f t="shared" si="49"/>
        <v>0</v>
      </c>
      <c r="BM29" s="519">
        <f t="shared" si="50"/>
        <v>0</v>
      </c>
      <c r="BN29" s="519">
        <f t="shared" si="51"/>
        <v>0</v>
      </c>
      <c r="BO29" s="519">
        <f t="shared" si="52"/>
        <v>0</v>
      </c>
      <c r="BP29" s="519">
        <f t="shared" si="53"/>
        <v>0</v>
      </c>
      <c r="BQ29" s="520">
        <f t="shared" si="54"/>
        <v>0</v>
      </c>
    </row>
    <row r="30" spans="2:69" s="268" customFormat="1" ht="15" customHeight="1" x14ac:dyDescent="0.25">
      <c r="B30" s="446" t="str">
        <f>'2. START'!C$7</f>
        <v>100GEM</v>
      </c>
      <c r="C30" s="521"/>
      <c r="D30" s="592"/>
      <c r="E30" s="522">
        <v>0</v>
      </c>
      <c r="F30" s="561"/>
      <c r="G30" s="564"/>
      <c r="H30" s="567"/>
      <c r="I30" s="459">
        <f>IF(AND(ISNUMBER($F30),ISNUMBER($G30),ISNUMBER($H30)),IF(AND(I$15&gt;=$F30,I$15&lt;=YEAR('2. START'!$C$19),I$15&lt;=($F30+$G30-1)),$H30/$G30,0),0)</f>
        <v>0</v>
      </c>
      <c r="J30" s="459">
        <f>IF(AND(ISNUMBER($F30),ISNUMBER($G30),ISNUMBER($H30)),IF(AND(J$15&gt;=$F30,J$15&lt;=YEAR('2. START'!$C$19),J$15&lt;=($F30+$G30-1)),$H30/$G30,0),0)</f>
        <v>0</v>
      </c>
      <c r="K30" s="459">
        <f>IF(AND(ISNUMBER($F30),ISNUMBER($G30),ISNUMBER($H30)),IF(AND(K$15&gt;=$F30,K$15&lt;=YEAR('2. START'!$C$19),K$15&lt;=($F30+$G30-1)),$H30/$G30,0),0)</f>
        <v>0</v>
      </c>
      <c r="L30" s="459">
        <f>IF(AND(ISNUMBER($F30),ISNUMBER($G30),ISNUMBER($H30)),IF(AND(L$15&gt;=$F30,L$15&lt;=YEAR('2. START'!$C$19),L$15&lt;=($F30+$G30-1)),$H30/$G30,0),0)</f>
        <v>0</v>
      </c>
      <c r="M30" s="459">
        <f>IF(AND(ISNUMBER($F30),ISNUMBER($G30),ISNUMBER($H30)),IF(AND(M$15&gt;=$F30,M$15&lt;=YEAR('2. START'!$C$19),M$15&lt;=($F30+$G30-1)),$H30/$G30,0),0)</f>
        <v>0</v>
      </c>
      <c r="N30" s="459">
        <f>IF(AND(ISNUMBER($F30),ISNUMBER($G30),ISNUMBER($H30)),IF(AND(N$15&gt;=$F30,N$15&lt;=YEAR('2. START'!$C$19),N$15&lt;=($F30+$G30-1)),$H30/$G30,0),0)</f>
        <v>0</v>
      </c>
      <c r="O30" s="459">
        <f>IF(AND(ISNUMBER($F30),ISNUMBER($G30),ISNUMBER($H30)),IF(AND(O$15&gt;=$F30,O$15&lt;=YEAR('2. START'!$C$19),O$15&lt;=($F30+$G30-1)),$H30/$G30,0),0)</f>
        <v>0</v>
      </c>
      <c r="P30" s="459">
        <f>IF(AND(ISNUMBER($F30),ISNUMBER($G30),ISNUMBER($H30)),IF(AND(P$15&gt;=$F30,P$15&lt;=YEAR('2. START'!$C$19),P$15&lt;=($F30+$G30-1)),$H30/$G30,0),0)</f>
        <v>0</v>
      </c>
      <c r="Q30" s="459">
        <f>IF(AND(ISNUMBER($F30),ISNUMBER($G30),ISNUMBER($H30)),IF(AND(Q$15&gt;=$F30,Q$15&lt;=YEAR('2. START'!$C$19),Q$15&lt;=($F30+$G30-1)),$H30/$G30,0),0)</f>
        <v>0</v>
      </c>
      <c r="R30" s="459">
        <f>IF(AND(ISNUMBER($F30),ISNUMBER($G30),ISNUMBER($H30)),IF(AND(R$15&gt;=$F30,R$15&lt;=YEAR('2. START'!$C$19),R$15&lt;=($F30+$G30-1)),$H30/$G30,0),0)</f>
        <v>0</v>
      </c>
      <c r="S30" s="460">
        <f t="shared" si="10"/>
        <v>0</v>
      </c>
      <c r="T30" s="463"/>
      <c r="U30" s="454">
        <f>IF('2. START'!C$13="PERSON+OPERATION+INVEST+FACILIT",'2. START'!C$12,0)</f>
        <v>0</v>
      </c>
      <c r="V30" s="556"/>
      <c r="W30" s="459">
        <f t="shared" si="11"/>
        <v>0</v>
      </c>
      <c r="X30" s="459">
        <f t="shared" si="12"/>
        <v>0</v>
      </c>
      <c r="Y30" s="459">
        <f t="shared" si="13"/>
        <v>0</v>
      </c>
      <c r="Z30" s="459">
        <f t="shared" si="14"/>
        <v>0</v>
      </c>
      <c r="AA30" s="459">
        <f t="shared" si="15"/>
        <v>0</v>
      </c>
      <c r="AB30" s="459">
        <f t="shared" si="16"/>
        <v>0</v>
      </c>
      <c r="AC30" s="459">
        <f t="shared" si="17"/>
        <v>0</v>
      </c>
      <c r="AD30" s="459">
        <f t="shared" si="18"/>
        <v>0</v>
      </c>
      <c r="AE30" s="459">
        <f t="shared" si="19"/>
        <v>0</v>
      </c>
      <c r="AF30" s="459">
        <f t="shared" si="20"/>
        <v>0</v>
      </c>
      <c r="AG30" s="460">
        <f t="shared" si="21"/>
        <v>0</v>
      </c>
      <c r="AH30" s="463"/>
      <c r="AI30" s="459">
        <f t="shared" si="22"/>
        <v>0</v>
      </c>
      <c r="AJ30" s="459">
        <f t="shared" si="23"/>
        <v>0</v>
      </c>
      <c r="AK30" s="459">
        <f t="shared" si="24"/>
        <v>0</v>
      </c>
      <c r="AL30" s="459">
        <f t="shared" si="25"/>
        <v>0</v>
      </c>
      <c r="AM30" s="459">
        <f t="shared" si="26"/>
        <v>0</v>
      </c>
      <c r="AN30" s="459">
        <f t="shared" si="27"/>
        <v>0</v>
      </c>
      <c r="AO30" s="459">
        <f t="shared" si="28"/>
        <v>0</v>
      </c>
      <c r="AP30" s="459">
        <f t="shared" si="29"/>
        <v>0</v>
      </c>
      <c r="AQ30" s="459">
        <f t="shared" si="30"/>
        <v>0</v>
      </c>
      <c r="AR30" s="459">
        <f t="shared" si="31"/>
        <v>0</v>
      </c>
      <c r="AS30" s="460">
        <f t="shared" si="32"/>
        <v>0</v>
      </c>
      <c r="AT30" s="463"/>
      <c r="AU30" s="459">
        <f t="shared" si="33"/>
        <v>0</v>
      </c>
      <c r="AV30" s="459">
        <f t="shared" si="34"/>
        <v>0</v>
      </c>
      <c r="AW30" s="459">
        <f t="shared" si="35"/>
        <v>0</v>
      </c>
      <c r="AX30" s="459">
        <f t="shared" si="36"/>
        <v>0</v>
      </c>
      <c r="AY30" s="459">
        <f t="shared" si="37"/>
        <v>0</v>
      </c>
      <c r="AZ30" s="459">
        <f t="shared" si="38"/>
        <v>0</v>
      </c>
      <c r="BA30" s="459">
        <f t="shared" si="39"/>
        <v>0</v>
      </c>
      <c r="BB30" s="459">
        <f t="shared" si="40"/>
        <v>0</v>
      </c>
      <c r="BC30" s="459">
        <f t="shared" si="41"/>
        <v>0</v>
      </c>
      <c r="BD30" s="459">
        <f t="shared" si="42"/>
        <v>0</v>
      </c>
      <c r="BE30" s="460">
        <f t="shared" si="43"/>
        <v>0</v>
      </c>
      <c r="BF30" s="463"/>
      <c r="BG30" s="459">
        <f t="shared" si="44"/>
        <v>0</v>
      </c>
      <c r="BH30" s="459">
        <f t="shared" si="45"/>
        <v>0</v>
      </c>
      <c r="BI30" s="459">
        <f t="shared" si="46"/>
        <v>0</v>
      </c>
      <c r="BJ30" s="459">
        <f t="shared" si="47"/>
        <v>0</v>
      </c>
      <c r="BK30" s="459">
        <f t="shared" si="48"/>
        <v>0</v>
      </c>
      <c r="BL30" s="459">
        <f t="shared" si="49"/>
        <v>0</v>
      </c>
      <c r="BM30" s="459">
        <f t="shared" si="50"/>
        <v>0</v>
      </c>
      <c r="BN30" s="459">
        <f t="shared" si="51"/>
        <v>0</v>
      </c>
      <c r="BO30" s="459">
        <f t="shared" si="52"/>
        <v>0</v>
      </c>
      <c r="BP30" s="459">
        <f t="shared" si="53"/>
        <v>0</v>
      </c>
      <c r="BQ30" s="460">
        <f t="shared" si="54"/>
        <v>0</v>
      </c>
    </row>
    <row r="31" spans="2:69" s="268" customFormat="1" ht="15" customHeight="1" x14ac:dyDescent="0.25">
      <c r="B31" s="464" t="str">
        <f>'2. START'!C$7</f>
        <v>100GEM</v>
      </c>
      <c r="C31" s="526"/>
      <c r="D31" s="591"/>
      <c r="E31" s="527">
        <v>0</v>
      </c>
      <c r="F31" s="562"/>
      <c r="G31" s="565"/>
      <c r="H31" s="568"/>
      <c r="I31" s="519">
        <f>IF(AND(ISNUMBER($F31),ISNUMBER($G31),ISNUMBER($H31)),IF(AND(I$15&gt;=$F31,I$15&lt;=YEAR('2. START'!$C$19),I$15&lt;=($F31+$G31-1)),$H31/$G31,0),0)</f>
        <v>0</v>
      </c>
      <c r="J31" s="519">
        <f>IF(AND(ISNUMBER($F31),ISNUMBER($G31),ISNUMBER($H31)),IF(AND(J$15&gt;=$F31,J$15&lt;=YEAR('2. START'!$C$19),J$15&lt;=($F31+$G31-1)),$H31/$G31,0),0)</f>
        <v>0</v>
      </c>
      <c r="K31" s="519">
        <f>IF(AND(ISNUMBER($F31),ISNUMBER($G31),ISNUMBER($H31)),IF(AND(K$15&gt;=$F31,K$15&lt;=YEAR('2. START'!$C$19),K$15&lt;=($F31+$G31-1)),$H31/$G31,0),0)</f>
        <v>0</v>
      </c>
      <c r="L31" s="519">
        <f>IF(AND(ISNUMBER($F31),ISNUMBER($G31),ISNUMBER($H31)),IF(AND(L$15&gt;=$F31,L$15&lt;=YEAR('2. START'!$C$19),L$15&lt;=($F31+$G31-1)),$H31/$G31,0),0)</f>
        <v>0</v>
      </c>
      <c r="M31" s="519">
        <f>IF(AND(ISNUMBER($F31),ISNUMBER($G31),ISNUMBER($H31)),IF(AND(M$15&gt;=$F31,M$15&lt;=YEAR('2. START'!$C$19),M$15&lt;=($F31+$G31-1)),$H31/$G31,0),0)</f>
        <v>0</v>
      </c>
      <c r="N31" s="519">
        <f>IF(AND(ISNUMBER($F31),ISNUMBER($G31),ISNUMBER($H31)),IF(AND(N$15&gt;=$F31,N$15&lt;=YEAR('2. START'!$C$19),N$15&lt;=($F31+$G31-1)),$H31/$G31,0),0)</f>
        <v>0</v>
      </c>
      <c r="O31" s="519">
        <f>IF(AND(ISNUMBER($F31),ISNUMBER($G31),ISNUMBER($H31)),IF(AND(O$15&gt;=$F31,O$15&lt;=YEAR('2. START'!$C$19),O$15&lt;=($F31+$G31-1)),$H31/$G31,0),0)</f>
        <v>0</v>
      </c>
      <c r="P31" s="519">
        <f>IF(AND(ISNUMBER($F31),ISNUMBER($G31),ISNUMBER($H31)),IF(AND(P$15&gt;=$F31,P$15&lt;=YEAR('2. START'!$C$19),P$15&lt;=($F31+$G31-1)),$H31/$G31,0),0)</f>
        <v>0</v>
      </c>
      <c r="Q31" s="519">
        <f>IF(AND(ISNUMBER($F31),ISNUMBER($G31),ISNUMBER($H31)),IF(AND(Q$15&gt;=$F31,Q$15&lt;=YEAR('2. START'!$C$19),Q$15&lt;=($F31+$G31-1)),$H31/$G31,0),0)</f>
        <v>0</v>
      </c>
      <c r="R31" s="519">
        <f>IF(AND(ISNUMBER($F31),ISNUMBER($G31),ISNUMBER($H31)),IF(AND(R$15&gt;=$F31,R$15&lt;=YEAR('2. START'!$C$19),R$15&lt;=($F31+$G31-1)),$H31/$G31,0),0)</f>
        <v>0</v>
      </c>
      <c r="S31" s="520">
        <f t="shared" si="10"/>
        <v>0</v>
      </c>
      <c r="U31" s="517">
        <f>IF('2. START'!C$13="PERSON+OPERATION+INVEST+FACILIT",'2. START'!C$12,0)</f>
        <v>0</v>
      </c>
      <c r="V31" s="557"/>
      <c r="W31" s="519">
        <f t="shared" si="11"/>
        <v>0</v>
      </c>
      <c r="X31" s="519">
        <f t="shared" si="12"/>
        <v>0</v>
      </c>
      <c r="Y31" s="519">
        <f t="shared" si="13"/>
        <v>0</v>
      </c>
      <c r="Z31" s="519">
        <f t="shared" si="14"/>
        <v>0</v>
      </c>
      <c r="AA31" s="519">
        <f t="shared" si="15"/>
        <v>0</v>
      </c>
      <c r="AB31" s="519">
        <f t="shared" si="16"/>
        <v>0</v>
      </c>
      <c r="AC31" s="519">
        <f t="shared" si="17"/>
        <v>0</v>
      </c>
      <c r="AD31" s="519">
        <f t="shared" si="18"/>
        <v>0</v>
      </c>
      <c r="AE31" s="519">
        <f t="shared" si="19"/>
        <v>0</v>
      </c>
      <c r="AF31" s="519">
        <f t="shared" si="20"/>
        <v>0</v>
      </c>
      <c r="AG31" s="520">
        <f t="shared" si="21"/>
        <v>0</v>
      </c>
      <c r="AI31" s="519">
        <f t="shared" si="22"/>
        <v>0</v>
      </c>
      <c r="AJ31" s="519">
        <f t="shared" si="23"/>
        <v>0</v>
      </c>
      <c r="AK31" s="519">
        <f t="shared" si="24"/>
        <v>0</v>
      </c>
      <c r="AL31" s="519">
        <f t="shared" si="25"/>
        <v>0</v>
      </c>
      <c r="AM31" s="519">
        <f t="shared" si="26"/>
        <v>0</v>
      </c>
      <c r="AN31" s="519">
        <f t="shared" si="27"/>
        <v>0</v>
      </c>
      <c r="AO31" s="519">
        <f t="shared" si="28"/>
        <v>0</v>
      </c>
      <c r="AP31" s="519">
        <f t="shared" si="29"/>
        <v>0</v>
      </c>
      <c r="AQ31" s="519">
        <f t="shared" si="30"/>
        <v>0</v>
      </c>
      <c r="AR31" s="519">
        <f t="shared" si="31"/>
        <v>0</v>
      </c>
      <c r="AS31" s="520">
        <f t="shared" si="32"/>
        <v>0</v>
      </c>
      <c r="AU31" s="519">
        <f t="shared" si="33"/>
        <v>0</v>
      </c>
      <c r="AV31" s="519">
        <f t="shared" si="34"/>
        <v>0</v>
      </c>
      <c r="AW31" s="519">
        <f t="shared" si="35"/>
        <v>0</v>
      </c>
      <c r="AX31" s="519">
        <f t="shared" si="36"/>
        <v>0</v>
      </c>
      <c r="AY31" s="519">
        <f t="shared" si="37"/>
        <v>0</v>
      </c>
      <c r="AZ31" s="519">
        <f t="shared" si="38"/>
        <v>0</v>
      </c>
      <c r="BA31" s="519">
        <f t="shared" si="39"/>
        <v>0</v>
      </c>
      <c r="BB31" s="519">
        <f t="shared" si="40"/>
        <v>0</v>
      </c>
      <c r="BC31" s="519">
        <f t="shared" si="41"/>
        <v>0</v>
      </c>
      <c r="BD31" s="519">
        <f t="shared" si="42"/>
        <v>0</v>
      </c>
      <c r="BE31" s="520">
        <f t="shared" si="43"/>
        <v>0</v>
      </c>
      <c r="BG31" s="519">
        <f t="shared" si="44"/>
        <v>0</v>
      </c>
      <c r="BH31" s="519">
        <f t="shared" si="45"/>
        <v>0</v>
      </c>
      <c r="BI31" s="519">
        <f t="shared" si="46"/>
        <v>0</v>
      </c>
      <c r="BJ31" s="519">
        <f t="shared" si="47"/>
        <v>0</v>
      </c>
      <c r="BK31" s="519">
        <f t="shared" si="48"/>
        <v>0</v>
      </c>
      <c r="BL31" s="519">
        <f t="shared" si="49"/>
        <v>0</v>
      </c>
      <c r="BM31" s="519">
        <f t="shared" si="50"/>
        <v>0</v>
      </c>
      <c r="BN31" s="519">
        <f t="shared" si="51"/>
        <v>0</v>
      </c>
      <c r="BO31" s="519">
        <f t="shared" si="52"/>
        <v>0</v>
      </c>
      <c r="BP31" s="519">
        <f t="shared" si="53"/>
        <v>0</v>
      </c>
      <c r="BQ31" s="520">
        <f t="shared" si="54"/>
        <v>0</v>
      </c>
    </row>
    <row r="32" spans="2:69" s="268" customFormat="1" ht="15" customHeight="1" x14ac:dyDescent="0.25">
      <c r="B32" s="446" t="str">
        <f>'2. START'!C$7</f>
        <v>100GEM</v>
      </c>
      <c r="C32" s="521"/>
      <c r="D32" s="592"/>
      <c r="E32" s="522">
        <v>0</v>
      </c>
      <c r="F32" s="561"/>
      <c r="G32" s="564"/>
      <c r="H32" s="567"/>
      <c r="I32" s="459">
        <f>IF(AND(ISNUMBER($F32),ISNUMBER($G32),ISNUMBER($H32)),IF(AND(I$15&gt;=$F32,I$15&lt;=YEAR('2. START'!$C$19),I$15&lt;=($F32+$G32-1)),$H32/$G32,0),0)</f>
        <v>0</v>
      </c>
      <c r="J32" s="459">
        <f>IF(AND(ISNUMBER($F32),ISNUMBER($G32),ISNUMBER($H32)),IF(AND(J$15&gt;=$F32,J$15&lt;=YEAR('2. START'!$C$19),J$15&lt;=($F32+$G32-1)),$H32/$G32,0),0)</f>
        <v>0</v>
      </c>
      <c r="K32" s="459">
        <f>IF(AND(ISNUMBER($F32),ISNUMBER($G32),ISNUMBER($H32)),IF(AND(K$15&gt;=$F32,K$15&lt;=YEAR('2. START'!$C$19),K$15&lt;=($F32+$G32-1)),$H32/$G32,0),0)</f>
        <v>0</v>
      </c>
      <c r="L32" s="459">
        <f>IF(AND(ISNUMBER($F32),ISNUMBER($G32),ISNUMBER($H32)),IF(AND(L$15&gt;=$F32,L$15&lt;=YEAR('2. START'!$C$19),L$15&lt;=($F32+$G32-1)),$H32/$G32,0),0)</f>
        <v>0</v>
      </c>
      <c r="M32" s="459">
        <f>IF(AND(ISNUMBER($F32),ISNUMBER($G32),ISNUMBER($H32)),IF(AND(M$15&gt;=$F32,M$15&lt;=YEAR('2. START'!$C$19),M$15&lt;=($F32+$G32-1)),$H32/$G32,0),0)</f>
        <v>0</v>
      </c>
      <c r="N32" s="459">
        <f>IF(AND(ISNUMBER($F32),ISNUMBER($G32),ISNUMBER($H32)),IF(AND(N$15&gt;=$F32,N$15&lt;=YEAR('2. START'!$C$19),N$15&lt;=($F32+$G32-1)),$H32/$G32,0),0)</f>
        <v>0</v>
      </c>
      <c r="O32" s="459">
        <f>IF(AND(ISNUMBER($F32),ISNUMBER($G32),ISNUMBER($H32)),IF(AND(O$15&gt;=$F32,O$15&lt;=YEAR('2. START'!$C$19),O$15&lt;=($F32+$G32-1)),$H32/$G32,0),0)</f>
        <v>0</v>
      </c>
      <c r="P32" s="459">
        <f>IF(AND(ISNUMBER($F32),ISNUMBER($G32),ISNUMBER($H32)),IF(AND(P$15&gt;=$F32,P$15&lt;=YEAR('2. START'!$C$19),P$15&lt;=($F32+$G32-1)),$H32/$G32,0),0)</f>
        <v>0</v>
      </c>
      <c r="Q32" s="459">
        <f>IF(AND(ISNUMBER($F32),ISNUMBER($G32),ISNUMBER($H32)),IF(AND(Q$15&gt;=$F32,Q$15&lt;=YEAR('2. START'!$C$19),Q$15&lt;=($F32+$G32-1)),$H32/$G32,0),0)</f>
        <v>0</v>
      </c>
      <c r="R32" s="459">
        <f>IF(AND(ISNUMBER($F32),ISNUMBER($G32),ISNUMBER($H32)),IF(AND(R$15&gt;=$F32,R$15&lt;=YEAR('2. START'!$C$19),R$15&lt;=($F32+$G32-1)),$H32/$G32,0),0)</f>
        <v>0</v>
      </c>
      <c r="S32" s="460">
        <f t="shared" si="10"/>
        <v>0</v>
      </c>
      <c r="T32" s="463"/>
      <c r="U32" s="454">
        <f>IF('2. START'!C$13="PERSON+OPERATION+INVEST+FACILIT",'2. START'!C$12,0)</f>
        <v>0</v>
      </c>
      <c r="V32" s="556"/>
      <c r="W32" s="459">
        <f t="shared" si="11"/>
        <v>0</v>
      </c>
      <c r="X32" s="459">
        <f t="shared" si="12"/>
        <v>0</v>
      </c>
      <c r="Y32" s="459">
        <f t="shared" si="13"/>
        <v>0</v>
      </c>
      <c r="Z32" s="459">
        <f t="shared" si="14"/>
        <v>0</v>
      </c>
      <c r="AA32" s="459">
        <f t="shared" si="15"/>
        <v>0</v>
      </c>
      <c r="AB32" s="459">
        <f t="shared" si="16"/>
        <v>0</v>
      </c>
      <c r="AC32" s="459">
        <f t="shared" si="17"/>
        <v>0</v>
      </c>
      <c r="AD32" s="459">
        <f t="shared" si="18"/>
        <v>0</v>
      </c>
      <c r="AE32" s="459">
        <f t="shared" si="19"/>
        <v>0</v>
      </c>
      <c r="AF32" s="459">
        <f t="shared" si="20"/>
        <v>0</v>
      </c>
      <c r="AG32" s="460">
        <f t="shared" si="21"/>
        <v>0</v>
      </c>
      <c r="AH32" s="463"/>
      <c r="AI32" s="459">
        <f t="shared" si="22"/>
        <v>0</v>
      </c>
      <c r="AJ32" s="459">
        <f t="shared" si="23"/>
        <v>0</v>
      </c>
      <c r="AK32" s="459">
        <f t="shared" si="24"/>
        <v>0</v>
      </c>
      <c r="AL32" s="459">
        <f t="shared" si="25"/>
        <v>0</v>
      </c>
      <c r="AM32" s="459">
        <f t="shared" si="26"/>
        <v>0</v>
      </c>
      <c r="AN32" s="459">
        <f t="shared" si="27"/>
        <v>0</v>
      </c>
      <c r="AO32" s="459">
        <f t="shared" si="28"/>
        <v>0</v>
      </c>
      <c r="AP32" s="459">
        <f t="shared" si="29"/>
        <v>0</v>
      </c>
      <c r="AQ32" s="459">
        <f t="shared" si="30"/>
        <v>0</v>
      </c>
      <c r="AR32" s="459">
        <f t="shared" si="31"/>
        <v>0</v>
      </c>
      <c r="AS32" s="460">
        <f t="shared" si="32"/>
        <v>0</v>
      </c>
      <c r="AT32" s="463"/>
      <c r="AU32" s="459">
        <f t="shared" si="33"/>
        <v>0</v>
      </c>
      <c r="AV32" s="459">
        <f t="shared" si="34"/>
        <v>0</v>
      </c>
      <c r="AW32" s="459">
        <f t="shared" si="35"/>
        <v>0</v>
      </c>
      <c r="AX32" s="459">
        <f t="shared" si="36"/>
        <v>0</v>
      </c>
      <c r="AY32" s="459">
        <f t="shared" si="37"/>
        <v>0</v>
      </c>
      <c r="AZ32" s="459">
        <f t="shared" si="38"/>
        <v>0</v>
      </c>
      <c r="BA32" s="459">
        <f t="shared" si="39"/>
        <v>0</v>
      </c>
      <c r="BB32" s="459">
        <f t="shared" si="40"/>
        <v>0</v>
      </c>
      <c r="BC32" s="459">
        <f t="shared" si="41"/>
        <v>0</v>
      </c>
      <c r="BD32" s="459">
        <f t="shared" si="42"/>
        <v>0</v>
      </c>
      <c r="BE32" s="460">
        <f t="shared" si="43"/>
        <v>0</v>
      </c>
      <c r="BF32" s="463"/>
      <c r="BG32" s="459">
        <f t="shared" si="44"/>
        <v>0</v>
      </c>
      <c r="BH32" s="459">
        <f t="shared" si="45"/>
        <v>0</v>
      </c>
      <c r="BI32" s="459">
        <f t="shared" si="46"/>
        <v>0</v>
      </c>
      <c r="BJ32" s="459">
        <f t="shared" si="47"/>
        <v>0</v>
      </c>
      <c r="BK32" s="459">
        <f t="shared" si="48"/>
        <v>0</v>
      </c>
      <c r="BL32" s="459">
        <f t="shared" si="49"/>
        <v>0</v>
      </c>
      <c r="BM32" s="459">
        <f t="shared" si="50"/>
        <v>0</v>
      </c>
      <c r="BN32" s="459">
        <f t="shared" si="51"/>
        <v>0</v>
      </c>
      <c r="BO32" s="459">
        <f t="shared" si="52"/>
        <v>0</v>
      </c>
      <c r="BP32" s="459">
        <f t="shared" si="53"/>
        <v>0</v>
      </c>
      <c r="BQ32" s="460">
        <f t="shared" si="54"/>
        <v>0</v>
      </c>
    </row>
    <row r="33" spans="2:69" s="268" customFormat="1" ht="15" customHeight="1" x14ac:dyDescent="0.25">
      <c r="B33" s="464" t="str">
        <f>'2. START'!C$7</f>
        <v>100GEM</v>
      </c>
      <c r="C33" s="526"/>
      <c r="D33" s="591"/>
      <c r="E33" s="527">
        <v>0</v>
      </c>
      <c r="F33" s="562"/>
      <c r="G33" s="565"/>
      <c r="H33" s="568"/>
      <c r="I33" s="519">
        <f>IF(AND(ISNUMBER($F33),ISNUMBER($G33),ISNUMBER($H33)),IF(AND(I$15&gt;=$F33,I$15&lt;=YEAR('2. START'!$C$19),I$15&lt;=($F33+$G33-1)),$H33/$G33,0),0)</f>
        <v>0</v>
      </c>
      <c r="J33" s="519">
        <f>IF(AND(ISNUMBER($F33),ISNUMBER($G33),ISNUMBER($H33)),IF(AND(J$15&gt;=$F33,J$15&lt;=YEAR('2. START'!$C$19),J$15&lt;=($F33+$G33-1)),$H33/$G33,0),0)</f>
        <v>0</v>
      </c>
      <c r="K33" s="519">
        <f>IF(AND(ISNUMBER($F33),ISNUMBER($G33),ISNUMBER($H33)),IF(AND(K$15&gt;=$F33,K$15&lt;=YEAR('2. START'!$C$19),K$15&lt;=($F33+$G33-1)),$H33/$G33,0),0)</f>
        <v>0</v>
      </c>
      <c r="L33" s="519">
        <f>IF(AND(ISNUMBER($F33),ISNUMBER($G33),ISNUMBER($H33)),IF(AND(L$15&gt;=$F33,L$15&lt;=YEAR('2. START'!$C$19),L$15&lt;=($F33+$G33-1)),$H33/$G33,0),0)</f>
        <v>0</v>
      </c>
      <c r="M33" s="519">
        <f>IF(AND(ISNUMBER($F33),ISNUMBER($G33),ISNUMBER($H33)),IF(AND(M$15&gt;=$F33,M$15&lt;=YEAR('2. START'!$C$19),M$15&lt;=($F33+$G33-1)),$H33/$G33,0),0)</f>
        <v>0</v>
      </c>
      <c r="N33" s="519">
        <f>IF(AND(ISNUMBER($F33),ISNUMBER($G33),ISNUMBER($H33)),IF(AND(N$15&gt;=$F33,N$15&lt;=YEAR('2. START'!$C$19),N$15&lt;=($F33+$G33-1)),$H33/$G33,0),0)</f>
        <v>0</v>
      </c>
      <c r="O33" s="519">
        <f>IF(AND(ISNUMBER($F33),ISNUMBER($G33),ISNUMBER($H33)),IF(AND(O$15&gt;=$F33,O$15&lt;=YEAR('2. START'!$C$19),O$15&lt;=($F33+$G33-1)),$H33/$G33,0),0)</f>
        <v>0</v>
      </c>
      <c r="P33" s="519">
        <f>IF(AND(ISNUMBER($F33),ISNUMBER($G33),ISNUMBER($H33)),IF(AND(P$15&gt;=$F33,P$15&lt;=YEAR('2. START'!$C$19),P$15&lt;=($F33+$G33-1)),$H33/$G33,0),0)</f>
        <v>0</v>
      </c>
      <c r="Q33" s="519">
        <f>IF(AND(ISNUMBER($F33),ISNUMBER($G33),ISNUMBER($H33)),IF(AND(Q$15&gt;=$F33,Q$15&lt;=YEAR('2. START'!$C$19),Q$15&lt;=($F33+$G33-1)),$H33/$G33,0),0)</f>
        <v>0</v>
      </c>
      <c r="R33" s="519">
        <f>IF(AND(ISNUMBER($F33),ISNUMBER($G33),ISNUMBER($H33)),IF(AND(R$15&gt;=$F33,R$15&lt;=YEAR('2. START'!$C$19),R$15&lt;=($F33+$G33-1)),$H33/$G33,0),0)</f>
        <v>0</v>
      </c>
      <c r="S33" s="520">
        <f t="shared" si="10"/>
        <v>0</v>
      </c>
      <c r="U33" s="517">
        <f>IF('2. START'!C$13="PERSON+OPERATION+INVEST+FACILIT",'2. START'!C$12,0)</f>
        <v>0</v>
      </c>
      <c r="V33" s="557"/>
      <c r="W33" s="519">
        <f t="shared" si="11"/>
        <v>0</v>
      </c>
      <c r="X33" s="519">
        <f t="shared" si="12"/>
        <v>0</v>
      </c>
      <c r="Y33" s="519">
        <f t="shared" si="13"/>
        <v>0</v>
      </c>
      <c r="Z33" s="519">
        <f t="shared" si="14"/>
        <v>0</v>
      </c>
      <c r="AA33" s="519">
        <f t="shared" si="15"/>
        <v>0</v>
      </c>
      <c r="AB33" s="519">
        <f t="shared" si="16"/>
        <v>0</v>
      </c>
      <c r="AC33" s="519">
        <f t="shared" si="17"/>
        <v>0</v>
      </c>
      <c r="AD33" s="519">
        <f t="shared" si="18"/>
        <v>0</v>
      </c>
      <c r="AE33" s="519">
        <f t="shared" si="19"/>
        <v>0</v>
      </c>
      <c r="AF33" s="519">
        <f t="shared" si="20"/>
        <v>0</v>
      </c>
      <c r="AG33" s="520">
        <f t="shared" si="21"/>
        <v>0</v>
      </c>
      <c r="AI33" s="519">
        <f t="shared" si="22"/>
        <v>0</v>
      </c>
      <c r="AJ33" s="519">
        <f t="shared" si="23"/>
        <v>0</v>
      </c>
      <c r="AK33" s="519">
        <f t="shared" si="24"/>
        <v>0</v>
      </c>
      <c r="AL33" s="519">
        <f t="shared" si="25"/>
        <v>0</v>
      </c>
      <c r="AM33" s="519">
        <f t="shared" si="26"/>
        <v>0</v>
      </c>
      <c r="AN33" s="519">
        <f t="shared" si="27"/>
        <v>0</v>
      </c>
      <c r="AO33" s="519">
        <f t="shared" si="28"/>
        <v>0</v>
      </c>
      <c r="AP33" s="519">
        <f t="shared" si="29"/>
        <v>0</v>
      </c>
      <c r="AQ33" s="519">
        <f t="shared" si="30"/>
        <v>0</v>
      </c>
      <c r="AR33" s="519">
        <f t="shared" si="31"/>
        <v>0</v>
      </c>
      <c r="AS33" s="520">
        <f t="shared" si="32"/>
        <v>0</v>
      </c>
      <c r="AU33" s="519">
        <f t="shared" si="33"/>
        <v>0</v>
      </c>
      <c r="AV33" s="519">
        <f t="shared" si="34"/>
        <v>0</v>
      </c>
      <c r="AW33" s="519">
        <f t="shared" si="35"/>
        <v>0</v>
      </c>
      <c r="AX33" s="519">
        <f t="shared" si="36"/>
        <v>0</v>
      </c>
      <c r="AY33" s="519">
        <f t="shared" si="37"/>
        <v>0</v>
      </c>
      <c r="AZ33" s="519">
        <f t="shared" si="38"/>
        <v>0</v>
      </c>
      <c r="BA33" s="519">
        <f t="shared" si="39"/>
        <v>0</v>
      </c>
      <c r="BB33" s="519">
        <f t="shared" si="40"/>
        <v>0</v>
      </c>
      <c r="BC33" s="519">
        <f t="shared" si="41"/>
        <v>0</v>
      </c>
      <c r="BD33" s="519">
        <f t="shared" si="42"/>
        <v>0</v>
      </c>
      <c r="BE33" s="520">
        <f t="shared" si="43"/>
        <v>0</v>
      </c>
      <c r="BG33" s="519">
        <f t="shared" si="44"/>
        <v>0</v>
      </c>
      <c r="BH33" s="519">
        <f t="shared" si="45"/>
        <v>0</v>
      </c>
      <c r="BI33" s="519">
        <f t="shared" si="46"/>
        <v>0</v>
      </c>
      <c r="BJ33" s="519">
        <f t="shared" si="47"/>
        <v>0</v>
      </c>
      <c r="BK33" s="519">
        <f t="shared" si="48"/>
        <v>0</v>
      </c>
      <c r="BL33" s="519">
        <f t="shared" si="49"/>
        <v>0</v>
      </c>
      <c r="BM33" s="519">
        <f t="shared" si="50"/>
        <v>0</v>
      </c>
      <c r="BN33" s="519">
        <f t="shared" si="51"/>
        <v>0</v>
      </c>
      <c r="BO33" s="519">
        <f t="shared" si="52"/>
        <v>0</v>
      </c>
      <c r="BP33" s="519">
        <f t="shared" si="53"/>
        <v>0</v>
      </c>
      <c r="BQ33" s="520">
        <f t="shared" si="54"/>
        <v>0</v>
      </c>
    </row>
    <row r="34" spans="2:69" s="268" customFormat="1" ht="15" customHeight="1" x14ac:dyDescent="0.25">
      <c r="B34" s="446" t="str">
        <f>'2. START'!C$7</f>
        <v>100GEM</v>
      </c>
      <c r="C34" s="521"/>
      <c r="D34" s="592"/>
      <c r="E34" s="522">
        <v>0</v>
      </c>
      <c r="F34" s="561"/>
      <c r="G34" s="564"/>
      <c r="H34" s="567"/>
      <c r="I34" s="459">
        <f>IF(AND(ISNUMBER($F34),ISNUMBER($G34),ISNUMBER($H34)),IF(AND(I$15&gt;=$F34,I$15&lt;=YEAR('2. START'!$C$19),I$15&lt;=($F34+$G34-1)),$H34/$G34,0),0)</f>
        <v>0</v>
      </c>
      <c r="J34" s="459">
        <f>IF(AND(ISNUMBER($F34),ISNUMBER($G34),ISNUMBER($H34)),IF(AND(J$15&gt;=$F34,J$15&lt;=YEAR('2. START'!$C$19),J$15&lt;=($F34+$G34-1)),$H34/$G34,0),0)</f>
        <v>0</v>
      </c>
      <c r="K34" s="459">
        <f>IF(AND(ISNUMBER($F34),ISNUMBER($G34),ISNUMBER($H34)),IF(AND(K$15&gt;=$F34,K$15&lt;=YEAR('2. START'!$C$19),K$15&lt;=($F34+$G34-1)),$H34/$G34,0),0)</f>
        <v>0</v>
      </c>
      <c r="L34" s="459">
        <f>IF(AND(ISNUMBER($F34),ISNUMBER($G34),ISNUMBER($H34)),IF(AND(L$15&gt;=$F34,L$15&lt;=YEAR('2. START'!$C$19),L$15&lt;=($F34+$G34-1)),$H34/$G34,0),0)</f>
        <v>0</v>
      </c>
      <c r="M34" s="459">
        <f>IF(AND(ISNUMBER($F34),ISNUMBER($G34),ISNUMBER($H34)),IF(AND(M$15&gt;=$F34,M$15&lt;=YEAR('2. START'!$C$19),M$15&lt;=($F34+$G34-1)),$H34/$G34,0),0)</f>
        <v>0</v>
      </c>
      <c r="N34" s="459">
        <f>IF(AND(ISNUMBER($F34),ISNUMBER($G34),ISNUMBER($H34)),IF(AND(N$15&gt;=$F34,N$15&lt;=YEAR('2. START'!$C$19),N$15&lt;=($F34+$G34-1)),$H34/$G34,0),0)</f>
        <v>0</v>
      </c>
      <c r="O34" s="459">
        <f>IF(AND(ISNUMBER($F34),ISNUMBER($G34),ISNUMBER($H34)),IF(AND(O$15&gt;=$F34,O$15&lt;=YEAR('2. START'!$C$19),O$15&lt;=($F34+$G34-1)),$H34/$G34,0),0)</f>
        <v>0</v>
      </c>
      <c r="P34" s="459">
        <f>IF(AND(ISNUMBER($F34),ISNUMBER($G34),ISNUMBER($H34)),IF(AND(P$15&gt;=$F34,P$15&lt;=YEAR('2. START'!$C$19),P$15&lt;=($F34+$G34-1)),$H34/$G34,0),0)</f>
        <v>0</v>
      </c>
      <c r="Q34" s="459">
        <f>IF(AND(ISNUMBER($F34),ISNUMBER($G34),ISNUMBER($H34)),IF(AND(Q$15&gt;=$F34,Q$15&lt;=YEAR('2. START'!$C$19),Q$15&lt;=($F34+$G34-1)),$H34/$G34,0),0)</f>
        <v>0</v>
      </c>
      <c r="R34" s="459">
        <f>IF(AND(ISNUMBER($F34),ISNUMBER($G34),ISNUMBER($H34)),IF(AND(R$15&gt;=$F34,R$15&lt;=YEAR('2. START'!$C$19),R$15&lt;=($F34+$G34-1)),$H34/$G34,0),0)</f>
        <v>0</v>
      </c>
      <c r="S34" s="460">
        <f t="shared" si="10"/>
        <v>0</v>
      </c>
      <c r="T34" s="463"/>
      <c r="U34" s="454">
        <f>IF('2. START'!C$13="PERSON+OPERATION+INVEST+FACILIT",'2. START'!C$12,0)</f>
        <v>0</v>
      </c>
      <c r="V34" s="556"/>
      <c r="W34" s="459">
        <f t="shared" si="11"/>
        <v>0</v>
      </c>
      <c r="X34" s="459">
        <f t="shared" si="12"/>
        <v>0</v>
      </c>
      <c r="Y34" s="459">
        <f t="shared" si="13"/>
        <v>0</v>
      </c>
      <c r="Z34" s="459">
        <f t="shared" si="14"/>
        <v>0</v>
      </c>
      <c r="AA34" s="459">
        <f t="shared" si="15"/>
        <v>0</v>
      </c>
      <c r="AB34" s="459">
        <f t="shared" si="16"/>
        <v>0</v>
      </c>
      <c r="AC34" s="459">
        <f t="shared" si="17"/>
        <v>0</v>
      </c>
      <c r="AD34" s="459">
        <f t="shared" si="18"/>
        <v>0</v>
      </c>
      <c r="AE34" s="459">
        <f t="shared" si="19"/>
        <v>0</v>
      </c>
      <c r="AF34" s="459">
        <f t="shared" si="20"/>
        <v>0</v>
      </c>
      <c r="AG34" s="460">
        <f t="shared" si="21"/>
        <v>0</v>
      </c>
      <c r="AH34" s="463"/>
      <c r="AI34" s="459">
        <f t="shared" si="22"/>
        <v>0</v>
      </c>
      <c r="AJ34" s="459">
        <f t="shared" si="23"/>
        <v>0</v>
      </c>
      <c r="AK34" s="459">
        <f t="shared" si="24"/>
        <v>0</v>
      </c>
      <c r="AL34" s="459">
        <f t="shared" si="25"/>
        <v>0</v>
      </c>
      <c r="AM34" s="459">
        <f t="shared" si="26"/>
        <v>0</v>
      </c>
      <c r="AN34" s="459">
        <f t="shared" si="27"/>
        <v>0</v>
      </c>
      <c r="AO34" s="459">
        <f t="shared" si="28"/>
        <v>0</v>
      </c>
      <c r="AP34" s="459">
        <f t="shared" si="29"/>
        <v>0</v>
      </c>
      <c r="AQ34" s="459">
        <f t="shared" si="30"/>
        <v>0</v>
      </c>
      <c r="AR34" s="459">
        <f t="shared" si="31"/>
        <v>0</v>
      </c>
      <c r="AS34" s="460">
        <f t="shared" si="32"/>
        <v>0</v>
      </c>
      <c r="AT34" s="463"/>
      <c r="AU34" s="459">
        <f t="shared" si="33"/>
        <v>0</v>
      </c>
      <c r="AV34" s="459">
        <f t="shared" si="34"/>
        <v>0</v>
      </c>
      <c r="AW34" s="459">
        <f t="shared" si="35"/>
        <v>0</v>
      </c>
      <c r="AX34" s="459">
        <f t="shared" si="36"/>
        <v>0</v>
      </c>
      <c r="AY34" s="459">
        <f t="shared" si="37"/>
        <v>0</v>
      </c>
      <c r="AZ34" s="459">
        <f t="shared" si="38"/>
        <v>0</v>
      </c>
      <c r="BA34" s="459">
        <f t="shared" si="39"/>
        <v>0</v>
      </c>
      <c r="BB34" s="459">
        <f t="shared" si="40"/>
        <v>0</v>
      </c>
      <c r="BC34" s="459">
        <f t="shared" si="41"/>
        <v>0</v>
      </c>
      <c r="BD34" s="459">
        <f t="shared" si="42"/>
        <v>0</v>
      </c>
      <c r="BE34" s="460">
        <f t="shared" si="43"/>
        <v>0</v>
      </c>
      <c r="BF34" s="463"/>
      <c r="BG34" s="459">
        <f t="shared" si="44"/>
        <v>0</v>
      </c>
      <c r="BH34" s="459">
        <f t="shared" si="45"/>
        <v>0</v>
      </c>
      <c r="BI34" s="459">
        <f t="shared" si="46"/>
        <v>0</v>
      </c>
      <c r="BJ34" s="459">
        <f t="shared" si="47"/>
        <v>0</v>
      </c>
      <c r="BK34" s="459">
        <f t="shared" si="48"/>
        <v>0</v>
      </c>
      <c r="BL34" s="459">
        <f t="shared" si="49"/>
        <v>0</v>
      </c>
      <c r="BM34" s="459">
        <f t="shared" si="50"/>
        <v>0</v>
      </c>
      <c r="BN34" s="459">
        <f t="shared" si="51"/>
        <v>0</v>
      </c>
      <c r="BO34" s="459">
        <f t="shared" si="52"/>
        <v>0</v>
      </c>
      <c r="BP34" s="459">
        <f t="shared" si="53"/>
        <v>0</v>
      </c>
      <c r="BQ34" s="460">
        <f t="shared" si="54"/>
        <v>0</v>
      </c>
    </row>
    <row r="35" spans="2:69" s="268" customFormat="1" ht="15" customHeight="1" x14ac:dyDescent="0.25">
      <c r="B35" s="464" t="str">
        <f>'2. START'!C$7</f>
        <v>100GEM</v>
      </c>
      <c r="C35" s="470"/>
      <c r="D35" s="593"/>
      <c r="E35" s="527">
        <v>0</v>
      </c>
      <c r="F35" s="562"/>
      <c r="G35" s="565"/>
      <c r="H35" s="568"/>
      <c r="I35" s="519">
        <f>IF(AND(ISNUMBER($F35),ISNUMBER($G35),ISNUMBER($H35)),IF(AND(I$15&gt;=$F35,I$15&lt;=YEAR('2. START'!$C$19),I$15&lt;=($F35+$G35-1)),$H35/$G35,0),0)</f>
        <v>0</v>
      </c>
      <c r="J35" s="519">
        <f>IF(AND(ISNUMBER($F35),ISNUMBER($G35),ISNUMBER($H35)),IF(AND(J$15&gt;=$F35,J$15&lt;=YEAR('2. START'!$C$19),J$15&lt;=($F35+$G35-1)),$H35/$G35,0),0)</f>
        <v>0</v>
      </c>
      <c r="K35" s="519">
        <f>IF(AND(ISNUMBER($F35),ISNUMBER($G35),ISNUMBER($H35)),IF(AND(K$15&gt;=$F35,K$15&lt;=YEAR('2. START'!$C$19),K$15&lt;=($F35+$G35-1)),$H35/$G35,0),0)</f>
        <v>0</v>
      </c>
      <c r="L35" s="519">
        <f>IF(AND(ISNUMBER($F35),ISNUMBER($G35),ISNUMBER($H35)),IF(AND(L$15&gt;=$F35,L$15&lt;=YEAR('2. START'!$C$19),L$15&lt;=($F35+$G35-1)),$H35/$G35,0),0)</f>
        <v>0</v>
      </c>
      <c r="M35" s="519">
        <f>IF(AND(ISNUMBER($F35),ISNUMBER($G35),ISNUMBER($H35)),IF(AND(M$15&gt;=$F35,M$15&lt;=YEAR('2. START'!$C$19),M$15&lt;=($F35+$G35-1)),$H35/$G35,0),0)</f>
        <v>0</v>
      </c>
      <c r="N35" s="519">
        <f>IF(AND(ISNUMBER($F35),ISNUMBER($G35),ISNUMBER($H35)),IF(AND(N$15&gt;=$F35,N$15&lt;=YEAR('2. START'!$C$19),N$15&lt;=($F35+$G35-1)),$H35/$G35,0),0)</f>
        <v>0</v>
      </c>
      <c r="O35" s="519">
        <f>IF(AND(ISNUMBER($F35),ISNUMBER($G35),ISNUMBER($H35)),IF(AND(O$15&gt;=$F35,O$15&lt;=YEAR('2. START'!$C$19),O$15&lt;=($F35+$G35-1)),$H35/$G35,0),0)</f>
        <v>0</v>
      </c>
      <c r="P35" s="519">
        <f>IF(AND(ISNUMBER($F35),ISNUMBER($G35),ISNUMBER($H35)),IF(AND(P$15&gt;=$F35,P$15&lt;=YEAR('2. START'!$C$19),P$15&lt;=($F35+$G35-1)),$H35/$G35,0),0)</f>
        <v>0</v>
      </c>
      <c r="Q35" s="519">
        <f>IF(AND(ISNUMBER($F35),ISNUMBER($G35),ISNUMBER($H35)),IF(AND(Q$15&gt;=$F35,Q$15&lt;=YEAR('2. START'!$C$19),Q$15&lt;=($F35+$G35-1)),$H35/$G35,0),0)</f>
        <v>0</v>
      </c>
      <c r="R35" s="519">
        <f>IF(AND(ISNUMBER($F35),ISNUMBER($G35),ISNUMBER($H35)),IF(AND(R$15&gt;=$F35,R$15&lt;=YEAR('2. START'!$C$19),R$15&lt;=($F35+$G35-1)),$H35/$G35,0),0)</f>
        <v>0</v>
      </c>
      <c r="S35" s="520">
        <f t="shared" si="10"/>
        <v>0</v>
      </c>
      <c r="U35" s="517">
        <f>IF('2. START'!C$13="PERSON+OPERATION+INVEST+FACILIT",'2. START'!C$12,0)</f>
        <v>0</v>
      </c>
      <c r="V35" s="557"/>
      <c r="W35" s="519">
        <f t="shared" si="11"/>
        <v>0</v>
      </c>
      <c r="X35" s="519">
        <f t="shared" si="12"/>
        <v>0</v>
      </c>
      <c r="Y35" s="519">
        <f t="shared" si="13"/>
        <v>0</v>
      </c>
      <c r="Z35" s="519">
        <f t="shared" si="14"/>
        <v>0</v>
      </c>
      <c r="AA35" s="519">
        <f t="shared" si="15"/>
        <v>0</v>
      </c>
      <c r="AB35" s="519">
        <f t="shared" si="16"/>
        <v>0</v>
      </c>
      <c r="AC35" s="519">
        <f t="shared" si="17"/>
        <v>0</v>
      </c>
      <c r="AD35" s="519">
        <f t="shared" si="18"/>
        <v>0</v>
      </c>
      <c r="AE35" s="519">
        <f t="shared" si="19"/>
        <v>0</v>
      </c>
      <c r="AF35" s="519">
        <f t="shared" si="20"/>
        <v>0</v>
      </c>
      <c r="AG35" s="520">
        <f t="shared" si="21"/>
        <v>0</v>
      </c>
      <c r="AI35" s="519">
        <f t="shared" si="22"/>
        <v>0</v>
      </c>
      <c r="AJ35" s="519">
        <f t="shared" si="23"/>
        <v>0</v>
      </c>
      <c r="AK35" s="519">
        <f t="shared" si="24"/>
        <v>0</v>
      </c>
      <c r="AL35" s="519">
        <f t="shared" si="25"/>
        <v>0</v>
      </c>
      <c r="AM35" s="519">
        <f t="shared" si="26"/>
        <v>0</v>
      </c>
      <c r="AN35" s="519">
        <f t="shared" si="27"/>
        <v>0</v>
      </c>
      <c r="AO35" s="519">
        <f t="shared" si="28"/>
        <v>0</v>
      </c>
      <c r="AP35" s="519">
        <f t="shared" si="29"/>
        <v>0</v>
      </c>
      <c r="AQ35" s="519">
        <f t="shared" si="30"/>
        <v>0</v>
      </c>
      <c r="AR35" s="519">
        <f t="shared" si="31"/>
        <v>0</v>
      </c>
      <c r="AS35" s="520">
        <f t="shared" si="32"/>
        <v>0</v>
      </c>
      <c r="AU35" s="519">
        <f t="shared" si="33"/>
        <v>0</v>
      </c>
      <c r="AV35" s="519">
        <f t="shared" si="34"/>
        <v>0</v>
      </c>
      <c r="AW35" s="519">
        <f t="shared" si="35"/>
        <v>0</v>
      </c>
      <c r="AX35" s="519">
        <f t="shared" si="36"/>
        <v>0</v>
      </c>
      <c r="AY35" s="519">
        <f t="shared" si="37"/>
        <v>0</v>
      </c>
      <c r="AZ35" s="519">
        <f t="shared" si="38"/>
        <v>0</v>
      </c>
      <c r="BA35" s="519">
        <f t="shared" si="39"/>
        <v>0</v>
      </c>
      <c r="BB35" s="519">
        <f t="shared" si="40"/>
        <v>0</v>
      </c>
      <c r="BC35" s="519">
        <f t="shared" si="41"/>
        <v>0</v>
      </c>
      <c r="BD35" s="519">
        <f t="shared" si="42"/>
        <v>0</v>
      </c>
      <c r="BE35" s="520">
        <f t="shared" si="43"/>
        <v>0</v>
      </c>
      <c r="BG35" s="519">
        <f t="shared" si="44"/>
        <v>0</v>
      </c>
      <c r="BH35" s="519">
        <f t="shared" si="45"/>
        <v>0</v>
      </c>
      <c r="BI35" s="519">
        <f t="shared" si="46"/>
        <v>0</v>
      </c>
      <c r="BJ35" s="519">
        <f t="shared" si="47"/>
        <v>0</v>
      </c>
      <c r="BK35" s="519">
        <f t="shared" si="48"/>
        <v>0</v>
      </c>
      <c r="BL35" s="519">
        <f t="shared" si="49"/>
        <v>0</v>
      </c>
      <c r="BM35" s="519">
        <f t="shared" si="50"/>
        <v>0</v>
      </c>
      <c r="BN35" s="519">
        <f t="shared" si="51"/>
        <v>0</v>
      </c>
      <c r="BO35" s="519">
        <f t="shared" si="52"/>
        <v>0</v>
      </c>
      <c r="BP35" s="519">
        <f t="shared" si="53"/>
        <v>0</v>
      </c>
      <c r="BQ35" s="520">
        <f t="shared" si="54"/>
        <v>0</v>
      </c>
    </row>
    <row r="36" spans="2:69" s="268" customFormat="1" ht="15" customHeight="1" x14ac:dyDescent="0.25">
      <c r="B36" s="446" t="str">
        <f>'2. START'!C$7</f>
        <v>100GEM</v>
      </c>
      <c r="C36" s="469"/>
      <c r="D36" s="594"/>
      <c r="E36" s="522">
        <v>0</v>
      </c>
      <c r="F36" s="561"/>
      <c r="G36" s="564"/>
      <c r="H36" s="567"/>
      <c r="I36" s="459">
        <f>IF(AND(ISNUMBER($F36),ISNUMBER($G36),ISNUMBER($H36)),IF(AND(I$15&gt;=$F36,I$15&lt;=YEAR('2. START'!$C$19),I$15&lt;=($F36+$G36-1)),$H36/$G36,0),0)</f>
        <v>0</v>
      </c>
      <c r="J36" s="459">
        <f>IF(AND(ISNUMBER($F36),ISNUMBER($G36),ISNUMBER($H36)),IF(AND(J$15&gt;=$F36,J$15&lt;=YEAR('2. START'!$C$19),J$15&lt;=($F36+$G36-1)),$H36/$G36,0),0)</f>
        <v>0</v>
      </c>
      <c r="K36" s="459">
        <f>IF(AND(ISNUMBER($F36),ISNUMBER($G36),ISNUMBER($H36)),IF(AND(K$15&gt;=$F36,K$15&lt;=YEAR('2. START'!$C$19),K$15&lt;=($F36+$G36-1)),$H36/$G36,0),0)</f>
        <v>0</v>
      </c>
      <c r="L36" s="459">
        <f>IF(AND(ISNUMBER($F36),ISNUMBER($G36),ISNUMBER($H36)),IF(AND(L$15&gt;=$F36,L$15&lt;=YEAR('2. START'!$C$19),L$15&lt;=($F36+$G36-1)),$H36/$G36,0),0)</f>
        <v>0</v>
      </c>
      <c r="M36" s="459">
        <f>IF(AND(ISNUMBER($F36),ISNUMBER($G36),ISNUMBER($H36)),IF(AND(M$15&gt;=$F36,M$15&lt;=YEAR('2. START'!$C$19),M$15&lt;=($F36+$G36-1)),$H36/$G36,0),0)</f>
        <v>0</v>
      </c>
      <c r="N36" s="459">
        <f>IF(AND(ISNUMBER($F36),ISNUMBER($G36),ISNUMBER($H36)),IF(AND(N$15&gt;=$F36,N$15&lt;=YEAR('2. START'!$C$19),N$15&lt;=($F36+$G36-1)),$H36/$G36,0),0)</f>
        <v>0</v>
      </c>
      <c r="O36" s="459">
        <f>IF(AND(ISNUMBER($F36),ISNUMBER($G36),ISNUMBER($H36)),IF(AND(O$15&gt;=$F36,O$15&lt;=YEAR('2. START'!$C$19),O$15&lt;=($F36+$G36-1)),$H36/$G36,0),0)</f>
        <v>0</v>
      </c>
      <c r="P36" s="459">
        <f>IF(AND(ISNUMBER($F36),ISNUMBER($G36),ISNUMBER($H36)),IF(AND(P$15&gt;=$F36,P$15&lt;=YEAR('2. START'!$C$19),P$15&lt;=($F36+$G36-1)),$H36/$G36,0),0)</f>
        <v>0</v>
      </c>
      <c r="Q36" s="459">
        <f>IF(AND(ISNUMBER($F36),ISNUMBER($G36),ISNUMBER($H36)),IF(AND(Q$15&gt;=$F36,Q$15&lt;=YEAR('2. START'!$C$19),Q$15&lt;=($F36+$G36-1)),$H36/$G36,0),0)</f>
        <v>0</v>
      </c>
      <c r="R36" s="459">
        <f>IF(AND(ISNUMBER($F36),ISNUMBER($G36),ISNUMBER($H36)),IF(AND(R$15&gt;=$F36,R$15&lt;=YEAR('2. START'!$C$19),R$15&lt;=($F36+$G36-1)),$H36/$G36,0),0)</f>
        <v>0</v>
      </c>
      <c r="S36" s="460">
        <f t="shared" si="10"/>
        <v>0</v>
      </c>
      <c r="T36" s="463"/>
      <c r="U36" s="454">
        <f>IF('2. START'!C$13="PERSON+OPERATION+INVEST+FACILIT",'2. START'!C$12,0)</f>
        <v>0</v>
      </c>
      <c r="V36" s="556"/>
      <c r="W36" s="459">
        <f t="shared" si="11"/>
        <v>0</v>
      </c>
      <c r="X36" s="459">
        <f t="shared" si="12"/>
        <v>0</v>
      </c>
      <c r="Y36" s="459">
        <f t="shared" si="13"/>
        <v>0</v>
      </c>
      <c r="Z36" s="459">
        <f t="shared" si="14"/>
        <v>0</v>
      </c>
      <c r="AA36" s="459">
        <f t="shared" si="15"/>
        <v>0</v>
      </c>
      <c r="AB36" s="459">
        <f t="shared" si="16"/>
        <v>0</v>
      </c>
      <c r="AC36" s="459">
        <f t="shared" si="17"/>
        <v>0</v>
      </c>
      <c r="AD36" s="459">
        <f t="shared" si="18"/>
        <v>0</v>
      </c>
      <c r="AE36" s="459">
        <f t="shared" si="19"/>
        <v>0</v>
      </c>
      <c r="AF36" s="459">
        <f t="shared" si="20"/>
        <v>0</v>
      </c>
      <c r="AG36" s="460">
        <f t="shared" si="21"/>
        <v>0</v>
      </c>
      <c r="AH36" s="463"/>
      <c r="AI36" s="459">
        <f t="shared" si="22"/>
        <v>0</v>
      </c>
      <c r="AJ36" s="459">
        <f t="shared" si="23"/>
        <v>0</v>
      </c>
      <c r="AK36" s="459">
        <f t="shared" si="24"/>
        <v>0</v>
      </c>
      <c r="AL36" s="459">
        <f t="shared" si="25"/>
        <v>0</v>
      </c>
      <c r="AM36" s="459">
        <f t="shared" si="26"/>
        <v>0</v>
      </c>
      <c r="AN36" s="459">
        <f t="shared" si="27"/>
        <v>0</v>
      </c>
      <c r="AO36" s="459">
        <f t="shared" si="28"/>
        <v>0</v>
      </c>
      <c r="AP36" s="459">
        <f t="shared" si="29"/>
        <v>0</v>
      </c>
      <c r="AQ36" s="459">
        <f t="shared" si="30"/>
        <v>0</v>
      </c>
      <c r="AR36" s="459">
        <f t="shared" si="31"/>
        <v>0</v>
      </c>
      <c r="AS36" s="460">
        <f t="shared" si="32"/>
        <v>0</v>
      </c>
      <c r="AT36" s="463"/>
      <c r="AU36" s="459">
        <f t="shared" si="33"/>
        <v>0</v>
      </c>
      <c r="AV36" s="459">
        <f t="shared" si="34"/>
        <v>0</v>
      </c>
      <c r="AW36" s="459">
        <f t="shared" si="35"/>
        <v>0</v>
      </c>
      <c r="AX36" s="459">
        <f t="shared" si="36"/>
        <v>0</v>
      </c>
      <c r="AY36" s="459">
        <f t="shared" si="37"/>
        <v>0</v>
      </c>
      <c r="AZ36" s="459">
        <f t="shared" si="38"/>
        <v>0</v>
      </c>
      <c r="BA36" s="459">
        <f t="shared" si="39"/>
        <v>0</v>
      </c>
      <c r="BB36" s="459">
        <f t="shared" si="40"/>
        <v>0</v>
      </c>
      <c r="BC36" s="459">
        <f t="shared" si="41"/>
        <v>0</v>
      </c>
      <c r="BD36" s="459">
        <f t="shared" si="42"/>
        <v>0</v>
      </c>
      <c r="BE36" s="460">
        <f t="shared" si="43"/>
        <v>0</v>
      </c>
      <c r="BF36" s="463"/>
      <c r="BG36" s="459">
        <f t="shared" si="44"/>
        <v>0</v>
      </c>
      <c r="BH36" s="459">
        <f t="shared" si="45"/>
        <v>0</v>
      </c>
      <c r="BI36" s="459">
        <f t="shared" si="46"/>
        <v>0</v>
      </c>
      <c r="BJ36" s="459">
        <f t="shared" si="47"/>
        <v>0</v>
      </c>
      <c r="BK36" s="459">
        <f t="shared" si="48"/>
        <v>0</v>
      </c>
      <c r="BL36" s="459">
        <f t="shared" si="49"/>
        <v>0</v>
      </c>
      <c r="BM36" s="459">
        <f t="shared" si="50"/>
        <v>0</v>
      </c>
      <c r="BN36" s="459">
        <f t="shared" si="51"/>
        <v>0</v>
      </c>
      <c r="BO36" s="459">
        <f t="shared" si="52"/>
        <v>0</v>
      </c>
      <c r="BP36" s="459">
        <f t="shared" si="53"/>
        <v>0</v>
      </c>
      <c r="BQ36" s="460">
        <f t="shared" si="54"/>
        <v>0</v>
      </c>
    </row>
    <row r="37" spans="2:69" s="268" customFormat="1" ht="15" customHeight="1" x14ac:dyDescent="0.25">
      <c r="B37" s="464" t="str">
        <f>'2. START'!C$7</f>
        <v>100GEM</v>
      </c>
      <c r="C37" s="470"/>
      <c r="D37" s="593"/>
      <c r="E37" s="527">
        <v>0</v>
      </c>
      <c r="F37" s="562"/>
      <c r="G37" s="565"/>
      <c r="H37" s="568"/>
      <c r="I37" s="519">
        <f>IF(AND(ISNUMBER($F37),ISNUMBER($G37),ISNUMBER($H37)),IF(AND(I$15&gt;=$F37,I$15&lt;=YEAR('2. START'!$C$19),I$15&lt;=($F37+$G37-1)),$H37/$G37,0),0)</f>
        <v>0</v>
      </c>
      <c r="J37" s="519">
        <f>IF(AND(ISNUMBER($F37),ISNUMBER($G37),ISNUMBER($H37)),IF(AND(J$15&gt;=$F37,J$15&lt;=YEAR('2. START'!$C$19),J$15&lt;=($F37+$G37-1)),$H37/$G37,0),0)</f>
        <v>0</v>
      </c>
      <c r="K37" s="519">
        <f>IF(AND(ISNUMBER($F37),ISNUMBER($G37),ISNUMBER($H37)),IF(AND(K$15&gt;=$F37,K$15&lt;=YEAR('2. START'!$C$19),K$15&lt;=($F37+$G37-1)),$H37/$G37,0),0)</f>
        <v>0</v>
      </c>
      <c r="L37" s="519">
        <f>IF(AND(ISNUMBER($F37),ISNUMBER($G37),ISNUMBER($H37)),IF(AND(L$15&gt;=$F37,L$15&lt;=YEAR('2. START'!$C$19),L$15&lt;=($F37+$G37-1)),$H37/$G37,0),0)</f>
        <v>0</v>
      </c>
      <c r="M37" s="519">
        <f>IF(AND(ISNUMBER($F37),ISNUMBER($G37),ISNUMBER($H37)),IF(AND(M$15&gt;=$F37,M$15&lt;=YEAR('2. START'!$C$19),M$15&lt;=($F37+$G37-1)),$H37/$G37,0),0)</f>
        <v>0</v>
      </c>
      <c r="N37" s="519">
        <f>IF(AND(ISNUMBER($F37),ISNUMBER($G37),ISNUMBER($H37)),IF(AND(N$15&gt;=$F37,N$15&lt;=YEAR('2. START'!$C$19),N$15&lt;=($F37+$G37-1)),$H37/$G37,0),0)</f>
        <v>0</v>
      </c>
      <c r="O37" s="519">
        <f>IF(AND(ISNUMBER($F37),ISNUMBER($G37),ISNUMBER($H37)),IF(AND(O$15&gt;=$F37,O$15&lt;=YEAR('2. START'!$C$19),O$15&lt;=($F37+$G37-1)),$H37/$G37,0),0)</f>
        <v>0</v>
      </c>
      <c r="P37" s="519">
        <f>IF(AND(ISNUMBER($F37),ISNUMBER($G37),ISNUMBER($H37)),IF(AND(P$15&gt;=$F37,P$15&lt;=YEAR('2. START'!$C$19),P$15&lt;=($F37+$G37-1)),$H37/$G37,0),0)</f>
        <v>0</v>
      </c>
      <c r="Q37" s="519">
        <f>IF(AND(ISNUMBER($F37),ISNUMBER($G37),ISNUMBER($H37)),IF(AND(Q$15&gt;=$F37,Q$15&lt;=YEAR('2. START'!$C$19),Q$15&lt;=($F37+$G37-1)),$H37/$G37,0),0)</f>
        <v>0</v>
      </c>
      <c r="R37" s="519">
        <f>IF(AND(ISNUMBER($F37),ISNUMBER($G37),ISNUMBER($H37)),IF(AND(R$15&gt;=$F37,R$15&lt;=YEAR('2. START'!$C$19),R$15&lt;=($F37+$G37-1)),$H37/$G37,0),0)</f>
        <v>0</v>
      </c>
      <c r="S37" s="520">
        <f t="shared" si="10"/>
        <v>0</v>
      </c>
      <c r="U37" s="517">
        <f>IF('2. START'!C$13="PERSON+OPERATION+INVEST+FACILIT",'2. START'!C$12,0)</f>
        <v>0</v>
      </c>
      <c r="V37" s="557"/>
      <c r="W37" s="519">
        <f t="shared" si="11"/>
        <v>0</v>
      </c>
      <c r="X37" s="519">
        <f t="shared" si="12"/>
        <v>0</v>
      </c>
      <c r="Y37" s="519">
        <f t="shared" si="13"/>
        <v>0</v>
      </c>
      <c r="Z37" s="519">
        <f t="shared" si="14"/>
        <v>0</v>
      </c>
      <c r="AA37" s="519">
        <f t="shared" si="15"/>
        <v>0</v>
      </c>
      <c r="AB37" s="519">
        <f t="shared" si="16"/>
        <v>0</v>
      </c>
      <c r="AC37" s="519">
        <f t="shared" si="17"/>
        <v>0</v>
      </c>
      <c r="AD37" s="519">
        <f t="shared" si="18"/>
        <v>0</v>
      </c>
      <c r="AE37" s="519">
        <f t="shared" si="19"/>
        <v>0</v>
      </c>
      <c r="AF37" s="519">
        <f t="shared" si="20"/>
        <v>0</v>
      </c>
      <c r="AG37" s="520">
        <f t="shared" si="21"/>
        <v>0</v>
      </c>
      <c r="AI37" s="519">
        <f t="shared" si="22"/>
        <v>0</v>
      </c>
      <c r="AJ37" s="519">
        <f t="shared" si="23"/>
        <v>0</v>
      </c>
      <c r="AK37" s="519">
        <f t="shared" si="24"/>
        <v>0</v>
      </c>
      <c r="AL37" s="519">
        <f t="shared" si="25"/>
        <v>0</v>
      </c>
      <c r="AM37" s="519">
        <f t="shared" si="26"/>
        <v>0</v>
      </c>
      <c r="AN37" s="519">
        <f t="shared" si="27"/>
        <v>0</v>
      </c>
      <c r="AO37" s="519">
        <f t="shared" si="28"/>
        <v>0</v>
      </c>
      <c r="AP37" s="519">
        <f t="shared" si="29"/>
        <v>0</v>
      </c>
      <c r="AQ37" s="519">
        <f t="shared" si="30"/>
        <v>0</v>
      </c>
      <c r="AR37" s="519">
        <f t="shared" si="31"/>
        <v>0</v>
      </c>
      <c r="AS37" s="520">
        <f t="shared" si="32"/>
        <v>0</v>
      </c>
      <c r="AU37" s="519">
        <f t="shared" si="33"/>
        <v>0</v>
      </c>
      <c r="AV37" s="519">
        <f t="shared" si="34"/>
        <v>0</v>
      </c>
      <c r="AW37" s="519">
        <f t="shared" si="35"/>
        <v>0</v>
      </c>
      <c r="AX37" s="519">
        <f t="shared" si="36"/>
        <v>0</v>
      </c>
      <c r="AY37" s="519">
        <f t="shared" si="37"/>
        <v>0</v>
      </c>
      <c r="AZ37" s="519">
        <f t="shared" si="38"/>
        <v>0</v>
      </c>
      <c r="BA37" s="519">
        <f t="shared" si="39"/>
        <v>0</v>
      </c>
      <c r="BB37" s="519">
        <f t="shared" si="40"/>
        <v>0</v>
      </c>
      <c r="BC37" s="519">
        <f t="shared" si="41"/>
        <v>0</v>
      </c>
      <c r="BD37" s="519">
        <f t="shared" si="42"/>
        <v>0</v>
      </c>
      <c r="BE37" s="520">
        <f t="shared" si="43"/>
        <v>0</v>
      </c>
      <c r="BG37" s="519">
        <f t="shared" si="44"/>
        <v>0</v>
      </c>
      <c r="BH37" s="519">
        <f t="shared" si="45"/>
        <v>0</v>
      </c>
      <c r="BI37" s="519">
        <f t="shared" si="46"/>
        <v>0</v>
      </c>
      <c r="BJ37" s="519">
        <f t="shared" si="47"/>
        <v>0</v>
      </c>
      <c r="BK37" s="519">
        <f t="shared" si="48"/>
        <v>0</v>
      </c>
      <c r="BL37" s="519">
        <f t="shared" si="49"/>
        <v>0</v>
      </c>
      <c r="BM37" s="519">
        <f t="shared" si="50"/>
        <v>0</v>
      </c>
      <c r="BN37" s="519">
        <f t="shared" si="51"/>
        <v>0</v>
      </c>
      <c r="BO37" s="519">
        <f t="shared" si="52"/>
        <v>0</v>
      </c>
      <c r="BP37" s="519">
        <f t="shared" si="53"/>
        <v>0</v>
      </c>
      <c r="BQ37" s="520">
        <f t="shared" si="54"/>
        <v>0</v>
      </c>
    </row>
    <row r="38" spans="2:69" s="268" customFormat="1" ht="15" customHeight="1" x14ac:dyDescent="0.25">
      <c r="B38" s="446" t="str">
        <f>'2. START'!C$7</f>
        <v>100GEM</v>
      </c>
      <c r="C38" s="469"/>
      <c r="D38" s="594"/>
      <c r="E38" s="522">
        <v>0</v>
      </c>
      <c r="F38" s="561"/>
      <c r="G38" s="564"/>
      <c r="H38" s="567"/>
      <c r="I38" s="459">
        <f>IF(AND(ISNUMBER($F38),ISNUMBER($G38),ISNUMBER($H38)),IF(AND(I$15&gt;=$F38,I$15&lt;=YEAR('2. START'!$C$19),I$15&lt;=($F38+$G38-1)),$H38/$G38,0),0)</f>
        <v>0</v>
      </c>
      <c r="J38" s="459">
        <f>IF(AND(ISNUMBER($F38),ISNUMBER($G38),ISNUMBER($H38)),IF(AND(J$15&gt;=$F38,J$15&lt;=YEAR('2. START'!$C$19),J$15&lt;=($F38+$G38-1)),$H38/$G38,0),0)</f>
        <v>0</v>
      </c>
      <c r="K38" s="459">
        <f>IF(AND(ISNUMBER($F38),ISNUMBER($G38),ISNUMBER($H38)),IF(AND(K$15&gt;=$F38,K$15&lt;=YEAR('2. START'!$C$19),K$15&lt;=($F38+$G38-1)),$H38/$G38,0),0)</f>
        <v>0</v>
      </c>
      <c r="L38" s="459">
        <f>IF(AND(ISNUMBER($F38),ISNUMBER($G38),ISNUMBER($H38)),IF(AND(L$15&gt;=$F38,L$15&lt;=YEAR('2. START'!$C$19),L$15&lt;=($F38+$G38-1)),$H38/$G38,0),0)</f>
        <v>0</v>
      </c>
      <c r="M38" s="459">
        <f>IF(AND(ISNUMBER($F38),ISNUMBER($G38),ISNUMBER($H38)),IF(AND(M$15&gt;=$F38,M$15&lt;=YEAR('2. START'!$C$19),M$15&lt;=($F38+$G38-1)),$H38/$G38,0),0)</f>
        <v>0</v>
      </c>
      <c r="N38" s="459">
        <f>IF(AND(ISNUMBER($F38),ISNUMBER($G38),ISNUMBER($H38)),IF(AND(N$15&gt;=$F38,N$15&lt;=YEAR('2. START'!$C$19),N$15&lt;=($F38+$G38-1)),$H38/$G38,0),0)</f>
        <v>0</v>
      </c>
      <c r="O38" s="459">
        <f>IF(AND(ISNUMBER($F38),ISNUMBER($G38),ISNUMBER($H38)),IF(AND(O$15&gt;=$F38,O$15&lt;=YEAR('2. START'!$C$19),O$15&lt;=($F38+$G38-1)),$H38/$G38,0),0)</f>
        <v>0</v>
      </c>
      <c r="P38" s="459">
        <f>IF(AND(ISNUMBER($F38),ISNUMBER($G38),ISNUMBER($H38)),IF(AND(P$15&gt;=$F38,P$15&lt;=YEAR('2. START'!$C$19),P$15&lt;=($F38+$G38-1)),$H38/$G38,0),0)</f>
        <v>0</v>
      </c>
      <c r="Q38" s="459">
        <f>IF(AND(ISNUMBER($F38),ISNUMBER($G38),ISNUMBER($H38)),IF(AND(Q$15&gt;=$F38,Q$15&lt;=YEAR('2. START'!$C$19),Q$15&lt;=($F38+$G38-1)),$H38/$G38,0),0)</f>
        <v>0</v>
      </c>
      <c r="R38" s="459">
        <f>IF(AND(ISNUMBER($F38),ISNUMBER($G38),ISNUMBER($H38)),IF(AND(R$15&gt;=$F38,R$15&lt;=YEAR('2. START'!$C$19),R$15&lt;=($F38+$G38-1)),$H38/$G38,0),0)</f>
        <v>0</v>
      </c>
      <c r="S38" s="460">
        <f t="shared" si="10"/>
        <v>0</v>
      </c>
      <c r="T38" s="463"/>
      <c r="U38" s="454">
        <f>IF('2. START'!C$13="PERSON+OPERATION+INVEST+FACILIT",'2. START'!C$12,0)</f>
        <v>0</v>
      </c>
      <c r="V38" s="556"/>
      <c r="W38" s="459">
        <f t="shared" si="11"/>
        <v>0</v>
      </c>
      <c r="X38" s="459">
        <f t="shared" si="12"/>
        <v>0</v>
      </c>
      <c r="Y38" s="459">
        <f t="shared" si="13"/>
        <v>0</v>
      </c>
      <c r="Z38" s="459">
        <f t="shared" si="14"/>
        <v>0</v>
      </c>
      <c r="AA38" s="459">
        <f t="shared" si="15"/>
        <v>0</v>
      </c>
      <c r="AB38" s="459">
        <f t="shared" si="16"/>
        <v>0</v>
      </c>
      <c r="AC38" s="459">
        <f t="shared" si="17"/>
        <v>0</v>
      </c>
      <c r="AD38" s="459">
        <f t="shared" si="18"/>
        <v>0</v>
      </c>
      <c r="AE38" s="459">
        <f t="shared" si="19"/>
        <v>0</v>
      </c>
      <c r="AF38" s="459">
        <f t="shared" si="20"/>
        <v>0</v>
      </c>
      <c r="AG38" s="460">
        <f t="shared" si="21"/>
        <v>0</v>
      </c>
      <c r="AH38" s="463"/>
      <c r="AI38" s="459">
        <f t="shared" si="22"/>
        <v>0</v>
      </c>
      <c r="AJ38" s="459">
        <f t="shared" si="23"/>
        <v>0</v>
      </c>
      <c r="AK38" s="459">
        <f t="shared" si="24"/>
        <v>0</v>
      </c>
      <c r="AL38" s="459">
        <f t="shared" si="25"/>
        <v>0</v>
      </c>
      <c r="AM38" s="459">
        <f t="shared" si="26"/>
        <v>0</v>
      </c>
      <c r="AN38" s="459">
        <f t="shared" si="27"/>
        <v>0</v>
      </c>
      <c r="AO38" s="459">
        <f t="shared" si="28"/>
        <v>0</v>
      </c>
      <c r="AP38" s="459">
        <f t="shared" si="29"/>
        <v>0</v>
      </c>
      <c r="AQ38" s="459">
        <f t="shared" si="30"/>
        <v>0</v>
      </c>
      <c r="AR38" s="459">
        <f t="shared" si="31"/>
        <v>0</v>
      </c>
      <c r="AS38" s="460">
        <f t="shared" si="32"/>
        <v>0</v>
      </c>
      <c r="AT38" s="463"/>
      <c r="AU38" s="459">
        <f t="shared" si="33"/>
        <v>0</v>
      </c>
      <c r="AV38" s="459">
        <f t="shared" si="34"/>
        <v>0</v>
      </c>
      <c r="AW38" s="459">
        <f t="shared" si="35"/>
        <v>0</v>
      </c>
      <c r="AX38" s="459">
        <f t="shared" si="36"/>
        <v>0</v>
      </c>
      <c r="AY38" s="459">
        <f t="shared" si="37"/>
        <v>0</v>
      </c>
      <c r="AZ38" s="459">
        <f t="shared" si="38"/>
        <v>0</v>
      </c>
      <c r="BA38" s="459">
        <f t="shared" si="39"/>
        <v>0</v>
      </c>
      <c r="BB38" s="459">
        <f t="shared" si="40"/>
        <v>0</v>
      </c>
      <c r="BC38" s="459">
        <f t="shared" si="41"/>
        <v>0</v>
      </c>
      <c r="BD38" s="459">
        <f t="shared" si="42"/>
        <v>0</v>
      </c>
      <c r="BE38" s="460">
        <f t="shared" si="43"/>
        <v>0</v>
      </c>
      <c r="BF38" s="463"/>
      <c r="BG38" s="459">
        <f t="shared" si="44"/>
        <v>0</v>
      </c>
      <c r="BH38" s="459">
        <f t="shared" si="45"/>
        <v>0</v>
      </c>
      <c r="BI38" s="459">
        <f t="shared" si="46"/>
        <v>0</v>
      </c>
      <c r="BJ38" s="459">
        <f t="shared" si="47"/>
        <v>0</v>
      </c>
      <c r="BK38" s="459">
        <f t="shared" si="48"/>
        <v>0</v>
      </c>
      <c r="BL38" s="459">
        <f t="shared" si="49"/>
        <v>0</v>
      </c>
      <c r="BM38" s="459">
        <f t="shared" si="50"/>
        <v>0</v>
      </c>
      <c r="BN38" s="459">
        <f t="shared" si="51"/>
        <v>0</v>
      </c>
      <c r="BO38" s="459">
        <f t="shared" si="52"/>
        <v>0</v>
      </c>
      <c r="BP38" s="459">
        <f t="shared" si="53"/>
        <v>0</v>
      </c>
      <c r="BQ38" s="460">
        <f t="shared" si="54"/>
        <v>0</v>
      </c>
    </row>
    <row r="39" spans="2:69" s="268" customFormat="1" ht="15" customHeight="1" x14ac:dyDescent="0.25">
      <c r="B39" s="464" t="str">
        <f>'2. START'!C$7</f>
        <v>100GEM</v>
      </c>
      <c r="C39" s="470"/>
      <c r="D39" s="593"/>
      <c r="E39" s="527">
        <v>0</v>
      </c>
      <c r="F39" s="562"/>
      <c r="G39" s="565"/>
      <c r="H39" s="568"/>
      <c r="I39" s="519">
        <f>IF(AND(ISNUMBER($F39),ISNUMBER($G39),ISNUMBER($H39)),IF(AND(I$15&gt;=$F39,I$15&lt;=YEAR('2. START'!$C$19),I$15&lt;=($F39+$G39-1)),$H39/$G39,0),0)</f>
        <v>0</v>
      </c>
      <c r="J39" s="519">
        <f>IF(AND(ISNUMBER($F39),ISNUMBER($G39),ISNUMBER($H39)),IF(AND(J$15&gt;=$F39,J$15&lt;=YEAR('2. START'!$C$19),J$15&lt;=($F39+$G39-1)),$H39/$G39,0),0)</f>
        <v>0</v>
      </c>
      <c r="K39" s="519">
        <f>IF(AND(ISNUMBER($F39),ISNUMBER($G39),ISNUMBER($H39)),IF(AND(K$15&gt;=$F39,K$15&lt;=YEAR('2. START'!$C$19),K$15&lt;=($F39+$G39-1)),$H39/$G39,0),0)</f>
        <v>0</v>
      </c>
      <c r="L39" s="519">
        <f>IF(AND(ISNUMBER($F39),ISNUMBER($G39),ISNUMBER($H39)),IF(AND(L$15&gt;=$F39,L$15&lt;=YEAR('2. START'!$C$19),L$15&lt;=($F39+$G39-1)),$H39/$G39,0),0)</f>
        <v>0</v>
      </c>
      <c r="M39" s="519">
        <f>IF(AND(ISNUMBER($F39),ISNUMBER($G39),ISNUMBER($H39)),IF(AND(M$15&gt;=$F39,M$15&lt;=YEAR('2. START'!$C$19),M$15&lt;=($F39+$G39-1)),$H39/$G39,0),0)</f>
        <v>0</v>
      </c>
      <c r="N39" s="519">
        <f>IF(AND(ISNUMBER($F39),ISNUMBER($G39),ISNUMBER($H39)),IF(AND(N$15&gt;=$F39,N$15&lt;=YEAR('2. START'!$C$19),N$15&lt;=($F39+$G39-1)),$H39/$G39,0),0)</f>
        <v>0</v>
      </c>
      <c r="O39" s="519">
        <f>IF(AND(ISNUMBER($F39),ISNUMBER($G39),ISNUMBER($H39)),IF(AND(O$15&gt;=$F39,O$15&lt;=YEAR('2. START'!$C$19),O$15&lt;=($F39+$G39-1)),$H39/$G39,0),0)</f>
        <v>0</v>
      </c>
      <c r="P39" s="519">
        <f>IF(AND(ISNUMBER($F39),ISNUMBER($G39),ISNUMBER($H39)),IF(AND(P$15&gt;=$F39,P$15&lt;=YEAR('2. START'!$C$19),P$15&lt;=($F39+$G39-1)),$H39/$G39,0),0)</f>
        <v>0</v>
      </c>
      <c r="Q39" s="519">
        <f>IF(AND(ISNUMBER($F39),ISNUMBER($G39),ISNUMBER($H39)),IF(AND(Q$15&gt;=$F39,Q$15&lt;=YEAR('2. START'!$C$19),Q$15&lt;=($F39+$G39-1)),$H39/$G39,0),0)</f>
        <v>0</v>
      </c>
      <c r="R39" s="519">
        <f>IF(AND(ISNUMBER($F39),ISNUMBER($G39),ISNUMBER($H39)),IF(AND(R$15&gt;=$F39,R$15&lt;=YEAR('2. START'!$C$19),R$15&lt;=($F39+$G39-1)),$H39/$G39,0),0)</f>
        <v>0</v>
      </c>
      <c r="S39" s="520">
        <f t="shared" si="10"/>
        <v>0</v>
      </c>
      <c r="U39" s="517">
        <f>IF('2. START'!C$13="PERSON+OPERATION+INVEST+FACILIT",'2. START'!C$12,0)</f>
        <v>0</v>
      </c>
      <c r="V39" s="557"/>
      <c r="W39" s="519">
        <f t="shared" si="11"/>
        <v>0</v>
      </c>
      <c r="X39" s="519">
        <f t="shared" si="12"/>
        <v>0</v>
      </c>
      <c r="Y39" s="519">
        <f t="shared" si="13"/>
        <v>0</v>
      </c>
      <c r="Z39" s="519">
        <f t="shared" si="14"/>
        <v>0</v>
      </c>
      <c r="AA39" s="519">
        <f t="shared" si="15"/>
        <v>0</v>
      </c>
      <c r="AB39" s="519">
        <f t="shared" si="16"/>
        <v>0</v>
      </c>
      <c r="AC39" s="519">
        <f t="shared" si="17"/>
        <v>0</v>
      </c>
      <c r="AD39" s="519">
        <f t="shared" si="18"/>
        <v>0</v>
      </c>
      <c r="AE39" s="519">
        <f t="shared" si="19"/>
        <v>0</v>
      </c>
      <c r="AF39" s="519">
        <f t="shared" si="20"/>
        <v>0</v>
      </c>
      <c r="AG39" s="520">
        <f t="shared" si="21"/>
        <v>0</v>
      </c>
      <c r="AI39" s="519">
        <f t="shared" si="22"/>
        <v>0</v>
      </c>
      <c r="AJ39" s="519">
        <f t="shared" si="23"/>
        <v>0</v>
      </c>
      <c r="AK39" s="519">
        <f t="shared" si="24"/>
        <v>0</v>
      </c>
      <c r="AL39" s="519">
        <f t="shared" si="25"/>
        <v>0</v>
      </c>
      <c r="AM39" s="519">
        <f t="shared" si="26"/>
        <v>0</v>
      </c>
      <c r="AN39" s="519">
        <f t="shared" si="27"/>
        <v>0</v>
      </c>
      <c r="AO39" s="519">
        <f t="shared" si="28"/>
        <v>0</v>
      </c>
      <c r="AP39" s="519">
        <f t="shared" si="29"/>
        <v>0</v>
      </c>
      <c r="AQ39" s="519">
        <f t="shared" si="30"/>
        <v>0</v>
      </c>
      <c r="AR39" s="519">
        <f t="shared" si="31"/>
        <v>0</v>
      </c>
      <c r="AS39" s="520">
        <f t="shared" si="32"/>
        <v>0</v>
      </c>
      <c r="AU39" s="519">
        <f t="shared" si="33"/>
        <v>0</v>
      </c>
      <c r="AV39" s="519">
        <f t="shared" si="34"/>
        <v>0</v>
      </c>
      <c r="AW39" s="519">
        <f t="shared" si="35"/>
        <v>0</v>
      </c>
      <c r="AX39" s="519">
        <f t="shared" si="36"/>
        <v>0</v>
      </c>
      <c r="AY39" s="519">
        <f t="shared" si="37"/>
        <v>0</v>
      </c>
      <c r="AZ39" s="519">
        <f t="shared" si="38"/>
        <v>0</v>
      </c>
      <c r="BA39" s="519">
        <f t="shared" si="39"/>
        <v>0</v>
      </c>
      <c r="BB39" s="519">
        <f t="shared" si="40"/>
        <v>0</v>
      </c>
      <c r="BC39" s="519">
        <f t="shared" si="41"/>
        <v>0</v>
      </c>
      <c r="BD39" s="519">
        <f t="shared" si="42"/>
        <v>0</v>
      </c>
      <c r="BE39" s="520">
        <f t="shared" si="43"/>
        <v>0</v>
      </c>
      <c r="BG39" s="519">
        <f t="shared" si="44"/>
        <v>0</v>
      </c>
      <c r="BH39" s="519">
        <f t="shared" si="45"/>
        <v>0</v>
      </c>
      <c r="BI39" s="519">
        <f t="shared" si="46"/>
        <v>0</v>
      </c>
      <c r="BJ39" s="519">
        <f t="shared" si="47"/>
        <v>0</v>
      </c>
      <c r="BK39" s="519">
        <f t="shared" si="48"/>
        <v>0</v>
      </c>
      <c r="BL39" s="519">
        <f t="shared" si="49"/>
        <v>0</v>
      </c>
      <c r="BM39" s="519">
        <f t="shared" si="50"/>
        <v>0</v>
      </c>
      <c r="BN39" s="519">
        <f t="shared" si="51"/>
        <v>0</v>
      </c>
      <c r="BO39" s="519">
        <f t="shared" si="52"/>
        <v>0</v>
      </c>
      <c r="BP39" s="519">
        <f t="shared" si="53"/>
        <v>0</v>
      </c>
      <c r="BQ39" s="520">
        <f t="shared" si="54"/>
        <v>0</v>
      </c>
    </row>
    <row r="40" spans="2:69" s="268" customFormat="1" ht="15" customHeight="1" x14ac:dyDescent="0.25">
      <c r="B40" s="446" t="str">
        <f>'2. START'!C$7</f>
        <v>100GEM</v>
      </c>
      <c r="C40" s="469"/>
      <c r="D40" s="594"/>
      <c r="E40" s="522">
        <v>0</v>
      </c>
      <c r="F40" s="561"/>
      <c r="G40" s="564"/>
      <c r="H40" s="567"/>
      <c r="I40" s="459">
        <f>IF(AND(ISNUMBER($F40),ISNUMBER($G40),ISNUMBER($H40)),IF(AND(I$15&gt;=$F40,I$15&lt;=YEAR('2. START'!$C$19),I$15&lt;=($F40+$G40-1)),$H40/$G40,0),0)</f>
        <v>0</v>
      </c>
      <c r="J40" s="459">
        <f>IF(AND(ISNUMBER($F40),ISNUMBER($G40),ISNUMBER($H40)),IF(AND(J$15&gt;=$F40,J$15&lt;=YEAR('2. START'!$C$19),J$15&lt;=($F40+$G40-1)),$H40/$G40,0),0)</f>
        <v>0</v>
      </c>
      <c r="K40" s="459">
        <f>IF(AND(ISNUMBER($F40),ISNUMBER($G40),ISNUMBER($H40)),IF(AND(K$15&gt;=$F40,K$15&lt;=YEAR('2. START'!$C$19),K$15&lt;=($F40+$G40-1)),$H40/$G40,0),0)</f>
        <v>0</v>
      </c>
      <c r="L40" s="459">
        <f>IF(AND(ISNUMBER($F40),ISNUMBER($G40),ISNUMBER($H40)),IF(AND(L$15&gt;=$F40,L$15&lt;=YEAR('2. START'!$C$19),L$15&lt;=($F40+$G40-1)),$H40/$G40,0),0)</f>
        <v>0</v>
      </c>
      <c r="M40" s="459">
        <f>IF(AND(ISNUMBER($F40),ISNUMBER($G40),ISNUMBER($H40)),IF(AND(M$15&gt;=$F40,M$15&lt;=YEAR('2. START'!$C$19),M$15&lt;=($F40+$G40-1)),$H40/$G40,0),0)</f>
        <v>0</v>
      </c>
      <c r="N40" s="459">
        <f>IF(AND(ISNUMBER($F40),ISNUMBER($G40),ISNUMBER($H40)),IF(AND(N$15&gt;=$F40,N$15&lt;=YEAR('2. START'!$C$19),N$15&lt;=($F40+$G40-1)),$H40/$G40,0),0)</f>
        <v>0</v>
      </c>
      <c r="O40" s="459">
        <f>IF(AND(ISNUMBER($F40),ISNUMBER($G40),ISNUMBER($H40)),IF(AND(O$15&gt;=$F40,O$15&lt;=YEAR('2. START'!$C$19),O$15&lt;=($F40+$G40-1)),$H40/$G40,0),0)</f>
        <v>0</v>
      </c>
      <c r="P40" s="459">
        <f>IF(AND(ISNUMBER($F40),ISNUMBER($G40),ISNUMBER($H40)),IF(AND(P$15&gt;=$F40,P$15&lt;=YEAR('2. START'!$C$19),P$15&lt;=($F40+$G40-1)),$H40/$G40,0),0)</f>
        <v>0</v>
      </c>
      <c r="Q40" s="459">
        <f>IF(AND(ISNUMBER($F40),ISNUMBER($G40),ISNUMBER($H40)),IF(AND(Q$15&gt;=$F40,Q$15&lt;=YEAR('2. START'!$C$19),Q$15&lt;=($F40+$G40-1)),$H40/$G40,0),0)</f>
        <v>0</v>
      </c>
      <c r="R40" s="459">
        <f>IF(AND(ISNUMBER($F40),ISNUMBER($G40),ISNUMBER($H40)),IF(AND(R$15&gt;=$F40,R$15&lt;=YEAR('2. START'!$C$19),R$15&lt;=($F40+$G40-1)),$H40/$G40,0),0)</f>
        <v>0</v>
      </c>
      <c r="S40" s="460">
        <f t="shared" si="10"/>
        <v>0</v>
      </c>
      <c r="T40" s="463"/>
      <c r="U40" s="454">
        <f>IF('2. START'!C$13="PERSON+OPERATION+INVEST+FACILIT",'2. START'!C$12,0)</f>
        <v>0</v>
      </c>
      <c r="V40" s="556"/>
      <c r="W40" s="459">
        <f t="shared" si="11"/>
        <v>0</v>
      </c>
      <c r="X40" s="459">
        <f t="shared" si="12"/>
        <v>0</v>
      </c>
      <c r="Y40" s="459">
        <f t="shared" si="13"/>
        <v>0</v>
      </c>
      <c r="Z40" s="459">
        <f t="shared" si="14"/>
        <v>0</v>
      </c>
      <c r="AA40" s="459">
        <f t="shared" si="15"/>
        <v>0</v>
      </c>
      <c r="AB40" s="459">
        <f t="shared" si="16"/>
        <v>0</v>
      </c>
      <c r="AC40" s="459">
        <f t="shared" si="17"/>
        <v>0</v>
      </c>
      <c r="AD40" s="459">
        <f t="shared" si="18"/>
        <v>0</v>
      </c>
      <c r="AE40" s="459">
        <f t="shared" si="19"/>
        <v>0</v>
      </c>
      <c r="AF40" s="459">
        <f t="shared" si="20"/>
        <v>0</v>
      </c>
      <c r="AG40" s="460">
        <f t="shared" si="21"/>
        <v>0</v>
      </c>
      <c r="AH40" s="463"/>
      <c r="AI40" s="459">
        <f t="shared" si="22"/>
        <v>0</v>
      </c>
      <c r="AJ40" s="459">
        <f t="shared" si="23"/>
        <v>0</v>
      </c>
      <c r="AK40" s="459">
        <f t="shared" si="24"/>
        <v>0</v>
      </c>
      <c r="AL40" s="459">
        <f t="shared" si="25"/>
        <v>0</v>
      </c>
      <c r="AM40" s="459">
        <f t="shared" si="26"/>
        <v>0</v>
      </c>
      <c r="AN40" s="459">
        <f t="shared" si="27"/>
        <v>0</v>
      </c>
      <c r="AO40" s="459">
        <f t="shared" si="28"/>
        <v>0</v>
      </c>
      <c r="AP40" s="459">
        <f t="shared" si="29"/>
        <v>0</v>
      </c>
      <c r="AQ40" s="459">
        <f t="shared" si="30"/>
        <v>0</v>
      </c>
      <c r="AR40" s="459">
        <f t="shared" si="31"/>
        <v>0</v>
      </c>
      <c r="AS40" s="460">
        <f t="shared" si="32"/>
        <v>0</v>
      </c>
      <c r="AT40" s="463"/>
      <c r="AU40" s="459">
        <f t="shared" si="33"/>
        <v>0</v>
      </c>
      <c r="AV40" s="459">
        <f t="shared" si="34"/>
        <v>0</v>
      </c>
      <c r="AW40" s="459">
        <f t="shared" si="35"/>
        <v>0</v>
      </c>
      <c r="AX40" s="459">
        <f t="shared" si="36"/>
        <v>0</v>
      </c>
      <c r="AY40" s="459">
        <f t="shared" si="37"/>
        <v>0</v>
      </c>
      <c r="AZ40" s="459">
        <f t="shared" si="38"/>
        <v>0</v>
      </c>
      <c r="BA40" s="459">
        <f t="shared" si="39"/>
        <v>0</v>
      </c>
      <c r="BB40" s="459">
        <f t="shared" si="40"/>
        <v>0</v>
      </c>
      <c r="BC40" s="459">
        <f t="shared" si="41"/>
        <v>0</v>
      </c>
      <c r="BD40" s="459">
        <f t="shared" si="42"/>
        <v>0</v>
      </c>
      <c r="BE40" s="460">
        <f t="shared" si="43"/>
        <v>0</v>
      </c>
      <c r="BF40" s="463"/>
      <c r="BG40" s="459">
        <f t="shared" si="44"/>
        <v>0</v>
      </c>
      <c r="BH40" s="459">
        <f t="shared" si="45"/>
        <v>0</v>
      </c>
      <c r="BI40" s="459">
        <f t="shared" si="46"/>
        <v>0</v>
      </c>
      <c r="BJ40" s="459">
        <f t="shared" si="47"/>
        <v>0</v>
      </c>
      <c r="BK40" s="459">
        <f t="shared" si="48"/>
        <v>0</v>
      </c>
      <c r="BL40" s="459">
        <f t="shared" si="49"/>
        <v>0</v>
      </c>
      <c r="BM40" s="459">
        <f t="shared" si="50"/>
        <v>0</v>
      </c>
      <c r="BN40" s="459">
        <f t="shared" si="51"/>
        <v>0</v>
      </c>
      <c r="BO40" s="459">
        <f t="shared" si="52"/>
        <v>0</v>
      </c>
      <c r="BP40" s="459">
        <f t="shared" si="53"/>
        <v>0</v>
      </c>
      <c r="BQ40" s="460">
        <f t="shared" si="54"/>
        <v>0</v>
      </c>
    </row>
    <row r="41" spans="2:69" s="268" customFormat="1" ht="15" customHeight="1" x14ac:dyDescent="0.25">
      <c r="B41" s="464" t="str">
        <f>'2. START'!C$7</f>
        <v>100GEM</v>
      </c>
      <c r="C41" s="470"/>
      <c r="D41" s="593"/>
      <c r="E41" s="527">
        <v>0</v>
      </c>
      <c r="F41" s="562"/>
      <c r="G41" s="565"/>
      <c r="H41" s="568"/>
      <c r="I41" s="519">
        <f>IF(AND(ISNUMBER($F41),ISNUMBER($G41),ISNUMBER($H41)),IF(AND(I$15&gt;=$F41,I$15&lt;=YEAR('2. START'!$C$19),I$15&lt;=($F41+$G41-1)),$H41/$G41,0),0)</f>
        <v>0</v>
      </c>
      <c r="J41" s="519">
        <f>IF(AND(ISNUMBER($F41),ISNUMBER($G41),ISNUMBER($H41)),IF(AND(J$15&gt;=$F41,J$15&lt;=YEAR('2. START'!$C$19),J$15&lt;=($F41+$G41-1)),$H41/$G41,0),0)</f>
        <v>0</v>
      </c>
      <c r="K41" s="519">
        <f>IF(AND(ISNUMBER($F41),ISNUMBER($G41),ISNUMBER($H41)),IF(AND(K$15&gt;=$F41,K$15&lt;=YEAR('2. START'!$C$19),K$15&lt;=($F41+$G41-1)),$H41/$G41,0),0)</f>
        <v>0</v>
      </c>
      <c r="L41" s="519">
        <f>IF(AND(ISNUMBER($F41),ISNUMBER($G41),ISNUMBER($H41)),IF(AND(L$15&gt;=$F41,L$15&lt;=YEAR('2. START'!$C$19),L$15&lt;=($F41+$G41-1)),$H41/$G41,0),0)</f>
        <v>0</v>
      </c>
      <c r="M41" s="519">
        <f>IF(AND(ISNUMBER($F41),ISNUMBER($G41),ISNUMBER($H41)),IF(AND(M$15&gt;=$F41,M$15&lt;=YEAR('2. START'!$C$19),M$15&lt;=($F41+$G41-1)),$H41/$G41,0),0)</f>
        <v>0</v>
      </c>
      <c r="N41" s="519">
        <f>IF(AND(ISNUMBER($F41),ISNUMBER($G41),ISNUMBER($H41)),IF(AND(N$15&gt;=$F41,N$15&lt;=YEAR('2. START'!$C$19),N$15&lt;=($F41+$G41-1)),$H41/$G41,0),0)</f>
        <v>0</v>
      </c>
      <c r="O41" s="519">
        <f>IF(AND(ISNUMBER($F41),ISNUMBER($G41),ISNUMBER($H41)),IF(AND(O$15&gt;=$F41,O$15&lt;=YEAR('2. START'!$C$19),O$15&lt;=($F41+$G41-1)),$H41/$G41,0),0)</f>
        <v>0</v>
      </c>
      <c r="P41" s="519">
        <f>IF(AND(ISNUMBER($F41),ISNUMBER($G41),ISNUMBER($H41)),IF(AND(P$15&gt;=$F41,P$15&lt;=YEAR('2. START'!$C$19),P$15&lt;=($F41+$G41-1)),$H41/$G41,0),0)</f>
        <v>0</v>
      </c>
      <c r="Q41" s="519">
        <f>IF(AND(ISNUMBER($F41),ISNUMBER($G41),ISNUMBER($H41)),IF(AND(Q$15&gt;=$F41,Q$15&lt;=YEAR('2. START'!$C$19),Q$15&lt;=($F41+$G41-1)),$H41/$G41,0),0)</f>
        <v>0</v>
      </c>
      <c r="R41" s="519">
        <f>IF(AND(ISNUMBER($F41),ISNUMBER($G41),ISNUMBER($H41)),IF(AND(R$15&gt;=$F41,R$15&lt;=YEAR('2. START'!$C$19),R$15&lt;=($F41+$G41-1)),$H41/$G41,0),0)</f>
        <v>0</v>
      </c>
      <c r="S41" s="520">
        <f t="shared" si="10"/>
        <v>0</v>
      </c>
      <c r="U41" s="517">
        <f>IF('2. START'!C$13="PERSON+OPERATION+INVEST+FACILIT",'2. START'!C$12,0)</f>
        <v>0</v>
      </c>
      <c r="V41" s="557"/>
      <c r="W41" s="519">
        <f t="shared" si="11"/>
        <v>0</v>
      </c>
      <c r="X41" s="519">
        <f t="shared" si="12"/>
        <v>0</v>
      </c>
      <c r="Y41" s="519">
        <f t="shared" si="13"/>
        <v>0</v>
      </c>
      <c r="Z41" s="519">
        <f t="shared" si="14"/>
        <v>0</v>
      </c>
      <c r="AA41" s="519">
        <f t="shared" si="15"/>
        <v>0</v>
      </c>
      <c r="AB41" s="519">
        <f t="shared" si="16"/>
        <v>0</v>
      </c>
      <c r="AC41" s="519">
        <f t="shared" si="17"/>
        <v>0</v>
      </c>
      <c r="AD41" s="519">
        <f t="shared" si="18"/>
        <v>0</v>
      </c>
      <c r="AE41" s="519">
        <f t="shared" si="19"/>
        <v>0</v>
      </c>
      <c r="AF41" s="519">
        <f t="shared" si="20"/>
        <v>0</v>
      </c>
      <c r="AG41" s="520">
        <f t="shared" si="21"/>
        <v>0</v>
      </c>
      <c r="AI41" s="519">
        <f t="shared" si="22"/>
        <v>0</v>
      </c>
      <c r="AJ41" s="519">
        <f t="shared" si="23"/>
        <v>0</v>
      </c>
      <c r="AK41" s="519">
        <f t="shared" si="24"/>
        <v>0</v>
      </c>
      <c r="AL41" s="519">
        <f t="shared" si="25"/>
        <v>0</v>
      </c>
      <c r="AM41" s="519">
        <f t="shared" si="26"/>
        <v>0</v>
      </c>
      <c r="AN41" s="519">
        <f t="shared" si="27"/>
        <v>0</v>
      </c>
      <c r="AO41" s="519">
        <f t="shared" si="28"/>
        <v>0</v>
      </c>
      <c r="AP41" s="519">
        <f t="shared" si="29"/>
        <v>0</v>
      </c>
      <c r="AQ41" s="519">
        <f t="shared" si="30"/>
        <v>0</v>
      </c>
      <c r="AR41" s="519">
        <f t="shared" si="31"/>
        <v>0</v>
      </c>
      <c r="AS41" s="520">
        <f t="shared" si="32"/>
        <v>0</v>
      </c>
      <c r="AU41" s="519">
        <f t="shared" si="33"/>
        <v>0</v>
      </c>
      <c r="AV41" s="519">
        <f t="shared" si="34"/>
        <v>0</v>
      </c>
      <c r="AW41" s="519">
        <f t="shared" si="35"/>
        <v>0</v>
      </c>
      <c r="AX41" s="519">
        <f t="shared" si="36"/>
        <v>0</v>
      </c>
      <c r="AY41" s="519">
        <f t="shared" si="37"/>
        <v>0</v>
      </c>
      <c r="AZ41" s="519">
        <f t="shared" si="38"/>
        <v>0</v>
      </c>
      <c r="BA41" s="519">
        <f t="shared" si="39"/>
        <v>0</v>
      </c>
      <c r="BB41" s="519">
        <f t="shared" si="40"/>
        <v>0</v>
      </c>
      <c r="BC41" s="519">
        <f t="shared" si="41"/>
        <v>0</v>
      </c>
      <c r="BD41" s="519">
        <f t="shared" si="42"/>
        <v>0</v>
      </c>
      <c r="BE41" s="520">
        <f t="shared" si="43"/>
        <v>0</v>
      </c>
      <c r="BG41" s="519">
        <f t="shared" si="44"/>
        <v>0</v>
      </c>
      <c r="BH41" s="519">
        <f t="shared" si="45"/>
        <v>0</v>
      </c>
      <c r="BI41" s="519">
        <f t="shared" si="46"/>
        <v>0</v>
      </c>
      <c r="BJ41" s="519">
        <f t="shared" si="47"/>
        <v>0</v>
      </c>
      <c r="BK41" s="519">
        <f t="shared" si="48"/>
        <v>0</v>
      </c>
      <c r="BL41" s="519">
        <f t="shared" si="49"/>
        <v>0</v>
      </c>
      <c r="BM41" s="519">
        <f t="shared" si="50"/>
        <v>0</v>
      </c>
      <c r="BN41" s="519">
        <f t="shared" si="51"/>
        <v>0</v>
      </c>
      <c r="BO41" s="519">
        <f t="shared" si="52"/>
        <v>0</v>
      </c>
      <c r="BP41" s="519">
        <f t="shared" si="53"/>
        <v>0</v>
      </c>
      <c r="BQ41" s="520">
        <f t="shared" si="54"/>
        <v>0</v>
      </c>
    </row>
    <row r="42" spans="2:69" s="268" customFormat="1" ht="15" customHeight="1" x14ac:dyDescent="0.25">
      <c r="B42" s="446" t="str">
        <f>'2. START'!C$7</f>
        <v>100GEM</v>
      </c>
      <c r="C42" s="469"/>
      <c r="D42" s="594"/>
      <c r="E42" s="522">
        <v>0</v>
      </c>
      <c r="F42" s="561"/>
      <c r="G42" s="564"/>
      <c r="H42" s="567"/>
      <c r="I42" s="459">
        <f>IF(AND(ISNUMBER($F42),ISNUMBER($G42),ISNUMBER($H42)),IF(AND(I$15&gt;=$F42,I$15&lt;=YEAR('2. START'!$C$19),I$15&lt;=($F42+$G42-1)),$H42/$G42,0),0)</f>
        <v>0</v>
      </c>
      <c r="J42" s="459">
        <f>IF(AND(ISNUMBER($F42),ISNUMBER($G42),ISNUMBER($H42)),IF(AND(J$15&gt;=$F42,J$15&lt;=YEAR('2. START'!$C$19),J$15&lt;=($F42+$G42-1)),$H42/$G42,0),0)</f>
        <v>0</v>
      </c>
      <c r="K42" s="459">
        <f>IF(AND(ISNUMBER($F42),ISNUMBER($G42),ISNUMBER($H42)),IF(AND(K$15&gt;=$F42,K$15&lt;=YEAR('2. START'!$C$19),K$15&lt;=($F42+$G42-1)),$H42/$G42,0),0)</f>
        <v>0</v>
      </c>
      <c r="L42" s="459">
        <f>IF(AND(ISNUMBER($F42),ISNUMBER($G42),ISNUMBER($H42)),IF(AND(L$15&gt;=$F42,L$15&lt;=YEAR('2. START'!$C$19),L$15&lt;=($F42+$G42-1)),$H42/$G42,0),0)</f>
        <v>0</v>
      </c>
      <c r="M42" s="459">
        <f>IF(AND(ISNUMBER($F42),ISNUMBER($G42),ISNUMBER($H42)),IF(AND(M$15&gt;=$F42,M$15&lt;=YEAR('2. START'!$C$19),M$15&lt;=($F42+$G42-1)),$H42/$G42,0),0)</f>
        <v>0</v>
      </c>
      <c r="N42" s="459">
        <f>IF(AND(ISNUMBER($F42),ISNUMBER($G42),ISNUMBER($H42)),IF(AND(N$15&gt;=$F42,N$15&lt;=YEAR('2. START'!$C$19),N$15&lt;=($F42+$G42-1)),$H42/$G42,0),0)</f>
        <v>0</v>
      </c>
      <c r="O42" s="459">
        <f>IF(AND(ISNUMBER($F42),ISNUMBER($G42),ISNUMBER($H42)),IF(AND(O$15&gt;=$F42,O$15&lt;=YEAR('2. START'!$C$19),O$15&lt;=($F42+$G42-1)),$H42/$G42,0),0)</f>
        <v>0</v>
      </c>
      <c r="P42" s="459">
        <f>IF(AND(ISNUMBER($F42),ISNUMBER($G42),ISNUMBER($H42)),IF(AND(P$15&gt;=$F42,P$15&lt;=YEAR('2. START'!$C$19),P$15&lt;=($F42+$G42-1)),$H42/$G42,0),0)</f>
        <v>0</v>
      </c>
      <c r="Q42" s="459">
        <f>IF(AND(ISNUMBER($F42),ISNUMBER($G42),ISNUMBER($H42)),IF(AND(Q$15&gt;=$F42,Q$15&lt;=YEAR('2. START'!$C$19),Q$15&lt;=($F42+$G42-1)),$H42/$G42,0),0)</f>
        <v>0</v>
      </c>
      <c r="R42" s="459">
        <f>IF(AND(ISNUMBER($F42),ISNUMBER($G42),ISNUMBER($H42)),IF(AND(R$15&gt;=$F42,R$15&lt;=YEAR('2. START'!$C$19),R$15&lt;=($F42+$G42-1)),$H42/$G42,0),0)</f>
        <v>0</v>
      </c>
      <c r="S42" s="460">
        <f t="shared" si="10"/>
        <v>0</v>
      </c>
      <c r="T42" s="463"/>
      <c r="U42" s="454">
        <f>IF('2. START'!C$13="PERSON+OPERATION+INVEST+FACILIT",'2. START'!C$12,0)</f>
        <v>0</v>
      </c>
      <c r="V42" s="556"/>
      <c r="W42" s="459">
        <f t="shared" si="11"/>
        <v>0</v>
      </c>
      <c r="X42" s="459">
        <f t="shared" si="12"/>
        <v>0</v>
      </c>
      <c r="Y42" s="459">
        <f t="shared" si="13"/>
        <v>0</v>
      </c>
      <c r="Z42" s="459">
        <f t="shared" si="14"/>
        <v>0</v>
      </c>
      <c r="AA42" s="459">
        <f t="shared" si="15"/>
        <v>0</v>
      </c>
      <c r="AB42" s="459">
        <f t="shared" si="16"/>
        <v>0</v>
      </c>
      <c r="AC42" s="459">
        <f t="shared" si="17"/>
        <v>0</v>
      </c>
      <c r="AD42" s="459">
        <f t="shared" si="18"/>
        <v>0</v>
      </c>
      <c r="AE42" s="459">
        <f t="shared" si="19"/>
        <v>0</v>
      </c>
      <c r="AF42" s="459">
        <f t="shared" si="20"/>
        <v>0</v>
      </c>
      <c r="AG42" s="460">
        <f t="shared" si="21"/>
        <v>0</v>
      </c>
      <c r="AH42" s="463"/>
      <c r="AI42" s="459">
        <f t="shared" si="22"/>
        <v>0</v>
      </c>
      <c r="AJ42" s="459">
        <f t="shared" si="23"/>
        <v>0</v>
      </c>
      <c r="AK42" s="459">
        <f t="shared" si="24"/>
        <v>0</v>
      </c>
      <c r="AL42" s="459">
        <f t="shared" si="25"/>
        <v>0</v>
      </c>
      <c r="AM42" s="459">
        <f t="shared" si="26"/>
        <v>0</v>
      </c>
      <c r="AN42" s="459">
        <f t="shared" si="27"/>
        <v>0</v>
      </c>
      <c r="AO42" s="459">
        <f t="shared" si="28"/>
        <v>0</v>
      </c>
      <c r="AP42" s="459">
        <f t="shared" si="29"/>
        <v>0</v>
      </c>
      <c r="AQ42" s="459">
        <f t="shared" si="30"/>
        <v>0</v>
      </c>
      <c r="AR42" s="459">
        <f t="shared" si="31"/>
        <v>0</v>
      </c>
      <c r="AS42" s="460">
        <f t="shared" si="32"/>
        <v>0</v>
      </c>
      <c r="AT42" s="463"/>
      <c r="AU42" s="459">
        <f t="shared" si="33"/>
        <v>0</v>
      </c>
      <c r="AV42" s="459">
        <f t="shared" si="34"/>
        <v>0</v>
      </c>
      <c r="AW42" s="459">
        <f t="shared" si="35"/>
        <v>0</v>
      </c>
      <c r="AX42" s="459">
        <f t="shared" si="36"/>
        <v>0</v>
      </c>
      <c r="AY42" s="459">
        <f t="shared" si="37"/>
        <v>0</v>
      </c>
      <c r="AZ42" s="459">
        <f t="shared" si="38"/>
        <v>0</v>
      </c>
      <c r="BA42" s="459">
        <f t="shared" si="39"/>
        <v>0</v>
      </c>
      <c r="BB42" s="459">
        <f t="shared" si="40"/>
        <v>0</v>
      </c>
      <c r="BC42" s="459">
        <f t="shared" si="41"/>
        <v>0</v>
      </c>
      <c r="BD42" s="459">
        <f t="shared" si="42"/>
        <v>0</v>
      </c>
      <c r="BE42" s="460">
        <f t="shared" si="43"/>
        <v>0</v>
      </c>
      <c r="BF42" s="463"/>
      <c r="BG42" s="459">
        <f t="shared" si="44"/>
        <v>0</v>
      </c>
      <c r="BH42" s="459">
        <f t="shared" si="45"/>
        <v>0</v>
      </c>
      <c r="BI42" s="459">
        <f t="shared" si="46"/>
        <v>0</v>
      </c>
      <c r="BJ42" s="459">
        <f t="shared" si="47"/>
        <v>0</v>
      </c>
      <c r="BK42" s="459">
        <f t="shared" si="48"/>
        <v>0</v>
      </c>
      <c r="BL42" s="459">
        <f t="shared" si="49"/>
        <v>0</v>
      </c>
      <c r="BM42" s="459">
        <f t="shared" si="50"/>
        <v>0</v>
      </c>
      <c r="BN42" s="459">
        <f t="shared" si="51"/>
        <v>0</v>
      </c>
      <c r="BO42" s="459">
        <f t="shared" si="52"/>
        <v>0</v>
      </c>
      <c r="BP42" s="459">
        <f t="shared" si="53"/>
        <v>0</v>
      </c>
      <c r="BQ42" s="460">
        <f t="shared" si="54"/>
        <v>0</v>
      </c>
    </row>
    <row r="43" spans="2:69" s="268" customFormat="1" ht="15" customHeight="1" x14ac:dyDescent="0.25">
      <c r="B43" s="464" t="str">
        <f>'2. START'!C$7</f>
        <v>100GEM</v>
      </c>
      <c r="C43" s="470"/>
      <c r="D43" s="593"/>
      <c r="E43" s="527">
        <v>0</v>
      </c>
      <c r="F43" s="562"/>
      <c r="G43" s="565"/>
      <c r="H43" s="568"/>
      <c r="I43" s="519">
        <f>IF(AND(ISNUMBER($F43),ISNUMBER($G43),ISNUMBER($H43)),IF(AND(I$15&gt;=$F43,I$15&lt;=YEAR('2. START'!$C$19),I$15&lt;=($F43+$G43-1)),$H43/$G43,0),0)</f>
        <v>0</v>
      </c>
      <c r="J43" s="519">
        <f>IF(AND(ISNUMBER($F43),ISNUMBER($G43),ISNUMBER($H43)),IF(AND(J$15&gt;=$F43,J$15&lt;=YEAR('2. START'!$C$19),J$15&lt;=($F43+$G43-1)),$H43/$G43,0),0)</f>
        <v>0</v>
      </c>
      <c r="K43" s="519">
        <f>IF(AND(ISNUMBER($F43),ISNUMBER($G43),ISNUMBER($H43)),IF(AND(K$15&gt;=$F43,K$15&lt;=YEAR('2. START'!$C$19),K$15&lt;=($F43+$G43-1)),$H43/$G43,0),0)</f>
        <v>0</v>
      </c>
      <c r="L43" s="519">
        <f>IF(AND(ISNUMBER($F43),ISNUMBER($G43),ISNUMBER($H43)),IF(AND(L$15&gt;=$F43,L$15&lt;=YEAR('2. START'!$C$19),L$15&lt;=($F43+$G43-1)),$H43/$G43,0),0)</f>
        <v>0</v>
      </c>
      <c r="M43" s="519">
        <f>IF(AND(ISNUMBER($F43),ISNUMBER($G43),ISNUMBER($H43)),IF(AND(M$15&gt;=$F43,M$15&lt;=YEAR('2. START'!$C$19),M$15&lt;=($F43+$G43-1)),$H43/$G43,0),0)</f>
        <v>0</v>
      </c>
      <c r="N43" s="519">
        <f>IF(AND(ISNUMBER($F43),ISNUMBER($G43),ISNUMBER($H43)),IF(AND(N$15&gt;=$F43,N$15&lt;=YEAR('2. START'!$C$19),N$15&lt;=($F43+$G43-1)),$H43/$G43,0),0)</f>
        <v>0</v>
      </c>
      <c r="O43" s="519">
        <f>IF(AND(ISNUMBER($F43),ISNUMBER($G43),ISNUMBER($H43)),IF(AND(O$15&gt;=$F43,O$15&lt;=YEAR('2. START'!$C$19),O$15&lt;=($F43+$G43-1)),$H43/$G43,0),0)</f>
        <v>0</v>
      </c>
      <c r="P43" s="519">
        <f>IF(AND(ISNUMBER($F43),ISNUMBER($G43),ISNUMBER($H43)),IF(AND(P$15&gt;=$F43,P$15&lt;=YEAR('2. START'!$C$19),P$15&lt;=($F43+$G43-1)),$H43/$G43,0),0)</f>
        <v>0</v>
      </c>
      <c r="Q43" s="519">
        <f>IF(AND(ISNUMBER($F43),ISNUMBER($G43),ISNUMBER($H43)),IF(AND(Q$15&gt;=$F43,Q$15&lt;=YEAR('2. START'!$C$19),Q$15&lt;=($F43+$G43-1)),$H43/$G43,0),0)</f>
        <v>0</v>
      </c>
      <c r="R43" s="519">
        <f>IF(AND(ISNUMBER($F43),ISNUMBER($G43),ISNUMBER($H43)),IF(AND(R$15&gt;=$F43,R$15&lt;=YEAR('2. START'!$C$19),R$15&lt;=($F43+$G43-1)),$H43/$G43,0),0)</f>
        <v>0</v>
      </c>
      <c r="S43" s="520">
        <f t="shared" si="10"/>
        <v>0</v>
      </c>
      <c r="U43" s="517">
        <f>IF('2. START'!C$13="PERSON+OPERATION+INVEST+FACILIT",'2. START'!C$12,0)</f>
        <v>0</v>
      </c>
      <c r="V43" s="557"/>
      <c r="W43" s="519">
        <f t="shared" si="11"/>
        <v>0</v>
      </c>
      <c r="X43" s="519">
        <f t="shared" si="12"/>
        <v>0</v>
      </c>
      <c r="Y43" s="519">
        <f t="shared" si="13"/>
        <v>0</v>
      </c>
      <c r="Z43" s="519">
        <f t="shared" si="14"/>
        <v>0</v>
      </c>
      <c r="AA43" s="519">
        <f t="shared" si="15"/>
        <v>0</v>
      </c>
      <c r="AB43" s="519">
        <f t="shared" si="16"/>
        <v>0</v>
      </c>
      <c r="AC43" s="519">
        <f t="shared" si="17"/>
        <v>0</v>
      </c>
      <c r="AD43" s="519">
        <f t="shared" si="18"/>
        <v>0</v>
      </c>
      <c r="AE43" s="519">
        <f t="shared" si="19"/>
        <v>0</v>
      </c>
      <c r="AF43" s="519">
        <f t="shared" si="20"/>
        <v>0</v>
      </c>
      <c r="AG43" s="520">
        <f t="shared" si="21"/>
        <v>0</v>
      </c>
      <c r="AI43" s="519">
        <f t="shared" si="22"/>
        <v>0</v>
      </c>
      <c r="AJ43" s="519">
        <f t="shared" si="23"/>
        <v>0</v>
      </c>
      <c r="AK43" s="519">
        <f t="shared" si="24"/>
        <v>0</v>
      </c>
      <c r="AL43" s="519">
        <f t="shared" si="25"/>
        <v>0</v>
      </c>
      <c r="AM43" s="519">
        <f t="shared" si="26"/>
        <v>0</v>
      </c>
      <c r="AN43" s="519">
        <f t="shared" si="27"/>
        <v>0</v>
      </c>
      <c r="AO43" s="519">
        <f t="shared" si="28"/>
        <v>0</v>
      </c>
      <c r="AP43" s="519">
        <f t="shared" si="29"/>
        <v>0</v>
      </c>
      <c r="AQ43" s="519">
        <f t="shared" si="30"/>
        <v>0</v>
      </c>
      <c r="AR43" s="519">
        <f t="shared" si="31"/>
        <v>0</v>
      </c>
      <c r="AS43" s="520">
        <f t="shared" si="32"/>
        <v>0</v>
      </c>
      <c r="AU43" s="519">
        <f t="shared" si="33"/>
        <v>0</v>
      </c>
      <c r="AV43" s="519">
        <f t="shared" si="34"/>
        <v>0</v>
      </c>
      <c r="AW43" s="519">
        <f t="shared" si="35"/>
        <v>0</v>
      </c>
      <c r="AX43" s="519">
        <f t="shared" si="36"/>
        <v>0</v>
      </c>
      <c r="AY43" s="519">
        <f t="shared" si="37"/>
        <v>0</v>
      </c>
      <c r="AZ43" s="519">
        <f t="shared" si="38"/>
        <v>0</v>
      </c>
      <c r="BA43" s="519">
        <f t="shared" si="39"/>
        <v>0</v>
      </c>
      <c r="BB43" s="519">
        <f t="shared" si="40"/>
        <v>0</v>
      </c>
      <c r="BC43" s="519">
        <f t="shared" si="41"/>
        <v>0</v>
      </c>
      <c r="BD43" s="519">
        <f t="shared" si="42"/>
        <v>0</v>
      </c>
      <c r="BE43" s="520">
        <f t="shared" si="43"/>
        <v>0</v>
      </c>
      <c r="BG43" s="519">
        <f t="shared" si="44"/>
        <v>0</v>
      </c>
      <c r="BH43" s="519">
        <f t="shared" si="45"/>
        <v>0</v>
      </c>
      <c r="BI43" s="519">
        <f t="shared" si="46"/>
        <v>0</v>
      </c>
      <c r="BJ43" s="519">
        <f t="shared" si="47"/>
        <v>0</v>
      </c>
      <c r="BK43" s="519">
        <f t="shared" si="48"/>
        <v>0</v>
      </c>
      <c r="BL43" s="519">
        <f t="shared" si="49"/>
        <v>0</v>
      </c>
      <c r="BM43" s="519">
        <f t="shared" si="50"/>
        <v>0</v>
      </c>
      <c r="BN43" s="519">
        <f t="shared" si="51"/>
        <v>0</v>
      </c>
      <c r="BO43" s="519">
        <f t="shared" si="52"/>
        <v>0</v>
      </c>
      <c r="BP43" s="519">
        <f t="shared" si="53"/>
        <v>0</v>
      </c>
      <c r="BQ43" s="520">
        <f t="shared" si="54"/>
        <v>0</v>
      </c>
    </row>
    <row r="44" spans="2:69" s="268" customFormat="1" ht="15" customHeight="1" x14ac:dyDescent="0.25">
      <c r="B44" s="446" t="str">
        <f>'2. START'!C$7</f>
        <v>100GEM</v>
      </c>
      <c r="C44" s="469"/>
      <c r="D44" s="594"/>
      <c r="E44" s="522">
        <v>0</v>
      </c>
      <c r="F44" s="561"/>
      <c r="G44" s="564"/>
      <c r="H44" s="567"/>
      <c r="I44" s="459">
        <f>IF(AND(ISNUMBER($F44),ISNUMBER($G44),ISNUMBER($H44)),IF(AND(I$15&gt;=$F44,I$15&lt;=YEAR('2. START'!$C$19),I$15&lt;=($F44+$G44-1)),$H44/$G44,0),0)</f>
        <v>0</v>
      </c>
      <c r="J44" s="459">
        <f>IF(AND(ISNUMBER($F44),ISNUMBER($G44),ISNUMBER($H44)),IF(AND(J$15&gt;=$F44,J$15&lt;=YEAR('2. START'!$C$19),J$15&lt;=($F44+$G44-1)),$H44/$G44,0),0)</f>
        <v>0</v>
      </c>
      <c r="K44" s="459">
        <f>IF(AND(ISNUMBER($F44),ISNUMBER($G44),ISNUMBER($H44)),IF(AND(K$15&gt;=$F44,K$15&lt;=YEAR('2. START'!$C$19),K$15&lt;=($F44+$G44-1)),$H44/$G44,0),0)</f>
        <v>0</v>
      </c>
      <c r="L44" s="459">
        <f>IF(AND(ISNUMBER($F44),ISNUMBER($G44),ISNUMBER($H44)),IF(AND(L$15&gt;=$F44,L$15&lt;=YEAR('2. START'!$C$19),L$15&lt;=($F44+$G44-1)),$H44/$G44,0),0)</f>
        <v>0</v>
      </c>
      <c r="M44" s="459">
        <f>IF(AND(ISNUMBER($F44),ISNUMBER($G44),ISNUMBER($H44)),IF(AND(M$15&gt;=$F44,M$15&lt;=YEAR('2. START'!$C$19),M$15&lt;=($F44+$G44-1)),$H44/$G44,0),0)</f>
        <v>0</v>
      </c>
      <c r="N44" s="459">
        <f>IF(AND(ISNUMBER($F44),ISNUMBER($G44),ISNUMBER($H44)),IF(AND(N$15&gt;=$F44,N$15&lt;=YEAR('2. START'!$C$19),N$15&lt;=($F44+$G44-1)),$H44/$G44,0),0)</f>
        <v>0</v>
      </c>
      <c r="O44" s="459">
        <f>IF(AND(ISNUMBER($F44),ISNUMBER($G44),ISNUMBER($H44)),IF(AND(O$15&gt;=$F44,O$15&lt;=YEAR('2. START'!$C$19),O$15&lt;=($F44+$G44-1)),$H44/$G44,0),0)</f>
        <v>0</v>
      </c>
      <c r="P44" s="459">
        <f>IF(AND(ISNUMBER($F44),ISNUMBER($G44),ISNUMBER($H44)),IF(AND(P$15&gt;=$F44,P$15&lt;=YEAR('2. START'!$C$19),P$15&lt;=($F44+$G44-1)),$H44/$G44,0),0)</f>
        <v>0</v>
      </c>
      <c r="Q44" s="459">
        <f>IF(AND(ISNUMBER($F44),ISNUMBER($G44),ISNUMBER($H44)),IF(AND(Q$15&gt;=$F44,Q$15&lt;=YEAR('2. START'!$C$19),Q$15&lt;=($F44+$G44-1)),$H44/$G44,0),0)</f>
        <v>0</v>
      </c>
      <c r="R44" s="459">
        <f>IF(AND(ISNUMBER($F44),ISNUMBER($G44),ISNUMBER($H44)),IF(AND(R$15&gt;=$F44,R$15&lt;=YEAR('2. START'!$C$19),R$15&lt;=($F44+$G44-1)),$H44/$G44,0),0)</f>
        <v>0</v>
      </c>
      <c r="S44" s="460">
        <f t="shared" si="10"/>
        <v>0</v>
      </c>
      <c r="T44" s="463"/>
      <c r="U44" s="454">
        <f>IF('2. START'!C$13="PERSON+OPERATION+INVEST+FACILIT",'2. START'!C$12,0)</f>
        <v>0</v>
      </c>
      <c r="V44" s="556"/>
      <c r="W44" s="459">
        <f t="shared" si="11"/>
        <v>0</v>
      </c>
      <c r="X44" s="459">
        <f t="shared" si="12"/>
        <v>0</v>
      </c>
      <c r="Y44" s="459">
        <f t="shared" si="13"/>
        <v>0</v>
      </c>
      <c r="Z44" s="459">
        <f t="shared" si="14"/>
        <v>0</v>
      </c>
      <c r="AA44" s="459">
        <f t="shared" si="15"/>
        <v>0</v>
      </c>
      <c r="AB44" s="459">
        <f t="shared" si="16"/>
        <v>0</v>
      </c>
      <c r="AC44" s="459">
        <f t="shared" si="17"/>
        <v>0</v>
      </c>
      <c r="AD44" s="459">
        <f t="shared" si="18"/>
        <v>0</v>
      </c>
      <c r="AE44" s="459">
        <f t="shared" si="19"/>
        <v>0</v>
      </c>
      <c r="AF44" s="459">
        <f t="shared" si="20"/>
        <v>0</v>
      </c>
      <c r="AG44" s="460">
        <f t="shared" si="21"/>
        <v>0</v>
      </c>
      <c r="AH44" s="463"/>
      <c r="AI44" s="459">
        <f t="shared" si="22"/>
        <v>0</v>
      </c>
      <c r="AJ44" s="459">
        <f t="shared" si="23"/>
        <v>0</v>
      </c>
      <c r="AK44" s="459">
        <f t="shared" si="24"/>
        <v>0</v>
      </c>
      <c r="AL44" s="459">
        <f t="shared" si="25"/>
        <v>0</v>
      </c>
      <c r="AM44" s="459">
        <f t="shared" si="26"/>
        <v>0</v>
      </c>
      <c r="AN44" s="459">
        <f t="shared" si="27"/>
        <v>0</v>
      </c>
      <c r="AO44" s="459">
        <f t="shared" si="28"/>
        <v>0</v>
      </c>
      <c r="AP44" s="459">
        <f t="shared" si="29"/>
        <v>0</v>
      </c>
      <c r="AQ44" s="459">
        <f t="shared" si="30"/>
        <v>0</v>
      </c>
      <c r="AR44" s="459">
        <f t="shared" si="31"/>
        <v>0</v>
      </c>
      <c r="AS44" s="460">
        <f t="shared" si="32"/>
        <v>0</v>
      </c>
      <c r="AT44" s="463"/>
      <c r="AU44" s="459">
        <f t="shared" si="33"/>
        <v>0</v>
      </c>
      <c r="AV44" s="459">
        <f t="shared" si="34"/>
        <v>0</v>
      </c>
      <c r="AW44" s="459">
        <f t="shared" si="35"/>
        <v>0</v>
      </c>
      <c r="AX44" s="459">
        <f t="shared" si="36"/>
        <v>0</v>
      </c>
      <c r="AY44" s="459">
        <f t="shared" si="37"/>
        <v>0</v>
      </c>
      <c r="AZ44" s="459">
        <f t="shared" si="38"/>
        <v>0</v>
      </c>
      <c r="BA44" s="459">
        <f t="shared" si="39"/>
        <v>0</v>
      </c>
      <c r="BB44" s="459">
        <f t="shared" si="40"/>
        <v>0</v>
      </c>
      <c r="BC44" s="459">
        <f t="shared" si="41"/>
        <v>0</v>
      </c>
      <c r="BD44" s="459">
        <f t="shared" si="42"/>
        <v>0</v>
      </c>
      <c r="BE44" s="460">
        <f t="shared" si="43"/>
        <v>0</v>
      </c>
      <c r="BF44" s="463"/>
      <c r="BG44" s="459">
        <f t="shared" si="44"/>
        <v>0</v>
      </c>
      <c r="BH44" s="459">
        <f t="shared" si="45"/>
        <v>0</v>
      </c>
      <c r="BI44" s="459">
        <f t="shared" si="46"/>
        <v>0</v>
      </c>
      <c r="BJ44" s="459">
        <f t="shared" si="47"/>
        <v>0</v>
      </c>
      <c r="BK44" s="459">
        <f t="shared" si="48"/>
        <v>0</v>
      </c>
      <c r="BL44" s="459">
        <f t="shared" si="49"/>
        <v>0</v>
      </c>
      <c r="BM44" s="459">
        <f t="shared" si="50"/>
        <v>0</v>
      </c>
      <c r="BN44" s="459">
        <f t="shared" si="51"/>
        <v>0</v>
      </c>
      <c r="BO44" s="459">
        <f t="shared" si="52"/>
        <v>0</v>
      </c>
      <c r="BP44" s="459">
        <f t="shared" si="53"/>
        <v>0</v>
      </c>
      <c r="BQ44" s="460">
        <f t="shared" si="54"/>
        <v>0</v>
      </c>
    </row>
    <row r="45" spans="2:69" s="268" customFormat="1" ht="15" customHeight="1" x14ac:dyDescent="0.25">
      <c r="B45" s="464" t="str">
        <f>'2. START'!C$7</f>
        <v>100GEM</v>
      </c>
      <c r="C45" s="470"/>
      <c r="D45" s="593"/>
      <c r="E45" s="527">
        <v>0</v>
      </c>
      <c r="F45" s="562"/>
      <c r="G45" s="565"/>
      <c r="H45" s="568"/>
      <c r="I45" s="519">
        <f>IF(AND(ISNUMBER($F45),ISNUMBER($G45),ISNUMBER($H45)),IF(AND(I$15&gt;=$F45,I$15&lt;=YEAR('2. START'!$C$19),I$15&lt;=($F45+$G45-1)),$H45/$G45,0),0)</f>
        <v>0</v>
      </c>
      <c r="J45" s="519">
        <f>IF(AND(ISNUMBER($F45),ISNUMBER($G45),ISNUMBER($H45)),IF(AND(J$15&gt;=$F45,J$15&lt;=YEAR('2. START'!$C$19),J$15&lt;=($F45+$G45-1)),$H45/$G45,0),0)</f>
        <v>0</v>
      </c>
      <c r="K45" s="519">
        <f>IF(AND(ISNUMBER($F45),ISNUMBER($G45),ISNUMBER($H45)),IF(AND(K$15&gt;=$F45,K$15&lt;=YEAR('2. START'!$C$19),K$15&lt;=($F45+$G45-1)),$H45/$G45,0),0)</f>
        <v>0</v>
      </c>
      <c r="L45" s="519">
        <f>IF(AND(ISNUMBER($F45),ISNUMBER($G45),ISNUMBER($H45)),IF(AND(L$15&gt;=$F45,L$15&lt;=YEAR('2. START'!$C$19),L$15&lt;=($F45+$G45-1)),$H45/$G45,0),0)</f>
        <v>0</v>
      </c>
      <c r="M45" s="519">
        <f>IF(AND(ISNUMBER($F45),ISNUMBER($G45),ISNUMBER($H45)),IF(AND(M$15&gt;=$F45,M$15&lt;=YEAR('2. START'!$C$19),M$15&lt;=($F45+$G45-1)),$H45/$G45,0),0)</f>
        <v>0</v>
      </c>
      <c r="N45" s="519">
        <f>IF(AND(ISNUMBER($F45),ISNUMBER($G45),ISNUMBER($H45)),IF(AND(N$15&gt;=$F45,N$15&lt;=YEAR('2. START'!$C$19),N$15&lt;=($F45+$G45-1)),$H45/$G45,0),0)</f>
        <v>0</v>
      </c>
      <c r="O45" s="519">
        <f>IF(AND(ISNUMBER($F45),ISNUMBER($G45),ISNUMBER($H45)),IF(AND(O$15&gt;=$F45,O$15&lt;=YEAR('2. START'!$C$19),O$15&lt;=($F45+$G45-1)),$H45/$G45,0),0)</f>
        <v>0</v>
      </c>
      <c r="P45" s="519">
        <f>IF(AND(ISNUMBER($F45),ISNUMBER($G45),ISNUMBER($H45)),IF(AND(P$15&gt;=$F45,P$15&lt;=YEAR('2. START'!$C$19),P$15&lt;=($F45+$G45-1)),$H45/$G45,0),0)</f>
        <v>0</v>
      </c>
      <c r="Q45" s="519">
        <f>IF(AND(ISNUMBER($F45),ISNUMBER($G45),ISNUMBER($H45)),IF(AND(Q$15&gt;=$F45,Q$15&lt;=YEAR('2. START'!$C$19),Q$15&lt;=($F45+$G45-1)),$H45/$G45,0),0)</f>
        <v>0</v>
      </c>
      <c r="R45" s="519">
        <f>IF(AND(ISNUMBER($F45),ISNUMBER($G45),ISNUMBER($H45)),IF(AND(R$15&gt;=$F45,R$15&lt;=YEAR('2. START'!$C$19),R$15&lt;=($F45+$G45-1)),$H45/$G45,0),0)</f>
        <v>0</v>
      </c>
      <c r="S45" s="520">
        <f t="shared" si="10"/>
        <v>0</v>
      </c>
      <c r="U45" s="517">
        <f>IF('2. START'!C$13="PERSON+OPERATION+INVEST+FACILIT",'2. START'!C$12,0)</f>
        <v>0</v>
      </c>
      <c r="V45" s="557"/>
      <c r="W45" s="519">
        <f t="shared" si="11"/>
        <v>0</v>
      </c>
      <c r="X45" s="519">
        <f t="shared" si="12"/>
        <v>0</v>
      </c>
      <c r="Y45" s="519">
        <f t="shared" si="13"/>
        <v>0</v>
      </c>
      <c r="Z45" s="519">
        <f t="shared" si="14"/>
        <v>0</v>
      </c>
      <c r="AA45" s="519">
        <f t="shared" si="15"/>
        <v>0</v>
      </c>
      <c r="AB45" s="519">
        <f t="shared" si="16"/>
        <v>0</v>
      </c>
      <c r="AC45" s="519">
        <f t="shared" si="17"/>
        <v>0</v>
      </c>
      <c r="AD45" s="519">
        <f t="shared" si="18"/>
        <v>0</v>
      </c>
      <c r="AE45" s="519">
        <f t="shared" si="19"/>
        <v>0</v>
      </c>
      <c r="AF45" s="519">
        <f t="shared" si="20"/>
        <v>0</v>
      </c>
      <c r="AG45" s="520">
        <f t="shared" si="21"/>
        <v>0</v>
      </c>
      <c r="AI45" s="519">
        <f t="shared" si="22"/>
        <v>0</v>
      </c>
      <c r="AJ45" s="519">
        <f t="shared" si="23"/>
        <v>0</v>
      </c>
      <c r="AK45" s="519">
        <f t="shared" si="24"/>
        <v>0</v>
      </c>
      <c r="AL45" s="519">
        <f t="shared" si="25"/>
        <v>0</v>
      </c>
      <c r="AM45" s="519">
        <f t="shared" si="26"/>
        <v>0</v>
      </c>
      <c r="AN45" s="519">
        <f t="shared" si="27"/>
        <v>0</v>
      </c>
      <c r="AO45" s="519">
        <f t="shared" si="28"/>
        <v>0</v>
      </c>
      <c r="AP45" s="519">
        <f t="shared" si="29"/>
        <v>0</v>
      </c>
      <c r="AQ45" s="519">
        <f t="shared" si="30"/>
        <v>0</v>
      </c>
      <c r="AR45" s="519">
        <f t="shared" si="31"/>
        <v>0</v>
      </c>
      <c r="AS45" s="520">
        <f t="shared" si="32"/>
        <v>0</v>
      </c>
      <c r="AU45" s="519">
        <f t="shared" si="33"/>
        <v>0</v>
      </c>
      <c r="AV45" s="519">
        <f t="shared" si="34"/>
        <v>0</v>
      </c>
      <c r="AW45" s="519">
        <f t="shared" si="35"/>
        <v>0</v>
      </c>
      <c r="AX45" s="519">
        <f t="shared" si="36"/>
        <v>0</v>
      </c>
      <c r="AY45" s="519">
        <f t="shared" si="37"/>
        <v>0</v>
      </c>
      <c r="AZ45" s="519">
        <f t="shared" si="38"/>
        <v>0</v>
      </c>
      <c r="BA45" s="519">
        <f t="shared" si="39"/>
        <v>0</v>
      </c>
      <c r="BB45" s="519">
        <f t="shared" si="40"/>
        <v>0</v>
      </c>
      <c r="BC45" s="519">
        <f t="shared" si="41"/>
        <v>0</v>
      </c>
      <c r="BD45" s="519">
        <f t="shared" si="42"/>
        <v>0</v>
      </c>
      <c r="BE45" s="520">
        <f t="shared" si="43"/>
        <v>0</v>
      </c>
      <c r="BG45" s="519">
        <f t="shared" si="44"/>
        <v>0</v>
      </c>
      <c r="BH45" s="519">
        <f t="shared" si="45"/>
        <v>0</v>
      </c>
      <c r="BI45" s="519">
        <f t="shared" si="46"/>
        <v>0</v>
      </c>
      <c r="BJ45" s="519">
        <f t="shared" si="47"/>
        <v>0</v>
      </c>
      <c r="BK45" s="519">
        <f t="shared" si="48"/>
        <v>0</v>
      </c>
      <c r="BL45" s="519">
        <f t="shared" si="49"/>
        <v>0</v>
      </c>
      <c r="BM45" s="519">
        <f t="shared" si="50"/>
        <v>0</v>
      </c>
      <c r="BN45" s="519">
        <f t="shared" si="51"/>
        <v>0</v>
      </c>
      <c r="BO45" s="519">
        <f t="shared" si="52"/>
        <v>0</v>
      </c>
      <c r="BP45" s="519">
        <f t="shared" si="53"/>
        <v>0</v>
      </c>
      <c r="BQ45" s="520">
        <f t="shared" si="54"/>
        <v>0</v>
      </c>
    </row>
    <row r="46" spans="2:69" s="268" customFormat="1" ht="15" customHeight="1" x14ac:dyDescent="0.25">
      <c r="B46" s="446" t="str">
        <f>'2. START'!C$7</f>
        <v>100GEM</v>
      </c>
      <c r="C46" s="469"/>
      <c r="D46" s="594"/>
      <c r="E46" s="522">
        <v>0</v>
      </c>
      <c r="F46" s="561"/>
      <c r="G46" s="564"/>
      <c r="H46" s="567"/>
      <c r="I46" s="459">
        <f>IF(AND(ISNUMBER($F46),ISNUMBER($G46),ISNUMBER($H46)),IF(AND(I$15&gt;=$F46,I$15&lt;=YEAR('2. START'!$C$19),I$15&lt;=($F46+$G46-1)),$H46/$G46,0),0)</f>
        <v>0</v>
      </c>
      <c r="J46" s="459">
        <f>IF(AND(ISNUMBER($F46),ISNUMBER($G46),ISNUMBER($H46)),IF(AND(J$15&gt;=$F46,J$15&lt;=YEAR('2. START'!$C$19),J$15&lt;=($F46+$G46-1)),$H46/$G46,0),0)</f>
        <v>0</v>
      </c>
      <c r="K46" s="459">
        <f>IF(AND(ISNUMBER($F46),ISNUMBER($G46),ISNUMBER($H46)),IF(AND(K$15&gt;=$F46,K$15&lt;=YEAR('2. START'!$C$19),K$15&lt;=($F46+$G46-1)),$H46/$G46,0),0)</f>
        <v>0</v>
      </c>
      <c r="L46" s="459">
        <f>IF(AND(ISNUMBER($F46),ISNUMBER($G46),ISNUMBER($H46)),IF(AND(L$15&gt;=$F46,L$15&lt;=YEAR('2. START'!$C$19),L$15&lt;=($F46+$G46-1)),$H46/$G46,0),0)</f>
        <v>0</v>
      </c>
      <c r="M46" s="459">
        <f>IF(AND(ISNUMBER($F46),ISNUMBER($G46),ISNUMBER($H46)),IF(AND(M$15&gt;=$F46,M$15&lt;=YEAR('2. START'!$C$19),M$15&lt;=($F46+$G46-1)),$H46/$G46,0),0)</f>
        <v>0</v>
      </c>
      <c r="N46" s="459">
        <f>IF(AND(ISNUMBER($F46),ISNUMBER($G46),ISNUMBER($H46)),IF(AND(N$15&gt;=$F46,N$15&lt;=YEAR('2. START'!$C$19),N$15&lt;=($F46+$G46-1)),$H46/$G46,0),0)</f>
        <v>0</v>
      </c>
      <c r="O46" s="459">
        <f>IF(AND(ISNUMBER($F46),ISNUMBER($G46),ISNUMBER($H46)),IF(AND(O$15&gt;=$F46,O$15&lt;=YEAR('2. START'!$C$19),O$15&lt;=($F46+$G46-1)),$H46/$G46,0),0)</f>
        <v>0</v>
      </c>
      <c r="P46" s="459">
        <f>IF(AND(ISNUMBER($F46),ISNUMBER($G46),ISNUMBER($H46)),IF(AND(P$15&gt;=$F46,P$15&lt;=YEAR('2. START'!$C$19),P$15&lt;=($F46+$G46-1)),$H46/$G46,0),0)</f>
        <v>0</v>
      </c>
      <c r="Q46" s="459">
        <f>IF(AND(ISNUMBER($F46),ISNUMBER($G46),ISNUMBER($H46)),IF(AND(Q$15&gt;=$F46,Q$15&lt;=YEAR('2. START'!$C$19),Q$15&lt;=($F46+$G46-1)),$H46/$G46,0),0)</f>
        <v>0</v>
      </c>
      <c r="R46" s="459">
        <f>IF(AND(ISNUMBER($F46),ISNUMBER($G46),ISNUMBER($H46)),IF(AND(R$15&gt;=$F46,R$15&lt;=YEAR('2. START'!$C$19),R$15&lt;=($F46+$G46-1)),$H46/$G46,0),0)</f>
        <v>0</v>
      </c>
      <c r="S46" s="460">
        <f t="shared" si="10"/>
        <v>0</v>
      </c>
      <c r="T46" s="463"/>
      <c r="U46" s="454">
        <f>IF('2. START'!C$13="PERSON+OPERATION+INVEST+FACILIT",'2. START'!C$12,0)</f>
        <v>0</v>
      </c>
      <c r="V46" s="556"/>
      <c r="W46" s="459">
        <f t="shared" si="11"/>
        <v>0</v>
      </c>
      <c r="X46" s="459">
        <f t="shared" si="12"/>
        <v>0</v>
      </c>
      <c r="Y46" s="459">
        <f t="shared" si="13"/>
        <v>0</v>
      </c>
      <c r="Z46" s="459">
        <f t="shared" si="14"/>
        <v>0</v>
      </c>
      <c r="AA46" s="459">
        <f t="shared" si="15"/>
        <v>0</v>
      </c>
      <c r="AB46" s="459">
        <f t="shared" si="16"/>
        <v>0</v>
      </c>
      <c r="AC46" s="459">
        <f t="shared" si="17"/>
        <v>0</v>
      </c>
      <c r="AD46" s="459">
        <f t="shared" si="18"/>
        <v>0</v>
      </c>
      <c r="AE46" s="459">
        <f t="shared" si="19"/>
        <v>0</v>
      </c>
      <c r="AF46" s="459">
        <f t="shared" si="20"/>
        <v>0</v>
      </c>
      <c r="AG46" s="460">
        <f t="shared" si="21"/>
        <v>0</v>
      </c>
      <c r="AH46" s="463"/>
      <c r="AI46" s="459">
        <f t="shared" si="22"/>
        <v>0</v>
      </c>
      <c r="AJ46" s="459">
        <f t="shared" si="23"/>
        <v>0</v>
      </c>
      <c r="AK46" s="459">
        <f t="shared" si="24"/>
        <v>0</v>
      </c>
      <c r="AL46" s="459">
        <f t="shared" si="25"/>
        <v>0</v>
      </c>
      <c r="AM46" s="459">
        <f t="shared" si="26"/>
        <v>0</v>
      </c>
      <c r="AN46" s="459">
        <f t="shared" si="27"/>
        <v>0</v>
      </c>
      <c r="AO46" s="459">
        <f t="shared" si="28"/>
        <v>0</v>
      </c>
      <c r="AP46" s="459">
        <f t="shared" si="29"/>
        <v>0</v>
      </c>
      <c r="AQ46" s="459">
        <f t="shared" si="30"/>
        <v>0</v>
      </c>
      <c r="AR46" s="459">
        <f t="shared" si="31"/>
        <v>0</v>
      </c>
      <c r="AS46" s="460">
        <f t="shared" si="32"/>
        <v>0</v>
      </c>
      <c r="AT46" s="463"/>
      <c r="AU46" s="459">
        <f t="shared" si="33"/>
        <v>0</v>
      </c>
      <c r="AV46" s="459">
        <f t="shared" si="34"/>
        <v>0</v>
      </c>
      <c r="AW46" s="459">
        <f t="shared" si="35"/>
        <v>0</v>
      </c>
      <c r="AX46" s="459">
        <f t="shared" si="36"/>
        <v>0</v>
      </c>
      <c r="AY46" s="459">
        <f t="shared" si="37"/>
        <v>0</v>
      </c>
      <c r="AZ46" s="459">
        <f t="shared" si="38"/>
        <v>0</v>
      </c>
      <c r="BA46" s="459">
        <f t="shared" si="39"/>
        <v>0</v>
      </c>
      <c r="BB46" s="459">
        <f t="shared" si="40"/>
        <v>0</v>
      </c>
      <c r="BC46" s="459">
        <f t="shared" si="41"/>
        <v>0</v>
      </c>
      <c r="BD46" s="459">
        <f t="shared" si="42"/>
        <v>0</v>
      </c>
      <c r="BE46" s="460">
        <f t="shared" si="43"/>
        <v>0</v>
      </c>
      <c r="BF46" s="463"/>
      <c r="BG46" s="459">
        <f t="shared" si="44"/>
        <v>0</v>
      </c>
      <c r="BH46" s="459">
        <f t="shared" si="45"/>
        <v>0</v>
      </c>
      <c r="BI46" s="459">
        <f t="shared" si="46"/>
        <v>0</v>
      </c>
      <c r="BJ46" s="459">
        <f t="shared" si="47"/>
        <v>0</v>
      </c>
      <c r="BK46" s="459">
        <f t="shared" si="48"/>
        <v>0</v>
      </c>
      <c r="BL46" s="459">
        <f t="shared" si="49"/>
        <v>0</v>
      </c>
      <c r="BM46" s="459">
        <f t="shared" si="50"/>
        <v>0</v>
      </c>
      <c r="BN46" s="459">
        <f t="shared" si="51"/>
        <v>0</v>
      </c>
      <c r="BO46" s="459">
        <f t="shared" si="52"/>
        <v>0</v>
      </c>
      <c r="BP46" s="459">
        <f t="shared" si="53"/>
        <v>0</v>
      </c>
      <c r="BQ46" s="460">
        <f t="shared" si="54"/>
        <v>0</v>
      </c>
    </row>
    <row r="47" spans="2:69" s="268" customFormat="1" ht="15" customHeight="1" x14ac:dyDescent="0.25">
      <c r="B47" s="464" t="str">
        <f>'2. START'!C$7</f>
        <v>100GEM</v>
      </c>
      <c r="C47" s="470"/>
      <c r="D47" s="593"/>
      <c r="E47" s="527">
        <v>0</v>
      </c>
      <c r="F47" s="562"/>
      <c r="G47" s="565"/>
      <c r="H47" s="568"/>
      <c r="I47" s="519">
        <f>IF(AND(ISNUMBER($F47),ISNUMBER($G47),ISNUMBER($H47)),IF(AND(I$15&gt;=$F47,I$15&lt;=YEAR('2. START'!$C$19),I$15&lt;=($F47+$G47-1)),$H47/$G47,0),0)</f>
        <v>0</v>
      </c>
      <c r="J47" s="519">
        <f>IF(AND(ISNUMBER($F47),ISNUMBER($G47),ISNUMBER($H47)),IF(AND(J$15&gt;=$F47,J$15&lt;=YEAR('2. START'!$C$19),J$15&lt;=($F47+$G47-1)),$H47/$G47,0),0)</f>
        <v>0</v>
      </c>
      <c r="K47" s="519">
        <f>IF(AND(ISNUMBER($F47),ISNUMBER($G47),ISNUMBER($H47)),IF(AND(K$15&gt;=$F47,K$15&lt;=YEAR('2. START'!$C$19),K$15&lt;=($F47+$G47-1)),$H47/$G47,0),0)</f>
        <v>0</v>
      </c>
      <c r="L47" s="519">
        <f>IF(AND(ISNUMBER($F47),ISNUMBER($G47),ISNUMBER($H47)),IF(AND(L$15&gt;=$F47,L$15&lt;=YEAR('2. START'!$C$19),L$15&lt;=($F47+$G47-1)),$H47/$G47,0),0)</f>
        <v>0</v>
      </c>
      <c r="M47" s="519">
        <f>IF(AND(ISNUMBER($F47),ISNUMBER($G47),ISNUMBER($H47)),IF(AND(M$15&gt;=$F47,M$15&lt;=YEAR('2. START'!$C$19),M$15&lt;=($F47+$G47-1)),$H47/$G47,0),0)</f>
        <v>0</v>
      </c>
      <c r="N47" s="519">
        <f>IF(AND(ISNUMBER($F47),ISNUMBER($G47),ISNUMBER($H47)),IF(AND(N$15&gt;=$F47,N$15&lt;=YEAR('2. START'!$C$19),N$15&lt;=($F47+$G47-1)),$H47/$G47,0),0)</f>
        <v>0</v>
      </c>
      <c r="O47" s="519">
        <f>IF(AND(ISNUMBER($F47),ISNUMBER($G47),ISNUMBER($H47)),IF(AND(O$15&gt;=$F47,O$15&lt;=YEAR('2. START'!$C$19),O$15&lt;=($F47+$G47-1)),$H47/$G47,0),0)</f>
        <v>0</v>
      </c>
      <c r="P47" s="519">
        <f>IF(AND(ISNUMBER($F47),ISNUMBER($G47),ISNUMBER($H47)),IF(AND(P$15&gt;=$F47,P$15&lt;=YEAR('2. START'!$C$19),P$15&lt;=($F47+$G47-1)),$H47/$G47,0),0)</f>
        <v>0</v>
      </c>
      <c r="Q47" s="519">
        <f>IF(AND(ISNUMBER($F47),ISNUMBER($G47),ISNUMBER($H47)),IF(AND(Q$15&gt;=$F47,Q$15&lt;=YEAR('2. START'!$C$19),Q$15&lt;=($F47+$G47-1)),$H47/$G47,0),0)</f>
        <v>0</v>
      </c>
      <c r="R47" s="519">
        <f>IF(AND(ISNUMBER($F47),ISNUMBER($G47),ISNUMBER($H47)),IF(AND(R$15&gt;=$F47,R$15&lt;=YEAR('2. START'!$C$19),R$15&lt;=($F47+$G47-1)),$H47/$G47,0),0)</f>
        <v>0</v>
      </c>
      <c r="S47" s="520">
        <f t="shared" si="10"/>
        <v>0</v>
      </c>
      <c r="U47" s="517">
        <f>IF('2. START'!C$13="PERSON+OPERATION+INVEST+FACILIT",'2. START'!C$12,0)</f>
        <v>0</v>
      </c>
      <c r="V47" s="557"/>
      <c r="W47" s="519">
        <f t="shared" si="11"/>
        <v>0</v>
      </c>
      <c r="X47" s="519">
        <f t="shared" si="12"/>
        <v>0</v>
      </c>
      <c r="Y47" s="519">
        <f t="shared" si="13"/>
        <v>0</v>
      </c>
      <c r="Z47" s="519">
        <f t="shared" si="14"/>
        <v>0</v>
      </c>
      <c r="AA47" s="519">
        <f t="shared" si="15"/>
        <v>0</v>
      </c>
      <c r="AB47" s="519">
        <f t="shared" si="16"/>
        <v>0</v>
      </c>
      <c r="AC47" s="519">
        <f t="shared" si="17"/>
        <v>0</v>
      </c>
      <c r="AD47" s="519">
        <f t="shared" si="18"/>
        <v>0</v>
      </c>
      <c r="AE47" s="519">
        <f t="shared" si="19"/>
        <v>0</v>
      </c>
      <c r="AF47" s="519">
        <f t="shared" si="20"/>
        <v>0</v>
      </c>
      <c r="AG47" s="520">
        <f t="shared" si="21"/>
        <v>0</v>
      </c>
      <c r="AI47" s="519">
        <f t="shared" si="22"/>
        <v>0</v>
      </c>
      <c r="AJ47" s="519">
        <f t="shared" si="23"/>
        <v>0</v>
      </c>
      <c r="AK47" s="519">
        <f t="shared" si="24"/>
        <v>0</v>
      </c>
      <c r="AL47" s="519">
        <f t="shared" si="25"/>
        <v>0</v>
      </c>
      <c r="AM47" s="519">
        <f t="shared" si="26"/>
        <v>0</v>
      </c>
      <c r="AN47" s="519">
        <f t="shared" si="27"/>
        <v>0</v>
      </c>
      <c r="AO47" s="519">
        <f t="shared" si="28"/>
        <v>0</v>
      </c>
      <c r="AP47" s="519">
        <f t="shared" si="29"/>
        <v>0</v>
      </c>
      <c r="AQ47" s="519">
        <f t="shared" si="30"/>
        <v>0</v>
      </c>
      <c r="AR47" s="519">
        <f t="shared" si="31"/>
        <v>0</v>
      </c>
      <c r="AS47" s="520">
        <f t="shared" si="32"/>
        <v>0</v>
      </c>
      <c r="AU47" s="519">
        <f t="shared" si="33"/>
        <v>0</v>
      </c>
      <c r="AV47" s="519">
        <f t="shared" si="34"/>
        <v>0</v>
      </c>
      <c r="AW47" s="519">
        <f t="shared" si="35"/>
        <v>0</v>
      </c>
      <c r="AX47" s="519">
        <f t="shared" si="36"/>
        <v>0</v>
      </c>
      <c r="AY47" s="519">
        <f t="shared" si="37"/>
        <v>0</v>
      </c>
      <c r="AZ47" s="519">
        <f t="shared" si="38"/>
        <v>0</v>
      </c>
      <c r="BA47" s="519">
        <f t="shared" si="39"/>
        <v>0</v>
      </c>
      <c r="BB47" s="519">
        <f t="shared" si="40"/>
        <v>0</v>
      </c>
      <c r="BC47" s="519">
        <f t="shared" si="41"/>
        <v>0</v>
      </c>
      <c r="BD47" s="519">
        <f t="shared" si="42"/>
        <v>0</v>
      </c>
      <c r="BE47" s="520">
        <f t="shared" si="43"/>
        <v>0</v>
      </c>
      <c r="BG47" s="519">
        <f t="shared" si="44"/>
        <v>0</v>
      </c>
      <c r="BH47" s="519">
        <f t="shared" si="45"/>
        <v>0</v>
      </c>
      <c r="BI47" s="519">
        <f t="shared" si="46"/>
        <v>0</v>
      </c>
      <c r="BJ47" s="519">
        <f t="shared" si="47"/>
        <v>0</v>
      </c>
      <c r="BK47" s="519">
        <f t="shared" si="48"/>
        <v>0</v>
      </c>
      <c r="BL47" s="519">
        <f t="shared" si="49"/>
        <v>0</v>
      </c>
      <c r="BM47" s="519">
        <f t="shared" si="50"/>
        <v>0</v>
      </c>
      <c r="BN47" s="519">
        <f t="shared" si="51"/>
        <v>0</v>
      </c>
      <c r="BO47" s="519">
        <f t="shared" si="52"/>
        <v>0</v>
      </c>
      <c r="BP47" s="519">
        <f t="shared" si="53"/>
        <v>0</v>
      </c>
      <c r="BQ47" s="520">
        <f t="shared" si="54"/>
        <v>0</v>
      </c>
    </row>
    <row r="48" spans="2:69" s="268" customFormat="1" ht="15" customHeight="1" x14ac:dyDescent="0.25">
      <c r="B48" s="446" t="str">
        <f>'2. START'!C$7</f>
        <v>100GEM</v>
      </c>
      <c r="C48" s="469"/>
      <c r="D48" s="594"/>
      <c r="E48" s="522">
        <v>0</v>
      </c>
      <c r="F48" s="561"/>
      <c r="G48" s="564"/>
      <c r="H48" s="567"/>
      <c r="I48" s="459">
        <f>IF(AND(ISNUMBER($F48),ISNUMBER($G48),ISNUMBER($H48)),IF(AND(I$15&gt;=$F48,I$15&lt;=YEAR('2. START'!$C$19),I$15&lt;=($F48+$G48-1)),$H48/$G48,0),0)</f>
        <v>0</v>
      </c>
      <c r="J48" s="459">
        <f>IF(AND(ISNUMBER($F48),ISNUMBER($G48),ISNUMBER($H48)),IF(AND(J$15&gt;=$F48,J$15&lt;=YEAR('2. START'!$C$19),J$15&lt;=($F48+$G48-1)),$H48/$G48,0),0)</f>
        <v>0</v>
      </c>
      <c r="K48" s="459">
        <f>IF(AND(ISNUMBER($F48),ISNUMBER($G48),ISNUMBER($H48)),IF(AND(K$15&gt;=$F48,K$15&lt;=YEAR('2. START'!$C$19),K$15&lt;=($F48+$G48-1)),$H48/$G48,0),0)</f>
        <v>0</v>
      </c>
      <c r="L48" s="459">
        <f>IF(AND(ISNUMBER($F48),ISNUMBER($G48),ISNUMBER($H48)),IF(AND(L$15&gt;=$F48,L$15&lt;=YEAR('2. START'!$C$19),L$15&lt;=($F48+$G48-1)),$H48/$G48,0),0)</f>
        <v>0</v>
      </c>
      <c r="M48" s="459">
        <f>IF(AND(ISNUMBER($F48),ISNUMBER($G48),ISNUMBER($H48)),IF(AND(M$15&gt;=$F48,M$15&lt;=YEAR('2. START'!$C$19),M$15&lt;=($F48+$G48-1)),$H48/$G48,0),0)</f>
        <v>0</v>
      </c>
      <c r="N48" s="459">
        <f>IF(AND(ISNUMBER($F48),ISNUMBER($G48),ISNUMBER($H48)),IF(AND(N$15&gt;=$F48,N$15&lt;=YEAR('2. START'!$C$19),N$15&lt;=($F48+$G48-1)),$H48/$G48,0),0)</f>
        <v>0</v>
      </c>
      <c r="O48" s="459">
        <f>IF(AND(ISNUMBER($F48),ISNUMBER($G48),ISNUMBER($H48)),IF(AND(O$15&gt;=$F48,O$15&lt;=YEAR('2. START'!$C$19),O$15&lt;=($F48+$G48-1)),$H48/$G48,0),0)</f>
        <v>0</v>
      </c>
      <c r="P48" s="459">
        <f>IF(AND(ISNUMBER($F48),ISNUMBER($G48),ISNUMBER($H48)),IF(AND(P$15&gt;=$F48,P$15&lt;=YEAR('2. START'!$C$19),P$15&lt;=($F48+$G48-1)),$H48/$G48,0),0)</f>
        <v>0</v>
      </c>
      <c r="Q48" s="459">
        <f>IF(AND(ISNUMBER($F48),ISNUMBER($G48),ISNUMBER($H48)),IF(AND(Q$15&gt;=$F48,Q$15&lt;=YEAR('2. START'!$C$19),Q$15&lt;=($F48+$G48-1)),$H48/$G48,0),0)</f>
        <v>0</v>
      </c>
      <c r="R48" s="459">
        <f>IF(AND(ISNUMBER($F48),ISNUMBER($G48),ISNUMBER($H48)),IF(AND(R$15&gt;=$F48,R$15&lt;=YEAR('2. START'!$C$19),R$15&lt;=($F48+$G48-1)),$H48/$G48,0),0)</f>
        <v>0</v>
      </c>
      <c r="S48" s="460">
        <f t="shared" si="10"/>
        <v>0</v>
      </c>
      <c r="T48" s="463"/>
      <c r="U48" s="454">
        <f>IF('2. START'!C$13="PERSON+OPERATION+INVEST+FACILIT",'2. START'!C$12,0)</f>
        <v>0</v>
      </c>
      <c r="V48" s="556"/>
      <c r="W48" s="459">
        <f t="shared" si="11"/>
        <v>0</v>
      </c>
      <c r="X48" s="459">
        <f t="shared" si="12"/>
        <v>0</v>
      </c>
      <c r="Y48" s="459">
        <f t="shared" si="13"/>
        <v>0</v>
      </c>
      <c r="Z48" s="459">
        <f t="shared" si="14"/>
        <v>0</v>
      </c>
      <c r="AA48" s="459">
        <f t="shared" si="15"/>
        <v>0</v>
      </c>
      <c r="AB48" s="459">
        <f t="shared" si="16"/>
        <v>0</v>
      </c>
      <c r="AC48" s="459">
        <f t="shared" si="17"/>
        <v>0</v>
      </c>
      <c r="AD48" s="459">
        <f t="shared" si="18"/>
        <v>0</v>
      </c>
      <c r="AE48" s="459">
        <f t="shared" si="19"/>
        <v>0</v>
      </c>
      <c r="AF48" s="459">
        <f t="shared" si="20"/>
        <v>0</v>
      </c>
      <c r="AG48" s="460">
        <f t="shared" si="21"/>
        <v>0</v>
      </c>
      <c r="AH48" s="463"/>
      <c r="AI48" s="459">
        <f t="shared" si="22"/>
        <v>0</v>
      </c>
      <c r="AJ48" s="459">
        <f t="shared" si="23"/>
        <v>0</v>
      </c>
      <c r="AK48" s="459">
        <f t="shared" si="24"/>
        <v>0</v>
      </c>
      <c r="AL48" s="459">
        <f t="shared" si="25"/>
        <v>0</v>
      </c>
      <c r="AM48" s="459">
        <f t="shared" si="26"/>
        <v>0</v>
      </c>
      <c r="AN48" s="459">
        <f t="shared" si="27"/>
        <v>0</v>
      </c>
      <c r="AO48" s="459">
        <f t="shared" si="28"/>
        <v>0</v>
      </c>
      <c r="AP48" s="459">
        <f t="shared" si="29"/>
        <v>0</v>
      </c>
      <c r="AQ48" s="459">
        <f t="shared" si="30"/>
        <v>0</v>
      </c>
      <c r="AR48" s="459">
        <f t="shared" si="31"/>
        <v>0</v>
      </c>
      <c r="AS48" s="460">
        <f t="shared" si="32"/>
        <v>0</v>
      </c>
      <c r="AT48" s="463"/>
      <c r="AU48" s="459">
        <f t="shared" si="33"/>
        <v>0</v>
      </c>
      <c r="AV48" s="459">
        <f t="shared" si="34"/>
        <v>0</v>
      </c>
      <c r="AW48" s="459">
        <f t="shared" si="35"/>
        <v>0</v>
      </c>
      <c r="AX48" s="459">
        <f t="shared" si="36"/>
        <v>0</v>
      </c>
      <c r="AY48" s="459">
        <f t="shared" si="37"/>
        <v>0</v>
      </c>
      <c r="AZ48" s="459">
        <f t="shared" si="38"/>
        <v>0</v>
      </c>
      <c r="BA48" s="459">
        <f t="shared" si="39"/>
        <v>0</v>
      </c>
      <c r="BB48" s="459">
        <f t="shared" si="40"/>
        <v>0</v>
      </c>
      <c r="BC48" s="459">
        <f t="shared" si="41"/>
        <v>0</v>
      </c>
      <c r="BD48" s="459">
        <f t="shared" si="42"/>
        <v>0</v>
      </c>
      <c r="BE48" s="460">
        <f t="shared" si="43"/>
        <v>0</v>
      </c>
      <c r="BF48" s="463"/>
      <c r="BG48" s="459">
        <f t="shared" si="44"/>
        <v>0</v>
      </c>
      <c r="BH48" s="459">
        <f t="shared" si="45"/>
        <v>0</v>
      </c>
      <c r="BI48" s="459">
        <f t="shared" si="46"/>
        <v>0</v>
      </c>
      <c r="BJ48" s="459">
        <f t="shared" si="47"/>
        <v>0</v>
      </c>
      <c r="BK48" s="459">
        <f t="shared" si="48"/>
        <v>0</v>
      </c>
      <c r="BL48" s="459">
        <f t="shared" si="49"/>
        <v>0</v>
      </c>
      <c r="BM48" s="459">
        <f t="shared" si="50"/>
        <v>0</v>
      </c>
      <c r="BN48" s="459">
        <f t="shared" si="51"/>
        <v>0</v>
      </c>
      <c r="BO48" s="459">
        <f t="shared" si="52"/>
        <v>0</v>
      </c>
      <c r="BP48" s="459">
        <f t="shared" si="53"/>
        <v>0</v>
      </c>
      <c r="BQ48" s="460">
        <f t="shared" si="54"/>
        <v>0</v>
      </c>
    </row>
    <row r="49" spans="2:69" s="268" customFormat="1" ht="15" customHeight="1" x14ac:dyDescent="0.25">
      <c r="B49" s="464" t="str">
        <f>'2. START'!C$7</f>
        <v>100GEM</v>
      </c>
      <c r="C49" s="470"/>
      <c r="D49" s="593"/>
      <c r="E49" s="527">
        <v>0</v>
      </c>
      <c r="F49" s="562"/>
      <c r="G49" s="565"/>
      <c r="H49" s="568"/>
      <c r="I49" s="519">
        <f>IF(AND(ISNUMBER($F49),ISNUMBER($G49),ISNUMBER($H49)),IF(AND(I$15&gt;=$F49,I$15&lt;=YEAR('2. START'!$C$19),I$15&lt;=($F49+$G49-1)),$H49/$G49,0),0)</f>
        <v>0</v>
      </c>
      <c r="J49" s="519">
        <f>IF(AND(ISNUMBER($F49),ISNUMBER($G49),ISNUMBER($H49)),IF(AND(J$15&gt;=$F49,J$15&lt;=YEAR('2. START'!$C$19),J$15&lt;=($F49+$G49-1)),$H49/$G49,0),0)</f>
        <v>0</v>
      </c>
      <c r="K49" s="519">
        <f>IF(AND(ISNUMBER($F49),ISNUMBER($G49),ISNUMBER($H49)),IF(AND(K$15&gt;=$F49,K$15&lt;=YEAR('2. START'!$C$19),K$15&lt;=($F49+$G49-1)),$H49/$G49,0),0)</f>
        <v>0</v>
      </c>
      <c r="L49" s="519">
        <f>IF(AND(ISNUMBER($F49),ISNUMBER($G49),ISNUMBER($H49)),IF(AND(L$15&gt;=$F49,L$15&lt;=YEAR('2. START'!$C$19),L$15&lt;=($F49+$G49-1)),$H49/$G49,0),0)</f>
        <v>0</v>
      </c>
      <c r="M49" s="519">
        <f>IF(AND(ISNUMBER($F49),ISNUMBER($G49),ISNUMBER($H49)),IF(AND(M$15&gt;=$F49,M$15&lt;=YEAR('2. START'!$C$19),M$15&lt;=($F49+$G49-1)),$H49/$G49,0),0)</f>
        <v>0</v>
      </c>
      <c r="N49" s="519">
        <f>IF(AND(ISNUMBER($F49),ISNUMBER($G49),ISNUMBER($H49)),IF(AND(N$15&gt;=$F49,N$15&lt;=YEAR('2. START'!$C$19),N$15&lt;=($F49+$G49-1)),$H49/$G49,0),0)</f>
        <v>0</v>
      </c>
      <c r="O49" s="519">
        <f>IF(AND(ISNUMBER($F49),ISNUMBER($G49),ISNUMBER($H49)),IF(AND(O$15&gt;=$F49,O$15&lt;=YEAR('2. START'!$C$19),O$15&lt;=($F49+$G49-1)),$H49/$G49,0),0)</f>
        <v>0</v>
      </c>
      <c r="P49" s="519">
        <f>IF(AND(ISNUMBER($F49),ISNUMBER($G49),ISNUMBER($H49)),IF(AND(P$15&gt;=$F49,P$15&lt;=YEAR('2. START'!$C$19),P$15&lt;=($F49+$G49-1)),$H49/$G49,0),0)</f>
        <v>0</v>
      </c>
      <c r="Q49" s="519">
        <f>IF(AND(ISNUMBER($F49),ISNUMBER($G49),ISNUMBER($H49)),IF(AND(Q$15&gt;=$F49,Q$15&lt;=YEAR('2. START'!$C$19),Q$15&lt;=($F49+$G49-1)),$H49/$G49,0),0)</f>
        <v>0</v>
      </c>
      <c r="R49" s="519">
        <f>IF(AND(ISNUMBER($F49),ISNUMBER($G49),ISNUMBER($H49)),IF(AND(R$15&gt;=$F49,R$15&lt;=YEAR('2. START'!$C$19),R$15&lt;=($F49+$G49-1)),$H49/$G49,0),0)</f>
        <v>0</v>
      </c>
      <c r="S49" s="520">
        <f t="shared" si="10"/>
        <v>0</v>
      </c>
      <c r="U49" s="517">
        <f>IF('2. START'!C$13="PERSON+OPERATION+INVEST+FACILIT",'2. START'!C$12,0)</f>
        <v>0</v>
      </c>
      <c r="V49" s="557"/>
      <c r="W49" s="519">
        <f t="shared" si="11"/>
        <v>0</v>
      </c>
      <c r="X49" s="519">
        <f t="shared" si="12"/>
        <v>0</v>
      </c>
      <c r="Y49" s="519">
        <f t="shared" si="13"/>
        <v>0</v>
      </c>
      <c r="Z49" s="519">
        <f t="shared" si="14"/>
        <v>0</v>
      </c>
      <c r="AA49" s="519">
        <f t="shared" si="15"/>
        <v>0</v>
      </c>
      <c r="AB49" s="519">
        <f t="shared" si="16"/>
        <v>0</v>
      </c>
      <c r="AC49" s="519">
        <f t="shared" si="17"/>
        <v>0</v>
      </c>
      <c r="AD49" s="519">
        <f t="shared" si="18"/>
        <v>0</v>
      </c>
      <c r="AE49" s="519">
        <f t="shared" si="19"/>
        <v>0</v>
      </c>
      <c r="AF49" s="519">
        <f t="shared" si="20"/>
        <v>0</v>
      </c>
      <c r="AG49" s="520">
        <f t="shared" si="21"/>
        <v>0</v>
      </c>
      <c r="AI49" s="519">
        <f t="shared" si="22"/>
        <v>0</v>
      </c>
      <c r="AJ49" s="519">
        <f t="shared" si="23"/>
        <v>0</v>
      </c>
      <c r="AK49" s="519">
        <f t="shared" si="24"/>
        <v>0</v>
      </c>
      <c r="AL49" s="519">
        <f t="shared" si="25"/>
        <v>0</v>
      </c>
      <c r="AM49" s="519">
        <f t="shared" si="26"/>
        <v>0</v>
      </c>
      <c r="AN49" s="519">
        <f t="shared" si="27"/>
        <v>0</v>
      </c>
      <c r="AO49" s="519">
        <f t="shared" si="28"/>
        <v>0</v>
      </c>
      <c r="AP49" s="519">
        <f t="shared" si="29"/>
        <v>0</v>
      </c>
      <c r="AQ49" s="519">
        <f t="shared" si="30"/>
        <v>0</v>
      </c>
      <c r="AR49" s="519">
        <f t="shared" si="31"/>
        <v>0</v>
      </c>
      <c r="AS49" s="520">
        <f t="shared" si="32"/>
        <v>0</v>
      </c>
      <c r="AU49" s="519">
        <f t="shared" si="33"/>
        <v>0</v>
      </c>
      <c r="AV49" s="519">
        <f t="shared" si="34"/>
        <v>0</v>
      </c>
      <c r="AW49" s="519">
        <f t="shared" si="35"/>
        <v>0</v>
      </c>
      <c r="AX49" s="519">
        <f t="shared" si="36"/>
        <v>0</v>
      </c>
      <c r="AY49" s="519">
        <f t="shared" si="37"/>
        <v>0</v>
      </c>
      <c r="AZ49" s="519">
        <f t="shared" si="38"/>
        <v>0</v>
      </c>
      <c r="BA49" s="519">
        <f t="shared" si="39"/>
        <v>0</v>
      </c>
      <c r="BB49" s="519">
        <f t="shared" si="40"/>
        <v>0</v>
      </c>
      <c r="BC49" s="519">
        <f t="shared" si="41"/>
        <v>0</v>
      </c>
      <c r="BD49" s="519">
        <f t="shared" si="42"/>
        <v>0</v>
      </c>
      <c r="BE49" s="520">
        <f t="shared" si="43"/>
        <v>0</v>
      </c>
      <c r="BG49" s="519">
        <f t="shared" si="44"/>
        <v>0</v>
      </c>
      <c r="BH49" s="519">
        <f t="shared" si="45"/>
        <v>0</v>
      </c>
      <c r="BI49" s="519">
        <f t="shared" si="46"/>
        <v>0</v>
      </c>
      <c r="BJ49" s="519">
        <f t="shared" si="47"/>
        <v>0</v>
      </c>
      <c r="BK49" s="519">
        <f t="shared" si="48"/>
        <v>0</v>
      </c>
      <c r="BL49" s="519">
        <f t="shared" si="49"/>
        <v>0</v>
      </c>
      <c r="BM49" s="519">
        <f t="shared" si="50"/>
        <v>0</v>
      </c>
      <c r="BN49" s="519">
        <f t="shared" si="51"/>
        <v>0</v>
      </c>
      <c r="BO49" s="519">
        <f t="shared" si="52"/>
        <v>0</v>
      </c>
      <c r="BP49" s="519">
        <f t="shared" si="53"/>
        <v>0</v>
      </c>
      <c r="BQ49" s="520">
        <f t="shared" si="54"/>
        <v>0</v>
      </c>
    </row>
    <row r="50" spans="2:69" s="268" customFormat="1" ht="15" customHeight="1" x14ac:dyDescent="0.25">
      <c r="B50" s="471" t="str">
        <f>B16</f>
        <v>SUMS &gt;&gt;</v>
      </c>
      <c r="C50" s="472"/>
      <c r="D50" s="472"/>
      <c r="E50" s="473"/>
      <c r="F50" s="558"/>
      <c r="G50" s="428"/>
      <c r="H50" s="428"/>
      <c r="I50" s="426">
        <f t="shared" ref="I50:S50" si="55">SUM(I17:I49)</f>
        <v>0</v>
      </c>
      <c r="J50" s="426">
        <f t="shared" si="55"/>
        <v>0</v>
      </c>
      <c r="K50" s="426">
        <f t="shared" si="55"/>
        <v>0</v>
      </c>
      <c r="L50" s="426">
        <f t="shared" si="55"/>
        <v>0</v>
      </c>
      <c r="M50" s="426">
        <f t="shared" si="55"/>
        <v>0</v>
      </c>
      <c r="N50" s="426">
        <f t="shared" si="55"/>
        <v>0</v>
      </c>
      <c r="O50" s="426">
        <f t="shared" si="55"/>
        <v>0</v>
      </c>
      <c r="P50" s="426">
        <f t="shared" si="55"/>
        <v>0</v>
      </c>
      <c r="Q50" s="426">
        <f t="shared" si="55"/>
        <v>0</v>
      </c>
      <c r="R50" s="426">
        <f t="shared" si="55"/>
        <v>0</v>
      </c>
      <c r="S50" s="426">
        <f t="shared" si="55"/>
        <v>0</v>
      </c>
      <c r="T50" s="428"/>
      <c r="U50" s="426"/>
      <c r="V50" s="426"/>
      <c r="W50" s="426">
        <f t="shared" ref="W50:AG50" si="56">SUM(W17:W49)</f>
        <v>0</v>
      </c>
      <c r="X50" s="426">
        <f t="shared" si="56"/>
        <v>0</v>
      </c>
      <c r="Y50" s="426">
        <f t="shared" si="56"/>
        <v>0</v>
      </c>
      <c r="Z50" s="426">
        <f t="shared" si="56"/>
        <v>0</v>
      </c>
      <c r="AA50" s="426">
        <f t="shared" si="56"/>
        <v>0</v>
      </c>
      <c r="AB50" s="426">
        <f t="shared" si="56"/>
        <v>0</v>
      </c>
      <c r="AC50" s="426">
        <f t="shared" si="56"/>
        <v>0</v>
      </c>
      <c r="AD50" s="426">
        <f t="shared" si="56"/>
        <v>0</v>
      </c>
      <c r="AE50" s="426">
        <f t="shared" si="56"/>
        <v>0</v>
      </c>
      <c r="AF50" s="426">
        <f t="shared" si="56"/>
        <v>0</v>
      </c>
      <c r="AG50" s="426">
        <f t="shared" si="56"/>
        <v>0</v>
      </c>
      <c r="AH50" s="428"/>
      <c r="AI50" s="426">
        <f t="shared" ref="AI50:AS50" si="57">SUM(AI17:AI49)</f>
        <v>0</v>
      </c>
      <c r="AJ50" s="426">
        <f t="shared" si="57"/>
        <v>0</v>
      </c>
      <c r="AK50" s="426">
        <f t="shared" si="57"/>
        <v>0</v>
      </c>
      <c r="AL50" s="426">
        <f t="shared" si="57"/>
        <v>0</v>
      </c>
      <c r="AM50" s="426">
        <f t="shared" si="57"/>
        <v>0</v>
      </c>
      <c r="AN50" s="426">
        <f t="shared" si="57"/>
        <v>0</v>
      </c>
      <c r="AO50" s="426">
        <f t="shared" si="57"/>
        <v>0</v>
      </c>
      <c r="AP50" s="426">
        <f t="shared" si="57"/>
        <v>0</v>
      </c>
      <c r="AQ50" s="426">
        <f t="shared" si="57"/>
        <v>0</v>
      </c>
      <c r="AR50" s="426">
        <f t="shared" si="57"/>
        <v>0</v>
      </c>
      <c r="AS50" s="426">
        <f t="shared" si="57"/>
        <v>0</v>
      </c>
      <c r="AT50" s="472"/>
      <c r="AU50" s="426">
        <f t="shared" ref="AU50:BE50" si="58">SUM(AU17:AU49)</f>
        <v>0</v>
      </c>
      <c r="AV50" s="426">
        <f t="shared" si="58"/>
        <v>0</v>
      </c>
      <c r="AW50" s="426">
        <f t="shared" si="58"/>
        <v>0</v>
      </c>
      <c r="AX50" s="426">
        <f t="shared" si="58"/>
        <v>0</v>
      </c>
      <c r="AY50" s="426">
        <f t="shared" si="58"/>
        <v>0</v>
      </c>
      <c r="AZ50" s="426">
        <f t="shared" si="58"/>
        <v>0</v>
      </c>
      <c r="BA50" s="426">
        <f t="shared" si="58"/>
        <v>0</v>
      </c>
      <c r="BB50" s="426">
        <f t="shared" si="58"/>
        <v>0</v>
      </c>
      <c r="BC50" s="426">
        <f t="shared" si="58"/>
        <v>0</v>
      </c>
      <c r="BD50" s="426">
        <f t="shared" si="58"/>
        <v>0</v>
      </c>
      <c r="BE50" s="426">
        <f t="shared" si="58"/>
        <v>0</v>
      </c>
      <c r="BF50" s="472"/>
      <c r="BG50" s="426">
        <f t="shared" ref="BG50:BQ50" si="59">SUM(BG17:BG49)</f>
        <v>0</v>
      </c>
      <c r="BH50" s="426">
        <f t="shared" si="59"/>
        <v>0</v>
      </c>
      <c r="BI50" s="426">
        <f t="shared" si="59"/>
        <v>0</v>
      </c>
      <c r="BJ50" s="426">
        <f t="shared" si="59"/>
        <v>0</v>
      </c>
      <c r="BK50" s="426">
        <f t="shared" si="59"/>
        <v>0</v>
      </c>
      <c r="BL50" s="426">
        <f t="shared" si="59"/>
        <v>0</v>
      </c>
      <c r="BM50" s="426">
        <f t="shared" si="59"/>
        <v>0</v>
      </c>
      <c r="BN50" s="426">
        <f t="shared" si="59"/>
        <v>0</v>
      </c>
      <c r="BO50" s="426">
        <f t="shared" si="59"/>
        <v>0</v>
      </c>
      <c r="BP50" s="426">
        <f t="shared" si="59"/>
        <v>0</v>
      </c>
      <c r="BQ50" s="426">
        <f t="shared" si="59"/>
        <v>0</v>
      </c>
    </row>
  </sheetData>
  <sheetProtection formatCells="0"/>
  <mergeCells count="19">
    <mergeCell ref="G10:G15"/>
    <mergeCell ref="C4:G4"/>
    <mergeCell ref="H10:H12"/>
    <mergeCell ref="I12:L12"/>
    <mergeCell ref="B10:B15"/>
    <mergeCell ref="C10:C15"/>
    <mergeCell ref="D10:D15"/>
    <mergeCell ref="F10:F15"/>
    <mergeCell ref="E10:E15"/>
    <mergeCell ref="C8:D8"/>
    <mergeCell ref="F7:J7"/>
    <mergeCell ref="F8:I8"/>
    <mergeCell ref="F5:Q6"/>
    <mergeCell ref="E5:E6"/>
    <mergeCell ref="B2:C2"/>
    <mergeCell ref="D2:G2"/>
    <mergeCell ref="R1:S1"/>
    <mergeCell ref="I2:L2"/>
    <mergeCell ref="N2:Q2"/>
  </mergeCells>
  <dataValidations count="4">
    <dataValidation type="decimal" operator="greaterThanOrEqual" allowBlank="1" showInputMessage="1" showErrorMessage="1" errorTitle="Data rastriction" error="Must be numerical value (percentage) zero or larger." sqref="E17:E49">
      <formula1>0</formula1>
    </dataValidation>
    <dataValidation type="whole" operator="greaterThan" allowBlank="1" showInputMessage="1" showErrorMessage="1" errorTitle="Data restriction" error="Must be a year later than 2020." sqref="F17:F49">
      <formula1>2020</formula1>
    </dataValidation>
    <dataValidation type="whole" operator="greaterThan" allowBlank="1" showInputMessage="1" showErrorMessage="1" errorTitle="Data restriction" error="Must be a numerical value greater than zero." sqref="G17:G49">
      <formula1>0</formula1>
    </dataValidation>
    <dataValidation type="decimal" operator="greaterThan" allowBlank="1" showInputMessage="1" showErrorMessage="1" errorTitle="Data restriction" error="Must be a numerical value greater than zero." sqref="H17:H49">
      <formula1>0</formula1>
    </dataValidation>
  </dataValidations>
  <hyperlinks>
    <hyperlink ref="A5" r:id="rId1" display="Utrustning - avskrivningar  "/>
    <hyperlink ref="F8" r:id="rId2" display="avskrivningsregler i avsnitt 9.2.1 av ekonomihandboken"/>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D17:D49</xm:sqref>
        </x14:dataValidation>
        <x14:dataValidation type="list" allowBlank="1" showInputMessage="1" showErrorMessage="1" errorTitle="Data restriction" error="Must be value from list.">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00"/>
  </sheetPr>
  <dimension ref="A1:EW51"/>
  <sheetViews>
    <sheetView showGridLines="0" zoomScaleNormal="100" workbookViewId="0">
      <pane ySplit="17" topLeftCell="A18" activePane="bottomLeft" state="frozen"/>
      <selection pane="bottomLeft" activeCell="B2" sqref="B2:C2"/>
    </sheetView>
  </sheetViews>
  <sheetFormatPr defaultColWidth="9.109375" defaultRowHeight="11.4" x14ac:dyDescent="0.2"/>
  <cols>
    <col min="1" max="1" width="3.6640625" style="37" customWidth="1"/>
    <col min="2" max="2" width="13.44140625" style="37" customWidth="1" collapsed="1"/>
    <col min="3" max="3" width="28.33203125" style="37" customWidth="1"/>
    <col min="4" max="5" width="7.6640625" style="37" customWidth="1" collapsed="1"/>
    <col min="6" max="6" width="11" style="37" customWidth="1"/>
    <col min="7" max="7" width="10.88671875" style="37" customWidth="1"/>
    <col min="8" max="8" width="11" style="37" customWidth="1"/>
    <col min="9" max="9" width="11" style="37" customWidth="1" collapsed="1"/>
    <col min="10" max="15" width="11" style="37" customWidth="1"/>
    <col min="16" max="16" width="11.88671875" style="37" customWidth="1"/>
    <col min="17" max="17" width="3.6640625" style="37" hidden="1" customWidth="1"/>
    <col min="18" max="18" width="9.88671875" style="37" hidden="1" customWidth="1"/>
    <col min="19" max="19" width="3.6640625" style="37" hidden="1" customWidth="1"/>
    <col min="20" max="29" width="11" style="37" hidden="1" customWidth="1"/>
    <col min="30" max="30" width="11.88671875" style="37" hidden="1" customWidth="1"/>
    <col min="31" max="31" width="3.5546875" style="37" hidden="1" customWidth="1"/>
    <col min="32" max="34" width="11.33203125" style="37" hidden="1" customWidth="1"/>
    <col min="35" max="36" width="11.44140625" style="37" hidden="1" customWidth="1"/>
    <col min="37" max="38" width="11.33203125" style="37" hidden="1" customWidth="1"/>
    <col min="39" max="39" width="11.109375" style="37" hidden="1" customWidth="1"/>
    <col min="40" max="41" width="11.33203125" style="37" hidden="1" customWidth="1"/>
    <col min="42" max="42" width="12.44140625" style="37" hidden="1" customWidth="1"/>
    <col min="43" max="43" width="3.5546875" style="37" hidden="1" customWidth="1" collapsed="1"/>
    <col min="44" max="54" width="11.33203125" style="37" hidden="1" customWidth="1" collapsed="1"/>
    <col min="55" max="55" width="3.5546875" style="37" hidden="1" customWidth="1" collapsed="1"/>
    <col min="56" max="66" width="11.33203125" style="37" hidden="1" customWidth="1" collapsed="1"/>
    <col min="67" max="72" width="11.33203125" style="37" customWidth="1"/>
    <col min="73" max="153" width="9.109375" style="37"/>
    <col min="154" max="16384" width="9.109375" style="37" collapsed="1"/>
  </cols>
  <sheetData>
    <row r="1" spans="2:66" ht="15" customHeight="1" x14ac:dyDescent="0.2">
      <c r="O1" s="1084" t="str">
        <f>'1. INTRO'!J1</f>
        <v>projectcalculator@slu.se</v>
      </c>
      <c r="P1" s="1135"/>
    </row>
    <row r="2" spans="2:66" s="36" customFormat="1" ht="15" customHeight="1" x14ac:dyDescent="0.3">
      <c r="B2" s="1046" t="str">
        <f>'1. INTRO'!B2</f>
        <v>SLU project calculator</v>
      </c>
      <c r="C2" s="1004"/>
      <c r="D2" s="1139" t="str">
        <f>IF('1. INTRO'!I2="English"," 8. FACILITY"," 8. LOKAL")</f>
        <v xml:space="preserve"> 8. FACILITY</v>
      </c>
      <c r="E2" s="1004"/>
      <c r="F2" s="1051" t="s">
        <v>308</v>
      </c>
      <c r="G2" s="1092"/>
      <c r="H2" s="1092"/>
      <c r="I2" s="1092"/>
      <c r="K2" s="1123" t="str">
        <f>'7. INVEST'!N2</f>
        <v>Note comments, in Eng &amp; Swe, behind red triangles.</v>
      </c>
      <c r="L2" s="1123"/>
      <c r="M2" s="1123"/>
      <c r="N2" s="1123"/>
      <c r="O2" s="346"/>
      <c r="P2" s="337">
        <f>'1. INTRO'!J2</f>
        <v>45677</v>
      </c>
    </row>
    <row r="3" spans="2:66" s="36" customFormat="1" ht="15" customHeight="1" x14ac:dyDescent="0.3">
      <c r="B3" s="42"/>
      <c r="C3" s="6"/>
      <c r="D3" s="51"/>
      <c r="E3" s="82"/>
    </row>
    <row r="4" spans="2:66" s="36" customFormat="1" ht="15" customHeight="1" x14ac:dyDescent="0.25">
      <c r="B4" s="313" t="str">
        <f>'3. PARTNER'!C4</f>
        <v xml:space="preserve">Project: </v>
      </c>
      <c r="C4" s="1062" t="str">
        <f>'3. PARTNER'!D4</f>
        <v/>
      </c>
      <c r="D4" s="1004"/>
      <c r="E4" s="1004"/>
      <c r="F4" s="1004"/>
      <c r="G4" s="1004"/>
      <c r="H4" s="1004"/>
      <c r="I4" s="1004"/>
      <c r="J4" s="346"/>
      <c r="K4" s="346"/>
      <c r="L4" s="346"/>
      <c r="M4" s="346"/>
      <c r="N4" s="346"/>
      <c r="O4" s="346"/>
      <c r="P4" s="346"/>
      <c r="T4" s="37" t="s">
        <v>310</v>
      </c>
      <c r="U4" s="37" t="s">
        <v>311</v>
      </c>
    </row>
    <row r="5" spans="2:66" s="36" customFormat="1" ht="15" customHeight="1" x14ac:dyDescent="0.25">
      <c r="B5" s="313" t="str">
        <f>'3. PARTNER'!C5</f>
        <v xml:space="preserve">Calculation for: </v>
      </c>
      <c r="C5" s="349" t="str">
        <f>'3. PARTNER'!D5</f>
        <v>APPLICATION</v>
      </c>
      <c r="D5" s="37"/>
      <c r="E5" s="971" t="s">
        <v>24</v>
      </c>
      <c r="F5" s="1140" t="str">
        <f>IF('1. INTRO'!I2="English",T4,U4)</f>
        <v>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v>
      </c>
      <c r="G5" s="1038"/>
      <c r="H5" s="1038"/>
      <c r="I5" s="1038"/>
      <c r="J5" s="1038"/>
      <c r="K5" s="1038"/>
      <c r="L5" s="1038"/>
      <c r="M5" s="1038"/>
      <c r="N5" s="1038"/>
      <c r="O5" s="1038"/>
      <c r="P5" s="1038"/>
    </row>
    <row r="6" spans="2:66" s="36" customFormat="1" ht="15" customHeight="1" x14ac:dyDescent="0.25">
      <c r="B6" s="35" t="str">
        <f>'3. PARTNER'!C6</f>
        <v xml:space="preserve">Project leader: </v>
      </c>
      <c r="C6" s="1062" t="str">
        <f>'3. PARTNER'!D6</f>
        <v/>
      </c>
      <c r="D6" s="1091"/>
      <c r="E6" s="357"/>
      <c r="F6" s="1038"/>
      <c r="G6" s="1038"/>
      <c r="H6" s="1038"/>
      <c r="I6" s="1038"/>
      <c r="J6" s="1038"/>
      <c r="K6" s="1038"/>
      <c r="L6" s="1038"/>
      <c r="M6" s="1038"/>
      <c r="N6" s="1038"/>
      <c r="O6" s="1038"/>
      <c r="P6" s="1038"/>
    </row>
    <row r="7" spans="2:66" s="36" customFormat="1" ht="15" customHeight="1" x14ac:dyDescent="0.25">
      <c r="B7" s="313" t="str">
        <f>'5. PERSON'!B7</f>
        <v xml:space="preserve">Amounts in: </v>
      </c>
      <c r="C7" s="348" t="str">
        <f>'2. START'!C15</f>
        <v>SEK</v>
      </c>
      <c r="D7" s="70"/>
      <c r="E7" s="346"/>
      <c r="F7" s="1038"/>
      <c r="G7" s="1038"/>
      <c r="H7" s="1038"/>
      <c r="I7" s="1038"/>
      <c r="J7" s="1038"/>
      <c r="K7" s="1038"/>
      <c r="L7" s="1038"/>
      <c r="M7" s="1038"/>
      <c r="N7" s="1038"/>
      <c r="O7" s="1038"/>
      <c r="P7" s="1038"/>
    </row>
    <row r="8" spans="2:66" s="36" customFormat="1" ht="15" customHeight="1" x14ac:dyDescent="0.25">
      <c r="B8" s="481"/>
      <c r="C8" s="1053" t="str">
        <f>'3. PARTNER'!D7</f>
        <v>Other basic data about the project is in sheet 2.</v>
      </c>
      <c r="D8" s="1004"/>
      <c r="E8" s="1004"/>
      <c r="F8" s="1038"/>
      <c r="G8" s="1038"/>
      <c r="H8" s="1038"/>
      <c r="I8" s="1038"/>
      <c r="J8" s="1038"/>
      <c r="K8" s="1038"/>
      <c r="L8" s="1038"/>
      <c r="M8" s="1038"/>
      <c r="N8" s="1038"/>
      <c r="O8" s="1038"/>
      <c r="P8" s="1038"/>
      <c r="AE8" s="89"/>
    </row>
    <row r="9" spans="2:66" s="36" customFormat="1" ht="15" customHeight="1" x14ac:dyDescent="0.25">
      <c r="B9" s="77"/>
      <c r="C9" s="78"/>
      <c r="E9" s="83"/>
      <c r="AE9" s="89"/>
    </row>
    <row r="10" spans="2:66" s="36" customFormat="1" ht="15" customHeight="1" x14ac:dyDescent="0.25">
      <c r="B10" s="1095" t="str">
        <f>'5. PERSON'!B10:B15</f>
        <v>Partner</v>
      </c>
      <c r="C10" s="1098" t="str">
        <f>IF('1. INTRO'!I2="English","Facility","Lokal")</f>
        <v>Facility</v>
      </c>
      <c r="D10" s="1124" t="s">
        <v>13</v>
      </c>
      <c r="E10" s="1072" t="str">
        <f>IF('1. INTRO'!I2="English","Co-fun-ding share (%)","Medfi-nansie-rings-andel (%)")</f>
        <v>Co-fun-ding share (%)</v>
      </c>
      <c r="F10" s="291" t="str">
        <f>IF('1. INTRO'!I2="English","Sums","Summor")</f>
        <v>Sums</v>
      </c>
      <c r="G10" s="484" t="str">
        <f>'5. PERSON'!$AI$10</f>
        <v>SEK</v>
      </c>
      <c r="H10" s="63"/>
      <c r="I10" s="63"/>
      <c r="J10" s="63"/>
      <c r="K10" s="63"/>
      <c r="L10" s="63"/>
      <c r="M10" s="63"/>
      <c r="N10" s="63"/>
      <c r="O10" s="63"/>
      <c r="P10" s="95"/>
      <c r="R10" s="58" t="s">
        <v>87</v>
      </c>
      <c r="T10" s="91" t="s">
        <v>76</v>
      </c>
      <c r="U10" s="60" t="str">
        <f>'2. START'!C15</f>
        <v>SEK</v>
      </c>
      <c r="V10" s="63"/>
      <c r="W10" s="63"/>
      <c r="X10" s="63"/>
      <c r="Y10" s="63"/>
      <c r="Z10" s="63"/>
      <c r="AA10" s="63"/>
      <c r="AB10" s="63"/>
      <c r="AC10" s="63"/>
      <c r="AD10" s="95"/>
      <c r="AE10" s="89"/>
      <c r="AF10" s="91" t="str">
        <f>T10</f>
        <v>Sums</v>
      </c>
      <c r="AG10" s="60" t="str">
        <f>'2. START'!C15</f>
        <v>SEK</v>
      </c>
      <c r="AH10" s="63"/>
      <c r="AI10" s="63"/>
      <c r="AJ10" s="63"/>
      <c r="AK10" s="63"/>
      <c r="AL10" s="63"/>
      <c r="AM10" s="63"/>
      <c r="AN10" s="63"/>
      <c r="AO10" s="63"/>
      <c r="AP10" s="95"/>
      <c r="AR10" s="91" t="str">
        <f>T10</f>
        <v>Sums</v>
      </c>
      <c r="AS10" s="60" t="str">
        <f>'2. START'!C15</f>
        <v>SEK</v>
      </c>
      <c r="AT10" s="63"/>
      <c r="AU10" s="63"/>
      <c r="AV10" s="63"/>
      <c r="AW10" s="63"/>
      <c r="AX10" s="63"/>
      <c r="AY10" s="63"/>
      <c r="AZ10" s="63"/>
      <c r="BA10" s="63"/>
      <c r="BB10" s="95"/>
      <c r="BD10" s="91" t="str">
        <f>T10</f>
        <v>Sums</v>
      </c>
      <c r="BE10" s="60" t="str">
        <f>'2. START'!C15</f>
        <v>SEK</v>
      </c>
      <c r="BF10" s="63"/>
      <c r="BG10" s="63"/>
      <c r="BH10" s="63"/>
      <c r="BI10" s="63"/>
      <c r="BJ10" s="63"/>
      <c r="BK10" s="63"/>
      <c r="BL10" s="63"/>
      <c r="BM10" s="63"/>
      <c r="BN10" s="95"/>
    </row>
    <row r="11" spans="2:66" s="36" customFormat="1" ht="15" customHeight="1" x14ac:dyDescent="0.25">
      <c r="B11" s="1096"/>
      <c r="C11" s="1099"/>
      <c r="D11" s="1125"/>
      <c r="E11" s="1073"/>
      <c r="F11" s="289"/>
      <c r="G11" s="56"/>
      <c r="H11" s="56"/>
      <c r="I11" s="56"/>
      <c r="J11" s="56"/>
      <c r="K11" s="56"/>
      <c r="L11" s="56"/>
      <c r="M11" s="56"/>
      <c r="N11" s="56"/>
      <c r="O11" s="56"/>
      <c r="P11" s="96"/>
      <c r="R11" s="64"/>
      <c r="T11" s="74"/>
      <c r="U11" s="56"/>
      <c r="V11" s="56"/>
      <c r="W11" s="56"/>
      <c r="X11" s="56"/>
      <c r="Y11" s="56"/>
      <c r="Z11" s="56"/>
      <c r="AA11" s="56"/>
      <c r="AB11" s="56"/>
      <c r="AC11" s="56"/>
      <c r="AD11" s="96"/>
      <c r="AE11" s="89"/>
      <c r="AF11" s="74"/>
      <c r="AG11" s="56"/>
      <c r="AH11" s="56"/>
      <c r="AI11" s="56"/>
      <c r="AJ11" s="56"/>
      <c r="AK11" s="56"/>
      <c r="AL11" s="56"/>
      <c r="AM11" s="56"/>
      <c r="AN11" s="56"/>
      <c r="AO11" s="56"/>
      <c r="AP11" s="96"/>
      <c r="AR11" s="74"/>
      <c r="AS11" s="56"/>
      <c r="AT11" s="56"/>
      <c r="AU11" s="56"/>
      <c r="AV11" s="56"/>
      <c r="AW11" s="56"/>
      <c r="AX11" s="56"/>
      <c r="AY11" s="56"/>
      <c r="AZ11" s="56"/>
      <c r="BA11" s="56"/>
      <c r="BB11" s="96"/>
      <c r="BD11" s="74"/>
      <c r="BE11" s="56"/>
      <c r="BF11" s="56"/>
      <c r="BG11" s="56"/>
      <c r="BH11" s="56"/>
      <c r="BI11" s="56"/>
      <c r="BJ11" s="56"/>
      <c r="BK11" s="56"/>
      <c r="BL11" s="56"/>
      <c r="BM11" s="56"/>
      <c r="BN11" s="96"/>
    </row>
    <row r="12" spans="2:66" s="36" customFormat="1" ht="15" customHeight="1" x14ac:dyDescent="0.25">
      <c r="B12" s="1096"/>
      <c r="C12" s="1099"/>
      <c r="D12" s="1125"/>
      <c r="E12" s="1073"/>
      <c r="F12" s="1085" t="str">
        <f>IF('1. INTRO'!I2="English","Facilities total (grant &amp; co-funding)","Lokaler totalt (bidrag &amp; medfinansiering)")</f>
        <v>Facilities total (grant &amp; co-funding)</v>
      </c>
      <c r="G12" s="1001"/>
      <c r="H12" s="1001"/>
      <c r="I12" s="1001"/>
      <c r="J12" s="56"/>
      <c r="K12" s="56"/>
      <c r="L12" s="56"/>
      <c r="M12" s="56"/>
      <c r="N12" s="56"/>
      <c r="O12" s="56"/>
      <c r="P12" s="96"/>
      <c r="R12" s="64"/>
      <c r="T12" s="74" t="s">
        <v>101</v>
      </c>
      <c r="U12" s="56"/>
      <c r="V12" s="56"/>
      <c r="W12" s="56"/>
      <c r="X12" s="56"/>
      <c r="Y12" s="56"/>
      <c r="Z12" s="56"/>
      <c r="AA12" s="56"/>
      <c r="AB12" s="56"/>
      <c r="AC12" s="56"/>
      <c r="AD12" s="96"/>
      <c r="AE12" s="89"/>
      <c r="AF12" s="74" t="s">
        <v>102</v>
      </c>
      <c r="AG12" s="56"/>
      <c r="AH12" s="56"/>
      <c r="AI12" s="56"/>
      <c r="AJ12" s="56"/>
      <c r="AK12" s="56"/>
      <c r="AL12" s="56"/>
      <c r="AM12" s="56"/>
      <c r="AN12" s="56"/>
      <c r="AO12" s="56"/>
      <c r="AP12" s="96"/>
      <c r="AR12" s="74" t="s">
        <v>95</v>
      </c>
      <c r="AS12" s="56"/>
      <c r="AT12" s="56"/>
      <c r="AU12" s="56"/>
      <c r="AV12" s="56"/>
      <c r="AW12" s="56"/>
      <c r="AX12" s="56"/>
      <c r="AY12" s="56"/>
      <c r="AZ12" s="56"/>
      <c r="BA12" s="56"/>
      <c r="BB12" s="96"/>
      <c r="BD12" s="74" t="s">
        <v>96</v>
      </c>
      <c r="BE12" s="56"/>
      <c r="BF12" s="56"/>
      <c r="BG12" s="56"/>
      <c r="BH12" s="56"/>
      <c r="BI12" s="56"/>
      <c r="BJ12" s="56"/>
      <c r="BK12" s="56"/>
      <c r="BL12" s="56"/>
      <c r="BM12" s="56"/>
      <c r="BN12" s="96"/>
    </row>
    <row r="13" spans="2:66" s="36" customFormat="1" ht="15" customHeight="1" x14ac:dyDescent="0.25">
      <c r="B13" s="1096"/>
      <c r="C13" s="1099"/>
      <c r="D13" s="1125"/>
      <c r="E13" s="1073"/>
      <c r="F13" s="289"/>
      <c r="G13" s="56"/>
      <c r="H13" s="56"/>
      <c r="I13" s="56"/>
      <c r="J13" s="56"/>
      <c r="K13" s="56"/>
      <c r="L13" s="56"/>
      <c r="M13" s="56"/>
      <c r="N13" s="56"/>
      <c r="O13" s="56"/>
      <c r="P13" s="96"/>
      <c r="R13" s="62"/>
      <c r="T13" s="74"/>
      <c r="U13" s="56"/>
      <c r="V13" s="56"/>
      <c r="W13" s="56"/>
      <c r="X13" s="56"/>
      <c r="Y13" s="56"/>
      <c r="Z13" s="56"/>
      <c r="AA13" s="56"/>
      <c r="AB13" s="56"/>
      <c r="AC13" s="56"/>
      <c r="AD13" s="96"/>
      <c r="AF13" s="74"/>
      <c r="AG13" s="56"/>
      <c r="AH13" s="56"/>
      <c r="AI13" s="56"/>
      <c r="AJ13" s="56"/>
      <c r="AK13" s="56"/>
      <c r="AL13" s="56"/>
      <c r="AM13" s="56"/>
      <c r="AN13" s="56"/>
      <c r="AO13" s="56"/>
      <c r="AP13" s="96"/>
      <c r="AR13" s="74"/>
      <c r="AS13" s="56"/>
      <c r="AT13" s="56"/>
      <c r="AU13" s="56"/>
      <c r="AV13" s="56"/>
      <c r="AW13" s="56"/>
      <c r="AX13" s="56"/>
      <c r="AY13" s="56"/>
      <c r="AZ13" s="56"/>
      <c r="BA13" s="56"/>
      <c r="BB13" s="96"/>
      <c r="BD13" s="74"/>
      <c r="BE13" s="56"/>
      <c r="BF13" s="56"/>
      <c r="BG13" s="56"/>
      <c r="BH13" s="56"/>
      <c r="BI13" s="56"/>
      <c r="BJ13" s="56"/>
      <c r="BK13" s="56"/>
      <c r="BL13" s="56"/>
      <c r="BM13" s="56"/>
      <c r="BN13" s="96"/>
    </row>
    <row r="14" spans="2:66" ht="15" customHeight="1" x14ac:dyDescent="0.2">
      <c r="B14" s="1096"/>
      <c r="C14" s="1099"/>
      <c r="D14" s="1125"/>
      <c r="E14" s="1073"/>
      <c r="F14" s="290"/>
      <c r="G14" s="100"/>
      <c r="H14" s="100"/>
      <c r="I14" s="100"/>
      <c r="J14" s="100"/>
      <c r="K14" s="100"/>
      <c r="L14" s="100"/>
      <c r="M14" s="100"/>
      <c r="N14" s="100"/>
      <c r="O14" s="100"/>
      <c r="P14" s="101"/>
      <c r="Q14" s="81"/>
      <c r="R14" s="62"/>
      <c r="S14" s="81"/>
      <c r="T14" s="99"/>
      <c r="U14" s="100"/>
      <c r="V14" s="100"/>
      <c r="W14" s="100"/>
      <c r="X14" s="100"/>
      <c r="Y14" s="100"/>
      <c r="Z14" s="100"/>
      <c r="AA14" s="100"/>
      <c r="AB14" s="100"/>
      <c r="AC14" s="100"/>
      <c r="AD14" s="69"/>
      <c r="AF14" s="67"/>
      <c r="AG14" s="68"/>
      <c r="AH14" s="68"/>
      <c r="AI14" s="68"/>
      <c r="AJ14" s="68"/>
      <c r="AK14" s="68"/>
      <c r="AL14" s="68"/>
      <c r="AM14" s="68"/>
      <c r="AN14" s="68"/>
      <c r="AO14" s="68"/>
      <c r="AP14" s="69"/>
      <c r="AR14" s="67"/>
      <c r="AS14" s="68"/>
      <c r="AT14" s="68"/>
      <c r="AU14" s="68"/>
      <c r="AV14" s="68"/>
      <c r="AW14" s="68"/>
      <c r="AX14" s="68"/>
      <c r="AY14" s="68"/>
      <c r="AZ14" s="68"/>
      <c r="BA14" s="68"/>
      <c r="BB14" s="69"/>
      <c r="BD14" s="67"/>
      <c r="BE14" s="68"/>
      <c r="BF14" s="68"/>
      <c r="BG14" s="68"/>
      <c r="BH14" s="68"/>
      <c r="BI14" s="68"/>
      <c r="BJ14" s="68"/>
      <c r="BK14" s="68"/>
      <c r="BL14" s="68"/>
      <c r="BM14" s="68"/>
      <c r="BN14" s="69"/>
    </row>
    <row r="15" spans="2:66" s="268" customFormat="1" ht="15" customHeight="1" x14ac:dyDescent="0.25">
      <c r="B15" s="1097"/>
      <c r="C15" s="1100"/>
      <c r="D15" s="1126"/>
      <c r="E15" s="1132"/>
      <c r="F15" s="413">
        <f>'5. PERSON'!G15</f>
        <v>1900</v>
      </c>
      <c r="G15" s="413" t="str">
        <f>'5. PERSON'!H15</f>
        <v/>
      </c>
      <c r="H15" s="413" t="str">
        <f>'5. PERSON'!I15</f>
        <v/>
      </c>
      <c r="I15" s="413" t="str">
        <f>'5. PERSON'!J15</f>
        <v/>
      </c>
      <c r="J15" s="413" t="str">
        <f>'5. PERSON'!K15</f>
        <v/>
      </c>
      <c r="K15" s="413" t="str">
        <f>'5. PERSON'!L15</f>
        <v/>
      </c>
      <c r="L15" s="413" t="str">
        <f>'5. PERSON'!M15</f>
        <v/>
      </c>
      <c r="M15" s="413" t="str">
        <f>'5. PERSON'!N15</f>
        <v/>
      </c>
      <c r="N15" s="413" t="str">
        <f>'5. PERSON'!O15</f>
        <v/>
      </c>
      <c r="O15" s="413" t="str">
        <f>'5. PERSON'!P15</f>
        <v/>
      </c>
      <c r="P15" s="350" t="s">
        <v>2</v>
      </c>
      <c r="R15" s="570" t="s">
        <v>0</v>
      </c>
      <c r="T15" s="413">
        <f t="shared" ref="T15:AC15" si="0">F15</f>
        <v>1900</v>
      </c>
      <c r="U15" s="413" t="str">
        <f t="shared" si="0"/>
        <v/>
      </c>
      <c r="V15" s="413" t="str">
        <f t="shared" si="0"/>
        <v/>
      </c>
      <c r="W15" s="413" t="str">
        <f t="shared" si="0"/>
        <v/>
      </c>
      <c r="X15" s="413" t="str">
        <f t="shared" si="0"/>
        <v/>
      </c>
      <c r="Y15" s="413" t="str">
        <f t="shared" si="0"/>
        <v/>
      </c>
      <c r="Z15" s="413" t="str">
        <f t="shared" si="0"/>
        <v/>
      </c>
      <c r="AA15" s="413" t="str">
        <f t="shared" si="0"/>
        <v/>
      </c>
      <c r="AB15" s="413" t="str">
        <f t="shared" si="0"/>
        <v/>
      </c>
      <c r="AC15" s="413" t="str">
        <f t="shared" si="0"/>
        <v/>
      </c>
      <c r="AD15" s="350" t="s">
        <v>2</v>
      </c>
      <c r="AF15" s="412">
        <f t="shared" ref="AF15:AO15" si="1">F15</f>
        <v>1900</v>
      </c>
      <c r="AG15" s="412" t="str">
        <f t="shared" si="1"/>
        <v/>
      </c>
      <c r="AH15" s="412" t="str">
        <f t="shared" si="1"/>
        <v/>
      </c>
      <c r="AI15" s="412" t="str">
        <f t="shared" si="1"/>
        <v/>
      </c>
      <c r="AJ15" s="412" t="str">
        <f t="shared" si="1"/>
        <v/>
      </c>
      <c r="AK15" s="412" t="str">
        <f t="shared" si="1"/>
        <v/>
      </c>
      <c r="AL15" s="412" t="str">
        <f t="shared" si="1"/>
        <v/>
      </c>
      <c r="AM15" s="412" t="str">
        <f t="shared" si="1"/>
        <v/>
      </c>
      <c r="AN15" s="412" t="str">
        <f t="shared" si="1"/>
        <v/>
      </c>
      <c r="AO15" s="412" t="str">
        <f t="shared" si="1"/>
        <v/>
      </c>
      <c r="AP15" s="350" t="s">
        <v>2</v>
      </c>
      <c r="AR15" s="412">
        <f t="shared" ref="AR15:BA15" si="2">F15</f>
        <v>1900</v>
      </c>
      <c r="AS15" s="412" t="str">
        <f t="shared" si="2"/>
        <v/>
      </c>
      <c r="AT15" s="412" t="str">
        <f t="shared" si="2"/>
        <v/>
      </c>
      <c r="AU15" s="412" t="str">
        <f t="shared" si="2"/>
        <v/>
      </c>
      <c r="AV15" s="412" t="str">
        <f t="shared" si="2"/>
        <v/>
      </c>
      <c r="AW15" s="412" t="str">
        <f t="shared" si="2"/>
        <v/>
      </c>
      <c r="AX15" s="412" t="str">
        <f t="shared" si="2"/>
        <v/>
      </c>
      <c r="AY15" s="412" t="str">
        <f t="shared" si="2"/>
        <v/>
      </c>
      <c r="AZ15" s="412" t="str">
        <f t="shared" si="2"/>
        <v/>
      </c>
      <c r="BA15" s="412" t="str">
        <f t="shared" si="2"/>
        <v/>
      </c>
      <c r="BB15" s="350" t="s">
        <v>2</v>
      </c>
      <c r="BD15" s="412">
        <f t="shared" ref="BD15:BM15" si="3">F15</f>
        <v>1900</v>
      </c>
      <c r="BE15" s="412" t="str">
        <f t="shared" si="3"/>
        <v/>
      </c>
      <c r="BF15" s="412" t="str">
        <f t="shared" si="3"/>
        <v/>
      </c>
      <c r="BG15" s="412" t="str">
        <f t="shared" si="3"/>
        <v/>
      </c>
      <c r="BH15" s="412" t="str">
        <f t="shared" si="3"/>
        <v/>
      </c>
      <c r="BI15" s="412" t="str">
        <f t="shared" si="3"/>
        <v/>
      </c>
      <c r="BJ15" s="412" t="str">
        <f t="shared" si="3"/>
        <v/>
      </c>
      <c r="BK15" s="412" t="str">
        <f t="shared" si="3"/>
        <v/>
      </c>
      <c r="BL15" s="412" t="str">
        <f t="shared" si="3"/>
        <v/>
      </c>
      <c r="BM15" s="412" t="str">
        <f t="shared" si="3"/>
        <v/>
      </c>
      <c r="BN15" s="404" t="s">
        <v>2</v>
      </c>
    </row>
    <row r="16" spans="2:66" s="268" customFormat="1" ht="15" customHeight="1" x14ac:dyDescent="0.25">
      <c r="B16" s="415" t="str">
        <f>IF('1. INTRO'!I2="English","SUMS &gt;&gt;","SUMMOR &gt;&gt;")</f>
        <v>SUMS &gt;&gt;</v>
      </c>
      <c r="C16" s="416"/>
      <c r="D16" s="504"/>
      <c r="E16" s="505"/>
      <c r="F16" s="552" t="str">
        <f>IF(F51=0,"",F51)</f>
        <v/>
      </c>
      <c r="G16" s="553" t="str">
        <f t="shared" ref="G16:AP16" si="4">IF(G51=0,"",G51)</f>
        <v/>
      </c>
      <c r="H16" s="553" t="str">
        <f t="shared" si="4"/>
        <v/>
      </c>
      <c r="I16" s="553" t="str">
        <f t="shared" si="4"/>
        <v/>
      </c>
      <c r="J16" s="553" t="str">
        <f t="shared" si="4"/>
        <v/>
      </c>
      <c r="K16" s="553" t="str">
        <f t="shared" si="4"/>
        <v/>
      </c>
      <c r="L16" s="553" t="str">
        <f t="shared" si="4"/>
        <v/>
      </c>
      <c r="M16" s="553" t="str">
        <f t="shared" si="4"/>
        <v/>
      </c>
      <c r="N16" s="553" t="str">
        <f t="shared" si="4"/>
        <v/>
      </c>
      <c r="O16" s="553" t="str">
        <f t="shared" si="4"/>
        <v/>
      </c>
      <c r="P16" s="554" t="str">
        <f t="shared" si="4"/>
        <v/>
      </c>
      <c r="Q16" s="555"/>
      <c r="R16" s="509"/>
      <c r="S16" s="555"/>
      <c r="T16" s="554" t="str">
        <f t="shared" si="4"/>
        <v/>
      </c>
      <c r="U16" s="553" t="str">
        <f t="shared" si="4"/>
        <v/>
      </c>
      <c r="V16" s="553" t="str">
        <f t="shared" si="4"/>
        <v/>
      </c>
      <c r="W16" s="553" t="str">
        <f t="shared" si="4"/>
        <v/>
      </c>
      <c r="X16" s="553" t="str">
        <f t="shared" si="4"/>
        <v/>
      </c>
      <c r="Y16" s="553" t="str">
        <f t="shared" si="4"/>
        <v/>
      </c>
      <c r="Z16" s="553" t="str">
        <f t="shared" si="4"/>
        <v/>
      </c>
      <c r="AA16" s="553" t="str">
        <f t="shared" si="4"/>
        <v/>
      </c>
      <c r="AB16" s="553" t="str">
        <f t="shared" si="4"/>
        <v/>
      </c>
      <c r="AC16" s="553" t="str">
        <f t="shared" si="4"/>
        <v/>
      </c>
      <c r="AD16" s="554" t="str">
        <f t="shared" si="4"/>
        <v/>
      </c>
      <c r="AE16" s="555"/>
      <c r="AF16" s="554" t="str">
        <f t="shared" si="4"/>
        <v/>
      </c>
      <c r="AG16" s="553" t="str">
        <f t="shared" si="4"/>
        <v/>
      </c>
      <c r="AH16" s="553" t="str">
        <f t="shared" si="4"/>
        <v/>
      </c>
      <c r="AI16" s="553" t="str">
        <f t="shared" si="4"/>
        <v/>
      </c>
      <c r="AJ16" s="553" t="str">
        <f t="shared" si="4"/>
        <v/>
      </c>
      <c r="AK16" s="553" t="str">
        <f t="shared" si="4"/>
        <v/>
      </c>
      <c r="AL16" s="553" t="str">
        <f t="shared" si="4"/>
        <v/>
      </c>
      <c r="AM16" s="553" t="str">
        <f t="shared" si="4"/>
        <v/>
      </c>
      <c r="AN16" s="553" t="str">
        <f t="shared" si="4"/>
        <v/>
      </c>
      <c r="AO16" s="553" t="str">
        <f t="shared" si="4"/>
        <v/>
      </c>
      <c r="AP16" s="554" t="str">
        <f t="shared" si="4"/>
        <v/>
      </c>
      <c r="AQ16" s="555"/>
      <c r="AR16" s="554" t="str">
        <f t="shared" ref="AR16:BN16" si="5">IF(AR51=0,"",AR51)</f>
        <v/>
      </c>
      <c r="AS16" s="571" t="str">
        <f t="shared" si="5"/>
        <v/>
      </c>
      <c r="AT16" s="571" t="str">
        <f t="shared" si="5"/>
        <v/>
      </c>
      <c r="AU16" s="571" t="str">
        <f t="shared" si="5"/>
        <v/>
      </c>
      <c r="AV16" s="571" t="str">
        <f t="shared" si="5"/>
        <v/>
      </c>
      <c r="AW16" s="571" t="str">
        <f t="shared" si="5"/>
        <v/>
      </c>
      <c r="AX16" s="571" t="str">
        <f t="shared" si="5"/>
        <v/>
      </c>
      <c r="AY16" s="571" t="str">
        <f t="shared" si="5"/>
        <v/>
      </c>
      <c r="AZ16" s="571" t="str">
        <f t="shared" si="5"/>
        <v/>
      </c>
      <c r="BA16" s="571" t="str">
        <f t="shared" si="5"/>
        <v/>
      </c>
      <c r="BB16" s="554" t="str">
        <f t="shared" si="5"/>
        <v/>
      </c>
      <c r="BC16" s="555"/>
      <c r="BD16" s="554" t="str">
        <f t="shared" si="5"/>
        <v/>
      </c>
      <c r="BE16" s="571" t="str">
        <f t="shared" si="5"/>
        <v/>
      </c>
      <c r="BF16" s="571" t="str">
        <f t="shared" si="5"/>
        <v/>
      </c>
      <c r="BG16" s="571" t="str">
        <f t="shared" si="5"/>
        <v/>
      </c>
      <c r="BH16" s="571" t="str">
        <f t="shared" si="5"/>
        <v/>
      </c>
      <c r="BI16" s="571" t="str">
        <f t="shared" si="5"/>
        <v/>
      </c>
      <c r="BJ16" s="571" t="str">
        <f t="shared" si="5"/>
        <v/>
      </c>
      <c r="BK16" s="571" t="str">
        <f t="shared" si="5"/>
        <v/>
      </c>
      <c r="BL16" s="571" t="str">
        <f t="shared" si="5"/>
        <v/>
      </c>
      <c r="BM16" s="571" t="str">
        <f t="shared" si="5"/>
        <v/>
      </c>
      <c r="BN16" s="572" t="str">
        <f t="shared" si="5"/>
        <v/>
      </c>
    </row>
    <row r="17" spans="2:66" s="268" customFormat="1" ht="15" customHeight="1" x14ac:dyDescent="0.25">
      <c r="B17" s="1136" t="str">
        <f>IF('1. INTRO'!I2="English","FACILITY CHARGE TOTAL (grant &amp; co-funding) &gt;&gt;","LOKALPÅSLAG TOTALT (bidrag &amp; medfinansiering) &gt;&gt;")</f>
        <v>FACILITY CHARGE TOTAL (grant &amp; co-funding) &gt;&gt;</v>
      </c>
      <c r="C17" s="1137"/>
      <c r="D17" s="1137"/>
      <c r="E17" s="1138"/>
      <c r="F17" s="573">
        <f>'5. PERSON'!CP193+'5. PERSON'!DB193+'6. OPERATION'!BS150+'6. OPERATION'!CE150</f>
        <v>0</v>
      </c>
      <c r="G17" s="573">
        <f>'5. PERSON'!CQ193+'5. PERSON'!DC193+'6. OPERATION'!BT150+'6. OPERATION'!CF150</f>
        <v>0</v>
      </c>
      <c r="H17" s="573">
        <f>'5. PERSON'!CR193+'5. PERSON'!DD193+'6. OPERATION'!BU150+'6. OPERATION'!CG150</f>
        <v>0</v>
      </c>
      <c r="I17" s="573">
        <f>'5. PERSON'!CS193+'5. PERSON'!DE193+'6. OPERATION'!BV150+'6. OPERATION'!CH150</f>
        <v>0</v>
      </c>
      <c r="J17" s="573">
        <f>'5. PERSON'!CT193+'5. PERSON'!DF193+'6. OPERATION'!BW150+'6. OPERATION'!CI150</f>
        <v>0</v>
      </c>
      <c r="K17" s="573">
        <f>'5. PERSON'!CU193+'5. PERSON'!DG193+'6. OPERATION'!BX150+'6. OPERATION'!CJ150</f>
        <v>0</v>
      </c>
      <c r="L17" s="573">
        <f>'5. PERSON'!CV193+'5. PERSON'!DH193+'6. OPERATION'!BY150+'6. OPERATION'!CK150</f>
        <v>0</v>
      </c>
      <c r="M17" s="573">
        <f>'5. PERSON'!CW193+'5. PERSON'!DI193+'6. OPERATION'!BZ150+'6. OPERATION'!CL150</f>
        <v>0</v>
      </c>
      <c r="N17" s="573">
        <f>'5. PERSON'!CX193+'5. PERSON'!DJ193+'6. OPERATION'!CA150+'6. OPERATION'!CM150</f>
        <v>0</v>
      </c>
      <c r="O17" s="573">
        <f>'5. PERSON'!CY193+'5. PERSON'!DK193+'6. OPERATION'!CB150+'6. OPERATION'!CN150</f>
        <v>0</v>
      </c>
      <c r="P17" s="574">
        <f>SUM(F17:O17)</f>
        <v>0</v>
      </c>
      <c r="Q17" s="575"/>
      <c r="R17" s="576"/>
      <c r="S17" s="575"/>
      <c r="T17" s="577">
        <f>'5. PERSON'!CP193+'6. OPERATION'!BS150</f>
        <v>0</v>
      </c>
      <c r="U17" s="577">
        <f>'5. PERSON'!CQ193+'6. OPERATION'!BT150</f>
        <v>0</v>
      </c>
      <c r="V17" s="577">
        <f>'5. PERSON'!CR193+'6. OPERATION'!BU150</f>
        <v>0</v>
      </c>
      <c r="W17" s="577">
        <f>'5. PERSON'!CS193+'6. OPERATION'!BV150</f>
        <v>0</v>
      </c>
      <c r="X17" s="577">
        <f>'5. PERSON'!CT193+'6. OPERATION'!BW150</f>
        <v>0</v>
      </c>
      <c r="Y17" s="577">
        <f>'5. PERSON'!CU193+'6. OPERATION'!BX150</f>
        <v>0</v>
      </c>
      <c r="Z17" s="577">
        <f>'5. PERSON'!CV193+'6. OPERATION'!BY150</f>
        <v>0</v>
      </c>
      <c r="AA17" s="577">
        <f>'5. PERSON'!CW193+'6. OPERATION'!BZ150</f>
        <v>0</v>
      </c>
      <c r="AB17" s="577">
        <f>'5. PERSON'!CX193+'6. OPERATION'!CA150</f>
        <v>0</v>
      </c>
      <c r="AC17" s="577">
        <f>'5. PERSON'!CY193+'6. OPERATION'!CB150</f>
        <v>0</v>
      </c>
      <c r="AD17" s="443">
        <f t="shared" ref="AD17:AD50" si="6">SUM(T17:AC17)</f>
        <v>0</v>
      </c>
      <c r="AE17" s="575"/>
      <c r="AF17" s="573">
        <f>'5. PERSON'!DB193+'6. OPERATION'!CE150</f>
        <v>0</v>
      </c>
      <c r="AG17" s="573">
        <f>'5. PERSON'!DC193+'6. OPERATION'!CF150</f>
        <v>0</v>
      </c>
      <c r="AH17" s="573">
        <f>'5. PERSON'!DD193+'6. OPERATION'!CG150</f>
        <v>0</v>
      </c>
      <c r="AI17" s="573">
        <f>'5. PERSON'!DE193+'6. OPERATION'!CH150</f>
        <v>0</v>
      </c>
      <c r="AJ17" s="573">
        <f>'5. PERSON'!DF193+'6. OPERATION'!CI150</f>
        <v>0</v>
      </c>
      <c r="AK17" s="573">
        <f>'5. PERSON'!DG193+'6. OPERATION'!CJ150</f>
        <v>0</v>
      </c>
      <c r="AL17" s="573">
        <f>'5. PERSON'!DH193+'6. OPERATION'!CK150</f>
        <v>0</v>
      </c>
      <c r="AM17" s="573">
        <f>'5. PERSON'!DI193+'6. OPERATION'!CL150</f>
        <v>0</v>
      </c>
      <c r="AN17" s="573">
        <f>'5. PERSON'!DJ193+'6. OPERATION'!CM150</f>
        <v>0</v>
      </c>
      <c r="AO17" s="573">
        <f>'5. PERSON'!DK193+'6. OPERATION'!CN150</f>
        <v>0</v>
      </c>
      <c r="AP17" s="520">
        <f>SUM(AF17:AO17)</f>
        <v>0</v>
      </c>
      <c r="AQ17" s="575"/>
      <c r="AR17" s="578"/>
      <c r="AS17" s="579"/>
      <c r="AT17" s="579"/>
      <c r="AU17" s="579"/>
      <c r="AV17" s="579"/>
      <c r="AW17" s="579"/>
      <c r="AX17" s="579"/>
      <c r="AY17" s="579"/>
      <c r="AZ17" s="579"/>
      <c r="BA17" s="579"/>
      <c r="BB17" s="579"/>
      <c r="BC17" s="580"/>
      <c r="BD17" s="579"/>
      <c r="BE17" s="579"/>
      <c r="BF17" s="579"/>
      <c r="BG17" s="579"/>
      <c r="BH17" s="579"/>
      <c r="BI17" s="579"/>
      <c r="BJ17" s="579"/>
      <c r="BK17" s="579"/>
      <c r="BL17" s="579"/>
      <c r="BM17" s="579"/>
      <c r="BN17" s="581"/>
    </row>
    <row r="18" spans="2:66" s="268" customFormat="1" ht="15" customHeight="1" x14ac:dyDescent="0.25">
      <c r="B18" s="429" t="str">
        <f>'2. START'!C$7</f>
        <v>100GEM</v>
      </c>
      <c r="C18" s="513"/>
      <c r="D18" s="595"/>
      <c r="E18" s="514">
        <v>0</v>
      </c>
      <c r="F18" s="515"/>
      <c r="G18" s="515"/>
      <c r="H18" s="515"/>
      <c r="I18" s="515"/>
      <c r="J18" s="515"/>
      <c r="K18" s="515"/>
      <c r="L18" s="515"/>
      <c r="M18" s="515"/>
      <c r="N18" s="515"/>
      <c r="O18" s="515"/>
      <c r="P18" s="443">
        <f t="shared" ref="P18:P50" si="7">SUM(F18:O18)</f>
        <v>0</v>
      </c>
      <c r="R18" s="437">
        <f>IF('2. START'!C$13="PERSON+OPERATION+INVEST+FACILIT",'2. START'!C$12,0)</f>
        <v>0</v>
      </c>
      <c r="T18" s="519">
        <f t="shared" ref="T18:T50" si="8">F18*(1-$E18)</f>
        <v>0</v>
      </c>
      <c r="U18" s="519">
        <f t="shared" ref="U18:U50" si="9">G18*(1-$E18)</f>
        <v>0</v>
      </c>
      <c r="V18" s="519">
        <f t="shared" ref="V18:V50" si="10">H18*(1-$E18)</f>
        <v>0</v>
      </c>
      <c r="W18" s="519">
        <f t="shared" ref="W18:W50" si="11">I18*(1-$E18)</f>
        <v>0</v>
      </c>
      <c r="X18" s="519">
        <f t="shared" ref="X18:X50" si="12">J18*(1-$E18)</f>
        <v>0</v>
      </c>
      <c r="Y18" s="519">
        <f t="shared" ref="Y18:Y50" si="13">K18*(1-$E18)</f>
        <v>0</v>
      </c>
      <c r="Z18" s="519">
        <f t="shared" ref="Z18:Z50" si="14">L18*(1-$E18)</f>
        <v>0</v>
      </c>
      <c r="AA18" s="519">
        <f t="shared" ref="AA18:AA50" si="15">M18*(1-$E18)</f>
        <v>0</v>
      </c>
      <c r="AB18" s="519">
        <f t="shared" ref="AB18:AB50" si="16">N18*(1-$E18)</f>
        <v>0</v>
      </c>
      <c r="AC18" s="519">
        <f t="shared" ref="AC18:AC50" si="17">O18*(1-$E18)</f>
        <v>0</v>
      </c>
      <c r="AD18" s="574">
        <f t="shared" si="6"/>
        <v>0</v>
      </c>
      <c r="AF18" s="519">
        <f t="shared" ref="AF18:AF50" si="18">$E18*F18</f>
        <v>0</v>
      </c>
      <c r="AG18" s="519">
        <f t="shared" ref="AG18:AG50" si="19">$E18*G18</f>
        <v>0</v>
      </c>
      <c r="AH18" s="519">
        <f t="shared" ref="AH18:AH50" si="20">$E18*H18</f>
        <v>0</v>
      </c>
      <c r="AI18" s="519">
        <f t="shared" ref="AI18:AI50" si="21">$E18*I18</f>
        <v>0</v>
      </c>
      <c r="AJ18" s="519">
        <f t="shared" ref="AJ18:AJ50" si="22">$E18*J18</f>
        <v>0</v>
      </c>
      <c r="AK18" s="519">
        <f t="shared" ref="AK18:AK50" si="23">$E18*K18</f>
        <v>0</v>
      </c>
      <c r="AL18" s="519">
        <f t="shared" ref="AL18:AL50" si="24">$E18*L18</f>
        <v>0</v>
      </c>
      <c r="AM18" s="519">
        <f t="shared" ref="AM18:AM50" si="25">$E18*M18</f>
        <v>0</v>
      </c>
      <c r="AN18" s="519">
        <f t="shared" ref="AN18:AN50" si="26">$E18*N18</f>
        <v>0</v>
      </c>
      <c r="AO18" s="519">
        <f t="shared" ref="AO18:AO50" si="27">$E18*O18</f>
        <v>0</v>
      </c>
      <c r="AP18" s="520">
        <f>SUM(AF18:AO18)</f>
        <v>0</v>
      </c>
      <c r="AR18" s="582">
        <f>$R18*T18</f>
        <v>0</v>
      </c>
      <c r="AS18" s="582">
        <f t="shared" ref="AS18:BA18" si="28">$R18*U18</f>
        <v>0</v>
      </c>
      <c r="AT18" s="582">
        <f t="shared" si="28"/>
        <v>0</v>
      </c>
      <c r="AU18" s="582">
        <f t="shared" si="28"/>
        <v>0</v>
      </c>
      <c r="AV18" s="582">
        <f t="shared" si="28"/>
        <v>0</v>
      </c>
      <c r="AW18" s="582">
        <f t="shared" si="28"/>
        <v>0</v>
      </c>
      <c r="AX18" s="582">
        <f t="shared" si="28"/>
        <v>0</v>
      </c>
      <c r="AY18" s="582">
        <f t="shared" si="28"/>
        <v>0</v>
      </c>
      <c r="AZ18" s="582">
        <f t="shared" si="28"/>
        <v>0</v>
      </c>
      <c r="BA18" s="582">
        <f t="shared" si="28"/>
        <v>0</v>
      </c>
      <c r="BB18" s="583">
        <f>SUM(AR18:BA18)</f>
        <v>0</v>
      </c>
      <c r="BD18" s="582">
        <f>0-AR18</f>
        <v>0</v>
      </c>
      <c r="BE18" s="582">
        <f t="shared" ref="BE18:BM33" si="29">0-AS18</f>
        <v>0</v>
      </c>
      <c r="BF18" s="582">
        <f t="shared" si="29"/>
        <v>0</v>
      </c>
      <c r="BG18" s="582">
        <f t="shared" si="29"/>
        <v>0</v>
      </c>
      <c r="BH18" s="582">
        <f t="shared" si="29"/>
        <v>0</v>
      </c>
      <c r="BI18" s="582">
        <f t="shared" si="29"/>
        <v>0</v>
      </c>
      <c r="BJ18" s="582">
        <f t="shared" si="29"/>
        <v>0</v>
      </c>
      <c r="BK18" s="582">
        <f t="shared" si="29"/>
        <v>0</v>
      </c>
      <c r="BL18" s="582">
        <f t="shared" si="29"/>
        <v>0</v>
      </c>
      <c r="BM18" s="582">
        <f t="shared" si="29"/>
        <v>0</v>
      </c>
      <c r="BN18" s="583">
        <f>SUM(BD18:BM18)</f>
        <v>0</v>
      </c>
    </row>
    <row r="19" spans="2:66" s="268" customFormat="1" ht="15" customHeight="1" x14ac:dyDescent="0.25">
      <c r="B19" s="446" t="str">
        <f>'2. START'!C$7</f>
        <v>100GEM</v>
      </c>
      <c r="C19" s="521"/>
      <c r="D19" s="592"/>
      <c r="E19" s="544">
        <v>0</v>
      </c>
      <c r="F19" s="523"/>
      <c r="G19" s="523"/>
      <c r="H19" s="523"/>
      <c r="I19" s="523"/>
      <c r="J19" s="523"/>
      <c r="K19" s="523"/>
      <c r="L19" s="523"/>
      <c r="M19" s="523"/>
      <c r="N19" s="523"/>
      <c r="O19" s="523"/>
      <c r="P19" s="460">
        <f t="shared" si="7"/>
        <v>0</v>
      </c>
      <c r="Q19" s="463"/>
      <c r="R19" s="454">
        <f>IF('2. START'!C$13="PERSON+OPERATION+INVEST+FACILIT",'2. START'!C$12,0)</f>
        <v>0</v>
      </c>
      <c r="S19" s="463"/>
      <c r="T19" s="459">
        <f t="shared" si="8"/>
        <v>0</v>
      </c>
      <c r="U19" s="459">
        <f t="shared" si="9"/>
        <v>0</v>
      </c>
      <c r="V19" s="459">
        <f t="shared" si="10"/>
        <v>0</v>
      </c>
      <c r="W19" s="459">
        <f t="shared" si="11"/>
        <v>0</v>
      </c>
      <c r="X19" s="459">
        <f t="shared" si="12"/>
        <v>0</v>
      </c>
      <c r="Y19" s="459">
        <f t="shared" si="13"/>
        <v>0</v>
      </c>
      <c r="Z19" s="459">
        <f t="shared" si="14"/>
        <v>0</v>
      </c>
      <c r="AA19" s="459">
        <f t="shared" si="15"/>
        <v>0</v>
      </c>
      <c r="AB19" s="459">
        <f t="shared" si="16"/>
        <v>0</v>
      </c>
      <c r="AC19" s="459">
        <f t="shared" si="17"/>
        <v>0</v>
      </c>
      <c r="AD19" s="460">
        <f t="shared" si="6"/>
        <v>0</v>
      </c>
      <c r="AE19" s="463"/>
      <c r="AF19" s="459">
        <f t="shared" si="18"/>
        <v>0</v>
      </c>
      <c r="AG19" s="459">
        <f t="shared" si="19"/>
        <v>0</v>
      </c>
      <c r="AH19" s="459">
        <f t="shared" si="20"/>
        <v>0</v>
      </c>
      <c r="AI19" s="459">
        <f t="shared" si="21"/>
        <v>0</v>
      </c>
      <c r="AJ19" s="459">
        <f t="shared" si="22"/>
        <v>0</v>
      </c>
      <c r="AK19" s="459">
        <f t="shared" si="23"/>
        <v>0</v>
      </c>
      <c r="AL19" s="459">
        <f t="shared" si="24"/>
        <v>0</v>
      </c>
      <c r="AM19" s="459">
        <f t="shared" si="25"/>
        <v>0</v>
      </c>
      <c r="AN19" s="459">
        <f t="shared" si="26"/>
        <v>0</v>
      </c>
      <c r="AO19" s="459">
        <f t="shared" si="27"/>
        <v>0</v>
      </c>
      <c r="AP19" s="460">
        <f t="shared" ref="AP19:AP50" si="30">SUM(AF19:AO19)</f>
        <v>0</v>
      </c>
      <c r="AQ19" s="463"/>
      <c r="AR19" s="584">
        <f t="shared" ref="AR19:AR50" si="31">$R19*T19</f>
        <v>0</v>
      </c>
      <c r="AS19" s="584">
        <f t="shared" ref="AS19:AS50" si="32">$R19*U19</f>
        <v>0</v>
      </c>
      <c r="AT19" s="584">
        <f t="shared" ref="AT19:AT50" si="33">$R19*V19</f>
        <v>0</v>
      </c>
      <c r="AU19" s="584">
        <f t="shared" ref="AU19:AU50" si="34">$R19*W19</f>
        <v>0</v>
      </c>
      <c r="AV19" s="584">
        <f t="shared" ref="AV19:AV50" si="35">$R19*X19</f>
        <v>0</v>
      </c>
      <c r="AW19" s="584">
        <f t="shared" ref="AW19:AW50" si="36">$R19*Y19</f>
        <v>0</v>
      </c>
      <c r="AX19" s="584">
        <f t="shared" ref="AX19:AX50" si="37">$R19*Z19</f>
        <v>0</v>
      </c>
      <c r="AY19" s="584">
        <f t="shared" ref="AY19:AY50" si="38">$R19*AA19</f>
        <v>0</v>
      </c>
      <c r="AZ19" s="584">
        <f t="shared" ref="AZ19:AZ50" si="39">$R19*AB19</f>
        <v>0</v>
      </c>
      <c r="BA19" s="584">
        <f t="shared" ref="BA19:BA50" si="40">$R19*AC19</f>
        <v>0</v>
      </c>
      <c r="BB19" s="460">
        <f t="shared" ref="BB19:BB50" si="41">SUM(AR19:BA19)</f>
        <v>0</v>
      </c>
      <c r="BC19" s="463"/>
      <c r="BD19" s="459">
        <f t="shared" ref="BD19:BM50" si="42">0-AR19</f>
        <v>0</v>
      </c>
      <c r="BE19" s="459">
        <f t="shared" si="29"/>
        <v>0</v>
      </c>
      <c r="BF19" s="459">
        <f t="shared" si="29"/>
        <v>0</v>
      </c>
      <c r="BG19" s="459">
        <f t="shared" si="29"/>
        <v>0</v>
      </c>
      <c r="BH19" s="459">
        <f t="shared" si="29"/>
        <v>0</v>
      </c>
      <c r="BI19" s="459">
        <f t="shared" si="29"/>
        <v>0</v>
      </c>
      <c r="BJ19" s="459">
        <f t="shared" si="29"/>
        <v>0</v>
      </c>
      <c r="BK19" s="459">
        <f t="shared" si="29"/>
        <v>0</v>
      </c>
      <c r="BL19" s="459">
        <f t="shared" si="29"/>
        <v>0</v>
      </c>
      <c r="BM19" s="459">
        <f t="shared" si="29"/>
        <v>0</v>
      </c>
      <c r="BN19" s="460">
        <f t="shared" ref="BN19:BN50" si="43">SUM(BD19:BM19)</f>
        <v>0</v>
      </c>
    </row>
    <row r="20" spans="2:66" s="268" customFormat="1" ht="15" customHeight="1" x14ac:dyDescent="0.25">
      <c r="B20" s="464" t="str">
        <f>'2. START'!C$7</f>
        <v>100GEM</v>
      </c>
      <c r="C20" s="526"/>
      <c r="D20" s="591"/>
      <c r="E20" s="527">
        <v>0</v>
      </c>
      <c r="F20" s="515"/>
      <c r="G20" s="515"/>
      <c r="H20" s="515"/>
      <c r="I20" s="515"/>
      <c r="J20" s="515"/>
      <c r="K20" s="515"/>
      <c r="L20" s="515"/>
      <c r="M20" s="515"/>
      <c r="N20" s="515"/>
      <c r="O20" s="515"/>
      <c r="P20" s="443">
        <f t="shared" si="7"/>
        <v>0</v>
      </c>
      <c r="R20" s="437">
        <f>IF('2. START'!C$13="PERSON+OPERATION+INVEST+FACILIT",'2. START'!C$12,0)</f>
        <v>0</v>
      </c>
      <c r="T20" s="519">
        <f t="shared" si="8"/>
        <v>0</v>
      </c>
      <c r="U20" s="519">
        <f t="shared" si="9"/>
        <v>0</v>
      </c>
      <c r="V20" s="519">
        <f t="shared" si="10"/>
        <v>0</v>
      </c>
      <c r="W20" s="519">
        <f t="shared" si="11"/>
        <v>0</v>
      </c>
      <c r="X20" s="519">
        <f t="shared" si="12"/>
        <v>0</v>
      </c>
      <c r="Y20" s="519">
        <f t="shared" si="13"/>
        <v>0</v>
      </c>
      <c r="Z20" s="519">
        <f t="shared" si="14"/>
        <v>0</v>
      </c>
      <c r="AA20" s="519">
        <f t="shared" si="15"/>
        <v>0</v>
      </c>
      <c r="AB20" s="519">
        <f t="shared" si="16"/>
        <v>0</v>
      </c>
      <c r="AC20" s="519">
        <f t="shared" si="17"/>
        <v>0</v>
      </c>
      <c r="AD20" s="520">
        <f t="shared" si="6"/>
        <v>0</v>
      </c>
      <c r="AF20" s="519">
        <f t="shared" si="18"/>
        <v>0</v>
      </c>
      <c r="AG20" s="519">
        <f t="shared" si="19"/>
        <v>0</v>
      </c>
      <c r="AH20" s="519">
        <f t="shared" si="20"/>
        <v>0</v>
      </c>
      <c r="AI20" s="519">
        <f t="shared" si="21"/>
        <v>0</v>
      </c>
      <c r="AJ20" s="519">
        <f t="shared" si="22"/>
        <v>0</v>
      </c>
      <c r="AK20" s="519">
        <f t="shared" si="23"/>
        <v>0</v>
      </c>
      <c r="AL20" s="519">
        <f t="shared" si="24"/>
        <v>0</v>
      </c>
      <c r="AM20" s="519">
        <f t="shared" si="25"/>
        <v>0</v>
      </c>
      <c r="AN20" s="519">
        <f t="shared" si="26"/>
        <v>0</v>
      </c>
      <c r="AO20" s="519">
        <f t="shared" si="27"/>
        <v>0</v>
      </c>
      <c r="AP20" s="520">
        <f t="shared" si="30"/>
        <v>0</v>
      </c>
      <c r="AR20" s="582">
        <f t="shared" si="31"/>
        <v>0</v>
      </c>
      <c r="AS20" s="582">
        <f t="shared" si="32"/>
        <v>0</v>
      </c>
      <c r="AT20" s="582">
        <f t="shared" si="33"/>
        <v>0</v>
      </c>
      <c r="AU20" s="582">
        <f t="shared" si="34"/>
        <v>0</v>
      </c>
      <c r="AV20" s="582">
        <f t="shared" si="35"/>
        <v>0</v>
      </c>
      <c r="AW20" s="582">
        <f t="shared" si="36"/>
        <v>0</v>
      </c>
      <c r="AX20" s="582">
        <f t="shared" si="37"/>
        <v>0</v>
      </c>
      <c r="AY20" s="582">
        <f t="shared" si="38"/>
        <v>0</v>
      </c>
      <c r="AZ20" s="582">
        <f t="shared" si="39"/>
        <v>0</v>
      </c>
      <c r="BA20" s="582">
        <f t="shared" si="40"/>
        <v>0</v>
      </c>
      <c r="BB20" s="520">
        <f t="shared" si="41"/>
        <v>0</v>
      </c>
      <c r="BD20" s="519">
        <f t="shared" si="42"/>
        <v>0</v>
      </c>
      <c r="BE20" s="519">
        <f t="shared" si="29"/>
        <v>0</v>
      </c>
      <c r="BF20" s="519">
        <f t="shared" si="29"/>
        <v>0</v>
      </c>
      <c r="BG20" s="519">
        <f t="shared" si="29"/>
        <v>0</v>
      </c>
      <c r="BH20" s="519">
        <f t="shared" si="29"/>
        <v>0</v>
      </c>
      <c r="BI20" s="519">
        <f t="shared" si="29"/>
        <v>0</v>
      </c>
      <c r="BJ20" s="519">
        <f t="shared" si="29"/>
        <v>0</v>
      </c>
      <c r="BK20" s="519">
        <f t="shared" si="29"/>
        <v>0</v>
      </c>
      <c r="BL20" s="519">
        <f t="shared" si="29"/>
        <v>0</v>
      </c>
      <c r="BM20" s="519">
        <f t="shared" si="29"/>
        <v>0</v>
      </c>
      <c r="BN20" s="520">
        <f t="shared" si="43"/>
        <v>0</v>
      </c>
    </row>
    <row r="21" spans="2:66" s="268" customFormat="1" ht="15" customHeight="1" x14ac:dyDescent="0.25">
      <c r="B21" s="446" t="str">
        <f>'2. START'!C$7</f>
        <v>100GEM</v>
      </c>
      <c r="C21" s="521"/>
      <c r="D21" s="592"/>
      <c r="E21" s="522">
        <v>0</v>
      </c>
      <c r="F21" s="523"/>
      <c r="G21" s="523"/>
      <c r="H21" s="523"/>
      <c r="I21" s="523"/>
      <c r="J21" s="523"/>
      <c r="K21" s="523"/>
      <c r="L21" s="523"/>
      <c r="M21" s="523"/>
      <c r="N21" s="523"/>
      <c r="O21" s="523"/>
      <c r="P21" s="460">
        <f t="shared" si="7"/>
        <v>0</v>
      </c>
      <c r="Q21" s="463"/>
      <c r="R21" s="454">
        <f>IF('2. START'!C$13="PERSON+OPERATION+INVEST+FACILIT",'2. START'!C$12,0)</f>
        <v>0</v>
      </c>
      <c r="S21" s="463"/>
      <c r="T21" s="459">
        <f t="shared" si="8"/>
        <v>0</v>
      </c>
      <c r="U21" s="459">
        <f t="shared" si="9"/>
        <v>0</v>
      </c>
      <c r="V21" s="459">
        <f t="shared" si="10"/>
        <v>0</v>
      </c>
      <c r="W21" s="459">
        <f t="shared" si="11"/>
        <v>0</v>
      </c>
      <c r="X21" s="459">
        <f t="shared" si="12"/>
        <v>0</v>
      </c>
      <c r="Y21" s="459">
        <f t="shared" si="13"/>
        <v>0</v>
      </c>
      <c r="Z21" s="459">
        <f t="shared" si="14"/>
        <v>0</v>
      </c>
      <c r="AA21" s="459">
        <f t="shared" si="15"/>
        <v>0</v>
      </c>
      <c r="AB21" s="459">
        <f t="shared" si="16"/>
        <v>0</v>
      </c>
      <c r="AC21" s="459">
        <f t="shared" si="17"/>
        <v>0</v>
      </c>
      <c r="AD21" s="460">
        <f t="shared" si="6"/>
        <v>0</v>
      </c>
      <c r="AE21" s="463"/>
      <c r="AF21" s="459">
        <f t="shared" si="18"/>
        <v>0</v>
      </c>
      <c r="AG21" s="459">
        <f t="shared" si="19"/>
        <v>0</v>
      </c>
      <c r="AH21" s="459">
        <f t="shared" si="20"/>
        <v>0</v>
      </c>
      <c r="AI21" s="459">
        <f t="shared" si="21"/>
        <v>0</v>
      </c>
      <c r="AJ21" s="459">
        <f t="shared" si="22"/>
        <v>0</v>
      </c>
      <c r="AK21" s="459">
        <f t="shared" si="23"/>
        <v>0</v>
      </c>
      <c r="AL21" s="459">
        <f t="shared" si="24"/>
        <v>0</v>
      </c>
      <c r="AM21" s="459">
        <f t="shared" si="25"/>
        <v>0</v>
      </c>
      <c r="AN21" s="459">
        <f t="shared" si="26"/>
        <v>0</v>
      </c>
      <c r="AO21" s="459">
        <f t="shared" si="27"/>
        <v>0</v>
      </c>
      <c r="AP21" s="460">
        <f t="shared" si="30"/>
        <v>0</v>
      </c>
      <c r="AQ21" s="463"/>
      <c r="AR21" s="584">
        <f t="shared" si="31"/>
        <v>0</v>
      </c>
      <c r="AS21" s="584">
        <f t="shared" si="32"/>
        <v>0</v>
      </c>
      <c r="AT21" s="584">
        <f t="shared" si="33"/>
        <v>0</v>
      </c>
      <c r="AU21" s="584">
        <f t="shared" si="34"/>
        <v>0</v>
      </c>
      <c r="AV21" s="584">
        <f t="shared" si="35"/>
        <v>0</v>
      </c>
      <c r="AW21" s="584">
        <f t="shared" si="36"/>
        <v>0</v>
      </c>
      <c r="AX21" s="584">
        <f t="shared" si="37"/>
        <v>0</v>
      </c>
      <c r="AY21" s="584">
        <f t="shared" si="38"/>
        <v>0</v>
      </c>
      <c r="AZ21" s="584">
        <f t="shared" si="39"/>
        <v>0</v>
      </c>
      <c r="BA21" s="584">
        <f t="shared" si="40"/>
        <v>0</v>
      </c>
      <c r="BB21" s="460">
        <f t="shared" si="41"/>
        <v>0</v>
      </c>
      <c r="BC21" s="463"/>
      <c r="BD21" s="459">
        <f t="shared" si="42"/>
        <v>0</v>
      </c>
      <c r="BE21" s="459">
        <f t="shared" si="29"/>
        <v>0</v>
      </c>
      <c r="BF21" s="459">
        <f t="shared" si="29"/>
        <v>0</v>
      </c>
      <c r="BG21" s="459">
        <f t="shared" si="29"/>
        <v>0</v>
      </c>
      <c r="BH21" s="459">
        <f t="shared" si="29"/>
        <v>0</v>
      </c>
      <c r="BI21" s="459">
        <f t="shared" si="29"/>
        <v>0</v>
      </c>
      <c r="BJ21" s="459">
        <f t="shared" si="29"/>
        <v>0</v>
      </c>
      <c r="BK21" s="459">
        <f t="shared" si="29"/>
        <v>0</v>
      </c>
      <c r="BL21" s="459">
        <f t="shared" si="29"/>
        <v>0</v>
      </c>
      <c r="BM21" s="459">
        <f t="shared" si="29"/>
        <v>0</v>
      </c>
      <c r="BN21" s="460">
        <f t="shared" si="43"/>
        <v>0</v>
      </c>
    </row>
    <row r="22" spans="2:66" s="268" customFormat="1" ht="15" customHeight="1" x14ac:dyDescent="0.25">
      <c r="B22" s="464" t="str">
        <f>'2. START'!C$7</f>
        <v>100GEM</v>
      </c>
      <c r="C22" s="526"/>
      <c r="D22" s="591"/>
      <c r="E22" s="527">
        <v>0</v>
      </c>
      <c r="F22" s="515"/>
      <c r="G22" s="515"/>
      <c r="H22" s="515"/>
      <c r="I22" s="515"/>
      <c r="J22" s="515"/>
      <c r="K22" s="515"/>
      <c r="L22" s="515"/>
      <c r="M22" s="515"/>
      <c r="N22" s="515"/>
      <c r="O22" s="515"/>
      <c r="P22" s="443">
        <f t="shared" si="7"/>
        <v>0</v>
      </c>
      <c r="R22" s="437">
        <f>IF('2. START'!C$13="PERSON+OPERATION+INVEST+FACILIT",'2. START'!C$12,0)</f>
        <v>0</v>
      </c>
      <c r="T22" s="519">
        <f t="shared" si="8"/>
        <v>0</v>
      </c>
      <c r="U22" s="519">
        <f t="shared" si="9"/>
        <v>0</v>
      </c>
      <c r="V22" s="519">
        <f t="shared" si="10"/>
        <v>0</v>
      </c>
      <c r="W22" s="519">
        <f t="shared" si="11"/>
        <v>0</v>
      </c>
      <c r="X22" s="519">
        <f t="shared" si="12"/>
        <v>0</v>
      </c>
      <c r="Y22" s="519">
        <f t="shared" si="13"/>
        <v>0</v>
      </c>
      <c r="Z22" s="519">
        <f t="shared" si="14"/>
        <v>0</v>
      </c>
      <c r="AA22" s="519">
        <f t="shared" si="15"/>
        <v>0</v>
      </c>
      <c r="AB22" s="519">
        <f t="shared" si="16"/>
        <v>0</v>
      </c>
      <c r="AC22" s="519">
        <f t="shared" si="17"/>
        <v>0</v>
      </c>
      <c r="AD22" s="520">
        <f t="shared" si="6"/>
        <v>0</v>
      </c>
      <c r="AF22" s="519">
        <f t="shared" si="18"/>
        <v>0</v>
      </c>
      <c r="AG22" s="519">
        <f t="shared" si="19"/>
        <v>0</v>
      </c>
      <c r="AH22" s="519">
        <f t="shared" si="20"/>
        <v>0</v>
      </c>
      <c r="AI22" s="519">
        <f t="shared" si="21"/>
        <v>0</v>
      </c>
      <c r="AJ22" s="519">
        <f t="shared" si="22"/>
        <v>0</v>
      </c>
      <c r="AK22" s="519">
        <f t="shared" si="23"/>
        <v>0</v>
      </c>
      <c r="AL22" s="519">
        <f t="shared" si="24"/>
        <v>0</v>
      </c>
      <c r="AM22" s="519">
        <f t="shared" si="25"/>
        <v>0</v>
      </c>
      <c r="AN22" s="519">
        <f t="shared" si="26"/>
        <v>0</v>
      </c>
      <c r="AO22" s="519">
        <f t="shared" si="27"/>
        <v>0</v>
      </c>
      <c r="AP22" s="520">
        <f t="shared" si="30"/>
        <v>0</v>
      </c>
      <c r="AR22" s="582">
        <f t="shared" si="31"/>
        <v>0</v>
      </c>
      <c r="AS22" s="582">
        <f t="shared" si="32"/>
        <v>0</v>
      </c>
      <c r="AT22" s="582">
        <f t="shared" si="33"/>
        <v>0</v>
      </c>
      <c r="AU22" s="582">
        <f t="shared" si="34"/>
        <v>0</v>
      </c>
      <c r="AV22" s="582">
        <f t="shared" si="35"/>
        <v>0</v>
      </c>
      <c r="AW22" s="582">
        <f t="shared" si="36"/>
        <v>0</v>
      </c>
      <c r="AX22" s="582">
        <f t="shared" si="37"/>
        <v>0</v>
      </c>
      <c r="AY22" s="582">
        <f t="shared" si="38"/>
        <v>0</v>
      </c>
      <c r="AZ22" s="582">
        <f t="shared" si="39"/>
        <v>0</v>
      </c>
      <c r="BA22" s="582">
        <f t="shared" si="40"/>
        <v>0</v>
      </c>
      <c r="BB22" s="520">
        <f t="shared" si="41"/>
        <v>0</v>
      </c>
      <c r="BD22" s="519">
        <f t="shared" si="42"/>
        <v>0</v>
      </c>
      <c r="BE22" s="519">
        <f t="shared" si="29"/>
        <v>0</v>
      </c>
      <c r="BF22" s="519">
        <f t="shared" si="29"/>
        <v>0</v>
      </c>
      <c r="BG22" s="519">
        <f t="shared" si="29"/>
        <v>0</v>
      </c>
      <c r="BH22" s="519">
        <f t="shared" si="29"/>
        <v>0</v>
      </c>
      <c r="BI22" s="519">
        <f t="shared" si="29"/>
        <v>0</v>
      </c>
      <c r="BJ22" s="519">
        <f t="shared" si="29"/>
        <v>0</v>
      </c>
      <c r="BK22" s="519">
        <f t="shared" si="29"/>
        <v>0</v>
      </c>
      <c r="BL22" s="519">
        <f t="shared" si="29"/>
        <v>0</v>
      </c>
      <c r="BM22" s="519">
        <f t="shared" si="29"/>
        <v>0</v>
      </c>
      <c r="BN22" s="520">
        <f t="shared" si="43"/>
        <v>0</v>
      </c>
    </row>
    <row r="23" spans="2:66" s="268" customFormat="1" ht="15" customHeight="1" x14ac:dyDescent="0.25">
      <c r="B23" s="446" t="str">
        <f>'2. START'!C$7</f>
        <v>100GEM</v>
      </c>
      <c r="C23" s="521"/>
      <c r="D23" s="592"/>
      <c r="E23" s="522">
        <v>0</v>
      </c>
      <c r="F23" s="523"/>
      <c r="G23" s="523"/>
      <c r="H23" s="523"/>
      <c r="I23" s="523"/>
      <c r="J23" s="523"/>
      <c r="K23" s="523"/>
      <c r="L23" s="523"/>
      <c r="M23" s="523"/>
      <c r="N23" s="523"/>
      <c r="O23" s="523"/>
      <c r="P23" s="460">
        <f t="shared" si="7"/>
        <v>0</v>
      </c>
      <c r="Q23" s="463"/>
      <c r="R23" s="454">
        <f>IF('2. START'!C$13="PERSON+OPERATION+INVEST+FACILIT",'2. START'!C$12,0)</f>
        <v>0</v>
      </c>
      <c r="S23" s="463"/>
      <c r="T23" s="459">
        <f t="shared" si="8"/>
        <v>0</v>
      </c>
      <c r="U23" s="459">
        <f t="shared" si="9"/>
        <v>0</v>
      </c>
      <c r="V23" s="459">
        <f t="shared" si="10"/>
        <v>0</v>
      </c>
      <c r="W23" s="459">
        <f t="shared" si="11"/>
        <v>0</v>
      </c>
      <c r="X23" s="459">
        <f t="shared" si="12"/>
        <v>0</v>
      </c>
      <c r="Y23" s="459">
        <f t="shared" si="13"/>
        <v>0</v>
      </c>
      <c r="Z23" s="459">
        <f t="shared" si="14"/>
        <v>0</v>
      </c>
      <c r="AA23" s="459">
        <f t="shared" si="15"/>
        <v>0</v>
      </c>
      <c r="AB23" s="459">
        <f t="shared" si="16"/>
        <v>0</v>
      </c>
      <c r="AC23" s="459">
        <f t="shared" si="17"/>
        <v>0</v>
      </c>
      <c r="AD23" s="460">
        <f t="shared" si="6"/>
        <v>0</v>
      </c>
      <c r="AE23" s="463"/>
      <c r="AF23" s="459">
        <f t="shared" si="18"/>
        <v>0</v>
      </c>
      <c r="AG23" s="459">
        <f t="shared" si="19"/>
        <v>0</v>
      </c>
      <c r="AH23" s="459">
        <f t="shared" si="20"/>
        <v>0</v>
      </c>
      <c r="AI23" s="459">
        <f t="shared" si="21"/>
        <v>0</v>
      </c>
      <c r="AJ23" s="459">
        <f t="shared" si="22"/>
        <v>0</v>
      </c>
      <c r="AK23" s="459">
        <f t="shared" si="23"/>
        <v>0</v>
      </c>
      <c r="AL23" s="459">
        <f t="shared" si="24"/>
        <v>0</v>
      </c>
      <c r="AM23" s="459">
        <f t="shared" si="25"/>
        <v>0</v>
      </c>
      <c r="AN23" s="459">
        <f t="shared" si="26"/>
        <v>0</v>
      </c>
      <c r="AO23" s="459">
        <f t="shared" si="27"/>
        <v>0</v>
      </c>
      <c r="AP23" s="460">
        <f t="shared" si="30"/>
        <v>0</v>
      </c>
      <c r="AQ23" s="463"/>
      <c r="AR23" s="584">
        <f t="shared" si="31"/>
        <v>0</v>
      </c>
      <c r="AS23" s="584">
        <f t="shared" si="32"/>
        <v>0</v>
      </c>
      <c r="AT23" s="584">
        <f t="shared" si="33"/>
        <v>0</v>
      </c>
      <c r="AU23" s="584">
        <f t="shared" si="34"/>
        <v>0</v>
      </c>
      <c r="AV23" s="584">
        <f t="shared" si="35"/>
        <v>0</v>
      </c>
      <c r="AW23" s="584">
        <f t="shared" si="36"/>
        <v>0</v>
      </c>
      <c r="AX23" s="584">
        <f t="shared" si="37"/>
        <v>0</v>
      </c>
      <c r="AY23" s="584">
        <f t="shared" si="38"/>
        <v>0</v>
      </c>
      <c r="AZ23" s="584">
        <f t="shared" si="39"/>
        <v>0</v>
      </c>
      <c r="BA23" s="584">
        <f t="shared" si="40"/>
        <v>0</v>
      </c>
      <c r="BB23" s="460">
        <f t="shared" si="41"/>
        <v>0</v>
      </c>
      <c r="BC23" s="463"/>
      <c r="BD23" s="459">
        <f t="shared" si="42"/>
        <v>0</v>
      </c>
      <c r="BE23" s="459">
        <f t="shared" si="29"/>
        <v>0</v>
      </c>
      <c r="BF23" s="459">
        <f t="shared" si="29"/>
        <v>0</v>
      </c>
      <c r="BG23" s="459">
        <f t="shared" si="29"/>
        <v>0</v>
      </c>
      <c r="BH23" s="459">
        <f t="shared" si="29"/>
        <v>0</v>
      </c>
      <c r="BI23" s="459">
        <f t="shared" si="29"/>
        <v>0</v>
      </c>
      <c r="BJ23" s="459">
        <f t="shared" si="29"/>
        <v>0</v>
      </c>
      <c r="BK23" s="459">
        <f t="shared" si="29"/>
        <v>0</v>
      </c>
      <c r="BL23" s="459">
        <f t="shared" si="29"/>
        <v>0</v>
      </c>
      <c r="BM23" s="459">
        <f t="shared" si="29"/>
        <v>0</v>
      </c>
      <c r="BN23" s="460">
        <f t="shared" si="43"/>
        <v>0</v>
      </c>
    </row>
    <row r="24" spans="2:66" s="268" customFormat="1" ht="15" customHeight="1" x14ac:dyDescent="0.25">
      <c r="B24" s="464" t="str">
        <f>'2. START'!C$7</f>
        <v>100GEM</v>
      </c>
      <c r="C24" s="526"/>
      <c r="D24" s="591"/>
      <c r="E24" s="527">
        <v>0</v>
      </c>
      <c r="F24" s="515"/>
      <c r="G24" s="515"/>
      <c r="H24" s="515"/>
      <c r="I24" s="515"/>
      <c r="J24" s="515"/>
      <c r="K24" s="515"/>
      <c r="L24" s="515"/>
      <c r="M24" s="515"/>
      <c r="N24" s="515"/>
      <c r="O24" s="515"/>
      <c r="P24" s="443">
        <f t="shared" si="7"/>
        <v>0</v>
      </c>
      <c r="R24" s="437">
        <f>IF('2. START'!C$13="PERSON+OPERATION+INVEST+FACILIT",'2. START'!C$12,0)</f>
        <v>0</v>
      </c>
      <c r="T24" s="519">
        <f t="shared" si="8"/>
        <v>0</v>
      </c>
      <c r="U24" s="519">
        <f t="shared" si="9"/>
        <v>0</v>
      </c>
      <c r="V24" s="519">
        <f t="shared" si="10"/>
        <v>0</v>
      </c>
      <c r="W24" s="519">
        <f t="shared" si="11"/>
        <v>0</v>
      </c>
      <c r="X24" s="519">
        <f t="shared" si="12"/>
        <v>0</v>
      </c>
      <c r="Y24" s="519">
        <f t="shared" si="13"/>
        <v>0</v>
      </c>
      <c r="Z24" s="519">
        <f t="shared" si="14"/>
        <v>0</v>
      </c>
      <c r="AA24" s="519">
        <f t="shared" si="15"/>
        <v>0</v>
      </c>
      <c r="AB24" s="519">
        <f t="shared" si="16"/>
        <v>0</v>
      </c>
      <c r="AC24" s="519">
        <f t="shared" si="17"/>
        <v>0</v>
      </c>
      <c r="AD24" s="520">
        <f t="shared" si="6"/>
        <v>0</v>
      </c>
      <c r="AF24" s="519">
        <f t="shared" si="18"/>
        <v>0</v>
      </c>
      <c r="AG24" s="519">
        <f t="shared" si="19"/>
        <v>0</v>
      </c>
      <c r="AH24" s="519">
        <f t="shared" si="20"/>
        <v>0</v>
      </c>
      <c r="AI24" s="519">
        <f t="shared" si="21"/>
        <v>0</v>
      </c>
      <c r="AJ24" s="519">
        <f t="shared" si="22"/>
        <v>0</v>
      </c>
      <c r="AK24" s="519">
        <f t="shared" si="23"/>
        <v>0</v>
      </c>
      <c r="AL24" s="519">
        <f t="shared" si="24"/>
        <v>0</v>
      </c>
      <c r="AM24" s="519">
        <f t="shared" si="25"/>
        <v>0</v>
      </c>
      <c r="AN24" s="519">
        <f t="shared" si="26"/>
        <v>0</v>
      </c>
      <c r="AO24" s="519">
        <f t="shared" si="27"/>
        <v>0</v>
      </c>
      <c r="AP24" s="520">
        <f t="shared" si="30"/>
        <v>0</v>
      </c>
      <c r="AR24" s="582">
        <f t="shared" si="31"/>
        <v>0</v>
      </c>
      <c r="AS24" s="582">
        <f t="shared" si="32"/>
        <v>0</v>
      </c>
      <c r="AT24" s="582">
        <f t="shared" si="33"/>
        <v>0</v>
      </c>
      <c r="AU24" s="582">
        <f t="shared" si="34"/>
        <v>0</v>
      </c>
      <c r="AV24" s="582">
        <f t="shared" si="35"/>
        <v>0</v>
      </c>
      <c r="AW24" s="582">
        <f t="shared" si="36"/>
        <v>0</v>
      </c>
      <c r="AX24" s="582">
        <f t="shared" si="37"/>
        <v>0</v>
      </c>
      <c r="AY24" s="582">
        <f t="shared" si="38"/>
        <v>0</v>
      </c>
      <c r="AZ24" s="582">
        <f t="shared" si="39"/>
        <v>0</v>
      </c>
      <c r="BA24" s="582">
        <f t="shared" si="40"/>
        <v>0</v>
      </c>
      <c r="BB24" s="520">
        <f t="shared" si="41"/>
        <v>0</v>
      </c>
      <c r="BD24" s="519">
        <f t="shared" si="42"/>
        <v>0</v>
      </c>
      <c r="BE24" s="519">
        <f t="shared" si="29"/>
        <v>0</v>
      </c>
      <c r="BF24" s="519">
        <f t="shared" si="29"/>
        <v>0</v>
      </c>
      <c r="BG24" s="519">
        <f t="shared" si="29"/>
        <v>0</v>
      </c>
      <c r="BH24" s="519">
        <f t="shared" si="29"/>
        <v>0</v>
      </c>
      <c r="BI24" s="519">
        <f t="shared" si="29"/>
        <v>0</v>
      </c>
      <c r="BJ24" s="519">
        <f t="shared" si="29"/>
        <v>0</v>
      </c>
      <c r="BK24" s="519">
        <f t="shared" si="29"/>
        <v>0</v>
      </c>
      <c r="BL24" s="519">
        <f t="shared" si="29"/>
        <v>0</v>
      </c>
      <c r="BM24" s="519">
        <f t="shared" si="29"/>
        <v>0</v>
      </c>
      <c r="BN24" s="520">
        <f t="shared" si="43"/>
        <v>0</v>
      </c>
    </row>
    <row r="25" spans="2:66" s="268" customFormat="1" ht="15" customHeight="1" x14ac:dyDescent="0.25">
      <c r="B25" s="446" t="str">
        <f>'2. START'!C$7</f>
        <v>100GEM</v>
      </c>
      <c r="C25" s="529"/>
      <c r="D25" s="592"/>
      <c r="E25" s="522">
        <v>0</v>
      </c>
      <c r="F25" s="523"/>
      <c r="G25" s="523"/>
      <c r="H25" s="523"/>
      <c r="I25" s="523"/>
      <c r="J25" s="523"/>
      <c r="K25" s="523"/>
      <c r="L25" s="523"/>
      <c r="M25" s="523"/>
      <c r="N25" s="523"/>
      <c r="O25" s="523"/>
      <c r="P25" s="460">
        <f t="shared" si="7"/>
        <v>0</v>
      </c>
      <c r="Q25" s="463"/>
      <c r="R25" s="454">
        <f>IF('2. START'!C$13="PERSON+OPERATION+INVEST+FACILIT",'2. START'!C$12,0)</f>
        <v>0</v>
      </c>
      <c r="S25" s="463"/>
      <c r="T25" s="459">
        <f t="shared" si="8"/>
        <v>0</v>
      </c>
      <c r="U25" s="459">
        <f t="shared" si="9"/>
        <v>0</v>
      </c>
      <c r="V25" s="459">
        <f t="shared" si="10"/>
        <v>0</v>
      </c>
      <c r="W25" s="459">
        <f t="shared" si="11"/>
        <v>0</v>
      </c>
      <c r="X25" s="459">
        <f t="shared" si="12"/>
        <v>0</v>
      </c>
      <c r="Y25" s="459">
        <f t="shared" si="13"/>
        <v>0</v>
      </c>
      <c r="Z25" s="459">
        <f t="shared" si="14"/>
        <v>0</v>
      </c>
      <c r="AA25" s="459">
        <f t="shared" si="15"/>
        <v>0</v>
      </c>
      <c r="AB25" s="459">
        <f t="shared" si="16"/>
        <v>0</v>
      </c>
      <c r="AC25" s="459">
        <f t="shared" si="17"/>
        <v>0</v>
      </c>
      <c r="AD25" s="460">
        <f t="shared" si="6"/>
        <v>0</v>
      </c>
      <c r="AE25" s="463"/>
      <c r="AF25" s="459">
        <f t="shared" si="18"/>
        <v>0</v>
      </c>
      <c r="AG25" s="459">
        <f t="shared" si="19"/>
        <v>0</v>
      </c>
      <c r="AH25" s="459">
        <f t="shared" si="20"/>
        <v>0</v>
      </c>
      <c r="AI25" s="459">
        <f t="shared" si="21"/>
        <v>0</v>
      </c>
      <c r="AJ25" s="459">
        <f t="shared" si="22"/>
        <v>0</v>
      </c>
      <c r="AK25" s="459">
        <f t="shared" si="23"/>
        <v>0</v>
      </c>
      <c r="AL25" s="459">
        <f t="shared" si="24"/>
        <v>0</v>
      </c>
      <c r="AM25" s="459">
        <f t="shared" si="25"/>
        <v>0</v>
      </c>
      <c r="AN25" s="459">
        <f t="shared" si="26"/>
        <v>0</v>
      </c>
      <c r="AO25" s="459">
        <f t="shared" si="27"/>
        <v>0</v>
      </c>
      <c r="AP25" s="460">
        <f t="shared" si="30"/>
        <v>0</v>
      </c>
      <c r="AQ25" s="463"/>
      <c r="AR25" s="584">
        <f t="shared" si="31"/>
        <v>0</v>
      </c>
      <c r="AS25" s="584">
        <f t="shared" si="32"/>
        <v>0</v>
      </c>
      <c r="AT25" s="584">
        <f t="shared" si="33"/>
        <v>0</v>
      </c>
      <c r="AU25" s="584">
        <f t="shared" si="34"/>
        <v>0</v>
      </c>
      <c r="AV25" s="584">
        <f t="shared" si="35"/>
        <v>0</v>
      </c>
      <c r="AW25" s="584">
        <f t="shared" si="36"/>
        <v>0</v>
      </c>
      <c r="AX25" s="584">
        <f t="shared" si="37"/>
        <v>0</v>
      </c>
      <c r="AY25" s="584">
        <f t="shared" si="38"/>
        <v>0</v>
      </c>
      <c r="AZ25" s="584">
        <f t="shared" si="39"/>
        <v>0</v>
      </c>
      <c r="BA25" s="584">
        <f t="shared" si="40"/>
        <v>0</v>
      </c>
      <c r="BB25" s="460">
        <f t="shared" si="41"/>
        <v>0</v>
      </c>
      <c r="BC25" s="463"/>
      <c r="BD25" s="459">
        <f t="shared" si="42"/>
        <v>0</v>
      </c>
      <c r="BE25" s="459">
        <f t="shared" si="29"/>
        <v>0</v>
      </c>
      <c r="BF25" s="459">
        <f t="shared" si="29"/>
        <v>0</v>
      </c>
      <c r="BG25" s="459">
        <f t="shared" si="29"/>
        <v>0</v>
      </c>
      <c r="BH25" s="459">
        <f t="shared" si="29"/>
        <v>0</v>
      </c>
      <c r="BI25" s="459">
        <f t="shared" si="29"/>
        <v>0</v>
      </c>
      <c r="BJ25" s="459">
        <f t="shared" si="29"/>
        <v>0</v>
      </c>
      <c r="BK25" s="459">
        <f t="shared" si="29"/>
        <v>0</v>
      </c>
      <c r="BL25" s="459">
        <f t="shared" si="29"/>
        <v>0</v>
      </c>
      <c r="BM25" s="459">
        <f t="shared" si="29"/>
        <v>0</v>
      </c>
      <c r="BN25" s="460">
        <f t="shared" si="43"/>
        <v>0</v>
      </c>
    </row>
    <row r="26" spans="2:66" s="268" customFormat="1" ht="15" customHeight="1" x14ac:dyDescent="0.25">
      <c r="B26" s="464" t="str">
        <f>'2. START'!C$7</f>
        <v>100GEM</v>
      </c>
      <c r="C26" s="528"/>
      <c r="D26" s="591"/>
      <c r="E26" s="527">
        <v>0</v>
      </c>
      <c r="F26" s="515"/>
      <c r="G26" s="515"/>
      <c r="H26" s="515"/>
      <c r="I26" s="515"/>
      <c r="J26" s="515"/>
      <c r="K26" s="515"/>
      <c r="L26" s="515"/>
      <c r="M26" s="515"/>
      <c r="N26" s="515"/>
      <c r="O26" s="515"/>
      <c r="P26" s="443">
        <f t="shared" si="7"/>
        <v>0</v>
      </c>
      <c r="R26" s="437">
        <f>IF('2. START'!C$13="PERSON+OPERATION+INVEST+FACILIT",'2. START'!C$12,0)</f>
        <v>0</v>
      </c>
      <c r="T26" s="519">
        <f t="shared" si="8"/>
        <v>0</v>
      </c>
      <c r="U26" s="519">
        <f t="shared" si="9"/>
        <v>0</v>
      </c>
      <c r="V26" s="519">
        <f t="shared" si="10"/>
        <v>0</v>
      </c>
      <c r="W26" s="519">
        <f t="shared" si="11"/>
        <v>0</v>
      </c>
      <c r="X26" s="519">
        <f t="shared" si="12"/>
        <v>0</v>
      </c>
      <c r="Y26" s="519">
        <f t="shared" si="13"/>
        <v>0</v>
      </c>
      <c r="Z26" s="519">
        <f t="shared" si="14"/>
        <v>0</v>
      </c>
      <c r="AA26" s="519">
        <f t="shared" si="15"/>
        <v>0</v>
      </c>
      <c r="AB26" s="519">
        <f t="shared" si="16"/>
        <v>0</v>
      </c>
      <c r="AC26" s="519">
        <f t="shared" si="17"/>
        <v>0</v>
      </c>
      <c r="AD26" s="520">
        <f t="shared" si="6"/>
        <v>0</v>
      </c>
      <c r="AF26" s="519">
        <f t="shared" si="18"/>
        <v>0</v>
      </c>
      <c r="AG26" s="519">
        <f t="shared" si="19"/>
        <v>0</v>
      </c>
      <c r="AH26" s="519">
        <f t="shared" si="20"/>
        <v>0</v>
      </c>
      <c r="AI26" s="519">
        <f t="shared" si="21"/>
        <v>0</v>
      </c>
      <c r="AJ26" s="519">
        <f t="shared" si="22"/>
        <v>0</v>
      </c>
      <c r="AK26" s="519">
        <f t="shared" si="23"/>
        <v>0</v>
      </c>
      <c r="AL26" s="519">
        <f t="shared" si="24"/>
        <v>0</v>
      </c>
      <c r="AM26" s="519">
        <f t="shared" si="25"/>
        <v>0</v>
      </c>
      <c r="AN26" s="519">
        <f t="shared" si="26"/>
        <v>0</v>
      </c>
      <c r="AO26" s="519">
        <f t="shared" si="27"/>
        <v>0</v>
      </c>
      <c r="AP26" s="520">
        <f t="shared" si="30"/>
        <v>0</v>
      </c>
      <c r="AR26" s="582">
        <f t="shared" si="31"/>
        <v>0</v>
      </c>
      <c r="AS26" s="582">
        <f t="shared" si="32"/>
        <v>0</v>
      </c>
      <c r="AT26" s="582">
        <f t="shared" si="33"/>
        <v>0</v>
      </c>
      <c r="AU26" s="582">
        <f t="shared" si="34"/>
        <v>0</v>
      </c>
      <c r="AV26" s="582">
        <f t="shared" si="35"/>
        <v>0</v>
      </c>
      <c r="AW26" s="582">
        <f t="shared" si="36"/>
        <v>0</v>
      </c>
      <c r="AX26" s="582">
        <f t="shared" si="37"/>
        <v>0</v>
      </c>
      <c r="AY26" s="582">
        <f t="shared" si="38"/>
        <v>0</v>
      </c>
      <c r="AZ26" s="582">
        <f t="shared" si="39"/>
        <v>0</v>
      </c>
      <c r="BA26" s="582">
        <f t="shared" si="40"/>
        <v>0</v>
      </c>
      <c r="BB26" s="520">
        <f t="shared" si="41"/>
        <v>0</v>
      </c>
      <c r="BD26" s="519">
        <f t="shared" si="42"/>
        <v>0</v>
      </c>
      <c r="BE26" s="519">
        <f t="shared" si="29"/>
        <v>0</v>
      </c>
      <c r="BF26" s="519">
        <f t="shared" si="29"/>
        <v>0</v>
      </c>
      <c r="BG26" s="519">
        <f t="shared" si="29"/>
        <v>0</v>
      </c>
      <c r="BH26" s="519">
        <f t="shared" si="29"/>
        <v>0</v>
      </c>
      <c r="BI26" s="519">
        <f t="shared" si="29"/>
        <v>0</v>
      </c>
      <c r="BJ26" s="519">
        <f t="shared" si="29"/>
        <v>0</v>
      </c>
      <c r="BK26" s="519">
        <f t="shared" si="29"/>
        <v>0</v>
      </c>
      <c r="BL26" s="519">
        <f t="shared" si="29"/>
        <v>0</v>
      </c>
      <c r="BM26" s="519">
        <f t="shared" si="29"/>
        <v>0</v>
      </c>
      <c r="BN26" s="520">
        <f t="shared" si="43"/>
        <v>0</v>
      </c>
    </row>
    <row r="27" spans="2:66" s="268" customFormat="1" ht="15" customHeight="1" x14ac:dyDescent="0.25">
      <c r="B27" s="446" t="str">
        <f>'2. START'!C$7</f>
        <v>100GEM</v>
      </c>
      <c r="C27" s="529"/>
      <c r="D27" s="592"/>
      <c r="E27" s="522">
        <v>0</v>
      </c>
      <c r="F27" s="523"/>
      <c r="G27" s="523"/>
      <c r="H27" s="523"/>
      <c r="I27" s="523"/>
      <c r="J27" s="523"/>
      <c r="K27" s="523"/>
      <c r="L27" s="523"/>
      <c r="M27" s="523"/>
      <c r="N27" s="523"/>
      <c r="O27" s="523"/>
      <c r="P27" s="460">
        <f t="shared" si="7"/>
        <v>0</v>
      </c>
      <c r="Q27" s="463"/>
      <c r="R27" s="454">
        <f>IF('2. START'!C$13="PERSON+OPERATION+INVEST+FACILIT",'2. START'!C$12,0)</f>
        <v>0</v>
      </c>
      <c r="S27" s="463"/>
      <c r="T27" s="459">
        <f t="shared" si="8"/>
        <v>0</v>
      </c>
      <c r="U27" s="459">
        <f t="shared" si="9"/>
        <v>0</v>
      </c>
      <c r="V27" s="459">
        <f t="shared" si="10"/>
        <v>0</v>
      </c>
      <c r="W27" s="459">
        <f t="shared" si="11"/>
        <v>0</v>
      </c>
      <c r="X27" s="459">
        <f t="shared" si="12"/>
        <v>0</v>
      </c>
      <c r="Y27" s="459">
        <f t="shared" si="13"/>
        <v>0</v>
      </c>
      <c r="Z27" s="459">
        <f t="shared" si="14"/>
        <v>0</v>
      </c>
      <c r="AA27" s="459">
        <f t="shared" si="15"/>
        <v>0</v>
      </c>
      <c r="AB27" s="459">
        <f t="shared" si="16"/>
        <v>0</v>
      </c>
      <c r="AC27" s="459">
        <f t="shared" si="17"/>
        <v>0</v>
      </c>
      <c r="AD27" s="460">
        <f t="shared" si="6"/>
        <v>0</v>
      </c>
      <c r="AE27" s="463"/>
      <c r="AF27" s="459">
        <f t="shared" si="18"/>
        <v>0</v>
      </c>
      <c r="AG27" s="459">
        <f t="shared" si="19"/>
        <v>0</v>
      </c>
      <c r="AH27" s="459">
        <f t="shared" si="20"/>
        <v>0</v>
      </c>
      <c r="AI27" s="459">
        <f t="shared" si="21"/>
        <v>0</v>
      </c>
      <c r="AJ27" s="459">
        <f t="shared" si="22"/>
        <v>0</v>
      </c>
      <c r="AK27" s="459">
        <f t="shared" si="23"/>
        <v>0</v>
      </c>
      <c r="AL27" s="459">
        <f t="shared" si="24"/>
        <v>0</v>
      </c>
      <c r="AM27" s="459">
        <f t="shared" si="25"/>
        <v>0</v>
      </c>
      <c r="AN27" s="459">
        <f t="shared" si="26"/>
        <v>0</v>
      </c>
      <c r="AO27" s="459">
        <f t="shared" si="27"/>
        <v>0</v>
      </c>
      <c r="AP27" s="460">
        <f t="shared" si="30"/>
        <v>0</v>
      </c>
      <c r="AQ27" s="463"/>
      <c r="AR27" s="584">
        <f t="shared" si="31"/>
        <v>0</v>
      </c>
      <c r="AS27" s="584">
        <f t="shared" si="32"/>
        <v>0</v>
      </c>
      <c r="AT27" s="584">
        <f t="shared" si="33"/>
        <v>0</v>
      </c>
      <c r="AU27" s="584">
        <f t="shared" si="34"/>
        <v>0</v>
      </c>
      <c r="AV27" s="584">
        <f t="shared" si="35"/>
        <v>0</v>
      </c>
      <c r="AW27" s="584">
        <f t="shared" si="36"/>
        <v>0</v>
      </c>
      <c r="AX27" s="584">
        <f t="shared" si="37"/>
        <v>0</v>
      </c>
      <c r="AY27" s="584">
        <f t="shared" si="38"/>
        <v>0</v>
      </c>
      <c r="AZ27" s="584">
        <f t="shared" si="39"/>
        <v>0</v>
      </c>
      <c r="BA27" s="584">
        <f t="shared" si="40"/>
        <v>0</v>
      </c>
      <c r="BB27" s="460">
        <f t="shared" si="41"/>
        <v>0</v>
      </c>
      <c r="BC27" s="463"/>
      <c r="BD27" s="459">
        <f t="shared" si="42"/>
        <v>0</v>
      </c>
      <c r="BE27" s="459">
        <f t="shared" si="29"/>
        <v>0</v>
      </c>
      <c r="BF27" s="459">
        <f t="shared" si="29"/>
        <v>0</v>
      </c>
      <c r="BG27" s="459">
        <f t="shared" si="29"/>
        <v>0</v>
      </c>
      <c r="BH27" s="459">
        <f t="shared" si="29"/>
        <v>0</v>
      </c>
      <c r="BI27" s="459">
        <f t="shared" si="29"/>
        <v>0</v>
      </c>
      <c r="BJ27" s="459">
        <f t="shared" si="29"/>
        <v>0</v>
      </c>
      <c r="BK27" s="459">
        <f t="shared" si="29"/>
        <v>0</v>
      </c>
      <c r="BL27" s="459">
        <f t="shared" si="29"/>
        <v>0</v>
      </c>
      <c r="BM27" s="459">
        <f t="shared" si="29"/>
        <v>0</v>
      </c>
      <c r="BN27" s="460">
        <f t="shared" si="43"/>
        <v>0</v>
      </c>
    </row>
    <row r="28" spans="2:66" s="268" customFormat="1" ht="15" customHeight="1" x14ac:dyDescent="0.25">
      <c r="B28" s="464" t="str">
        <f>'2. START'!C$7</f>
        <v>100GEM</v>
      </c>
      <c r="C28" s="528"/>
      <c r="D28" s="591"/>
      <c r="E28" s="527">
        <v>0</v>
      </c>
      <c r="F28" s="515"/>
      <c r="G28" s="515"/>
      <c r="H28" s="515"/>
      <c r="I28" s="515"/>
      <c r="J28" s="515"/>
      <c r="K28" s="515"/>
      <c r="L28" s="515"/>
      <c r="M28" s="515"/>
      <c r="N28" s="515"/>
      <c r="O28" s="515"/>
      <c r="P28" s="443">
        <f t="shared" si="7"/>
        <v>0</v>
      </c>
      <c r="R28" s="437">
        <f>IF('2. START'!C$13="PERSON+OPERATION+INVEST+FACILIT",'2. START'!C$12,0)</f>
        <v>0</v>
      </c>
      <c r="T28" s="519">
        <f t="shared" si="8"/>
        <v>0</v>
      </c>
      <c r="U28" s="519">
        <f t="shared" si="9"/>
        <v>0</v>
      </c>
      <c r="V28" s="519">
        <f t="shared" si="10"/>
        <v>0</v>
      </c>
      <c r="W28" s="519">
        <f t="shared" si="11"/>
        <v>0</v>
      </c>
      <c r="X28" s="519">
        <f t="shared" si="12"/>
        <v>0</v>
      </c>
      <c r="Y28" s="519">
        <f t="shared" si="13"/>
        <v>0</v>
      </c>
      <c r="Z28" s="519">
        <f t="shared" si="14"/>
        <v>0</v>
      </c>
      <c r="AA28" s="519">
        <f t="shared" si="15"/>
        <v>0</v>
      </c>
      <c r="AB28" s="519">
        <f t="shared" si="16"/>
        <v>0</v>
      </c>
      <c r="AC28" s="519">
        <f t="shared" si="17"/>
        <v>0</v>
      </c>
      <c r="AD28" s="520">
        <f t="shared" si="6"/>
        <v>0</v>
      </c>
      <c r="AF28" s="519">
        <f t="shared" si="18"/>
        <v>0</v>
      </c>
      <c r="AG28" s="519">
        <f t="shared" si="19"/>
        <v>0</v>
      </c>
      <c r="AH28" s="519">
        <f t="shared" si="20"/>
        <v>0</v>
      </c>
      <c r="AI28" s="519">
        <f t="shared" si="21"/>
        <v>0</v>
      </c>
      <c r="AJ28" s="519">
        <f t="shared" si="22"/>
        <v>0</v>
      </c>
      <c r="AK28" s="519">
        <f t="shared" si="23"/>
        <v>0</v>
      </c>
      <c r="AL28" s="519">
        <f t="shared" si="24"/>
        <v>0</v>
      </c>
      <c r="AM28" s="519">
        <f t="shared" si="25"/>
        <v>0</v>
      </c>
      <c r="AN28" s="519">
        <f t="shared" si="26"/>
        <v>0</v>
      </c>
      <c r="AO28" s="519">
        <f t="shared" si="27"/>
        <v>0</v>
      </c>
      <c r="AP28" s="520">
        <f t="shared" si="30"/>
        <v>0</v>
      </c>
      <c r="AR28" s="582">
        <f t="shared" si="31"/>
        <v>0</v>
      </c>
      <c r="AS28" s="582">
        <f t="shared" si="32"/>
        <v>0</v>
      </c>
      <c r="AT28" s="582">
        <f t="shared" si="33"/>
        <v>0</v>
      </c>
      <c r="AU28" s="582">
        <f t="shared" si="34"/>
        <v>0</v>
      </c>
      <c r="AV28" s="582">
        <f t="shared" si="35"/>
        <v>0</v>
      </c>
      <c r="AW28" s="582">
        <f t="shared" si="36"/>
        <v>0</v>
      </c>
      <c r="AX28" s="582">
        <f t="shared" si="37"/>
        <v>0</v>
      </c>
      <c r="AY28" s="582">
        <f t="shared" si="38"/>
        <v>0</v>
      </c>
      <c r="AZ28" s="582">
        <f t="shared" si="39"/>
        <v>0</v>
      </c>
      <c r="BA28" s="582">
        <f t="shared" si="40"/>
        <v>0</v>
      </c>
      <c r="BB28" s="520">
        <f t="shared" si="41"/>
        <v>0</v>
      </c>
      <c r="BD28" s="519">
        <f t="shared" si="42"/>
        <v>0</v>
      </c>
      <c r="BE28" s="519">
        <f t="shared" si="29"/>
        <v>0</v>
      </c>
      <c r="BF28" s="519">
        <f t="shared" si="29"/>
        <v>0</v>
      </c>
      <c r="BG28" s="519">
        <f t="shared" si="29"/>
        <v>0</v>
      </c>
      <c r="BH28" s="519">
        <f t="shared" si="29"/>
        <v>0</v>
      </c>
      <c r="BI28" s="519">
        <f t="shared" si="29"/>
        <v>0</v>
      </c>
      <c r="BJ28" s="519">
        <f t="shared" si="29"/>
        <v>0</v>
      </c>
      <c r="BK28" s="519">
        <f t="shared" si="29"/>
        <v>0</v>
      </c>
      <c r="BL28" s="519">
        <f t="shared" si="29"/>
        <v>0</v>
      </c>
      <c r="BM28" s="519">
        <f t="shared" si="29"/>
        <v>0</v>
      </c>
      <c r="BN28" s="520">
        <f t="shared" si="43"/>
        <v>0</v>
      </c>
    </row>
    <row r="29" spans="2:66" s="268" customFormat="1" ht="15" customHeight="1" x14ac:dyDescent="0.25">
      <c r="B29" s="446" t="str">
        <f>'2. START'!C$7</f>
        <v>100GEM</v>
      </c>
      <c r="C29" s="521"/>
      <c r="D29" s="592"/>
      <c r="E29" s="522">
        <v>0</v>
      </c>
      <c r="F29" s="523"/>
      <c r="G29" s="523"/>
      <c r="H29" s="523"/>
      <c r="I29" s="523"/>
      <c r="J29" s="523"/>
      <c r="K29" s="523"/>
      <c r="L29" s="523"/>
      <c r="M29" s="523"/>
      <c r="N29" s="523"/>
      <c r="O29" s="523"/>
      <c r="P29" s="460">
        <f t="shared" si="7"/>
        <v>0</v>
      </c>
      <c r="Q29" s="463"/>
      <c r="R29" s="454">
        <f>IF('2. START'!C$13="PERSON+OPERATION+INVEST+FACILIT",'2. START'!C$12,0)</f>
        <v>0</v>
      </c>
      <c r="S29" s="463"/>
      <c r="T29" s="459">
        <f t="shared" si="8"/>
        <v>0</v>
      </c>
      <c r="U29" s="459">
        <f t="shared" si="9"/>
        <v>0</v>
      </c>
      <c r="V29" s="459">
        <f t="shared" si="10"/>
        <v>0</v>
      </c>
      <c r="W29" s="459">
        <f t="shared" si="11"/>
        <v>0</v>
      </c>
      <c r="X29" s="459">
        <f t="shared" si="12"/>
        <v>0</v>
      </c>
      <c r="Y29" s="459">
        <f t="shared" si="13"/>
        <v>0</v>
      </c>
      <c r="Z29" s="459">
        <f t="shared" si="14"/>
        <v>0</v>
      </c>
      <c r="AA29" s="459">
        <f t="shared" si="15"/>
        <v>0</v>
      </c>
      <c r="AB29" s="459">
        <f t="shared" si="16"/>
        <v>0</v>
      </c>
      <c r="AC29" s="459">
        <f t="shared" si="17"/>
        <v>0</v>
      </c>
      <c r="AD29" s="460">
        <f t="shared" si="6"/>
        <v>0</v>
      </c>
      <c r="AE29" s="463"/>
      <c r="AF29" s="459">
        <f t="shared" si="18"/>
        <v>0</v>
      </c>
      <c r="AG29" s="459">
        <f t="shared" si="19"/>
        <v>0</v>
      </c>
      <c r="AH29" s="459">
        <f t="shared" si="20"/>
        <v>0</v>
      </c>
      <c r="AI29" s="459">
        <f t="shared" si="21"/>
        <v>0</v>
      </c>
      <c r="AJ29" s="459">
        <f t="shared" si="22"/>
        <v>0</v>
      </c>
      <c r="AK29" s="459">
        <f t="shared" si="23"/>
        <v>0</v>
      </c>
      <c r="AL29" s="459">
        <f t="shared" si="24"/>
        <v>0</v>
      </c>
      <c r="AM29" s="459">
        <f t="shared" si="25"/>
        <v>0</v>
      </c>
      <c r="AN29" s="459">
        <f t="shared" si="26"/>
        <v>0</v>
      </c>
      <c r="AO29" s="459">
        <f t="shared" si="27"/>
        <v>0</v>
      </c>
      <c r="AP29" s="460">
        <f t="shared" si="30"/>
        <v>0</v>
      </c>
      <c r="AQ29" s="463"/>
      <c r="AR29" s="584">
        <f t="shared" si="31"/>
        <v>0</v>
      </c>
      <c r="AS29" s="584">
        <f t="shared" si="32"/>
        <v>0</v>
      </c>
      <c r="AT29" s="584">
        <f t="shared" si="33"/>
        <v>0</v>
      </c>
      <c r="AU29" s="584">
        <f t="shared" si="34"/>
        <v>0</v>
      </c>
      <c r="AV29" s="584">
        <f t="shared" si="35"/>
        <v>0</v>
      </c>
      <c r="AW29" s="584">
        <f t="shared" si="36"/>
        <v>0</v>
      </c>
      <c r="AX29" s="584">
        <f t="shared" si="37"/>
        <v>0</v>
      </c>
      <c r="AY29" s="584">
        <f t="shared" si="38"/>
        <v>0</v>
      </c>
      <c r="AZ29" s="584">
        <f t="shared" si="39"/>
        <v>0</v>
      </c>
      <c r="BA29" s="584">
        <f t="shared" si="40"/>
        <v>0</v>
      </c>
      <c r="BB29" s="460">
        <f t="shared" si="41"/>
        <v>0</v>
      </c>
      <c r="BC29" s="463"/>
      <c r="BD29" s="459">
        <f t="shared" si="42"/>
        <v>0</v>
      </c>
      <c r="BE29" s="459">
        <f t="shared" si="29"/>
        <v>0</v>
      </c>
      <c r="BF29" s="459">
        <f t="shared" si="29"/>
        <v>0</v>
      </c>
      <c r="BG29" s="459">
        <f t="shared" si="29"/>
        <v>0</v>
      </c>
      <c r="BH29" s="459">
        <f t="shared" si="29"/>
        <v>0</v>
      </c>
      <c r="BI29" s="459">
        <f t="shared" si="29"/>
        <v>0</v>
      </c>
      <c r="BJ29" s="459">
        <f t="shared" si="29"/>
        <v>0</v>
      </c>
      <c r="BK29" s="459">
        <f t="shared" si="29"/>
        <v>0</v>
      </c>
      <c r="BL29" s="459">
        <f t="shared" si="29"/>
        <v>0</v>
      </c>
      <c r="BM29" s="459">
        <f t="shared" si="29"/>
        <v>0</v>
      </c>
      <c r="BN29" s="460">
        <f t="shared" si="43"/>
        <v>0</v>
      </c>
    </row>
    <row r="30" spans="2:66" s="268" customFormat="1" ht="15" customHeight="1" x14ac:dyDescent="0.25">
      <c r="B30" s="464" t="str">
        <f>'2. START'!C$7</f>
        <v>100GEM</v>
      </c>
      <c r="C30" s="526"/>
      <c r="D30" s="591"/>
      <c r="E30" s="527">
        <v>0</v>
      </c>
      <c r="F30" s="515"/>
      <c r="G30" s="515"/>
      <c r="H30" s="515"/>
      <c r="I30" s="515"/>
      <c r="J30" s="515"/>
      <c r="K30" s="515"/>
      <c r="L30" s="515"/>
      <c r="M30" s="515"/>
      <c r="N30" s="515"/>
      <c r="O30" s="515"/>
      <c r="P30" s="443">
        <f t="shared" si="7"/>
        <v>0</v>
      </c>
      <c r="R30" s="437">
        <f>IF('2. START'!C$13="PERSON+OPERATION+INVEST+FACILIT",'2. START'!C$12,0)</f>
        <v>0</v>
      </c>
      <c r="T30" s="519">
        <f t="shared" si="8"/>
        <v>0</v>
      </c>
      <c r="U30" s="519">
        <f t="shared" si="9"/>
        <v>0</v>
      </c>
      <c r="V30" s="519">
        <f t="shared" si="10"/>
        <v>0</v>
      </c>
      <c r="W30" s="519">
        <f t="shared" si="11"/>
        <v>0</v>
      </c>
      <c r="X30" s="519">
        <f t="shared" si="12"/>
        <v>0</v>
      </c>
      <c r="Y30" s="519">
        <f t="shared" si="13"/>
        <v>0</v>
      </c>
      <c r="Z30" s="519">
        <f t="shared" si="14"/>
        <v>0</v>
      </c>
      <c r="AA30" s="519">
        <f t="shared" si="15"/>
        <v>0</v>
      </c>
      <c r="AB30" s="519">
        <f t="shared" si="16"/>
        <v>0</v>
      </c>
      <c r="AC30" s="519">
        <f t="shared" si="17"/>
        <v>0</v>
      </c>
      <c r="AD30" s="520">
        <f t="shared" si="6"/>
        <v>0</v>
      </c>
      <c r="AF30" s="519">
        <f t="shared" si="18"/>
        <v>0</v>
      </c>
      <c r="AG30" s="519">
        <f t="shared" si="19"/>
        <v>0</v>
      </c>
      <c r="AH30" s="519">
        <f t="shared" si="20"/>
        <v>0</v>
      </c>
      <c r="AI30" s="519">
        <f t="shared" si="21"/>
        <v>0</v>
      </c>
      <c r="AJ30" s="519">
        <f t="shared" si="22"/>
        <v>0</v>
      </c>
      <c r="AK30" s="519">
        <f t="shared" si="23"/>
        <v>0</v>
      </c>
      <c r="AL30" s="519">
        <f t="shared" si="24"/>
        <v>0</v>
      </c>
      <c r="AM30" s="519">
        <f t="shared" si="25"/>
        <v>0</v>
      </c>
      <c r="AN30" s="519">
        <f t="shared" si="26"/>
        <v>0</v>
      </c>
      <c r="AO30" s="519">
        <f t="shared" si="27"/>
        <v>0</v>
      </c>
      <c r="AP30" s="520">
        <f t="shared" si="30"/>
        <v>0</v>
      </c>
      <c r="AR30" s="582">
        <f t="shared" si="31"/>
        <v>0</v>
      </c>
      <c r="AS30" s="582">
        <f t="shared" si="32"/>
        <v>0</v>
      </c>
      <c r="AT30" s="582">
        <f t="shared" si="33"/>
        <v>0</v>
      </c>
      <c r="AU30" s="582">
        <f t="shared" si="34"/>
        <v>0</v>
      </c>
      <c r="AV30" s="582">
        <f t="shared" si="35"/>
        <v>0</v>
      </c>
      <c r="AW30" s="582">
        <f t="shared" si="36"/>
        <v>0</v>
      </c>
      <c r="AX30" s="582">
        <f t="shared" si="37"/>
        <v>0</v>
      </c>
      <c r="AY30" s="582">
        <f t="shared" si="38"/>
        <v>0</v>
      </c>
      <c r="AZ30" s="582">
        <f t="shared" si="39"/>
        <v>0</v>
      </c>
      <c r="BA30" s="582">
        <f t="shared" si="40"/>
        <v>0</v>
      </c>
      <c r="BB30" s="520">
        <f t="shared" si="41"/>
        <v>0</v>
      </c>
      <c r="BD30" s="519">
        <f t="shared" si="42"/>
        <v>0</v>
      </c>
      <c r="BE30" s="519">
        <f t="shared" si="29"/>
        <v>0</v>
      </c>
      <c r="BF30" s="519">
        <f t="shared" si="29"/>
        <v>0</v>
      </c>
      <c r="BG30" s="519">
        <f t="shared" si="29"/>
        <v>0</v>
      </c>
      <c r="BH30" s="519">
        <f t="shared" si="29"/>
        <v>0</v>
      </c>
      <c r="BI30" s="519">
        <f t="shared" si="29"/>
        <v>0</v>
      </c>
      <c r="BJ30" s="519">
        <f t="shared" si="29"/>
        <v>0</v>
      </c>
      <c r="BK30" s="519">
        <f t="shared" si="29"/>
        <v>0</v>
      </c>
      <c r="BL30" s="519">
        <f t="shared" si="29"/>
        <v>0</v>
      </c>
      <c r="BM30" s="519">
        <f t="shared" si="29"/>
        <v>0</v>
      </c>
      <c r="BN30" s="520">
        <f t="shared" si="43"/>
        <v>0</v>
      </c>
    </row>
    <row r="31" spans="2:66" s="268" customFormat="1" ht="15" customHeight="1" x14ac:dyDescent="0.25">
      <c r="B31" s="446" t="str">
        <f>'2. START'!C$7</f>
        <v>100GEM</v>
      </c>
      <c r="C31" s="521"/>
      <c r="D31" s="592"/>
      <c r="E31" s="522">
        <v>0</v>
      </c>
      <c r="F31" s="523"/>
      <c r="G31" s="523"/>
      <c r="H31" s="523"/>
      <c r="I31" s="523"/>
      <c r="J31" s="523"/>
      <c r="K31" s="523"/>
      <c r="L31" s="523"/>
      <c r="M31" s="523"/>
      <c r="N31" s="523"/>
      <c r="O31" s="523"/>
      <c r="P31" s="460">
        <f t="shared" si="7"/>
        <v>0</v>
      </c>
      <c r="Q31" s="463"/>
      <c r="R31" s="454">
        <f>IF('2. START'!C$13="PERSON+OPERATION+INVEST+FACILIT",'2. START'!C$12,0)</f>
        <v>0</v>
      </c>
      <c r="S31" s="463"/>
      <c r="T31" s="459">
        <f t="shared" si="8"/>
        <v>0</v>
      </c>
      <c r="U31" s="459">
        <f t="shared" si="9"/>
        <v>0</v>
      </c>
      <c r="V31" s="459">
        <f t="shared" si="10"/>
        <v>0</v>
      </c>
      <c r="W31" s="459">
        <f t="shared" si="11"/>
        <v>0</v>
      </c>
      <c r="X31" s="459">
        <f t="shared" si="12"/>
        <v>0</v>
      </c>
      <c r="Y31" s="459">
        <f t="shared" si="13"/>
        <v>0</v>
      </c>
      <c r="Z31" s="459">
        <f t="shared" si="14"/>
        <v>0</v>
      </c>
      <c r="AA31" s="459">
        <f t="shared" si="15"/>
        <v>0</v>
      </c>
      <c r="AB31" s="459">
        <f t="shared" si="16"/>
        <v>0</v>
      </c>
      <c r="AC31" s="459">
        <f t="shared" si="17"/>
        <v>0</v>
      </c>
      <c r="AD31" s="460">
        <f t="shared" si="6"/>
        <v>0</v>
      </c>
      <c r="AE31" s="463"/>
      <c r="AF31" s="459">
        <f t="shared" si="18"/>
        <v>0</v>
      </c>
      <c r="AG31" s="459">
        <f t="shared" si="19"/>
        <v>0</v>
      </c>
      <c r="AH31" s="459">
        <f t="shared" si="20"/>
        <v>0</v>
      </c>
      <c r="AI31" s="459">
        <f t="shared" si="21"/>
        <v>0</v>
      </c>
      <c r="AJ31" s="459">
        <f t="shared" si="22"/>
        <v>0</v>
      </c>
      <c r="AK31" s="459">
        <f t="shared" si="23"/>
        <v>0</v>
      </c>
      <c r="AL31" s="459">
        <f t="shared" si="24"/>
        <v>0</v>
      </c>
      <c r="AM31" s="459">
        <f t="shared" si="25"/>
        <v>0</v>
      </c>
      <c r="AN31" s="459">
        <f t="shared" si="26"/>
        <v>0</v>
      </c>
      <c r="AO31" s="459">
        <f t="shared" si="27"/>
        <v>0</v>
      </c>
      <c r="AP31" s="460">
        <f t="shared" si="30"/>
        <v>0</v>
      </c>
      <c r="AQ31" s="463"/>
      <c r="AR31" s="584">
        <f t="shared" si="31"/>
        <v>0</v>
      </c>
      <c r="AS31" s="584">
        <f t="shared" si="32"/>
        <v>0</v>
      </c>
      <c r="AT31" s="584">
        <f t="shared" si="33"/>
        <v>0</v>
      </c>
      <c r="AU31" s="584">
        <f t="shared" si="34"/>
        <v>0</v>
      </c>
      <c r="AV31" s="584">
        <f t="shared" si="35"/>
        <v>0</v>
      </c>
      <c r="AW31" s="584">
        <f t="shared" si="36"/>
        <v>0</v>
      </c>
      <c r="AX31" s="584">
        <f t="shared" si="37"/>
        <v>0</v>
      </c>
      <c r="AY31" s="584">
        <f t="shared" si="38"/>
        <v>0</v>
      </c>
      <c r="AZ31" s="584">
        <f t="shared" si="39"/>
        <v>0</v>
      </c>
      <c r="BA31" s="584">
        <f t="shared" si="40"/>
        <v>0</v>
      </c>
      <c r="BB31" s="460">
        <f t="shared" si="41"/>
        <v>0</v>
      </c>
      <c r="BC31" s="463"/>
      <c r="BD31" s="459">
        <f t="shared" si="42"/>
        <v>0</v>
      </c>
      <c r="BE31" s="459">
        <f t="shared" si="29"/>
        <v>0</v>
      </c>
      <c r="BF31" s="459">
        <f t="shared" si="29"/>
        <v>0</v>
      </c>
      <c r="BG31" s="459">
        <f t="shared" si="29"/>
        <v>0</v>
      </c>
      <c r="BH31" s="459">
        <f t="shared" si="29"/>
        <v>0</v>
      </c>
      <c r="BI31" s="459">
        <f t="shared" si="29"/>
        <v>0</v>
      </c>
      <c r="BJ31" s="459">
        <f t="shared" si="29"/>
        <v>0</v>
      </c>
      <c r="BK31" s="459">
        <f t="shared" si="29"/>
        <v>0</v>
      </c>
      <c r="BL31" s="459">
        <f t="shared" si="29"/>
        <v>0</v>
      </c>
      <c r="BM31" s="459">
        <f t="shared" si="29"/>
        <v>0</v>
      </c>
      <c r="BN31" s="460">
        <f t="shared" si="43"/>
        <v>0</v>
      </c>
    </row>
    <row r="32" spans="2:66" s="268" customFormat="1" ht="15" customHeight="1" x14ac:dyDescent="0.25">
      <c r="B32" s="464" t="str">
        <f>'2. START'!C$7</f>
        <v>100GEM</v>
      </c>
      <c r="C32" s="526"/>
      <c r="D32" s="591"/>
      <c r="E32" s="527">
        <v>0</v>
      </c>
      <c r="F32" s="515"/>
      <c r="G32" s="515"/>
      <c r="H32" s="515"/>
      <c r="I32" s="515"/>
      <c r="J32" s="515"/>
      <c r="K32" s="515"/>
      <c r="L32" s="515"/>
      <c r="M32" s="515"/>
      <c r="N32" s="515"/>
      <c r="O32" s="515"/>
      <c r="P32" s="443">
        <f t="shared" si="7"/>
        <v>0</v>
      </c>
      <c r="R32" s="437">
        <f>IF('2. START'!C$13="PERSON+OPERATION+INVEST+FACILIT",'2. START'!C$12,0)</f>
        <v>0</v>
      </c>
      <c r="T32" s="519">
        <f t="shared" si="8"/>
        <v>0</v>
      </c>
      <c r="U32" s="519">
        <f t="shared" si="9"/>
        <v>0</v>
      </c>
      <c r="V32" s="519">
        <f t="shared" si="10"/>
        <v>0</v>
      </c>
      <c r="W32" s="519">
        <f t="shared" si="11"/>
        <v>0</v>
      </c>
      <c r="X32" s="519">
        <f t="shared" si="12"/>
        <v>0</v>
      </c>
      <c r="Y32" s="519">
        <f t="shared" si="13"/>
        <v>0</v>
      </c>
      <c r="Z32" s="519">
        <f t="shared" si="14"/>
        <v>0</v>
      </c>
      <c r="AA32" s="519">
        <f t="shared" si="15"/>
        <v>0</v>
      </c>
      <c r="AB32" s="519">
        <f t="shared" si="16"/>
        <v>0</v>
      </c>
      <c r="AC32" s="519">
        <f t="shared" si="17"/>
        <v>0</v>
      </c>
      <c r="AD32" s="520">
        <f t="shared" si="6"/>
        <v>0</v>
      </c>
      <c r="AF32" s="519">
        <f t="shared" si="18"/>
        <v>0</v>
      </c>
      <c r="AG32" s="519">
        <f t="shared" si="19"/>
        <v>0</v>
      </c>
      <c r="AH32" s="519">
        <f t="shared" si="20"/>
        <v>0</v>
      </c>
      <c r="AI32" s="519">
        <f t="shared" si="21"/>
        <v>0</v>
      </c>
      <c r="AJ32" s="519">
        <f t="shared" si="22"/>
        <v>0</v>
      </c>
      <c r="AK32" s="519">
        <f t="shared" si="23"/>
        <v>0</v>
      </c>
      <c r="AL32" s="519">
        <f t="shared" si="24"/>
        <v>0</v>
      </c>
      <c r="AM32" s="519">
        <f t="shared" si="25"/>
        <v>0</v>
      </c>
      <c r="AN32" s="519">
        <f t="shared" si="26"/>
        <v>0</v>
      </c>
      <c r="AO32" s="519">
        <f t="shared" si="27"/>
        <v>0</v>
      </c>
      <c r="AP32" s="520">
        <f t="shared" si="30"/>
        <v>0</v>
      </c>
      <c r="AR32" s="582">
        <f t="shared" si="31"/>
        <v>0</v>
      </c>
      <c r="AS32" s="582">
        <f t="shared" si="32"/>
        <v>0</v>
      </c>
      <c r="AT32" s="582">
        <f t="shared" si="33"/>
        <v>0</v>
      </c>
      <c r="AU32" s="582">
        <f t="shared" si="34"/>
        <v>0</v>
      </c>
      <c r="AV32" s="582">
        <f t="shared" si="35"/>
        <v>0</v>
      </c>
      <c r="AW32" s="582">
        <f t="shared" si="36"/>
        <v>0</v>
      </c>
      <c r="AX32" s="582">
        <f t="shared" si="37"/>
        <v>0</v>
      </c>
      <c r="AY32" s="582">
        <f t="shared" si="38"/>
        <v>0</v>
      </c>
      <c r="AZ32" s="582">
        <f t="shared" si="39"/>
        <v>0</v>
      </c>
      <c r="BA32" s="582">
        <f t="shared" si="40"/>
        <v>0</v>
      </c>
      <c r="BB32" s="520">
        <f t="shared" si="41"/>
        <v>0</v>
      </c>
      <c r="BD32" s="519">
        <f t="shared" si="42"/>
        <v>0</v>
      </c>
      <c r="BE32" s="519">
        <f t="shared" si="29"/>
        <v>0</v>
      </c>
      <c r="BF32" s="519">
        <f t="shared" si="29"/>
        <v>0</v>
      </c>
      <c r="BG32" s="519">
        <f t="shared" si="29"/>
        <v>0</v>
      </c>
      <c r="BH32" s="519">
        <f t="shared" si="29"/>
        <v>0</v>
      </c>
      <c r="BI32" s="519">
        <f t="shared" si="29"/>
        <v>0</v>
      </c>
      <c r="BJ32" s="519">
        <f t="shared" si="29"/>
        <v>0</v>
      </c>
      <c r="BK32" s="519">
        <f t="shared" si="29"/>
        <v>0</v>
      </c>
      <c r="BL32" s="519">
        <f t="shared" si="29"/>
        <v>0</v>
      </c>
      <c r="BM32" s="519">
        <f t="shared" si="29"/>
        <v>0</v>
      </c>
      <c r="BN32" s="520">
        <f t="shared" si="43"/>
        <v>0</v>
      </c>
    </row>
    <row r="33" spans="2:66" s="268" customFormat="1" ht="15" customHeight="1" x14ac:dyDescent="0.25">
      <c r="B33" s="446" t="str">
        <f>'2. START'!C$7</f>
        <v>100GEM</v>
      </c>
      <c r="C33" s="521"/>
      <c r="D33" s="592"/>
      <c r="E33" s="522">
        <v>0</v>
      </c>
      <c r="F33" s="523"/>
      <c r="G33" s="523"/>
      <c r="H33" s="523"/>
      <c r="I33" s="523"/>
      <c r="J33" s="523"/>
      <c r="K33" s="523"/>
      <c r="L33" s="523"/>
      <c r="M33" s="523"/>
      <c r="N33" s="523"/>
      <c r="O33" s="523"/>
      <c r="P33" s="460">
        <f t="shared" si="7"/>
        <v>0</v>
      </c>
      <c r="Q33" s="463"/>
      <c r="R33" s="454">
        <f>IF('2. START'!C$13="PERSON+OPERATION+INVEST+FACILIT",'2. START'!C$12,0)</f>
        <v>0</v>
      </c>
      <c r="S33" s="463"/>
      <c r="T33" s="459">
        <f t="shared" si="8"/>
        <v>0</v>
      </c>
      <c r="U33" s="459">
        <f t="shared" si="9"/>
        <v>0</v>
      </c>
      <c r="V33" s="459">
        <f t="shared" si="10"/>
        <v>0</v>
      </c>
      <c r="W33" s="459">
        <f t="shared" si="11"/>
        <v>0</v>
      </c>
      <c r="X33" s="459">
        <f t="shared" si="12"/>
        <v>0</v>
      </c>
      <c r="Y33" s="459">
        <f t="shared" si="13"/>
        <v>0</v>
      </c>
      <c r="Z33" s="459">
        <f t="shared" si="14"/>
        <v>0</v>
      </c>
      <c r="AA33" s="459">
        <f t="shared" si="15"/>
        <v>0</v>
      </c>
      <c r="AB33" s="459">
        <f t="shared" si="16"/>
        <v>0</v>
      </c>
      <c r="AC33" s="459">
        <f t="shared" si="17"/>
        <v>0</v>
      </c>
      <c r="AD33" s="460">
        <f t="shared" si="6"/>
        <v>0</v>
      </c>
      <c r="AE33" s="463"/>
      <c r="AF33" s="459">
        <f t="shared" si="18"/>
        <v>0</v>
      </c>
      <c r="AG33" s="459">
        <f t="shared" si="19"/>
        <v>0</v>
      </c>
      <c r="AH33" s="459">
        <f t="shared" si="20"/>
        <v>0</v>
      </c>
      <c r="AI33" s="459">
        <f t="shared" si="21"/>
        <v>0</v>
      </c>
      <c r="AJ33" s="459">
        <f t="shared" si="22"/>
        <v>0</v>
      </c>
      <c r="AK33" s="459">
        <f t="shared" si="23"/>
        <v>0</v>
      </c>
      <c r="AL33" s="459">
        <f t="shared" si="24"/>
        <v>0</v>
      </c>
      <c r="AM33" s="459">
        <f t="shared" si="25"/>
        <v>0</v>
      </c>
      <c r="AN33" s="459">
        <f t="shared" si="26"/>
        <v>0</v>
      </c>
      <c r="AO33" s="459">
        <f t="shared" si="27"/>
        <v>0</v>
      </c>
      <c r="AP33" s="460">
        <f t="shared" si="30"/>
        <v>0</v>
      </c>
      <c r="AQ33" s="463"/>
      <c r="AR33" s="584">
        <f t="shared" si="31"/>
        <v>0</v>
      </c>
      <c r="AS33" s="584">
        <f t="shared" si="32"/>
        <v>0</v>
      </c>
      <c r="AT33" s="584">
        <f t="shared" si="33"/>
        <v>0</v>
      </c>
      <c r="AU33" s="584">
        <f t="shared" si="34"/>
        <v>0</v>
      </c>
      <c r="AV33" s="584">
        <f t="shared" si="35"/>
        <v>0</v>
      </c>
      <c r="AW33" s="584">
        <f t="shared" si="36"/>
        <v>0</v>
      </c>
      <c r="AX33" s="584">
        <f t="shared" si="37"/>
        <v>0</v>
      </c>
      <c r="AY33" s="584">
        <f t="shared" si="38"/>
        <v>0</v>
      </c>
      <c r="AZ33" s="584">
        <f t="shared" si="39"/>
        <v>0</v>
      </c>
      <c r="BA33" s="584">
        <f t="shared" si="40"/>
        <v>0</v>
      </c>
      <c r="BB33" s="460">
        <f t="shared" si="41"/>
        <v>0</v>
      </c>
      <c r="BC33" s="463"/>
      <c r="BD33" s="459">
        <f t="shared" si="42"/>
        <v>0</v>
      </c>
      <c r="BE33" s="459">
        <f t="shared" si="29"/>
        <v>0</v>
      </c>
      <c r="BF33" s="459">
        <f t="shared" si="29"/>
        <v>0</v>
      </c>
      <c r="BG33" s="459">
        <f t="shared" si="29"/>
        <v>0</v>
      </c>
      <c r="BH33" s="459">
        <f t="shared" si="29"/>
        <v>0</v>
      </c>
      <c r="BI33" s="459">
        <f t="shared" si="29"/>
        <v>0</v>
      </c>
      <c r="BJ33" s="459">
        <f t="shared" si="29"/>
        <v>0</v>
      </c>
      <c r="BK33" s="459">
        <f t="shared" si="29"/>
        <v>0</v>
      </c>
      <c r="BL33" s="459">
        <f t="shared" si="29"/>
        <v>0</v>
      </c>
      <c r="BM33" s="459">
        <f t="shared" si="29"/>
        <v>0</v>
      </c>
      <c r="BN33" s="460">
        <f t="shared" si="43"/>
        <v>0</v>
      </c>
    </row>
    <row r="34" spans="2:66" s="268" customFormat="1" ht="15" customHeight="1" x14ac:dyDescent="0.25">
      <c r="B34" s="464" t="str">
        <f>'2. START'!C$7</f>
        <v>100GEM</v>
      </c>
      <c r="C34" s="526"/>
      <c r="D34" s="591"/>
      <c r="E34" s="527">
        <v>0</v>
      </c>
      <c r="F34" s="515"/>
      <c r="G34" s="515"/>
      <c r="H34" s="515"/>
      <c r="I34" s="515"/>
      <c r="J34" s="515"/>
      <c r="K34" s="515"/>
      <c r="L34" s="515"/>
      <c r="M34" s="515"/>
      <c r="N34" s="515"/>
      <c r="O34" s="515"/>
      <c r="P34" s="443">
        <f t="shared" si="7"/>
        <v>0</v>
      </c>
      <c r="R34" s="437">
        <f>IF('2. START'!C$13="PERSON+OPERATION+INVEST+FACILIT",'2. START'!C$12,0)</f>
        <v>0</v>
      </c>
      <c r="T34" s="519">
        <f t="shared" si="8"/>
        <v>0</v>
      </c>
      <c r="U34" s="519">
        <f t="shared" si="9"/>
        <v>0</v>
      </c>
      <c r="V34" s="519">
        <f t="shared" si="10"/>
        <v>0</v>
      </c>
      <c r="W34" s="519">
        <f t="shared" si="11"/>
        <v>0</v>
      </c>
      <c r="X34" s="519">
        <f t="shared" si="12"/>
        <v>0</v>
      </c>
      <c r="Y34" s="519">
        <f t="shared" si="13"/>
        <v>0</v>
      </c>
      <c r="Z34" s="519">
        <f t="shared" si="14"/>
        <v>0</v>
      </c>
      <c r="AA34" s="519">
        <f t="shared" si="15"/>
        <v>0</v>
      </c>
      <c r="AB34" s="519">
        <f t="shared" si="16"/>
        <v>0</v>
      </c>
      <c r="AC34" s="519">
        <f t="shared" si="17"/>
        <v>0</v>
      </c>
      <c r="AD34" s="520">
        <f t="shared" si="6"/>
        <v>0</v>
      </c>
      <c r="AF34" s="519">
        <f t="shared" si="18"/>
        <v>0</v>
      </c>
      <c r="AG34" s="519">
        <f t="shared" si="19"/>
        <v>0</v>
      </c>
      <c r="AH34" s="519">
        <f t="shared" si="20"/>
        <v>0</v>
      </c>
      <c r="AI34" s="519">
        <f t="shared" si="21"/>
        <v>0</v>
      </c>
      <c r="AJ34" s="519">
        <f t="shared" si="22"/>
        <v>0</v>
      </c>
      <c r="AK34" s="519">
        <f t="shared" si="23"/>
        <v>0</v>
      </c>
      <c r="AL34" s="519">
        <f t="shared" si="24"/>
        <v>0</v>
      </c>
      <c r="AM34" s="519">
        <f t="shared" si="25"/>
        <v>0</v>
      </c>
      <c r="AN34" s="519">
        <f t="shared" si="26"/>
        <v>0</v>
      </c>
      <c r="AO34" s="519">
        <f t="shared" si="27"/>
        <v>0</v>
      </c>
      <c r="AP34" s="520">
        <f t="shared" si="30"/>
        <v>0</v>
      </c>
      <c r="AR34" s="582">
        <f t="shared" si="31"/>
        <v>0</v>
      </c>
      <c r="AS34" s="582">
        <f t="shared" si="32"/>
        <v>0</v>
      </c>
      <c r="AT34" s="582">
        <f t="shared" si="33"/>
        <v>0</v>
      </c>
      <c r="AU34" s="582">
        <f t="shared" si="34"/>
        <v>0</v>
      </c>
      <c r="AV34" s="582">
        <f t="shared" si="35"/>
        <v>0</v>
      </c>
      <c r="AW34" s="582">
        <f t="shared" si="36"/>
        <v>0</v>
      </c>
      <c r="AX34" s="582">
        <f t="shared" si="37"/>
        <v>0</v>
      </c>
      <c r="AY34" s="582">
        <f t="shared" si="38"/>
        <v>0</v>
      </c>
      <c r="AZ34" s="582">
        <f t="shared" si="39"/>
        <v>0</v>
      </c>
      <c r="BA34" s="582">
        <f t="shared" si="40"/>
        <v>0</v>
      </c>
      <c r="BB34" s="520">
        <f t="shared" si="41"/>
        <v>0</v>
      </c>
      <c r="BD34" s="519">
        <f t="shared" si="42"/>
        <v>0</v>
      </c>
      <c r="BE34" s="519">
        <f t="shared" si="42"/>
        <v>0</v>
      </c>
      <c r="BF34" s="519">
        <f t="shared" si="42"/>
        <v>0</v>
      </c>
      <c r="BG34" s="519">
        <f t="shared" si="42"/>
        <v>0</v>
      </c>
      <c r="BH34" s="519">
        <f t="shared" si="42"/>
        <v>0</v>
      </c>
      <c r="BI34" s="519">
        <f t="shared" si="42"/>
        <v>0</v>
      </c>
      <c r="BJ34" s="519">
        <f t="shared" si="42"/>
        <v>0</v>
      </c>
      <c r="BK34" s="519">
        <f t="shared" si="42"/>
        <v>0</v>
      </c>
      <c r="BL34" s="519">
        <f t="shared" si="42"/>
        <v>0</v>
      </c>
      <c r="BM34" s="519">
        <f t="shared" si="42"/>
        <v>0</v>
      </c>
      <c r="BN34" s="520">
        <f t="shared" si="43"/>
        <v>0</v>
      </c>
    </row>
    <row r="35" spans="2:66" s="268" customFormat="1" ht="15" customHeight="1" x14ac:dyDescent="0.25">
      <c r="B35" s="446" t="str">
        <f>'2. START'!C$7</f>
        <v>100GEM</v>
      </c>
      <c r="C35" s="521"/>
      <c r="D35" s="592"/>
      <c r="E35" s="522">
        <v>0</v>
      </c>
      <c r="F35" s="523"/>
      <c r="G35" s="523"/>
      <c r="H35" s="523"/>
      <c r="I35" s="523"/>
      <c r="J35" s="523"/>
      <c r="K35" s="523"/>
      <c r="L35" s="523"/>
      <c r="M35" s="523"/>
      <c r="N35" s="523"/>
      <c r="O35" s="523"/>
      <c r="P35" s="460">
        <f t="shared" si="7"/>
        <v>0</v>
      </c>
      <c r="Q35" s="463"/>
      <c r="R35" s="454">
        <f>IF('2. START'!C$13="PERSON+OPERATION+INVEST+FACILIT",'2. START'!C$12,0)</f>
        <v>0</v>
      </c>
      <c r="S35" s="463"/>
      <c r="T35" s="459">
        <f t="shared" si="8"/>
        <v>0</v>
      </c>
      <c r="U35" s="459">
        <f t="shared" si="9"/>
        <v>0</v>
      </c>
      <c r="V35" s="459">
        <f t="shared" si="10"/>
        <v>0</v>
      </c>
      <c r="W35" s="459">
        <f t="shared" si="11"/>
        <v>0</v>
      </c>
      <c r="X35" s="459">
        <f t="shared" si="12"/>
        <v>0</v>
      </c>
      <c r="Y35" s="459">
        <f t="shared" si="13"/>
        <v>0</v>
      </c>
      <c r="Z35" s="459">
        <f t="shared" si="14"/>
        <v>0</v>
      </c>
      <c r="AA35" s="459">
        <f t="shared" si="15"/>
        <v>0</v>
      </c>
      <c r="AB35" s="459">
        <f t="shared" si="16"/>
        <v>0</v>
      </c>
      <c r="AC35" s="459">
        <f t="shared" si="17"/>
        <v>0</v>
      </c>
      <c r="AD35" s="460">
        <f t="shared" si="6"/>
        <v>0</v>
      </c>
      <c r="AE35" s="463"/>
      <c r="AF35" s="459">
        <f t="shared" si="18"/>
        <v>0</v>
      </c>
      <c r="AG35" s="459">
        <f t="shared" si="19"/>
        <v>0</v>
      </c>
      <c r="AH35" s="459">
        <f t="shared" si="20"/>
        <v>0</v>
      </c>
      <c r="AI35" s="459">
        <f t="shared" si="21"/>
        <v>0</v>
      </c>
      <c r="AJ35" s="459">
        <f t="shared" si="22"/>
        <v>0</v>
      </c>
      <c r="AK35" s="459">
        <f t="shared" si="23"/>
        <v>0</v>
      </c>
      <c r="AL35" s="459">
        <f t="shared" si="24"/>
        <v>0</v>
      </c>
      <c r="AM35" s="459">
        <f t="shared" si="25"/>
        <v>0</v>
      </c>
      <c r="AN35" s="459">
        <f t="shared" si="26"/>
        <v>0</v>
      </c>
      <c r="AO35" s="459">
        <f t="shared" si="27"/>
        <v>0</v>
      </c>
      <c r="AP35" s="460">
        <f t="shared" si="30"/>
        <v>0</v>
      </c>
      <c r="AQ35" s="463"/>
      <c r="AR35" s="584">
        <f t="shared" si="31"/>
        <v>0</v>
      </c>
      <c r="AS35" s="584">
        <f t="shared" si="32"/>
        <v>0</v>
      </c>
      <c r="AT35" s="584">
        <f t="shared" si="33"/>
        <v>0</v>
      </c>
      <c r="AU35" s="584">
        <f t="shared" si="34"/>
        <v>0</v>
      </c>
      <c r="AV35" s="584">
        <f t="shared" si="35"/>
        <v>0</v>
      </c>
      <c r="AW35" s="584">
        <f t="shared" si="36"/>
        <v>0</v>
      </c>
      <c r="AX35" s="584">
        <f t="shared" si="37"/>
        <v>0</v>
      </c>
      <c r="AY35" s="584">
        <f t="shared" si="38"/>
        <v>0</v>
      </c>
      <c r="AZ35" s="584">
        <f t="shared" si="39"/>
        <v>0</v>
      </c>
      <c r="BA35" s="584">
        <f t="shared" si="40"/>
        <v>0</v>
      </c>
      <c r="BB35" s="460">
        <f t="shared" si="41"/>
        <v>0</v>
      </c>
      <c r="BC35" s="463"/>
      <c r="BD35" s="459">
        <f t="shared" si="42"/>
        <v>0</v>
      </c>
      <c r="BE35" s="459">
        <f t="shared" si="42"/>
        <v>0</v>
      </c>
      <c r="BF35" s="459">
        <f t="shared" si="42"/>
        <v>0</v>
      </c>
      <c r="BG35" s="459">
        <f t="shared" si="42"/>
        <v>0</v>
      </c>
      <c r="BH35" s="459">
        <f t="shared" si="42"/>
        <v>0</v>
      </c>
      <c r="BI35" s="459">
        <f t="shared" si="42"/>
        <v>0</v>
      </c>
      <c r="BJ35" s="459">
        <f t="shared" si="42"/>
        <v>0</v>
      </c>
      <c r="BK35" s="459">
        <f t="shared" si="42"/>
        <v>0</v>
      </c>
      <c r="BL35" s="459">
        <f t="shared" si="42"/>
        <v>0</v>
      </c>
      <c r="BM35" s="459">
        <f t="shared" si="42"/>
        <v>0</v>
      </c>
      <c r="BN35" s="460">
        <f t="shared" si="43"/>
        <v>0</v>
      </c>
    </row>
    <row r="36" spans="2:66" s="268" customFormat="1" ht="15" customHeight="1" x14ac:dyDescent="0.25">
      <c r="B36" s="464" t="str">
        <f>'2. START'!C$7</f>
        <v>100GEM</v>
      </c>
      <c r="C36" s="470"/>
      <c r="D36" s="593"/>
      <c r="E36" s="527">
        <v>0</v>
      </c>
      <c r="F36" s="515"/>
      <c r="G36" s="515"/>
      <c r="H36" s="515"/>
      <c r="I36" s="515"/>
      <c r="J36" s="515"/>
      <c r="K36" s="515"/>
      <c r="L36" s="515"/>
      <c r="M36" s="515"/>
      <c r="N36" s="515"/>
      <c r="O36" s="515"/>
      <c r="P36" s="443">
        <f t="shared" si="7"/>
        <v>0</v>
      </c>
      <c r="R36" s="437">
        <f>IF('2. START'!C$13="PERSON+OPERATION+INVEST+FACILIT",'2. START'!C$12,0)</f>
        <v>0</v>
      </c>
      <c r="T36" s="519">
        <f t="shared" si="8"/>
        <v>0</v>
      </c>
      <c r="U36" s="519">
        <f t="shared" si="9"/>
        <v>0</v>
      </c>
      <c r="V36" s="519">
        <f t="shared" si="10"/>
        <v>0</v>
      </c>
      <c r="W36" s="519">
        <f t="shared" si="11"/>
        <v>0</v>
      </c>
      <c r="X36" s="519">
        <f t="shared" si="12"/>
        <v>0</v>
      </c>
      <c r="Y36" s="519">
        <f t="shared" si="13"/>
        <v>0</v>
      </c>
      <c r="Z36" s="519">
        <f t="shared" si="14"/>
        <v>0</v>
      </c>
      <c r="AA36" s="519">
        <f t="shared" si="15"/>
        <v>0</v>
      </c>
      <c r="AB36" s="519">
        <f t="shared" si="16"/>
        <v>0</v>
      </c>
      <c r="AC36" s="519">
        <f t="shared" si="17"/>
        <v>0</v>
      </c>
      <c r="AD36" s="520">
        <f t="shared" si="6"/>
        <v>0</v>
      </c>
      <c r="AF36" s="519">
        <f t="shared" si="18"/>
        <v>0</v>
      </c>
      <c r="AG36" s="519">
        <f t="shared" si="19"/>
        <v>0</v>
      </c>
      <c r="AH36" s="519">
        <f t="shared" si="20"/>
        <v>0</v>
      </c>
      <c r="AI36" s="519">
        <f t="shared" si="21"/>
        <v>0</v>
      </c>
      <c r="AJ36" s="519">
        <f t="shared" si="22"/>
        <v>0</v>
      </c>
      <c r="AK36" s="519">
        <f t="shared" si="23"/>
        <v>0</v>
      </c>
      <c r="AL36" s="519">
        <f t="shared" si="24"/>
        <v>0</v>
      </c>
      <c r="AM36" s="519">
        <f t="shared" si="25"/>
        <v>0</v>
      </c>
      <c r="AN36" s="519">
        <f t="shared" si="26"/>
        <v>0</v>
      </c>
      <c r="AO36" s="519">
        <f t="shared" si="27"/>
        <v>0</v>
      </c>
      <c r="AP36" s="520">
        <f t="shared" si="30"/>
        <v>0</v>
      </c>
      <c r="AR36" s="582">
        <f t="shared" si="31"/>
        <v>0</v>
      </c>
      <c r="AS36" s="582">
        <f t="shared" si="32"/>
        <v>0</v>
      </c>
      <c r="AT36" s="582">
        <f t="shared" si="33"/>
        <v>0</v>
      </c>
      <c r="AU36" s="582">
        <f t="shared" si="34"/>
        <v>0</v>
      </c>
      <c r="AV36" s="582">
        <f t="shared" si="35"/>
        <v>0</v>
      </c>
      <c r="AW36" s="582">
        <f t="shared" si="36"/>
        <v>0</v>
      </c>
      <c r="AX36" s="582">
        <f t="shared" si="37"/>
        <v>0</v>
      </c>
      <c r="AY36" s="582">
        <f t="shared" si="38"/>
        <v>0</v>
      </c>
      <c r="AZ36" s="582">
        <f t="shared" si="39"/>
        <v>0</v>
      </c>
      <c r="BA36" s="582">
        <f t="shared" si="40"/>
        <v>0</v>
      </c>
      <c r="BB36" s="520">
        <f t="shared" si="41"/>
        <v>0</v>
      </c>
      <c r="BD36" s="519">
        <f t="shared" si="42"/>
        <v>0</v>
      </c>
      <c r="BE36" s="519">
        <f t="shared" si="42"/>
        <v>0</v>
      </c>
      <c r="BF36" s="519">
        <f t="shared" si="42"/>
        <v>0</v>
      </c>
      <c r="BG36" s="519">
        <f t="shared" si="42"/>
        <v>0</v>
      </c>
      <c r="BH36" s="519">
        <f t="shared" si="42"/>
        <v>0</v>
      </c>
      <c r="BI36" s="519">
        <f t="shared" si="42"/>
        <v>0</v>
      </c>
      <c r="BJ36" s="519">
        <f t="shared" si="42"/>
        <v>0</v>
      </c>
      <c r="BK36" s="519">
        <f t="shared" si="42"/>
        <v>0</v>
      </c>
      <c r="BL36" s="519">
        <f t="shared" si="42"/>
        <v>0</v>
      </c>
      <c r="BM36" s="519">
        <f t="shared" si="42"/>
        <v>0</v>
      </c>
      <c r="BN36" s="520">
        <f t="shared" si="43"/>
        <v>0</v>
      </c>
    </row>
    <row r="37" spans="2:66" s="268" customFormat="1" ht="15" customHeight="1" x14ac:dyDescent="0.25">
      <c r="B37" s="446" t="str">
        <f>'2. START'!C$7</f>
        <v>100GEM</v>
      </c>
      <c r="C37" s="469"/>
      <c r="D37" s="594"/>
      <c r="E37" s="522">
        <v>0</v>
      </c>
      <c r="F37" s="523"/>
      <c r="G37" s="523"/>
      <c r="H37" s="523"/>
      <c r="I37" s="523"/>
      <c r="J37" s="523"/>
      <c r="K37" s="523"/>
      <c r="L37" s="523"/>
      <c r="M37" s="523"/>
      <c r="N37" s="523"/>
      <c r="O37" s="523"/>
      <c r="P37" s="460">
        <f t="shared" si="7"/>
        <v>0</v>
      </c>
      <c r="Q37" s="463"/>
      <c r="R37" s="454">
        <f>IF('2. START'!C$13="PERSON+OPERATION+INVEST+FACILIT",'2. START'!C$12,0)</f>
        <v>0</v>
      </c>
      <c r="S37" s="463"/>
      <c r="T37" s="459">
        <f t="shared" si="8"/>
        <v>0</v>
      </c>
      <c r="U37" s="459">
        <f t="shared" si="9"/>
        <v>0</v>
      </c>
      <c r="V37" s="459">
        <f t="shared" si="10"/>
        <v>0</v>
      </c>
      <c r="W37" s="459">
        <f t="shared" si="11"/>
        <v>0</v>
      </c>
      <c r="X37" s="459">
        <f t="shared" si="12"/>
        <v>0</v>
      </c>
      <c r="Y37" s="459">
        <f t="shared" si="13"/>
        <v>0</v>
      </c>
      <c r="Z37" s="459">
        <f t="shared" si="14"/>
        <v>0</v>
      </c>
      <c r="AA37" s="459">
        <f t="shared" si="15"/>
        <v>0</v>
      </c>
      <c r="AB37" s="459">
        <f t="shared" si="16"/>
        <v>0</v>
      </c>
      <c r="AC37" s="459">
        <f t="shared" si="17"/>
        <v>0</v>
      </c>
      <c r="AD37" s="460">
        <f t="shared" si="6"/>
        <v>0</v>
      </c>
      <c r="AE37" s="463"/>
      <c r="AF37" s="459">
        <f t="shared" si="18"/>
        <v>0</v>
      </c>
      <c r="AG37" s="459">
        <f t="shared" si="19"/>
        <v>0</v>
      </c>
      <c r="AH37" s="459">
        <f t="shared" si="20"/>
        <v>0</v>
      </c>
      <c r="AI37" s="459">
        <f t="shared" si="21"/>
        <v>0</v>
      </c>
      <c r="AJ37" s="459">
        <f t="shared" si="22"/>
        <v>0</v>
      </c>
      <c r="AK37" s="459">
        <f t="shared" si="23"/>
        <v>0</v>
      </c>
      <c r="AL37" s="459">
        <f t="shared" si="24"/>
        <v>0</v>
      </c>
      <c r="AM37" s="459">
        <f t="shared" si="25"/>
        <v>0</v>
      </c>
      <c r="AN37" s="459">
        <f t="shared" si="26"/>
        <v>0</v>
      </c>
      <c r="AO37" s="459">
        <f t="shared" si="27"/>
        <v>0</v>
      </c>
      <c r="AP37" s="460">
        <f t="shared" si="30"/>
        <v>0</v>
      </c>
      <c r="AQ37" s="463"/>
      <c r="AR37" s="584">
        <f t="shared" si="31"/>
        <v>0</v>
      </c>
      <c r="AS37" s="584">
        <f t="shared" si="32"/>
        <v>0</v>
      </c>
      <c r="AT37" s="584">
        <f t="shared" si="33"/>
        <v>0</v>
      </c>
      <c r="AU37" s="584">
        <f t="shared" si="34"/>
        <v>0</v>
      </c>
      <c r="AV37" s="584">
        <f t="shared" si="35"/>
        <v>0</v>
      </c>
      <c r="AW37" s="584">
        <f t="shared" si="36"/>
        <v>0</v>
      </c>
      <c r="AX37" s="584">
        <f t="shared" si="37"/>
        <v>0</v>
      </c>
      <c r="AY37" s="584">
        <f t="shared" si="38"/>
        <v>0</v>
      </c>
      <c r="AZ37" s="584">
        <f t="shared" si="39"/>
        <v>0</v>
      </c>
      <c r="BA37" s="584">
        <f t="shared" si="40"/>
        <v>0</v>
      </c>
      <c r="BB37" s="460">
        <f t="shared" si="41"/>
        <v>0</v>
      </c>
      <c r="BC37" s="463"/>
      <c r="BD37" s="459">
        <f t="shared" si="42"/>
        <v>0</v>
      </c>
      <c r="BE37" s="459">
        <f t="shared" si="42"/>
        <v>0</v>
      </c>
      <c r="BF37" s="459">
        <f t="shared" si="42"/>
        <v>0</v>
      </c>
      <c r="BG37" s="459">
        <f t="shared" si="42"/>
        <v>0</v>
      </c>
      <c r="BH37" s="459">
        <f t="shared" si="42"/>
        <v>0</v>
      </c>
      <c r="BI37" s="459">
        <f t="shared" si="42"/>
        <v>0</v>
      </c>
      <c r="BJ37" s="459">
        <f t="shared" si="42"/>
        <v>0</v>
      </c>
      <c r="BK37" s="459">
        <f t="shared" si="42"/>
        <v>0</v>
      </c>
      <c r="BL37" s="459">
        <f t="shared" si="42"/>
        <v>0</v>
      </c>
      <c r="BM37" s="459">
        <f t="shared" si="42"/>
        <v>0</v>
      </c>
      <c r="BN37" s="460">
        <f t="shared" si="43"/>
        <v>0</v>
      </c>
    </row>
    <row r="38" spans="2:66" s="268" customFormat="1" ht="15" customHeight="1" x14ac:dyDescent="0.25">
      <c r="B38" s="464" t="str">
        <f>'2. START'!C$7</f>
        <v>100GEM</v>
      </c>
      <c r="C38" s="470"/>
      <c r="D38" s="593"/>
      <c r="E38" s="527">
        <v>0</v>
      </c>
      <c r="F38" s="515"/>
      <c r="G38" s="515"/>
      <c r="H38" s="515"/>
      <c r="I38" s="515"/>
      <c r="J38" s="515"/>
      <c r="K38" s="515"/>
      <c r="L38" s="515"/>
      <c r="M38" s="515"/>
      <c r="N38" s="515"/>
      <c r="O38" s="515"/>
      <c r="P38" s="443">
        <f t="shared" si="7"/>
        <v>0</v>
      </c>
      <c r="R38" s="437">
        <f>IF('2. START'!C$13="PERSON+OPERATION+INVEST+FACILIT",'2. START'!C$12,0)</f>
        <v>0</v>
      </c>
      <c r="T38" s="519">
        <f t="shared" si="8"/>
        <v>0</v>
      </c>
      <c r="U38" s="519">
        <f t="shared" si="9"/>
        <v>0</v>
      </c>
      <c r="V38" s="519">
        <f t="shared" si="10"/>
        <v>0</v>
      </c>
      <c r="W38" s="519">
        <f t="shared" si="11"/>
        <v>0</v>
      </c>
      <c r="X38" s="519">
        <f t="shared" si="12"/>
        <v>0</v>
      </c>
      <c r="Y38" s="519">
        <f t="shared" si="13"/>
        <v>0</v>
      </c>
      <c r="Z38" s="519">
        <f t="shared" si="14"/>
        <v>0</v>
      </c>
      <c r="AA38" s="519">
        <f t="shared" si="15"/>
        <v>0</v>
      </c>
      <c r="AB38" s="519">
        <f t="shared" si="16"/>
        <v>0</v>
      </c>
      <c r="AC38" s="519">
        <f t="shared" si="17"/>
        <v>0</v>
      </c>
      <c r="AD38" s="520">
        <f t="shared" si="6"/>
        <v>0</v>
      </c>
      <c r="AF38" s="519">
        <f t="shared" si="18"/>
        <v>0</v>
      </c>
      <c r="AG38" s="519">
        <f t="shared" si="19"/>
        <v>0</v>
      </c>
      <c r="AH38" s="519">
        <f t="shared" si="20"/>
        <v>0</v>
      </c>
      <c r="AI38" s="519">
        <f t="shared" si="21"/>
        <v>0</v>
      </c>
      <c r="AJ38" s="519">
        <f t="shared" si="22"/>
        <v>0</v>
      </c>
      <c r="AK38" s="519">
        <f t="shared" si="23"/>
        <v>0</v>
      </c>
      <c r="AL38" s="519">
        <f t="shared" si="24"/>
        <v>0</v>
      </c>
      <c r="AM38" s="519">
        <f t="shared" si="25"/>
        <v>0</v>
      </c>
      <c r="AN38" s="519">
        <f t="shared" si="26"/>
        <v>0</v>
      </c>
      <c r="AO38" s="519">
        <f t="shared" si="27"/>
        <v>0</v>
      </c>
      <c r="AP38" s="520">
        <f t="shared" si="30"/>
        <v>0</v>
      </c>
      <c r="AR38" s="582">
        <f t="shared" si="31"/>
        <v>0</v>
      </c>
      <c r="AS38" s="582">
        <f t="shared" si="32"/>
        <v>0</v>
      </c>
      <c r="AT38" s="582">
        <f t="shared" si="33"/>
        <v>0</v>
      </c>
      <c r="AU38" s="582">
        <f t="shared" si="34"/>
        <v>0</v>
      </c>
      <c r="AV38" s="582">
        <f t="shared" si="35"/>
        <v>0</v>
      </c>
      <c r="AW38" s="582">
        <f t="shared" si="36"/>
        <v>0</v>
      </c>
      <c r="AX38" s="582">
        <f t="shared" si="37"/>
        <v>0</v>
      </c>
      <c r="AY38" s="582">
        <f t="shared" si="38"/>
        <v>0</v>
      </c>
      <c r="AZ38" s="582">
        <f t="shared" si="39"/>
        <v>0</v>
      </c>
      <c r="BA38" s="582">
        <f t="shared" si="40"/>
        <v>0</v>
      </c>
      <c r="BB38" s="520">
        <f t="shared" si="41"/>
        <v>0</v>
      </c>
      <c r="BD38" s="519">
        <f t="shared" si="42"/>
        <v>0</v>
      </c>
      <c r="BE38" s="519">
        <f t="shared" si="42"/>
        <v>0</v>
      </c>
      <c r="BF38" s="519">
        <f t="shared" si="42"/>
        <v>0</v>
      </c>
      <c r="BG38" s="519">
        <f t="shared" si="42"/>
        <v>0</v>
      </c>
      <c r="BH38" s="519">
        <f t="shared" si="42"/>
        <v>0</v>
      </c>
      <c r="BI38" s="519">
        <f t="shared" si="42"/>
        <v>0</v>
      </c>
      <c r="BJ38" s="519">
        <f t="shared" si="42"/>
        <v>0</v>
      </c>
      <c r="BK38" s="519">
        <f t="shared" si="42"/>
        <v>0</v>
      </c>
      <c r="BL38" s="519">
        <f t="shared" si="42"/>
        <v>0</v>
      </c>
      <c r="BM38" s="519">
        <f t="shared" si="42"/>
        <v>0</v>
      </c>
      <c r="BN38" s="520">
        <f t="shared" si="43"/>
        <v>0</v>
      </c>
    </row>
    <row r="39" spans="2:66" s="268" customFormat="1" ht="15" customHeight="1" x14ac:dyDescent="0.25">
      <c r="B39" s="446" t="str">
        <f>'2. START'!C$7</f>
        <v>100GEM</v>
      </c>
      <c r="C39" s="469"/>
      <c r="D39" s="594"/>
      <c r="E39" s="522">
        <v>0</v>
      </c>
      <c r="F39" s="523"/>
      <c r="G39" s="523"/>
      <c r="H39" s="523"/>
      <c r="I39" s="523"/>
      <c r="J39" s="523"/>
      <c r="K39" s="523"/>
      <c r="L39" s="523"/>
      <c r="M39" s="523"/>
      <c r="N39" s="523"/>
      <c r="O39" s="523"/>
      <c r="P39" s="460">
        <f t="shared" si="7"/>
        <v>0</v>
      </c>
      <c r="Q39" s="463"/>
      <c r="R39" s="454">
        <f>IF('2. START'!C$13="PERSON+OPERATION+INVEST+FACILIT",'2. START'!C$12,0)</f>
        <v>0</v>
      </c>
      <c r="S39" s="463"/>
      <c r="T39" s="459">
        <f t="shared" si="8"/>
        <v>0</v>
      </c>
      <c r="U39" s="459">
        <f t="shared" si="9"/>
        <v>0</v>
      </c>
      <c r="V39" s="459">
        <f t="shared" si="10"/>
        <v>0</v>
      </c>
      <c r="W39" s="459">
        <f t="shared" si="11"/>
        <v>0</v>
      </c>
      <c r="X39" s="459">
        <f t="shared" si="12"/>
        <v>0</v>
      </c>
      <c r="Y39" s="459">
        <f t="shared" si="13"/>
        <v>0</v>
      </c>
      <c r="Z39" s="459">
        <f t="shared" si="14"/>
        <v>0</v>
      </c>
      <c r="AA39" s="459">
        <f t="shared" si="15"/>
        <v>0</v>
      </c>
      <c r="AB39" s="459">
        <f t="shared" si="16"/>
        <v>0</v>
      </c>
      <c r="AC39" s="459">
        <f t="shared" si="17"/>
        <v>0</v>
      </c>
      <c r="AD39" s="460">
        <f t="shared" si="6"/>
        <v>0</v>
      </c>
      <c r="AE39" s="463"/>
      <c r="AF39" s="459">
        <f t="shared" si="18"/>
        <v>0</v>
      </c>
      <c r="AG39" s="459">
        <f t="shared" si="19"/>
        <v>0</v>
      </c>
      <c r="AH39" s="459">
        <f t="shared" si="20"/>
        <v>0</v>
      </c>
      <c r="AI39" s="459">
        <f t="shared" si="21"/>
        <v>0</v>
      </c>
      <c r="AJ39" s="459">
        <f t="shared" si="22"/>
        <v>0</v>
      </c>
      <c r="AK39" s="459">
        <f t="shared" si="23"/>
        <v>0</v>
      </c>
      <c r="AL39" s="459">
        <f t="shared" si="24"/>
        <v>0</v>
      </c>
      <c r="AM39" s="459">
        <f t="shared" si="25"/>
        <v>0</v>
      </c>
      <c r="AN39" s="459">
        <f t="shared" si="26"/>
        <v>0</v>
      </c>
      <c r="AO39" s="459">
        <f t="shared" si="27"/>
        <v>0</v>
      </c>
      <c r="AP39" s="460">
        <f t="shared" si="30"/>
        <v>0</v>
      </c>
      <c r="AQ39" s="463"/>
      <c r="AR39" s="584">
        <f t="shared" si="31"/>
        <v>0</v>
      </c>
      <c r="AS39" s="584">
        <f t="shared" si="32"/>
        <v>0</v>
      </c>
      <c r="AT39" s="584">
        <f t="shared" si="33"/>
        <v>0</v>
      </c>
      <c r="AU39" s="584">
        <f t="shared" si="34"/>
        <v>0</v>
      </c>
      <c r="AV39" s="584">
        <f t="shared" si="35"/>
        <v>0</v>
      </c>
      <c r="AW39" s="584">
        <f t="shared" si="36"/>
        <v>0</v>
      </c>
      <c r="AX39" s="584">
        <f t="shared" si="37"/>
        <v>0</v>
      </c>
      <c r="AY39" s="584">
        <f t="shared" si="38"/>
        <v>0</v>
      </c>
      <c r="AZ39" s="584">
        <f t="shared" si="39"/>
        <v>0</v>
      </c>
      <c r="BA39" s="584">
        <f t="shared" si="40"/>
        <v>0</v>
      </c>
      <c r="BB39" s="460">
        <f t="shared" si="41"/>
        <v>0</v>
      </c>
      <c r="BC39" s="463"/>
      <c r="BD39" s="459">
        <f t="shared" si="42"/>
        <v>0</v>
      </c>
      <c r="BE39" s="459">
        <f t="shared" si="42"/>
        <v>0</v>
      </c>
      <c r="BF39" s="459">
        <f t="shared" si="42"/>
        <v>0</v>
      </c>
      <c r="BG39" s="459">
        <f t="shared" si="42"/>
        <v>0</v>
      </c>
      <c r="BH39" s="459">
        <f t="shared" si="42"/>
        <v>0</v>
      </c>
      <c r="BI39" s="459">
        <f t="shared" si="42"/>
        <v>0</v>
      </c>
      <c r="BJ39" s="459">
        <f t="shared" si="42"/>
        <v>0</v>
      </c>
      <c r="BK39" s="459">
        <f t="shared" si="42"/>
        <v>0</v>
      </c>
      <c r="BL39" s="459">
        <f t="shared" si="42"/>
        <v>0</v>
      </c>
      <c r="BM39" s="459">
        <f t="shared" si="42"/>
        <v>0</v>
      </c>
      <c r="BN39" s="460">
        <f t="shared" si="43"/>
        <v>0</v>
      </c>
    </row>
    <row r="40" spans="2:66" s="268" customFormat="1" ht="15" customHeight="1" x14ac:dyDescent="0.25">
      <c r="B40" s="464" t="str">
        <f>'2. START'!C$7</f>
        <v>100GEM</v>
      </c>
      <c r="C40" s="470"/>
      <c r="D40" s="593"/>
      <c r="E40" s="527">
        <v>0</v>
      </c>
      <c r="F40" s="515"/>
      <c r="G40" s="515"/>
      <c r="H40" s="515"/>
      <c r="I40" s="515"/>
      <c r="J40" s="515"/>
      <c r="K40" s="515"/>
      <c r="L40" s="515"/>
      <c r="M40" s="515"/>
      <c r="N40" s="515"/>
      <c r="O40" s="515"/>
      <c r="P40" s="443">
        <f t="shared" si="7"/>
        <v>0</v>
      </c>
      <c r="R40" s="437">
        <f>IF('2. START'!C$13="PERSON+OPERATION+INVEST+FACILIT",'2. START'!C$12,0)</f>
        <v>0</v>
      </c>
      <c r="T40" s="519">
        <f t="shared" si="8"/>
        <v>0</v>
      </c>
      <c r="U40" s="519">
        <f t="shared" si="9"/>
        <v>0</v>
      </c>
      <c r="V40" s="519">
        <f t="shared" si="10"/>
        <v>0</v>
      </c>
      <c r="W40" s="519">
        <f t="shared" si="11"/>
        <v>0</v>
      </c>
      <c r="X40" s="519">
        <f t="shared" si="12"/>
        <v>0</v>
      </c>
      <c r="Y40" s="519">
        <f t="shared" si="13"/>
        <v>0</v>
      </c>
      <c r="Z40" s="519">
        <f t="shared" si="14"/>
        <v>0</v>
      </c>
      <c r="AA40" s="519">
        <f t="shared" si="15"/>
        <v>0</v>
      </c>
      <c r="AB40" s="519">
        <f t="shared" si="16"/>
        <v>0</v>
      </c>
      <c r="AC40" s="519">
        <f t="shared" si="17"/>
        <v>0</v>
      </c>
      <c r="AD40" s="520">
        <f t="shared" si="6"/>
        <v>0</v>
      </c>
      <c r="AF40" s="519">
        <f t="shared" si="18"/>
        <v>0</v>
      </c>
      <c r="AG40" s="519">
        <f t="shared" si="19"/>
        <v>0</v>
      </c>
      <c r="AH40" s="519">
        <f t="shared" si="20"/>
        <v>0</v>
      </c>
      <c r="AI40" s="519">
        <f t="shared" si="21"/>
        <v>0</v>
      </c>
      <c r="AJ40" s="519">
        <f t="shared" si="22"/>
        <v>0</v>
      </c>
      <c r="AK40" s="519">
        <f t="shared" si="23"/>
        <v>0</v>
      </c>
      <c r="AL40" s="519">
        <f t="shared" si="24"/>
        <v>0</v>
      </c>
      <c r="AM40" s="519">
        <f t="shared" si="25"/>
        <v>0</v>
      </c>
      <c r="AN40" s="519">
        <f t="shared" si="26"/>
        <v>0</v>
      </c>
      <c r="AO40" s="519">
        <f t="shared" si="27"/>
        <v>0</v>
      </c>
      <c r="AP40" s="520">
        <f t="shared" si="30"/>
        <v>0</v>
      </c>
      <c r="AR40" s="582">
        <f t="shared" si="31"/>
        <v>0</v>
      </c>
      <c r="AS40" s="582">
        <f t="shared" si="32"/>
        <v>0</v>
      </c>
      <c r="AT40" s="582">
        <f t="shared" si="33"/>
        <v>0</v>
      </c>
      <c r="AU40" s="582">
        <f t="shared" si="34"/>
        <v>0</v>
      </c>
      <c r="AV40" s="582">
        <f t="shared" si="35"/>
        <v>0</v>
      </c>
      <c r="AW40" s="582">
        <f t="shared" si="36"/>
        <v>0</v>
      </c>
      <c r="AX40" s="582">
        <f t="shared" si="37"/>
        <v>0</v>
      </c>
      <c r="AY40" s="582">
        <f t="shared" si="38"/>
        <v>0</v>
      </c>
      <c r="AZ40" s="582">
        <f t="shared" si="39"/>
        <v>0</v>
      </c>
      <c r="BA40" s="582">
        <f t="shared" si="40"/>
        <v>0</v>
      </c>
      <c r="BB40" s="520">
        <f t="shared" si="41"/>
        <v>0</v>
      </c>
      <c r="BD40" s="519">
        <f t="shared" si="42"/>
        <v>0</v>
      </c>
      <c r="BE40" s="519">
        <f t="shared" si="42"/>
        <v>0</v>
      </c>
      <c r="BF40" s="519">
        <f t="shared" si="42"/>
        <v>0</v>
      </c>
      <c r="BG40" s="519">
        <f t="shared" si="42"/>
        <v>0</v>
      </c>
      <c r="BH40" s="519">
        <f t="shared" si="42"/>
        <v>0</v>
      </c>
      <c r="BI40" s="519">
        <f t="shared" si="42"/>
        <v>0</v>
      </c>
      <c r="BJ40" s="519">
        <f t="shared" si="42"/>
        <v>0</v>
      </c>
      <c r="BK40" s="519">
        <f t="shared" si="42"/>
        <v>0</v>
      </c>
      <c r="BL40" s="519">
        <f t="shared" si="42"/>
        <v>0</v>
      </c>
      <c r="BM40" s="519">
        <f t="shared" si="42"/>
        <v>0</v>
      </c>
      <c r="BN40" s="520">
        <f t="shared" si="43"/>
        <v>0</v>
      </c>
    </row>
    <row r="41" spans="2:66" s="268" customFormat="1" ht="15" customHeight="1" x14ac:dyDescent="0.25">
      <c r="B41" s="446" t="str">
        <f>'2. START'!C$7</f>
        <v>100GEM</v>
      </c>
      <c r="C41" s="469"/>
      <c r="D41" s="594"/>
      <c r="E41" s="522">
        <v>0</v>
      </c>
      <c r="F41" s="523"/>
      <c r="G41" s="523"/>
      <c r="H41" s="523"/>
      <c r="I41" s="523"/>
      <c r="J41" s="523"/>
      <c r="K41" s="523"/>
      <c r="L41" s="523"/>
      <c r="M41" s="523"/>
      <c r="N41" s="523"/>
      <c r="O41" s="523"/>
      <c r="P41" s="460">
        <f t="shared" si="7"/>
        <v>0</v>
      </c>
      <c r="Q41" s="463"/>
      <c r="R41" s="454">
        <f>IF('2. START'!C$13="PERSON+OPERATION+INVEST+FACILIT",'2. START'!C$12,0)</f>
        <v>0</v>
      </c>
      <c r="S41" s="463"/>
      <c r="T41" s="459">
        <f t="shared" si="8"/>
        <v>0</v>
      </c>
      <c r="U41" s="459">
        <f t="shared" si="9"/>
        <v>0</v>
      </c>
      <c r="V41" s="459">
        <f t="shared" si="10"/>
        <v>0</v>
      </c>
      <c r="W41" s="459">
        <f t="shared" si="11"/>
        <v>0</v>
      </c>
      <c r="X41" s="459">
        <f t="shared" si="12"/>
        <v>0</v>
      </c>
      <c r="Y41" s="459">
        <f t="shared" si="13"/>
        <v>0</v>
      </c>
      <c r="Z41" s="459">
        <f t="shared" si="14"/>
        <v>0</v>
      </c>
      <c r="AA41" s="459">
        <f t="shared" si="15"/>
        <v>0</v>
      </c>
      <c r="AB41" s="459">
        <f t="shared" si="16"/>
        <v>0</v>
      </c>
      <c r="AC41" s="459">
        <f t="shared" si="17"/>
        <v>0</v>
      </c>
      <c r="AD41" s="460">
        <f t="shared" si="6"/>
        <v>0</v>
      </c>
      <c r="AE41" s="463"/>
      <c r="AF41" s="459">
        <f t="shared" si="18"/>
        <v>0</v>
      </c>
      <c r="AG41" s="459">
        <f t="shared" si="19"/>
        <v>0</v>
      </c>
      <c r="AH41" s="459">
        <f t="shared" si="20"/>
        <v>0</v>
      </c>
      <c r="AI41" s="459">
        <f t="shared" si="21"/>
        <v>0</v>
      </c>
      <c r="AJ41" s="459">
        <f t="shared" si="22"/>
        <v>0</v>
      </c>
      <c r="AK41" s="459">
        <f t="shared" si="23"/>
        <v>0</v>
      </c>
      <c r="AL41" s="459">
        <f t="shared" si="24"/>
        <v>0</v>
      </c>
      <c r="AM41" s="459">
        <f t="shared" si="25"/>
        <v>0</v>
      </c>
      <c r="AN41" s="459">
        <f t="shared" si="26"/>
        <v>0</v>
      </c>
      <c r="AO41" s="459">
        <f t="shared" si="27"/>
        <v>0</v>
      </c>
      <c r="AP41" s="460">
        <f t="shared" si="30"/>
        <v>0</v>
      </c>
      <c r="AQ41" s="463"/>
      <c r="AR41" s="584">
        <f t="shared" si="31"/>
        <v>0</v>
      </c>
      <c r="AS41" s="584">
        <f t="shared" si="32"/>
        <v>0</v>
      </c>
      <c r="AT41" s="584">
        <f t="shared" si="33"/>
        <v>0</v>
      </c>
      <c r="AU41" s="584">
        <f t="shared" si="34"/>
        <v>0</v>
      </c>
      <c r="AV41" s="584">
        <f t="shared" si="35"/>
        <v>0</v>
      </c>
      <c r="AW41" s="584">
        <f t="shared" si="36"/>
        <v>0</v>
      </c>
      <c r="AX41" s="584">
        <f t="shared" si="37"/>
        <v>0</v>
      </c>
      <c r="AY41" s="584">
        <f t="shared" si="38"/>
        <v>0</v>
      </c>
      <c r="AZ41" s="584">
        <f t="shared" si="39"/>
        <v>0</v>
      </c>
      <c r="BA41" s="584">
        <f t="shared" si="40"/>
        <v>0</v>
      </c>
      <c r="BB41" s="460">
        <f t="shared" si="41"/>
        <v>0</v>
      </c>
      <c r="BC41" s="463"/>
      <c r="BD41" s="459">
        <f t="shared" si="42"/>
        <v>0</v>
      </c>
      <c r="BE41" s="459">
        <f t="shared" si="42"/>
        <v>0</v>
      </c>
      <c r="BF41" s="459">
        <f t="shared" si="42"/>
        <v>0</v>
      </c>
      <c r="BG41" s="459">
        <f t="shared" si="42"/>
        <v>0</v>
      </c>
      <c r="BH41" s="459">
        <f t="shared" si="42"/>
        <v>0</v>
      </c>
      <c r="BI41" s="459">
        <f t="shared" si="42"/>
        <v>0</v>
      </c>
      <c r="BJ41" s="459">
        <f t="shared" si="42"/>
        <v>0</v>
      </c>
      <c r="BK41" s="459">
        <f t="shared" si="42"/>
        <v>0</v>
      </c>
      <c r="BL41" s="459">
        <f t="shared" si="42"/>
        <v>0</v>
      </c>
      <c r="BM41" s="459">
        <f t="shared" si="42"/>
        <v>0</v>
      </c>
      <c r="BN41" s="460">
        <f t="shared" si="43"/>
        <v>0</v>
      </c>
    </row>
    <row r="42" spans="2:66" s="268" customFormat="1" ht="15" customHeight="1" x14ac:dyDescent="0.25">
      <c r="B42" s="464" t="str">
        <f>'2. START'!C$7</f>
        <v>100GEM</v>
      </c>
      <c r="C42" s="470"/>
      <c r="D42" s="593"/>
      <c r="E42" s="527">
        <v>0</v>
      </c>
      <c r="F42" s="515"/>
      <c r="G42" s="515"/>
      <c r="H42" s="515"/>
      <c r="I42" s="515"/>
      <c r="J42" s="515"/>
      <c r="K42" s="515"/>
      <c r="L42" s="515"/>
      <c r="M42" s="515"/>
      <c r="N42" s="515"/>
      <c r="O42" s="515"/>
      <c r="P42" s="443">
        <f t="shared" si="7"/>
        <v>0</v>
      </c>
      <c r="R42" s="437">
        <f>IF('2. START'!C$13="PERSON+OPERATION+INVEST+FACILIT",'2. START'!C$12,0)</f>
        <v>0</v>
      </c>
      <c r="T42" s="519">
        <f t="shared" si="8"/>
        <v>0</v>
      </c>
      <c r="U42" s="519">
        <f t="shared" si="9"/>
        <v>0</v>
      </c>
      <c r="V42" s="519">
        <f t="shared" si="10"/>
        <v>0</v>
      </c>
      <c r="W42" s="519">
        <f t="shared" si="11"/>
        <v>0</v>
      </c>
      <c r="X42" s="519">
        <f t="shared" si="12"/>
        <v>0</v>
      </c>
      <c r="Y42" s="519">
        <f t="shared" si="13"/>
        <v>0</v>
      </c>
      <c r="Z42" s="519">
        <f t="shared" si="14"/>
        <v>0</v>
      </c>
      <c r="AA42" s="519">
        <f t="shared" si="15"/>
        <v>0</v>
      </c>
      <c r="AB42" s="519">
        <f t="shared" si="16"/>
        <v>0</v>
      </c>
      <c r="AC42" s="519">
        <f t="shared" si="17"/>
        <v>0</v>
      </c>
      <c r="AD42" s="520">
        <f t="shared" si="6"/>
        <v>0</v>
      </c>
      <c r="AF42" s="519">
        <f t="shared" si="18"/>
        <v>0</v>
      </c>
      <c r="AG42" s="519">
        <f t="shared" si="19"/>
        <v>0</v>
      </c>
      <c r="AH42" s="519">
        <f t="shared" si="20"/>
        <v>0</v>
      </c>
      <c r="AI42" s="519">
        <f t="shared" si="21"/>
        <v>0</v>
      </c>
      <c r="AJ42" s="519">
        <f t="shared" si="22"/>
        <v>0</v>
      </c>
      <c r="AK42" s="519">
        <f t="shared" si="23"/>
        <v>0</v>
      </c>
      <c r="AL42" s="519">
        <f t="shared" si="24"/>
        <v>0</v>
      </c>
      <c r="AM42" s="519">
        <f t="shared" si="25"/>
        <v>0</v>
      </c>
      <c r="AN42" s="519">
        <f t="shared" si="26"/>
        <v>0</v>
      </c>
      <c r="AO42" s="519">
        <f t="shared" si="27"/>
        <v>0</v>
      </c>
      <c r="AP42" s="520">
        <f t="shared" si="30"/>
        <v>0</v>
      </c>
      <c r="AR42" s="582">
        <f t="shared" si="31"/>
        <v>0</v>
      </c>
      <c r="AS42" s="582">
        <f t="shared" si="32"/>
        <v>0</v>
      </c>
      <c r="AT42" s="582">
        <f t="shared" si="33"/>
        <v>0</v>
      </c>
      <c r="AU42" s="582">
        <f t="shared" si="34"/>
        <v>0</v>
      </c>
      <c r="AV42" s="582">
        <f t="shared" si="35"/>
        <v>0</v>
      </c>
      <c r="AW42" s="582">
        <f t="shared" si="36"/>
        <v>0</v>
      </c>
      <c r="AX42" s="582">
        <f t="shared" si="37"/>
        <v>0</v>
      </c>
      <c r="AY42" s="582">
        <f t="shared" si="38"/>
        <v>0</v>
      </c>
      <c r="AZ42" s="582">
        <f t="shared" si="39"/>
        <v>0</v>
      </c>
      <c r="BA42" s="582">
        <f t="shared" si="40"/>
        <v>0</v>
      </c>
      <c r="BB42" s="520">
        <f t="shared" si="41"/>
        <v>0</v>
      </c>
      <c r="BD42" s="519">
        <f t="shared" si="42"/>
        <v>0</v>
      </c>
      <c r="BE42" s="519">
        <f t="shared" si="42"/>
        <v>0</v>
      </c>
      <c r="BF42" s="519">
        <f t="shared" si="42"/>
        <v>0</v>
      </c>
      <c r="BG42" s="519">
        <f t="shared" si="42"/>
        <v>0</v>
      </c>
      <c r="BH42" s="519">
        <f t="shared" si="42"/>
        <v>0</v>
      </c>
      <c r="BI42" s="519">
        <f t="shared" si="42"/>
        <v>0</v>
      </c>
      <c r="BJ42" s="519">
        <f t="shared" si="42"/>
        <v>0</v>
      </c>
      <c r="BK42" s="519">
        <f t="shared" si="42"/>
        <v>0</v>
      </c>
      <c r="BL42" s="519">
        <f t="shared" si="42"/>
        <v>0</v>
      </c>
      <c r="BM42" s="519">
        <f t="shared" si="42"/>
        <v>0</v>
      </c>
      <c r="BN42" s="520">
        <f t="shared" si="43"/>
        <v>0</v>
      </c>
    </row>
    <row r="43" spans="2:66" s="268" customFormat="1" ht="15" customHeight="1" x14ac:dyDescent="0.25">
      <c r="B43" s="446" t="str">
        <f>'2. START'!C$7</f>
        <v>100GEM</v>
      </c>
      <c r="C43" s="469"/>
      <c r="D43" s="594"/>
      <c r="E43" s="522">
        <v>0</v>
      </c>
      <c r="F43" s="523"/>
      <c r="G43" s="523"/>
      <c r="H43" s="523"/>
      <c r="I43" s="523"/>
      <c r="J43" s="523"/>
      <c r="K43" s="523"/>
      <c r="L43" s="523"/>
      <c r="M43" s="523"/>
      <c r="N43" s="523"/>
      <c r="O43" s="523"/>
      <c r="P43" s="460">
        <f t="shared" si="7"/>
        <v>0</v>
      </c>
      <c r="Q43" s="463"/>
      <c r="R43" s="454">
        <f>IF('2. START'!C$13="PERSON+OPERATION+INVEST+FACILIT",'2. START'!C$12,0)</f>
        <v>0</v>
      </c>
      <c r="S43" s="463"/>
      <c r="T43" s="459">
        <f t="shared" si="8"/>
        <v>0</v>
      </c>
      <c r="U43" s="459">
        <f t="shared" si="9"/>
        <v>0</v>
      </c>
      <c r="V43" s="459">
        <f t="shared" si="10"/>
        <v>0</v>
      </c>
      <c r="W43" s="459">
        <f t="shared" si="11"/>
        <v>0</v>
      </c>
      <c r="X43" s="459">
        <f t="shared" si="12"/>
        <v>0</v>
      </c>
      <c r="Y43" s="459">
        <f t="shared" si="13"/>
        <v>0</v>
      </c>
      <c r="Z43" s="459">
        <f t="shared" si="14"/>
        <v>0</v>
      </c>
      <c r="AA43" s="459">
        <f t="shared" si="15"/>
        <v>0</v>
      </c>
      <c r="AB43" s="459">
        <f t="shared" si="16"/>
        <v>0</v>
      </c>
      <c r="AC43" s="459">
        <f t="shared" si="17"/>
        <v>0</v>
      </c>
      <c r="AD43" s="460">
        <f t="shared" si="6"/>
        <v>0</v>
      </c>
      <c r="AE43" s="463"/>
      <c r="AF43" s="459">
        <f t="shared" si="18"/>
        <v>0</v>
      </c>
      <c r="AG43" s="459">
        <f t="shared" si="19"/>
        <v>0</v>
      </c>
      <c r="AH43" s="459">
        <f t="shared" si="20"/>
        <v>0</v>
      </c>
      <c r="AI43" s="459">
        <f t="shared" si="21"/>
        <v>0</v>
      </c>
      <c r="AJ43" s="459">
        <f t="shared" si="22"/>
        <v>0</v>
      </c>
      <c r="AK43" s="459">
        <f t="shared" si="23"/>
        <v>0</v>
      </c>
      <c r="AL43" s="459">
        <f t="shared" si="24"/>
        <v>0</v>
      </c>
      <c r="AM43" s="459">
        <f t="shared" si="25"/>
        <v>0</v>
      </c>
      <c r="AN43" s="459">
        <f t="shared" si="26"/>
        <v>0</v>
      </c>
      <c r="AO43" s="459">
        <f t="shared" si="27"/>
        <v>0</v>
      </c>
      <c r="AP43" s="460">
        <f t="shared" si="30"/>
        <v>0</v>
      </c>
      <c r="AQ43" s="463"/>
      <c r="AR43" s="584">
        <f t="shared" si="31"/>
        <v>0</v>
      </c>
      <c r="AS43" s="584">
        <f t="shared" si="32"/>
        <v>0</v>
      </c>
      <c r="AT43" s="584">
        <f t="shared" si="33"/>
        <v>0</v>
      </c>
      <c r="AU43" s="584">
        <f t="shared" si="34"/>
        <v>0</v>
      </c>
      <c r="AV43" s="584">
        <f t="shared" si="35"/>
        <v>0</v>
      </c>
      <c r="AW43" s="584">
        <f t="shared" si="36"/>
        <v>0</v>
      </c>
      <c r="AX43" s="584">
        <f t="shared" si="37"/>
        <v>0</v>
      </c>
      <c r="AY43" s="584">
        <f t="shared" si="38"/>
        <v>0</v>
      </c>
      <c r="AZ43" s="584">
        <f t="shared" si="39"/>
        <v>0</v>
      </c>
      <c r="BA43" s="584">
        <f t="shared" si="40"/>
        <v>0</v>
      </c>
      <c r="BB43" s="460">
        <f t="shared" si="41"/>
        <v>0</v>
      </c>
      <c r="BC43" s="463"/>
      <c r="BD43" s="459">
        <f t="shared" si="42"/>
        <v>0</v>
      </c>
      <c r="BE43" s="459">
        <f t="shared" si="42"/>
        <v>0</v>
      </c>
      <c r="BF43" s="459">
        <f t="shared" si="42"/>
        <v>0</v>
      </c>
      <c r="BG43" s="459">
        <f t="shared" si="42"/>
        <v>0</v>
      </c>
      <c r="BH43" s="459">
        <f t="shared" si="42"/>
        <v>0</v>
      </c>
      <c r="BI43" s="459">
        <f t="shared" si="42"/>
        <v>0</v>
      </c>
      <c r="BJ43" s="459">
        <f t="shared" si="42"/>
        <v>0</v>
      </c>
      <c r="BK43" s="459">
        <f t="shared" si="42"/>
        <v>0</v>
      </c>
      <c r="BL43" s="459">
        <f t="shared" si="42"/>
        <v>0</v>
      </c>
      <c r="BM43" s="459">
        <f t="shared" si="42"/>
        <v>0</v>
      </c>
      <c r="BN43" s="460">
        <f t="shared" si="43"/>
        <v>0</v>
      </c>
    </row>
    <row r="44" spans="2:66" s="268" customFormat="1" ht="15" customHeight="1" x14ac:dyDescent="0.25">
      <c r="B44" s="464" t="str">
        <f>'2. START'!C$7</f>
        <v>100GEM</v>
      </c>
      <c r="C44" s="470"/>
      <c r="D44" s="593"/>
      <c r="E44" s="527">
        <v>0</v>
      </c>
      <c r="F44" s="515"/>
      <c r="G44" s="515"/>
      <c r="H44" s="515"/>
      <c r="I44" s="515"/>
      <c r="J44" s="515"/>
      <c r="K44" s="515"/>
      <c r="L44" s="515"/>
      <c r="M44" s="515"/>
      <c r="N44" s="515"/>
      <c r="O44" s="515"/>
      <c r="P44" s="443">
        <f t="shared" si="7"/>
        <v>0</v>
      </c>
      <c r="R44" s="437">
        <f>IF('2. START'!C$13="PERSON+OPERATION+INVEST+FACILIT",'2. START'!C$12,0)</f>
        <v>0</v>
      </c>
      <c r="T44" s="519">
        <f t="shared" si="8"/>
        <v>0</v>
      </c>
      <c r="U44" s="519">
        <f t="shared" si="9"/>
        <v>0</v>
      </c>
      <c r="V44" s="519">
        <f t="shared" si="10"/>
        <v>0</v>
      </c>
      <c r="W44" s="519">
        <f t="shared" si="11"/>
        <v>0</v>
      </c>
      <c r="X44" s="519">
        <f t="shared" si="12"/>
        <v>0</v>
      </c>
      <c r="Y44" s="519">
        <f t="shared" si="13"/>
        <v>0</v>
      </c>
      <c r="Z44" s="519">
        <f t="shared" si="14"/>
        <v>0</v>
      </c>
      <c r="AA44" s="519">
        <f t="shared" si="15"/>
        <v>0</v>
      </c>
      <c r="AB44" s="519">
        <f t="shared" si="16"/>
        <v>0</v>
      </c>
      <c r="AC44" s="519">
        <f t="shared" si="17"/>
        <v>0</v>
      </c>
      <c r="AD44" s="520">
        <f t="shared" si="6"/>
        <v>0</v>
      </c>
      <c r="AF44" s="519">
        <f t="shared" si="18"/>
        <v>0</v>
      </c>
      <c r="AG44" s="519">
        <f t="shared" si="19"/>
        <v>0</v>
      </c>
      <c r="AH44" s="519">
        <f t="shared" si="20"/>
        <v>0</v>
      </c>
      <c r="AI44" s="519">
        <f t="shared" si="21"/>
        <v>0</v>
      </c>
      <c r="AJ44" s="519">
        <f t="shared" si="22"/>
        <v>0</v>
      </c>
      <c r="AK44" s="519">
        <f t="shared" si="23"/>
        <v>0</v>
      </c>
      <c r="AL44" s="519">
        <f t="shared" si="24"/>
        <v>0</v>
      </c>
      <c r="AM44" s="519">
        <f t="shared" si="25"/>
        <v>0</v>
      </c>
      <c r="AN44" s="519">
        <f t="shared" si="26"/>
        <v>0</v>
      </c>
      <c r="AO44" s="519">
        <f t="shared" si="27"/>
        <v>0</v>
      </c>
      <c r="AP44" s="520">
        <f t="shared" si="30"/>
        <v>0</v>
      </c>
      <c r="AR44" s="582">
        <f t="shared" si="31"/>
        <v>0</v>
      </c>
      <c r="AS44" s="582">
        <f t="shared" si="32"/>
        <v>0</v>
      </c>
      <c r="AT44" s="582">
        <f t="shared" si="33"/>
        <v>0</v>
      </c>
      <c r="AU44" s="582">
        <f t="shared" si="34"/>
        <v>0</v>
      </c>
      <c r="AV44" s="582">
        <f t="shared" si="35"/>
        <v>0</v>
      </c>
      <c r="AW44" s="582">
        <f t="shared" si="36"/>
        <v>0</v>
      </c>
      <c r="AX44" s="582">
        <f t="shared" si="37"/>
        <v>0</v>
      </c>
      <c r="AY44" s="582">
        <f t="shared" si="38"/>
        <v>0</v>
      </c>
      <c r="AZ44" s="582">
        <f t="shared" si="39"/>
        <v>0</v>
      </c>
      <c r="BA44" s="582">
        <f t="shared" si="40"/>
        <v>0</v>
      </c>
      <c r="BB44" s="520">
        <f t="shared" si="41"/>
        <v>0</v>
      </c>
      <c r="BD44" s="519">
        <f t="shared" si="42"/>
        <v>0</v>
      </c>
      <c r="BE44" s="519">
        <f t="shared" si="42"/>
        <v>0</v>
      </c>
      <c r="BF44" s="519">
        <f t="shared" si="42"/>
        <v>0</v>
      </c>
      <c r="BG44" s="519">
        <f t="shared" si="42"/>
        <v>0</v>
      </c>
      <c r="BH44" s="519">
        <f t="shared" si="42"/>
        <v>0</v>
      </c>
      <c r="BI44" s="519">
        <f t="shared" si="42"/>
        <v>0</v>
      </c>
      <c r="BJ44" s="519">
        <f t="shared" si="42"/>
        <v>0</v>
      </c>
      <c r="BK44" s="519">
        <f t="shared" si="42"/>
        <v>0</v>
      </c>
      <c r="BL44" s="519">
        <f t="shared" si="42"/>
        <v>0</v>
      </c>
      <c r="BM44" s="519">
        <f t="shared" si="42"/>
        <v>0</v>
      </c>
      <c r="BN44" s="520">
        <f t="shared" si="43"/>
        <v>0</v>
      </c>
    </row>
    <row r="45" spans="2:66" s="268" customFormat="1" ht="15" customHeight="1" x14ac:dyDescent="0.25">
      <c r="B45" s="446" t="str">
        <f>'2. START'!C$7</f>
        <v>100GEM</v>
      </c>
      <c r="C45" s="469"/>
      <c r="D45" s="594"/>
      <c r="E45" s="522">
        <v>0</v>
      </c>
      <c r="F45" s="523"/>
      <c r="G45" s="523"/>
      <c r="H45" s="523"/>
      <c r="I45" s="523"/>
      <c r="J45" s="523"/>
      <c r="K45" s="523"/>
      <c r="L45" s="523"/>
      <c r="M45" s="523"/>
      <c r="N45" s="523"/>
      <c r="O45" s="523"/>
      <c r="P45" s="460">
        <f t="shared" si="7"/>
        <v>0</v>
      </c>
      <c r="Q45" s="463"/>
      <c r="R45" s="454">
        <f>IF('2. START'!C$13="PERSON+OPERATION+INVEST+FACILIT",'2. START'!C$12,0)</f>
        <v>0</v>
      </c>
      <c r="S45" s="463"/>
      <c r="T45" s="459">
        <f t="shared" si="8"/>
        <v>0</v>
      </c>
      <c r="U45" s="459">
        <f t="shared" si="9"/>
        <v>0</v>
      </c>
      <c r="V45" s="459">
        <f t="shared" si="10"/>
        <v>0</v>
      </c>
      <c r="W45" s="459">
        <f t="shared" si="11"/>
        <v>0</v>
      </c>
      <c r="X45" s="459">
        <f t="shared" si="12"/>
        <v>0</v>
      </c>
      <c r="Y45" s="459">
        <f t="shared" si="13"/>
        <v>0</v>
      </c>
      <c r="Z45" s="459">
        <f t="shared" si="14"/>
        <v>0</v>
      </c>
      <c r="AA45" s="459">
        <f t="shared" si="15"/>
        <v>0</v>
      </c>
      <c r="AB45" s="459">
        <f t="shared" si="16"/>
        <v>0</v>
      </c>
      <c r="AC45" s="459">
        <f t="shared" si="17"/>
        <v>0</v>
      </c>
      <c r="AD45" s="460">
        <f t="shared" si="6"/>
        <v>0</v>
      </c>
      <c r="AE45" s="463"/>
      <c r="AF45" s="459">
        <f t="shared" si="18"/>
        <v>0</v>
      </c>
      <c r="AG45" s="459">
        <f t="shared" si="19"/>
        <v>0</v>
      </c>
      <c r="AH45" s="459">
        <f t="shared" si="20"/>
        <v>0</v>
      </c>
      <c r="AI45" s="459">
        <f t="shared" si="21"/>
        <v>0</v>
      </c>
      <c r="AJ45" s="459">
        <f t="shared" si="22"/>
        <v>0</v>
      </c>
      <c r="AK45" s="459">
        <f t="shared" si="23"/>
        <v>0</v>
      </c>
      <c r="AL45" s="459">
        <f t="shared" si="24"/>
        <v>0</v>
      </c>
      <c r="AM45" s="459">
        <f t="shared" si="25"/>
        <v>0</v>
      </c>
      <c r="AN45" s="459">
        <f t="shared" si="26"/>
        <v>0</v>
      </c>
      <c r="AO45" s="459">
        <f t="shared" si="27"/>
        <v>0</v>
      </c>
      <c r="AP45" s="460">
        <f t="shared" si="30"/>
        <v>0</v>
      </c>
      <c r="AQ45" s="463"/>
      <c r="AR45" s="584">
        <f t="shared" si="31"/>
        <v>0</v>
      </c>
      <c r="AS45" s="584">
        <f t="shared" si="32"/>
        <v>0</v>
      </c>
      <c r="AT45" s="584">
        <f t="shared" si="33"/>
        <v>0</v>
      </c>
      <c r="AU45" s="584">
        <f t="shared" si="34"/>
        <v>0</v>
      </c>
      <c r="AV45" s="584">
        <f t="shared" si="35"/>
        <v>0</v>
      </c>
      <c r="AW45" s="584">
        <f t="shared" si="36"/>
        <v>0</v>
      </c>
      <c r="AX45" s="584">
        <f t="shared" si="37"/>
        <v>0</v>
      </c>
      <c r="AY45" s="584">
        <f t="shared" si="38"/>
        <v>0</v>
      </c>
      <c r="AZ45" s="584">
        <f t="shared" si="39"/>
        <v>0</v>
      </c>
      <c r="BA45" s="584">
        <f t="shared" si="40"/>
        <v>0</v>
      </c>
      <c r="BB45" s="460">
        <f t="shared" si="41"/>
        <v>0</v>
      </c>
      <c r="BC45" s="463"/>
      <c r="BD45" s="459">
        <f t="shared" si="42"/>
        <v>0</v>
      </c>
      <c r="BE45" s="459">
        <f t="shared" si="42"/>
        <v>0</v>
      </c>
      <c r="BF45" s="459">
        <f t="shared" si="42"/>
        <v>0</v>
      </c>
      <c r="BG45" s="459">
        <f t="shared" si="42"/>
        <v>0</v>
      </c>
      <c r="BH45" s="459">
        <f t="shared" si="42"/>
        <v>0</v>
      </c>
      <c r="BI45" s="459">
        <f t="shared" si="42"/>
        <v>0</v>
      </c>
      <c r="BJ45" s="459">
        <f t="shared" si="42"/>
        <v>0</v>
      </c>
      <c r="BK45" s="459">
        <f t="shared" si="42"/>
        <v>0</v>
      </c>
      <c r="BL45" s="459">
        <f t="shared" si="42"/>
        <v>0</v>
      </c>
      <c r="BM45" s="459">
        <f t="shared" si="42"/>
        <v>0</v>
      </c>
      <c r="BN45" s="460">
        <f t="shared" si="43"/>
        <v>0</v>
      </c>
    </row>
    <row r="46" spans="2:66" s="268" customFormat="1" ht="15" customHeight="1" x14ac:dyDescent="0.25">
      <c r="B46" s="464" t="str">
        <f>'2. START'!C$7</f>
        <v>100GEM</v>
      </c>
      <c r="C46" s="470"/>
      <c r="D46" s="593"/>
      <c r="E46" s="527">
        <v>0</v>
      </c>
      <c r="F46" s="515"/>
      <c r="G46" s="515"/>
      <c r="H46" s="515"/>
      <c r="I46" s="515"/>
      <c r="J46" s="515"/>
      <c r="K46" s="515"/>
      <c r="L46" s="515"/>
      <c r="M46" s="515"/>
      <c r="N46" s="515"/>
      <c r="O46" s="515"/>
      <c r="P46" s="443">
        <f t="shared" si="7"/>
        <v>0</v>
      </c>
      <c r="R46" s="437">
        <f>IF('2. START'!C$13="PERSON+OPERATION+INVEST+FACILIT",'2. START'!C$12,0)</f>
        <v>0</v>
      </c>
      <c r="T46" s="519">
        <f t="shared" si="8"/>
        <v>0</v>
      </c>
      <c r="U46" s="519">
        <f t="shared" si="9"/>
        <v>0</v>
      </c>
      <c r="V46" s="519">
        <f t="shared" si="10"/>
        <v>0</v>
      </c>
      <c r="W46" s="519">
        <f t="shared" si="11"/>
        <v>0</v>
      </c>
      <c r="X46" s="519">
        <f t="shared" si="12"/>
        <v>0</v>
      </c>
      <c r="Y46" s="519">
        <f t="shared" si="13"/>
        <v>0</v>
      </c>
      <c r="Z46" s="519">
        <f t="shared" si="14"/>
        <v>0</v>
      </c>
      <c r="AA46" s="519">
        <f t="shared" si="15"/>
        <v>0</v>
      </c>
      <c r="AB46" s="519">
        <f t="shared" si="16"/>
        <v>0</v>
      </c>
      <c r="AC46" s="519">
        <f t="shared" si="17"/>
        <v>0</v>
      </c>
      <c r="AD46" s="520">
        <f t="shared" si="6"/>
        <v>0</v>
      </c>
      <c r="AF46" s="519">
        <f t="shared" si="18"/>
        <v>0</v>
      </c>
      <c r="AG46" s="519">
        <f t="shared" si="19"/>
        <v>0</v>
      </c>
      <c r="AH46" s="519">
        <f t="shared" si="20"/>
        <v>0</v>
      </c>
      <c r="AI46" s="519">
        <f t="shared" si="21"/>
        <v>0</v>
      </c>
      <c r="AJ46" s="519">
        <f t="shared" si="22"/>
        <v>0</v>
      </c>
      <c r="AK46" s="519">
        <f t="shared" si="23"/>
        <v>0</v>
      </c>
      <c r="AL46" s="519">
        <f t="shared" si="24"/>
        <v>0</v>
      </c>
      <c r="AM46" s="519">
        <f t="shared" si="25"/>
        <v>0</v>
      </c>
      <c r="AN46" s="519">
        <f t="shared" si="26"/>
        <v>0</v>
      </c>
      <c r="AO46" s="519">
        <f t="shared" si="27"/>
        <v>0</v>
      </c>
      <c r="AP46" s="520">
        <f t="shared" si="30"/>
        <v>0</v>
      </c>
      <c r="AR46" s="582">
        <f t="shared" si="31"/>
        <v>0</v>
      </c>
      <c r="AS46" s="582">
        <f t="shared" si="32"/>
        <v>0</v>
      </c>
      <c r="AT46" s="582">
        <f t="shared" si="33"/>
        <v>0</v>
      </c>
      <c r="AU46" s="582">
        <f t="shared" si="34"/>
        <v>0</v>
      </c>
      <c r="AV46" s="582">
        <f t="shared" si="35"/>
        <v>0</v>
      </c>
      <c r="AW46" s="582">
        <f t="shared" si="36"/>
        <v>0</v>
      </c>
      <c r="AX46" s="582">
        <f t="shared" si="37"/>
        <v>0</v>
      </c>
      <c r="AY46" s="582">
        <f t="shared" si="38"/>
        <v>0</v>
      </c>
      <c r="AZ46" s="582">
        <f t="shared" si="39"/>
        <v>0</v>
      </c>
      <c r="BA46" s="582">
        <f t="shared" si="40"/>
        <v>0</v>
      </c>
      <c r="BB46" s="520">
        <f t="shared" si="41"/>
        <v>0</v>
      </c>
      <c r="BD46" s="519">
        <f t="shared" si="42"/>
        <v>0</v>
      </c>
      <c r="BE46" s="519">
        <f t="shared" si="42"/>
        <v>0</v>
      </c>
      <c r="BF46" s="519">
        <f t="shared" si="42"/>
        <v>0</v>
      </c>
      <c r="BG46" s="519">
        <f t="shared" si="42"/>
        <v>0</v>
      </c>
      <c r="BH46" s="519">
        <f t="shared" si="42"/>
        <v>0</v>
      </c>
      <c r="BI46" s="519">
        <f t="shared" si="42"/>
        <v>0</v>
      </c>
      <c r="BJ46" s="519">
        <f t="shared" si="42"/>
        <v>0</v>
      </c>
      <c r="BK46" s="519">
        <f t="shared" si="42"/>
        <v>0</v>
      </c>
      <c r="BL46" s="519">
        <f t="shared" si="42"/>
        <v>0</v>
      </c>
      <c r="BM46" s="519">
        <f t="shared" si="42"/>
        <v>0</v>
      </c>
      <c r="BN46" s="520">
        <f t="shared" si="43"/>
        <v>0</v>
      </c>
    </row>
    <row r="47" spans="2:66" s="268" customFormat="1" ht="15" customHeight="1" x14ac:dyDescent="0.25">
      <c r="B47" s="446" t="str">
        <f>'2. START'!C$7</f>
        <v>100GEM</v>
      </c>
      <c r="C47" s="469"/>
      <c r="D47" s="594"/>
      <c r="E47" s="522">
        <v>0</v>
      </c>
      <c r="F47" s="523"/>
      <c r="G47" s="523"/>
      <c r="H47" s="523"/>
      <c r="I47" s="523"/>
      <c r="J47" s="523"/>
      <c r="K47" s="523"/>
      <c r="L47" s="523"/>
      <c r="M47" s="523"/>
      <c r="N47" s="523"/>
      <c r="O47" s="523"/>
      <c r="P47" s="460">
        <f t="shared" si="7"/>
        <v>0</v>
      </c>
      <c r="Q47" s="463"/>
      <c r="R47" s="454">
        <f>IF('2. START'!C$13="PERSON+OPERATION+INVEST+FACILIT",'2. START'!C$12,0)</f>
        <v>0</v>
      </c>
      <c r="S47" s="463"/>
      <c r="T47" s="459">
        <f t="shared" si="8"/>
        <v>0</v>
      </c>
      <c r="U47" s="459">
        <f t="shared" si="9"/>
        <v>0</v>
      </c>
      <c r="V47" s="459">
        <f t="shared" si="10"/>
        <v>0</v>
      </c>
      <c r="W47" s="459">
        <f t="shared" si="11"/>
        <v>0</v>
      </c>
      <c r="X47" s="459">
        <f t="shared" si="12"/>
        <v>0</v>
      </c>
      <c r="Y47" s="459">
        <f t="shared" si="13"/>
        <v>0</v>
      </c>
      <c r="Z47" s="459">
        <f t="shared" si="14"/>
        <v>0</v>
      </c>
      <c r="AA47" s="459">
        <f t="shared" si="15"/>
        <v>0</v>
      </c>
      <c r="AB47" s="459">
        <f t="shared" si="16"/>
        <v>0</v>
      </c>
      <c r="AC47" s="459">
        <f t="shared" si="17"/>
        <v>0</v>
      </c>
      <c r="AD47" s="460">
        <f t="shared" si="6"/>
        <v>0</v>
      </c>
      <c r="AE47" s="463"/>
      <c r="AF47" s="459">
        <f t="shared" si="18"/>
        <v>0</v>
      </c>
      <c r="AG47" s="459">
        <f t="shared" si="19"/>
        <v>0</v>
      </c>
      <c r="AH47" s="459">
        <f t="shared" si="20"/>
        <v>0</v>
      </c>
      <c r="AI47" s="459">
        <f t="shared" si="21"/>
        <v>0</v>
      </c>
      <c r="AJ47" s="459">
        <f t="shared" si="22"/>
        <v>0</v>
      </c>
      <c r="AK47" s="459">
        <f t="shared" si="23"/>
        <v>0</v>
      </c>
      <c r="AL47" s="459">
        <f t="shared" si="24"/>
        <v>0</v>
      </c>
      <c r="AM47" s="459">
        <f t="shared" si="25"/>
        <v>0</v>
      </c>
      <c r="AN47" s="459">
        <f t="shared" si="26"/>
        <v>0</v>
      </c>
      <c r="AO47" s="459">
        <f t="shared" si="27"/>
        <v>0</v>
      </c>
      <c r="AP47" s="460">
        <f t="shared" si="30"/>
        <v>0</v>
      </c>
      <c r="AQ47" s="463"/>
      <c r="AR47" s="584">
        <f t="shared" si="31"/>
        <v>0</v>
      </c>
      <c r="AS47" s="584">
        <f t="shared" si="32"/>
        <v>0</v>
      </c>
      <c r="AT47" s="584">
        <f t="shared" si="33"/>
        <v>0</v>
      </c>
      <c r="AU47" s="584">
        <f t="shared" si="34"/>
        <v>0</v>
      </c>
      <c r="AV47" s="584">
        <f t="shared" si="35"/>
        <v>0</v>
      </c>
      <c r="AW47" s="584">
        <f t="shared" si="36"/>
        <v>0</v>
      </c>
      <c r="AX47" s="584">
        <f t="shared" si="37"/>
        <v>0</v>
      </c>
      <c r="AY47" s="584">
        <f t="shared" si="38"/>
        <v>0</v>
      </c>
      <c r="AZ47" s="584">
        <f t="shared" si="39"/>
        <v>0</v>
      </c>
      <c r="BA47" s="584">
        <f t="shared" si="40"/>
        <v>0</v>
      </c>
      <c r="BB47" s="460">
        <f t="shared" si="41"/>
        <v>0</v>
      </c>
      <c r="BC47" s="463"/>
      <c r="BD47" s="459">
        <f t="shared" si="42"/>
        <v>0</v>
      </c>
      <c r="BE47" s="459">
        <f t="shared" si="42"/>
        <v>0</v>
      </c>
      <c r="BF47" s="459">
        <f t="shared" si="42"/>
        <v>0</v>
      </c>
      <c r="BG47" s="459">
        <f t="shared" si="42"/>
        <v>0</v>
      </c>
      <c r="BH47" s="459">
        <f t="shared" si="42"/>
        <v>0</v>
      </c>
      <c r="BI47" s="459">
        <f t="shared" si="42"/>
        <v>0</v>
      </c>
      <c r="BJ47" s="459">
        <f t="shared" si="42"/>
        <v>0</v>
      </c>
      <c r="BK47" s="459">
        <f t="shared" si="42"/>
        <v>0</v>
      </c>
      <c r="BL47" s="459">
        <f t="shared" si="42"/>
        <v>0</v>
      </c>
      <c r="BM47" s="459">
        <f t="shared" si="42"/>
        <v>0</v>
      </c>
      <c r="BN47" s="460">
        <f t="shared" si="43"/>
        <v>0</v>
      </c>
    </row>
    <row r="48" spans="2:66" s="268" customFormat="1" ht="15" customHeight="1" x14ac:dyDescent="0.25">
      <c r="B48" s="464" t="str">
        <f>'2. START'!C$7</f>
        <v>100GEM</v>
      </c>
      <c r="C48" s="470"/>
      <c r="D48" s="593"/>
      <c r="E48" s="527">
        <v>0</v>
      </c>
      <c r="F48" s="515"/>
      <c r="G48" s="515"/>
      <c r="H48" s="515"/>
      <c r="I48" s="515"/>
      <c r="J48" s="515"/>
      <c r="K48" s="515"/>
      <c r="L48" s="515"/>
      <c r="M48" s="515"/>
      <c r="N48" s="515"/>
      <c r="O48" s="515"/>
      <c r="P48" s="443">
        <f t="shared" si="7"/>
        <v>0</v>
      </c>
      <c r="R48" s="437">
        <f>IF('2. START'!C$13="PERSON+OPERATION+INVEST+FACILIT",'2. START'!C$12,0)</f>
        <v>0</v>
      </c>
      <c r="T48" s="519">
        <f t="shared" si="8"/>
        <v>0</v>
      </c>
      <c r="U48" s="519">
        <f t="shared" si="9"/>
        <v>0</v>
      </c>
      <c r="V48" s="519">
        <f t="shared" si="10"/>
        <v>0</v>
      </c>
      <c r="W48" s="519">
        <f t="shared" si="11"/>
        <v>0</v>
      </c>
      <c r="X48" s="519">
        <f t="shared" si="12"/>
        <v>0</v>
      </c>
      <c r="Y48" s="519">
        <f t="shared" si="13"/>
        <v>0</v>
      </c>
      <c r="Z48" s="519">
        <f t="shared" si="14"/>
        <v>0</v>
      </c>
      <c r="AA48" s="519">
        <f t="shared" si="15"/>
        <v>0</v>
      </c>
      <c r="AB48" s="519">
        <f t="shared" si="16"/>
        <v>0</v>
      </c>
      <c r="AC48" s="519">
        <f t="shared" si="17"/>
        <v>0</v>
      </c>
      <c r="AD48" s="520">
        <f t="shared" si="6"/>
        <v>0</v>
      </c>
      <c r="AF48" s="519">
        <f t="shared" si="18"/>
        <v>0</v>
      </c>
      <c r="AG48" s="519">
        <f t="shared" si="19"/>
        <v>0</v>
      </c>
      <c r="AH48" s="519">
        <f t="shared" si="20"/>
        <v>0</v>
      </c>
      <c r="AI48" s="519">
        <f t="shared" si="21"/>
        <v>0</v>
      </c>
      <c r="AJ48" s="519">
        <f t="shared" si="22"/>
        <v>0</v>
      </c>
      <c r="AK48" s="519">
        <f t="shared" si="23"/>
        <v>0</v>
      </c>
      <c r="AL48" s="519">
        <f t="shared" si="24"/>
        <v>0</v>
      </c>
      <c r="AM48" s="519">
        <f t="shared" si="25"/>
        <v>0</v>
      </c>
      <c r="AN48" s="519">
        <f t="shared" si="26"/>
        <v>0</v>
      </c>
      <c r="AO48" s="519">
        <f t="shared" si="27"/>
        <v>0</v>
      </c>
      <c r="AP48" s="520">
        <f t="shared" si="30"/>
        <v>0</v>
      </c>
      <c r="AR48" s="582">
        <f t="shared" si="31"/>
        <v>0</v>
      </c>
      <c r="AS48" s="582">
        <f t="shared" si="32"/>
        <v>0</v>
      </c>
      <c r="AT48" s="582">
        <f t="shared" si="33"/>
        <v>0</v>
      </c>
      <c r="AU48" s="582">
        <f t="shared" si="34"/>
        <v>0</v>
      </c>
      <c r="AV48" s="582">
        <f t="shared" si="35"/>
        <v>0</v>
      </c>
      <c r="AW48" s="582">
        <f t="shared" si="36"/>
        <v>0</v>
      </c>
      <c r="AX48" s="582">
        <f t="shared" si="37"/>
        <v>0</v>
      </c>
      <c r="AY48" s="582">
        <f t="shared" si="38"/>
        <v>0</v>
      </c>
      <c r="AZ48" s="582">
        <f t="shared" si="39"/>
        <v>0</v>
      </c>
      <c r="BA48" s="582">
        <f t="shared" si="40"/>
        <v>0</v>
      </c>
      <c r="BB48" s="520">
        <f t="shared" si="41"/>
        <v>0</v>
      </c>
      <c r="BD48" s="519">
        <f t="shared" si="42"/>
        <v>0</v>
      </c>
      <c r="BE48" s="519">
        <f t="shared" si="42"/>
        <v>0</v>
      </c>
      <c r="BF48" s="519">
        <f t="shared" si="42"/>
        <v>0</v>
      </c>
      <c r="BG48" s="519">
        <f t="shared" si="42"/>
        <v>0</v>
      </c>
      <c r="BH48" s="519">
        <f t="shared" si="42"/>
        <v>0</v>
      </c>
      <c r="BI48" s="519">
        <f t="shared" si="42"/>
        <v>0</v>
      </c>
      <c r="BJ48" s="519">
        <f t="shared" si="42"/>
        <v>0</v>
      </c>
      <c r="BK48" s="519">
        <f t="shared" si="42"/>
        <v>0</v>
      </c>
      <c r="BL48" s="519">
        <f t="shared" si="42"/>
        <v>0</v>
      </c>
      <c r="BM48" s="519">
        <f t="shared" si="42"/>
        <v>0</v>
      </c>
      <c r="BN48" s="520">
        <f t="shared" si="43"/>
        <v>0</v>
      </c>
    </row>
    <row r="49" spans="2:66" s="268" customFormat="1" ht="15" customHeight="1" x14ac:dyDescent="0.25">
      <c r="B49" s="446" t="str">
        <f>'2. START'!C$7</f>
        <v>100GEM</v>
      </c>
      <c r="C49" s="469"/>
      <c r="D49" s="594"/>
      <c r="E49" s="522">
        <v>0</v>
      </c>
      <c r="F49" s="523"/>
      <c r="G49" s="523"/>
      <c r="H49" s="523"/>
      <c r="I49" s="523"/>
      <c r="J49" s="523"/>
      <c r="K49" s="523"/>
      <c r="L49" s="523"/>
      <c r="M49" s="523"/>
      <c r="N49" s="523"/>
      <c r="O49" s="523"/>
      <c r="P49" s="460">
        <f t="shared" si="7"/>
        <v>0</v>
      </c>
      <c r="Q49" s="463"/>
      <c r="R49" s="454">
        <f>IF('2. START'!C$13="PERSON+OPERATION+INVEST+FACILIT",'2. START'!C$12,0)</f>
        <v>0</v>
      </c>
      <c r="S49" s="463"/>
      <c r="T49" s="459">
        <f t="shared" si="8"/>
        <v>0</v>
      </c>
      <c r="U49" s="459">
        <f t="shared" si="9"/>
        <v>0</v>
      </c>
      <c r="V49" s="459">
        <f t="shared" si="10"/>
        <v>0</v>
      </c>
      <c r="W49" s="459">
        <f t="shared" si="11"/>
        <v>0</v>
      </c>
      <c r="X49" s="459">
        <f t="shared" si="12"/>
        <v>0</v>
      </c>
      <c r="Y49" s="459">
        <f t="shared" si="13"/>
        <v>0</v>
      </c>
      <c r="Z49" s="459">
        <f t="shared" si="14"/>
        <v>0</v>
      </c>
      <c r="AA49" s="459">
        <f t="shared" si="15"/>
        <v>0</v>
      </c>
      <c r="AB49" s="459">
        <f t="shared" si="16"/>
        <v>0</v>
      </c>
      <c r="AC49" s="459">
        <f t="shared" si="17"/>
        <v>0</v>
      </c>
      <c r="AD49" s="460">
        <f t="shared" si="6"/>
        <v>0</v>
      </c>
      <c r="AE49" s="463"/>
      <c r="AF49" s="459">
        <f t="shared" si="18"/>
        <v>0</v>
      </c>
      <c r="AG49" s="459">
        <f t="shared" si="19"/>
        <v>0</v>
      </c>
      <c r="AH49" s="459">
        <f t="shared" si="20"/>
        <v>0</v>
      </c>
      <c r="AI49" s="459">
        <f t="shared" si="21"/>
        <v>0</v>
      </c>
      <c r="AJ49" s="459">
        <f t="shared" si="22"/>
        <v>0</v>
      </c>
      <c r="AK49" s="459">
        <f t="shared" si="23"/>
        <v>0</v>
      </c>
      <c r="AL49" s="459">
        <f t="shared" si="24"/>
        <v>0</v>
      </c>
      <c r="AM49" s="459">
        <f t="shared" si="25"/>
        <v>0</v>
      </c>
      <c r="AN49" s="459">
        <f t="shared" si="26"/>
        <v>0</v>
      </c>
      <c r="AO49" s="459">
        <f t="shared" si="27"/>
        <v>0</v>
      </c>
      <c r="AP49" s="460">
        <f t="shared" si="30"/>
        <v>0</v>
      </c>
      <c r="AQ49" s="463"/>
      <c r="AR49" s="584">
        <f t="shared" si="31"/>
        <v>0</v>
      </c>
      <c r="AS49" s="584">
        <f t="shared" si="32"/>
        <v>0</v>
      </c>
      <c r="AT49" s="584">
        <f t="shared" si="33"/>
        <v>0</v>
      </c>
      <c r="AU49" s="584">
        <f t="shared" si="34"/>
        <v>0</v>
      </c>
      <c r="AV49" s="584">
        <f t="shared" si="35"/>
        <v>0</v>
      </c>
      <c r="AW49" s="584">
        <f t="shared" si="36"/>
        <v>0</v>
      </c>
      <c r="AX49" s="584">
        <f t="shared" si="37"/>
        <v>0</v>
      </c>
      <c r="AY49" s="584">
        <f t="shared" si="38"/>
        <v>0</v>
      </c>
      <c r="AZ49" s="584">
        <f t="shared" si="39"/>
        <v>0</v>
      </c>
      <c r="BA49" s="584">
        <f t="shared" si="40"/>
        <v>0</v>
      </c>
      <c r="BB49" s="460">
        <f t="shared" si="41"/>
        <v>0</v>
      </c>
      <c r="BC49" s="463"/>
      <c r="BD49" s="459">
        <f t="shared" si="42"/>
        <v>0</v>
      </c>
      <c r="BE49" s="459">
        <f t="shared" si="42"/>
        <v>0</v>
      </c>
      <c r="BF49" s="459">
        <f t="shared" si="42"/>
        <v>0</v>
      </c>
      <c r="BG49" s="459">
        <f t="shared" si="42"/>
        <v>0</v>
      </c>
      <c r="BH49" s="459">
        <f t="shared" si="42"/>
        <v>0</v>
      </c>
      <c r="BI49" s="459">
        <f t="shared" si="42"/>
        <v>0</v>
      </c>
      <c r="BJ49" s="459">
        <f t="shared" si="42"/>
        <v>0</v>
      </c>
      <c r="BK49" s="459">
        <f t="shared" si="42"/>
        <v>0</v>
      </c>
      <c r="BL49" s="459">
        <f t="shared" si="42"/>
        <v>0</v>
      </c>
      <c r="BM49" s="459">
        <f t="shared" si="42"/>
        <v>0</v>
      </c>
      <c r="BN49" s="460">
        <f t="shared" si="43"/>
        <v>0</v>
      </c>
    </row>
    <row r="50" spans="2:66" s="268" customFormat="1" ht="15" customHeight="1" x14ac:dyDescent="0.25">
      <c r="B50" s="464" t="str">
        <f>'2. START'!C$7</f>
        <v>100GEM</v>
      </c>
      <c r="C50" s="470"/>
      <c r="D50" s="593"/>
      <c r="E50" s="527">
        <v>0</v>
      </c>
      <c r="F50" s="515"/>
      <c r="G50" s="515"/>
      <c r="H50" s="515"/>
      <c r="I50" s="515"/>
      <c r="J50" s="515"/>
      <c r="K50" s="515"/>
      <c r="L50" s="515"/>
      <c r="M50" s="515"/>
      <c r="N50" s="515"/>
      <c r="O50" s="515"/>
      <c r="P50" s="443">
        <f t="shared" si="7"/>
        <v>0</v>
      </c>
      <c r="R50" s="437">
        <f>IF('2. START'!C$13="PERSON+OPERATION+INVEST+FACILIT",'2. START'!C$12,0)</f>
        <v>0</v>
      </c>
      <c r="T50" s="519">
        <f t="shared" si="8"/>
        <v>0</v>
      </c>
      <c r="U50" s="519">
        <f t="shared" si="9"/>
        <v>0</v>
      </c>
      <c r="V50" s="519">
        <f t="shared" si="10"/>
        <v>0</v>
      </c>
      <c r="W50" s="519">
        <f t="shared" si="11"/>
        <v>0</v>
      </c>
      <c r="X50" s="519">
        <f t="shared" si="12"/>
        <v>0</v>
      </c>
      <c r="Y50" s="519">
        <f t="shared" si="13"/>
        <v>0</v>
      </c>
      <c r="Z50" s="519">
        <f t="shared" si="14"/>
        <v>0</v>
      </c>
      <c r="AA50" s="519">
        <f t="shared" si="15"/>
        <v>0</v>
      </c>
      <c r="AB50" s="519">
        <f t="shared" si="16"/>
        <v>0</v>
      </c>
      <c r="AC50" s="519">
        <f t="shared" si="17"/>
        <v>0</v>
      </c>
      <c r="AD50" s="520">
        <f t="shared" si="6"/>
        <v>0</v>
      </c>
      <c r="AF50" s="519">
        <f t="shared" si="18"/>
        <v>0</v>
      </c>
      <c r="AG50" s="519">
        <f t="shared" si="19"/>
        <v>0</v>
      </c>
      <c r="AH50" s="519">
        <f t="shared" si="20"/>
        <v>0</v>
      </c>
      <c r="AI50" s="519">
        <f t="shared" si="21"/>
        <v>0</v>
      </c>
      <c r="AJ50" s="519">
        <f t="shared" si="22"/>
        <v>0</v>
      </c>
      <c r="AK50" s="519">
        <f t="shared" si="23"/>
        <v>0</v>
      </c>
      <c r="AL50" s="519">
        <f t="shared" si="24"/>
        <v>0</v>
      </c>
      <c r="AM50" s="519">
        <f t="shared" si="25"/>
        <v>0</v>
      </c>
      <c r="AN50" s="519">
        <f t="shared" si="26"/>
        <v>0</v>
      </c>
      <c r="AO50" s="519">
        <f t="shared" si="27"/>
        <v>0</v>
      </c>
      <c r="AP50" s="520">
        <f t="shared" si="30"/>
        <v>0</v>
      </c>
      <c r="AR50" s="582">
        <f t="shared" si="31"/>
        <v>0</v>
      </c>
      <c r="AS50" s="582">
        <f t="shared" si="32"/>
        <v>0</v>
      </c>
      <c r="AT50" s="582">
        <f t="shared" si="33"/>
        <v>0</v>
      </c>
      <c r="AU50" s="582">
        <f t="shared" si="34"/>
        <v>0</v>
      </c>
      <c r="AV50" s="582">
        <f t="shared" si="35"/>
        <v>0</v>
      </c>
      <c r="AW50" s="582">
        <f t="shared" si="36"/>
        <v>0</v>
      </c>
      <c r="AX50" s="582">
        <f t="shared" si="37"/>
        <v>0</v>
      </c>
      <c r="AY50" s="582">
        <f t="shared" si="38"/>
        <v>0</v>
      </c>
      <c r="AZ50" s="582">
        <f t="shared" si="39"/>
        <v>0</v>
      </c>
      <c r="BA50" s="582">
        <f t="shared" si="40"/>
        <v>0</v>
      </c>
      <c r="BB50" s="520">
        <f t="shared" si="41"/>
        <v>0</v>
      </c>
      <c r="BD50" s="519">
        <f t="shared" si="42"/>
        <v>0</v>
      </c>
      <c r="BE50" s="519">
        <f t="shared" si="42"/>
        <v>0</v>
      </c>
      <c r="BF50" s="519">
        <f t="shared" si="42"/>
        <v>0</v>
      </c>
      <c r="BG50" s="519">
        <f t="shared" si="42"/>
        <v>0</v>
      </c>
      <c r="BH50" s="519">
        <f t="shared" si="42"/>
        <v>0</v>
      </c>
      <c r="BI50" s="519">
        <f t="shared" si="42"/>
        <v>0</v>
      </c>
      <c r="BJ50" s="519">
        <f t="shared" si="42"/>
        <v>0</v>
      </c>
      <c r="BK50" s="519">
        <f t="shared" si="42"/>
        <v>0</v>
      </c>
      <c r="BL50" s="519">
        <f t="shared" si="42"/>
        <v>0</v>
      </c>
      <c r="BM50" s="519">
        <f t="shared" si="42"/>
        <v>0</v>
      </c>
      <c r="BN50" s="520">
        <f t="shared" si="43"/>
        <v>0</v>
      </c>
    </row>
    <row r="51" spans="2:66" s="268" customFormat="1" ht="15" customHeight="1" x14ac:dyDescent="0.25">
      <c r="B51" s="471" t="str">
        <f>B16</f>
        <v>SUMS &gt;&gt;</v>
      </c>
      <c r="C51" s="472"/>
      <c r="D51" s="472"/>
      <c r="E51" s="472"/>
      <c r="F51" s="426">
        <f>SUM(F17:F50)</f>
        <v>0</v>
      </c>
      <c r="G51" s="426">
        <f t="shared" ref="G51:P51" si="44">SUM(G17:G50)</f>
        <v>0</v>
      </c>
      <c r="H51" s="426">
        <f t="shared" si="44"/>
        <v>0</v>
      </c>
      <c r="I51" s="426">
        <f t="shared" si="44"/>
        <v>0</v>
      </c>
      <c r="J51" s="426">
        <f t="shared" si="44"/>
        <v>0</v>
      </c>
      <c r="K51" s="426">
        <f t="shared" si="44"/>
        <v>0</v>
      </c>
      <c r="L51" s="426">
        <f t="shared" si="44"/>
        <v>0</v>
      </c>
      <c r="M51" s="426">
        <f t="shared" si="44"/>
        <v>0</v>
      </c>
      <c r="N51" s="426">
        <f t="shared" si="44"/>
        <v>0</v>
      </c>
      <c r="O51" s="426">
        <f t="shared" si="44"/>
        <v>0</v>
      </c>
      <c r="P51" s="426">
        <f t="shared" si="44"/>
        <v>0</v>
      </c>
      <c r="Q51" s="428"/>
      <c r="R51" s="426"/>
      <c r="S51" s="428"/>
      <c r="T51" s="426">
        <f t="shared" ref="T51" si="45">SUM(T17:T50)</f>
        <v>0</v>
      </c>
      <c r="U51" s="426">
        <f t="shared" ref="U51" si="46">SUM(U17:U50)</f>
        <v>0</v>
      </c>
      <c r="V51" s="426">
        <f t="shared" ref="V51" si="47">SUM(V17:V50)</f>
        <v>0</v>
      </c>
      <c r="W51" s="426">
        <f t="shared" ref="W51" si="48">SUM(W17:W50)</f>
        <v>0</v>
      </c>
      <c r="X51" s="426">
        <f t="shared" ref="X51" si="49">SUM(X17:X50)</f>
        <v>0</v>
      </c>
      <c r="Y51" s="426">
        <f t="shared" ref="Y51" si="50">SUM(Y17:Y50)</f>
        <v>0</v>
      </c>
      <c r="Z51" s="426">
        <f t="shared" ref="Z51" si="51">SUM(Z17:Z50)</f>
        <v>0</v>
      </c>
      <c r="AA51" s="426">
        <f t="shared" ref="AA51" si="52">SUM(AA17:AA50)</f>
        <v>0</v>
      </c>
      <c r="AB51" s="426">
        <f t="shared" ref="AB51" si="53">SUM(AB17:AB50)</f>
        <v>0</v>
      </c>
      <c r="AC51" s="426">
        <f t="shared" ref="AC51" si="54">SUM(AC17:AC50)</f>
        <v>0</v>
      </c>
      <c r="AD51" s="426">
        <f t="shared" ref="AD51" si="55">SUM(AD17:AD50)</f>
        <v>0</v>
      </c>
      <c r="AE51" s="428"/>
      <c r="AF51" s="426">
        <f t="shared" ref="AF51" si="56">SUM(AF17:AF50)</f>
        <v>0</v>
      </c>
      <c r="AG51" s="426">
        <f t="shared" ref="AG51" si="57">SUM(AG17:AG50)</f>
        <v>0</v>
      </c>
      <c r="AH51" s="426">
        <f t="shared" ref="AH51" si="58">SUM(AH17:AH50)</f>
        <v>0</v>
      </c>
      <c r="AI51" s="426">
        <f t="shared" ref="AI51" si="59">SUM(AI17:AI50)</f>
        <v>0</v>
      </c>
      <c r="AJ51" s="426">
        <f t="shared" ref="AJ51" si="60">SUM(AJ17:AJ50)</f>
        <v>0</v>
      </c>
      <c r="AK51" s="426">
        <f t="shared" ref="AK51" si="61">SUM(AK17:AK50)</f>
        <v>0</v>
      </c>
      <c r="AL51" s="426">
        <f t="shared" ref="AL51" si="62">SUM(AL17:AL50)</f>
        <v>0</v>
      </c>
      <c r="AM51" s="426">
        <f t="shared" ref="AM51" si="63">SUM(AM17:AM50)</f>
        <v>0</v>
      </c>
      <c r="AN51" s="426">
        <f t="shared" ref="AN51" si="64">SUM(AN17:AN50)</f>
        <v>0</v>
      </c>
      <c r="AO51" s="426">
        <f t="shared" ref="AO51" si="65">SUM(AO17:AO50)</f>
        <v>0</v>
      </c>
      <c r="AP51" s="426">
        <f t="shared" ref="AP51" si="66">SUM(AP17:AP50)</f>
        <v>0</v>
      </c>
      <c r="AQ51" s="428"/>
      <c r="AR51" s="426">
        <f t="shared" ref="AR51" si="67">SUM(AR17:AR50)</f>
        <v>0</v>
      </c>
      <c r="AS51" s="426">
        <f t="shared" ref="AS51" si="68">SUM(AS17:AS50)</f>
        <v>0</v>
      </c>
      <c r="AT51" s="426">
        <f t="shared" ref="AT51" si="69">SUM(AT17:AT50)</f>
        <v>0</v>
      </c>
      <c r="AU51" s="426">
        <f t="shared" ref="AU51" si="70">SUM(AU17:AU50)</f>
        <v>0</v>
      </c>
      <c r="AV51" s="426">
        <f t="shared" ref="AV51" si="71">SUM(AV17:AV50)</f>
        <v>0</v>
      </c>
      <c r="AW51" s="426">
        <f t="shared" ref="AW51" si="72">SUM(AW17:AW50)</f>
        <v>0</v>
      </c>
      <c r="AX51" s="426">
        <f t="shared" ref="AX51" si="73">SUM(AX17:AX50)</f>
        <v>0</v>
      </c>
      <c r="AY51" s="426">
        <f t="shared" ref="AY51" si="74">SUM(AY17:AY50)</f>
        <v>0</v>
      </c>
      <c r="AZ51" s="426">
        <f t="shared" ref="AZ51" si="75">SUM(AZ17:AZ50)</f>
        <v>0</v>
      </c>
      <c r="BA51" s="426">
        <f t="shared" ref="BA51" si="76">SUM(BA17:BA50)</f>
        <v>0</v>
      </c>
      <c r="BB51" s="426">
        <f t="shared" ref="BB51" si="77">SUM(BB17:BB50)</f>
        <v>0</v>
      </c>
      <c r="BC51" s="428"/>
      <c r="BD51" s="426">
        <f t="shared" ref="BD51" si="78">SUM(BD17:BD50)</f>
        <v>0</v>
      </c>
      <c r="BE51" s="426">
        <f t="shared" ref="BE51" si="79">SUM(BE17:BE50)</f>
        <v>0</v>
      </c>
      <c r="BF51" s="426">
        <f t="shared" ref="BF51" si="80">SUM(BF17:BF50)</f>
        <v>0</v>
      </c>
      <c r="BG51" s="426">
        <f t="shared" ref="BG51" si="81">SUM(BG17:BG50)</f>
        <v>0</v>
      </c>
      <c r="BH51" s="426">
        <f t="shared" ref="BH51" si="82">SUM(BH17:BH50)</f>
        <v>0</v>
      </c>
      <c r="BI51" s="426">
        <f t="shared" ref="BI51" si="83">SUM(BI17:BI50)</f>
        <v>0</v>
      </c>
      <c r="BJ51" s="426">
        <f t="shared" ref="BJ51" si="84">SUM(BJ17:BJ50)</f>
        <v>0</v>
      </c>
      <c r="BK51" s="426">
        <f t="shared" ref="BK51" si="85">SUM(BK17:BK50)</f>
        <v>0</v>
      </c>
      <c r="BL51" s="426">
        <f t="shared" ref="BL51" si="86">SUM(BL17:BL50)</f>
        <v>0</v>
      </c>
      <c r="BM51" s="426">
        <f t="shared" ref="BM51" si="87">SUM(BM17:BM50)</f>
        <v>0</v>
      </c>
      <c r="BN51" s="426">
        <f t="shared" ref="BN51" si="88">SUM(BN17:BN50)</f>
        <v>0</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formula1>0</formula1>
    </dataValidation>
    <dataValidation type="decimal" operator="greaterThan" allowBlank="1" showInputMessage="1" showErrorMessage="1" errorTitle="Data restriction" error="Must be numerical value greater than zero." sqref="F18:O50">
      <formula1>0</formula1>
    </dataValidation>
  </dataValidations>
  <hyperlinks>
    <hyperlink ref="A5" r:id="rId1" display="Utrustning - avskrivningar  "/>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D18:D50</xm:sqref>
        </x14:dataValidation>
        <x14:dataValidation type="list" allowBlank="1" showInputMessage="1" showErrorMessage="1" errorTitle="Data restriction" error="Must be value from list.">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09375" defaultRowHeight="13.2" x14ac:dyDescent="0.25"/>
  <cols>
    <col min="1" max="1" width="3.6640625" style="3" customWidth="1"/>
    <col min="2" max="2" width="49.6640625" style="3" customWidth="1" collapsed="1"/>
    <col min="3" max="3" width="11.5546875" style="3" customWidth="1" collapsed="1"/>
    <col min="4" max="11" width="10.88671875" style="3" customWidth="1" collapsed="1"/>
    <col min="12" max="12" width="10.88671875" style="3" customWidth="1"/>
    <col min="13" max="13" width="12.88671875" style="3" customWidth="1" collapsed="1"/>
    <col min="14" max="14" width="12" style="3" hidden="1" customWidth="1" collapsed="1"/>
    <col min="15" max="15" width="10.109375" style="3" hidden="1" customWidth="1" collapsed="1"/>
    <col min="16" max="40" width="9.109375" style="3"/>
    <col min="41" max="16384" width="9.109375" style="3" collapsed="1"/>
  </cols>
  <sheetData>
    <row r="1" spans="2:15" ht="15" customHeight="1" x14ac:dyDescent="0.25">
      <c r="B1" s="37"/>
      <c r="C1" s="37"/>
      <c r="D1" s="37"/>
      <c r="E1" s="37"/>
      <c r="F1" s="37"/>
      <c r="G1" s="37"/>
      <c r="H1" s="37"/>
      <c r="I1" s="37"/>
      <c r="J1" s="37"/>
      <c r="K1" s="37"/>
      <c r="L1" s="1084" t="str">
        <f>'1. INTRO'!J1</f>
        <v>projectcalculator@slu.se</v>
      </c>
      <c r="M1" s="1135"/>
    </row>
    <row r="2" spans="2:15" ht="15" customHeight="1" x14ac:dyDescent="0.3">
      <c r="B2" s="156" t="str">
        <f>'1. INTRO'!B2</f>
        <v>SLU project calculator</v>
      </c>
      <c r="C2" s="108" t="s">
        <v>28</v>
      </c>
      <c r="E2" s="1122" t="s">
        <v>308</v>
      </c>
      <c r="F2" s="1141"/>
      <c r="G2" s="1141"/>
      <c r="H2" s="1141"/>
      <c r="I2" s="539"/>
      <c r="J2" s="37"/>
      <c r="K2" s="538"/>
      <c r="L2" s="534"/>
      <c r="M2" s="596">
        <f>'1. INTRO'!J2</f>
        <v>45677</v>
      </c>
    </row>
    <row r="3" spans="2:15" ht="13.5" customHeight="1" x14ac:dyDescent="0.3">
      <c r="B3" s="158"/>
      <c r="C3" s="108"/>
      <c r="G3" s="37"/>
      <c r="H3" s="37"/>
      <c r="I3" s="37"/>
      <c r="J3" s="37"/>
      <c r="K3" s="37"/>
      <c r="L3" s="37"/>
      <c r="M3" s="37"/>
    </row>
    <row r="4" spans="2:15" ht="13.5" customHeight="1" x14ac:dyDescent="0.25">
      <c r="B4" s="585" t="s">
        <v>300</v>
      </c>
      <c r="C4" s="1151" t="str">
        <f>IF('1. INTRO'!I2="English",N4,O4)</f>
        <v>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v>
      </c>
      <c r="D4" s="996"/>
      <c r="E4" s="996"/>
      <c r="F4" s="996"/>
      <c r="G4" s="996"/>
      <c r="H4" s="996"/>
      <c r="I4" s="996"/>
      <c r="J4" s="996"/>
      <c r="K4" s="996"/>
      <c r="L4" s="996"/>
      <c r="M4" s="996"/>
      <c r="N4" s="37" t="s">
        <v>312</v>
      </c>
      <c r="O4" s="37" t="s">
        <v>313</v>
      </c>
    </row>
    <row r="5" spans="2:15" ht="13.5" customHeight="1" x14ac:dyDescent="0.25">
      <c r="B5" s="70"/>
      <c r="C5" s="996"/>
      <c r="D5" s="996"/>
      <c r="E5" s="996"/>
      <c r="F5" s="996"/>
      <c r="G5" s="996"/>
      <c r="H5" s="996"/>
      <c r="I5" s="996"/>
      <c r="J5" s="996"/>
      <c r="K5" s="996"/>
      <c r="L5" s="996"/>
      <c r="M5" s="996"/>
    </row>
    <row r="6" spans="2:15" ht="7.2" customHeight="1" x14ac:dyDescent="0.3">
      <c r="B6" s="42"/>
      <c r="C6" s="6"/>
      <c r="D6" s="37"/>
      <c r="E6" s="37"/>
      <c r="F6" s="71"/>
      <c r="G6" s="37"/>
      <c r="H6" s="37"/>
      <c r="I6" s="37"/>
      <c r="J6" s="37"/>
      <c r="K6" s="37"/>
      <c r="L6" s="37"/>
      <c r="M6" s="37"/>
    </row>
    <row r="7" spans="2:15" ht="13.5" customHeight="1" x14ac:dyDescent="0.25">
      <c r="B7" s="313" t="str">
        <f>'3. PARTNER'!C4</f>
        <v xml:space="preserve">Project: </v>
      </c>
      <c r="C7" s="1062" t="str">
        <f>'3. PARTNER'!D4</f>
        <v/>
      </c>
      <c r="D7" s="1001"/>
      <c r="E7" s="1001"/>
      <c r="F7" s="1001"/>
      <c r="G7" s="1001"/>
      <c r="H7" s="1001"/>
      <c r="I7" s="1001"/>
      <c r="J7" s="1001"/>
      <c r="K7" s="1001"/>
      <c r="L7" s="1001"/>
      <c r="M7" s="1001"/>
    </row>
    <row r="8" spans="2:15" ht="13.5" customHeight="1" x14ac:dyDescent="0.25">
      <c r="B8" s="313" t="str">
        <f>'3. PARTNER'!C5</f>
        <v xml:space="preserve">Calculation for: </v>
      </c>
      <c r="C8" s="537" t="str">
        <f>'3. PARTNER'!D5</f>
        <v>APPLICATION</v>
      </c>
      <c r="D8" s="268"/>
      <c r="E8" s="268"/>
      <c r="F8" s="268"/>
      <c r="G8" s="268"/>
      <c r="H8" s="268"/>
      <c r="I8" s="268"/>
      <c r="J8" s="268"/>
      <c r="K8" s="268"/>
      <c r="L8" s="268"/>
      <c r="M8" s="268"/>
    </row>
    <row r="9" spans="2:15" ht="13.5" customHeight="1" x14ac:dyDescent="0.25">
      <c r="B9" s="35" t="str">
        <f>'3. PARTNER'!C6</f>
        <v xml:space="preserve">Project leader: </v>
      </c>
      <c r="C9" s="1062" t="str">
        <f>'3. PARTNER'!D6</f>
        <v/>
      </c>
      <c r="D9" s="1001"/>
      <c r="E9" s="1001"/>
      <c r="F9" s="1001"/>
      <c r="G9" s="1001"/>
      <c r="H9" s="1001"/>
      <c r="I9" s="1001"/>
      <c r="J9" s="1001"/>
      <c r="K9" s="1001"/>
      <c r="L9" s="1001"/>
      <c r="M9" s="1001"/>
    </row>
    <row r="10" spans="2:15" ht="13.5" customHeight="1" x14ac:dyDescent="0.25">
      <c r="B10" s="313" t="str">
        <f>'5. PERSON'!B7</f>
        <v xml:space="preserve">Amounts in: </v>
      </c>
      <c r="C10" s="536" t="str">
        <f>'5. PERSON'!C7</f>
        <v>SEK</v>
      </c>
      <c r="D10" s="268"/>
      <c r="E10" s="268"/>
      <c r="F10" s="268"/>
      <c r="G10" s="234"/>
      <c r="H10" s="234"/>
      <c r="I10" s="270"/>
      <c r="J10" s="270"/>
      <c r="K10" s="270"/>
      <c r="L10" s="270"/>
      <c r="M10" s="597" t="str">
        <f>IF('1. INTRO'!I2="English","Person months","Personmånader")</f>
        <v>Person months</v>
      </c>
    </row>
    <row r="11" spans="2:15" ht="13.5" customHeight="1" x14ac:dyDescent="0.25">
      <c r="B11" s="75"/>
      <c r="C11" s="1053" t="str">
        <f>'3. PARTNER'!D7</f>
        <v>Other basic data about the project is in sheet 2.</v>
      </c>
      <c r="D11" s="1001"/>
      <c r="E11" s="1001"/>
      <c r="F11" s="1001"/>
      <c r="I11" s="71"/>
      <c r="J11" s="71"/>
      <c r="K11" s="287"/>
      <c r="L11" s="286"/>
      <c r="M11" s="598" t="str">
        <f>'5. PERSON'!J12</f>
        <v/>
      </c>
    </row>
    <row r="12" spans="2:15" ht="13.5" customHeight="1" x14ac:dyDescent="0.25">
      <c r="B12" s="157" t="str">
        <f>IF('1. INTRO'!I$2="English","Project costs","Projektkostnader")</f>
        <v>Project costs</v>
      </c>
      <c r="D12" s="37"/>
      <c r="E12" s="37"/>
      <c r="F12" s="37"/>
      <c r="G12" s="37"/>
      <c r="H12" s="37"/>
      <c r="I12" s="37"/>
      <c r="J12" s="37"/>
      <c r="L12" s="239"/>
      <c r="M12" s="37"/>
    </row>
    <row r="13" spans="2:15" ht="7.2" customHeight="1" x14ac:dyDescent="0.25">
      <c r="B13" s="57"/>
      <c r="C13" s="37"/>
      <c r="D13" s="37"/>
      <c r="E13" s="37"/>
      <c r="F13" s="37"/>
      <c r="G13" s="37"/>
      <c r="H13" s="37"/>
      <c r="I13" s="37"/>
      <c r="J13" s="37"/>
      <c r="K13" s="37"/>
      <c r="L13" s="37"/>
      <c r="M13" s="37"/>
    </row>
    <row r="14" spans="2:15" ht="13.5" customHeight="1" x14ac:dyDescent="0.25">
      <c r="B14" s="110" t="str">
        <f>IF('1. INTRO'!I$2="English","Costs to be covered by funding body","Kostnader att täckas av finansiär")</f>
        <v>Costs to be covered by funding body</v>
      </c>
      <c r="C14" s="111">
        <f>'5. PERSON'!G15</f>
        <v>1900</v>
      </c>
      <c r="D14" s="111" t="str">
        <f>'5. PERSON'!H15</f>
        <v/>
      </c>
      <c r="E14" s="111" t="str">
        <f>'5. PERSON'!I15</f>
        <v/>
      </c>
      <c r="F14" s="111" t="str">
        <f>'5. PERSON'!J15</f>
        <v/>
      </c>
      <c r="G14" s="111" t="str">
        <f>'5. PERSON'!K15</f>
        <v/>
      </c>
      <c r="H14" s="111" t="str">
        <f>'5. PERSON'!L15</f>
        <v/>
      </c>
      <c r="I14" s="111" t="str">
        <f>'5. PERSON'!M15</f>
        <v/>
      </c>
      <c r="J14" s="111" t="str">
        <f>'5. PERSON'!N15</f>
        <v/>
      </c>
      <c r="K14" s="111" t="str">
        <f>'5. PERSON'!O15</f>
        <v/>
      </c>
      <c r="L14" s="111" t="str">
        <f>'5. PERSON'!P15</f>
        <v/>
      </c>
      <c r="M14" s="112" t="s">
        <v>2</v>
      </c>
    </row>
    <row r="15" spans="2:15" ht="13.5" customHeight="1" x14ac:dyDescent="0.25">
      <c r="B15" s="113" t="str">
        <f>IF('1. INTRO'!I$2="English","Salary including social costs (LKP)","Lön inklusive LKP")</f>
        <v>Salary including social costs (LKP)</v>
      </c>
      <c r="C15" s="114">
        <f>IF('2. START'!$C14&gt;0,'5. PERSON'!DN193,'5. PERSON'!AT193)</f>
        <v>0</v>
      </c>
      <c r="D15" s="114">
        <f>IF('2. START'!$C14&gt;0,'5. PERSON'!DO193,'5. PERSON'!AU193)</f>
        <v>0</v>
      </c>
      <c r="E15" s="114">
        <f>IF('2. START'!$C14&gt;0,'5. PERSON'!DP193,'5. PERSON'!AV193)</f>
        <v>0</v>
      </c>
      <c r="F15" s="114">
        <f>IF('2. START'!$C14&gt;0,'5. PERSON'!DQ193,'5. PERSON'!AW193)</f>
        <v>0</v>
      </c>
      <c r="G15" s="114">
        <f>IF('2. START'!$C14&gt;0,'5. PERSON'!DR193,'5. PERSON'!AX193)</f>
        <v>0</v>
      </c>
      <c r="H15" s="114">
        <f>IF('2. START'!$C14&gt;0,'5. PERSON'!DS193,'5. PERSON'!AY193)</f>
        <v>0</v>
      </c>
      <c r="I15" s="114">
        <f>IF('2. START'!$C14&gt;0,'5. PERSON'!DT193,'5. PERSON'!AZ193)</f>
        <v>0</v>
      </c>
      <c r="J15" s="114">
        <f>IF('2. START'!$C14&gt;0,'5. PERSON'!DU193,'5. PERSON'!BA193)</f>
        <v>0</v>
      </c>
      <c r="K15" s="114">
        <f>IF('2. START'!$C14&gt;0,'5. PERSON'!DV193,'5. PERSON'!BB193)</f>
        <v>0</v>
      </c>
      <c r="L15" s="114">
        <f>IF('2. START'!$C14&gt;0,'5. PERSON'!DW193,'5. PERSON'!BC193)</f>
        <v>0</v>
      </c>
      <c r="M15" s="115">
        <f t="shared" ref="M15:M20" si="0">SUM(C15:L15)</f>
        <v>0</v>
      </c>
      <c r="O15" s="4"/>
    </row>
    <row r="16" spans="2:15" ht="13.5" customHeight="1" x14ac:dyDescent="0.25">
      <c r="B16" s="80" t="str">
        <f>IF('1. INTRO'!I$2="English","Operating","Drift")</f>
        <v>Operating</v>
      </c>
      <c r="C16" s="116">
        <f>'6. OPERATION'!W150</f>
        <v>0</v>
      </c>
      <c r="D16" s="116">
        <f>'6. OPERATION'!X150</f>
        <v>0</v>
      </c>
      <c r="E16" s="116">
        <f>'6. OPERATION'!Y150</f>
        <v>0</v>
      </c>
      <c r="F16" s="116">
        <f>'6. OPERATION'!Z150</f>
        <v>0</v>
      </c>
      <c r="G16" s="116">
        <f>'6. OPERATION'!AA150</f>
        <v>0</v>
      </c>
      <c r="H16" s="116">
        <f>'6. OPERATION'!AB150</f>
        <v>0</v>
      </c>
      <c r="I16" s="116">
        <f>'6. OPERATION'!AC150</f>
        <v>0</v>
      </c>
      <c r="J16" s="116">
        <f>'6. OPERATION'!AD150</f>
        <v>0</v>
      </c>
      <c r="K16" s="116">
        <f>'6. OPERATION'!AE150</f>
        <v>0</v>
      </c>
      <c r="L16" s="116">
        <f>'6. OPERATION'!AF150</f>
        <v>0</v>
      </c>
      <c r="M16" s="117">
        <f t="shared" si="0"/>
        <v>0</v>
      </c>
    </row>
    <row r="17" spans="2:15" ht="13.5" customHeight="1" x14ac:dyDescent="0.25">
      <c r="B17" s="118" t="str">
        <f>IF('1. INTRO'!I$2="English","Equipment","Utrustning")</f>
        <v>Equipment</v>
      </c>
      <c r="C17" s="119">
        <f>'7. INVEST'!W50</f>
        <v>0</v>
      </c>
      <c r="D17" s="119">
        <f>'7. INVEST'!X50</f>
        <v>0</v>
      </c>
      <c r="E17" s="119">
        <f>'7. INVEST'!Y50</f>
        <v>0</v>
      </c>
      <c r="F17" s="119">
        <f>'7. INVEST'!Z50</f>
        <v>0</v>
      </c>
      <c r="G17" s="119">
        <f>'7. INVEST'!AA50</f>
        <v>0</v>
      </c>
      <c r="H17" s="119">
        <f>'7. INVEST'!AB50</f>
        <v>0</v>
      </c>
      <c r="I17" s="119">
        <f>'7. INVEST'!AC50</f>
        <v>0</v>
      </c>
      <c r="J17" s="119">
        <f>'7. INVEST'!AD50</f>
        <v>0</v>
      </c>
      <c r="K17" s="119">
        <f>'7. INVEST'!AE50</f>
        <v>0</v>
      </c>
      <c r="L17" s="119">
        <f>'7. INVEST'!AF50</f>
        <v>0</v>
      </c>
      <c r="M17" s="120">
        <f t="shared" si="0"/>
        <v>0</v>
      </c>
    </row>
    <row r="18" spans="2:15" ht="13.5" customHeight="1" x14ac:dyDescent="0.25">
      <c r="B18" s="121" t="str">
        <f>IF('1. INTRO'!I$2="English",(IF('2. START'!C$11="NO","Facility accepted as direct cost by funding body","Facility")),IF('2. START'!C$11="NO","Lokal accepterad som direkt kostnad av finansiär","Lokal"))</f>
        <v>Facility</v>
      </c>
      <c r="C18" s="116">
        <f>IF('2. START'!$C11="NO",'8. FACILIT'!T51-'8. FACILIT'!T17,'8. FACILIT'!T51)</f>
        <v>0</v>
      </c>
      <c r="D18" s="116">
        <f>IF('2. START'!$C11="NO",'8. FACILIT'!U51-'8. FACILIT'!U17,'8. FACILIT'!U51)</f>
        <v>0</v>
      </c>
      <c r="E18" s="116">
        <f>IF('2. START'!$C11="NO",'8. FACILIT'!V51-'8. FACILIT'!V17,'8. FACILIT'!V51)</f>
        <v>0</v>
      </c>
      <c r="F18" s="116">
        <f>IF('2. START'!$C11="NO",'8. FACILIT'!W51-'8. FACILIT'!W17,'8. FACILIT'!W51)</f>
        <v>0</v>
      </c>
      <c r="G18" s="116">
        <f>IF('2. START'!$C11="NO",'8. FACILIT'!X51-'8. FACILIT'!X17,'8. FACILIT'!X51)</f>
        <v>0</v>
      </c>
      <c r="H18" s="116">
        <f>IF('2. START'!$C11="NO",'8. FACILIT'!Y51-'8. FACILIT'!Y17,'8. FACILIT'!Y51)</f>
        <v>0</v>
      </c>
      <c r="I18" s="116">
        <f>IF('2. START'!$C11="NO",'8. FACILIT'!Z51-'8. FACILIT'!Z17,'8. FACILIT'!Z51)</f>
        <v>0</v>
      </c>
      <c r="J18" s="116">
        <f>IF('2. START'!$C11="NO",'8. FACILIT'!AA51-'8. FACILIT'!AA17,'8. FACILIT'!AA51)</f>
        <v>0</v>
      </c>
      <c r="K18" s="116">
        <f>IF('2. START'!$C11="NO",'8. FACILIT'!AB51-'8. FACILIT'!AB17,'8. FACILIT'!AB51)</f>
        <v>0</v>
      </c>
      <c r="L18" s="116">
        <f>IF('2. START'!$C11="NO",'8. FACILIT'!AC51-'8. FACILIT'!AC17,'8. FACILIT'!AC51)</f>
        <v>0</v>
      </c>
      <c r="M18" s="117">
        <f t="shared" si="0"/>
        <v>0</v>
      </c>
    </row>
    <row r="19" spans="2:15" ht="13.5" customHeight="1" x14ac:dyDescent="0.25">
      <c r="B19" s="122" t="str">
        <f>IF('1. INTRO'!I$2="English",(IF('2. START'!C$11="NO","Indirect and facility charge accepted as OH by funding body","Indirect")),IF('2. START'!C$11="NO","Indirekt och lokalpåslag accepterade som OH av finansiär","Indirekt"))</f>
        <v>Indirect</v>
      </c>
      <c r="C19" s="107">
        <f>IF('2. START'!$C11="NO",'5. PERSON'!DZ193+'6. OPERATION'!CQ150+'7. INVEST'!AU50+'8. FACILIT'!AR51,'5. PERSON'!BR193+'6. OPERATION'!AU150)</f>
        <v>0</v>
      </c>
      <c r="D19" s="107">
        <f>IF('2. START'!$C11="NO",'5. PERSON'!EA193+'6. OPERATION'!CR150+'7. INVEST'!AV50+'8. FACILIT'!AS51,'5. PERSON'!BS193+'6. OPERATION'!AV150)</f>
        <v>0</v>
      </c>
      <c r="E19" s="107">
        <f>IF('2. START'!$C11="NO",'5. PERSON'!EB193+'6. OPERATION'!CS150+'7. INVEST'!AW50+'8. FACILIT'!AT51,'5. PERSON'!BT193+'6. OPERATION'!AW150)</f>
        <v>0</v>
      </c>
      <c r="F19" s="107">
        <f>IF('2. START'!$C11="NO",'5. PERSON'!EC193+'6. OPERATION'!CT150+'7. INVEST'!AX50+'8. FACILIT'!AU51,'5. PERSON'!BU193+'6. OPERATION'!AX150)</f>
        <v>0</v>
      </c>
      <c r="G19" s="107">
        <f>IF('2. START'!$C11="NO",'5. PERSON'!ED193+'6. OPERATION'!CU150+'7. INVEST'!AY50+'8. FACILIT'!AV51,'5. PERSON'!BV193+'6. OPERATION'!AY150)</f>
        <v>0</v>
      </c>
      <c r="H19" s="107">
        <f>IF('2. START'!$C11="NO",'5. PERSON'!EE193+'6. OPERATION'!CV150+'7. INVEST'!AZ50+'8. FACILIT'!AW51,'5. PERSON'!BW193+'6. OPERATION'!AZ150)</f>
        <v>0</v>
      </c>
      <c r="I19" s="107">
        <f>IF('2. START'!$C11="NO",'5. PERSON'!EF193+'6. OPERATION'!CW150+'7. INVEST'!BA50+'8. FACILIT'!AX51,'5. PERSON'!BX193+'6. OPERATION'!BA150)</f>
        <v>0</v>
      </c>
      <c r="J19" s="107">
        <f>IF('2. START'!$C11="NO",'5. PERSON'!EG193+'6. OPERATION'!CX150+'7. INVEST'!BB50+'8. FACILIT'!AY51,'5. PERSON'!BY193+'6. OPERATION'!BB150)</f>
        <v>0</v>
      </c>
      <c r="K19" s="107">
        <f>IF('2. START'!$C11="NO",'5. PERSON'!EH193+'6. OPERATION'!CY150+'7. INVEST'!BC50+'8. FACILIT'!AZ51,'5. PERSON'!BZ193+'6. OPERATION'!BC150)</f>
        <v>0</v>
      </c>
      <c r="L19" s="107">
        <f>IF('2. START'!$C11="NO",'5. PERSON'!EI193+'6. OPERATION'!CZ150+'7. INVEST'!BD50+'8. FACILIT'!BA51,'5. PERSON'!CA193+'6. OPERATION'!BD150)</f>
        <v>0</v>
      </c>
      <c r="M19" s="123">
        <f t="shared" si="0"/>
        <v>0</v>
      </c>
    </row>
    <row r="20" spans="2:15" ht="13.5" customHeight="1" x14ac:dyDescent="0.25">
      <c r="B20" s="124" t="s">
        <v>113</v>
      </c>
      <c r="C20" s="102">
        <f>SUM(C15:C19)</f>
        <v>0</v>
      </c>
      <c r="D20" s="102">
        <f t="shared" ref="D20:L20" si="1">SUM(D15:D19)</f>
        <v>0</v>
      </c>
      <c r="E20" s="102">
        <f t="shared" si="1"/>
        <v>0</v>
      </c>
      <c r="F20" s="102">
        <f t="shared" si="1"/>
        <v>0</v>
      </c>
      <c r="G20" s="102">
        <f t="shared" si="1"/>
        <v>0</v>
      </c>
      <c r="H20" s="102">
        <f t="shared" si="1"/>
        <v>0</v>
      </c>
      <c r="I20" s="102">
        <f t="shared" si="1"/>
        <v>0</v>
      </c>
      <c r="J20" s="102">
        <f t="shared" si="1"/>
        <v>0</v>
      </c>
      <c r="K20" s="102">
        <f t="shared" si="1"/>
        <v>0</v>
      </c>
      <c r="L20" s="102">
        <f t="shared" si="1"/>
        <v>0</v>
      </c>
      <c r="M20" s="125">
        <f t="shared" si="0"/>
        <v>0</v>
      </c>
    </row>
    <row r="21" spans="2:15" ht="7.2" customHeight="1" x14ac:dyDescent="0.25">
      <c r="B21" s="126"/>
      <c r="C21" s="127"/>
      <c r="D21" s="127"/>
      <c r="E21" s="127"/>
      <c r="F21" s="127"/>
      <c r="G21" s="127"/>
      <c r="H21" s="127"/>
      <c r="I21" s="127"/>
      <c r="J21" s="127"/>
      <c r="K21" s="127"/>
      <c r="L21" s="127"/>
      <c r="M21" s="128"/>
    </row>
    <row r="22" spans="2:15" ht="13.5" customHeight="1" x14ac:dyDescent="0.25">
      <c r="B22" s="129" t="str">
        <f>IF('1. INTRO'!I$2="English","Costs to be co-funded","Kostnader att medfinansiera")</f>
        <v>Costs to be co-funded</v>
      </c>
      <c r="C22" s="86"/>
      <c r="D22" s="86"/>
      <c r="E22" s="86"/>
      <c r="F22" s="86"/>
      <c r="G22" s="86"/>
      <c r="H22" s="86"/>
      <c r="I22" s="86"/>
      <c r="J22" s="86"/>
      <c r="K22" s="86"/>
      <c r="L22" s="86"/>
      <c r="M22" s="130"/>
    </row>
    <row r="23" spans="2:15" ht="13.5" customHeight="1" x14ac:dyDescent="0.25">
      <c r="B23" s="159" t="str">
        <f>IF('1. INTRO'!I$2="English",(IF('2. START'!C$11="NO","Indirect and facility charge not accepted as OH by funding body","")),IF('2. START'!C$11="NO","Indirekt och lokalpåslag inte accepterade som OH av finansiär",""))</f>
        <v/>
      </c>
      <c r="C23" s="131">
        <f>IF('2. START'!$C11="NO",('5. PERSON'!BR193+'5. PERSON'!CP193+'6. OPERATION'!AU150+'6. OPERATION'!BS150)-('5. PERSON'!DZ193+'6. OPERATION'!CQ150+'7. INVEST'!AU50+'8. FACILIT'!AR51),0)</f>
        <v>0</v>
      </c>
      <c r="D23" s="131">
        <f>IF('2. START'!$C11="NO",('5. PERSON'!BS193+'5. PERSON'!CQ193+'6. OPERATION'!AV150+'6. OPERATION'!BT150)-('5. PERSON'!EA193+'6. OPERATION'!CR150+'7. INVEST'!AV50+'8. FACILIT'!AS51),0)</f>
        <v>0</v>
      </c>
      <c r="E23" s="131">
        <f>IF('2. START'!$C11="NO",('5. PERSON'!BT193+'5. PERSON'!CR193+'6. OPERATION'!AW150+'6. OPERATION'!BU150)-('5. PERSON'!EB193+'6. OPERATION'!CS150+'7. INVEST'!AW50+'8. FACILIT'!AT51),0)</f>
        <v>0</v>
      </c>
      <c r="F23" s="131">
        <f>IF('2. START'!$C11="NO",('5. PERSON'!BU193+'5. PERSON'!CS193+'6. OPERATION'!AX150+'6. OPERATION'!BV150)-('5. PERSON'!EC193+'6. OPERATION'!CT150+'7. INVEST'!AX50+'8. FACILIT'!AU51),0)</f>
        <v>0</v>
      </c>
      <c r="G23" s="131">
        <f>IF('2. START'!$C11="NO",('5. PERSON'!BV193+'5. PERSON'!CT193+'6. OPERATION'!AY150+'6. OPERATION'!BW150)-('5. PERSON'!ED193+'6. OPERATION'!CU150+'7. INVEST'!AY50+'8. FACILIT'!AV51),0)</f>
        <v>0</v>
      </c>
      <c r="H23" s="131">
        <f>IF('2. START'!$C11="NO",('5. PERSON'!BW193+'5. PERSON'!CU193+'6. OPERATION'!AZ150+'6. OPERATION'!BX150)-('5. PERSON'!EE193+'6. OPERATION'!CV150+'7. INVEST'!AZ50+'8. FACILIT'!AW51),0)</f>
        <v>0</v>
      </c>
      <c r="I23" s="131">
        <f>IF('2. START'!$C11="NO",('5. PERSON'!BX193+'5. PERSON'!CV193+'6. OPERATION'!BA150+'6. OPERATION'!BY150)-('5. PERSON'!EF193+'6. OPERATION'!CW150+'7. INVEST'!BA50+'8. FACILIT'!AX51),0)</f>
        <v>0</v>
      </c>
      <c r="J23" s="131">
        <f>IF('2. START'!$C11="NO",('5. PERSON'!BY193+'5. PERSON'!CW193+'6. OPERATION'!BB150+'6. OPERATION'!BZ150)-('5. PERSON'!EG193+'6. OPERATION'!CX150+'7. INVEST'!BB50+'8. FACILIT'!AY51),0)</f>
        <v>0</v>
      </c>
      <c r="K23" s="131">
        <f>IF('2. START'!$C11="NO",('5. PERSON'!BZ193+'5. PERSON'!CX193+'6. OPERATION'!BC150+'6. OPERATION'!CA150)-('5. PERSON'!EH193+'6. OPERATION'!CY150+'7. INVEST'!BC50+'8. FACILIT'!AZ51),0)</f>
        <v>0</v>
      </c>
      <c r="L23" s="131">
        <f>IF('2. START'!$C11="NO",('5. PERSON'!CA193+'5. PERSON'!CY193+'6. OPERATION'!BD150+'6. OPERATION'!CB150)-('5. PERSON'!EI193+'6. OPERATION'!CZ150+'7. INVEST'!BD50+'8. FACILIT'!BA51),0)</f>
        <v>0</v>
      </c>
      <c r="M23" s="115">
        <f t="shared" ref="M23:M29" si="2">SUM(C23:L23)</f>
        <v>0</v>
      </c>
    </row>
    <row r="24" spans="2:15" ht="13.5" customHeight="1" x14ac:dyDescent="0.25">
      <c r="B24" s="132" t="str">
        <f>IF('1. INTRO'!I$2="English",(IF('2. START'!C$14&gt;0,"Social costs (LKP) not accepted by funding body","")),IF('2. START'!C$14&gt;0,"LKP som inte accepteras av finansiär",""))</f>
        <v/>
      </c>
      <c r="C24" s="133">
        <f>IF('2. START'!$C14&gt;0,'5. PERSON'!AT193-'5. PERSON'!DN193,0)</f>
        <v>0</v>
      </c>
      <c r="D24" s="133">
        <f>IF('2. START'!$C14&gt;0,'5. PERSON'!AU193-'5. PERSON'!DO193,0)</f>
        <v>0</v>
      </c>
      <c r="E24" s="133">
        <f>IF('2. START'!$C14&gt;0,'5. PERSON'!AV193-'5. PERSON'!DP193,0)</f>
        <v>0</v>
      </c>
      <c r="F24" s="133">
        <f>IF('2. START'!$C14&gt;0,'5. PERSON'!AW193-'5. PERSON'!DQ193,0)</f>
        <v>0</v>
      </c>
      <c r="G24" s="133">
        <f>IF('2. START'!$C14&gt;0,'5. PERSON'!AX193-'5. PERSON'!DR193,0)</f>
        <v>0</v>
      </c>
      <c r="H24" s="133">
        <f>IF('2. START'!$C14&gt;0,'5. PERSON'!AY193-'5. PERSON'!DS193,0)</f>
        <v>0</v>
      </c>
      <c r="I24" s="133">
        <f>IF('2. START'!$C14&gt;0,'5. PERSON'!AZ193-'5. PERSON'!DT193,0)</f>
        <v>0</v>
      </c>
      <c r="J24" s="133">
        <f>IF('2. START'!$C14&gt;0,'5. PERSON'!BA193-'5. PERSON'!DU193,0)</f>
        <v>0</v>
      </c>
      <c r="K24" s="133">
        <f>IF('2. START'!$C14&gt;0,'5. PERSON'!BB193-'5. PERSON'!DV193,0)</f>
        <v>0</v>
      </c>
      <c r="L24" s="133">
        <f>IF('2. START'!$C14&gt;0,'5. PERSON'!BC193-'5. PERSON'!DW193,0)</f>
        <v>0</v>
      </c>
      <c r="M24" s="117">
        <f t="shared" si="2"/>
        <v>0</v>
      </c>
    </row>
    <row r="25" spans="2:15" ht="13.5" customHeight="1" x14ac:dyDescent="0.25">
      <c r="B25" s="118" t="str">
        <f>IF('1. INTRO'!I$2="English",(IF('5. PERSON'!BP$193&gt;0,"Salary including social costs (LKP)","")),IF('5. PERSON'!BP$193&gt;0,"Lön inklusive LKP",""))</f>
        <v/>
      </c>
      <c r="C25" s="134">
        <f>'5. PERSON'!BF193</f>
        <v>0</v>
      </c>
      <c r="D25" s="134">
        <f>'5. PERSON'!BG193</f>
        <v>0</v>
      </c>
      <c r="E25" s="134">
        <f>'5. PERSON'!BH193</f>
        <v>0</v>
      </c>
      <c r="F25" s="134">
        <f>'5. PERSON'!BI193</f>
        <v>0</v>
      </c>
      <c r="G25" s="134">
        <f>'5. PERSON'!BJ193</f>
        <v>0</v>
      </c>
      <c r="H25" s="134">
        <f>'5. PERSON'!BK193</f>
        <v>0</v>
      </c>
      <c r="I25" s="134">
        <f>'5. PERSON'!BL193</f>
        <v>0</v>
      </c>
      <c r="J25" s="134">
        <f>'5. PERSON'!BM193</f>
        <v>0</v>
      </c>
      <c r="K25" s="134">
        <f>'5. PERSON'!BN193</f>
        <v>0</v>
      </c>
      <c r="L25" s="134">
        <f>'5. PERSON'!BO193</f>
        <v>0</v>
      </c>
      <c r="M25" s="120">
        <f t="shared" si="2"/>
        <v>0</v>
      </c>
    </row>
    <row r="26" spans="2:15" ht="13.5" customHeight="1" x14ac:dyDescent="0.25">
      <c r="B26" s="80" t="str">
        <f>IF('1. INTRO'!I$2="English",(IF('6. OPERATION'!AS$150&gt;0,"Operating","")),IF('6. OPERATION'!AS$150&gt;0,"Drift",""))</f>
        <v/>
      </c>
      <c r="C26" s="135">
        <f>'6. OPERATION'!AI150</f>
        <v>0</v>
      </c>
      <c r="D26" s="135">
        <f>'6. OPERATION'!AJ150</f>
        <v>0</v>
      </c>
      <c r="E26" s="135">
        <f>'6. OPERATION'!AK150</f>
        <v>0</v>
      </c>
      <c r="F26" s="135">
        <f>'6. OPERATION'!AL150</f>
        <v>0</v>
      </c>
      <c r="G26" s="135">
        <f>'6. OPERATION'!AM150</f>
        <v>0</v>
      </c>
      <c r="H26" s="135">
        <f>'6. OPERATION'!AN150</f>
        <v>0</v>
      </c>
      <c r="I26" s="135">
        <f>'6. OPERATION'!AO150</f>
        <v>0</v>
      </c>
      <c r="J26" s="135">
        <f>'6. OPERATION'!AP150</f>
        <v>0</v>
      </c>
      <c r="K26" s="135">
        <f>'6. OPERATION'!AQ150</f>
        <v>0</v>
      </c>
      <c r="L26" s="135">
        <f>'6. OPERATION'!AR150</f>
        <v>0</v>
      </c>
      <c r="M26" s="117">
        <f t="shared" si="2"/>
        <v>0</v>
      </c>
    </row>
    <row r="27" spans="2:15" ht="13.5" customHeight="1" x14ac:dyDescent="0.25">
      <c r="B27" s="118" t="str">
        <f>IF('1. INTRO'!I$2="English",(IF('7. INVEST'!AS$50&gt;0,"Equipment","")),IF('7. INVEST'!AS$50&gt;0,"Utrustning",""))</f>
        <v/>
      </c>
      <c r="C27" s="134">
        <f>'7. INVEST'!AI50</f>
        <v>0</v>
      </c>
      <c r="D27" s="134">
        <f>'7. INVEST'!AJ50</f>
        <v>0</v>
      </c>
      <c r="E27" s="134">
        <f>'7. INVEST'!AK50</f>
        <v>0</v>
      </c>
      <c r="F27" s="134">
        <f>'7. INVEST'!AL50</f>
        <v>0</v>
      </c>
      <c r="G27" s="134">
        <f>'7. INVEST'!AM50</f>
        <v>0</v>
      </c>
      <c r="H27" s="134">
        <f>'7. INVEST'!AN50</f>
        <v>0</v>
      </c>
      <c r="I27" s="134">
        <f>'7. INVEST'!AO50</f>
        <v>0</v>
      </c>
      <c r="J27" s="134">
        <f>'7. INVEST'!AP50</f>
        <v>0</v>
      </c>
      <c r="K27" s="134">
        <f>'7. INVEST'!AQ50</f>
        <v>0</v>
      </c>
      <c r="L27" s="134">
        <f>'7. INVEST'!AR50</f>
        <v>0</v>
      </c>
      <c r="M27" s="120">
        <f t="shared" si="2"/>
        <v>0</v>
      </c>
    </row>
    <row r="28" spans="2:15" ht="13.5" customHeight="1" x14ac:dyDescent="0.25">
      <c r="B28" s="121" t="str">
        <f>IF('1. INTRO'!I$2="English",(IF('8. FACILIT'!AP$51&gt;0,"Facility","")),IF('8. FACILIT'!AP$51&gt;0,"Lokal",""))</f>
        <v/>
      </c>
      <c r="C28" s="135">
        <f>'8. FACILIT'!AF51</f>
        <v>0</v>
      </c>
      <c r="D28" s="135">
        <f>'8. FACILIT'!AG51</f>
        <v>0</v>
      </c>
      <c r="E28" s="135">
        <f>'8. FACILIT'!AH51</f>
        <v>0</v>
      </c>
      <c r="F28" s="135">
        <f>'8. FACILIT'!AI51</f>
        <v>0</v>
      </c>
      <c r="G28" s="135">
        <f>'8. FACILIT'!AJ51</f>
        <v>0</v>
      </c>
      <c r="H28" s="135">
        <f>'8. FACILIT'!AK51</f>
        <v>0</v>
      </c>
      <c r="I28" s="135">
        <f>'8. FACILIT'!AL51</f>
        <v>0</v>
      </c>
      <c r="J28" s="135">
        <f>'8. FACILIT'!AM51</f>
        <v>0</v>
      </c>
      <c r="K28" s="135">
        <f>'8. FACILIT'!AN51</f>
        <v>0</v>
      </c>
      <c r="L28" s="135">
        <f>'8. FACILIT'!AO51</f>
        <v>0</v>
      </c>
      <c r="M28" s="117">
        <f t="shared" si="2"/>
        <v>0</v>
      </c>
    </row>
    <row r="29" spans="2:15" s="1" customFormat="1" ht="13.5" customHeight="1" x14ac:dyDescent="0.25">
      <c r="B29" s="122" t="str">
        <f>IF('1. INTRO'!I$2="English",(IF(('5. PERSON'!CN$193+'6. OPERATION'!BQ$150)&gt;0,"Indirect","")),IF(('5. PERSON'!CN$193+'6. OPERATION'!BQ$150)&gt;0,"Indirekt",""))</f>
        <v/>
      </c>
      <c r="C29" s="107">
        <f>'5. PERSON'!CD193+'6. OPERATION'!BG150</f>
        <v>0</v>
      </c>
      <c r="D29" s="107">
        <f>'5. PERSON'!CE193+'6. OPERATION'!BH150</f>
        <v>0</v>
      </c>
      <c r="E29" s="107">
        <f>'5. PERSON'!CF193+'6. OPERATION'!BI150</f>
        <v>0</v>
      </c>
      <c r="F29" s="107">
        <f>'5. PERSON'!CG193+'6. OPERATION'!BJ150</f>
        <v>0</v>
      </c>
      <c r="G29" s="107">
        <f>'5. PERSON'!CH193+'6. OPERATION'!BK150</f>
        <v>0</v>
      </c>
      <c r="H29" s="107">
        <f>'5. PERSON'!CI193+'6. OPERATION'!BL150</f>
        <v>0</v>
      </c>
      <c r="I29" s="107">
        <f>'5. PERSON'!CJ193+'6. OPERATION'!BM150</f>
        <v>0</v>
      </c>
      <c r="J29" s="107">
        <f>'5. PERSON'!CK193+'6. OPERATION'!BN150</f>
        <v>0</v>
      </c>
      <c r="K29" s="107">
        <f>'5. PERSON'!CL193+'6. OPERATION'!BO150</f>
        <v>0</v>
      </c>
      <c r="L29" s="107">
        <f>'5. PERSON'!CM193+'6. OPERATION'!BP150</f>
        <v>0</v>
      </c>
      <c r="M29" s="123">
        <f t="shared" si="2"/>
        <v>0</v>
      </c>
    </row>
    <row r="30" spans="2:15" ht="13.5" customHeight="1" x14ac:dyDescent="0.25">
      <c r="B30" s="124" t="s">
        <v>113</v>
      </c>
      <c r="C30" s="102">
        <f>SUM(C23:C29)</f>
        <v>0</v>
      </c>
      <c r="D30" s="102">
        <f t="shared" ref="D30:M30" si="3">SUM(D23:D29)</f>
        <v>0</v>
      </c>
      <c r="E30" s="102">
        <f t="shared" si="3"/>
        <v>0</v>
      </c>
      <c r="F30" s="102">
        <f t="shared" si="3"/>
        <v>0</v>
      </c>
      <c r="G30" s="102">
        <f t="shared" si="3"/>
        <v>0</v>
      </c>
      <c r="H30" s="102">
        <f t="shared" si="3"/>
        <v>0</v>
      </c>
      <c r="I30" s="102">
        <f t="shared" si="3"/>
        <v>0</v>
      </c>
      <c r="J30" s="102">
        <f t="shared" si="3"/>
        <v>0</v>
      </c>
      <c r="K30" s="102">
        <f t="shared" si="3"/>
        <v>0</v>
      </c>
      <c r="L30" s="102">
        <f t="shared" si="3"/>
        <v>0</v>
      </c>
      <c r="M30" s="125">
        <f t="shared" si="3"/>
        <v>0</v>
      </c>
      <c r="N30" s="23"/>
      <c r="O30" s="23"/>
    </row>
    <row r="31" spans="2:15" ht="7.2" customHeight="1" x14ac:dyDescent="0.25">
      <c r="B31" s="136"/>
      <c r="C31" s="127"/>
      <c r="D31" s="127"/>
      <c r="E31" s="127"/>
      <c r="F31" s="127"/>
      <c r="G31" s="127"/>
      <c r="H31" s="127"/>
      <c r="I31" s="127"/>
      <c r="J31" s="127"/>
      <c r="K31" s="127"/>
      <c r="L31" s="127"/>
      <c r="M31" s="137"/>
    </row>
    <row r="32" spans="2:15" ht="13.5" customHeight="1" x14ac:dyDescent="0.25">
      <c r="B32" s="129" t="str">
        <f>IF('1. INTRO'!I$2="English","Full cost","Full kostnad")</f>
        <v>Full cost</v>
      </c>
      <c r="C32" s="127"/>
      <c r="D32" s="127"/>
      <c r="E32" s="127"/>
      <c r="F32" s="127"/>
      <c r="G32" s="127"/>
      <c r="H32" s="127"/>
      <c r="I32" s="127"/>
      <c r="J32" s="127"/>
      <c r="K32" s="127"/>
      <c r="L32" s="127"/>
      <c r="M32" s="137"/>
    </row>
    <row r="33" spans="2:13" ht="13.5" customHeight="1" x14ac:dyDescent="0.25">
      <c r="B33" s="113" t="str">
        <f>IF('1. INTRO'!I$2="English","Salary including social costs (LKP)","Lön inklusive LKP")</f>
        <v>Salary including social costs (LKP)</v>
      </c>
      <c r="C33" s="138">
        <f>C15+C24+C25</f>
        <v>0</v>
      </c>
      <c r="D33" s="138">
        <f t="shared" ref="D33:L33" si="4">D15+D24+D25</f>
        <v>0</v>
      </c>
      <c r="E33" s="138">
        <f t="shared" si="4"/>
        <v>0</v>
      </c>
      <c r="F33" s="138">
        <f t="shared" si="4"/>
        <v>0</v>
      </c>
      <c r="G33" s="138">
        <f t="shared" si="4"/>
        <v>0</v>
      </c>
      <c r="H33" s="138">
        <f t="shared" si="4"/>
        <v>0</v>
      </c>
      <c r="I33" s="138">
        <f t="shared" si="4"/>
        <v>0</v>
      </c>
      <c r="J33" s="138">
        <f t="shared" si="4"/>
        <v>0</v>
      </c>
      <c r="K33" s="138">
        <f t="shared" si="4"/>
        <v>0</v>
      </c>
      <c r="L33" s="138">
        <f t="shared" si="4"/>
        <v>0</v>
      </c>
      <c r="M33" s="115">
        <f>SUM(C33:L33)</f>
        <v>0</v>
      </c>
    </row>
    <row r="34" spans="2:13" ht="13.5" customHeight="1" x14ac:dyDescent="0.25">
      <c r="B34" s="80" t="str">
        <f>IF('1. INTRO'!I$2="English","Operating","Drift")</f>
        <v>Operating</v>
      </c>
      <c r="C34" s="139">
        <f>C16+C26</f>
        <v>0</v>
      </c>
      <c r="D34" s="139">
        <f t="shared" ref="D34:L34" si="5">D16+D26</f>
        <v>0</v>
      </c>
      <c r="E34" s="139">
        <f t="shared" si="5"/>
        <v>0</v>
      </c>
      <c r="F34" s="139">
        <f t="shared" si="5"/>
        <v>0</v>
      </c>
      <c r="G34" s="139">
        <f t="shared" si="5"/>
        <v>0</v>
      </c>
      <c r="H34" s="139">
        <f t="shared" si="5"/>
        <v>0</v>
      </c>
      <c r="I34" s="139">
        <f t="shared" si="5"/>
        <v>0</v>
      </c>
      <c r="J34" s="139">
        <f t="shared" si="5"/>
        <v>0</v>
      </c>
      <c r="K34" s="139">
        <f t="shared" si="5"/>
        <v>0</v>
      </c>
      <c r="L34" s="139">
        <f t="shared" si="5"/>
        <v>0</v>
      </c>
      <c r="M34" s="117">
        <f>SUM(C34:L34)</f>
        <v>0</v>
      </c>
    </row>
    <row r="35" spans="2:13" ht="13.5" customHeight="1" x14ac:dyDescent="0.25">
      <c r="B35" s="118" t="str">
        <f>IF('1. INTRO'!I$2="English","Equipment","Utrustning")</f>
        <v>Equipment</v>
      </c>
      <c r="C35" s="140">
        <f>C17+C27</f>
        <v>0</v>
      </c>
      <c r="D35" s="140">
        <f t="shared" ref="D35:L35" si="6">D17+D27</f>
        <v>0</v>
      </c>
      <c r="E35" s="140">
        <f t="shared" si="6"/>
        <v>0</v>
      </c>
      <c r="F35" s="140">
        <f t="shared" si="6"/>
        <v>0</v>
      </c>
      <c r="G35" s="140">
        <f t="shared" si="6"/>
        <v>0</v>
      </c>
      <c r="H35" s="140">
        <f t="shared" si="6"/>
        <v>0</v>
      </c>
      <c r="I35" s="140">
        <f t="shared" si="6"/>
        <v>0</v>
      </c>
      <c r="J35" s="140">
        <f t="shared" si="6"/>
        <v>0</v>
      </c>
      <c r="K35" s="140">
        <f t="shared" si="6"/>
        <v>0</v>
      </c>
      <c r="L35" s="140">
        <f t="shared" si="6"/>
        <v>0</v>
      </c>
      <c r="M35" s="120">
        <f>SUM(C35:L35)</f>
        <v>0</v>
      </c>
    </row>
    <row r="36" spans="2:13" ht="13.5" customHeight="1" x14ac:dyDescent="0.25">
      <c r="B36" s="80" t="str">
        <f>IF('1. INTRO'!I$2="English","Facility","Lokal")</f>
        <v>Facility</v>
      </c>
      <c r="C36" s="139">
        <f>'8. FACILIT'!T51+'8. FACILIT'!AF51</f>
        <v>0</v>
      </c>
      <c r="D36" s="139">
        <f>'8. FACILIT'!U51+'8. FACILIT'!AG51</f>
        <v>0</v>
      </c>
      <c r="E36" s="139">
        <f>'8. FACILIT'!V51+'8. FACILIT'!AH51</f>
        <v>0</v>
      </c>
      <c r="F36" s="139">
        <f>'8. FACILIT'!W51+'8. FACILIT'!AI51</f>
        <v>0</v>
      </c>
      <c r="G36" s="139">
        <f>'8. FACILIT'!X51+'8. FACILIT'!AJ51</f>
        <v>0</v>
      </c>
      <c r="H36" s="139">
        <f>'8. FACILIT'!Y51+'8. FACILIT'!AK51</f>
        <v>0</v>
      </c>
      <c r="I36" s="139">
        <f>'8. FACILIT'!Z51+'8. FACILIT'!AL51</f>
        <v>0</v>
      </c>
      <c r="J36" s="139">
        <f>'8. FACILIT'!AA51+'8. FACILIT'!AM51</f>
        <v>0</v>
      </c>
      <c r="K36" s="139">
        <f>'8. FACILIT'!AB51+'8. FACILIT'!AN51</f>
        <v>0</v>
      </c>
      <c r="L36" s="139">
        <f>'8. FACILIT'!AC51+'8. FACILIT'!AO51</f>
        <v>0</v>
      </c>
      <c r="M36" s="117">
        <f>SUM(C36:L36)</f>
        <v>0</v>
      </c>
    </row>
    <row r="37" spans="2:13" ht="13.5" customHeight="1" x14ac:dyDescent="0.25">
      <c r="B37" s="601" t="str">
        <f>IF('1. INTRO'!I$2="English","Indirect","Indirekt")</f>
        <v>Indirect</v>
      </c>
      <c r="C37" s="141">
        <f>'5. PERSON'!BR193+'5. PERSON'!CD193+'6. OPERATION'!AU150+'6. OPERATION'!BG150</f>
        <v>0</v>
      </c>
      <c r="D37" s="141">
        <f>'5. PERSON'!BS193+'5. PERSON'!CE193+'6. OPERATION'!AV150+'6. OPERATION'!BH150</f>
        <v>0</v>
      </c>
      <c r="E37" s="141">
        <f>'5. PERSON'!BT193+'5. PERSON'!CF193+'6. OPERATION'!AW150+'6. OPERATION'!BI150</f>
        <v>0</v>
      </c>
      <c r="F37" s="141">
        <f>'5. PERSON'!BU193+'5. PERSON'!CG193+'6. OPERATION'!AX150+'6. OPERATION'!BJ150</f>
        <v>0</v>
      </c>
      <c r="G37" s="141">
        <f>'5. PERSON'!BV193+'5. PERSON'!CH193+'6. OPERATION'!AY150+'6. OPERATION'!BK150</f>
        <v>0</v>
      </c>
      <c r="H37" s="141">
        <f>'5. PERSON'!BW193+'5. PERSON'!CI193+'6. OPERATION'!AZ150+'6. OPERATION'!BL150</f>
        <v>0</v>
      </c>
      <c r="I37" s="141">
        <f>'5. PERSON'!BX193+'5. PERSON'!CJ193+'6. OPERATION'!BA150+'6. OPERATION'!BM150</f>
        <v>0</v>
      </c>
      <c r="J37" s="141">
        <f>'5. PERSON'!BY193+'5. PERSON'!CK193+'6. OPERATION'!BB150+'6. OPERATION'!BN150</f>
        <v>0</v>
      </c>
      <c r="K37" s="141">
        <f>'5. PERSON'!BZ193+'5. PERSON'!CL193+'6. OPERATION'!BC150+'6. OPERATION'!BO150</f>
        <v>0</v>
      </c>
      <c r="L37" s="141">
        <f>'5. PERSON'!CA193+'5. PERSON'!CM193+'6. OPERATION'!BD150+'6. OPERATION'!BP150</f>
        <v>0</v>
      </c>
      <c r="M37" s="123">
        <f>SUM(C37:L37)</f>
        <v>0</v>
      </c>
    </row>
    <row r="38" spans="2:13" ht="13.5" customHeight="1" x14ac:dyDescent="0.25">
      <c r="B38" s="124" t="s">
        <v>113</v>
      </c>
      <c r="C38" s="88">
        <f>SUM(C33:C37)</f>
        <v>0</v>
      </c>
      <c r="D38" s="88">
        <f t="shared" ref="D38:M38" si="7">SUM(D33:D37)</f>
        <v>0</v>
      </c>
      <c r="E38" s="88">
        <f t="shared" si="7"/>
        <v>0</v>
      </c>
      <c r="F38" s="88">
        <f t="shared" si="7"/>
        <v>0</v>
      </c>
      <c r="G38" s="88">
        <f t="shared" si="7"/>
        <v>0</v>
      </c>
      <c r="H38" s="88">
        <f t="shared" si="7"/>
        <v>0</v>
      </c>
      <c r="I38" s="88">
        <f t="shared" si="7"/>
        <v>0</v>
      </c>
      <c r="J38" s="88">
        <f t="shared" si="7"/>
        <v>0</v>
      </c>
      <c r="K38" s="88">
        <f t="shared" si="7"/>
        <v>0</v>
      </c>
      <c r="L38" s="88">
        <f t="shared" si="7"/>
        <v>0</v>
      </c>
      <c r="M38" s="142">
        <f t="shared" si="7"/>
        <v>0</v>
      </c>
    </row>
    <row r="39" spans="2:13" ht="13.5" customHeight="1" x14ac:dyDescent="0.25">
      <c r="B39" s="70"/>
      <c r="C39" s="37"/>
      <c r="D39" s="37"/>
      <c r="E39" s="37"/>
      <c r="F39" s="37"/>
      <c r="G39" s="37"/>
      <c r="H39" s="37"/>
      <c r="I39" s="37"/>
      <c r="J39" s="37"/>
      <c r="K39" s="37"/>
      <c r="L39" s="37"/>
      <c r="M39" s="37"/>
    </row>
    <row r="40" spans="2:13" ht="13.5" customHeight="1" x14ac:dyDescent="0.25">
      <c r="B40" s="600" t="str">
        <f>IF('1. INTRO'!I$2="English","Co-funding share in full cost ","Medfinansieringsandel i full kostnad ")</f>
        <v xml:space="preserve">Co-funding share in full cost </v>
      </c>
      <c r="C40" s="143" t="str">
        <f t="shared" ref="C40:M40" si="8">IF(C38&gt;0,C30/C38,"")</f>
        <v/>
      </c>
      <c r="D40" s="143" t="str">
        <f t="shared" si="8"/>
        <v/>
      </c>
      <c r="E40" s="143" t="str">
        <f t="shared" si="8"/>
        <v/>
      </c>
      <c r="F40" s="143" t="str">
        <f t="shared" si="8"/>
        <v/>
      </c>
      <c r="G40" s="143" t="str">
        <f t="shared" si="8"/>
        <v/>
      </c>
      <c r="H40" s="143" t="str">
        <f t="shared" si="8"/>
        <v/>
      </c>
      <c r="I40" s="143" t="str">
        <f t="shared" si="8"/>
        <v/>
      </c>
      <c r="J40" s="143" t="str">
        <f t="shared" si="8"/>
        <v/>
      </c>
      <c r="K40" s="143" t="str">
        <f t="shared" si="8"/>
        <v/>
      </c>
      <c r="L40" s="143" t="str">
        <f t="shared" si="8"/>
        <v/>
      </c>
      <c r="M40" s="143" t="str">
        <f t="shared" si="8"/>
        <v/>
      </c>
    </row>
    <row r="41" spans="2:13" ht="13.5" customHeight="1" x14ac:dyDescent="0.25">
      <c r="B41" s="600" t="str">
        <f>IF('1. INTRO'!I$2="English","Co-funding share in direct cost (except facility charge) ","Medfinansieringsandel i direkt kostnad (utom lokalpåslag) ")</f>
        <v xml:space="preserve">Co-funding share in direct cost (except facility charge) </v>
      </c>
      <c r="C41" s="143" t="str">
        <f>IF(C38&gt;0,(C25+C26+C27+('8. FACILIT'!AF51-'8. FACILIT'!AF17))/(C33+C34+C35+('8. FACILIT'!F51-'8. FACILIT'!F17)),"")</f>
        <v/>
      </c>
      <c r="D41" s="143" t="str">
        <f>IF(D38&gt;0,(D25+D26+D27+('8. FACILIT'!AG51-'8. FACILIT'!AG17))/(D33+D34+D35+('8. FACILIT'!G51-'8. FACILIT'!G17)),"")</f>
        <v/>
      </c>
      <c r="E41" s="143" t="str">
        <f>IF(E38&gt;0,(E25+E26+E27+('8. FACILIT'!AH51-'8. FACILIT'!AH17))/(E33+E34+E35+('8. FACILIT'!H51-'8. FACILIT'!H17)),"")</f>
        <v/>
      </c>
      <c r="F41" s="143" t="str">
        <f>IF(F38&gt;0,(F25+F26+F27+('8. FACILIT'!AI51-'8. FACILIT'!AI17))/(F33+F34+F35+('8. FACILIT'!I51-'8. FACILIT'!I17)),"")</f>
        <v/>
      </c>
      <c r="G41" s="143" t="str">
        <f>IF(G38&gt;0,(G25+G26+G27+('8. FACILIT'!AJ51-'8. FACILIT'!AJ17))/(G33+G34+G35+('8. FACILIT'!J51-'8. FACILIT'!J17)),"")</f>
        <v/>
      </c>
      <c r="H41" s="143" t="str">
        <f>IF(H38&gt;0,(H25+H26+H27+('8. FACILIT'!AK51-'8. FACILIT'!AK17))/(H33+H34+H35+('8. FACILIT'!K51-'8. FACILIT'!K17)),"")</f>
        <v/>
      </c>
      <c r="I41" s="143" t="str">
        <f>IF(I38&gt;0,(I25+I26+I27+('8. FACILIT'!AL51-'8. FACILIT'!AL17))/(I33+I34+I35+('8. FACILIT'!L51-'8. FACILIT'!L17)),"")</f>
        <v/>
      </c>
      <c r="J41" s="143" t="str">
        <f>IF(J38&gt;0,(J25+J26+J27+('8. FACILIT'!AM51-'8. FACILIT'!AM17))/(J33+J34+J35+('8. FACILIT'!M51-'8. FACILIT'!M17)),"")</f>
        <v/>
      </c>
      <c r="K41" s="143" t="str">
        <f>IF(K38&gt;0,(K25+K26+K27+('8. FACILIT'!AN51-'8. FACILIT'!AN17))/(K33+K34+K35+('8. FACILIT'!N51-'8. FACILIT'!N17)),"")</f>
        <v/>
      </c>
      <c r="L41" s="143" t="str">
        <f>IF(L38&gt;0,(L25+L26+L27+('8. FACILIT'!AO51-'8. FACILIT'!AO17))/(L33+L34+L35+('8. FACILIT'!O51-'8. FACILIT'!O17)),"")</f>
        <v/>
      </c>
      <c r="M41" s="143" t="str">
        <f>IF(M38&gt;0,(M25+M26+M27+('8. FACILIT'!AP51-'8. FACILIT'!AP17))/(M33+M34+M35+('8. FACILIT'!P51-'8. FACILIT'!P17)),"")</f>
        <v/>
      </c>
    </row>
    <row r="42" spans="2:13" ht="13.5" customHeight="1" x14ac:dyDescent="0.25">
      <c r="B42" s="70"/>
      <c r="C42" s="144"/>
      <c r="D42" s="144"/>
      <c r="E42" s="144"/>
      <c r="F42" s="144"/>
      <c r="G42" s="144"/>
      <c r="H42" s="144"/>
      <c r="I42" s="144"/>
      <c r="J42" s="144"/>
      <c r="K42" s="144"/>
      <c r="L42" s="144"/>
      <c r="M42" s="144"/>
    </row>
    <row r="43" spans="2:13" ht="13.5" customHeight="1" x14ac:dyDescent="0.25">
      <c r="B43" s="1152"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Calculation comments - COMPULSORY TO STATE WHO HAS SET UP (PROJECT LEADER), CHECKED (PROJECT ECONOMIST) AND APPROVED (HEAD OF DEPARTMENT OR THE EQUIVALENT) THE CALCULATION</v>
      </c>
      <c r="C43" s="1004"/>
      <c r="D43" s="1004"/>
      <c r="E43" s="1004"/>
      <c r="F43" s="1004"/>
      <c r="G43" s="1004"/>
      <c r="H43" s="1004"/>
      <c r="I43" s="1004"/>
      <c r="J43" s="1004"/>
      <c r="K43" s="1004"/>
      <c r="L43" s="1004"/>
      <c r="M43" s="1004"/>
    </row>
    <row r="44" spans="2:13" ht="7.2" customHeight="1" x14ac:dyDescent="0.25">
      <c r="C44" s="72"/>
      <c r="D44" s="155"/>
      <c r="E44" s="155"/>
      <c r="F44" s="155"/>
      <c r="G44" s="155"/>
      <c r="H44" s="155"/>
      <c r="I44" s="155"/>
      <c r="J44" s="155"/>
      <c r="K44" s="155"/>
      <c r="L44" s="155"/>
      <c r="M44" s="155"/>
    </row>
    <row r="45" spans="2:13" ht="13.5" customHeight="1" x14ac:dyDescent="0.25">
      <c r="B45" s="1142"/>
      <c r="C45" s="1143"/>
      <c r="D45" s="1143"/>
      <c r="E45" s="1143"/>
      <c r="F45" s="1143"/>
      <c r="G45" s="1143"/>
      <c r="H45" s="1143"/>
      <c r="I45" s="1143"/>
      <c r="J45" s="1143"/>
      <c r="K45" s="1143"/>
      <c r="L45" s="1143"/>
      <c r="M45" s="1144"/>
    </row>
    <row r="46" spans="2:13" ht="13.5" customHeight="1" x14ac:dyDescent="0.25">
      <c r="B46" s="1145"/>
      <c r="C46" s="1146"/>
      <c r="D46" s="1146"/>
      <c r="E46" s="1146"/>
      <c r="F46" s="1146"/>
      <c r="G46" s="1146"/>
      <c r="H46" s="1146"/>
      <c r="I46" s="1146"/>
      <c r="J46" s="1146"/>
      <c r="K46" s="1146"/>
      <c r="L46" s="1146"/>
      <c r="M46" s="1147"/>
    </row>
    <row r="47" spans="2:13" ht="13.5" customHeight="1" x14ac:dyDescent="0.25">
      <c r="B47" s="1145"/>
      <c r="C47" s="1146"/>
      <c r="D47" s="1146"/>
      <c r="E47" s="1146"/>
      <c r="F47" s="1146"/>
      <c r="G47" s="1146"/>
      <c r="H47" s="1146"/>
      <c r="I47" s="1146"/>
      <c r="J47" s="1146"/>
      <c r="K47" s="1146"/>
      <c r="L47" s="1146"/>
      <c r="M47" s="1147"/>
    </row>
    <row r="48" spans="2:13" ht="13.5" customHeight="1" x14ac:dyDescent="0.25">
      <c r="B48" s="1145"/>
      <c r="C48" s="1146"/>
      <c r="D48" s="1146"/>
      <c r="E48" s="1146"/>
      <c r="F48" s="1146"/>
      <c r="G48" s="1146"/>
      <c r="H48" s="1146"/>
      <c r="I48" s="1146"/>
      <c r="J48" s="1146"/>
      <c r="K48" s="1146"/>
      <c r="L48" s="1146"/>
      <c r="M48" s="1147"/>
    </row>
    <row r="49" spans="2:13" ht="13.5" customHeight="1" x14ac:dyDescent="0.25">
      <c r="B49" s="1145"/>
      <c r="C49" s="1146"/>
      <c r="D49" s="1146"/>
      <c r="E49" s="1146"/>
      <c r="F49" s="1146"/>
      <c r="G49" s="1146"/>
      <c r="H49" s="1146"/>
      <c r="I49" s="1146"/>
      <c r="J49" s="1146"/>
      <c r="K49" s="1146"/>
      <c r="L49" s="1146"/>
      <c r="M49" s="1147"/>
    </row>
    <row r="50" spans="2:13" ht="13.5" customHeight="1" x14ac:dyDescent="0.25">
      <c r="B50" s="1145"/>
      <c r="C50" s="1146"/>
      <c r="D50" s="1146"/>
      <c r="E50" s="1146"/>
      <c r="F50" s="1146"/>
      <c r="G50" s="1146"/>
      <c r="H50" s="1146"/>
      <c r="I50" s="1146"/>
      <c r="J50" s="1146"/>
      <c r="K50" s="1146"/>
      <c r="L50" s="1146"/>
      <c r="M50" s="1147"/>
    </row>
    <row r="51" spans="2:13" ht="13.5" customHeight="1" x14ac:dyDescent="0.25">
      <c r="B51" s="1145"/>
      <c r="C51" s="1146"/>
      <c r="D51" s="1146"/>
      <c r="E51" s="1146"/>
      <c r="F51" s="1146"/>
      <c r="G51" s="1146"/>
      <c r="H51" s="1146"/>
      <c r="I51" s="1146"/>
      <c r="J51" s="1146"/>
      <c r="K51" s="1146"/>
      <c r="L51" s="1146"/>
      <c r="M51" s="1147"/>
    </row>
    <row r="52" spans="2:13" ht="13.5" customHeight="1" x14ac:dyDescent="0.25">
      <c r="B52" s="1145"/>
      <c r="C52" s="1146"/>
      <c r="D52" s="1146"/>
      <c r="E52" s="1146"/>
      <c r="F52" s="1146"/>
      <c r="G52" s="1146"/>
      <c r="H52" s="1146"/>
      <c r="I52" s="1146"/>
      <c r="J52" s="1146"/>
      <c r="K52" s="1146"/>
      <c r="L52" s="1146"/>
      <c r="M52" s="1147"/>
    </row>
    <row r="53" spans="2:13" ht="13.5" customHeight="1" x14ac:dyDescent="0.25">
      <c r="B53" s="1148"/>
      <c r="C53" s="1149"/>
      <c r="D53" s="1149"/>
      <c r="E53" s="1149"/>
      <c r="F53" s="1149"/>
      <c r="G53" s="1149"/>
      <c r="H53" s="1149"/>
      <c r="I53" s="1149"/>
      <c r="J53" s="1149"/>
      <c r="K53" s="1149"/>
      <c r="L53" s="1149"/>
      <c r="M53" s="1150"/>
    </row>
    <row r="54" spans="2:13" ht="13.5" customHeight="1" x14ac:dyDescent="0.25">
      <c r="B54" s="37"/>
      <c r="C54" s="37"/>
      <c r="D54" s="37"/>
      <c r="E54" s="37"/>
      <c r="F54" s="37"/>
      <c r="G54" s="37"/>
      <c r="H54" s="37"/>
      <c r="I54" s="37"/>
      <c r="J54" s="37"/>
      <c r="K54" s="37"/>
      <c r="L54" s="37"/>
      <c r="M54" s="37"/>
    </row>
    <row r="55" spans="2:13" ht="13.5" customHeight="1" x14ac:dyDescent="0.25">
      <c r="B55" s="605" t="str">
        <f>IF('1. INTRO'!I$2="English","Project cost in comparison currency","Projektkostnader i jämförelsevaluta ")</f>
        <v>Project cost in comparison currency</v>
      </c>
      <c r="C55" s="160" t="str">
        <f>IF('2. START'!$C16="","",'2. START'!$C16)</f>
        <v/>
      </c>
      <c r="D55" s="638" t="str">
        <f>IF('1. INTRO'!I$2="English","Exchange: 1","Kurs: 1")</f>
        <v>Exchange: 1</v>
      </c>
      <c r="E55" s="606" t="str">
        <f>IF('2. START'!C15="","",'2. START'!C15)</f>
        <v>SEK</v>
      </c>
      <c r="F55" s="355" t="s">
        <v>11</v>
      </c>
      <c r="G55" s="639">
        <f>'2. START'!C17</f>
        <v>0</v>
      </c>
      <c r="H55" s="606" t="str">
        <f>IF('2. START'!$C16="","",'2. START'!$C16)</f>
        <v/>
      </c>
      <c r="I55" s="82"/>
      <c r="J55" s="268"/>
      <c r="K55" s="354"/>
      <c r="L55" s="354"/>
      <c r="M55" s="354"/>
    </row>
    <row r="56" spans="2:13" ht="7.2" customHeight="1" x14ac:dyDescent="0.25">
      <c r="B56" s="602"/>
      <c r="C56" s="268"/>
      <c r="D56" s="268"/>
      <c r="E56" s="268"/>
      <c r="F56" s="268"/>
      <c r="G56" s="268"/>
      <c r="H56" s="268"/>
      <c r="I56" s="268"/>
      <c r="J56" s="268"/>
      <c r="K56" s="268"/>
      <c r="L56" s="268"/>
      <c r="M56" s="268"/>
    </row>
    <row r="57" spans="2:13" ht="13.5" customHeight="1" x14ac:dyDescent="0.25">
      <c r="B57" s="110" t="str">
        <f t="shared" ref="B57:M57" si="9">B14</f>
        <v>Costs to be covered by funding body</v>
      </c>
      <c r="C57" s="607">
        <f t="shared" si="9"/>
        <v>1900</v>
      </c>
      <c r="D57" s="607" t="str">
        <f t="shared" si="9"/>
        <v/>
      </c>
      <c r="E57" s="607" t="str">
        <f t="shared" si="9"/>
        <v/>
      </c>
      <c r="F57" s="607" t="str">
        <f t="shared" si="9"/>
        <v/>
      </c>
      <c r="G57" s="607" t="str">
        <f t="shared" si="9"/>
        <v/>
      </c>
      <c r="H57" s="607" t="str">
        <f t="shared" si="9"/>
        <v/>
      </c>
      <c r="I57" s="607" t="str">
        <f t="shared" si="9"/>
        <v/>
      </c>
      <c r="J57" s="607" t="str">
        <f t="shared" si="9"/>
        <v/>
      </c>
      <c r="K57" s="607" t="str">
        <f t="shared" si="9"/>
        <v/>
      </c>
      <c r="L57" s="607" t="str">
        <f t="shared" si="9"/>
        <v/>
      </c>
      <c r="M57" s="608" t="str">
        <f t="shared" si="9"/>
        <v>Total</v>
      </c>
    </row>
    <row r="58" spans="2:13" ht="13.5" customHeight="1" x14ac:dyDescent="0.25">
      <c r="B58" s="609" t="str">
        <f t="shared" ref="B58:B63" si="10">B15</f>
        <v>Salary including social costs (LKP)</v>
      </c>
      <c r="C58" s="610">
        <f t="shared" ref="C58:L58" si="11">C15*$G$55</f>
        <v>0</v>
      </c>
      <c r="D58" s="610">
        <f t="shared" si="11"/>
        <v>0</v>
      </c>
      <c r="E58" s="610">
        <f t="shared" si="11"/>
        <v>0</v>
      </c>
      <c r="F58" s="611">
        <f t="shared" si="11"/>
        <v>0</v>
      </c>
      <c r="G58" s="610">
        <f t="shared" si="11"/>
        <v>0</v>
      </c>
      <c r="H58" s="611">
        <f t="shared" si="11"/>
        <v>0</v>
      </c>
      <c r="I58" s="610">
        <f t="shared" si="11"/>
        <v>0</v>
      </c>
      <c r="J58" s="611">
        <f t="shared" si="11"/>
        <v>0</v>
      </c>
      <c r="K58" s="610">
        <f t="shared" si="11"/>
        <v>0</v>
      </c>
      <c r="L58" s="612">
        <f t="shared" si="11"/>
        <v>0</v>
      </c>
      <c r="M58" s="613">
        <f t="shared" ref="M58:M63" si="12">SUM(C58:L58)</f>
        <v>0</v>
      </c>
    </row>
    <row r="59" spans="2:13" s="20" customFormat="1" ht="13.5" customHeight="1" x14ac:dyDescent="0.25">
      <c r="B59" s="614" t="str">
        <f t="shared" si="10"/>
        <v>Operating</v>
      </c>
      <c r="C59" s="615">
        <f t="shared" ref="C59:L59" si="13">C16*$G$55</f>
        <v>0</v>
      </c>
      <c r="D59" s="615">
        <f t="shared" si="13"/>
        <v>0</v>
      </c>
      <c r="E59" s="615">
        <f t="shared" si="13"/>
        <v>0</v>
      </c>
      <c r="F59" s="616">
        <f t="shared" si="13"/>
        <v>0</v>
      </c>
      <c r="G59" s="615">
        <f t="shared" si="13"/>
        <v>0</v>
      </c>
      <c r="H59" s="616">
        <f t="shared" si="13"/>
        <v>0</v>
      </c>
      <c r="I59" s="615">
        <f t="shared" si="13"/>
        <v>0</v>
      </c>
      <c r="J59" s="616">
        <f t="shared" si="13"/>
        <v>0</v>
      </c>
      <c r="K59" s="615">
        <f t="shared" si="13"/>
        <v>0</v>
      </c>
      <c r="L59" s="617">
        <f t="shared" si="13"/>
        <v>0</v>
      </c>
      <c r="M59" s="618">
        <f t="shared" si="12"/>
        <v>0</v>
      </c>
    </row>
    <row r="60" spans="2:13" ht="13.5" customHeight="1" x14ac:dyDescent="0.25">
      <c r="B60" s="619" t="str">
        <f t="shared" si="10"/>
        <v>Equipment</v>
      </c>
      <c r="C60" s="620">
        <f t="shared" ref="C60:L60" si="14">C17*$G$55</f>
        <v>0</v>
      </c>
      <c r="D60" s="620">
        <f t="shared" si="14"/>
        <v>0</v>
      </c>
      <c r="E60" s="620">
        <f t="shared" si="14"/>
        <v>0</v>
      </c>
      <c r="F60" s="621">
        <f t="shared" si="14"/>
        <v>0</v>
      </c>
      <c r="G60" s="620">
        <f t="shared" si="14"/>
        <v>0</v>
      </c>
      <c r="H60" s="621">
        <f t="shared" si="14"/>
        <v>0</v>
      </c>
      <c r="I60" s="620">
        <f t="shared" si="14"/>
        <v>0</v>
      </c>
      <c r="J60" s="621">
        <f t="shared" si="14"/>
        <v>0</v>
      </c>
      <c r="K60" s="620">
        <f t="shared" si="14"/>
        <v>0</v>
      </c>
      <c r="L60" s="622">
        <f t="shared" si="14"/>
        <v>0</v>
      </c>
      <c r="M60" s="623">
        <f t="shared" si="12"/>
        <v>0</v>
      </c>
    </row>
    <row r="61" spans="2:13" s="20" customFormat="1" ht="13.5" customHeight="1" x14ac:dyDescent="0.25">
      <c r="B61" s="614" t="str">
        <f t="shared" si="10"/>
        <v>Facility</v>
      </c>
      <c r="C61" s="615">
        <f t="shared" ref="C61:L61" si="15">C18*$G$55</f>
        <v>0</v>
      </c>
      <c r="D61" s="615">
        <f t="shared" si="15"/>
        <v>0</v>
      </c>
      <c r="E61" s="615">
        <f t="shared" si="15"/>
        <v>0</v>
      </c>
      <c r="F61" s="616">
        <f t="shared" si="15"/>
        <v>0</v>
      </c>
      <c r="G61" s="615">
        <f t="shared" si="15"/>
        <v>0</v>
      </c>
      <c r="H61" s="616">
        <f t="shared" si="15"/>
        <v>0</v>
      </c>
      <c r="I61" s="615">
        <f t="shared" si="15"/>
        <v>0</v>
      </c>
      <c r="J61" s="616">
        <f t="shared" si="15"/>
        <v>0</v>
      </c>
      <c r="K61" s="615">
        <f t="shared" si="15"/>
        <v>0</v>
      </c>
      <c r="L61" s="617">
        <f t="shared" si="15"/>
        <v>0</v>
      </c>
      <c r="M61" s="618">
        <f t="shared" si="12"/>
        <v>0</v>
      </c>
    </row>
    <row r="62" spans="2:13" ht="13.5" customHeight="1" x14ac:dyDescent="0.25">
      <c r="B62" s="624" t="str">
        <f t="shared" si="10"/>
        <v>Indirect</v>
      </c>
      <c r="C62" s="584">
        <f t="shared" ref="C62:L62" si="16">C19*$G$55</f>
        <v>0</v>
      </c>
      <c r="D62" s="584">
        <f t="shared" si="16"/>
        <v>0</v>
      </c>
      <c r="E62" s="584">
        <f t="shared" si="16"/>
        <v>0</v>
      </c>
      <c r="F62" s="625">
        <f t="shared" si="16"/>
        <v>0</v>
      </c>
      <c r="G62" s="584">
        <f t="shared" si="16"/>
        <v>0</v>
      </c>
      <c r="H62" s="625">
        <f t="shared" si="16"/>
        <v>0</v>
      </c>
      <c r="I62" s="584">
        <f t="shared" si="16"/>
        <v>0</v>
      </c>
      <c r="J62" s="625">
        <f t="shared" si="16"/>
        <v>0</v>
      </c>
      <c r="K62" s="584">
        <f t="shared" si="16"/>
        <v>0</v>
      </c>
      <c r="L62" s="626">
        <f t="shared" si="16"/>
        <v>0</v>
      </c>
      <c r="M62" s="627">
        <f t="shared" si="12"/>
        <v>0</v>
      </c>
    </row>
    <row r="63" spans="2:13" ht="13.5" customHeight="1" x14ac:dyDescent="0.25">
      <c r="B63" s="628" t="str">
        <f t="shared" si="10"/>
        <v xml:space="preserve">Total </v>
      </c>
      <c r="C63" s="629">
        <f>SUM(C58:C62)</f>
        <v>0</v>
      </c>
      <c r="D63" s="629">
        <f t="shared" ref="D63:L63" si="17">SUM(D58:D62)</f>
        <v>0</v>
      </c>
      <c r="E63" s="629">
        <f t="shared" si="17"/>
        <v>0</v>
      </c>
      <c r="F63" s="629">
        <f t="shared" si="17"/>
        <v>0</v>
      </c>
      <c r="G63" s="629">
        <f t="shared" si="17"/>
        <v>0</v>
      </c>
      <c r="H63" s="629">
        <f t="shared" si="17"/>
        <v>0</v>
      </c>
      <c r="I63" s="629">
        <f t="shared" si="17"/>
        <v>0</v>
      </c>
      <c r="J63" s="629">
        <f t="shared" si="17"/>
        <v>0</v>
      </c>
      <c r="K63" s="629">
        <f t="shared" si="17"/>
        <v>0</v>
      </c>
      <c r="L63" s="629">
        <f t="shared" si="17"/>
        <v>0</v>
      </c>
      <c r="M63" s="630">
        <f t="shared" si="12"/>
        <v>0</v>
      </c>
    </row>
    <row r="64" spans="2:13" ht="7.2" customHeight="1" x14ac:dyDescent="0.25">
      <c r="B64" s="631"/>
      <c r="C64" s="632"/>
      <c r="D64" s="632"/>
      <c r="E64" s="632"/>
      <c r="F64" s="632"/>
      <c r="G64" s="632"/>
      <c r="H64" s="632"/>
      <c r="I64" s="632"/>
      <c r="J64" s="632"/>
      <c r="K64" s="632"/>
      <c r="L64" s="632"/>
      <c r="M64" s="633"/>
    </row>
    <row r="65" spans="2:13" ht="13.5" customHeight="1" x14ac:dyDescent="0.25">
      <c r="B65" s="129" t="str">
        <f t="shared" ref="B65:B73" si="18">B22</f>
        <v>Costs to be co-funded</v>
      </c>
      <c r="C65" s="634"/>
      <c r="D65" s="634"/>
      <c r="E65" s="634"/>
      <c r="F65" s="634"/>
      <c r="G65" s="634"/>
      <c r="H65" s="634"/>
      <c r="I65" s="634"/>
      <c r="J65" s="634"/>
      <c r="K65" s="634"/>
      <c r="L65" s="634"/>
      <c r="M65" s="129"/>
    </row>
    <row r="66" spans="2:13" ht="13.5" customHeight="1" x14ac:dyDescent="0.25">
      <c r="B66" s="150" t="str">
        <f t="shared" si="18"/>
        <v/>
      </c>
      <c r="C66" s="610">
        <f t="shared" ref="C66:L66" si="19">C23*$G$55</f>
        <v>0</v>
      </c>
      <c r="D66" s="611">
        <f t="shared" si="19"/>
        <v>0</v>
      </c>
      <c r="E66" s="610">
        <f t="shared" si="19"/>
        <v>0</v>
      </c>
      <c r="F66" s="611">
        <f t="shared" si="19"/>
        <v>0</v>
      </c>
      <c r="G66" s="610">
        <f t="shared" si="19"/>
        <v>0</v>
      </c>
      <c r="H66" s="611">
        <f t="shared" si="19"/>
        <v>0</v>
      </c>
      <c r="I66" s="610">
        <f t="shared" si="19"/>
        <v>0</v>
      </c>
      <c r="J66" s="611">
        <f t="shared" si="19"/>
        <v>0</v>
      </c>
      <c r="K66" s="610">
        <f t="shared" si="19"/>
        <v>0</v>
      </c>
      <c r="L66" s="612">
        <f t="shared" si="19"/>
        <v>0</v>
      </c>
      <c r="M66" s="613">
        <f t="shared" ref="M66:M72" si="20">SUM(C66:L66)</f>
        <v>0</v>
      </c>
    </row>
    <row r="67" spans="2:13" s="20" customFormat="1" ht="13.5" customHeight="1" x14ac:dyDescent="0.25">
      <c r="B67" s="151" t="str">
        <f t="shared" si="18"/>
        <v/>
      </c>
      <c r="C67" s="615">
        <f t="shared" ref="C67:L67" si="21">C24*$G$55</f>
        <v>0</v>
      </c>
      <c r="D67" s="616">
        <f t="shared" si="21"/>
        <v>0</v>
      </c>
      <c r="E67" s="615">
        <f t="shared" si="21"/>
        <v>0</v>
      </c>
      <c r="F67" s="616">
        <f t="shared" si="21"/>
        <v>0</v>
      </c>
      <c r="G67" s="615">
        <f t="shared" si="21"/>
        <v>0</v>
      </c>
      <c r="H67" s="616">
        <f t="shared" si="21"/>
        <v>0</v>
      </c>
      <c r="I67" s="615">
        <f t="shared" si="21"/>
        <v>0</v>
      </c>
      <c r="J67" s="616">
        <f t="shared" si="21"/>
        <v>0</v>
      </c>
      <c r="K67" s="615">
        <f t="shared" si="21"/>
        <v>0</v>
      </c>
      <c r="L67" s="617">
        <f t="shared" si="21"/>
        <v>0</v>
      </c>
      <c r="M67" s="618">
        <f t="shared" si="20"/>
        <v>0</v>
      </c>
    </row>
    <row r="68" spans="2:13" ht="13.5" customHeight="1" x14ac:dyDescent="0.25">
      <c r="B68" s="152" t="str">
        <f t="shared" si="18"/>
        <v/>
      </c>
      <c r="C68" s="620">
        <f t="shared" ref="C68:L68" si="22">C25*$G$55</f>
        <v>0</v>
      </c>
      <c r="D68" s="621">
        <f t="shared" si="22"/>
        <v>0</v>
      </c>
      <c r="E68" s="620">
        <f t="shared" si="22"/>
        <v>0</v>
      </c>
      <c r="F68" s="621">
        <f t="shared" si="22"/>
        <v>0</v>
      </c>
      <c r="G68" s="620">
        <f t="shared" si="22"/>
        <v>0</v>
      </c>
      <c r="H68" s="621">
        <f t="shared" si="22"/>
        <v>0</v>
      </c>
      <c r="I68" s="620">
        <f t="shared" si="22"/>
        <v>0</v>
      </c>
      <c r="J68" s="621">
        <f t="shared" si="22"/>
        <v>0</v>
      </c>
      <c r="K68" s="620">
        <f t="shared" si="22"/>
        <v>0</v>
      </c>
      <c r="L68" s="622">
        <f t="shared" si="22"/>
        <v>0</v>
      </c>
      <c r="M68" s="623">
        <f t="shared" si="20"/>
        <v>0</v>
      </c>
    </row>
    <row r="69" spans="2:13" s="20" customFormat="1" ht="13.5" customHeight="1" x14ac:dyDescent="0.25">
      <c r="B69" s="151" t="str">
        <f t="shared" si="18"/>
        <v/>
      </c>
      <c r="C69" s="615">
        <f t="shared" ref="C69:L69" si="23">C26*$G$55</f>
        <v>0</v>
      </c>
      <c r="D69" s="616">
        <f t="shared" si="23"/>
        <v>0</v>
      </c>
      <c r="E69" s="615">
        <f t="shared" si="23"/>
        <v>0</v>
      </c>
      <c r="F69" s="616">
        <f t="shared" si="23"/>
        <v>0</v>
      </c>
      <c r="G69" s="615">
        <f t="shared" si="23"/>
        <v>0</v>
      </c>
      <c r="H69" s="616">
        <f t="shared" si="23"/>
        <v>0</v>
      </c>
      <c r="I69" s="615">
        <f t="shared" si="23"/>
        <v>0</v>
      </c>
      <c r="J69" s="616">
        <f t="shared" si="23"/>
        <v>0</v>
      </c>
      <c r="K69" s="615">
        <f t="shared" si="23"/>
        <v>0</v>
      </c>
      <c r="L69" s="617">
        <f t="shared" si="23"/>
        <v>0</v>
      </c>
      <c r="M69" s="618">
        <f t="shared" si="20"/>
        <v>0</v>
      </c>
    </row>
    <row r="70" spans="2:13" ht="13.5" customHeight="1" x14ac:dyDescent="0.25">
      <c r="B70" s="152" t="str">
        <f t="shared" si="18"/>
        <v/>
      </c>
      <c r="C70" s="620">
        <f t="shared" ref="C70:L70" si="24">C27*$G$55</f>
        <v>0</v>
      </c>
      <c r="D70" s="621">
        <f t="shared" si="24"/>
        <v>0</v>
      </c>
      <c r="E70" s="620">
        <f t="shared" si="24"/>
        <v>0</v>
      </c>
      <c r="F70" s="621">
        <f t="shared" si="24"/>
        <v>0</v>
      </c>
      <c r="G70" s="620">
        <f t="shared" si="24"/>
        <v>0</v>
      </c>
      <c r="H70" s="621">
        <f t="shared" si="24"/>
        <v>0</v>
      </c>
      <c r="I70" s="620">
        <f t="shared" si="24"/>
        <v>0</v>
      </c>
      <c r="J70" s="621">
        <f t="shared" si="24"/>
        <v>0</v>
      </c>
      <c r="K70" s="620">
        <f t="shared" si="24"/>
        <v>0</v>
      </c>
      <c r="L70" s="622">
        <f t="shared" si="24"/>
        <v>0</v>
      </c>
      <c r="M70" s="623">
        <f t="shared" si="20"/>
        <v>0</v>
      </c>
    </row>
    <row r="71" spans="2:13" s="20" customFormat="1" ht="13.5" customHeight="1" x14ac:dyDescent="0.25">
      <c r="B71" s="151" t="str">
        <f t="shared" si="18"/>
        <v/>
      </c>
      <c r="C71" s="615">
        <f t="shared" ref="C71:L71" si="25">C28*$G$55</f>
        <v>0</v>
      </c>
      <c r="D71" s="616">
        <f t="shared" si="25"/>
        <v>0</v>
      </c>
      <c r="E71" s="615">
        <f t="shared" si="25"/>
        <v>0</v>
      </c>
      <c r="F71" s="616">
        <f t="shared" si="25"/>
        <v>0</v>
      </c>
      <c r="G71" s="615">
        <f t="shared" si="25"/>
        <v>0</v>
      </c>
      <c r="H71" s="616">
        <f t="shared" si="25"/>
        <v>0</v>
      </c>
      <c r="I71" s="615">
        <f t="shared" si="25"/>
        <v>0</v>
      </c>
      <c r="J71" s="616">
        <f t="shared" si="25"/>
        <v>0</v>
      </c>
      <c r="K71" s="615">
        <f t="shared" si="25"/>
        <v>0</v>
      </c>
      <c r="L71" s="617">
        <f t="shared" si="25"/>
        <v>0</v>
      </c>
      <c r="M71" s="618">
        <f t="shared" si="20"/>
        <v>0</v>
      </c>
    </row>
    <row r="72" spans="2:13" ht="13.5" customHeight="1" x14ac:dyDescent="0.25">
      <c r="B72" s="153" t="str">
        <f t="shared" si="18"/>
        <v/>
      </c>
      <c r="C72" s="584">
        <f t="shared" ref="C72:L72" si="26">C29*$G$55</f>
        <v>0</v>
      </c>
      <c r="D72" s="625">
        <f t="shared" si="26"/>
        <v>0</v>
      </c>
      <c r="E72" s="584">
        <f t="shared" si="26"/>
        <v>0</v>
      </c>
      <c r="F72" s="625">
        <f t="shared" si="26"/>
        <v>0</v>
      </c>
      <c r="G72" s="584">
        <f t="shared" si="26"/>
        <v>0</v>
      </c>
      <c r="H72" s="625">
        <f t="shared" si="26"/>
        <v>0</v>
      </c>
      <c r="I72" s="584">
        <f t="shared" si="26"/>
        <v>0</v>
      </c>
      <c r="J72" s="625">
        <f t="shared" si="26"/>
        <v>0</v>
      </c>
      <c r="K72" s="584">
        <f t="shared" si="26"/>
        <v>0</v>
      </c>
      <c r="L72" s="626">
        <f t="shared" si="26"/>
        <v>0</v>
      </c>
      <c r="M72" s="627">
        <f t="shared" si="20"/>
        <v>0</v>
      </c>
    </row>
    <row r="73" spans="2:13" ht="13.5" customHeight="1" x14ac:dyDescent="0.25">
      <c r="B73" s="628" t="str">
        <f t="shared" si="18"/>
        <v xml:space="preserve">Total </v>
      </c>
      <c r="C73" s="629">
        <f>SUM(C66:C72)</f>
        <v>0</v>
      </c>
      <c r="D73" s="629">
        <f t="shared" ref="D73:M73" si="27">SUM(D66:D72)</f>
        <v>0</v>
      </c>
      <c r="E73" s="629">
        <f t="shared" si="27"/>
        <v>0</v>
      </c>
      <c r="F73" s="629">
        <f t="shared" si="27"/>
        <v>0</v>
      </c>
      <c r="G73" s="629">
        <f t="shared" si="27"/>
        <v>0</v>
      </c>
      <c r="H73" s="629">
        <f t="shared" si="27"/>
        <v>0</v>
      </c>
      <c r="I73" s="629">
        <f t="shared" si="27"/>
        <v>0</v>
      </c>
      <c r="J73" s="629">
        <f t="shared" si="27"/>
        <v>0</v>
      </c>
      <c r="K73" s="629">
        <f t="shared" si="27"/>
        <v>0</v>
      </c>
      <c r="L73" s="629">
        <f t="shared" si="27"/>
        <v>0</v>
      </c>
      <c r="M73" s="630">
        <f t="shared" si="27"/>
        <v>0</v>
      </c>
    </row>
    <row r="74" spans="2:13" ht="7.2" customHeight="1" x14ac:dyDescent="0.25">
      <c r="B74" s="631"/>
      <c r="C74" s="635"/>
      <c r="D74" s="635"/>
      <c r="E74" s="635"/>
      <c r="F74" s="635"/>
      <c r="G74" s="635"/>
      <c r="H74" s="635"/>
      <c r="I74" s="635"/>
      <c r="J74" s="635"/>
      <c r="K74" s="635"/>
      <c r="L74" s="635"/>
      <c r="M74" s="636"/>
    </row>
    <row r="75" spans="2:13" ht="13.5" customHeight="1" x14ac:dyDescent="0.25">
      <c r="B75" s="129" t="str">
        <f>B32</f>
        <v>Full cost</v>
      </c>
      <c r="C75" s="635"/>
      <c r="D75" s="635"/>
      <c r="E75" s="635"/>
      <c r="F75" s="635"/>
      <c r="G75" s="635"/>
      <c r="H75" s="635"/>
      <c r="I75" s="635"/>
      <c r="J75" s="635"/>
      <c r="K75" s="635"/>
      <c r="L75" s="635"/>
      <c r="M75" s="636"/>
    </row>
    <row r="76" spans="2:13" ht="13.5" customHeight="1" x14ac:dyDescent="0.25">
      <c r="B76" s="159" t="str">
        <f t="shared" ref="B76:B80" si="28">B33</f>
        <v>Salary including social costs (LKP)</v>
      </c>
      <c r="C76" s="610">
        <f t="shared" ref="C76:L76" si="29">C33*$G$55</f>
        <v>0</v>
      </c>
      <c r="D76" s="610">
        <f t="shared" si="29"/>
        <v>0</v>
      </c>
      <c r="E76" s="610">
        <f t="shared" si="29"/>
        <v>0</v>
      </c>
      <c r="F76" s="610">
        <f t="shared" si="29"/>
        <v>0</v>
      </c>
      <c r="G76" s="610">
        <f t="shared" si="29"/>
        <v>0</v>
      </c>
      <c r="H76" s="610">
        <f t="shared" si="29"/>
        <v>0</v>
      </c>
      <c r="I76" s="610">
        <f t="shared" si="29"/>
        <v>0</v>
      </c>
      <c r="J76" s="610">
        <f t="shared" si="29"/>
        <v>0</v>
      </c>
      <c r="K76" s="610">
        <f t="shared" si="29"/>
        <v>0</v>
      </c>
      <c r="L76" s="612">
        <f t="shared" si="29"/>
        <v>0</v>
      </c>
      <c r="M76" s="613">
        <f t="shared" ref="M76:M81" si="30">SUM(C76:L76)</f>
        <v>0</v>
      </c>
    </row>
    <row r="77" spans="2:13" s="20" customFormat="1" ht="13.5" customHeight="1" x14ac:dyDescent="0.25">
      <c r="B77" s="373" t="str">
        <f t="shared" si="28"/>
        <v>Operating</v>
      </c>
      <c r="C77" s="615">
        <f t="shared" ref="C77:L77" si="31">C34*$G$55</f>
        <v>0</v>
      </c>
      <c r="D77" s="615">
        <f t="shared" si="31"/>
        <v>0</v>
      </c>
      <c r="E77" s="615">
        <f t="shared" si="31"/>
        <v>0</v>
      </c>
      <c r="F77" s="615">
        <f t="shared" si="31"/>
        <v>0</v>
      </c>
      <c r="G77" s="615">
        <f t="shared" si="31"/>
        <v>0</v>
      </c>
      <c r="H77" s="615">
        <f t="shared" si="31"/>
        <v>0</v>
      </c>
      <c r="I77" s="615">
        <f t="shared" si="31"/>
        <v>0</v>
      </c>
      <c r="J77" s="615">
        <f t="shared" si="31"/>
        <v>0</v>
      </c>
      <c r="K77" s="615">
        <f t="shared" si="31"/>
        <v>0</v>
      </c>
      <c r="L77" s="617">
        <f t="shared" si="31"/>
        <v>0</v>
      </c>
      <c r="M77" s="618">
        <f t="shared" si="30"/>
        <v>0</v>
      </c>
    </row>
    <row r="78" spans="2:13" ht="13.5" customHeight="1" x14ac:dyDescent="0.25">
      <c r="B78" s="603" t="str">
        <f t="shared" si="28"/>
        <v>Equipment</v>
      </c>
      <c r="C78" s="620">
        <f t="shared" ref="C78:L78" si="32">C35*$G$55</f>
        <v>0</v>
      </c>
      <c r="D78" s="620">
        <f t="shared" si="32"/>
        <v>0</v>
      </c>
      <c r="E78" s="620">
        <f t="shared" si="32"/>
        <v>0</v>
      </c>
      <c r="F78" s="620">
        <f t="shared" si="32"/>
        <v>0</v>
      </c>
      <c r="G78" s="620">
        <f t="shared" si="32"/>
        <v>0</v>
      </c>
      <c r="H78" s="620">
        <f t="shared" si="32"/>
        <v>0</v>
      </c>
      <c r="I78" s="620">
        <f t="shared" si="32"/>
        <v>0</v>
      </c>
      <c r="J78" s="620">
        <f t="shared" si="32"/>
        <v>0</v>
      </c>
      <c r="K78" s="620">
        <f t="shared" si="32"/>
        <v>0</v>
      </c>
      <c r="L78" s="622">
        <f t="shared" si="32"/>
        <v>0</v>
      </c>
      <c r="M78" s="623">
        <f t="shared" si="30"/>
        <v>0</v>
      </c>
    </row>
    <row r="79" spans="2:13" s="20" customFormat="1" ht="13.5" customHeight="1" x14ac:dyDescent="0.25">
      <c r="B79" s="373" t="str">
        <f t="shared" si="28"/>
        <v>Facility</v>
      </c>
      <c r="C79" s="615">
        <f t="shared" ref="C79:L79" si="33">C36*$G$55</f>
        <v>0</v>
      </c>
      <c r="D79" s="615">
        <f t="shared" si="33"/>
        <v>0</v>
      </c>
      <c r="E79" s="615">
        <f t="shared" si="33"/>
        <v>0</v>
      </c>
      <c r="F79" s="615">
        <f t="shared" si="33"/>
        <v>0</v>
      </c>
      <c r="G79" s="615">
        <f t="shared" si="33"/>
        <v>0</v>
      </c>
      <c r="H79" s="615">
        <f t="shared" si="33"/>
        <v>0</v>
      </c>
      <c r="I79" s="615">
        <f t="shared" si="33"/>
        <v>0</v>
      </c>
      <c r="J79" s="615">
        <f t="shared" si="33"/>
        <v>0</v>
      </c>
      <c r="K79" s="615">
        <f t="shared" si="33"/>
        <v>0</v>
      </c>
      <c r="L79" s="617">
        <f t="shared" si="33"/>
        <v>0</v>
      </c>
      <c r="M79" s="618">
        <f t="shared" si="30"/>
        <v>0</v>
      </c>
    </row>
    <row r="80" spans="2:13" ht="13.5" customHeight="1" x14ac:dyDescent="0.25">
      <c r="B80" s="604" t="str">
        <f t="shared" si="28"/>
        <v>Indirect</v>
      </c>
      <c r="C80" s="584">
        <f t="shared" ref="C80:L80" si="34">C37*$G$55</f>
        <v>0</v>
      </c>
      <c r="D80" s="584">
        <f t="shared" si="34"/>
        <v>0</v>
      </c>
      <c r="E80" s="584">
        <f t="shared" si="34"/>
        <v>0</v>
      </c>
      <c r="F80" s="584">
        <f t="shared" si="34"/>
        <v>0</v>
      </c>
      <c r="G80" s="584">
        <f t="shared" si="34"/>
        <v>0</v>
      </c>
      <c r="H80" s="584">
        <f t="shared" si="34"/>
        <v>0</v>
      </c>
      <c r="I80" s="584">
        <f t="shared" si="34"/>
        <v>0</v>
      </c>
      <c r="J80" s="584">
        <f t="shared" si="34"/>
        <v>0</v>
      </c>
      <c r="K80" s="584">
        <f t="shared" si="34"/>
        <v>0</v>
      </c>
      <c r="L80" s="626">
        <f t="shared" si="34"/>
        <v>0</v>
      </c>
      <c r="M80" s="627">
        <f t="shared" si="30"/>
        <v>0</v>
      </c>
    </row>
    <row r="81" spans="2:13" ht="13.5" customHeight="1" x14ac:dyDescent="0.25">
      <c r="B81" s="631" t="str">
        <f>B38</f>
        <v xml:space="preserve">Total </v>
      </c>
      <c r="C81" s="443">
        <f>SUM(C76:C80)</f>
        <v>0</v>
      </c>
      <c r="D81" s="443">
        <f t="shared" ref="D81:L81" si="35">SUM(D76:D80)</f>
        <v>0</v>
      </c>
      <c r="E81" s="443">
        <f t="shared" si="35"/>
        <v>0</v>
      </c>
      <c r="F81" s="443">
        <f t="shared" si="35"/>
        <v>0</v>
      </c>
      <c r="G81" s="443">
        <f t="shared" si="35"/>
        <v>0</v>
      </c>
      <c r="H81" s="443">
        <f t="shared" si="35"/>
        <v>0</v>
      </c>
      <c r="I81" s="443">
        <f t="shared" si="35"/>
        <v>0</v>
      </c>
      <c r="J81" s="443">
        <f t="shared" si="35"/>
        <v>0</v>
      </c>
      <c r="K81" s="443">
        <f t="shared" si="35"/>
        <v>0</v>
      </c>
      <c r="L81" s="443">
        <f t="shared" si="35"/>
        <v>0</v>
      </c>
      <c r="M81" s="637">
        <f t="shared" si="30"/>
        <v>0</v>
      </c>
    </row>
    <row r="82" spans="2:13" x14ac:dyDescent="0.25">
      <c r="B82" s="84"/>
      <c r="C82" s="149"/>
      <c r="D82" s="149"/>
      <c r="E82" s="149"/>
      <c r="F82" s="149"/>
      <c r="G82" s="149"/>
      <c r="H82" s="149"/>
      <c r="I82" s="149"/>
      <c r="J82" s="149"/>
      <c r="K82" s="149"/>
      <c r="L82" s="149"/>
      <c r="M82" s="128"/>
    </row>
    <row r="83" spans="2:13" x14ac:dyDescent="0.25">
      <c r="B83" s="70"/>
      <c r="C83" s="144"/>
      <c r="D83" s="144"/>
      <c r="E83" s="144"/>
      <c r="F83" s="144"/>
      <c r="G83" s="144"/>
      <c r="H83" s="144"/>
      <c r="I83" s="144"/>
      <c r="J83" s="144"/>
      <c r="K83" s="144"/>
      <c r="L83" s="144"/>
      <c r="M83" s="144"/>
    </row>
    <row r="84" spans="2:13" x14ac:dyDescent="0.25">
      <c r="B84" s="22"/>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WALLENBERG</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2025-01-17T11:52:13Z</dcterms:modified>
</cp:coreProperties>
</file>